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onomO\Desktop\"/>
    </mc:Choice>
  </mc:AlternateContent>
  <bookViews>
    <workbookView xWindow="480" yWindow="165" windowWidth="11340" windowHeight="8775" firstSheet="9" activeTab="11"/>
  </bookViews>
  <sheets>
    <sheet name="расчет тарифов " sheetId="56" state="hidden" r:id="rId1"/>
    <sheet name="Текущий ремонт" sheetId="122" state="hidden" r:id="rId2"/>
    <sheet name="Чистая прибыль с транспортир." sheetId="124" state="hidden" r:id="rId3"/>
    <sheet name="Прил. 1 План ФХД с транспортир." sheetId="123" state="hidden" r:id="rId4"/>
    <sheet name="Чистая прибыль" sheetId="121" state="hidden" r:id="rId5"/>
    <sheet name="Прил. 1 План ФХД табл 1" sheetId="120" state="hidden" r:id="rId6"/>
    <sheet name="Прил. 1 План ФХД стоки табл 2" sheetId="119" state="hidden" r:id="rId7"/>
    <sheet name="Прил. 1 План ФХД вода табл. 2" sheetId="118" state="hidden" r:id="rId8"/>
    <sheet name="Расчет товарной выручки" sheetId="117" state="hidden" r:id="rId9"/>
    <sheet name="ФАКТ. СЕБЕСТ. СТОКИ 9 мес. 2019" sheetId="116" r:id="rId10"/>
    <sheet name="ПОЛНАЯ СЕБЕСТОИМОСТЬ СТОКИ 2019" sheetId="115" state="hidden" r:id="rId11"/>
    <sheet name="ФАКТ. СЕБЕСТ ВОДА 9 мес. 2019" sheetId="114" r:id="rId12"/>
    <sheet name="ПОЛНАЯ СЕБЕСТОИМОСТЬ ВОДА 2019" sheetId="113" state="hidden" r:id="rId13"/>
    <sheet name="объемы" sheetId="3" state="hidden" r:id="rId14"/>
    <sheet name="объемы черн" sheetId="59" state="hidden" r:id="rId15"/>
    <sheet name="потери" sheetId="106" state="hidden" r:id="rId16"/>
    <sheet name="приборы учета" sheetId="107" state="hidden" r:id="rId17"/>
    <sheet name="ф1.1. п5 МУ" sheetId="79" state="hidden" r:id="rId18"/>
    <sheet name="ф.1 п.5 МУ 1746э" sheetId="88" state="hidden" r:id="rId19"/>
    <sheet name="ТН" sheetId="85" state="hidden" r:id="rId20"/>
    <sheet name="факт шаблон стоки" sheetId="91" state="hidden" r:id="rId21"/>
    <sheet name="факт шаблон вода" sheetId="89" state="hidden" r:id="rId22"/>
    <sheet name="А" sheetId="90" state="hidden" r:id="rId23"/>
    <sheet name="водный налог вып" sheetId="84" state="hidden" r:id="rId24"/>
    <sheet name="ВП объемы" sheetId="80" state="hidden" r:id="rId25"/>
    <sheet name="А 2017" sheetId="94" state="hidden" r:id="rId26"/>
    <sheet name="вода" sheetId="7" state="hidden" r:id="rId27"/>
    <sheet name="стоки" sheetId="8" state="hidden" r:id="rId28"/>
    <sheet name="вода 2018 коррект" sheetId="61" state="hidden" r:id="rId29"/>
    <sheet name="тех вода 2018" sheetId="64" state="hidden" r:id="rId30"/>
    <sheet name="стоки 2018" sheetId="65" state="hidden" r:id="rId31"/>
    <sheet name="очистка 2016-2018" sheetId="66" state="hidden" r:id="rId32"/>
    <sheet name="цех вода" sheetId="5" state="hidden" r:id="rId33"/>
    <sheet name="цех стоки" sheetId="6" state="hidden" r:id="rId34"/>
    <sheet name="ХР" sheetId="11" state="hidden" r:id="rId35"/>
    <sheet name="электр 2017-2018" sheetId="72" state="hidden" r:id="rId36"/>
    <sheet name="электр" sheetId="9" state="hidden" r:id="rId37"/>
    <sheet name="ЭЭ вода" sheetId="95" state="hidden" r:id="rId38"/>
    <sheet name="ЭЭ стоки" sheetId="98" state="hidden" r:id="rId39"/>
    <sheet name="Аморт" sheetId="10" state="hidden" r:id="rId40"/>
    <sheet name="Лист2" sheetId="33" state="hidden" r:id="rId41"/>
    <sheet name="Аренда земли" sheetId="102" state="hidden" r:id="rId42"/>
    <sheet name="Транспортировка КЭМЗ" sheetId="103" state="hidden" r:id="rId43"/>
    <sheet name="Тепловая энергия" sheetId="100" state="hidden" r:id="rId44"/>
    <sheet name="ЗП" sheetId="17" state="hidden" r:id="rId45"/>
    <sheet name="ЗП с факт 3 кв. 2015" sheetId="71" state="hidden" r:id="rId46"/>
    <sheet name="ЗП среднемес" sheetId="68" state="hidden" r:id="rId47"/>
    <sheet name="ср. разряд" sheetId="112" state="hidden" r:id="rId48"/>
    <sheet name="3 подъем зпл" sheetId="101" state="hidden" r:id="rId49"/>
    <sheet name="хим реагенты" sheetId="96" state="hidden" r:id="rId50"/>
    <sheet name="транс" sheetId="69" state="hidden" r:id="rId51"/>
    <sheet name=" текРемвода 2016" sheetId="57" state="hidden" r:id="rId52"/>
    <sheet name="  текРемстоки 2016" sheetId="58" state="hidden" r:id="rId53"/>
    <sheet name="Кап Рем" sheetId="62" state="hidden" r:id="rId54"/>
    <sheet name="кап влож" sheetId="70" state="hidden" r:id="rId55"/>
    <sheet name="Н 2019-2024" sheetId="104" state="hidden" r:id="rId56"/>
    <sheet name="вод.налог" sheetId="32" state="hidden" r:id="rId57"/>
    <sheet name="имущество" sheetId="105" state="hidden" r:id="rId58"/>
    <sheet name="рем программа" sheetId="111" state="hidden" r:id="rId59"/>
    <sheet name="ремонты" sheetId="97" state="hidden" r:id="rId60"/>
    <sheet name="налог на имущ" sheetId="67" state="hidden" r:id="rId61"/>
    <sheet name="ОХР " sheetId="19" state="hidden" r:id="rId62"/>
    <sheet name="Резерв ДЗ" sheetId="63" state="hidden" r:id="rId63"/>
    <sheet name="Выпадающ15-16" sheetId="36" state="hidden" r:id="rId64"/>
    <sheet name="Ремонт стоки 2016" sheetId="54" state="hidden" r:id="rId65"/>
    <sheet name="Ремонт вода 2016" sheetId="52" state="hidden" r:id="rId66"/>
    <sheet name="Выпадающ" sheetId="60" state="hidden" r:id="rId67"/>
    <sheet name="Ремонт вода 2015" sheetId="34" state="hidden" r:id="rId68"/>
    <sheet name="Ремонт стоки 2015" sheetId="35" state="hidden" r:id="rId69"/>
    <sheet name="платежка с ИП" sheetId="21" state="hidden" r:id="rId70"/>
    <sheet name="рез к 2017" sheetId="73" state="hidden" r:id="rId71"/>
    <sheet name="распределение ОХР" sheetId="99" state="hidden" r:id="rId72"/>
    <sheet name="2017 к" sheetId="74" state="hidden" r:id="rId73"/>
    <sheet name="2018 к" sheetId="86" state="hidden" r:id="rId74"/>
    <sheet name="имушество 2017 к." sheetId="75" state="hidden" r:id="rId75"/>
    <sheet name="Лист4" sheetId="76" state="hidden" r:id="rId76"/>
    <sheet name="2017 к смета" sheetId="77" state="hidden" r:id="rId77"/>
    <sheet name="2018 к смета" sheetId="87" state="hidden" r:id="rId78"/>
    <sheet name="амортизация 2017 год" sheetId="109" state="hidden" r:id="rId79"/>
    <sheet name="Насосная стация 2 подъем" sheetId="110" state="hidden" r:id="rId80"/>
    <sheet name="снятие ИП" sheetId="108" state="hidden" r:id="rId81"/>
    <sheet name="ИП" sheetId="78" state="hidden" r:id="rId82"/>
    <sheet name="хим. реагенты" sheetId="81" state="hidden" r:id="rId83"/>
    <sheet name="ээ 2015" sheetId="82" state="hidden" r:id="rId84"/>
    <sheet name="ремонт" sheetId="83" state="hidden" r:id="rId85"/>
    <sheet name="НВОС" sheetId="92" state="hidden" r:id="rId86"/>
    <sheet name="Лист1" sheetId="93" state="hidden" r:id="rId87"/>
  </sheets>
  <externalReferences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_4Excel_BuiltIn_Print_Area_59_67_1" localSheetId="45">#REF!</definedName>
    <definedName name="_4Excel_BuiltIn_Print_Area_59_67_1" localSheetId="31">#REF!</definedName>
    <definedName name="_4Excel_BuiltIn_Print_Area_59_67_1" localSheetId="3">#REF!</definedName>
    <definedName name="_4Excel_BuiltIn_Print_Area_59_67_1" localSheetId="5">#REF!</definedName>
    <definedName name="_4Excel_BuiltIn_Print_Area_59_67_1" localSheetId="30">#REF!</definedName>
    <definedName name="_4Excel_BuiltIn_Print_Area_59_67_1" localSheetId="29">#REF!</definedName>
    <definedName name="_4Excel_BuiltIn_Print_Area_59_67_1" localSheetId="2">#REF!</definedName>
    <definedName name="_4Excel_BuiltIn_Print_Area_59_67_1" localSheetId="35">#REF!</definedName>
    <definedName name="_4Excel_BuiltIn_Print_Area_59_67_1">#REF!</definedName>
    <definedName name="_8Excel_BuiltIn_Print_Area_59_74_1" localSheetId="45">#REF!</definedName>
    <definedName name="_8Excel_BuiltIn_Print_Area_59_74_1" localSheetId="31">#REF!</definedName>
    <definedName name="_8Excel_BuiltIn_Print_Area_59_74_1" localSheetId="3">#REF!</definedName>
    <definedName name="_8Excel_BuiltIn_Print_Area_59_74_1" localSheetId="5">#REF!</definedName>
    <definedName name="_8Excel_BuiltIn_Print_Area_59_74_1" localSheetId="30">#REF!</definedName>
    <definedName name="_8Excel_BuiltIn_Print_Area_59_74_1" localSheetId="29">#REF!</definedName>
    <definedName name="_8Excel_BuiltIn_Print_Area_59_74_1" localSheetId="2">#REF!</definedName>
    <definedName name="_8Excel_BuiltIn_Print_Area_59_74_1" localSheetId="35">#REF!</definedName>
    <definedName name="_8Excel_BuiltIn_Print_Area_59_74_1">#REF!</definedName>
    <definedName name="_Pi1" localSheetId="45">'ЗП с факт 3 кв. 2015'!_Pi1</definedName>
    <definedName name="_Pi1" localSheetId="12">#N/A</definedName>
    <definedName name="_Pi1" localSheetId="10">#N/A</definedName>
    <definedName name="_Pi1" localSheetId="7">#N/A</definedName>
    <definedName name="_Pi1" localSheetId="3">#N/A</definedName>
    <definedName name="_Pi1" localSheetId="6">#N/A</definedName>
    <definedName name="_Pi1" localSheetId="5">#N/A</definedName>
    <definedName name="_Pi1" localSheetId="8">#N/A</definedName>
    <definedName name="_Pi1" localSheetId="1">#N/A</definedName>
    <definedName name="_Pi1" localSheetId="11">#N/A</definedName>
    <definedName name="_Pi1" localSheetId="9">#N/A</definedName>
    <definedName name="_Pi1" localSheetId="4">#N/A</definedName>
    <definedName name="_Pi1" localSheetId="2">#N/A</definedName>
    <definedName name="_Pi1">_Pi1</definedName>
    <definedName name="_Pi2" localSheetId="45">'ЗП с факт 3 кв. 2015'!_Pi2</definedName>
    <definedName name="_Pi2" localSheetId="12">#N/A</definedName>
    <definedName name="_Pi2" localSheetId="10">#N/A</definedName>
    <definedName name="_Pi2" localSheetId="7">#N/A</definedName>
    <definedName name="_Pi2" localSheetId="3">#N/A</definedName>
    <definedName name="_Pi2" localSheetId="6">#N/A</definedName>
    <definedName name="_Pi2" localSheetId="5">#N/A</definedName>
    <definedName name="_Pi2" localSheetId="8">#N/A</definedName>
    <definedName name="_Pi2" localSheetId="1">#N/A</definedName>
    <definedName name="_Pi2" localSheetId="11">#N/A</definedName>
    <definedName name="_Pi2" localSheetId="9">#N/A</definedName>
    <definedName name="_Pi2" localSheetId="4">#N/A</definedName>
    <definedName name="_Pi2" localSheetId="2">#N/A</definedName>
    <definedName name="_Pi2">_Pi2</definedName>
    <definedName name="_Pi3" localSheetId="45">'ЗП с факт 3 кв. 2015'!_Pi3</definedName>
    <definedName name="_Pi3" localSheetId="12">#N/A</definedName>
    <definedName name="_Pi3" localSheetId="10">#N/A</definedName>
    <definedName name="_Pi3" localSheetId="7">#N/A</definedName>
    <definedName name="_Pi3" localSheetId="3">#N/A</definedName>
    <definedName name="_Pi3" localSheetId="6">#N/A</definedName>
    <definedName name="_Pi3" localSheetId="5">#N/A</definedName>
    <definedName name="_Pi3" localSheetId="8">#N/A</definedName>
    <definedName name="_Pi3" localSheetId="1">#N/A</definedName>
    <definedName name="_Pi3" localSheetId="11">#N/A</definedName>
    <definedName name="_Pi3" localSheetId="9">#N/A</definedName>
    <definedName name="_Pi3" localSheetId="4">#N/A</definedName>
    <definedName name="_Pi3" localSheetId="2">#N/A</definedName>
    <definedName name="_Pi3">_Pi3</definedName>
    <definedName name="_Pi4" localSheetId="45">'ЗП с факт 3 кв. 2015'!_Pi4</definedName>
    <definedName name="_Pi4" localSheetId="12">#N/A</definedName>
    <definedName name="_Pi4" localSheetId="10">#N/A</definedName>
    <definedName name="_Pi4" localSheetId="7">#N/A</definedName>
    <definedName name="_Pi4" localSheetId="3">#N/A</definedName>
    <definedName name="_Pi4" localSheetId="6">#N/A</definedName>
    <definedName name="_Pi4" localSheetId="5">#N/A</definedName>
    <definedName name="_Pi4" localSheetId="8">#N/A</definedName>
    <definedName name="_Pi4" localSheetId="1">#N/A</definedName>
    <definedName name="_Pi4" localSheetId="11">#N/A</definedName>
    <definedName name="_Pi4" localSheetId="9">#N/A</definedName>
    <definedName name="_Pi4" localSheetId="4">#N/A</definedName>
    <definedName name="_Pi4" localSheetId="2">#N/A</definedName>
    <definedName name="_Pi4">_Pi4</definedName>
    <definedName name="_Pi5" localSheetId="45">'ЗП с факт 3 кв. 2015'!_Pi5</definedName>
    <definedName name="_Pi5" localSheetId="12">#N/A</definedName>
    <definedName name="_Pi5" localSheetId="10">#N/A</definedName>
    <definedName name="_Pi5" localSheetId="7">#N/A</definedName>
    <definedName name="_Pi5" localSheetId="3">#N/A</definedName>
    <definedName name="_Pi5" localSheetId="6">#N/A</definedName>
    <definedName name="_Pi5" localSheetId="5">#N/A</definedName>
    <definedName name="_Pi5" localSheetId="8">#N/A</definedName>
    <definedName name="_Pi5" localSheetId="1">#N/A</definedName>
    <definedName name="_Pi5" localSheetId="11">#N/A</definedName>
    <definedName name="_Pi5" localSheetId="9">#N/A</definedName>
    <definedName name="_Pi5" localSheetId="4">#N/A</definedName>
    <definedName name="_Pi5" localSheetId="2">#N/A</definedName>
    <definedName name="_Pi5">_Pi5</definedName>
    <definedName name="asds" localSheetId="45">'ЗП с факт 3 кв. 2015'!asds</definedName>
    <definedName name="asds" localSheetId="12">#N/A</definedName>
    <definedName name="asds" localSheetId="10">#N/A</definedName>
    <definedName name="asds" localSheetId="7">#N/A</definedName>
    <definedName name="asds" localSheetId="3">#N/A</definedName>
    <definedName name="asds" localSheetId="6">#N/A</definedName>
    <definedName name="asds" localSheetId="5">#N/A</definedName>
    <definedName name="asds" localSheetId="8">#N/A</definedName>
    <definedName name="asds" localSheetId="1">#N/A</definedName>
    <definedName name="asds" localSheetId="11">#N/A</definedName>
    <definedName name="asds" localSheetId="9">#N/A</definedName>
    <definedName name="asds" localSheetId="4">#N/A</definedName>
    <definedName name="asds" localSheetId="2">#N/A</definedName>
    <definedName name="asds">asds</definedName>
    <definedName name="asds_10" localSheetId="45">'ЗП с факт 3 кв. 2015'!asds</definedName>
    <definedName name="asds_10" localSheetId="12">'ПОЛНАЯ СЕБЕСТОИМОСТЬ ВОДА 2019'!asds</definedName>
    <definedName name="asds_10" localSheetId="10">'ПОЛНАЯ СЕБЕСТОИМОСТЬ СТОКИ 2019'!asds</definedName>
    <definedName name="asds_10" localSheetId="7">'Прил. 1 План ФХД вода табл. 2'!asds</definedName>
    <definedName name="asds_10" localSheetId="3">'Прил. 1 План ФХД с транспортир.'!asds</definedName>
    <definedName name="asds_10" localSheetId="6">'Прил. 1 План ФХД стоки табл 2'!asds</definedName>
    <definedName name="asds_10" localSheetId="5">'Прил. 1 План ФХД табл 1'!asds</definedName>
    <definedName name="asds_10" localSheetId="8">'Расчет товарной выручки'!asds</definedName>
    <definedName name="asds_10" localSheetId="1">'Текущий ремонт'!asds</definedName>
    <definedName name="asds_10" localSheetId="11">'ФАКТ. СЕБЕСТ ВОДА 9 мес. 2019'!asds</definedName>
    <definedName name="asds_10" localSheetId="9">'ФАКТ. СЕБЕСТ. СТОКИ 9 мес. 2019'!asds</definedName>
    <definedName name="asds_10" localSheetId="4">'Чистая прибыль'!asds</definedName>
    <definedName name="asds_10" localSheetId="2">'Чистая прибыль с транспортир.'!asds</definedName>
    <definedName name="asds_10">[0]!asds</definedName>
    <definedName name="asds_14" localSheetId="45">'ЗП с факт 3 кв. 2015'!asds</definedName>
    <definedName name="asds_14" localSheetId="12">'ПОЛНАЯ СЕБЕСТОИМОСТЬ ВОДА 2019'!asds</definedName>
    <definedName name="asds_14" localSheetId="10">'ПОЛНАЯ СЕБЕСТОИМОСТЬ СТОКИ 2019'!asds</definedName>
    <definedName name="asds_14" localSheetId="7">'Прил. 1 План ФХД вода табл. 2'!asds</definedName>
    <definedName name="asds_14" localSheetId="3">'Прил. 1 План ФХД с транспортир.'!asds</definedName>
    <definedName name="asds_14" localSheetId="6">'Прил. 1 План ФХД стоки табл 2'!asds</definedName>
    <definedName name="asds_14" localSheetId="5">'Прил. 1 План ФХД табл 1'!asds</definedName>
    <definedName name="asds_14" localSheetId="8">'Расчет товарной выручки'!asds</definedName>
    <definedName name="asds_14" localSheetId="1">'Текущий ремонт'!asds</definedName>
    <definedName name="asds_14" localSheetId="11">'ФАКТ. СЕБЕСТ ВОДА 9 мес. 2019'!asds</definedName>
    <definedName name="asds_14" localSheetId="9">'ФАКТ. СЕБЕСТ. СТОКИ 9 мес. 2019'!asds</definedName>
    <definedName name="asds_14" localSheetId="4">'Чистая прибыль'!asds</definedName>
    <definedName name="asds_14" localSheetId="2">'Чистая прибыль с транспортир.'!asds</definedName>
    <definedName name="asds_14">[0]!asds</definedName>
    <definedName name="asds_15" localSheetId="45">'ЗП с факт 3 кв. 2015'!asds</definedName>
    <definedName name="asds_15" localSheetId="12">'ПОЛНАЯ СЕБЕСТОИМОСТЬ ВОДА 2019'!asds</definedName>
    <definedName name="asds_15" localSheetId="10">'ПОЛНАЯ СЕБЕСТОИМОСТЬ СТОКИ 2019'!asds</definedName>
    <definedName name="asds_15" localSheetId="7">'Прил. 1 План ФХД вода табл. 2'!asds</definedName>
    <definedName name="asds_15" localSheetId="3">'Прил. 1 План ФХД с транспортир.'!asds</definedName>
    <definedName name="asds_15" localSheetId="6">'Прил. 1 План ФХД стоки табл 2'!asds</definedName>
    <definedName name="asds_15" localSheetId="5">'Прил. 1 План ФХД табл 1'!asds</definedName>
    <definedName name="asds_15" localSheetId="8">'Расчет товарной выручки'!asds</definedName>
    <definedName name="asds_15" localSheetId="1">'Текущий ремонт'!asds</definedName>
    <definedName name="asds_15" localSheetId="11">'ФАКТ. СЕБЕСТ ВОДА 9 мес. 2019'!asds</definedName>
    <definedName name="asds_15" localSheetId="9">'ФАКТ. СЕБЕСТ. СТОКИ 9 мес. 2019'!asds</definedName>
    <definedName name="asds_15" localSheetId="4">'Чистая прибыль'!asds</definedName>
    <definedName name="asds_15" localSheetId="2">'Чистая прибыль с транспортир.'!asds</definedName>
    <definedName name="asds_15">[0]!asds</definedName>
    <definedName name="asds_16" localSheetId="45">'ЗП с факт 3 кв. 2015'!asds</definedName>
    <definedName name="asds_16" localSheetId="12">'ПОЛНАЯ СЕБЕСТОИМОСТЬ ВОДА 2019'!asds</definedName>
    <definedName name="asds_16" localSheetId="10">'ПОЛНАЯ СЕБЕСТОИМОСТЬ СТОКИ 2019'!asds</definedName>
    <definedName name="asds_16" localSheetId="7">'Прил. 1 План ФХД вода табл. 2'!asds</definedName>
    <definedName name="asds_16" localSheetId="3">'Прил. 1 План ФХД с транспортир.'!asds</definedName>
    <definedName name="asds_16" localSheetId="6">'Прил. 1 План ФХД стоки табл 2'!asds</definedName>
    <definedName name="asds_16" localSheetId="5">'Прил. 1 План ФХД табл 1'!asds</definedName>
    <definedName name="asds_16" localSheetId="8">'Расчет товарной выручки'!asds</definedName>
    <definedName name="asds_16" localSheetId="1">'Текущий ремонт'!asds</definedName>
    <definedName name="asds_16" localSheetId="11">'ФАКТ. СЕБЕСТ ВОДА 9 мес. 2019'!asds</definedName>
    <definedName name="asds_16" localSheetId="9">'ФАКТ. СЕБЕСТ. СТОКИ 9 мес. 2019'!asds</definedName>
    <definedName name="asds_16" localSheetId="4">'Чистая прибыль'!asds</definedName>
    <definedName name="asds_16" localSheetId="2">'Чистая прибыль с транспортир.'!asds</definedName>
    <definedName name="asds_16">[0]!asds</definedName>
    <definedName name="asds_2" localSheetId="45">'ЗП с факт 3 кв. 2015'!asds</definedName>
    <definedName name="asds_2" localSheetId="12">'ПОЛНАЯ СЕБЕСТОИМОСТЬ ВОДА 2019'!asds</definedName>
    <definedName name="asds_2" localSheetId="10">'ПОЛНАЯ СЕБЕСТОИМОСТЬ СТОКИ 2019'!asds</definedName>
    <definedName name="asds_2" localSheetId="7">'Прил. 1 План ФХД вода табл. 2'!asds</definedName>
    <definedName name="asds_2" localSheetId="3">'Прил. 1 План ФХД с транспортир.'!asds</definedName>
    <definedName name="asds_2" localSheetId="6">'Прил. 1 План ФХД стоки табл 2'!asds</definedName>
    <definedName name="asds_2" localSheetId="5">'Прил. 1 План ФХД табл 1'!asds</definedName>
    <definedName name="asds_2" localSheetId="8">'Расчет товарной выручки'!asds</definedName>
    <definedName name="asds_2" localSheetId="1">'Текущий ремонт'!asds</definedName>
    <definedName name="asds_2" localSheetId="11">'ФАКТ. СЕБЕСТ ВОДА 9 мес. 2019'!asds</definedName>
    <definedName name="asds_2" localSheetId="9">'ФАКТ. СЕБЕСТ. СТОКИ 9 мес. 2019'!asds</definedName>
    <definedName name="asds_2" localSheetId="4">'Чистая прибыль'!asds</definedName>
    <definedName name="asds_2" localSheetId="2">'Чистая прибыль с транспортир.'!asds</definedName>
    <definedName name="asds_2">[0]!asds</definedName>
    <definedName name="CY" localSheetId="12">[1]Титул!$M$2</definedName>
    <definedName name="CY" localSheetId="10">[1]Титул!$M$2</definedName>
    <definedName name="CY" localSheetId="7">[1]Титул!$M$2</definedName>
    <definedName name="CY" localSheetId="3">[1]Титул!$M$2</definedName>
    <definedName name="CY" localSheetId="6">[1]Титул!$M$2</definedName>
    <definedName name="CY" localSheetId="5">[1]Титул!$M$2</definedName>
    <definedName name="CY" localSheetId="8">[1]Титул!$M$2</definedName>
    <definedName name="CY" localSheetId="1">[1]Титул!$M$2</definedName>
    <definedName name="CY" localSheetId="11">[1]Титул!$M$2</definedName>
    <definedName name="CY" localSheetId="9">[1]Титул!$M$2</definedName>
    <definedName name="CY" localSheetId="4">[1]Титул!$M$2</definedName>
    <definedName name="CY" localSheetId="2">[1]Титул!$M$2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 localSheetId="12">[3]Список!$J$2</definedName>
    <definedName name="CY_74" localSheetId="10">[3]Список!$J$2</definedName>
    <definedName name="CY_74" localSheetId="7">[3]Список!$J$2</definedName>
    <definedName name="CY_74" localSheetId="3">[3]Список!$J$2</definedName>
    <definedName name="CY_74" localSheetId="6">[3]Список!$J$2</definedName>
    <definedName name="CY_74" localSheetId="5">[3]Список!$J$2</definedName>
    <definedName name="CY_74" localSheetId="8">[3]Список!$J$2</definedName>
    <definedName name="CY_74" localSheetId="1">[3]Список!$J$2</definedName>
    <definedName name="CY_74" localSheetId="11">[3]Список!$J$2</definedName>
    <definedName name="CY_74" localSheetId="9">[3]Список!$J$2</definedName>
    <definedName name="CY_74" localSheetId="4">[3]Список!$J$2</definedName>
    <definedName name="CY_74" localSheetId="2">[3]Список!$J$2</definedName>
    <definedName name="CY_74">[3]Список!$J$2</definedName>
    <definedName name="CY_75" localSheetId="12">[3]Список!$J$2</definedName>
    <definedName name="CY_75" localSheetId="10">[3]Список!$J$2</definedName>
    <definedName name="CY_75" localSheetId="7">[3]Список!$J$2</definedName>
    <definedName name="CY_75" localSheetId="3">[3]Список!$J$2</definedName>
    <definedName name="CY_75" localSheetId="6">[3]Список!$J$2</definedName>
    <definedName name="CY_75" localSheetId="5">[3]Список!$J$2</definedName>
    <definedName name="CY_75" localSheetId="8">[3]Список!$J$2</definedName>
    <definedName name="CY_75" localSheetId="1">[3]Список!$J$2</definedName>
    <definedName name="CY_75" localSheetId="11">[3]Список!$J$2</definedName>
    <definedName name="CY_75" localSheetId="9">[3]Список!$J$2</definedName>
    <definedName name="CY_75" localSheetId="4">[3]Список!$J$2</definedName>
    <definedName name="CY_75" localSheetId="2">[3]Список!$J$2</definedName>
    <definedName name="CY_75">[3]Список!$J$2</definedName>
    <definedName name="dfhf" localSheetId="12">[3]Список!$J$2</definedName>
    <definedName name="dfhf" localSheetId="10">[3]Список!$J$2</definedName>
    <definedName name="dfhf" localSheetId="7">[3]Список!$J$2</definedName>
    <definedName name="dfhf" localSheetId="3">[3]Список!$J$2</definedName>
    <definedName name="dfhf" localSheetId="6">[3]Список!$J$2</definedName>
    <definedName name="dfhf" localSheetId="5">[3]Список!$J$2</definedName>
    <definedName name="dfhf" localSheetId="8">[3]Список!$J$2</definedName>
    <definedName name="dfhf" localSheetId="1">[3]Список!$J$2</definedName>
    <definedName name="dfhf" localSheetId="11">[3]Список!$J$2</definedName>
    <definedName name="dfhf" localSheetId="9">[3]Список!$J$2</definedName>
    <definedName name="dfhf" localSheetId="4">[3]Список!$J$2</definedName>
    <definedName name="dfhf" localSheetId="2">[3]Список!$J$2</definedName>
    <definedName name="dfhf">[3]Список!$J$2</definedName>
    <definedName name="end_chart" localSheetId="45">'ЗП с факт 3 кв. 2015'!end_chart</definedName>
    <definedName name="end_chart" localSheetId="12">#N/A</definedName>
    <definedName name="end_chart" localSheetId="10">#N/A</definedName>
    <definedName name="end_chart" localSheetId="7">#N/A</definedName>
    <definedName name="end_chart" localSheetId="3">#N/A</definedName>
    <definedName name="end_chart" localSheetId="6">#N/A</definedName>
    <definedName name="end_chart" localSheetId="5">#N/A</definedName>
    <definedName name="end_chart" localSheetId="8">#N/A</definedName>
    <definedName name="end_chart" localSheetId="1">#N/A</definedName>
    <definedName name="end_chart" localSheetId="11">#N/A</definedName>
    <definedName name="end_chart" localSheetId="9">#N/A</definedName>
    <definedName name="end_chart" localSheetId="4">#N/A</definedName>
    <definedName name="end_chart" localSheetId="2">#N/A</definedName>
    <definedName name="end_chart">end_chart</definedName>
    <definedName name="end_chart_10" localSheetId="45">'ЗП с факт 3 кв. 2015'!end_chart</definedName>
    <definedName name="end_chart_10" localSheetId="12">'ПОЛНАЯ СЕБЕСТОИМОСТЬ ВОДА 2019'!end_chart</definedName>
    <definedName name="end_chart_10" localSheetId="10">'ПОЛНАЯ СЕБЕСТОИМОСТЬ СТОКИ 2019'!end_chart</definedName>
    <definedName name="end_chart_10" localSheetId="7">'Прил. 1 План ФХД вода табл. 2'!end_chart</definedName>
    <definedName name="end_chart_10" localSheetId="3">'Прил. 1 План ФХД с транспортир.'!end_chart</definedName>
    <definedName name="end_chart_10" localSheetId="6">'Прил. 1 План ФХД стоки табл 2'!end_chart</definedName>
    <definedName name="end_chart_10" localSheetId="5">'Прил. 1 План ФХД табл 1'!end_chart</definedName>
    <definedName name="end_chart_10" localSheetId="8">'Расчет товарной выручки'!end_chart</definedName>
    <definedName name="end_chart_10" localSheetId="1">'Текущий ремонт'!end_chart</definedName>
    <definedName name="end_chart_10" localSheetId="11">'ФАКТ. СЕБЕСТ ВОДА 9 мес. 2019'!end_chart</definedName>
    <definedName name="end_chart_10" localSheetId="9">'ФАКТ. СЕБЕСТ. СТОКИ 9 мес. 2019'!end_chart</definedName>
    <definedName name="end_chart_10" localSheetId="4">'Чистая прибыль'!end_chart</definedName>
    <definedName name="end_chart_10" localSheetId="2">'Чистая прибыль с транспортир.'!end_chart</definedName>
    <definedName name="end_chart_10">[0]!end_chart</definedName>
    <definedName name="end_chart_14" localSheetId="45">'ЗП с факт 3 кв. 2015'!end_chart</definedName>
    <definedName name="end_chart_14" localSheetId="12">'ПОЛНАЯ СЕБЕСТОИМОСТЬ ВОДА 2019'!end_chart</definedName>
    <definedName name="end_chart_14" localSheetId="10">'ПОЛНАЯ СЕБЕСТОИМОСТЬ СТОКИ 2019'!end_chart</definedName>
    <definedName name="end_chart_14" localSheetId="7">'Прил. 1 План ФХД вода табл. 2'!end_chart</definedName>
    <definedName name="end_chart_14" localSheetId="3">'Прил. 1 План ФХД с транспортир.'!end_chart</definedName>
    <definedName name="end_chart_14" localSheetId="6">'Прил. 1 План ФХД стоки табл 2'!end_chart</definedName>
    <definedName name="end_chart_14" localSheetId="5">'Прил. 1 План ФХД табл 1'!end_chart</definedName>
    <definedName name="end_chart_14" localSheetId="8">'Расчет товарной выручки'!end_chart</definedName>
    <definedName name="end_chart_14" localSheetId="1">'Текущий ремонт'!end_chart</definedName>
    <definedName name="end_chart_14" localSheetId="11">'ФАКТ. СЕБЕСТ ВОДА 9 мес. 2019'!end_chart</definedName>
    <definedName name="end_chart_14" localSheetId="9">'ФАКТ. СЕБЕСТ. СТОКИ 9 мес. 2019'!end_chart</definedName>
    <definedName name="end_chart_14" localSheetId="4">'Чистая прибыль'!end_chart</definedName>
    <definedName name="end_chart_14" localSheetId="2">'Чистая прибыль с транспортир.'!end_chart</definedName>
    <definedName name="end_chart_14">[0]!end_chart</definedName>
    <definedName name="end_chart_15" localSheetId="45">'ЗП с факт 3 кв. 2015'!end_chart</definedName>
    <definedName name="end_chart_15" localSheetId="12">'ПОЛНАЯ СЕБЕСТОИМОСТЬ ВОДА 2019'!end_chart</definedName>
    <definedName name="end_chart_15" localSheetId="10">'ПОЛНАЯ СЕБЕСТОИМОСТЬ СТОКИ 2019'!end_chart</definedName>
    <definedName name="end_chart_15" localSheetId="7">'Прил. 1 План ФХД вода табл. 2'!end_chart</definedName>
    <definedName name="end_chart_15" localSheetId="3">'Прил. 1 План ФХД с транспортир.'!end_chart</definedName>
    <definedName name="end_chart_15" localSheetId="6">'Прил. 1 План ФХД стоки табл 2'!end_chart</definedName>
    <definedName name="end_chart_15" localSheetId="5">'Прил. 1 План ФХД табл 1'!end_chart</definedName>
    <definedName name="end_chart_15" localSheetId="8">'Расчет товарной выручки'!end_chart</definedName>
    <definedName name="end_chart_15" localSheetId="1">'Текущий ремонт'!end_chart</definedName>
    <definedName name="end_chart_15" localSheetId="11">'ФАКТ. СЕБЕСТ ВОДА 9 мес. 2019'!end_chart</definedName>
    <definedName name="end_chart_15" localSheetId="9">'ФАКТ. СЕБЕСТ. СТОКИ 9 мес. 2019'!end_chart</definedName>
    <definedName name="end_chart_15" localSheetId="4">'Чистая прибыль'!end_chart</definedName>
    <definedName name="end_chart_15" localSheetId="2">'Чистая прибыль с транспортир.'!end_chart</definedName>
    <definedName name="end_chart_15">[0]!end_chart</definedName>
    <definedName name="end_chart_16" localSheetId="45">'ЗП с факт 3 кв. 2015'!end_chart</definedName>
    <definedName name="end_chart_16" localSheetId="12">'ПОЛНАЯ СЕБЕСТОИМОСТЬ ВОДА 2019'!end_chart</definedName>
    <definedName name="end_chart_16" localSheetId="10">'ПОЛНАЯ СЕБЕСТОИМОСТЬ СТОКИ 2019'!end_chart</definedName>
    <definedName name="end_chart_16" localSheetId="7">'Прил. 1 План ФХД вода табл. 2'!end_chart</definedName>
    <definedName name="end_chart_16" localSheetId="3">'Прил. 1 План ФХД с транспортир.'!end_chart</definedName>
    <definedName name="end_chart_16" localSheetId="6">'Прил. 1 План ФХД стоки табл 2'!end_chart</definedName>
    <definedName name="end_chart_16" localSheetId="5">'Прил. 1 План ФХД табл 1'!end_chart</definedName>
    <definedName name="end_chart_16" localSheetId="8">'Расчет товарной выручки'!end_chart</definedName>
    <definedName name="end_chart_16" localSheetId="1">'Текущий ремонт'!end_chart</definedName>
    <definedName name="end_chart_16" localSheetId="11">'ФАКТ. СЕБЕСТ ВОДА 9 мес. 2019'!end_chart</definedName>
    <definedName name="end_chart_16" localSheetId="9">'ФАКТ. СЕБЕСТ. СТОКИ 9 мес. 2019'!end_chart</definedName>
    <definedName name="end_chart_16" localSheetId="4">'Чистая прибыль'!end_chart</definedName>
    <definedName name="end_chart_16" localSheetId="2">'Чистая прибыль с транспортир.'!end_chart</definedName>
    <definedName name="end_chart_16">[0]!end_chart</definedName>
    <definedName name="end_chart_2" localSheetId="45">'ЗП с факт 3 кв. 2015'!end_chart</definedName>
    <definedName name="end_chart_2" localSheetId="12">'ПОЛНАЯ СЕБЕСТОИМОСТЬ ВОДА 2019'!end_chart</definedName>
    <definedName name="end_chart_2" localSheetId="10">'ПОЛНАЯ СЕБЕСТОИМОСТЬ СТОКИ 2019'!end_chart</definedName>
    <definedName name="end_chart_2" localSheetId="7">'Прил. 1 План ФХД вода табл. 2'!end_chart</definedName>
    <definedName name="end_chart_2" localSheetId="3">'Прил. 1 План ФХД с транспортир.'!end_chart</definedName>
    <definedName name="end_chart_2" localSheetId="6">'Прил. 1 План ФХД стоки табл 2'!end_chart</definedName>
    <definedName name="end_chart_2" localSheetId="5">'Прил. 1 План ФХД табл 1'!end_chart</definedName>
    <definedName name="end_chart_2" localSheetId="8">'Расчет товарной выручки'!end_chart</definedName>
    <definedName name="end_chart_2" localSheetId="1">'Текущий ремонт'!end_chart</definedName>
    <definedName name="end_chart_2" localSheetId="11">'ФАКТ. СЕБЕСТ ВОДА 9 мес. 2019'!end_chart</definedName>
    <definedName name="end_chart_2" localSheetId="9">'ФАКТ. СЕБЕСТ. СТОКИ 9 мес. 2019'!end_chart</definedName>
    <definedName name="end_chart_2" localSheetId="4">'Чистая прибыль'!end_chart</definedName>
    <definedName name="end_chart_2" localSheetId="2">'Чистая прибыль с транспортир.'!end_chart</definedName>
    <definedName name="end_chart_2">[0]!end_chart</definedName>
    <definedName name="end_tabl" localSheetId="45">'ЗП с факт 3 кв. 2015'!end_tabl</definedName>
    <definedName name="end_tabl" localSheetId="12">#N/A</definedName>
    <definedName name="end_tabl" localSheetId="10">#N/A</definedName>
    <definedName name="end_tabl" localSheetId="7">#N/A</definedName>
    <definedName name="end_tabl" localSheetId="3">#N/A</definedName>
    <definedName name="end_tabl" localSheetId="6">#N/A</definedName>
    <definedName name="end_tabl" localSheetId="5">#N/A</definedName>
    <definedName name="end_tabl" localSheetId="8">#N/A</definedName>
    <definedName name="end_tabl" localSheetId="1">#N/A</definedName>
    <definedName name="end_tabl" localSheetId="11">#N/A</definedName>
    <definedName name="end_tabl" localSheetId="9">#N/A</definedName>
    <definedName name="end_tabl" localSheetId="4">#N/A</definedName>
    <definedName name="end_tabl" localSheetId="2">#N/A</definedName>
    <definedName name="end_tabl">end_tabl</definedName>
    <definedName name="end_tabl_10" localSheetId="45">'ЗП с факт 3 кв. 2015'!end_tabl</definedName>
    <definedName name="end_tabl_10" localSheetId="12">'ПОЛНАЯ СЕБЕСТОИМОСТЬ ВОДА 2019'!end_tabl</definedName>
    <definedName name="end_tabl_10" localSheetId="10">'ПОЛНАЯ СЕБЕСТОИМОСТЬ СТОКИ 2019'!end_tabl</definedName>
    <definedName name="end_tabl_10" localSheetId="7">'Прил. 1 План ФХД вода табл. 2'!end_tabl</definedName>
    <definedName name="end_tabl_10" localSheetId="3">'Прил. 1 План ФХД с транспортир.'!end_tabl</definedName>
    <definedName name="end_tabl_10" localSheetId="6">'Прил. 1 План ФХД стоки табл 2'!end_tabl</definedName>
    <definedName name="end_tabl_10" localSheetId="5">'Прил. 1 План ФХД табл 1'!end_tabl</definedName>
    <definedName name="end_tabl_10" localSheetId="8">'Расчет товарной выручки'!end_tabl</definedName>
    <definedName name="end_tabl_10" localSheetId="1">'Текущий ремонт'!end_tabl</definedName>
    <definedName name="end_tabl_10" localSheetId="11">'ФАКТ. СЕБЕСТ ВОДА 9 мес. 2019'!end_tabl</definedName>
    <definedName name="end_tabl_10" localSheetId="9">'ФАКТ. СЕБЕСТ. СТОКИ 9 мес. 2019'!end_tabl</definedName>
    <definedName name="end_tabl_10" localSheetId="4">'Чистая прибыль'!end_tabl</definedName>
    <definedName name="end_tabl_10" localSheetId="2">'Чистая прибыль с транспортир.'!end_tabl</definedName>
    <definedName name="end_tabl_10">[0]!end_tabl</definedName>
    <definedName name="end_tabl_14" localSheetId="45">'ЗП с факт 3 кв. 2015'!end_tabl</definedName>
    <definedName name="end_tabl_14" localSheetId="12">'ПОЛНАЯ СЕБЕСТОИМОСТЬ ВОДА 2019'!end_tabl</definedName>
    <definedName name="end_tabl_14" localSheetId="10">'ПОЛНАЯ СЕБЕСТОИМОСТЬ СТОКИ 2019'!end_tabl</definedName>
    <definedName name="end_tabl_14" localSheetId="7">'Прил. 1 План ФХД вода табл. 2'!end_tabl</definedName>
    <definedName name="end_tabl_14" localSheetId="3">'Прил. 1 План ФХД с транспортир.'!end_tabl</definedName>
    <definedName name="end_tabl_14" localSheetId="6">'Прил. 1 План ФХД стоки табл 2'!end_tabl</definedName>
    <definedName name="end_tabl_14" localSheetId="5">'Прил. 1 План ФХД табл 1'!end_tabl</definedName>
    <definedName name="end_tabl_14" localSheetId="8">'Расчет товарной выручки'!end_tabl</definedName>
    <definedName name="end_tabl_14" localSheetId="1">'Текущий ремонт'!end_tabl</definedName>
    <definedName name="end_tabl_14" localSheetId="11">'ФАКТ. СЕБЕСТ ВОДА 9 мес. 2019'!end_tabl</definedName>
    <definedName name="end_tabl_14" localSheetId="9">'ФАКТ. СЕБЕСТ. СТОКИ 9 мес. 2019'!end_tabl</definedName>
    <definedName name="end_tabl_14" localSheetId="4">'Чистая прибыль'!end_tabl</definedName>
    <definedName name="end_tabl_14" localSheetId="2">'Чистая прибыль с транспортир.'!end_tabl</definedName>
    <definedName name="end_tabl_14">[0]!end_tabl</definedName>
    <definedName name="end_tabl_15" localSheetId="45">'ЗП с факт 3 кв. 2015'!end_tabl</definedName>
    <definedName name="end_tabl_15" localSheetId="12">'ПОЛНАЯ СЕБЕСТОИМОСТЬ ВОДА 2019'!end_tabl</definedName>
    <definedName name="end_tabl_15" localSheetId="10">'ПОЛНАЯ СЕБЕСТОИМОСТЬ СТОКИ 2019'!end_tabl</definedName>
    <definedName name="end_tabl_15" localSheetId="7">'Прил. 1 План ФХД вода табл. 2'!end_tabl</definedName>
    <definedName name="end_tabl_15" localSheetId="3">'Прил. 1 План ФХД с транспортир.'!end_tabl</definedName>
    <definedName name="end_tabl_15" localSheetId="6">'Прил. 1 План ФХД стоки табл 2'!end_tabl</definedName>
    <definedName name="end_tabl_15" localSheetId="5">'Прил. 1 План ФХД табл 1'!end_tabl</definedName>
    <definedName name="end_tabl_15" localSheetId="8">'Расчет товарной выручки'!end_tabl</definedName>
    <definedName name="end_tabl_15" localSheetId="1">'Текущий ремонт'!end_tabl</definedName>
    <definedName name="end_tabl_15" localSheetId="11">'ФАКТ. СЕБЕСТ ВОДА 9 мес. 2019'!end_tabl</definedName>
    <definedName name="end_tabl_15" localSheetId="9">'ФАКТ. СЕБЕСТ. СТОКИ 9 мес. 2019'!end_tabl</definedName>
    <definedName name="end_tabl_15" localSheetId="4">'Чистая прибыль'!end_tabl</definedName>
    <definedName name="end_tabl_15" localSheetId="2">'Чистая прибыль с транспортир.'!end_tabl</definedName>
    <definedName name="end_tabl_15">[0]!end_tabl</definedName>
    <definedName name="end_tabl_16" localSheetId="45">'ЗП с факт 3 кв. 2015'!end_tabl</definedName>
    <definedName name="end_tabl_16" localSheetId="12">'ПОЛНАЯ СЕБЕСТОИМОСТЬ ВОДА 2019'!end_tabl</definedName>
    <definedName name="end_tabl_16" localSheetId="10">'ПОЛНАЯ СЕБЕСТОИМОСТЬ СТОКИ 2019'!end_tabl</definedName>
    <definedName name="end_tabl_16" localSheetId="7">'Прил. 1 План ФХД вода табл. 2'!end_tabl</definedName>
    <definedName name="end_tabl_16" localSheetId="3">'Прил. 1 План ФХД с транспортир.'!end_tabl</definedName>
    <definedName name="end_tabl_16" localSheetId="6">'Прил. 1 План ФХД стоки табл 2'!end_tabl</definedName>
    <definedName name="end_tabl_16" localSheetId="5">'Прил. 1 План ФХД табл 1'!end_tabl</definedName>
    <definedName name="end_tabl_16" localSheetId="8">'Расчет товарной выручки'!end_tabl</definedName>
    <definedName name="end_tabl_16" localSheetId="1">'Текущий ремонт'!end_tabl</definedName>
    <definedName name="end_tabl_16" localSheetId="11">'ФАКТ. СЕБЕСТ ВОДА 9 мес. 2019'!end_tabl</definedName>
    <definedName name="end_tabl_16" localSheetId="9">'ФАКТ. СЕБЕСТ. СТОКИ 9 мес. 2019'!end_tabl</definedName>
    <definedName name="end_tabl_16" localSheetId="4">'Чистая прибыль'!end_tabl</definedName>
    <definedName name="end_tabl_16" localSheetId="2">'Чистая прибыль с транспортир.'!end_tabl</definedName>
    <definedName name="end_tabl_16">[0]!end_tabl</definedName>
    <definedName name="end_tabl_2" localSheetId="45">'ЗП с факт 3 кв. 2015'!end_tabl</definedName>
    <definedName name="end_tabl_2" localSheetId="12">'ПОЛНАЯ СЕБЕСТОИМОСТЬ ВОДА 2019'!end_tabl</definedName>
    <definedName name="end_tabl_2" localSheetId="10">'ПОЛНАЯ СЕБЕСТОИМОСТЬ СТОКИ 2019'!end_tabl</definedName>
    <definedName name="end_tabl_2" localSheetId="7">'Прил. 1 План ФХД вода табл. 2'!end_tabl</definedName>
    <definedName name="end_tabl_2" localSheetId="3">'Прил. 1 План ФХД с транспортир.'!end_tabl</definedName>
    <definedName name="end_tabl_2" localSheetId="6">'Прил. 1 План ФХД стоки табл 2'!end_tabl</definedName>
    <definedName name="end_tabl_2" localSheetId="5">'Прил. 1 План ФХД табл 1'!end_tabl</definedName>
    <definedName name="end_tabl_2" localSheetId="8">'Расчет товарной выручки'!end_tabl</definedName>
    <definedName name="end_tabl_2" localSheetId="1">'Текущий ремонт'!end_tabl</definedName>
    <definedName name="end_tabl_2" localSheetId="11">'ФАКТ. СЕБЕСТ ВОДА 9 мес. 2019'!end_tabl</definedName>
    <definedName name="end_tabl_2" localSheetId="9">'ФАКТ. СЕБЕСТ. СТОКИ 9 мес. 2019'!end_tabl</definedName>
    <definedName name="end_tabl_2" localSheetId="4">'Чистая прибыль'!end_tabl</definedName>
    <definedName name="end_tabl_2" localSheetId="2">'Чистая прибыль с транспортир.'!end_tabl</definedName>
    <definedName name="end_tabl_2">[0]!end_tabl</definedName>
    <definedName name="Excel_BuiltIn__FilterDatabase" localSheetId="45">#REF!</definedName>
    <definedName name="Excel_BuiltIn__FilterDatabase" localSheetId="31">#REF!</definedName>
    <definedName name="Excel_BuiltIn__FilterDatabase" localSheetId="3">#REF!</definedName>
    <definedName name="Excel_BuiltIn__FilterDatabase" localSheetId="5">#REF!</definedName>
    <definedName name="Excel_BuiltIn__FilterDatabase" localSheetId="30">#REF!</definedName>
    <definedName name="Excel_BuiltIn__FilterDatabase" localSheetId="29">#REF!</definedName>
    <definedName name="Excel_BuiltIn__FilterDatabase" localSheetId="2">#REF!</definedName>
    <definedName name="Excel_BuiltIn__FilterDatabase" localSheetId="35">#REF!</definedName>
    <definedName name="Excel_BuiltIn__FilterDatabase">#REF!</definedName>
    <definedName name="Excel_BuiltIn_Print_Area_15" localSheetId="45">'[4]распределение январь по бухг.'!#REF!</definedName>
    <definedName name="Excel_BuiltIn_Print_Area_15" localSheetId="31">'[4]распределение январь по бухг.'!#REF!</definedName>
    <definedName name="Excel_BuiltIn_Print_Area_15" localSheetId="12">'[4]распределение январь по бухг.'!#REF!</definedName>
    <definedName name="Excel_BuiltIn_Print_Area_15" localSheetId="10">'[4]распределение январь по бухг.'!#REF!</definedName>
    <definedName name="Excel_BuiltIn_Print_Area_15" localSheetId="7">'[4]распределение январь по бухг.'!#REF!</definedName>
    <definedName name="Excel_BuiltIn_Print_Area_15" localSheetId="3">'[4]распределение январь по бухг.'!#REF!</definedName>
    <definedName name="Excel_BuiltIn_Print_Area_15" localSheetId="6">'[4]распределение январь по бухг.'!#REF!</definedName>
    <definedName name="Excel_BuiltIn_Print_Area_15" localSheetId="5">'[4]распределение январь по бухг.'!#REF!</definedName>
    <definedName name="Excel_BuiltIn_Print_Area_15" localSheetId="8">'[4]распределение январь по бухг.'!#REF!</definedName>
    <definedName name="Excel_BuiltIn_Print_Area_15" localSheetId="30">'[4]распределение январь по бухг.'!#REF!</definedName>
    <definedName name="Excel_BuiltIn_Print_Area_15" localSheetId="1">'[4]распределение январь по бухг.'!#REF!</definedName>
    <definedName name="Excel_BuiltIn_Print_Area_15" localSheetId="29">'[4]распределение январь по бухг.'!#REF!</definedName>
    <definedName name="Excel_BuiltIn_Print_Area_15" localSheetId="11">'[4]распределение январь по бухг.'!#REF!</definedName>
    <definedName name="Excel_BuiltIn_Print_Area_15" localSheetId="9">'[4]распределение январь по бухг.'!#REF!</definedName>
    <definedName name="Excel_BuiltIn_Print_Area_15" localSheetId="4">'[4]распределение январь по бухг.'!#REF!</definedName>
    <definedName name="Excel_BuiltIn_Print_Area_15" localSheetId="2">'[4]распределение январь по бухг.'!#REF!</definedName>
    <definedName name="Excel_BuiltIn_Print_Area_15" localSheetId="35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45">[4]расшифровка!#REF!</definedName>
    <definedName name="Excel_BuiltIn_Print_Area_21" localSheetId="31">[4]расшифровка!#REF!</definedName>
    <definedName name="Excel_BuiltIn_Print_Area_21" localSheetId="12">[4]расшифровка!#REF!</definedName>
    <definedName name="Excel_BuiltIn_Print_Area_21" localSheetId="10">[4]расшифровка!#REF!</definedName>
    <definedName name="Excel_BuiltIn_Print_Area_21" localSheetId="7">[4]расшифровка!#REF!</definedName>
    <definedName name="Excel_BuiltIn_Print_Area_21" localSheetId="3">[4]расшифровка!#REF!</definedName>
    <definedName name="Excel_BuiltIn_Print_Area_21" localSheetId="6">[4]расшифровка!#REF!</definedName>
    <definedName name="Excel_BuiltIn_Print_Area_21" localSheetId="5">[4]расшифровка!#REF!</definedName>
    <definedName name="Excel_BuiltIn_Print_Area_21" localSheetId="8">[4]расшифровка!#REF!</definedName>
    <definedName name="Excel_BuiltIn_Print_Area_21" localSheetId="30">[4]расшифровка!#REF!</definedName>
    <definedName name="Excel_BuiltIn_Print_Area_21" localSheetId="1">[4]расшифровка!#REF!</definedName>
    <definedName name="Excel_BuiltIn_Print_Area_21" localSheetId="29">[4]расшифровка!#REF!</definedName>
    <definedName name="Excel_BuiltIn_Print_Area_21" localSheetId="11">[4]расшифровка!#REF!</definedName>
    <definedName name="Excel_BuiltIn_Print_Area_21" localSheetId="9">[4]расшифровка!#REF!</definedName>
    <definedName name="Excel_BuiltIn_Print_Area_21" localSheetId="4">[4]расшифровка!#REF!</definedName>
    <definedName name="Excel_BuiltIn_Print_Area_21" localSheetId="2">[4]расшифровка!#REF!</definedName>
    <definedName name="Excel_BuiltIn_Print_Area_21" localSheetId="35">[4]расшифровка!#REF!</definedName>
    <definedName name="Excel_BuiltIn_Print_Area_21">[4]расшифровка!#REF!</definedName>
    <definedName name="Excel_BuiltIn_Print_Area_22" localSheetId="45">'[4]ЗП и резервы'!#REF!</definedName>
    <definedName name="Excel_BuiltIn_Print_Area_22" localSheetId="31">'[4]ЗП и резервы'!#REF!</definedName>
    <definedName name="Excel_BuiltIn_Print_Area_22" localSheetId="12">'[4]ЗП и резервы'!#REF!</definedName>
    <definedName name="Excel_BuiltIn_Print_Area_22" localSheetId="10">'[4]ЗП и резервы'!#REF!</definedName>
    <definedName name="Excel_BuiltIn_Print_Area_22" localSheetId="7">'[4]ЗП и резервы'!#REF!</definedName>
    <definedName name="Excel_BuiltIn_Print_Area_22" localSheetId="3">'[4]ЗП и резервы'!#REF!</definedName>
    <definedName name="Excel_BuiltIn_Print_Area_22" localSheetId="6">'[4]ЗП и резервы'!#REF!</definedName>
    <definedName name="Excel_BuiltIn_Print_Area_22" localSheetId="5">'[4]ЗП и резервы'!#REF!</definedName>
    <definedName name="Excel_BuiltIn_Print_Area_22" localSheetId="8">'[4]ЗП и резервы'!#REF!</definedName>
    <definedName name="Excel_BuiltIn_Print_Area_22" localSheetId="30">'[4]ЗП и резервы'!#REF!</definedName>
    <definedName name="Excel_BuiltIn_Print_Area_22" localSheetId="1">'[4]ЗП и резервы'!#REF!</definedName>
    <definedName name="Excel_BuiltIn_Print_Area_22" localSheetId="29">'[4]ЗП и резервы'!#REF!</definedName>
    <definedName name="Excel_BuiltIn_Print_Area_22" localSheetId="11">'[4]ЗП и резервы'!#REF!</definedName>
    <definedName name="Excel_BuiltIn_Print_Area_22" localSheetId="9">'[4]ЗП и резервы'!#REF!</definedName>
    <definedName name="Excel_BuiltIn_Print_Area_22" localSheetId="4">'[4]ЗП и резервы'!#REF!</definedName>
    <definedName name="Excel_BuiltIn_Print_Area_22" localSheetId="2">'[4]ЗП и резервы'!#REF!</definedName>
    <definedName name="Excel_BuiltIn_Print_Area_22" localSheetId="35">'[4]ЗП и резервы'!#REF!</definedName>
    <definedName name="Excel_BuiltIn_Print_Area_22">'[4]ЗП и резервы'!#REF!</definedName>
    <definedName name="Excel_BuiltIn_Print_Area_4" localSheetId="45">[5]Прибыль1!#REF!</definedName>
    <definedName name="Excel_BuiltIn_Print_Area_4" localSheetId="31">[5]Прибыль1!#REF!</definedName>
    <definedName name="Excel_BuiltIn_Print_Area_4" localSheetId="12">[5]Прибыль1!#REF!</definedName>
    <definedName name="Excel_BuiltIn_Print_Area_4" localSheetId="10">[5]Прибыль1!#REF!</definedName>
    <definedName name="Excel_BuiltIn_Print_Area_4" localSheetId="7">[5]Прибыль1!#REF!</definedName>
    <definedName name="Excel_BuiltIn_Print_Area_4" localSheetId="3">[5]Прибыль1!#REF!</definedName>
    <definedName name="Excel_BuiltIn_Print_Area_4" localSheetId="6">[5]Прибыль1!#REF!</definedName>
    <definedName name="Excel_BuiltIn_Print_Area_4" localSheetId="5">[5]Прибыль1!#REF!</definedName>
    <definedName name="Excel_BuiltIn_Print_Area_4" localSheetId="8">[5]Прибыль1!#REF!</definedName>
    <definedName name="Excel_BuiltIn_Print_Area_4" localSheetId="30">[5]Прибыль1!#REF!</definedName>
    <definedName name="Excel_BuiltIn_Print_Area_4" localSheetId="1">[5]Прибыль1!#REF!</definedName>
    <definedName name="Excel_BuiltIn_Print_Area_4" localSheetId="29">[5]Прибыль1!#REF!</definedName>
    <definedName name="Excel_BuiltIn_Print_Area_4" localSheetId="11">[5]Прибыль1!#REF!</definedName>
    <definedName name="Excel_BuiltIn_Print_Area_4" localSheetId="9">[5]Прибыль1!#REF!</definedName>
    <definedName name="Excel_BuiltIn_Print_Area_4" localSheetId="4">[5]Прибыль1!#REF!</definedName>
    <definedName name="Excel_BuiltIn_Print_Area_4" localSheetId="2">[5]Прибыль1!#REF!</definedName>
    <definedName name="Excel_BuiltIn_Print_Area_4" localSheetId="35">[5]Прибыль1!#REF!</definedName>
    <definedName name="Excel_BuiltIn_Print_Area_4">[5]Прибыль1!#REF!</definedName>
    <definedName name="Excel_BuiltIn_Print_Area_5" localSheetId="45">#REF!</definedName>
    <definedName name="Excel_BuiltIn_Print_Area_5" localSheetId="31">#REF!</definedName>
    <definedName name="Excel_BuiltIn_Print_Area_5" localSheetId="3">#REF!</definedName>
    <definedName name="Excel_BuiltIn_Print_Area_5" localSheetId="5">#REF!</definedName>
    <definedName name="Excel_BuiltIn_Print_Area_5" localSheetId="30">#REF!</definedName>
    <definedName name="Excel_BuiltIn_Print_Area_5" localSheetId="29">#REF!</definedName>
    <definedName name="Excel_BuiltIn_Print_Area_5" localSheetId="2">#REF!</definedName>
    <definedName name="Excel_BuiltIn_Print_Area_5" localSheetId="35">#REF!</definedName>
    <definedName name="Excel_BuiltIn_Print_Area_5">#REF!</definedName>
    <definedName name="Excel_BuiltIn_Print_Area_59" localSheetId="45">#REF!</definedName>
    <definedName name="Excel_BuiltIn_Print_Area_59" localSheetId="31">#REF!</definedName>
    <definedName name="Excel_BuiltIn_Print_Area_59" localSheetId="3">#REF!</definedName>
    <definedName name="Excel_BuiltIn_Print_Area_59" localSheetId="5">#REF!</definedName>
    <definedName name="Excel_BuiltIn_Print_Area_59" localSheetId="30">#REF!</definedName>
    <definedName name="Excel_BuiltIn_Print_Area_59" localSheetId="29">#REF!</definedName>
    <definedName name="Excel_BuiltIn_Print_Area_59" localSheetId="2">#REF!</definedName>
    <definedName name="Excel_BuiltIn_Print_Area_59" localSheetId="35">#REF!</definedName>
    <definedName name="Excel_BuiltIn_Print_Area_59">#REF!</definedName>
    <definedName name="Excel_BuiltIn_Print_Area_59_1" localSheetId="45">#REF!</definedName>
    <definedName name="Excel_BuiltIn_Print_Area_59_1" localSheetId="31">#REF!</definedName>
    <definedName name="Excel_BuiltIn_Print_Area_59_1" localSheetId="3">#REF!</definedName>
    <definedName name="Excel_BuiltIn_Print_Area_59_1" localSheetId="5">#REF!</definedName>
    <definedName name="Excel_BuiltIn_Print_Area_59_1" localSheetId="30">#REF!</definedName>
    <definedName name="Excel_BuiltIn_Print_Area_59_1" localSheetId="29">#REF!</definedName>
    <definedName name="Excel_BuiltIn_Print_Area_59_1" localSheetId="2">#REF!</definedName>
    <definedName name="Excel_BuiltIn_Print_Area_59_1" localSheetId="35">#REF!</definedName>
    <definedName name="Excel_BuiltIn_Print_Area_59_1">#REF!</definedName>
    <definedName name="Excel_BuiltIn_Print_Area_59_10" localSheetId="31">#REF!</definedName>
    <definedName name="Excel_BuiltIn_Print_Area_59_10" localSheetId="3">#REF!</definedName>
    <definedName name="Excel_BuiltIn_Print_Area_59_10" localSheetId="5">#REF!</definedName>
    <definedName name="Excel_BuiltIn_Print_Area_59_10" localSheetId="30">#REF!</definedName>
    <definedName name="Excel_BuiltIn_Print_Area_59_10" localSheetId="29">#REF!</definedName>
    <definedName name="Excel_BuiltIn_Print_Area_59_10" localSheetId="2">#REF!</definedName>
    <definedName name="Excel_BuiltIn_Print_Area_59_10" localSheetId="35">#REF!</definedName>
    <definedName name="Excel_BuiltIn_Print_Area_59_10">#REF!</definedName>
    <definedName name="Excel_BuiltIn_Print_Area_59_11" localSheetId="31">#REF!</definedName>
    <definedName name="Excel_BuiltIn_Print_Area_59_11" localSheetId="3">#REF!</definedName>
    <definedName name="Excel_BuiltIn_Print_Area_59_11" localSheetId="5">#REF!</definedName>
    <definedName name="Excel_BuiltIn_Print_Area_59_11" localSheetId="30">#REF!</definedName>
    <definedName name="Excel_BuiltIn_Print_Area_59_11" localSheetId="29">#REF!</definedName>
    <definedName name="Excel_BuiltIn_Print_Area_59_11" localSheetId="2">#REF!</definedName>
    <definedName name="Excel_BuiltIn_Print_Area_59_11" localSheetId="35">#REF!</definedName>
    <definedName name="Excel_BuiltIn_Print_Area_59_11">#REF!</definedName>
    <definedName name="Excel_BuiltIn_Print_Area_59_13" localSheetId="31">#REF!</definedName>
    <definedName name="Excel_BuiltIn_Print_Area_59_13" localSheetId="3">#REF!</definedName>
    <definedName name="Excel_BuiltIn_Print_Area_59_13" localSheetId="5">#REF!</definedName>
    <definedName name="Excel_BuiltIn_Print_Area_59_13" localSheetId="30">#REF!</definedName>
    <definedName name="Excel_BuiltIn_Print_Area_59_13" localSheetId="29">#REF!</definedName>
    <definedName name="Excel_BuiltIn_Print_Area_59_13" localSheetId="2">#REF!</definedName>
    <definedName name="Excel_BuiltIn_Print_Area_59_13" localSheetId="35">#REF!</definedName>
    <definedName name="Excel_BuiltIn_Print_Area_59_13">#REF!</definedName>
    <definedName name="Excel_BuiltIn_Print_Area_59_14" localSheetId="31">#REF!</definedName>
    <definedName name="Excel_BuiltIn_Print_Area_59_14" localSheetId="3">#REF!</definedName>
    <definedName name="Excel_BuiltIn_Print_Area_59_14" localSheetId="5">#REF!</definedName>
    <definedName name="Excel_BuiltIn_Print_Area_59_14" localSheetId="30">#REF!</definedName>
    <definedName name="Excel_BuiltIn_Print_Area_59_14" localSheetId="29">#REF!</definedName>
    <definedName name="Excel_BuiltIn_Print_Area_59_14" localSheetId="2">#REF!</definedName>
    <definedName name="Excel_BuiltIn_Print_Area_59_14" localSheetId="35">#REF!</definedName>
    <definedName name="Excel_BuiltIn_Print_Area_59_14">#REF!</definedName>
    <definedName name="Excel_BuiltIn_Print_Area_59_15" localSheetId="31">#REF!</definedName>
    <definedName name="Excel_BuiltIn_Print_Area_59_15" localSheetId="3">#REF!</definedName>
    <definedName name="Excel_BuiltIn_Print_Area_59_15" localSheetId="5">#REF!</definedName>
    <definedName name="Excel_BuiltIn_Print_Area_59_15" localSheetId="30">#REF!</definedName>
    <definedName name="Excel_BuiltIn_Print_Area_59_15" localSheetId="29">#REF!</definedName>
    <definedName name="Excel_BuiltIn_Print_Area_59_15" localSheetId="2">#REF!</definedName>
    <definedName name="Excel_BuiltIn_Print_Area_59_15" localSheetId="35">#REF!</definedName>
    <definedName name="Excel_BuiltIn_Print_Area_59_15">#REF!</definedName>
    <definedName name="Excel_BuiltIn_Print_Area_59_16" localSheetId="31">#REF!</definedName>
    <definedName name="Excel_BuiltIn_Print_Area_59_16" localSheetId="3">#REF!</definedName>
    <definedName name="Excel_BuiltIn_Print_Area_59_16" localSheetId="5">#REF!</definedName>
    <definedName name="Excel_BuiltIn_Print_Area_59_16" localSheetId="30">#REF!</definedName>
    <definedName name="Excel_BuiltIn_Print_Area_59_16" localSheetId="29">#REF!</definedName>
    <definedName name="Excel_BuiltIn_Print_Area_59_16" localSheetId="2">#REF!</definedName>
    <definedName name="Excel_BuiltIn_Print_Area_59_16" localSheetId="35">#REF!</definedName>
    <definedName name="Excel_BuiltIn_Print_Area_59_16">#REF!</definedName>
    <definedName name="Excel_BuiltIn_Print_Area_59_2" localSheetId="31">#REF!</definedName>
    <definedName name="Excel_BuiltIn_Print_Area_59_2" localSheetId="3">#REF!</definedName>
    <definedName name="Excel_BuiltIn_Print_Area_59_2" localSheetId="5">#REF!</definedName>
    <definedName name="Excel_BuiltIn_Print_Area_59_2" localSheetId="30">#REF!</definedName>
    <definedName name="Excel_BuiltIn_Print_Area_59_2" localSheetId="29">#REF!</definedName>
    <definedName name="Excel_BuiltIn_Print_Area_59_2" localSheetId="2">#REF!</definedName>
    <definedName name="Excel_BuiltIn_Print_Area_59_2" localSheetId="35">#REF!</definedName>
    <definedName name="Excel_BuiltIn_Print_Area_59_2">#REF!</definedName>
    <definedName name="Excel_BuiltIn_Print_Area_59_22" localSheetId="31">#REF!</definedName>
    <definedName name="Excel_BuiltIn_Print_Area_59_22" localSheetId="3">#REF!</definedName>
    <definedName name="Excel_BuiltIn_Print_Area_59_22" localSheetId="5">#REF!</definedName>
    <definedName name="Excel_BuiltIn_Print_Area_59_22" localSheetId="30">#REF!</definedName>
    <definedName name="Excel_BuiltIn_Print_Area_59_22" localSheetId="29">#REF!</definedName>
    <definedName name="Excel_BuiltIn_Print_Area_59_22" localSheetId="2">#REF!</definedName>
    <definedName name="Excel_BuiltIn_Print_Area_59_22" localSheetId="35">#REF!</definedName>
    <definedName name="Excel_BuiltIn_Print_Area_59_22">#REF!</definedName>
    <definedName name="Excel_BuiltIn_Print_Area_59_25" localSheetId="31">#REF!</definedName>
    <definedName name="Excel_BuiltIn_Print_Area_59_25" localSheetId="3">#REF!</definedName>
    <definedName name="Excel_BuiltIn_Print_Area_59_25" localSheetId="5">#REF!</definedName>
    <definedName name="Excel_BuiltIn_Print_Area_59_25" localSheetId="30">#REF!</definedName>
    <definedName name="Excel_BuiltIn_Print_Area_59_25" localSheetId="29">#REF!</definedName>
    <definedName name="Excel_BuiltIn_Print_Area_59_25" localSheetId="2">#REF!</definedName>
    <definedName name="Excel_BuiltIn_Print_Area_59_25" localSheetId="35">#REF!</definedName>
    <definedName name="Excel_BuiltIn_Print_Area_59_25">#REF!</definedName>
    <definedName name="Excel_BuiltIn_Print_Area_59_3" localSheetId="31">#REF!</definedName>
    <definedName name="Excel_BuiltIn_Print_Area_59_3" localSheetId="3">#REF!</definedName>
    <definedName name="Excel_BuiltIn_Print_Area_59_3" localSheetId="5">#REF!</definedName>
    <definedName name="Excel_BuiltIn_Print_Area_59_3" localSheetId="30">#REF!</definedName>
    <definedName name="Excel_BuiltIn_Print_Area_59_3" localSheetId="29">#REF!</definedName>
    <definedName name="Excel_BuiltIn_Print_Area_59_3" localSheetId="2">#REF!</definedName>
    <definedName name="Excel_BuiltIn_Print_Area_59_3" localSheetId="35">#REF!</definedName>
    <definedName name="Excel_BuiltIn_Print_Area_59_3">#REF!</definedName>
    <definedName name="Excel_BuiltIn_Print_Area_59_4" localSheetId="31">#REF!</definedName>
    <definedName name="Excel_BuiltIn_Print_Area_59_4" localSheetId="3">#REF!</definedName>
    <definedName name="Excel_BuiltIn_Print_Area_59_4" localSheetId="5">#REF!</definedName>
    <definedName name="Excel_BuiltIn_Print_Area_59_4" localSheetId="30">#REF!</definedName>
    <definedName name="Excel_BuiltIn_Print_Area_59_4" localSheetId="29">#REF!</definedName>
    <definedName name="Excel_BuiltIn_Print_Area_59_4" localSheetId="2">#REF!</definedName>
    <definedName name="Excel_BuiltIn_Print_Area_59_4" localSheetId="35">#REF!</definedName>
    <definedName name="Excel_BuiltIn_Print_Area_59_4">#REF!</definedName>
    <definedName name="Excel_BuiltIn_Print_Area_59_56" localSheetId="31">#REF!</definedName>
    <definedName name="Excel_BuiltIn_Print_Area_59_56" localSheetId="3">#REF!</definedName>
    <definedName name="Excel_BuiltIn_Print_Area_59_56" localSheetId="5">#REF!</definedName>
    <definedName name="Excel_BuiltIn_Print_Area_59_56" localSheetId="30">#REF!</definedName>
    <definedName name="Excel_BuiltIn_Print_Area_59_56" localSheetId="29">#REF!</definedName>
    <definedName name="Excel_BuiltIn_Print_Area_59_56" localSheetId="2">#REF!</definedName>
    <definedName name="Excel_BuiltIn_Print_Area_59_56" localSheetId="35">#REF!</definedName>
    <definedName name="Excel_BuiltIn_Print_Area_59_56">#REF!</definedName>
    <definedName name="Excel_BuiltIn_Print_Area_59_6" localSheetId="31">#REF!</definedName>
    <definedName name="Excel_BuiltIn_Print_Area_59_6" localSheetId="3">#REF!</definedName>
    <definedName name="Excel_BuiltIn_Print_Area_59_6" localSheetId="5">#REF!</definedName>
    <definedName name="Excel_BuiltIn_Print_Area_59_6" localSheetId="30">#REF!</definedName>
    <definedName name="Excel_BuiltIn_Print_Area_59_6" localSheetId="29">#REF!</definedName>
    <definedName name="Excel_BuiltIn_Print_Area_59_6" localSheetId="2">#REF!</definedName>
    <definedName name="Excel_BuiltIn_Print_Area_59_6" localSheetId="35">#REF!</definedName>
    <definedName name="Excel_BuiltIn_Print_Area_59_6">#REF!</definedName>
    <definedName name="Excel_BuiltIn_Print_Area_59_66" localSheetId="31">#REF!</definedName>
    <definedName name="Excel_BuiltIn_Print_Area_59_66" localSheetId="3">#REF!</definedName>
    <definedName name="Excel_BuiltIn_Print_Area_59_66" localSheetId="5">#REF!</definedName>
    <definedName name="Excel_BuiltIn_Print_Area_59_66" localSheetId="30">#REF!</definedName>
    <definedName name="Excel_BuiltIn_Print_Area_59_66" localSheetId="29">#REF!</definedName>
    <definedName name="Excel_BuiltIn_Print_Area_59_66" localSheetId="2">#REF!</definedName>
    <definedName name="Excel_BuiltIn_Print_Area_59_66" localSheetId="35">#REF!</definedName>
    <definedName name="Excel_BuiltIn_Print_Area_59_66">#REF!</definedName>
    <definedName name="Excel_BuiltIn_Print_Area_59_67" localSheetId="31">#REF!</definedName>
    <definedName name="Excel_BuiltIn_Print_Area_59_67" localSheetId="3">#REF!</definedName>
    <definedName name="Excel_BuiltIn_Print_Area_59_67" localSheetId="5">#REF!</definedName>
    <definedName name="Excel_BuiltIn_Print_Area_59_67" localSheetId="30">#REF!</definedName>
    <definedName name="Excel_BuiltIn_Print_Area_59_67" localSheetId="29">#REF!</definedName>
    <definedName name="Excel_BuiltIn_Print_Area_59_67" localSheetId="2">#REF!</definedName>
    <definedName name="Excel_BuiltIn_Print_Area_59_67" localSheetId="35">#REF!</definedName>
    <definedName name="Excel_BuiltIn_Print_Area_59_67">#REF!</definedName>
    <definedName name="Excel_BuiltIn_Print_Area_59_67_1" localSheetId="31">#REF!</definedName>
    <definedName name="Excel_BuiltIn_Print_Area_59_67_1" localSheetId="3">#REF!</definedName>
    <definedName name="Excel_BuiltIn_Print_Area_59_67_1" localSheetId="5">#REF!</definedName>
    <definedName name="Excel_BuiltIn_Print_Area_59_67_1" localSheetId="30">#REF!</definedName>
    <definedName name="Excel_BuiltIn_Print_Area_59_67_1" localSheetId="29">#REF!</definedName>
    <definedName name="Excel_BuiltIn_Print_Area_59_67_1" localSheetId="2">#REF!</definedName>
    <definedName name="Excel_BuiltIn_Print_Area_59_67_1" localSheetId="35">#REF!</definedName>
    <definedName name="Excel_BuiltIn_Print_Area_59_67_1">#REF!</definedName>
    <definedName name="Excel_BuiltIn_Print_Area_59_67_10" localSheetId="31">#REF!</definedName>
    <definedName name="Excel_BuiltIn_Print_Area_59_67_10" localSheetId="3">#REF!</definedName>
    <definedName name="Excel_BuiltIn_Print_Area_59_67_10" localSheetId="5">#REF!</definedName>
    <definedName name="Excel_BuiltIn_Print_Area_59_67_10" localSheetId="30">#REF!</definedName>
    <definedName name="Excel_BuiltIn_Print_Area_59_67_10" localSheetId="29">#REF!</definedName>
    <definedName name="Excel_BuiltIn_Print_Area_59_67_10" localSheetId="2">#REF!</definedName>
    <definedName name="Excel_BuiltIn_Print_Area_59_67_10" localSheetId="35">#REF!</definedName>
    <definedName name="Excel_BuiltIn_Print_Area_59_67_10">#REF!</definedName>
    <definedName name="Excel_BuiltIn_Print_Area_59_67_11" localSheetId="31">#REF!</definedName>
    <definedName name="Excel_BuiltIn_Print_Area_59_67_11" localSheetId="3">#REF!</definedName>
    <definedName name="Excel_BuiltIn_Print_Area_59_67_11" localSheetId="5">#REF!</definedName>
    <definedName name="Excel_BuiltIn_Print_Area_59_67_11" localSheetId="30">#REF!</definedName>
    <definedName name="Excel_BuiltIn_Print_Area_59_67_11" localSheetId="29">#REF!</definedName>
    <definedName name="Excel_BuiltIn_Print_Area_59_67_11" localSheetId="2">#REF!</definedName>
    <definedName name="Excel_BuiltIn_Print_Area_59_67_11" localSheetId="35">#REF!</definedName>
    <definedName name="Excel_BuiltIn_Print_Area_59_67_11">#REF!</definedName>
    <definedName name="Excel_BuiltIn_Print_Area_59_67_13" localSheetId="31">#REF!</definedName>
    <definedName name="Excel_BuiltIn_Print_Area_59_67_13" localSheetId="3">#REF!</definedName>
    <definedName name="Excel_BuiltIn_Print_Area_59_67_13" localSheetId="5">#REF!</definedName>
    <definedName name="Excel_BuiltIn_Print_Area_59_67_13" localSheetId="30">#REF!</definedName>
    <definedName name="Excel_BuiltIn_Print_Area_59_67_13" localSheetId="29">#REF!</definedName>
    <definedName name="Excel_BuiltIn_Print_Area_59_67_13" localSheetId="2">#REF!</definedName>
    <definedName name="Excel_BuiltIn_Print_Area_59_67_13" localSheetId="35">#REF!</definedName>
    <definedName name="Excel_BuiltIn_Print_Area_59_67_13">#REF!</definedName>
    <definedName name="Excel_BuiltIn_Print_Area_59_67_14" localSheetId="31">#REF!</definedName>
    <definedName name="Excel_BuiltIn_Print_Area_59_67_14" localSheetId="3">#REF!</definedName>
    <definedName name="Excel_BuiltIn_Print_Area_59_67_14" localSheetId="5">#REF!</definedName>
    <definedName name="Excel_BuiltIn_Print_Area_59_67_14" localSheetId="30">#REF!</definedName>
    <definedName name="Excel_BuiltIn_Print_Area_59_67_14" localSheetId="29">#REF!</definedName>
    <definedName name="Excel_BuiltIn_Print_Area_59_67_14" localSheetId="2">#REF!</definedName>
    <definedName name="Excel_BuiltIn_Print_Area_59_67_14" localSheetId="35">#REF!</definedName>
    <definedName name="Excel_BuiltIn_Print_Area_59_67_14">#REF!</definedName>
    <definedName name="Excel_BuiltIn_Print_Area_59_67_15" localSheetId="31">#REF!</definedName>
    <definedName name="Excel_BuiltIn_Print_Area_59_67_15" localSheetId="3">#REF!</definedName>
    <definedName name="Excel_BuiltIn_Print_Area_59_67_15" localSheetId="5">#REF!</definedName>
    <definedName name="Excel_BuiltIn_Print_Area_59_67_15" localSheetId="30">#REF!</definedName>
    <definedName name="Excel_BuiltIn_Print_Area_59_67_15" localSheetId="29">#REF!</definedName>
    <definedName name="Excel_BuiltIn_Print_Area_59_67_15" localSheetId="2">#REF!</definedName>
    <definedName name="Excel_BuiltIn_Print_Area_59_67_15" localSheetId="35">#REF!</definedName>
    <definedName name="Excel_BuiltIn_Print_Area_59_67_15">#REF!</definedName>
    <definedName name="Excel_BuiltIn_Print_Area_59_67_16" localSheetId="31">#REF!</definedName>
    <definedName name="Excel_BuiltIn_Print_Area_59_67_16" localSheetId="3">#REF!</definedName>
    <definedName name="Excel_BuiltIn_Print_Area_59_67_16" localSheetId="5">#REF!</definedName>
    <definedName name="Excel_BuiltIn_Print_Area_59_67_16" localSheetId="30">#REF!</definedName>
    <definedName name="Excel_BuiltIn_Print_Area_59_67_16" localSheetId="29">#REF!</definedName>
    <definedName name="Excel_BuiltIn_Print_Area_59_67_16" localSheetId="2">#REF!</definedName>
    <definedName name="Excel_BuiltIn_Print_Area_59_67_16" localSheetId="35">#REF!</definedName>
    <definedName name="Excel_BuiltIn_Print_Area_59_67_16">#REF!</definedName>
    <definedName name="Excel_BuiltIn_Print_Area_59_67_2" localSheetId="31">#REF!</definedName>
    <definedName name="Excel_BuiltIn_Print_Area_59_67_2" localSheetId="3">#REF!</definedName>
    <definedName name="Excel_BuiltIn_Print_Area_59_67_2" localSheetId="5">#REF!</definedName>
    <definedName name="Excel_BuiltIn_Print_Area_59_67_2" localSheetId="30">#REF!</definedName>
    <definedName name="Excel_BuiltIn_Print_Area_59_67_2" localSheetId="29">#REF!</definedName>
    <definedName name="Excel_BuiltIn_Print_Area_59_67_2" localSheetId="2">#REF!</definedName>
    <definedName name="Excel_BuiltIn_Print_Area_59_67_2" localSheetId="35">#REF!</definedName>
    <definedName name="Excel_BuiltIn_Print_Area_59_67_2">#REF!</definedName>
    <definedName name="Excel_BuiltIn_Print_Area_59_67_22" localSheetId="31">#REF!</definedName>
    <definedName name="Excel_BuiltIn_Print_Area_59_67_22" localSheetId="3">#REF!</definedName>
    <definedName name="Excel_BuiltIn_Print_Area_59_67_22" localSheetId="5">#REF!</definedName>
    <definedName name="Excel_BuiltIn_Print_Area_59_67_22" localSheetId="30">#REF!</definedName>
    <definedName name="Excel_BuiltIn_Print_Area_59_67_22" localSheetId="29">#REF!</definedName>
    <definedName name="Excel_BuiltIn_Print_Area_59_67_22" localSheetId="2">#REF!</definedName>
    <definedName name="Excel_BuiltIn_Print_Area_59_67_22" localSheetId="35">#REF!</definedName>
    <definedName name="Excel_BuiltIn_Print_Area_59_67_22">#REF!</definedName>
    <definedName name="Excel_BuiltIn_Print_Area_59_67_25" localSheetId="31">#REF!</definedName>
    <definedName name="Excel_BuiltIn_Print_Area_59_67_25" localSheetId="3">#REF!</definedName>
    <definedName name="Excel_BuiltIn_Print_Area_59_67_25" localSheetId="5">#REF!</definedName>
    <definedName name="Excel_BuiltIn_Print_Area_59_67_25" localSheetId="30">#REF!</definedName>
    <definedName name="Excel_BuiltIn_Print_Area_59_67_25" localSheetId="29">#REF!</definedName>
    <definedName name="Excel_BuiltIn_Print_Area_59_67_25" localSheetId="2">#REF!</definedName>
    <definedName name="Excel_BuiltIn_Print_Area_59_67_25" localSheetId="35">#REF!</definedName>
    <definedName name="Excel_BuiltIn_Print_Area_59_67_25">#REF!</definedName>
    <definedName name="Excel_BuiltIn_Print_Area_59_67_3" localSheetId="31">#REF!</definedName>
    <definedName name="Excel_BuiltIn_Print_Area_59_67_3" localSheetId="3">#REF!</definedName>
    <definedName name="Excel_BuiltIn_Print_Area_59_67_3" localSheetId="5">#REF!</definedName>
    <definedName name="Excel_BuiltIn_Print_Area_59_67_3" localSheetId="30">#REF!</definedName>
    <definedName name="Excel_BuiltIn_Print_Area_59_67_3" localSheetId="29">#REF!</definedName>
    <definedName name="Excel_BuiltIn_Print_Area_59_67_3" localSheetId="2">#REF!</definedName>
    <definedName name="Excel_BuiltIn_Print_Area_59_67_3" localSheetId="35">#REF!</definedName>
    <definedName name="Excel_BuiltIn_Print_Area_59_67_3">#REF!</definedName>
    <definedName name="Excel_BuiltIn_Print_Area_59_67_4" localSheetId="31">#REF!</definedName>
    <definedName name="Excel_BuiltIn_Print_Area_59_67_4" localSheetId="3">#REF!</definedName>
    <definedName name="Excel_BuiltIn_Print_Area_59_67_4" localSheetId="5">#REF!</definedName>
    <definedName name="Excel_BuiltIn_Print_Area_59_67_4" localSheetId="30">#REF!</definedName>
    <definedName name="Excel_BuiltIn_Print_Area_59_67_4" localSheetId="29">#REF!</definedName>
    <definedName name="Excel_BuiltIn_Print_Area_59_67_4" localSheetId="2">#REF!</definedName>
    <definedName name="Excel_BuiltIn_Print_Area_59_67_4" localSheetId="35">#REF!</definedName>
    <definedName name="Excel_BuiltIn_Print_Area_59_67_4">#REF!</definedName>
    <definedName name="Excel_BuiltIn_Print_Area_59_67_56" localSheetId="31">#REF!</definedName>
    <definedName name="Excel_BuiltIn_Print_Area_59_67_56" localSheetId="3">#REF!</definedName>
    <definedName name="Excel_BuiltIn_Print_Area_59_67_56" localSheetId="5">#REF!</definedName>
    <definedName name="Excel_BuiltIn_Print_Area_59_67_56" localSheetId="30">#REF!</definedName>
    <definedName name="Excel_BuiltIn_Print_Area_59_67_56" localSheetId="29">#REF!</definedName>
    <definedName name="Excel_BuiltIn_Print_Area_59_67_56" localSheetId="2">#REF!</definedName>
    <definedName name="Excel_BuiltIn_Print_Area_59_67_56" localSheetId="35">#REF!</definedName>
    <definedName name="Excel_BuiltIn_Print_Area_59_67_56">#REF!</definedName>
    <definedName name="Excel_BuiltIn_Print_Area_59_67_6" localSheetId="31">#REF!</definedName>
    <definedName name="Excel_BuiltIn_Print_Area_59_67_6" localSheetId="3">#REF!</definedName>
    <definedName name="Excel_BuiltIn_Print_Area_59_67_6" localSheetId="5">#REF!</definedName>
    <definedName name="Excel_BuiltIn_Print_Area_59_67_6" localSheetId="30">#REF!</definedName>
    <definedName name="Excel_BuiltIn_Print_Area_59_67_6" localSheetId="29">#REF!</definedName>
    <definedName name="Excel_BuiltIn_Print_Area_59_67_6" localSheetId="2">#REF!</definedName>
    <definedName name="Excel_BuiltIn_Print_Area_59_67_6" localSheetId="35">#REF!</definedName>
    <definedName name="Excel_BuiltIn_Print_Area_59_67_6">#REF!</definedName>
    <definedName name="Excel_BuiltIn_Print_Area_59_67_66" localSheetId="31">#REF!</definedName>
    <definedName name="Excel_BuiltIn_Print_Area_59_67_66" localSheetId="3">#REF!</definedName>
    <definedName name="Excel_BuiltIn_Print_Area_59_67_66" localSheetId="5">#REF!</definedName>
    <definedName name="Excel_BuiltIn_Print_Area_59_67_66" localSheetId="30">#REF!</definedName>
    <definedName name="Excel_BuiltIn_Print_Area_59_67_66" localSheetId="29">#REF!</definedName>
    <definedName name="Excel_BuiltIn_Print_Area_59_67_66" localSheetId="2">#REF!</definedName>
    <definedName name="Excel_BuiltIn_Print_Area_59_67_66" localSheetId="35">#REF!</definedName>
    <definedName name="Excel_BuiltIn_Print_Area_59_67_66">#REF!</definedName>
    <definedName name="Excel_BuiltIn_Print_Area_59_67_67" localSheetId="31">#REF!</definedName>
    <definedName name="Excel_BuiltIn_Print_Area_59_67_67" localSheetId="3">#REF!</definedName>
    <definedName name="Excel_BuiltIn_Print_Area_59_67_67" localSheetId="5">#REF!</definedName>
    <definedName name="Excel_BuiltIn_Print_Area_59_67_67" localSheetId="30">#REF!</definedName>
    <definedName name="Excel_BuiltIn_Print_Area_59_67_67" localSheetId="29">#REF!</definedName>
    <definedName name="Excel_BuiltIn_Print_Area_59_67_67" localSheetId="2">#REF!</definedName>
    <definedName name="Excel_BuiltIn_Print_Area_59_67_67" localSheetId="35">#REF!</definedName>
    <definedName name="Excel_BuiltIn_Print_Area_59_67_67">#REF!</definedName>
    <definedName name="Excel_BuiltIn_Print_Area_59_67_70" localSheetId="31">#REF!</definedName>
    <definedName name="Excel_BuiltIn_Print_Area_59_67_70" localSheetId="3">#REF!</definedName>
    <definedName name="Excel_BuiltIn_Print_Area_59_67_70" localSheetId="5">#REF!</definedName>
    <definedName name="Excel_BuiltIn_Print_Area_59_67_70" localSheetId="30">#REF!</definedName>
    <definedName name="Excel_BuiltIn_Print_Area_59_67_70" localSheetId="29">#REF!</definedName>
    <definedName name="Excel_BuiltIn_Print_Area_59_67_70" localSheetId="2">#REF!</definedName>
    <definedName name="Excel_BuiltIn_Print_Area_59_67_70" localSheetId="35">#REF!</definedName>
    <definedName name="Excel_BuiltIn_Print_Area_59_67_70">#REF!</definedName>
    <definedName name="Excel_BuiltIn_Print_Area_59_67_71" localSheetId="31">#REF!</definedName>
    <definedName name="Excel_BuiltIn_Print_Area_59_67_71" localSheetId="3">#REF!</definedName>
    <definedName name="Excel_BuiltIn_Print_Area_59_67_71" localSheetId="5">#REF!</definedName>
    <definedName name="Excel_BuiltIn_Print_Area_59_67_71" localSheetId="30">#REF!</definedName>
    <definedName name="Excel_BuiltIn_Print_Area_59_67_71" localSheetId="29">#REF!</definedName>
    <definedName name="Excel_BuiltIn_Print_Area_59_67_71" localSheetId="2">#REF!</definedName>
    <definedName name="Excel_BuiltIn_Print_Area_59_67_71" localSheetId="35">#REF!</definedName>
    <definedName name="Excel_BuiltIn_Print_Area_59_67_71">#REF!</definedName>
    <definedName name="Excel_BuiltIn_Print_Area_59_67_72" localSheetId="31">#REF!</definedName>
    <definedName name="Excel_BuiltIn_Print_Area_59_67_72" localSheetId="3">#REF!</definedName>
    <definedName name="Excel_BuiltIn_Print_Area_59_67_72" localSheetId="5">#REF!</definedName>
    <definedName name="Excel_BuiltIn_Print_Area_59_67_72" localSheetId="30">#REF!</definedName>
    <definedName name="Excel_BuiltIn_Print_Area_59_67_72" localSheetId="29">#REF!</definedName>
    <definedName name="Excel_BuiltIn_Print_Area_59_67_72" localSheetId="2">#REF!</definedName>
    <definedName name="Excel_BuiltIn_Print_Area_59_67_72" localSheetId="35">#REF!</definedName>
    <definedName name="Excel_BuiltIn_Print_Area_59_67_72">#REF!</definedName>
    <definedName name="Excel_BuiltIn_Print_Area_59_67_74" localSheetId="31">#REF!</definedName>
    <definedName name="Excel_BuiltIn_Print_Area_59_67_74" localSheetId="3">#REF!</definedName>
    <definedName name="Excel_BuiltIn_Print_Area_59_67_74" localSheetId="5">#REF!</definedName>
    <definedName name="Excel_BuiltIn_Print_Area_59_67_74" localSheetId="30">#REF!</definedName>
    <definedName name="Excel_BuiltIn_Print_Area_59_67_74" localSheetId="29">#REF!</definedName>
    <definedName name="Excel_BuiltIn_Print_Area_59_67_74" localSheetId="2">#REF!</definedName>
    <definedName name="Excel_BuiltIn_Print_Area_59_67_74" localSheetId="35">#REF!</definedName>
    <definedName name="Excel_BuiltIn_Print_Area_59_67_74">#REF!</definedName>
    <definedName name="Excel_BuiltIn_Print_Area_59_67_9" localSheetId="31">#REF!</definedName>
    <definedName name="Excel_BuiltIn_Print_Area_59_67_9" localSheetId="3">#REF!</definedName>
    <definedName name="Excel_BuiltIn_Print_Area_59_67_9" localSheetId="5">#REF!</definedName>
    <definedName name="Excel_BuiltIn_Print_Area_59_67_9" localSheetId="30">#REF!</definedName>
    <definedName name="Excel_BuiltIn_Print_Area_59_67_9" localSheetId="29">#REF!</definedName>
    <definedName name="Excel_BuiltIn_Print_Area_59_67_9" localSheetId="2">#REF!</definedName>
    <definedName name="Excel_BuiltIn_Print_Area_59_67_9" localSheetId="35">#REF!</definedName>
    <definedName name="Excel_BuiltIn_Print_Area_59_67_9">#REF!</definedName>
    <definedName name="Excel_BuiltIn_Print_Area_59_70" localSheetId="31">#REF!</definedName>
    <definedName name="Excel_BuiltIn_Print_Area_59_70" localSheetId="3">#REF!</definedName>
    <definedName name="Excel_BuiltIn_Print_Area_59_70" localSheetId="5">#REF!</definedName>
    <definedName name="Excel_BuiltIn_Print_Area_59_70" localSheetId="30">#REF!</definedName>
    <definedName name="Excel_BuiltIn_Print_Area_59_70" localSheetId="29">#REF!</definedName>
    <definedName name="Excel_BuiltIn_Print_Area_59_70" localSheetId="2">#REF!</definedName>
    <definedName name="Excel_BuiltIn_Print_Area_59_70" localSheetId="35">#REF!</definedName>
    <definedName name="Excel_BuiltIn_Print_Area_59_70">#REF!</definedName>
    <definedName name="Excel_BuiltIn_Print_Area_59_71" localSheetId="31">#REF!</definedName>
    <definedName name="Excel_BuiltIn_Print_Area_59_71" localSheetId="3">#REF!</definedName>
    <definedName name="Excel_BuiltIn_Print_Area_59_71" localSheetId="5">#REF!</definedName>
    <definedName name="Excel_BuiltIn_Print_Area_59_71" localSheetId="30">#REF!</definedName>
    <definedName name="Excel_BuiltIn_Print_Area_59_71" localSheetId="29">#REF!</definedName>
    <definedName name="Excel_BuiltIn_Print_Area_59_71" localSheetId="2">#REF!</definedName>
    <definedName name="Excel_BuiltIn_Print_Area_59_71" localSheetId="35">#REF!</definedName>
    <definedName name="Excel_BuiltIn_Print_Area_59_71">#REF!</definedName>
    <definedName name="Excel_BuiltIn_Print_Area_59_72" localSheetId="31">#REF!</definedName>
    <definedName name="Excel_BuiltIn_Print_Area_59_72" localSheetId="3">#REF!</definedName>
    <definedName name="Excel_BuiltIn_Print_Area_59_72" localSheetId="5">#REF!</definedName>
    <definedName name="Excel_BuiltIn_Print_Area_59_72" localSheetId="30">#REF!</definedName>
    <definedName name="Excel_BuiltIn_Print_Area_59_72" localSheetId="29">#REF!</definedName>
    <definedName name="Excel_BuiltIn_Print_Area_59_72" localSheetId="2">#REF!</definedName>
    <definedName name="Excel_BuiltIn_Print_Area_59_72" localSheetId="35">#REF!</definedName>
    <definedName name="Excel_BuiltIn_Print_Area_59_72">#REF!</definedName>
    <definedName name="Excel_BuiltIn_Print_Area_59_74" localSheetId="31">#REF!</definedName>
    <definedName name="Excel_BuiltIn_Print_Area_59_74" localSheetId="3">#REF!</definedName>
    <definedName name="Excel_BuiltIn_Print_Area_59_74" localSheetId="5">#REF!</definedName>
    <definedName name="Excel_BuiltIn_Print_Area_59_74" localSheetId="30">#REF!</definedName>
    <definedName name="Excel_BuiltIn_Print_Area_59_74" localSheetId="29">#REF!</definedName>
    <definedName name="Excel_BuiltIn_Print_Area_59_74" localSheetId="2">#REF!</definedName>
    <definedName name="Excel_BuiltIn_Print_Area_59_74" localSheetId="35">#REF!</definedName>
    <definedName name="Excel_BuiltIn_Print_Area_59_74">#REF!</definedName>
    <definedName name="Excel_BuiltIn_Print_Area_59_74_1" localSheetId="31">#REF!</definedName>
    <definedName name="Excel_BuiltIn_Print_Area_59_74_1" localSheetId="3">#REF!</definedName>
    <definedName name="Excel_BuiltIn_Print_Area_59_74_1" localSheetId="5">#REF!</definedName>
    <definedName name="Excel_BuiltIn_Print_Area_59_74_1" localSheetId="30">#REF!</definedName>
    <definedName name="Excel_BuiltIn_Print_Area_59_74_1" localSheetId="29">#REF!</definedName>
    <definedName name="Excel_BuiltIn_Print_Area_59_74_1" localSheetId="2">#REF!</definedName>
    <definedName name="Excel_BuiltIn_Print_Area_59_74_1" localSheetId="35">#REF!</definedName>
    <definedName name="Excel_BuiltIn_Print_Area_59_74_1">#REF!</definedName>
    <definedName name="Excel_BuiltIn_Print_Area_59_74_10" localSheetId="31">#REF!</definedName>
    <definedName name="Excel_BuiltIn_Print_Area_59_74_10" localSheetId="3">#REF!</definedName>
    <definedName name="Excel_BuiltIn_Print_Area_59_74_10" localSheetId="5">#REF!</definedName>
    <definedName name="Excel_BuiltIn_Print_Area_59_74_10" localSheetId="30">#REF!</definedName>
    <definedName name="Excel_BuiltIn_Print_Area_59_74_10" localSheetId="29">#REF!</definedName>
    <definedName name="Excel_BuiltIn_Print_Area_59_74_10" localSheetId="2">#REF!</definedName>
    <definedName name="Excel_BuiltIn_Print_Area_59_74_10" localSheetId="35">#REF!</definedName>
    <definedName name="Excel_BuiltIn_Print_Area_59_74_10">#REF!</definedName>
    <definedName name="Excel_BuiltIn_Print_Area_59_74_11" localSheetId="31">#REF!</definedName>
    <definedName name="Excel_BuiltIn_Print_Area_59_74_11" localSheetId="3">#REF!</definedName>
    <definedName name="Excel_BuiltIn_Print_Area_59_74_11" localSheetId="5">#REF!</definedName>
    <definedName name="Excel_BuiltIn_Print_Area_59_74_11" localSheetId="30">#REF!</definedName>
    <definedName name="Excel_BuiltIn_Print_Area_59_74_11" localSheetId="29">#REF!</definedName>
    <definedName name="Excel_BuiltIn_Print_Area_59_74_11" localSheetId="2">#REF!</definedName>
    <definedName name="Excel_BuiltIn_Print_Area_59_74_11" localSheetId="35">#REF!</definedName>
    <definedName name="Excel_BuiltIn_Print_Area_59_74_11">#REF!</definedName>
    <definedName name="Excel_BuiltIn_Print_Area_59_74_13" localSheetId="31">#REF!</definedName>
    <definedName name="Excel_BuiltIn_Print_Area_59_74_13" localSheetId="3">#REF!</definedName>
    <definedName name="Excel_BuiltIn_Print_Area_59_74_13" localSheetId="5">#REF!</definedName>
    <definedName name="Excel_BuiltIn_Print_Area_59_74_13" localSheetId="30">#REF!</definedName>
    <definedName name="Excel_BuiltIn_Print_Area_59_74_13" localSheetId="29">#REF!</definedName>
    <definedName name="Excel_BuiltIn_Print_Area_59_74_13" localSheetId="2">#REF!</definedName>
    <definedName name="Excel_BuiltIn_Print_Area_59_74_13" localSheetId="35">#REF!</definedName>
    <definedName name="Excel_BuiltIn_Print_Area_59_74_13">#REF!</definedName>
    <definedName name="Excel_BuiltIn_Print_Area_59_74_14" localSheetId="31">#REF!</definedName>
    <definedName name="Excel_BuiltIn_Print_Area_59_74_14" localSheetId="3">#REF!</definedName>
    <definedName name="Excel_BuiltIn_Print_Area_59_74_14" localSheetId="5">#REF!</definedName>
    <definedName name="Excel_BuiltIn_Print_Area_59_74_14" localSheetId="30">#REF!</definedName>
    <definedName name="Excel_BuiltIn_Print_Area_59_74_14" localSheetId="29">#REF!</definedName>
    <definedName name="Excel_BuiltIn_Print_Area_59_74_14" localSheetId="2">#REF!</definedName>
    <definedName name="Excel_BuiltIn_Print_Area_59_74_14" localSheetId="35">#REF!</definedName>
    <definedName name="Excel_BuiltIn_Print_Area_59_74_14">#REF!</definedName>
    <definedName name="Excel_BuiltIn_Print_Area_59_74_15" localSheetId="31">#REF!</definedName>
    <definedName name="Excel_BuiltIn_Print_Area_59_74_15" localSheetId="3">#REF!</definedName>
    <definedName name="Excel_BuiltIn_Print_Area_59_74_15" localSheetId="5">#REF!</definedName>
    <definedName name="Excel_BuiltIn_Print_Area_59_74_15" localSheetId="30">#REF!</definedName>
    <definedName name="Excel_BuiltIn_Print_Area_59_74_15" localSheetId="29">#REF!</definedName>
    <definedName name="Excel_BuiltIn_Print_Area_59_74_15" localSheetId="2">#REF!</definedName>
    <definedName name="Excel_BuiltIn_Print_Area_59_74_15" localSheetId="35">#REF!</definedName>
    <definedName name="Excel_BuiltIn_Print_Area_59_74_15">#REF!</definedName>
    <definedName name="Excel_BuiltIn_Print_Area_59_74_16" localSheetId="31">#REF!</definedName>
    <definedName name="Excel_BuiltIn_Print_Area_59_74_16" localSheetId="3">#REF!</definedName>
    <definedName name="Excel_BuiltIn_Print_Area_59_74_16" localSheetId="5">#REF!</definedName>
    <definedName name="Excel_BuiltIn_Print_Area_59_74_16" localSheetId="30">#REF!</definedName>
    <definedName name="Excel_BuiltIn_Print_Area_59_74_16" localSheetId="29">#REF!</definedName>
    <definedName name="Excel_BuiltIn_Print_Area_59_74_16" localSheetId="2">#REF!</definedName>
    <definedName name="Excel_BuiltIn_Print_Area_59_74_16" localSheetId="35">#REF!</definedName>
    <definedName name="Excel_BuiltIn_Print_Area_59_74_16">#REF!</definedName>
    <definedName name="Excel_BuiltIn_Print_Area_59_74_2" localSheetId="31">#REF!</definedName>
    <definedName name="Excel_BuiltIn_Print_Area_59_74_2" localSheetId="3">#REF!</definedName>
    <definedName name="Excel_BuiltIn_Print_Area_59_74_2" localSheetId="5">#REF!</definedName>
    <definedName name="Excel_BuiltIn_Print_Area_59_74_2" localSheetId="30">#REF!</definedName>
    <definedName name="Excel_BuiltIn_Print_Area_59_74_2" localSheetId="29">#REF!</definedName>
    <definedName name="Excel_BuiltIn_Print_Area_59_74_2" localSheetId="2">#REF!</definedName>
    <definedName name="Excel_BuiltIn_Print_Area_59_74_2" localSheetId="35">#REF!</definedName>
    <definedName name="Excel_BuiltIn_Print_Area_59_74_2">#REF!</definedName>
    <definedName name="Excel_BuiltIn_Print_Area_59_74_22" localSheetId="31">#REF!</definedName>
    <definedName name="Excel_BuiltIn_Print_Area_59_74_22" localSheetId="3">#REF!</definedName>
    <definedName name="Excel_BuiltIn_Print_Area_59_74_22" localSheetId="5">#REF!</definedName>
    <definedName name="Excel_BuiltIn_Print_Area_59_74_22" localSheetId="30">#REF!</definedName>
    <definedName name="Excel_BuiltIn_Print_Area_59_74_22" localSheetId="29">#REF!</definedName>
    <definedName name="Excel_BuiltIn_Print_Area_59_74_22" localSheetId="2">#REF!</definedName>
    <definedName name="Excel_BuiltIn_Print_Area_59_74_22" localSheetId="35">#REF!</definedName>
    <definedName name="Excel_BuiltIn_Print_Area_59_74_22">#REF!</definedName>
    <definedName name="Excel_BuiltIn_Print_Area_59_74_25" localSheetId="31">#REF!</definedName>
    <definedName name="Excel_BuiltIn_Print_Area_59_74_25" localSheetId="3">#REF!</definedName>
    <definedName name="Excel_BuiltIn_Print_Area_59_74_25" localSheetId="5">#REF!</definedName>
    <definedName name="Excel_BuiltIn_Print_Area_59_74_25" localSheetId="30">#REF!</definedName>
    <definedName name="Excel_BuiltIn_Print_Area_59_74_25" localSheetId="29">#REF!</definedName>
    <definedName name="Excel_BuiltIn_Print_Area_59_74_25" localSheetId="2">#REF!</definedName>
    <definedName name="Excel_BuiltIn_Print_Area_59_74_25" localSheetId="35">#REF!</definedName>
    <definedName name="Excel_BuiltIn_Print_Area_59_74_25">#REF!</definedName>
    <definedName name="Excel_BuiltIn_Print_Area_59_74_3" localSheetId="31">#REF!</definedName>
    <definedName name="Excel_BuiltIn_Print_Area_59_74_3" localSheetId="3">#REF!</definedName>
    <definedName name="Excel_BuiltIn_Print_Area_59_74_3" localSheetId="5">#REF!</definedName>
    <definedName name="Excel_BuiltIn_Print_Area_59_74_3" localSheetId="30">#REF!</definedName>
    <definedName name="Excel_BuiltIn_Print_Area_59_74_3" localSheetId="29">#REF!</definedName>
    <definedName name="Excel_BuiltIn_Print_Area_59_74_3" localSheetId="2">#REF!</definedName>
    <definedName name="Excel_BuiltIn_Print_Area_59_74_3" localSheetId="35">#REF!</definedName>
    <definedName name="Excel_BuiltIn_Print_Area_59_74_3">#REF!</definedName>
    <definedName name="Excel_BuiltIn_Print_Area_59_74_4" localSheetId="31">#REF!</definedName>
    <definedName name="Excel_BuiltIn_Print_Area_59_74_4" localSheetId="3">#REF!</definedName>
    <definedName name="Excel_BuiltIn_Print_Area_59_74_4" localSheetId="5">#REF!</definedName>
    <definedName name="Excel_BuiltIn_Print_Area_59_74_4" localSheetId="30">#REF!</definedName>
    <definedName name="Excel_BuiltIn_Print_Area_59_74_4" localSheetId="29">#REF!</definedName>
    <definedName name="Excel_BuiltIn_Print_Area_59_74_4" localSheetId="2">#REF!</definedName>
    <definedName name="Excel_BuiltIn_Print_Area_59_74_4" localSheetId="35">#REF!</definedName>
    <definedName name="Excel_BuiltIn_Print_Area_59_74_4">#REF!</definedName>
    <definedName name="Excel_BuiltIn_Print_Area_59_74_56" localSheetId="31">#REF!</definedName>
    <definedName name="Excel_BuiltIn_Print_Area_59_74_56" localSheetId="3">#REF!</definedName>
    <definedName name="Excel_BuiltIn_Print_Area_59_74_56" localSheetId="5">#REF!</definedName>
    <definedName name="Excel_BuiltIn_Print_Area_59_74_56" localSheetId="30">#REF!</definedName>
    <definedName name="Excel_BuiltIn_Print_Area_59_74_56" localSheetId="29">#REF!</definedName>
    <definedName name="Excel_BuiltIn_Print_Area_59_74_56" localSheetId="2">#REF!</definedName>
    <definedName name="Excel_BuiltIn_Print_Area_59_74_56" localSheetId="35">#REF!</definedName>
    <definedName name="Excel_BuiltIn_Print_Area_59_74_56">#REF!</definedName>
    <definedName name="Excel_BuiltIn_Print_Area_59_74_6" localSheetId="31">#REF!</definedName>
    <definedName name="Excel_BuiltIn_Print_Area_59_74_6" localSheetId="3">#REF!</definedName>
    <definedName name="Excel_BuiltIn_Print_Area_59_74_6" localSheetId="5">#REF!</definedName>
    <definedName name="Excel_BuiltIn_Print_Area_59_74_6" localSheetId="30">#REF!</definedName>
    <definedName name="Excel_BuiltIn_Print_Area_59_74_6" localSheetId="29">#REF!</definedName>
    <definedName name="Excel_BuiltIn_Print_Area_59_74_6" localSheetId="2">#REF!</definedName>
    <definedName name="Excel_BuiltIn_Print_Area_59_74_6" localSheetId="35">#REF!</definedName>
    <definedName name="Excel_BuiltIn_Print_Area_59_74_6">#REF!</definedName>
    <definedName name="Excel_BuiltIn_Print_Area_59_74_66" localSheetId="31">#REF!</definedName>
    <definedName name="Excel_BuiltIn_Print_Area_59_74_66" localSheetId="3">#REF!</definedName>
    <definedName name="Excel_BuiltIn_Print_Area_59_74_66" localSheetId="5">#REF!</definedName>
    <definedName name="Excel_BuiltIn_Print_Area_59_74_66" localSheetId="30">#REF!</definedName>
    <definedName name="Excel_BuiltIn_Print_Area_59_74_66" localSheetId="29">#REF!</definedName>
    <definedName name="Excel_BuiltIn_Print_Area_59_74_66" localSheetId="2">#REF!</definedName>
    <definedName name="Excel_BuiltIn_Print_Area_59_74_66" localSheetId="35">#REF!</definedName>
    <definedName name="Excel_BuiltIn_Print_Area_59_74_66">#REF!</definedName>
    <definedName name="Excel_BuiltIn_Print_Area_59_74_67" localSheetId="31">#REF!</definedName>
    <definedName name="Excel_BuiltIn_Print_Area_59_74_67" localSheetId="3">#REF!</definedName>
    <definedName name="Excel_BuiltIn_Print_Area_59_74_67" localSheetId="5">#REF!</definedName>
    <definedName name="Excel_BuiltIn_Print_Area_59_74_67" localSheetId="30">#REF!</definedName>
    <definedName name="Excel_BuiltIn_Print_Area_59_74_67" localSheetId="29">#REF!</definedName>
    <definedName name="Excel_BuiltIn_Print_Area_59_74_67" localSheetId="2">#REF!</definedName>
    <definedName name="Excel_BuiltIn_Print_Area_59_74_67" localSheetId="35">#REF!</definedName>
    <definedName name="Excel_BuiltIn_Print_Area_59_74_67">#REF!</definedName>
    <definedName name="Excel_BuiltIn_Print_Area_59_74_70" localSheetId="31">#REF!</definedName>
    <definedName name="Excel_BuiltIn_Print_Area_59_74_70" localSheetId="3">#REF!</definedName>
    <definedName name="Excel_BuiltIn_Print_Area_59_74_70" localSheetId="5">#REF!</definedName>
    <definedName name="Excel_BuiltIn_Print_Area_59_74_70" localSheetId="30">#REF!</definedName>
    <definedName name="Excel_BuiltIn_Print_Area_59_74_70" localSheetId="29">#REF!</definedName>
    <definedName name="Excel_BuiltIn_Print_Area_59_74_70" localSheetId="2">#REF!</definedName>
    <definedName name="Excel_BuiltIn_Print_Area_59_74_70" localSheetId="35">#REF!</definedName>
    <definedName name="Excel_BuiltIn_Print_Area_59_74_70">#REF!</definedName>
    <definedName name="Excel_BuiltIn_Print_Area_59_74_71" localSheetId="31">#REF!</definedName>
    <definedName name="Excel_BuiltIn_Print_Area_59_74_71" localSheetId="3">#REF!</definedName>
    <definedName name="Excel_BuiltIn_Print_Area_59_74_71" localSheetId="5">#REF!</definedName>
    <definedName name="Excel_BuiltIn_Print_Area_59_74_71" localSheetId="30">#REF!</definedName>
    <definedName name="Excel_BuiltIn_Print_Area_59_74_71" localSheetId="29">#REF!</definedName>
    <definedName name="Excel_BuiltIn_Print_Area_59_74_71" localSheetId="2">#REF!</definedName>
    <definedName name="Excel_BuiltIn_Print_Area_59_74_71" localSheetId="35">#REF!</definedName>
    <definedName name="Excel_BuiltIn_Print_Area_59_74_71">#REF!</definedName>
    <definedName name="Excel_BuiltIn_Print_Area_59_74_72" localSheetId="31">#REF!</definedName>
    <definedName name="Excel_BuiltIn_Print_Area_59_74_72" localSheetId="3">#REF!</definedName>
    <definedName name="Excel_BuiltIn_Print_Area_59_74_72" localSheetId="5">#REF!</definedName>
    <definedName name="Excel_BuiltIn_Print_Area_59_74_72" localSheetId="30">#REF!</definedName>
    <definedName name="Excel_BuiltIn_Print_Area_59_74_72" localSheetId="29">#REF!</definedName>
    <definedName name="Excel_BuiltIn_Print_Area_59_74_72" localSheetId="2">#REF!</definedName>
    <definedName name="Excel_BuiltIn_Print_Area_59_74_72" localSheetId="35">#REF!</definedName>
    <definedName name="Excel_BuiltIn_Print_Area_59_74_72">#REF!</definedName>
    <definedName name="Excel_BuiltIn_Print_Area_59_74_74" localSheetId="31">#REF!</definedName>
    <definedName name="Excel_BuiltIn_Print_Area_59_74_74" localSheetId="3">#REF!</definedName>
    <definedName name="Excel_BuiltIn_Print_Area_59_74_74" localSheetId="5">#REF!</definedName>
    <definedName name="Excel_BuiltIn_Print_Area_59_74_74" localSheetId="30">#REF!</definedName>
    <definedName name="Excel_BuiltIn_Print_Area_59_74_74" localSheetId="29">#REF!</definedName>
    <definedName name="Excel_BuiltIn_Print_Area_59_74_74" localSheetId="2">#REF!</definedName>
    <definedName name="Excel_BuiltIn_Print_Area_59_74_74" localSheetId="35">#REF!</definedName>
    <definedName name="Excel_BuiltIn_Print_Area_59_74_74">#REF!</definedName>
    <definedName name="Excel_BuiltIn_Print_Area_59_74_9" localSheetId="31">#REF!</definedName>
    <definedName name="Excel_BuiltIn_Print_Area_59_74_9" localSheetId="3">#REF!</definedName>
    <definedName name="Excel_BuiltIn_Print_Area_59_74_9" localSheetId="5">#REF!</definedName>
    <definedName name="Excel_BuiltIn_Print_Area_59_74_9" localSheetId="30">#REF!</definedName>
    <definedName name="Excel_BuiltIn_Print_Area_59_74_9" localSheetId="29">#REF!</definedName>
    <definedName name="Excel_BuiltIn_Print_Area_59_74_9" localSheetId="2">#REF!</definedName>
    <definedName name="Excel_BuiltIn_Print_Area_59_74_9" localSheetId="35">#REF!</definedName>
    <definedName name="Excel_BuiltIn_Print_Area_59_74_9">#REF!</definedName>
    <definedName name="Excel_BuiltIn_Print_Area_59_9" localSheetId="31">#REF!</definedName>
    <definedName name="Excel_BuiltIn_Print_Area_59_9" localSheetId="3">#REF!</definedName>
    <definedName name="Excel_BuiltIn_Print_Area_59_9" localSheetId="5">#REF!</definedName>
    <definedName name="Excel_BuiltIn_Print_Area_59_9" localSheetId="30">#REF!</definedName>
    <definedName name="Excel_BuiltIn_Print_Area_59_9" localSheetId="29">#REF!</definedName>
    <definedName name="Excel_BuiltIn_Print_Area_59_9" localSheetId="2">#REF!</definedName>
    <definedName name="Excel_BuiltIn_Print_Area_59_9" localSheetId="35">#REF!</definedName>
    <definedName name="Excel_BuiltIn_Print_Area_59_9">#REF!</definedName>
    <definedName name="ff" localSheetId="45">'ЗП с факт 3 кв. 2015'!ff</definedName>
    <definedName name="ff" localSheetId="12">#N/A</definedName>
    <definedName name="ff" localSheetId="10">#N/A</definedName>
    <definedName name="ff" localSheetId="7">#N/A</definedName>
    <definedName name="ff" localSheetId="3">#N/A</definedName>
    <definedName name="ff" localSheetId="6">#N/A</definedName>
    <definedName name="ff" localSheetId="5">#N/A</definedName>
    <definedName name="ff" localSheetId="8">#N/A</definedName>
    <definedName name="ff" localSheetId="1">#N/A</definedName>
    <definedName name="ff" localSheetId="11">#N/A</definedName>
    <definedName name="ff" localSheetId="9">#N/A</definedName>
    <definedName name="ff" localSheetId="4">#N/A</definedName>
    <definedName name="ff" localSheetId="2">#N/A</definedName>
    <definedName name="ff">ff</definedName>
    <definedName name="ff_10" localSheetId="45">'ЗП с факт 3 кв. 2015'!ff</definedName>
    <definedName name="ff_10" localSheetId="12">'ПОЛНАЯ СЕБЕСТОИМОСТЬ ВОДА 2019'!ff</definedName>
    <definedName name="ff_10" localSheetId="10">'ПОЛНАЯ СЕБЕСТОИМОСТЬ СТОКИ 2019'!ff</definedName>
    <definedName name="ff_10" localSheetId="7">'Прил. 1 План ФХД вода табл. 2'!ff</definedName>
    <definedName name="ff_10" localSheetId="3">'Прил. 1 План ФХД с транспортир.'!ff</definedName>
    <definedName name="ff_10" localSheetId="6">'Прил. 1 План ФХД стоки табл 2'!ff</definedName>
    <definedName name="ff_10" localSheetId="5">'Прил. 1 План ФХД табл 1'!ff</definedName>
    <definedName name="ff_10" localSheetId="8">'Расчет товарной выручки'!ff</definedName>
    <definedName name="ff_10" localSheetId="1">'Текущий ремонт'!ff</definedName>
    <definedName name="ff_10" localSheetId="11">'ФАКТ. СЕБЕСТ ВОДА 9 мес. 2019'!ff</definedName>
    <definedName name="ff_10" localSheetId="9">'ФАКТ. СЕБЕСТ. СТОКИ 9 мес. 2019'!ff</definedName>
    <definedName name="ff_10" localSheetId="4">'Чистая прибыль'!ff</definedName>
    <definedName name="ff_10" localSheetId="2">'Чистая прибыль с транспортир.'!ff</definedName>
    <definedName name="ff_10">[0]!ff</definedName>
    <definedName name="ff_14" localSheetId="45">'ЗП с факт 3 кв. 2015'!ff</definedName>
    <definedName name="ff_14" localSheetId="12">'ПОЛНАЯ СЕБЕСТОИМОСТЬ ВОДА 2019'!ff</definedName>
    <definedName name="ff_14" localSheetId="10">'ПОЛНАЯ СЕБЕСТОИМОСТЬ СТОКИ 2019'!ff</definedName>
    <definedName name="ff_14" localSheetId="7">'Прил. 1 План ФХД вода табл. 2'!ff</definedName>
    <definedName name="ff_14" localSheetId="3">'Прил. 1 План ФХД с транспортир.'!ff</definedName>
    <definedName name="ff_14" localSheetId="6">'Прил. 1 План ФХД стоки табл 2'!ff</definedName>
    <definedName name="ff_14" localSheetId="5">'Прил. 1 План ФХД табл 1'!ff</definedName>
    <definedName name="ff_14" localSheetId="8">'Расчет товарной выручки'!ff</definedName>
    <definedName name="ff_14" localSheetId="1">'Текущий ремонт'!ff</definedName>
    <definedName name="ff_14" localSheetId="11">'ФАКТ. СЕБЕСТ ВОДА 9 мес. 2019'!ff</definedName>
    <definedName name="ff_14" localSheetId="9">'ФАКТ. СЕБЕСТ. СТОКИ 9 мес. 2019'!ff</definedName>
    <definedName name="ff_14" localSheetId="4">'Чистая прибыль'!ff</definedName>
    <definedName name="ff_14" localSheetId="2">'Чистая прибыль с транспортир.'!ff</definedName>
    <definedName name="ff_14">[0]!ff</definedName>
    <definedName name="ff_15" localSheetId="45">'ЗП с факт 3 кв. 2015'!ff</definedName>
    <definedName name="ff_15" localSheetId="12">'ПОЛНАЯ СЕБЕСТОИМОСТЬ ВОДА 2019'!ff</definedName>
    <definedName name="ff_15" localSheetId="10">'ПОЛНАЯ СЕБЕСТОИМОСТЬ СТОКИ 2019'!ff</definedName>
    <definedName name="ff_15" localSheetId="7">'Прил. 1 План ФХД вода табл. 2'!ff</definedName>
    <definedName name="ff_15" localSheetId="3">'Прил. 1 План ФХД с транспортир.'!ff</definedName>
    <definedName name="ff_15" localSheetId="6">'Прил. 1 План ФХД стоки табл 2'!ff</definedName>
    <definedName name="ff_15" localSheetId="5">'Прил. 1 План ФХД табл 1'!ff</definedName>
    <definedName name="ff_15" localSheetId="8">'Расчет товарной выручки'!ff</definedName>
    <definedName name="ff_15" localSheetId="1">'Текущий ремонт'!ff</definedName>
    <definedName name="ff_15" localSheetId="11">'ФАКТ. СЕБЕСТ ВОДА 9 мес. 2019'!ff</definedName>
    <definedName name="ff_15" localSheetId="9">'ФАКТ. СЕБЕСТ. СТОКИ 9 мес. 2019'!ff</definedName>
    <definedName name="ff_15" localSheetId="4">'Чистая прибыль'!ff</definedName>
    <definedName name="ff_15" localSheetId="2">'Чистая прибыль с транспортир.'!ff</definedName>
    <definedName name="ff_15">[0]!ff</definedName>
    <definedName name="ff_16" localSheetId="45">'ЗП с факт 3 кв. 2015'!ff</definedName>
    <definedName name="ff_16" localSheetId="12">'ПОЛНАЯ СЕБЕСТОИМОСТЬ ВОДА 2019'!ff</definedName>
    <definedName name="ff_16" localSheetId="10">'ПОЛНАЯ СЕБЕСТОИМОСТЬ СТОКИ 2019'!ff</definedName>
    <definedName name="ff_16" localSheetId="7">'Прил. 1 План ФХД вода табл. 2'!ff</definedName>
    <definedName name="ff_16" localSheetId="3">'Прил. 1 План ФХД с транспортир.'!ff</definedName>
    <definedName name="ff_16" localSheetId="6">'Прил. 1 План ФХД стоки табл 2'!ff</definedName>
    <definedName name="ff_16" localSheetId="5">'Прил. 1 План ФХД табл 1'!ff</definedName>
    <definedName name="ff_16" localSheetId="8">'Расчет товарной выручки'!ff</definedName>
    <definedName name="ff_16" localSheetId="1">'Текущий ремонт'!ff</definedName>
    <definedName name="ff_16" localSheetId="11">'ФАКТ. СЕБЕСТ ВОДА 9 мес. 2019'!ff</definedName>
    <definedName name="ff_16" localSheetId="9">'ФАКТ. СЕБЕСТ. СТОКИ 9 мес. 2019'!ff</definedName>
    <definedName name="ff_16" localSheetId="4">'Чистая прибыль'!ff</definedName>
    <definedName name="ff_16" localSheetId="2">'Чистая прибыль с транспортир.'!ff</definedName>
    <definedName name="ff_16">[0]!ff</definedName>
    <definedName name="ff_2" localSheetId="45">'ЗП с факт 3 кв. 2015'!ff</definedName>
    <definedName name="ff_2" localSheetId="12">'ПОЛНАЯ СЕБЕСТОИМОСТЬ ВОДА 2019'!ff</definedName>
    <definedName name="ff_2" localSheetId="10">'ПОЛНАЯ СЕБЕСТОИМОСТЬ СТОКИ 2019'!ff</definedName>
    <definedName name="ff_2" localSheetId="7">'Прил. 1 План ФХД вода табл. 2'!ff</definedName>
    <definedName name="ff_2" localSheetId="3">'Прил. 1 План ФХД с транспортир.'!ff</definedName>
    <definedName name="ff_2" localSheetId="6">'Прил. 1 План ФХД стоки табл 2'!ff</definedName>
    <definedName name="ff_2" localSheetId="5">'Прил. 1 План ФХД табл 1'!ff</definedName>
    <definedName name="ff_2" localSheetId="8">'Расчет товарной выручки'!ff</definedName>
    <definedName name="ff_2" localSheetId="1">'Текущий ремонт'!ff</definedName>
    <definedName name="ff_2" localSheetId="11">'ФАКТ. СЕБЕСТ ВОДА 9 мес. 2019'!ff</definedName>
    <definedName name="ff_2" localSheetId="9">'ФАКТ. СЕБЕСТ. СТОКИ 9 мес. 2019'!ff</definedName>
    <definedName name="ff_2" localSheetId="4">'Чистая прибыль'!ff</definedName>
    <definedName name="ff_2" localSheetId="2">'Чистая прибыль с транспортир.'!ff</definedName>
    <definedName name="ff_2">[0]!ff</definedName>
    <definedName name="fsF" localSheetId="12">[3]Список!$J$2</definedName>
    <definedName name="fsF" localSheetId="10">[3]Список!$J$2</definedName>
    <definedName name="fsF" localSheetId="7">[3]Список!$J$2</definedName>
    <definedName name="fsF" localSheetId="3">[3]Список!$J$2</definedName>
    <definedName name="fsF" localSheetId="6">[3]Список!$J$2</definedName>
    <definedName name="fsF" localSheetId="5">[3]Список!$J$2</definedName>
    <definedName name="fsF" localSheetId="8">[3]Список!$J$2</definedName>
    <definedName name="fsF" localSheetId="1">[3]Список!$J$2</definedName>
    <definedName name="fsF" localSheetId="11">[3]Список!$J$2</definedName>
    <definedName name="fsF" localSheetId="9">[3]Список!$J$2</definedName>
    <definedName name="fsF" localSheetId="4">[3]Список!$J$2</definedName>
    <definedName name="fsF" localSheetId="2">[3]Список!$J$2</definedName>
    <definedName name="fsF">[3]Список!$J$2</definedName>
    <definedName name="ggg" localSheetId="45">'ЗП с факт 3 кв. 2015'!ggg</definedName>
    <definedName name="ggg" localSheetId="12">#N/A</definedName>
    <definedName name="ggg" localSheetId="10">#N/A</definedName>
    <definedName name="ggg" localSheetId="7">#N/A</definedName>
    <definedName name="ggg" localSheetId="3">#N/A</definedName>
    <definedName name="ggg" localSheetId="6">#N/A</definedName>
    <definedName name="ggg" localSheetId="5">#N/A</definedName>
    <definedName name="ggg" localSheetId="8">#N/A</definedName>
    <definedName name="ggg" localSheetId="1">#N/A</definedName>
    <definedName name="ggg" localSheetId="11">#N/A</definedName>
    <definedName name="ggg" localSheetId="9">#N/A</definedName>
    <definedName name="ggg" localSheetId="4">#N/A</definedName>
    <definedName name="ggg" localSheetId="2">#N/A</definedName>
    <definedName name="ggg">ggg</definedName>
    <definedName name="ggg_10" localSheetId="45">'ЗП с факт 3 кв. 2015'!ggg</definedName>
    <definedName name="ggg_10" localSheetId="12">'ПОЛНАЯ СЕБЕСТОИМОСТЬ ВОДА 2019'!ggg</definedName>
    <definedName name="ggg_10" localSheetId="10">'ПОЛНАЯ СЕБЕСТОИМОСТЬ СТОКИ 2019'!ggg</definedName>
    <definedName name="ggg_10" localSheetId="7">'Прил. 1 План ФХД вода табл. 2'!ggg</definedName>
    <definedName name="ggg_10" localSheetId="3">'Прил. 1 План ФХД с транспортир.'!ggg</definedName>
    <definedName name="ggg_10" localSheetId="6">'Прил. 1 План ФХД стоки табл 2'!ggg</definedName>
    <definedName name="ggg_10" localSheetId="5">'Прил. 1 План ФХД табл 1'!ggg</definedName>
    <definedName name="ggg_10" localSheetId="8">'Расчет товарной выручки'!ggg</definedName>
    <definedName name="ggg_10" localSheetId="1">'Текущий ремонт'!ggg</definedName>
    <definedName name="ggg_10" localSheetId="11">'ФАКТ. СЕБЕСТ ВОДА 9 мес. 2019'!ggg</definedName>
    <definedName name="ggg_10" localSheetId="9">'ФАКТ. СЕБЕСТ. СТОКИ 9 мес. 2019'!ggg</definedName>
    <definedName name="ggg_10" localSheetId="4">'Чистая прибыль'!ggg</definedName>
    <definedName name="ggg_10" localSheetId="2">'Чистая прибыль с транспортир.'!ggg</definedName>
    <definedName name="ggg_10">[0]!ggg</definedName>
    <definedName name="ggg_14" localSheetId="45">'ЗП с факт 3 кв. 2015'!ggg</definedName>
    <definedName name="ggg_14" localSheetId="12">'ПОЛНАЯ СЕБЕСТОИМОСТЬ ВОДА 2019'!ggg</definedName>
    <definedName name="ggg_14" localSheetId="10">'ПОЛНАЯ СЕБЕСТОИМОСТЬ СТОКИ 2019'!ggg</definedName>
    <definedName name="ggg_14" localSheetId="7">'Прил. 1 План ФХД вода табл. 2'!ggg</definedName>
    <definedName name="ggg_14" localSheetId="3">'Прил. 1 План ФХД с транспортир.'!ggg</definedName>
    <definedName name="ggg_14" localSheetId="6">'Прил. 1 План ФХД стоки табл 2'!ggg</definedName>
    <definedName name="ggg_14" localSheetId="5">'Прил. 1 План ФХД табл 1'!ggg</definedName>
    <definedName name="ggg_14" localSheetId="8">'Расчет товарной выручки'!ggg</definedName>
    <definedName name="ggg_14" localSheetId="1">'Текущий ремонт'!ggg</definedName>
    <definedName name="ggg_14" localSheetId="11">'ФАКТ. СЕБЕСТ ВОДА 9 мес. 2019'!ggg</definedName>
    <definedName name="ggg_14" localSheetId="9">'ФАКТ. СЕБЕСТ. СТОКИ 9 мес. 2019'!ggg</definedName>
    <definedName name="ggg_14" localSheetId="4">'Чистая прибыль'!ggg</definedName>
    <definedName name="ggg_14" localSheetId="2">'Чистая прибыль с транспортир.'!ggg</definedName>
    <definedName name="ggg_14">[0]!ggg</definedName>
    <definedName name="ggg_15" localSheetId="45">'ЗП с факт 3 кв. 2015'!ggg</definedName>
    <definedName name="ggg_15" localSheetId="12">'ПОЛНАЯ СЕБЕСТОИМОСТЬ ВОДА 2019'!ggg</definedName>
    <definedName name="ggg_15" localSheetId="10">'ПОЛНАЯ СЕБЕСТОИМОСТЬ СТОКИ 2019'!ggg</definedName>
    <definedName name="ggg_15" localSheetId="7">'Прил. 1 План ФХД вода табл. 2'!ggg</definedName>
    <definedName name="ggg_15" localSheetId="3">'Прил. 1 План ФХД с транспортир.'!ggg</definedName>
    <definedName name="ggg_15" localSheetId="6">'Прил. 1 План ФХД стоки табл 2'!ggg</definedName>
    <definedName name="ggg_15" localSheetId="5">'Прил. 1 План ФХД табл 1'!ggg</definedName>
    <definedName name="ggg_15" localSheetId="8">'Расчет товарной выручки'!ggg</definedName>
    <definedName name="ggg_15" localSheetId="1">'Текущий ремонт'!ggg</definedName>
    <definedName name="ggg_15" localSheetId="11">'ФАКТ. СЕБЕСТ ВОДА 9 мес. 2019'!ggg</definedName>
    <definedName name="ggg_15" localSheetId="9">'ФАКТ. СЕБЕСТ. СТОКИ 9 мес. 2019'!ggg</definedName>
    <definedName name="ggg_15" localSheetId="4">'Чистая прибыль'!ggg</definedName>
    <definedName name="ggg_15" localSheetId="2">'Чистая прибыль с транспортир.'!ggg</definedName>
    <definedName name="ggg_15">[0]!ggg</definedName>
    <definedName name="ggg_16" localSheetId="45">'ЗП с факт 3 кв. 2015'!ggg</definedName>
    <definedName name="ggg_16" localSheetId="12">'ПОЛНАЯ СЕБЕСТОИМОСТЬ ВОДА 2019'!ggg</definedName>
    <definedName name="ggg_16" localSheetId="10">'ПОЛНАЯ СЕБЕСТОИМОСТЬ СТОКИ 2019'!ggg</definedName>
    <definedName name="ggg_16" localSheetId="7">'Прил. 1 План ФХД вода табл. 2'!ggg</definedName>
    <definedName name="ggg_16" localSheetId="3">'Прил. 1 План ФХД с транспортир.'!ggg</definedName>
    <definedName name="ggg_16" localSheetId="6">'Прил. 1 План ФХД стоки табл 2'!ggg</definedName>
    <definedName name="ggg_16" localSheetId="5">'Прил. 1 План ФХД табл 1'!ggg</definedName>
    <definedName name="ggg_16" localSheetId="8">'Расчет товарной выручки'!ggg</definedName>
    <definedName name="ggg_16" localSheetId="1">'Текущий ремонт'!ggg</definedName>
    <definedName name="ggg_16" localSheetId="11">'ФАКТ. СЕБЕСТ ВОДА 9 мес. 2019'!ggg</definedName>
    <definedName name="ggg_16" localSheetId="9">'ФАКТ. СЕБЕСТ. СТОКИ 9 мес. 2019'!ggg</definedName>
    <definedName name="ggg_16" localSheetId="4">'Чистая прибыль'!ggg</definedName>
    <definedName name="ggg_16" localSheetId="2">'Чистая прибыль с транспортир.'!ggg</definedName>
    <definedName name="ggg_16">[0]!ggg</definedName>
    <definedName name="ggg_2" localSheetId="45">'ЗП с факт 3 кв. 2015'!ggg</definedName>
    <definedName name="ggg_2" localSheetId="12">'ПОЛНАЯ СЕБЕСТОИМОСТЬ ВОДА 2019'!ggg</definedName>
    <definedName name="ggg_2" localSheetId="10">'ПОЛНАЯ СЕБЕСТОИМОСТЬ СТОКИ 2019'!ggg</definedName>
    <definedName name="ggg_2" localSheetId="7">'Прил. 1 План ФХД вода табл. 2'!ggg</definedName>
    <definedName name="ggg_2" localSheetId="3">'Прил. 1 План ФХД с транспортир.'!ggg</definedName>
    <definedName name="ggg_2" localSheetId="6">'Прил. 1 План ФХД стоки табл 2'!ggg</definedName>
    <definedName name="ggg_2" localSheetId="5">'Прил. 1 План ФХД табл 1'!ggg</definedName>
    <definedName name="ggg_2" localSheetId="8">'Расчет товарной выручки'!ggg</definedName>
    <definedName name="ggg_2" localSheetId="1">'Текущий ремонт'!ggg</definedName>
    <definedName name="ggg_2" localSheetId="11">'ФАКТ. СЕБЕСТ ВОДА 9 мес. 2019'!ggg</definedName>
    <definedName name="ggg_2" localSheetId="9">'ФАКТ. СЕБЕСТ. СТОКИ 9 мес. 2019'!ggg</definedName>
    <definedName name="ggg_2" localSheetId="4">'Чистая прибыль'!ggg</definedName>
    <definedName name="ggg_2" localSheetId="2">'Чистая прибыль с транспортир.'!ggg</definedName>
    <definedName name="ggg_2">[0]!ggg</definedName>
    <definedName name="kind_of_activity">[6]TEHSHEET!$B$19:$B$23</definedName>
    <definedName name="Pi1_1" localSheetId="45">'ЗП с факт 3 кв. 2015'!_Pi1</definedName>
    <definedName name="Pi1_1" localSheetId="12">'ПОЛНАЯ СЕБЕСТОИМОСТЬ ВОДА 2019'!_Pi1</definedName>
    <definedName name="Pi1_1" localSheetId="10">'ПОЛНАЯ СЕБЕСТОИМОСТЬ СТОКИ 2019'!_Pi1</definedName>
    <definedName name="Pi1_1" localSheetId="7">'Прил. 1 План ФХД вода табл. 2'!_Pi1</definedName>
    <definedName name="Pi1_1" localSheetId="3">'Прил. 1 План ФХД с транспортир.'!_Pi1</definedName>
    <definedName name="Pi1_1" localSheetId="6">'Прил. 1 План ФХД стоки табл 2'!_Pi1</definedName>
    <definedName name="Pi1_1" localSheetId="5">'Прил. 1 План ФХД табл 1'!_Pi1</definedName>
    <definedName name="Pi1_1" localSheetId="8">'Расчет товарной выручки'!_Pi1</definedName>
    <definedName name="Pi1_1" localSheetId="1">'Текущий ремонт'!_Pi1</definedName>
    <definedName name="Pi1_1" localSheetId="11">'ФАКТ. СЕБЕСТ ВОДА 9 мес. 2019'!_Pi1</definedName>
    <definedName name="Pi1_1" localSheetId="9">'ФАКТ. СЕБЕСТ. СТОКИ 9 мес. 2019'!_Pi1</definedName>
    <definedName name="Pi1_1" localSheetId="4">'Чистая прибыль'!_Pi1</definedName>
    <definedName name="Pi1_1" localSheetId="2">'Чистая прибыль с транспортир.'!_Pi1</definedName>
    <definedName name="Pi1_1">[0]!_Pi1</definedName>
    <definedName name="Pi1_10" localSheetId="45">'ЗП с факт 3 кв. 2015'!_Pi1</definedName>
    <definedName name="Pi1_10" localSheetId="12">'ПОЛНАЯ СЕБЕСТОИМОСТЬ ВОДА 2019'!_Pi1</definedName>
    <definedName name="Pi1_10" localSheetId="10">'ПОЛНАЯ СЕБЕСТОИМОСТЬ СТОКИ 2019'!_Pi1</definedName>
    <definedName name="Pi1_10" localSheetId="7">'Прил. 1 План ФХД вода табл. 2'!_Pi1</definedName>
    <definedName name="Pi1_10" localSheetId="3">'Прил. 1 План ФХД с транспортир.'!_Pi1</definedName>
    <definedName name="Pi1_10" localSheetId="6">'Прил. 1 План ФХД стоки табл 2'!_Pi1</definedName>
    <definedName name="Pi1_10" localSheetId="5">'Прил. 1 План ФХД табл 1'!_Pi1</definedName>
    <definedName name="Pi1_10" localSheetId="8">'Расчет товарной выручки'!_Pi1</definedName>
    <definedName name="Pi1_10" localSheetId="1">'Текущий ремонт'!_Pi1</definedName>
    <definedName name="Pi1_10" localSheetId="11">'ФАКТ. СЕБЕСТ ВОДА 9 мес. 2019'!_Pi1</definedName>
    <definedName name="Pi1_10" localSheetId="9">'ФАКТ. СЕБЕСТ. СТОКИ 9 мес. 2019'!_Pi1</definedName>
    <definedName name="Pi1_10" localSheetId="4">'Чистая прибыль'!_Pi1</definedName>
    <definedName name="Pi1_10" localSheetId="2">'Чистая прибыль с транспортир.'!_Pi1</definedName>
    <definedName name="Pi1_10">[0]!_Pi1</definedName>
    <definedName name="Pi1_11" localSheetId="45">'ЗП с факт 3 кв. 2015'!_Pi1</definedName>
    <definedName name="Pi1_11" localSheetId="12">'ПОЛНАЯ СЕБЕСТОИМОСТЬ ВОДА 2019'!_Pi1</definedName>
    <definedName name="Pi1_11" localSheetId="10">'ПОЛНАЯ СЕБЕСТОИМОСТЬ СТОКИ 2019'!_Pi1</definedName>
    <definedName name="Pi1_11" localSheetId="7">'Прил. 1 План ФХД вода табл. 2'!_Pi1</definedName>
    <definedName name="Pi1_11" localSheetId="3">'Прил. 1 План ФХД с транспортир.'!_Pi1</definedName>
    <definedName name="Pi1_11" localSheetId="6">'Прил. 1 План ФХД стоки табл 2'!_Pi1</definedName>
    <definedName name="Pi1_11" localSheetId="5">'Прил. 1 План ФХД табл 1'!_Pi1</definedName>
    <definedName name="Pi1_11" localSheetId="8">'Расчет товарной выручки'!_Pi1</definedName>
    <definedName name="Pi1_11" localSheetId="1">'Текущий ремонт'!_Pi1</definedName>
    <definedName name="Pi1_11" localSheetId="11">'ФАКТ. СЕБЕСТ ВОДА 9 мес. 2019'!_Pi1</definedName>
    <definedName name="Pi1_11" localSheetId="9">'ФАКТ. СЕБЕСТ. СТОКИ 9 мес. 2019'!_Pi1</definedName>
    <definedName name="Pi1_11" localSheetId="4">'Чистая прибыль'!_Pi1</definedName>
    <definedName name="Pi1_11" localSheetId="2">'Чистая прибыль с транспортир.'!_Pi1</definedName>
    <definedName name="Pi1_11">[0]!_Pi1</definedName>
    <definedName name="Pi1_13" localSheetId="45">'ЗП с факт 3 кв. 2015'!_Pi1</definedName>
    <definedName name="Pi1_13" localSheetId="12">'ПОЛНАЯ СЕБЕСТОИМОСТЬ ВОДА 2019'!_Pi1</definedName>
    <definedName name="Pi1_13" localSheetId="10">'ПОЛНАЯ СЕБЕСТОИМОСТЬ СТОКИ 2019'!_Pi1</definedName>
    <definedName name="Pi1_13" localSheetId="7">'Прил. 1 План ФХД вода табл. 2'!_Pi1</definedName>
    <definedName name="Pi1_13" localSheetId="3">'Прил. 1 План ФХД с транспортир.'!_Pi1</definedName>
    <definedName name="Pi1_13" localSheetId="6">'Прил. 1 План ФХД стоки табл 2'!_Pi1</definedName>
    <definedName name="Pi1_13" localSheetId="5">'Прил. 1 План ФХД табл 1'!_Pi1</definedName>
    <definedName name="Pi1_13" localSheetId="8">'Расчет товарной выручки'!_Pi1</definedName>
    <definedName name="Pi1_13" localSheetId="1">'Текущий ремонт'!_Pi1</definedName>
    <definedName name="Pi1_13" localSheetId="11">'ФАКТ. СЕБЕСТ ВОДА 9 мес. 2019'!_Pi1</definedName>
    <definedName name="Pi1_13" localSheetId="9">'ФАКТ. СЕБЕСТ. СТОКИ 9 мес. 2019'!_Pi1</definedName>
    <definedName name="Pi1_13" localSheetId="4">'Чистая прибыль'!_Pi1</definedName>
    <definedName name="Pi1_13" localSheetId="2">'Чистая прибыль с транспортир.'!_Pi1</definedName>
    <definedName name="Pi1_13">[0]!_Pi1</definedName>
    <definedName name="Pi1_14" localSheetId="45">'ЗП с факт 3 кв. 2015'!_Pi1</definedName>
    <definedName name="Pi1_14" localSheetId="12">'ПОЛНАЯ СЕБЕСТОИМОСТЬ ВОДА 2019'!_Pi1</definedName>
    <definedName name="Pi1_14" localSheetId="10">'ПОЛНАЯ СЕБЕСТОИМОСТЬ СТОКИ 2019'!_Pi1</definedName>
    <definedName name="Pi1_14" localSheetId="7">'Прил. 1 План ФХД вода табл. 2'!_Pi1</definedName>
    <definedName name="Pi1_14" localSheetId="3">'Прил. 1 План ФХД с транспортир.'!_Pi1</definedName>
    <definedName name="Pi1_14" localSheetId="6">'Прил. 1 План ФХД стоки табл 2'!_Pi1</definedName>
    <definedName name="Pi1_14" localSheetId="5">'Прил. 1 План ФХД табл 1'!_Pi1</definedName>
    <definedName name="Pi1_14" localSheetId="8">'Расчет товарной выручки'!_Pi1</definedName>
    <definedName name="Pi1_14" localSheetId="1">'Текущий ремонт'!_Pi1</definedName>
    <definedName name="Pi1_14" localSheetId="11">'ФАКТ. СЕБЕСТ ВОДА 9 мес. 2019'!_Pi1</definedName>
    <definedName name="Pi1_14" localSheetId="9">'ФАКТ. СЕБЕСТ. СТОКИ 9 мес. 2019'!_Pi1</definedName>
    <definedName name="Pi1_14" localSheetId="4">'Чистая прибыль'!_Pi1</definedName>
    <definedName name="Pi1_14" localSheetId="2">'Чистая прибыль с транспортир.'!_Pi1</definedName>
    <definedName name="Pi1_14">[0]!_Pi1</definedName>
    <definedName name="Pi1_15" localSheetId="45">'ЗП с факт 3 кв. 2015'!_Pi1</definedName>
    <definedName name="Pi1_15" localSheetId="12">'ПОЛНАЯ СЕБЕСТОИМОСТЬ ВОДА 2019'!_Pi1</definedName>
    <definedName name="Pi1_15" localSheetId="10">'ПОЛНАЯ СЕБЕСТОИМОСТЬ СТОКИ 2019'!_Pi1</definedName>
    <definedName name="Pi1_15" localSheetId="7">'Прил. 1 План ФХД вода табл. 2'!_Pi1</definedName>
    <definedName name="Pi1_15" localSheetId="3">'Прил. 1 План ФХД с транспортир.'!_Pi1</definedName>
    <definedName name="Pi1_15" localSheetId="6">'Прил. 1 План ФХД стоки табл 2'!_Pi1</definedName>
    <definedName name="Pi1_15" localSheetId="5">'Прил. 1 План ФХД табл 1'!_Pi1</definedName>
    <definedName name="Pi1_15" localSheetId="8">'Расчет товарной выручки'!_Pi1</definedName>
    <definedName name="Pi1_15" localSheetId="1">'Текущий ремонт'!_Pi1</definedName>
    <definedName name="Pi1_15" localSheetId="11">'ФАКТ. СЕБЕСТ ВОДА 9 мес. 2019'!_Pi1</definedName>
    <definedName name="Pi1_15" localSheetId="9">'ФАКТ. СЕБЕСТ. СТОКИ 9 мес. 2019'!_Pi1</definedName>
    <definedName name="Pi1_15" localSheetId="4">'Чистая прибыль'!_Pi1</definedName>
    <definedName name="Pi1_15" localSheetId="2">'Чистая прибыль с транспортир.'!_Pi1</definedName>
    <definedName name="Pi1_15">_Pi1</definedName>
    <definedName name="Pi1_16" localSheetId="45">'ЗП с факт 3 кв. 2015'!_Pi1</definedName>
    <definedName name="Pi1_16" localSheetId="12">'ПОЛНАЯ СЕБЕСТОИМОСТЬ ВОДА 2019'!_Pi1</definedName>
    <definedName name="Pi1_16" localSheetId="10">'ПОЛНАЯ СЕБЕСТОИМОСТЬ СТОКИ 2019'!_Pi1</definedName>
    <definedName name="Pi1_16" localSheetId="7">'Прил. 1 План ФХД вода табл. 2'!_Pi1</definedName>
    <definedName name="Pi1_16" localSheetId="3">'Прил. 1 План ФХД с транспортир.'!_Pi1</definedName>
    <definedName name="Pi1_16" localSheetId="6">'Прил. 1 План ФХД стоки табл 2'!_Pi1</definedName>
    <definedName name="Pi1_16" localSheetId="5">'Прил. 1 План ФХД табл 1'!_Pi1</definedName>
    <definedName name="Pi1_16" localSheetId="8">'Расчет товарной выручки'!_Pi1</definedName>
    <definedName name="Pi1_16" localSheetId="1">'Текущий ремонт'!_Pi1</definedName>
    <definedName name="Pi1_16" localSheetId="11">'ФАКТ. СЕБЕСТ ВОДА 9 мес. 2019'!_Pi1</definedName>
    <definedName name="Pi1_16" localSheetId="9">'ФАКТ. СЕБЕСТ. СТОКИ 9 мес. 2019'!_Pi1</definedName>
    <definedName name="Pi1_16" localSheetId="4">'Чистая прибыль'!_Pi1</definedName>
    <definedName name="Pi1_16" localSheetId="2">'Чистая прибыль с транспортир.'!_Pi1</definedName>
    <definedName name="Pi1_16">[0]!_Pi1</definedName>
    <definedName name="Pi1_2" localSheetId="45">'ЗП с факт 3 кв. 2015'!_Pi1</definedName>
    <definedName name="Pi1_2" localSheetId="12">'ПОЛНАЯ СЕБЕСТОИМОСТЬ ВОДА 2019'!_Pi1</definedName>
    <definedName name="Pi1_2" localSheetId="10">'ПОЛНАЯ СЕБЕСТОИМОСТЬ СТОКИ 2019'!_Pi1</definedName>
    <definedName name="Pi1_2" localSheetId="7">'Прил. 1 План ФХД вода табл. 2'!_Pi1</definedName>
    <definedName name="Pi1_2" localSheetId="3">'Прил. 1 План ФХД с транспортир.'!_Pi1</definedName>
    <definedName name="Pi1_2" localSheetId="6">'Прил. 1 План ФХД стоки табл 2'!_Pi1</definedName>
    <definedName name="Pi1_2" localSheetId="5">'Прил. 1 План ФХД табл 1'!_Pi1</definedName>
    <definedName name="Pi1_2" localSheetId="8">'Расчет товарной выручки'!_Pi1</definedName>
    <definedName name="Pi1_2" localSheetId="1">'Текущий ремонт'!_Pi1</definedName>
    <definedName name="Pi1_2" localSheetId="11">'ФАКТ. СЕБЕСТ ВОДА 9 мес. 2019'!_Pi1</definedName>
    <definedName name="Pi1_2" localSheetId="9">'ФАКТ. СЕБЕСТ. СТОКИ 9 мес. 2019'!_Pi1</definedName>
    <definedName name="Pi1_2" localSheetId="4">'Чистая прибыль'!_Pi1</definedName>
    <definedName name="Pi1_2" localSheetId="2">'Чистая прибыль с транспортир.'!_Pi1</definedName>
    <definedName name="Pi1_2">[0]!_Pi1</definedName>
    <definedName name="Pi1_22" localSheetId="45">'ЗП с факт 3 кв. 2015'!_Pi1</definedName>
    <definedName name="Pi1_22" localSheetId="12">'ПОЛНАЯ СЕБЕСТОИМОСТЬ ВОДА 2019'!_Pi1</definedName>
    <definedName name="Pi1_22" localSheetId="10">'ПОЛНАЯ СЕБЕСТОИМОСТЬ СТОКИ 2019'!_Pi1</definedName>
    <definedName name="Pi1_22" localSheetId="7">'Прил. 1 План ФХД вода табл. 2'!_Pi1</definedName>
    <definedName name="Pi1_22" localSheetId="3">'Прил. 1 План ФХД с транспортир.'!_Pi1</definedName>
    <definedName name="Pi1_22" localSheetId="6">'Прил. 1 План ФХД стоки табл 2'!_Pi1</definedName>
    <definedName name="Pi1_22" localSheetId="5">'Прил. 1 План ФХД табл 1'!_Pi1</definedName>
    <definedName name="Pi1_22" localSheetId="8">'Расчет товарной выручки'!_Pi1</definedName>
    <definedName name="Pi1_22" localSheetId="1">'Текущий ремонт'!_Pi1</definedName>
    <definedName name="Pi1_22" localSheetId="11">'ФАКТ. СЕБЕСТ ВОДА 9 мес. 2019'!_Pi1</definedName>
    <definedName name="Pi1_22" localSheetId="9">'ФАКТ. СЕБЕСТ. СТОКИ 9 мес. 2019'!_Pi1</definedName>
    <definedName name="Pi1_22" localSheetId="4">'Чистая прибыль'!_Pi1</definedName>
    <definedName name="Pi1_22" localSheetId="2">'Чистая прибыль с транспортир.'!_Pi1</definedName>
    <definedName name="Pi1_22">_Pi1</definedName>
    <definedName name="Pi1_3" localSheetId="45">'ЗП с факт 3 кв. 2015'!_Pi1</definedName>
    <definedName name="Pi1_3" localSheetId="12">'ПОЛНАЯ СЕБЕСТОИМОСТЬ ВОДА 2019'!_Pi1</definedName>
    <definedName name="Pi1_3" localSheetId="10">'ПОЛНАЯ СЕБЕСТОИМОСТЬ СТОКИ 2019'!_Pi1</definedName>
    <definedName name="Pi1_3" localSheetId="7">'Прил. 1 План ФХД вода табл. 2'!_Pi1</definedName>
    <definedName name="Pi1_3" localSheetId="3">'Прил. 1 План ФХД с транспортир.'!_Pi1</definedName>
    <definedName name="Pi1_3" localSheetId="6">'Прил. 1 План ФХД стоки табл 2'!_Pi1</definedName>
    <definedName name="Pi1_3" localSheetId="5">'Прил. 1 План ФХД табл 1'!_Pi1</definedName>
    <definedName name="Pi1_3" localSheetId="8">'Расчет товарной выручки'!_Pi1</definedName>
    <definedName name="Pi1_3" localSheetId="1">'Текущий ремонт'!_Pi1</definedName>
    <definedName name="Pi1_3" localSheetId="11">'ФАКТ. СЕБЕСТ ВОДА 9 мес. 2019'!_Pi1</definedName>
    <definedName name="Pi1_3" localSheetId="9">'ФАКТ. СЕБЕСТ. СТОКИ 9 мес. 2019'!_Pi1</definedName>
    <definedName name="Pi1_3" localSheetId="4">'Чистая прибыль'!_Pi1</definedName>
    <definedName name="Pi1_3" localSheetId="2">'Чистая прибыль с транспортир.'!_Pi1</definedName>
    <definedName name="Pi1_3">[0]!_Pi1</definedName>
    <definedName name="Pi1_4" localSheetId="45">'ЗП с факт 3 кв. 2015'!_Pi1</definedName>
    <definedName name="Pi1_4" localSheetId="12">'ПОЛНАЯ СЕБЕСТОИМОСТЬ ВОДА 2019'!_Pi1</definedName>
    <definedName name="Pi1_4" localSheetId="10">'ПОЛНАЯ СЕБЕСТОИМОСТЬ СТОКИ 2019'!_Pi1</definedName>
    <definedName name="Pi1_4" localSheetId="7">'Прил. 1 План ФХД вода табл. 2'!_Pi1</definedName>
    <definedName name="Pi1_4" localSheetId="3">'Прил. 1 План ФХД с транспортир.'!_Pi1</definedName>
    <definedName name="Pi1_4" localSheetId="6">'Прил. 1 План ФХД стоки табл 2'!_Pi1</definedName>
    <definedName name="Pi1_4" localSheetId="5">'Прил. 1 План ФХД табл 1'!_Pi1</definedName>
    <definedName name="Pi1_4" localSheetId="8">'Расчет товарной выручки'!_Pi1</definedName>
    <definedName name="Pi1_4" localSheetId="1">'Текущий ремонт'!_Pi1</definedName>
    <definedName name="Pi1_4" localSheetId="11">'ФАКТ. СЕБЕСТ ВОДА 9 мес. 2019'!_Pi1</definedName>
    <definedName name="Pi1_4" localSheetId="9">'ФАКТ. СЕБЕСТ. СТОКИ 9 мес. 2019'!_Pi1</definedName>
    <definedName name="Pi1_4" localSheetId="4">'Чистая прибыль'!_Pi1</definedName>
    <definedName name="Pi1_4" localSheetId="2">'Чистая прибыль с транспортир.'!_Pi1</definedName>
    <definedName name="Pi1_4">_Pi1</definedName>
    <definedName name="Pi1_67" localSheetId="45">'ЗП с факт 3 кв. 2015'!_Pi1</definedName>
    <definedName name="Pi1_67" localSheetId="12">'ПОЛНАЯ СЕБЕСТОИМОСТЬ ВОДА 2019'!_Pi1</definedName>
    <definedName name="Pi1_67" localSheetId="10">'ПОЛНАЯ СЕБЕСТОИМОСТЬ СТОКИ 2019'!_Pi1</definedName>
    <definedName name="Pi1_67" localSheetId="7">'Прил. 1 План ФХД вода табл. 2'!_Pi1</definedName>
    <definedName name="Pi1_67" localSheetId="3">'Прил. 1 План ФХД с транспортир.'!_Pi1</definedName>
    <definedName name="Pi1_67" localSheetId="6">'Прил. 1 План ФХД стоки табл 2'!_Pi1</definedName>
    <definedName name="Pi1_67" localSheetId="5">'Прил. 1 План ФХД табл 1'!_Pi1</definedName>
    <definedName name="Pi1_67" localSheetId="8">'Расчет товарной выручки'!_Pi1</definedName>
    <definedName name="Pi1_67" localSheetId="1">'Текущий ремонт'!_Pi1</definedName>
    <definedName name="Pi1_67" localSheetId="11">'ФАКТ. СЕБЕСТ ВОДА 9 мес. 2019'!_Pi1</definedName>
    <definedName name="Pi1_67" localSheetId="9">'ФАКТ. СЕБЕСТ. СТОКИ 9 мес. 2019'!_Pi1</definedName>
    <definedName name="Pi1_67" localSheetId="4">'Чистая прибыль'!_Pi1</definedName>
    <definedName name="Pi1_67" localSheetId="2">'Чистая прибыль с транспортир.'!_Pi1</definedName>
    <definedName name="Pi1_67">_Pi1</definedName>
    <definedName name="Pi1_70" localSheetId="45">'ЗП с факт 3 кв. 2015'!_Pi1</definedName>
    <definedName name="Pi1_70" localSheetId="12">'ПОЛНАЯ СЕБЕСТОИМОСТЬ ВОДА 2019'!_Pi1</definedName>
    <definedName name="Pi1_70" localSheetId="10">'ПОЛНАЯ СЕБЕСТОИМОСТЬ СТОКИ 2019'!_Pi1</definedName>
    <definedName name="Pi1_70" localSheetId="7">'Прил. 1 План ФХД вода табл. 2'!_Pi1</definedName>
    <definedName name="Pi1_70" localSheetId="3">'Прил. 1 План ФХД с транспортир.'!_Pi1</definedName>
    <definedName name="Pi1_70" localSheetId="6">'Прил. 1 План ФХД стоки табл 2'!_Pi1</definedName>
    <definedName name="Pi1_70" localSheetId="5">'Прил. 1 План ФХД табл 1'!_Pi1</definedName>
    <definedName name="Pi1_70" localSheetId="8">'Расчет товарной выручки'!_Pi1</definedName>
    <definedName name="Pi1_70" localSheetId="1">'Текущий ремонт'!_Pi1</definedName>
    <definedName name="Pi1_70" localSheetId="11">'ФАКТ. СЕБЕСТ ВОДА 9 мес. 2019'!_Pi1</definedName>
    <definedName name="Pi1_70" localSheetId="9">'ФАКТ. СЕБЕСТ. СТОКИ 9 мес. 2019'!_Pi1</definedName>
    <definedName name="Pi1_70" localSheetId="4">'Чистая прибыль'!_Pi1</definedName>
    <definedName name="Pi1_70" localSheetId="2">'Чистая прибыль с транспортир.'!_Pi1</definedName>
    <definedName name="Pi1_70">_Pi1</definedName>
    <definedName name="Pi1_71" localSheetId="45">'ЗП с факт 3 кв. 2015'!_Pi1</definedName>
    <definedName name="Pi1_71" localSheetId="12">'ПОЛНАЯ СЕБЕСТОИМОСТЬ ВОДА 2019'!_Pi1</definedName>
    <definedName name="Pi1_71" localSheetId="10">'ПОЛНАЯ СЕБЕСТОИМОСТЬ СТОКИ 2019'!_Pi1</definedName>
    <definedName name="Pi1_71" localSheetId="7">'Прил. 1 План ФХД вода табл. 2'!_Pi1</definedName>
    <definedName name="Pi1_71" localSheetId="3">'Прил. 1 План ФХД с транспортир.'!_Pi1</definedName>
    <definedName name="Pi1_71" localSheetId="6">'Прил. 1 План ФХД стоки табл 2'!_Pi1</definedName>
    <definedName name="Pi1_71" localSheetId="5">'Прил. 1 План ФХД табл 1'!_Pi1</definedName>
    <definedName name="Pi1_71" localSheetId="8">'Расчет товарной выручки'!_Pi1</definedName>
    <definedName name="Pi1_71" localSheetId="1">'Текущий ремонт'!_Pi1</definedName>
    <definedName name="Pi1_71" localSheetId="11">'ФАКТ. СЕБЕСТ ВОДА 9 мес. 2019'!_Pi1</definedName>
    <definedName name="Pi1_71" localSheetId="9">'ФАКТ. СЕБЕСТ. СТОКИ 9 мес. 2019'!_Pi1</definedName>
    <definedName name="Pi1_71" localSheetId="4">'Чистая прибыль'!_Pi1</definedName>
    <definedName name="Pi1_71" localSheetId="2">'Чистая прибыль с транспортир.'!_Pi1</definedName>
    <definedName name="Pi1_71">_Pi1</definedName>
    <definedName name="Pi1_72" localSheetId="45">'ЗП с факт 3 кв. 2015'!_Pi1</definedName>
    <definedName name="Pi1_72" localSheetId="12">'ПОЛНАЯ СЕБЕСТОИМОСТЬ ВОДА 2019'!_Pi1</definedName>
    <definedName name="Pi1_72" localSheetId="10">'ПОЛНАЯ СЕБЕСТОИМОСТЬ СТОКИ 2019'!_Pi1</definedName>
    <definedName name="Pi1_72" localSheetId="7">'Прил. 1 План ФХД вода табл. 2'!_Pi1</definedName>
    <definedName name="Pi1_72" localSheetId="3">'Прил. 1 План ФХД с транспортир.'!_Pi1</definedName>
    <definedName name="Pi1_72" localSheetId="6">'Прил. 1 План ФХД стоки табл 2'!_Pi1</definedName>
    <definedName name="Pi1_72" localSheetId="5">'Прил. 1 План ФХД табл 1'!_Pi1</definedName>
    <definedName name="Pi1_72" localSheetId="8">'Расчет товарной выручки'!_Pi1</definedName>
    <definedName name="Pi1_72" localSheetId="1">'Текущий ремонт'!_Pi1</definedName>
    <definedName name="Pi1_72" localSheetId="11">'ФАКТ. СЕБЕСТ ВОДА 9 мес. 2019'!_Pi1</definedName>
    <definedName name="Pi1_72" localSheetId="9">'ФАКТ. СЕБЕСТ. СТОКИ 9 мес. 2019'!_Pi1</definedName>
    <definedName name="Pi1_72" localSheetId="4">'Чистая прибыль'!_Pi1</definedName>
    <definedName name="Pi1_72" localSheetId="2">'Чистая прибыль с транспортир.'!_Pi1</definedName>
    <definedName name="Pi1_72">_Pi1</definedName>
    <definedName name="Pi1_74" localSheetId="45">'ЗП с факт 3 кв. 2015'!_Pi1</definedName>
    <definedName name="Pi1_74" localSheetId="12">'ПОЛНАЯ СЕБЕСТОИМОСТЬ ВОДА 2019'!_Pi1</definedName>
    <definedName name="Pi1_74" localSheetId="10">'ПОЛНАЯ СЕБЕСТОИМОСТЬ СТОКИ 2019'!_Pi1</definedName>
    <definedName name="Pi1_74" localSheetId="7">'Прил. 1 План ФХД вода табл. 2'!_Pi1</definedName>
    <definedName name="Pi1_74" localSheetId="3">'Прил. 1 План ФХД с транспортир.'!_Pi1</definedName>
    <definedName name="Pi1_74" localSheetId="6">'Прил. 1 План ФХД стоки табл 2'!_Pi1</definedName>
    <definedName name="Pi1_74" localSheetId="5">'Прил. 1 План ФХД табл 1'!_Pi1</definedName>
    <definedName name="Pi1_74" localSheetId="8">'Расчет товарной выручки'!_Pi1</definedName>
    <definedName name="Pi1_74" localSheetId="1">'Текущий ремонт'!_Pi1</definedName>
    <definedName name="Pi1_74" localSheetId="11">'ФАКТ. СЕБЕСТ ВОДА 9 мес. 2019'!_Pi1</definedName>
    <definedName name="Pi1_74" localSheetId="9">'ФАКТ. СЕБЕСТ. СТОКИ 9 мес. 2019'!_Pi1</definedName>
    <definedName name="Pi1_74" localSheetId="4">'Чистая прибыль'!_Pi1</definedName>
    <definedName name="Pi1_74" localSheetId="2">'Чистая прибыль с транспортир.'!_Pi1</definedName>
    <definedName name="Pi1_74">_Pi1</definedName>
    <definedName name="Pi1_9" localSheetId="45">'ЗП с факт 3 кв. 2015'!_Pi1</definedName>
    <definedName name="Pi1_9" localSheetId="12">'ПОЛНАЯ СЕБЕСТОИМОСТЬ ВОДА 2019'!_Pi1</definedName>
    <definedName name="Pi1_9" localSheetId="10">'ПОЛНАЯ СЕБЕСТОИМОСТЬ СТОКИ 2019'!_Pi1</definedName>
    <definedName name="Pi1_9" localSheetId="7">'Прил. 1 План ФХД вода табл. 2'!_Pi1</definedName>
    <definedName name="Pi1_9" localSheetId="3">'Прил. 1 План ФХД с транспортир.'!_Pi1</definedName>
    <definedName name="Pi1_9" localSheetId="6">'Прил. 1 План ФХД стоки табл 2'!_Pi1</definedName>
    <definedName name="Pi1_9" localSheetId="5">'Прил. 1 План ФХД табл 1'!_Pi1</definedName>
    <definedName name="Pi1_9" localSheetId="8">'Расчет товарной выручки'!_Pi1</definedName>
    <definedName name="Pi1_9" localSheetId="1">'Текущий ремонт'!_Pi1</definedName>
    <definedName name="Pi1_9" localSheetId="11">'ФАКТ. СЕБЕСТ ВОДА 9 мес. 2019'!_Pi1</definedName>
    <definedName name="Pi1_9" localSheetId="9">'ФАКТ. СЕБЕСТ. СТОКИ 9 мес. 2019'!_Pi1</definedName>
    <definedName name="Pi1_9" localSheetId="4">'Чистая прибыль'!_Pi1</definedName>
    <definedName name="Pi1_9" localSheetId="2">'Чистая прибыль с транспортир.'!_Pi1</definedName>
    <definedName name="Pi1_9">_Pi1</definedName>
    <definedName name="Pi2_1" localSheetId="45">'ЗП с факт 3 кв. 2015'!_Pi2</definedName>
    <definedName name="Pi2_1" localSheetId="12">'ПОЛНАЯ СЕБЕСТОИМОСТЬ ВОДА 2019'!_Pi2</definedName>
    <definedName name="Pi2_1" localSheetId="10">'ПОЛНАЯ СЕБЕСТОИМОСТЬ СТОКИ 2019'!_Pi2</definedName>
    <definedName name="Pi2_1" localSheetId="7">'Прил. 1 План ФХД вода табл. 2'!_Pi2</definedName>
    <definedName name="Pi2_1" localSheetId="3">'Прил. 1 План ФХД с транспортир.'!_Pi2</definedName>
    <definedName name="Pi2_1" localSheetId="6">'Прил. 1 План ФХД стоки табл 2'!_Pi2</definedName>
    <definedName name="Pi2_1" localSheetId="5">'Прил. 1 План ФХД табл 1'!_Pi2</definedName>
    <definedName name="Pi2_1" localSheetId="8">'Расчет товарной выручки'!_Pi2</definedName>
    <definedName name="Pi2_1" localSheetId="1">'Текущий ремонт'!_Pi2</definedName>
    <definedName name="Pi2_1" localSheetId="11">'ФАКТ. СЕБЕСТ ВОДА 9 мес. 2019'!_Pi2</definedName>
    <definedName name="Pi2_1" localSheetId="9">'ФАКТ. СЕБЕСТ. СТОКИ 9 мес. 2019'!_Pi2</definedName>
    <definedName name="Pi2_1" localSheetId="4">'Чистая прибыль'!_Pi2</definedName>
    <definedName name="Pi2_1" localSheetId="2">'Чистая прибыль с транспортир.'!_Pi2</definedName>
    <definedName name="Pi2_1">[0]!_Pi2</definedName>
    <definedName name="Pi2_10" localSheetId="45">'ЗП с факт 3 кв. 2015'!_Pi2</definedName>
    <definedName name="Pi2_10" localSheetId="12">'ПОЛНАЯ СЕБЕСТОИМОСТЬ ВОДА 2019'!_Pi2</definedName>
    <definedName name="Pi2_10" localSheetId="10">'ПОЛНАЯ СЕБЕСТОИМОСТЬ СТОКИ 2019'!_Pi2</definedName>
    <definedName name="Pi2_10" localSheetId="7">'Прил. 1 План ФХД вода табл. 2'!_Pi2</definedName>
    <definedName name="Pi2_10" localSheetId="3">'Прил. 1 План ФХД с транспортир.'!_Pi2</definedName>
    <definedName name="Pi2_10" localSheetId="6">'Прил. 1 План ФХД стоки табл 2'!_Pi2</definedName>
    <definedName name="Pi2_10" localSheetId="5">'Прил. 1 План ФХД табл 1'!_Pi2</definedName>
    <definedName name="Pi2_10" localSheetId="8">'Расчет товарной выручки'!_Pi2</definedName>
    <definedName name="Pi2_10" localSheetId="1">'Текущий ремонт'!_Pi2</definedName>
    <definedName name="Pi2_10" localSheetId="11">'ФАКТ. СЕБЕСТ ВОДА 9 мес. 2019'!_Pi2</definedName>
    <definedName name="Pi2_10" localSheetId="9">'ФАКТ. СЕБЕСТ. СТОКИ 9 мес. 2019'!_Pi2</definedName>
    <definedName name="Pi2_10" localSheetId="4">'Чистая прибыль'!_Pi2</definedName>
    <definedName name="Pi2_10" localSheetId="2">'Чистая прибыль с транспортир.'!_Pi2</definedName>
    <definedName name="Pi2_10">[0]!_Pi2</definedName>
    <definedName name="Pi2_11" localSheetId="45">'ЗП с факт 3 кв. 2015'!_Pi2</definedName>
    <definedName name="Pi2_11" localSheetId="12">'ПОЛНАЯ СЕБЕСТОИМОСТЬ ВОДА 2019'!_Pi2</definedName>
    <definedName name="Pi2_11" localSheetId="10">'ПОЛНАЯ СЕБЕСТОИМОСТЬ СТОКИ 2019'!_Pi2</definedName>
    <definedName name="Pi2_11" localSheetId="7">'Прил. 1 План ФХД вода табл. 2'!_Pi2</definedName>
    <definedName name="Pi2_11" localSheetId="3">'Прил. 1 План ФХД с транспортир.'!_Pi2</definedName>
    <definedName name="Pi2_11" localSheetId="6">'Прил. 1 План ФХД стоки табл 2'!_Pi2</definedName>
    <definedName name="Pi2_11" localSheetId="5">'Прил. 1 План ФХД табл 1'!_Pi2</definedName>
    <definedName name="Pi2_11" localSheetId="8">'Расчет товарной выручки'!_Pi2</definedName>
    <definedName name="Pi2_11" localSheetId="1">'Текущий ремонт'!_Pi2</definedName>
    <definedName name="Pi2_11" localSheetId="11">'ФАКТ. СЕБЕСТ ВОДА 9 мес. 2019'!_Pi2</definedName>
    <definedName name="Pi2_11" localSheetId="9">'ФАКТ. СЕБЕСТ. СТОКИ 9 мес. 2019'!_Pi2</definedName>
    <definedName name="Pi2_11" localSheetId="4">'Чистая прибыль'!_Pi2</definedName>
    <definedName name="Pi2_11" localSheetId="2">'Чистая прибыль с транспортир.'!_Pi2</definedName>
    <definedName name="Pi2_11">[0]!_Pi2</definedName>
    <definedName name="Pi2_13" localSheetId="45">'ЗП с факт 3 кв. 2015'!_Pi2</definedName>
    <definedName name="Pi2_13" localSheetId="12">'ПОЛНАЯ СЕБЕСТОИМОСТЬ ВОДА 2019'!_Pi2</definedName>
    <definedName name="Pi2_13" localSheetId="10">'ПОЛНАЯ СЕБЕСТОИМОСТЬ СТОКИ 2019'!_Pi2</definedName>
    <definedName name="Pi2_13" localSheetId="7">'Прил. 1 План ФХД вода табл. 2'!_Pi2</definedName>
    <definedName name="Pi2_13" localSheetId="3">'Прил. 1 План ФХД с транспортир.'!_Pi2</definedName>
    <definedName name="Pi2_13" localSheetId="6">'Прил. 1 План ФХД стоки табл 2'!_Pi2</definedName>
    <definedName name="Pi2_13" localSheetId="5">'Прил. 1 План ФХД табл 1'!_Pi2</definedName>
    <definedName name="Pi2_13" localSheetId="8">'Расчет товарной выручки'!_Pi2</definedName>
    <definedName name="Pi2_13" localSheetId="1">'Текущий ремонт'!_Pi2</definedName>
    <definedName name="Pi2_13" localSheetId="11">'ФАКТ. СЕБЕСТ ВОДА 9 мес. 2019'!_Pi2</definedName>
    <definedName name="Pi2_13" localSheetId="9">'ФАКТ. СЕБЕСТ. СТОКИ 9 мес. 2019'!_Pi2</definedName>
    <definedName name="Pi2_13" localSheetId="4">'Чистая прибыль'!_Pi2</definedName>
    <definedName name="Pi2_13" localSheetId="2">'Чистая прибыль с транспортир.'!_Pi2</definedName>
    <definedName name="Pi2_13">[0]!_Pi2</definedName>
    <definedName name="Pi2_14" localSheetId="45">'ЗП с факт 3 кв. 2015'!_Pi2</definedName>
    <definedName name="Pi2_14" localSheetId="12">'ПОЛНАЯ СЕБЕСТОИМОСТЬ ВОДА 2019'!_Pi2</definedName>
    <definedName name="Pi2_14" localSheetId="10">'ПОЛНАЯ СЕБЕСТОИМОСТЬ СТОКИ 2019'!_Pi2</definedName>
    <definedName name="Pi2_14" localSheetId="7">'Прил. 1 План ФХД вода табл. 2'!_Pi2</definedName>
    <definedName name="Pi2_14" localSheetId="3">'Прил. 1 План ФХД с транспортир.'!_Pi2</definedName>
    <definedName name="Pi2_14" localSheetId="6">'Прил. 1 План ФХД стоки табл 2'!_Pi2</definedName>
    <definedName name="Pi2_14" localSheetId="5">'Прил. 1 План ФХД табл 1'!_Pi2</definedName>
    <definedName name="Pi2_14" localSheetId="8">'Расчет товарной выручки'!_Pi2</definedName>
    <definedName name="Pi2_14" localSheetId="1">'Текущий ремонт'!_Pi2</definedName>
    <definedName name="Pi2_14" localSheetId="11">'ФАКТ. СЕБЕСТ ВОДА 9 мес. 2019'!_Pi2</definedName>
    <definedName name="Pi2_14" localSheetId="9">'ФАКТ. СЕБЕСТ. СТОКИ 9 мес. 2019'!_Pi2</definedName>
    <definedName name="Pi2_14" localSheetId="4">'Чистая прибыль'!_Pi2</definedName>
    <definedName name="Pi2_14" localSheetId="2">'Чистая прибыль с транспортир.'!_Pi2</definedName>
    <definedName name="Pi2_14">[0]!_Pi2</definedName>
    <definedName name="Pi2_15" localSheetId="45">'ЗП с факт 3 кв. 2015'!_Pi2</definedName>
    <definedName name="Pi2_15" localSheetId="12">'ПОЛНАЯ СЕБЕСТОИМОСТЬ ВОДА 2019'!_Pi2</definedName>
    <definedName name="Pi2_15" localSheetId="10">'ПОЛНАЯ СЕБЕСТОИМОСТЬ СТОКИ 2019'!_Pi2</definedName>
    <definedName name="Pi2_15" localSheetId="7">'Прил. 1 План ФХД вода табл. 2'!_Pi2</definedName>
    <definedName name="Pi2_15" localSheetId="3">'Прил. 1 План ФХД с транспортир.'!_Pi2</definedName>
    <definedName name="Pi2_15" localSheetId="6">'Прил. 1 План ФХД стоки табл 2'!_Pi2</definedName>
    <definedName name="Pi2_15" localSheetId="5">'Прил. 1 План ФХД табл 1'!_Pi2</definedName>
    <definedName name="Pi2_15" localSheetId="8">'Расчет товарной выручки'!_Pi2</definedName>
    <definedName name="Pi2_15" localSheetId="1">'Текущий ремонт'!_Pi2</definedName>
    <definedName name="Pi2_15" localSheetId="11">'ФАКТ. СЕБЕСТ ВОДА 9 мес. 2019'!_Pi2</definedName>
    <definedName name="Pi2_15" localSheetId="9">'ФАКТ. СЕБЕСТ. СТОКИ 9 мес. 2019'!_Pi2</definedName>
    <definedName name="Pi2_15" localSheetId="4">'Чистая прибыль'!_Pi2</definedName>
    <definedName name="Pi2_15" localSheetId="2">'Чистая прибыль с транспортир.'!_Pi2</definedName>
    <definedName name="Pi2_15">_Pi2</definedName>
    <definedName name="Pi2_16" localSheetId="45">'ЗП с факт 3 кв. 2015'!_Pi2</definedName>
    <definedName name="Pi2_16" localSheetId="12">'ПОЛНАЯ СЕБЕСТОИМОСТЬ ВОДА 2019'!_Pi2</definedName>
    <definedName name="Pi2_16" localSheetId="10">'ПОЛНАЯ СЕБЕСТОИМОСТЬ СТОКИ 2019'!_Pi2</definedName>
    <definedName name="Pi2_16" localSheetId="7">'Прил. 1 План ФХД вода табл. 2'!_Pi2</definedName>
    <definedName name="Pi2_16" localSheetId="3">'Прил. 1 План ФХД с транспортир.'!_Pi2</definedName>
    <definedName name="Pi2_16" localSheetId="6">'Прил. 1 План ФХД стоки табл 2'!_Pi2</definedName>
    <definedName name="Pi2_16" localSheetId="5">'Прил. 1 План ФХД табл 1'!_Pi2</definedName>
    <definedName name="Pi2_16" localSheetId="8">'Расчет товарной выручки'!_Pi2</definedName>
    <definedName name="Pi2_16" localSheetId="1">'Текущий ремонт'!_Pi2</definedName>
    <definedName name="Pi2_16" localSheetId="11">'ФАКТ. СЕБЕСТ ВОДА 9 мес. 2019'!_Pi2</definedName>
    <definedName name="Pi2_16" localSheetId="9">'ФАКТ. СЕБЕСТ. СТОКИ 9 мес. 2019'!_Pi2</definedName>
    <definedName name="Pi2_16" localSheetId="4">'Чистая прибыль'!_Pi2</definedName>
    <definedName name="Pi2_16" localSheetId="2">'Чистая прибыль с транспортир.'!_Pi2</definedName>
    <definedName name="Pi2_16">[0]!_Pi2</definedName>
    <definedName name="Pi2_2" localSheetId="45">'ЗП с факт 3 кв. 2015'!_Pi2</definedName>
    <definedName name="Pi2_2" localSheetId="12">'ПОЛНАЯ СЕБЕСТОИМОСТЬ ВОДА 2019'!_Pi2</definedName>
    <definedName name="Pi2_2" localSheetId="10">'ПОЛНАЯ СЕБЕСТОИМОСТЬ СТОКИ 2019'!_Pi2</definedName>
    <definedName name="Pi2_2" localSheetId="7">'Прил. 1 План ФХД вода табл. 2'!_Pi2</definedName>
    <definedName name="Pi2_2" localSheetId="3">'Прил. 1 План ФХД с транспортир.'!_Pi2</definedName>
    <definedName name="Pi2_2" localSheetId="6">'Прил. 1 План ФХД стоки табл 2'!_Pi2</definedName>
    <definedName name="Pi2_2" localSheetId="5">'Прил. 1 План ФХД табл 1'!_Pi2</definedName>
    <definedName name="Pi2_2" localSheetId="8">'Расчет товарной выручки'!_Pi2</definedName>
    <definedName name="Pi2_2" localSheetId="1">'Текущий ремонт'!_Pi2</definedName>
    <definedName name="Pi2_2" localSheetId="11">'ФАКТ. СЕБЕСТ ВОДА 9 мес. 2019'!_Pi2</definedName>
    <definedName name="Pi2_2" localSheetId="9">'ФАКТ. СЕБЕСТ. СТОКИ 9 мес. 2019'!_Pi2</definedName>
    <definedName name="Pi2_2" localSheetId="4">'Чистая прибыль'!_Pi2</definedName>
    <definedName name="Pi2_2" localSheetId="2">'Чистая прибыль с транспортир.'!_Pi2</definedName>
    <definedName name="Pi2_2">[0]!_Pi2</definedName>
    <definedName name="Pi2_22" localSheetId="45">'ЗП с факт 3 кв. 2015'!_Pi2</definedName>
    <definedName name="Pi2_22" localSheetId="12">'ПОЛНАЯ СЕБЕСТОИМОСТЬ ВОДА 2019'!_Pi2</definedName>
    <definedName name="Pi2_22" localSheetId="10">'ПОЛНАЯ СЕБЕСТОИМОСТЬ СТОКИ 2019'!_Pi2</definedName>
    <definedName name="Pi2_22" localSheetId="7">'Прил. 1 План ФХД вода табл. 2'!_Pi2</definedName>
    <definedName name="Pi2_22" localSheetId="3">'Прил. 1 План ФХД с транспортир.'!_Pi2</definedName>
    <definedName name="Pi2_22" localSheetId="6">'Прил. 1 План ФХД стоки табл 2'!_Pi2</definedName>
    <definedName name="Pi2_22" localSheetId="5">'Прил. 1 План ФХД табл 1'!_Pi2</definedName>
    <definedName name="Pi2_22" localSheetId="8">'Расчет товарной выручки'!_Pi2</definedName>
    <definedName name="Pi2_22" localSheetId="1">'Текущий ремонт'!_Pi2</definedName>
    <definedName name="Pi2_22" localSheetId="11">'ФАКТ. СЕБЕСТ ВОДА 9 мес. 2019'!_Pi2</definedName>
    <definedName name="Pi2_22" localSheetId="9">'ФАКТ. СЕБЕСТ. СТОКИ 9 мес. 2019'!_Pi2</definedName>
    <definedName name="Pi2_22" localSheetId="4">'Чистая прибыль'!_Pi2</definedName>
    <definedName name="Pi2_22" localSheetId="2">'Чистая прибыль с транспортир.'!_Pi2</definedName>
    <definedName name="Pi2_22">_Pi2</definedName>
    <definedName name="Pi2_3" localSheetId="45">'ЗП с факт 3 кв. 2015'!_Pi2</definedName>
    <definedName name="Pi2_3" localSheetId="12">'ПОЛНАЯ СЕБЕСТОИМОСТЬ ВОДА 2019'!_Pi2</definedName>
    <definedName name="Pi2_3" localSheetId="10">'ПОЛНАЯ СЕБЕСТОИМОСТЬ СТОКИ 2019'!_Pi2</definedName>
    <definedName name="Pi2_3" localSheetId="7">'Прил. 1 План ФХД вода табл. 2'!_Pi2</definedName>
    <definedName name="Pi2_3" localSheetId="3">'Прил. 1 План ФХД с транспортир.'!_Pi2</definedName>
    <definedName name="Pi2_3" localSheetId="6">'Прил. 1 План ФХД стоки табл 2'!_Pi2</definedName>
    <definedName name="Pi2_3" localSheetId="5">'Прил. 1 План ФХД табл 1'!_Pi2</definedName>
    <definedName name="Pi2_3" localSheetId="8">'Расчет товарной выручки'!_Pi2</definedName>
    <definedName name="Pi2_3" localSheetId="1">'Текущий ремонт'!_Pi2</definedName>
    <definedName name="Pi2_3" localSheetId="11">'ФАКТ. СЕБЕСТ ВОДА 9 мес. 2019'!_Pi2</definedName>
    <definedName name="Pi2_3" localSheetId="9">'ФАКТ. СЕБЕСТ. СТОКИ 9 мес. 2019'!_Pi2</definedName>
    <definedName name="Pi2_3" localSheetId="4">'Чистая прибыль'!_Pi2</definedName>
    <definedName name="Pi2_3" localSheetId="2">'Чистая прибыль с транспортир.'!_Pi2</definedName>
    <definedName name="Pi2_3">[0]!_Pi2</definedName>
    <definedName name="Pi2_4" localSheetId="45">'ЗП с факт 3 кв. 2015'!_Pi2</definedName>
    <definedName name="Pi2_4" localSheetId="12">'ПОЛНАЯ СЕБЕСТОИМОСТЬ ВОДА 2019'!_Pi2</definedName>
    <definedName name="Pi2_4" localSheetId="10">'ПОЛНАЯ СЕБЕСТОИМОСТЬ СТОКИ 2019'!_Pi2</definedName>
    <definedName name="Pi2_4" localSheetId="7">'Прил. 1 План ФХД вода табл. 2'!_Pi2</definedName>
    <definedName name="Pi2_4" localSheetId="3">'Прил. 1 План ФХД с транспортир.'!_Pi2</definedName>
    <definedName name="Pi2_4" localSheetId="6">'Прил. 1 План ФХД стоки табл 2'!_Pi2</definedName>
    <definedName name="Pi2_4" localSheetId="5">'Прил. 1 План ФХД табл 1'!_Pi2</definedName>
    <definedName name="Pi2_4" localSheetId="8">'Расчет товарной выручки'!_Pi2</definedName>
    <definedName name="Pi2_4" localSheetId="1">'Текущий ремонт'!_Pi2</definedName>
    <definedName name="Pi2_4" localSheetId="11">'ФАКТ. СЕБЕСТ ВОДА 9 мес. 2019'!_Pi2</definedName>
    <definedName name="Pi2_4" localSheetId="9">'ФАКТ. СЕБЕСТ. СТОКИ 9 мес. 2019'!_Pi2</definedName>
    <definedName name="Pi2_4" localSheetId="4">'Чистая прибыль'!_Pi2</definedName>
    <definedName name="Pi2_4" localSheetId="2">'Чистая прибыль с транспортир.'!_Pi2</definedName>
    <definedName name="Pi2_4">_Pi2</definedName>
    <definedName name="Pi2_67" localSheetId="45">'ЗП с факт 3 кв. 2015'!_Pi2</definedName>
    <definedName name="Pi2_67" localSheetId="12">'ПОЛНАЯ СЕБЕСТОИМОСТЬ ВОДА 2019'!_Pi2</definedName>
    <definedName name="Pi2_67" localSheetId="10">'ПОЛНАЯ СЕБЕСТОИМОСТЬ СТОКИ 2019'!_Pi2</definedName>
    <definedName name="Pi2_67" localSheetId="7">'Прил. 1 План ФХД вода табл. 2'!_Pi2</definedName>
    <definedName name="Pi2_67" localSheetId="3">'Прил. 1 План ФХД с транспортир.'!_Pi2</definedName>
    <definedName name="Pi2_67" localSheetId="6">'Прил. 1 План ФХД стоки табл 2'!_Pi2</definedName>
    <definedName name="Pi2_67" localSheetId="5">'Прил. 1 План ФХД табл 1'!_Pi2</definedName>
    <definedName name="Pi2_67" localSheetId="8">'Расчет товарной выручки'!_Pi2</definedName>
    <definedName name="Pi2_67" localSheetId="1">'Текущий ремонт'!_Pi2</definedName>
    <definedName name="Pi2_67" localSheetId="11">'ФАКТ. СЕБЕСТ ВОДА 9 мес. 2019'!_Pi2</definedName>
    <definedName name="Pi2_67" localSheetId="9">'ФАКТ. СЕБЕСТ. СТОКИ 9 мес. 2019'!_Pi2</definedName>
    <definedName name="Pi2_67" localSheetId="4">'Чистая прибыль'!_Pi2</definedName>
    <definedName name="Pi2_67" localSheetId="2">'Чистая прибыль с транспортир.'!_Pi2</definedName>
    <definedName name="Pi2_67">_Pi2</definedName>
    <definedName name="Pi2_70" localSheetId="45">'ЗП с факт 3 кв. 2015'!_Pi2</definedName>
    <definedName name="Pi2_70" localSheetId="12">'ПОЛНАЯ СЕБЕСТОИМОСТЬ ВОДА 2019'!_Pi2</definedName>
    <definedName name="Pi2_70" localSheetId="10">'ПОЛНАЯ СЕБЕСТОИМОСТЬ СТОКИ 2019'!_Pi2</definedName>
    <definedName name="Pi2_70" localSheetId="7">'Прил. 1 План ФХД вода табл. 2'!_Pi2</definedName>
    <definedName name="Pi2_70" localSheetId="3">'Прил. 1 План ФХД с транспортир.'!_Pi2</definedName>
    <definedName name="Pi2_70" localSheetId="6">'Прил. 1 План ФХД стоки табл 2'!_Pi2</definedName>
    <definedName name="Pi2_70" localSheetId="5">'Прил. 1 План ФХД табл 1'!_Pi2</definedName>
    <definedName name="Pi2_70" localSheetId="8">'Расчет товарной выручки'!_Pi2</definedName>
    <definedName name="Pi2_70" localSheetId="1">'Текущий ремонт'!_Pi2</definedName>
    <definedName name="Pi2_70" localSheetId="11">'ФАКТ. СЕБЕСТ ВОДА 9 мес. 2019'!_Pi2</definedName>
    <definedName name="Pi2_70" localSheetId="9">'ФАКТ. СЕБЕСТ. СТОКИ 9 мес. 2019'!_Pi2</definedName>
    <definedName name="Pi2_70" localSheetId="4">'Чистая прибыль'!_Pi2</definedName>
    <definedName name="Pi2_70" localSheetId="2">'Чистая прибыль с транспортир.'!_Pi2</definedName>
    <definedName name="Pi2_70">_Pi2</definedName>
    <definedName name="Pi2_71" localSheetId="45">'ЗП с факт 3 кв. 2015'!_Pi2</definedName>
    <definedName name="Pi2_71" localSheetId="12">'ПОЛНАЯ СЕБЕСТОИМОСТЬ ВОДА 2019'!_Pi2</definedName>
    <definedName name="Pi2_71" localSheetId="10">'ПОЛНАЯ СЕБЕСТОИМОСТЬ СТОКИ 2019'!_Pi2</definedName>
    <definedName name="Pi2_71" localSheetId="7">'Прил. 1 План ФХД вода табл. 2'!_Pi2</definedName>
    <definedName name="Pi2_71" localSheetId="3">'Прил. 1 План ФХД с транспортир.'!_Pi2</definedName>
    <definedName name="Pi2_71" localSheetId="6">'Прил. 1 План ФХД стоки табл 2'!_Pi2</definedName>
    <definedName name="Pi2_71" localSheetId="5">'Прил. 1 План ФХД табл 1'!_Pi2</definedName>
    <definedName name="Pi2_71" localSheetId="8">'Расчет товарной выручки'!_Pi2</definedName>
    <definedName name="Pi2_71" localSheetId="1">'Текущий ремонт'!_Pi2</definedName>
    <definedName name="Pi2_71" localSheetId="11">'ФАКТ. СЕБЕСТ ВОДА 9 мес. 2019'!_Pi2</definedName>
    <definedName name="Pi2_71" localSheetId="9">'ФАКТ. СЕБЕСТ. СТОКИ 9 мес. 2019'!_Pi2</definedName>
    <definedName name="Pi2_71" localSheetId="4">'Чистая прибыль'!_Pi2</definedName>
    <definedName name="Pi2_71" localSheetId="2">'Чистая прибыль с транспортир.'!_Pi2</definedName>
    <definedName name="Pi2_71">_Pi2</definedName>
    <definedName name="Pi2_72" localSheetId="45">'ЗП с факт 3 кв. 2015'!_Pi2</definedName>
    <definedName name="Pi2_72" localSheetId="12">'ПОЛНАЯ СЕБЕСТОИМОСТЬ ВОДА 2019'!_Pi2</definedName>
    <definedName name="Pi2_72" localSheetId="10">'ПОЛНАЯ СЕБЕСТОИМОСТЬ СТОКИ 2019'!_Pi2</definedName>
    <definedName name="Pi2_72" localSheetId="7">'Прил. 1 План ФХД вода табл. 2'!_Pi2</definedName>
    <definedName name="Pi2_72" localSheetId="3">'Прил. 1 План ФХД с транспортир.'!_Pi2</definedName>
    <definedName name="Pi2_72" localSheetId="6">'Прил. 1 План ФХД стоки табл 2'!_Pi2</definedName>
    <definedName name="Pi2_72" localSheetId="5">'Прил. 1 План ФХД табл 1'!_Pi2</definedName>
    <definedName name="Pi2_72" localSheetId="8">'Расчет товарной выручки'!_Pi2</definedName>
    <definedName name="Pi2_72" localSheetId="1">'Текущий ремонт'!_Pi2</definedName>
    <definedName name="Pi2_72" localSheetId="11">'ФАКТ. СЕБЕСТ ВОДА 9 мес. 2019'!_Pi2</definedName>
    <definedName name="Pi2_72" localSheetId="9">'ФАКТ. СЕБЕСТ. СТОКИ 9 мес. 2019'!_Pi2</definedName>
    <definedName name="Pi2_72" localSheetId="4">'Чистая прибыль'!_Pi2</definedName>
    <definedName name="Pi2_72" localSheetId="2">'Чистая прибыль с транспортир.'!_Pi2</definedName>
    <definedName name="Pi2_72">_Pi2</definedName>
    <definedName name="Pi2_74" localSheetId="45">'ЗП с факт 3 кв. 2015'!_Pi2</definedName>
    <definedName name="Pi2_74" localSheetId="12">'ПОЛНАЯ СЕБЕСТОИМОСТЬ ВОДА 2019'!_Pi2</definedName>
    <definedName name="Pi2_74" localSheetId="10">'ПОЛНАЯ СЕБЕСТОИМОСТЬ СТОКИ 2019'!_Pi2</definedName>
    <definedName name="Pi2_74" localSheetId="7">'Прил. 1 План ФХД вода табл. 2'!_Pi2</definedName>
    <definedName name="Pi2_74" localSheetId="3">'Прил. 1 План ФХД с транспортир.'!_Pi2</definedName>
    <definedName name="Pi2_74" localSheetId="6">'Прил. 1 План ФХД стоки табл 2'!_Pi2</definedName>
    <definedName name="Pi2_74" localSheetId="5">'Прил. 1 План ФХД табл 1'!_Pi2</definedName>
    <definedName name="Pi2_74" localSheetId="8">'Расчет товарной выручки'!_Pi2</definedName>
    <definedName name="Pi2_74" localSheetId="1">'Текущий ремонт'!_Pi2</definedName>
    <definedName name="Pi2_74" localSheetId="11">'ФАКТ. СЕБЕСТ ВОДА 9 мес. 2019'!_Pi2</definedName>
    <definedName name="Pi2_74" localSheetId="9">'ФАКТ. СЕБЕСТ. СТОКИ 9 мес. 2019'!_Pi2</definedName>
    <definedName name="Pi2_74" localSheetId="4">'Чистая прибыль'!_Pi2</definedName>
    <definedName name="Pi2_74" localSheetId="2">'Чистая прибыль с транспортир.'!_Pi2</definedName>
    <definedName name="Pi2_74">_Pi2</definedName>
    <definedName name="Pi2_9" localSheetId="45">'ЗП с факт 3 кв. 2015'!_Pi2</definedName>
    <definedName name="Pi2_9" localSheetId="12">'ПОЛНАЯ СЕБЕСТОИМОСТЬ ВОДА 2019'!_Pi2</definedName>
    <definedName name="Pi2_9" localSheetId="10">'ПОЛНАЯ СЕБЕСТОИМОСТЬ СТОКИ 2019'!_Pi2</definedName>
    <definedName name="Pi2_9" localSheetId="7">'Прил. 1 План ФХД вода табл. 2'!_Pi2</definedName>
    <definedName name="Pi2_9" localSheetId="3">'Прил. 1 План ФХД с транспортир.'!_Pi2</definedName>
    <definedName name="Pi2_9" localSheetId="6">'Прил. 1 План ФХД стоки табл 2'!_Pi2</definedName>
    <definedName name="Pi2_9" localSheetId="5">'Прил. 1 План ФХД табл 1'!_Pi2</definedName>
    <definedName name="Pi2_9" localSheetId="8">'Расчет товарной выручки'!_Pi2</definedName>
    <definedName name="Pi2_9" localSheetId="1">'Текущий ремонт'!_Pi2</definedName>
    <definedName name="Pi2_9" localSheetId="11">'ФАКТ. СЕБЕСТ ВОДА 9 мес. 2019'!_Pi2</definedName>
    <definedName name="Pi2_9" localSheetId="9">'ФАКТ. СЕБЕСТ. СТОКИ 9 мес. 2019'!_Pi2</definedName>
    <definedName name="Pi2_9" localSheetId="4">'Чистая прибыль'!_Pi2</definedName>
    <definedName name="Pi2_9" localSheetId="2">'Чистая прибыль с транспортир.'!_Pi2</definedName>
    <definedName name="Pi2_9">_Pi2</definedName>
    <definedName name="Pi3_1" localSheetId="45">'ЗП с факт 3 кв. 2015'!_Pi3</definedName>
    <definedName name="Pi3_1" localSheetId="12">'ПОЛНАЯ СЕБЕСТОИМОСТЬ ВОДА 2019'!_Pi3</definedName>
    <definedName name="Pi3_1" localSheetId="10">'ПОЛНАЯ СЕБЕСТОИМОСТЬ СТОКИ 2019'!_Pi3</definedName>
    <definedName name="Pi3_1" localSheetId="7">'Прил. 1 План ФХД вода табл. 2'!_Pi3</definedName>
    <definedName name="Pi3_1" localSheetId="3">'Прил. 1 План ФХД с транспортир.'!_Pi3</definedName>
    <definedName name="Pi3_1" localSheetId="6">'Прил. 1 План ФХД стоки табл 2'!_Pi3</definedName>
    <definedName name="Pi3_1" localSheetId="5">'Прил. 1 План ФХД табл 1'!_Pi3</definedName>
    <definedName name="Pi3_1" localSheetId="8">'Расчет товарной выручки'!_Pi3</definedName>
    <definedName name="Pi3_1" localSheetId="1">'Текущий ремонт'!_Pi3</definedName>
    <definedName name="Pi3_1" localSheetId="11">'ФАКТ. СЕБЕСТ ВОДА 9 мес. 2019'!_Pi3</definedName>
    <definedName name="Pi3_1" localSheetId="9">'ФАКТ. СЕБЕСТ. СТОКИ 9 мес. 2019'!_Pi3</definedName>
    <definedName name="Pi3_1" localSheetId="4">'Чистая прибыль'!_Pi3</definedName>
    <definedName name="Pi3_1" localSheetId="2">'Чистая прибыль с транспортир.'!_Pi3</definedName>
    <definedName name="Pi3_1">[0]!_Pi3</definedName>
    <definedName name="Pi3_10" localSheetId="45">'ЗП с факт 3 кв. 2015'!_Pi3</definedName>
    <definedName name="Pi3_10" localSheetId="12">'ПОЛНАЯ СЕБЕСТОИМОСТЬ ВОДА 2019'!_Pi3</definedName>
    <definedName name="Pi3_10" localSheetId="10">'ПОЛНАЯ СЕБЕСТОИМОСТЬ СТОКИ 2019'!_Pi3</definedName>
    <definedName name="Pi3_10" localSheetId="7">'Прил. 1 План ФХД вода табл. 2'!_Pi3</definedName>
    <definedName name="Pi3_10" localSheetId="3">'Прил. 1 План ФХД с транспортир.'!_Pi3</definedName>
    <definedName name="Pi3_10" localSheetId="6">'Прил. 1 План ФХД стоки табл 2'!_Pi3</definedName>
    <definedName name="Pi3_10" localSheetId="5">'Прил. 1 План ФХД табл 1'!_Pi3</definedName>
    <definedName name="Pi3_10" localSheetId="8">'Расчет товарной выручки'!_Pi3</definedName>
    <definedName name="Pi3_10" localSheetId="1">'Текущий ремонт'!_Pi3</definedName>
    <definedName name="Pi3_10" localSheetId="11">'ФАКТ. СЕБЕСТ ВОДА 9 мес. 2019'!_Pi3</definedName>
    <definedName name="Pi3_10" localSheetId="9">'ФАКТ. СЕБЕСТ. СТОКИ 9 мес. 2019'!_Pi3</definedName>
    <definedName name="Pi3_10" localSheetId="4">'Чистая прибыль'!_Pi3</definedName>
    <definedName name="Pi3_10" localSheetId="2">'Чистая прибыль с транспортир.'!_Pi3</definedName>
    <definedName name="Pi3_10">[0]!_Pi3</definedName>
    <definedName name="Pi3_11" localSheetId="45">'ЗП с факт 3 кв. 2015'!_Pi3</definedName>
    <definedName name="Pi3_11" localSheetId="12">'ПОЛНАЯ СЕБЕСТОИМОСТЬ ВОДА 2019'!_Pi3</definedName>
    <definedName name="Pi3_11" localSheetId="10">'ПОЛНАЯ СЕБЕСТОИМОСТЬ СТОКИ 2019'!_Pi3</definedName>
    <definedName name="Pi3_11" localSheetId="7">'Прил. 1 План ФХД вода табл. 2'!_Pi3</definedName>
    <definedName name="Pi3_11" localSheetId="3">'Прил. 1 План ФХД с транспортир.'!_Pi3</definedName>
    <definedName name="Pi3_11" localSheetId="6">'Прил. 1 План ФХД стоки табл 2'!_Pi3</definedName>
    <definedName name="Pi3_11" localSheetId="5">'Прил. 1 План ФХД табл 1'!_Pi3</definedName>
    <definedName name="Pi3_11" localSheetId="8">'Расчет товарной выручки'!_Pi3</definedName>
    <definedName name="Pi3_11" localSheetId="1">'Текущий ремонт'!_Pi3</definedName>
    <definedName name="Pi3_11" localSheetId="11">'ФАКТ. СЕБЕСТ ВОДА 9 мес. 2019'!_Pi3</definedName>
    <definedName name="Pi3_11" localSheetId="9">'ФАКТ. СЕБЕСТ. СТОКИ 9 мес. 2019'!_Pi3</definedName>
    <definedName name="Pi3_11" localSheetId="4">'Чистая прибыль'!_Pi3</definedName>
    <definedName name="Pi3_11" localSheetId="2">'Чистая прибыль с транспортир.'!_Pi3</definedName>
    <definedName name="Pi3_11">[0]!_Pi3</definedName>
    <definedName name="Pi3_13" localSheetId="45">'ЗП с факт 3 кв. 2015'!_Pi3</definedName>
    <definedName name="Pi3_13" localSheetId="12">'ПОЛНАЯ СЕБЕСТОИМОСТЬ ВОДА 2019'!_Pi3</definedName>
    <definedName name="Pi3_13" localSheetId="10">'ПОЛНАЯ СЕБЕСТОИМОСТЬ СТОКИ 2019'!_Pi3</definedName>
    <definedName name="Pi3_13" localSheetId="7">'Прил. 1 План ФХД вода табл. 2'!_Pi3</definedName>
    <definedName name="Pi3_13" localSheetId="3">'Прил. 1 План ФХД с транспортир.'!_Pi3</definedName>
    <definedName name="Pi3_13" localSheetId="6">'Прил. 1 План ФХД стоки табл 2'!_Pi3</definedName>
    <definedName name="Pi3_13" localSheetId="5">'Прил. 1 План ФХД табл 1'!_Pi3</definedName>
    <definedName name="Pi3_13" localSheetId="8">'Расчет товарной выручки'!_Pi3</definedName>
    <definedName name="Pi3_13" localSheetId="1">'Текущий ремонт'!_Pi3</definedName>
    <definedName name="Pi3_13" localSheetId="11">'ФАКТ. СЕБЕСТ ВОДА 9 мес. 2019'!_Pi3</definedName>
    <definedName name="Pi3_13" localSheetId="9">'ФАКТ. СЕБЕСТ. СТОКИ 9 мес. 2019'!_Pi3</definedName>
    <definedName name="Pi3_13" localSheetId="4">'Чистая прибыль'!_Pi3</definedName>
    <definedName name="Pi3_13" localSheetId="2">'Чистая прибыль с транспортир.'!_Pi3</definedName>
    <definedName name="Pi3_13">[0]!_Pi3</definedName>
    <definedName name="Pi3_14" localSheetId="45">'ЗП с факт 3 кв. 2015'!_Pi3</definedName>
    <definedName name="Pi3_14" localSheetId="12">'ПОЛНАЯ СЕБЕСТОИМОСТЬ ВОДА 2019'!_Pi3</definedName>
    <definedName name="Pi3_14" localSheetId="10">'ПОЛНАЯ СЕБЕСТОИМОСТЬ СТОКИ 2019'!_Pi3</definedName>
    <definedName name="Pi3_14" localSheetId="7">'Прил. 1 План ФХД вода табл. 2'!_Pi3</definedName>
    <definedName name="Pi3_14" localSheetId="3">'Прил. 1 План ФХД с транспортир.'!_Pi3</definedName>
    <definedName name="Pi3_14" localSheetId="6">'Прил. 1 План ФХД стоки табл 2'!_Pi3</definedName>
    <definedName name="Pi3_14" localSheetId="5">'Прил. 1 План ФХД табл 1'!_Pi3</definedName>
    <definedName name="Pi3_14" localSheetId="8">'Расчет товарной выручки'!_Pi3</definedName>
    <definedName name="Pi3_14" localSheetId="1">'Текущий ремонт'!_Pi3</definedName>
    <definedName name="Pi3_14" localSheetId="11">'ФАКТ. СЕБЕСТ ВОДА 9 мес. 2019'!_Pi3</definedName>
    <definedName name="Pi3_14" localSheetId="9">'ФАКТ. СЕБЕСТ. СТОКИ 9 мес. 2019'!_Pi3</definedName>
    <definedName name="Pi3_14" localSheetId="4">'Чистая прибыль'!_Pi3</definedName>
    <definedName name="Pi3_14" localSheetId="2">'Чистая прибыль с транспортир.'!_Pi3</definedName>
    <definedName name="Pi3_14">[0]!_Pi3</definedName>
    <definedName name="Pi3_15" localSheetId="45">'ЗП с факт 3 кв. 2015'!_Pi3</definedName>
    <definedName name="Pi3_15" localSheetId="12">'ПОЛНАЯ СЕБЕСТОИМОСТЬ ВОДА 2019'!_Pi3</definedName>
    <definedName name="Pi3_15" localSheetId="10">'ПОЛНАЯ СЕБЕСТОИМОСТЬ СТОКИ 2019'!_Pi3</definedName>
    <definedName name="Pi3_15" localSheetId="7">'Прил. 1 План ФХД вода табл. 2'!_Pi3</definedName>
    <definedName name="Pi3_15" localSheetId="3">'Прил. 1 План ФХД с транспортир.'!_Pi3</definedName>
    <definedName name="Pi3_15" localSheetId="6">'Прил. 1 План ФХД стоки табл 2'!_Pi3</definedName>
    <definedName name="Pi3_15" localSheetId="5">'Прил. 1 План ФХД табл 1'!_Pi3</definedName>
    <definedName name="Pi3_15" localSheetId="8">'Расчет товарной выручки'!_Pi3</definedName>
    <definedName name="Pi3_15" localSheetId="1">'Текущий ремонт'!_Pi3</definedName>
    <definedName name="Pi3_15" localSheetId="11">'ФАКТ. СЕБЕСТ ВОДА 9 мес. 2019'!_Pi3</definedName>
    <definedName name="Pi3_15" localSheetId="9">'ФАКТ. СЕБЕСТ. СТОКИ 9 мес. 2019'!_Pi3</definedName>
    <definedName name="Pi3_15" localSheetId="4">'Чистая прибыль'!_Pi3</definedName>
    <definedName name="Pi3_15" localSheetId="2">'Чистая прибыль с транспортир.'!_Pi3</definedName>
    <definedName name="Pi3_15">_Pi3</definedName>
    <definedName name="Pi3_16" localSheetId="45">'ЗП с факт 3 кв. 2015'!_Pi3</definedName>
    <definedName name="Pi3_16" localSheetId="12">'ПОЛНАЯ СЕБЕСТОИМОСТЬ ВОДА 2019'!_Pi3</definedName>
    <definedName name="Pi3_16" localSheetId="10">'ПОЛНАЯ СЕБЕСТОИМОСТЬ СТОКИ 2019'!_Pi3</definedName>
    <definedName name="Pi3_16" localSheetId="7">'Прил. 1 План ФХД вода табл. 2'!_Pi3</definedName>
    <definedName name="Pi3_16" localSheetId="3">'Прил. 1 План ФХД с транспортир.'!_Pi3</definedName>
    <definedName name="Pi3_16" localSheetId="6">'Прил. 1 План ФХД стоки табл 2'!_Pi3</definedName>
    <definedName name="Pi3_16" localSheetId="5">'Прил. 1 План ФХД табл 1'!_Pi3</definedName>
    <definedName name="Pi3_16" localSheetId="8">'Расчет товарной выручки'!_Pi3</definedName>
    <definedName name="Pi3_16" localSheetId="1">'Текущий ремонт'!_Pi3</definedName>
    <definedName name="Pi3_16" localSheetId="11">'ФАКТ. СЕБЕСТ ВОДА 9 мес. 2019'!_Pi3</definedName>
    <definedName name="Pi3_16" localSheetId="9">'ФАКТ. СЕБЕСТ. СТОКИ 9 мес. 2019'!_Pi3</definedName>
    <definedName name="Pi3_16" localSheetId="4">'Чистая прибыль'!_Pi3</definedName>
    <definedName name="Pi3_16" localSheetId="2">'Чистая прибыль с транспортир.'!_Pi3</definedName>
    <definedName name="Pi3_16">[0]!_Pi3</definedName>
    <definedName name="Pi3_2" localSheetId="45">'ЗП с факт 3 кв. 2015'!_Pi3</definedName>
    <definedName name="Pi3_2" localSheetId="12">'ПОЛНАЯ СЕБЕСТОИМОСТЬ ВОДА 2019'!_Pi3</definedName>
    <definedName name="Pi3_2" localSheetId="10">'ПОЛНАЯ СЕБЕСТОИМОСТЬ СТОКИ 2019'!_Pi3</definedName>
    <definedName name="Pi3_2" localSheetId="7">'Прил. 1 План ФХД вода табл. 2'!_Pi3</definedName>
    <definedName name="Pi3_2" localSheetId="3">'Прил. 1 План ФХД с транспортир.'!_Pi3</definedName>
    <definedName name="Pi3_2" localSheetId="6">'Прил. 1 План ФХД стоки табл 2'!_Pi3</definedName>
    <definedName name="Pi3_2" localSheetId="5">'Прил. 1 План ФХД табл 1'!_Pi3</definedName>
    <definedName name="Pi3_2" localSheetId="8">'Расчет товарной выручки'!_Pi3</definedName>
    <definedName name="Pi3_2" localSheetId="1">'Текущий ремонт'!_Pi3</definedName>
    <definedName name="Pi3_2" localSheetId="11">'ФАКТ. СЕБЕСТ ВОДА 9 мес. 2019'!_Pi3</definedName>
    <definedName name="Pi3_2" localSheetId="9">'ФАКТ. СЕБЕСТ. СТОКИ 9 мес. 2019'!_Pi3</definedName>
    <definedName name="Pi3_2" localSheetId="4">'Чистая прибыль'!_Pi3</definedName>
    <definedName name="Pi3_2" localSheetId="2">'Чистая прибыль с транспортир.'!_Pi3</definedName>
    <definedName name="Pi3_2">[0]!_Pi3</definedName>
    <definedName name="Pi3_22" localSheetId="45">'ЗП с факт 3 кв. 2015'!_Pi3</definedName>
    <definedName name="Pi3_22" localSheetId="12">'ПОЛНАЯ СЕБЕСТОИМОСТЬ ВОДА 2019'!_Pi3</definedName>
    <definedName name="Pi3_22" localSheetId="10">'ПОЛНАЯ СЕБЕСТОИМОСТЬ СТОКИ 2019'!_Pi3</definedName>
    <definedName name="Pi3_22" localSheetId="7">'Прил. 1 План ФХД вода табл. 2'!_Pi3</definedName>
    <definedName name="Pi3_22" localSheetId="3">'Прил. 1 План ФХД с транспортир.'!_Pi3</definedName>
    <definedName name="Pi3_22" localSheetId="6">'Прил. 1 План ФХД стоки табл 2'!_Pi3</definedName>
    <definedName name="Pi3_22" localSheetId="5">'Прил. 1 План ФХД табл 1'!_Pi3</definedName>
    <definedName name="Pi3_22" localSheetId="8">'Расчет товарной выручки'!_Pi3</definedName>
    <definedName name="Pi3_22" localSheetId="1">'Текущий ремонт'!_Pi3</definedName>
    <definedName name="Pi3_22" localSheetId="11">'ФАКТ. СЕБЕСТ ВОДА 9 мес. 2019'!_Pi3</definedName>
    <definedName name="Pi3_22" localSheetId="9">'ФАКТ. СЕБЕСТ. СТОКИ 9 мес. 2019'!_Pi3</definedName>
    <definedName name="Pi3_22" localSheetId="4">'Чистая прибыль'!_Pi3</definedName>
    <definedName name="Pi3_22" localSheetId="2">'Чистая прибыль с транспортир.'!_Pi3</definedName>
    <definedName name="Pi3_22">_Pi3</definedName>
    <definedName name="Pi3_3" localSheetId="45">'ЗП с факт 3 кв. 2015'!_Pi3</definedName>
    <definedName name="Pi3_3" localSheetId="12">'ПОЛНАЯ СЕБЕСТОИМОСТЬ ВОДА 2019'!_Pi3</definedName>
    <definedName name="Pi3_3" localSheetId="10">'ПОЛНАЯ СЕБЕСТОИМОСТЬ СТОКИ 2019'!_Pi3</definedName>
    <definedName name="Pi3_3" localSheetId="7">'Прил. 1 План ФХД вода табл. 2'!_Pi3</definedName>
    <definedName name="Pi3_3" localSheetId="3">'Прил. 1 План ФХД с транспортир.'!_Pi3</definedName>
    <definedName name="Pi3_3" localSheetId="6">'Прил. 1 План ФХД стоки табл 2'!_Pi3</definedName>
    <definedName name="Pi3_3" localSheetId="5">'Прил. 1 План ФХД табл 1'!_Pi3</definedName>
    <definedName name="Pi3_3" localSheetId="8">'Расчет товарной выручки'!_Pi3</definedName>
    <definedName name="Pi3_3" localSheetId="1">'Текущий ремонт'!_Pi3</definedName>
    <definedName name="Pi3_3" localSheetId="11">'ФАКТ. СЕБЕСТ ВОДА 9 мес. 2019'!_Pi3</definedName>
    <definedName name="Pi3_3" localSheetId="9">'ФАКТ. СЕБЕСТ. СТОКИ 9 мес. 2019'!_Pi3</definedName>
    <definedName name="Pi3_3" localSheetId="4">'Чистая прибыль'!_Pi3</definedName>
    <definedName name="Pi3_3" localSheetId="2">'Чистая прибыль с транспортир.'!_Pi3</definedName>
    <definedName name="Pi3_3">[0]!_Pi3</definedName>
    <definedName name="Pi3_4" localSheetId="45">'ЗП с факт 3 кв. 2015'!_Pi3</definedName>
    <definedName name="Pi3_4" localSheetId="12">'ПОЛНАЯ СЕБЕСТОИМОСТЬ ВОДА 2019'!_Pi3</definedName>
    <definedName name="Pi3_4" localSheetId="10">'ПОЛНАЯ СЕБЕСТОИМОСТЬ СТОКИ 2019'!_Pi3</definedName>
    <definedName name="Pi3_4" localSheetId="7">'Прил. 1 План ФХД вода табл. 2'!_Pi3</definedName>
    <definedName name="Pi3_4" localSheetId="3">'Прил. 1 План ФХД с транспортир.'!_Pi3</definedName>
    <definedName name="Pi3_4" localSheetId="6">'Прил. 1 План ФХД стоки табл 2'!_Pi3</definedName>
    <definedName name="Pi3_4" localSheetId="5">'Прил. 1 План ФХД табл 1'!_Pi3</definedName>
    <definedName name="Pi3_4" localSheetId="8">'Расчет товарной выручки'!_Pi3</definedName>
    <definedName name="Pi3_4" localSheetId="1">'Текущий ремонт'!_Pi3</definedName>
    <definedName name="Pi3_4" localSheetId="11">'ФАКТ. СЕБЕСТ ВОДА 9 мес. 2019'!_Pi3</definedName>
    <definedName name="Pi3_4" localSheetId="9">'ФАКТ. СЕБЕСТ. СТОКИ 9 мес. 2019'!_Pi3</definedName>
    <definedName name="Pi3_4" localSheetId="4">'Чистая прибыль'!_Pi3</definedName>
    <definedName name="Pi3_4" localSheetId="2">'Чистая прибыль с транспортир.'!_Pi3</definedName>
    <definedName name="Pi3_4">_Pi3</definedName>
    <definedName name="Pi3_67" localSheetId="45">'ЗП с факт 3 кв. 2015'!_Pi3</definedName>
    <definedName name="Pi3_67" localSheetId="12">'ПОЛНАЯ СЕБЕСТОИМОСТЬ ВОДА 2019'!_Pi3</definedName>
    <definedName name="Pi3_67" localSheetId="10">'ПОЛНАЯ СЕБЕСТОИМОСТЬ СТОКИ 2019'!_Pi3</definedName>
    <definedName name="Pi3_67" localSheetId="7">'Прил. 1 План ФХД вода табл. 2'!_Pi3</definedName>
    <definedName name="Pi3_67" localSheetId="3">'Прил. 1 План ФХД с транспортир.'!_Pi3</definedName>
    <definedName name="Pi3_67" localSheetId="6">'Прил. 1 План ФХД стоки табл 2'!_Pi3</definedName>
    <definedName name="Pi3_67" localSheetId="5">'Прил. 1 План ФХД табл 1'!_Pi3</definedName>
    <definedName name="Pi3_67" localSheetId="8">'Расчет товарной выручки'!_Pi3</definedName>
    <definedName name="Pi3_67" localSheetId="1">'Текущий ремонт'!_Pi3</definedName>
    <definedName name="Pi3_67" localSheetId="11">'ФАКТ. СЕБЕСТ ВОДА 9 мес. 2019'!_Pi3</definedName>
    <definedName name="Pi3_67" localSheetId="9">'ФАКТ. СЕБЕСТ. СТОКИ 9 мес. 2019'!_Pi3</definedName>
    <definedName name="Pi3_67" localSheetId="4">'Чистая прибыль'!_Pi3</definedName>
    <definedName name="Pi3_67" localSheetId="2">'Чистая прибыль с транспортир.'!_Pi3</definedName>
    <definedName name="Pi3_67">_Pi3</definedName>
    <definedName name="Pi3_70" localSheetId="45">'ЗП с факт 3 кв. 2015'!_Pi3</definedName>
    <definedName name="Pi3_70" localSheetId="12">'ПОЛНАЯ СЕБЕСТОИМОСТЬ ВОДА 2019'!_Pi3</definedName>
    <definedName name="Pi3_70" localSheetId="10">'ПОЛНАЯ СЕБЕСТОИМОСТЬ СТОКИ 2019'!_Pi3</definedName>
    <definedName name="Pi3_70" localSheetId="7">'Прил. 1 План ФХД вода табл. 2'!_Pi3</definedName>
    <definedName name="Pi3_70" localSheetId="3">'Прил. 1 План ФХД с транспортир.'!_Pi3</definedName>
    <definedName name="Pi3_70" localSheetId="6">'Прил. 1 План ФХД стоки табл 2'!_Pi3</definedName>
    <definedName name="Pi3_70" localSheetId="5">'Прил. 1 План ФХД табл 1'!_Pi3</definedName>
    <definedName name="Pi3_70" localSheetId="8">'Расчет товарной выручки'!_Pi3</definedName>
    <definedName name="Pi3_70" localSheetId="1">'Текущий ремонт'!_Pi3</definedName>
    <definedName name="Pi3_70" localSheetId="11">'ФАКТ. СЕБЕСТ ВОДА 9 мес. 2019'!_Pi3</definedName>
    <definedName name="Pi3_70" localSheetId="9">'ФАКТ. СЕБЕСТ. СТОКИ 9 мес. 2019'!_Pi3</definedName>
    <definedName name="Pi3_70" localSheetId="4">'Чистая прибыль'!_Pi3</definedName>
    <definedName name="Pi3_70" localSheetId="2">'Чистая прибыль с транспортир.'!_Pi3</definedName>
    <definedName name="Pi3_70">_Pi3</definedName>
    <definedName name="Pi3_71" localSheetId="45">'ЗП с факт 3 кв. 2015'!_Pi3</definedName>
    <definedName name="Pi3_71" localSheetId="12">'ПОЛНАЯ СЕБЕСТОИМОСТЬ ВОДА 2019'!_Pi3</definedName>
    <definedName name="Pi3_71" localSheetId="10">'ПОЛНАЯ СЕБЕСТОИМОСТЬ СТОКИ 2019'!_Pi3</definedName>
    <definedName name="Pi3_71" localSheetId="7">'Прил. 1 План ФХД вода табл. 2'!_Pi3</definedName>
    <definedName name="Pi3_71" localSheetId="3">'Прил. 1 План ФХД с транспортир.'!_Pi3</definedName>
    <definedName name="Pi3_71" localSheetId="6">'Прил. 1 План ФХД стоки табл 2'!_Pi3</definedName>
    <definedName name="Pi3_71" localSheetId="5">'Прил. 1 План ФХД табл 1'!_Pi3</definedName>
    <definedName name="Pi3_71" localSheetId="8">'Расчет товарной выручки'!_Pi3</definedName>
    <definedName name="Pi3_71" localSheetId="1">'Текущий ремонт'!_Pi3</definedName>
    <definedName name="Pi3_71" localSheetId="11">'ФАКТ. СЕБЕСТ ВОДА 9 мес. 2019'!_Pi3</definedName>
    <definedName name="Pi3_71" localSheetId="9">'ФАКТ. СЕБЕСТ. СТОКИ 9 мес. 2019'!_Pi3</definedName>
    <definedName name="Pi3_71" localSheetId="4">'Чистая прибыль'!_Pi3</definedName>
    <definedName name="Pi3_71" localSheetId="2">'Чистая прибыль с транспортир.'!_Pi3</definedName>
    <definedName name="Pi3_71">_Pi3</definedName>
    <definedName name="Pi3_72" localSheetId="45">'ЗП с факт 3 кв. 2015'!_Pi3</definedName>
    <definedName name="Pi3_72" localSheetId="12">'ПОЛНАЯ СЕБЕСТОИМОСТЬ ВОДА 2019'!_Pi3</definedName>
    <definedName name="Pi3_72" localSheetId="10">'ПОЛНАЯ СЕБЕСТОИМОСТЬ СТОКИ 2019'!_Pi3</definedName>
    <definedName name="Pi3_72" localSheetId="7">'Прил. 1 План ФХД вода табл. 2'!_Pi3</definedName>
    <definedName name="Pi3_72" localSheetId="3">'Прил. 1 План ФХД с транспортир.'!_Pi3</definedName>
    <definedName name="Pi3_72" localSheetId="6">'Прил. 1 План ФХД стоки табл 2'!_Pi3</definedName>
    <definedName name="Pi3_72" localSheetId="5">'Прил. 1 План ФХД табл 1'!_Pi3</definedName>
    <definedName name="Pi3_72" localSheetId="8">'Расчет товарной выручки'!_Pi3</definedName>
    <definedName name="Pi3_72" localSheetId="1">'Текущий ремонт'!_Pi3</definedName>
    <definedName name="Pi3_72" localSheetId="11">'ФАКТ. СЕБЕСТ ВОДА 9 мес. 2019'!_Pi3</definedName>
    <definedName name="Pi3_72" localSheetId="9">'ФАКТ. СЕБЕСТ. СТОКИ 9 мес. 2019'!_Pi3</definedName>
    <definedName name="Pi3_72" localSheetId="4">'Чистая прибыль'!_Pi3</definedName>
    <definedName name="Pi3_72" localSheetId="2">'Чистая прибыль с транспортир.'!_Pi3</definedName>
    <definedName name="Pi3_72">_Pi3</definedName>
    <definedName name="Pi3_74" localSheetId="45">'ЗП с факт 3 кв. 2015'!_Pi3</definedName>
    <definedName name="Pi3_74" localSheetId="12">'ПОЛНАЯ СЕБЕСТОИМОСТЬ ВОДА 2019'!_Pi3</definedName>
    <definedName name="Pi3_74" localSheetId="10">'ПОЛНАЯ СЕБЕСТОИМОСТЬ СТОКИ 2019'!_Pi3</definedName>
    <definedName name="Pi3_74" localSheetId="7">'Прил. 1 План ФХД вода табл. 2'!_Pi3</definedName>
    <definedName name="Pi3_74" localSheetId="3">'Прил. 1 План ФХД с транспортир.'!_Pi3</definedName>
    <definedName name="Pi3_74" localSheetId="6">'Прил. 1 План ФХД стоки табл 2'!_Pi3</definedName>
    <definedName name="Pi3_74" localSheetId="5">'Прил. 1 План ФХД табл 1'!_Pi3</definedName>
    <definedName name="Pi3_74" localSheetId="8">'Расчет товарной выручки'!_Pi3</definedName>
    <definedName name="Pi3_74" localSheetId="1">'Текущий ремонт'!_Pi3</definedName>
    <definedName name="Pi3_74" localSheetId="11">'ФАКТ. СЕБЕСТ ВОДА 9 мес. 2019'!_Pi3</definedName>
    <definedName name="Pi3_74" localSheetId="9">'ФАКТ. СЕБЕСТ. СТОКИ 9 мес. 2019'!_Pi3</definedName>
    <definedName name="Pi3_74" localSheetId="4">'Чистая прибыль'!_Pi3</definedName>
    <definedName name="Pi3_74" localSheetId="2">'Чистая прибыль с транспортир.'!_Pi3</definedName>
    <definedName name="Pi3_74">_Pi3</definedName>
    <definedName name="Pi3_9" localSheetId="45">'ЗП с факт 3 кв. 2015'!_Pi3</definedName>
    <definedName name="Pi3_9" localSheetId="12">'ПОЛНАЯ СЕБЕСТОИМОСТЬ ВОДА 2019'!_Pi3</definedName>
    <definedName name="Pi3_9" localSheetId="10">'ПОЛНАЯ СЕБЕСТОИМОСТЬ СТОКИ 2019'!_Pi3</definedName>
    <definedName name="Pi3_9" localSheetId="7">'Прил. 1 План ФХД вода табл. 2'!_Pi3</definedName>
    <definedName name="Pi3_9" localSheetId="3">'Прил. 1 План ФХД с транспортир.'!_Pi3</definedName>
    <definedName name="Pi3_9" localSheetId="6">'Прил. 1 План ФХД стоки табл 2'!_Pi3</definedName>
    <definedName name="Pi3_9" localSheetId="5">'Прил. 1 План ФХД табл 1'!_Pi3</definedName>
    <definedName name="Pi3_9" localSheetId="8">'Расчет товарной выручки'!_Pi3</definedName>
    <definedName name="Pi3_9" localSheetId="1">'Текущий ремонт'!_Pi3</definedName>
    <definedName name="Pi3_9" localSheetId="11">'ФАКТ. СЕБЕСТ ВОДА 9 мес. 2019'!_Pi3</definedName>
    <definedName name="Pi3_9" localSheetId="9">'ФАКТ. СЕБЕСТ. СТОКИ 9 мес. 2019'!_Pi3</definedName>
    <definedName name="Pi3_9" localSheetId="4">'Чистая прибыль'!_Pi3</definedName>
    <definedName name="Pi3_9" localSheetId="2">'Чистая прибыль с транспортир.'!_Pi3</definedName>
    <definedName name="Pi3_9">_Pi3</definedName>
    <definedName name="Pi4_1" localSheetId="45">'ЗП с факт 3 кв. 2015'!_Pi4</definedName>
    <definedName name="Pi4_1" localSheetId="12">'ПОЛНАЯ СЕБЕСТОИМОСТЬ ВОДА 2019'!_Pi4</definedName>
    <definedName name="Pi4_1" localSheetId="10">'ПОЛНАЯ СЕБЕСТОИМОСТЬ СТОКИ 2019'!_Pi4</definedName>
    <definedName name="Pi4_1" localSheetId="7">'Прил. 1 План ФХД вода табл. 2'!_Pi4</definedName>
    <definedName name="Pi4_1" localSheetId="3">'Прил. 1 План ФХД с транспортир.'!_Pi4</definedName>
    <definedName name="Pi4_1" localSheetId="6">'Прил. 1 План ФХД стоки табл 2'!_Pi4</definedName>
    <definedName name="Pi4_1" localSheetId="5">'Прил. 1 План ФХД табл 1'!_Pi4</definedName>
    <definedName name="Pi4_1" localSheetId="8">'Расчет товарной выручки'!_Pi4</definedName>
    <definedName name="Pi4_1" localSheetId="1">'Текущий ремонт'!_Pi4</definedName>
    <definedName name="Pi4_1" localSheetId="11">'ФАКТ. СЕБЕСТ ВОДА 9 мес. 2019'!_Pi4</definedName>
    <definedName name="Pi4_1" localSheetId="9">'ФАКТ. СЕБЕСТ. СТОКИ 9 мес. 2019'!_Pi4</definedName>
    <definedName name="Pi4_1" localSheetId="4">'Чистая прибыль'!_Pi4</definedName>
    <definedName name="Pi4_1" localSheetId="2">'Чистая прибыль с транспортир.'!_Pi4</definedName>
    <definedName name="Pi4_1">[0]!_Pi4</definedName>
    <definedName name="Pi4_10" localSheetId="45">'ЗП с факт 3 кв. 2015'!_Pi4</definedName>
    <definedName name="Pi4_10" localSheetId="12">'ПОЛНАЯ СЕБЕСТОИМОСТЬ ВОДА 2019'!_Pi4</definedName>
    <definedName name="Pi4_10" localSheetId="10">'ПОЛНАЯ СЕБЕСТОИМОСТЬ СТОКИ 2019'!_Pi4</definedName>
    <definedName name="Pi4_10" localSheetId="7">'Прил. 1 План ФХД вода табл. 2'!_Pi4</definedName>
    <definedName name="Pi4_10" localSheetId="3">'Прил. 1 План ФХД с транспортир.'!_Pi4</definedName>
    <definedName name="Pi4_10" localSheetId="6">'Прил. 1 План ФХД стоки табл 2'!_Pi4</definedName>
    <definedName name="Pi4_10" localSheetId="5">'Прил. 1 План ФХД табл 1'!_Pi4</definedName>
    <definedName name="Pi4_10" localSheetId="8">'Расчет товарной выручки'!_Pi4</definedName>
    <definedName name="Pi4_10" localSheetId="1">'Текущий ремонт'!_Pi4</definedName>
    <definedName name="Pi4_10" localSheetId="11">'ФАКТ. СЕБЕСТ ВОДА 9 мес. 2019'!_Pi4</definedName>
    <definedName name="Pi4_10" localSheetId="9">'ФАКТ. СЕБЕСТ. СТОКИ 9 мес. 2019'!_Pi4</definedName>
    <definedName name="Pi4_10" localSheetId="4">'Чистая прибыль'!_Pi4</definedName>
    <definedName name="Pi4_10" localSheetId="2">'Чистая прибыль с транспортир.'!_Pi4</definedName>
    <definedName name="Pi4_10">[0]!_Pi4</definedName>
    <definedName name="Pi4_11" localSheetId="45">'ЗП с факт 3 кв. 2015'!_Pi4</definedName>
    <definedName name="Pi4_11" localSheetId="12">'ПОЛНАЯ СЕБЕСТОИМОСТЬ ВОДА 2019'!_Pi4</definedName>
    <definedName name="Pi4_11" localSheetId="10">'ПОЛНАЯ СЕБЕСТОИМОСТЬ СТОКИ 2019'!_Pi4</definedName>
    <definedName name="Pi4_11" localSheetId="7">'Прил. 1 План ФХД вода табл. 2'!_Pi4</definedName>
    <definedName name="Pi4_11" localSheetId="3">'Прил. 1 План ФХД с транспортир.'!_Pi4</definedName>
    <definedName name="Pi4_11" localSheetId="6">'Прил. 1 План ФХД стоки табл 2'!_Pi4</definedName>
    <definedName name="Pi4_11" localSheetId="5">'Прил. 1 План ФХД табл 1'!_Pi4</definedName>
    <definedName name="Pi4_11" localSheetId="8">'Расчет товарной выручки'!_Pi4</definedName>
    <definedName name="Pi4_11" localSheetId="1">'Текущий ремонт'!_Pi4</definedName>
    <definedName name="Pi4_11" localSheetId="11">'ФАКТ. СЕБЕСТ ВОДА 9 мес. 2019'!_Pi4</definedName>
    <definedName name="Pi4_11" localSheetId="9">'ФАКТ. СЕБЕСТ. СТОКИ 9 мес. 2019'!_Pi4</definedName>
    <definedName name="Pi4_11" localSheetId="4">'Чистая прибыль'!_Pi4</definedName>
    <definedName name="Pi4_11" localSheetId="2">'Чистая прибыль с транспортир.'!_Pi4</definedName>
    <definedName name="Pi4_11">[0]!_Pi4</definedName>
    <definedName name="Pi4_13" localSheetId="45">'ЗП с факт 3 кв. 2015'!_Pi4</definedName>
    <definedName name="Pi4_13" localSheetId="12">'ПОЛНАЯ СЕБЕСТОИМОСТЬ ВОДА 2019'!_Pi4</definedName>
    <definedName name="Pi4_13" localSheetId="10">'ПОЛНАЯ СЕБЕСТОИМОСТЬ СТОКИ 2019'!_Pi4</definedName>
    <definedName name="Pi4_13" localSheetId="7">'Прил. 1 План ФХД вода табл. 2'!_Pi4</definedName>
    <definedName name="Pi4_13" localSheetId="3">'Прил. 1 План ФХД с транспортир.'!_Pi4</definedName>
    <definedName name="Pi4_13" localSheetId="6">'Прил. 1 План ФХД стоки табл 2'!_Pi4</definedName>
    <definedName name="Pi4_13" localSheetId="5">'Прил. 1 План ФХД табл 1'!_Pi4</definedName>
    <definedName name="Pi4_13" localSheetId="8">'Расчет товарной выручки'!_Pi4</definedName>
    <definedName name="Pi4_13" localSheetId="1">'Текущий ремонт'!_Pi4</definedName>
    <definedName name="Pi4_13" localSheetId="11">'ФАКТ. СЕБЕСТ ВОДА 9 мес. 2019'!_Pi4</definedName>
    <definedName name="Pi4_13" localSheetId="9">'ФАКТ. СЕБЕСТ. СТОКИ 9 мес. 2019'!_Pi4</definedName>
    <definedName name="Pi4_13" localSheetId="4">'Чистая прибыль'!_Pi4</definedName>
    <definedName name="Pi4_13" localSheetId="2">'Чистая прибыль с транспортир.'!_Pi4</definedName>
    <definedName name="Pi4_13">[0]!_Pi4</definedName>
    <definedName name="Pi4_14" localSheetId="45">'ЗП с факт 3 кв. 2015'!_Pi4</definedName>
    <definedName name="Pi4_14" localSheetId="12">'ПОЛНАЯ СЕБЕСТОИМОСТЬ ВОДА 2019'!_Pi4</definedName>
    <definedName name="Pi4_14" localSheetId="10">'ПОЛНАЯ СЕБЕСТОИМОСТЬ СТОКИ 2019'!_Pi4</definedName>
    <definedName name="Pi4_14" localSheetId="7">'Прил. 1 План ФХД вода табл. 2'!_Pi4</definedName>
    <definedName name="Pi4_14" localSheetId="3">'Прил. 1 План ФХД с транспортир.'!_Pi4</definedName>
    <definedName name="Pi4_14" localSheetId="6">'Прил. 1 План ФХД стоки табл 2'!_Pi4</definedName>
    <definedName name="Pi4_14" localSheetId="5">'Прил. 1 План ФХД табл 1'!_Pi4</definedName>
    <definedName name="Pi4_14" localSheetId="8">'Расчет товарной выручки'!_Pi4</definedName>
    <definedName name="Pi4_14" localSheetId="1">'Текущий ремонт'!_Pi4</definedName>
    <definedName name="Pi4_14" localSheetId="11">'ФАКТ. СЕБЕСТ ВОДА 9 мес. 2019'!_Pi4</definedName>
    <definedName name="Pi4_14" localSheetId="9">'ФАКТ. СЕБЕСТ. СТОКИ 9 мес. 2019'!_Pi4</definedName>
    <definedName name="Pi4_14" localSheetId="4">'Чистая прибыль'!_Pi4</definedName>
    <definedName name="Pi4_14" localSheetId="2">'Чистая прибыль с транспортир.'!_Pi4</definedName>
    <definedName name="Pi4_14">[0]!_Pi4</definedName>
    <definedName name="Pi4_15" localSheetId="45">'ЗП с факт 3 кв. 2015'!_Pi4</definedName>
    <definedName name="Pi4_15" localSheetId="12">'ПОЛНАЯ СЕБЕСТОИМОСТЬ ВОДА 2019'!_Pi4</definedName>
    <definedName name="Pi4_15" localSheetId="10">'ПОЛНАЯ СЕБЕСТОИМОСТЬ СТОКИ 2019'!_Pi4</definedName>
    <definedName name="Pi4_15" localSheetId="7">'Прил. 1 План ФХД вода табл. 2'!_Pi4</definedName>
    <definedName name="Pi4_15" localSheetId="3">'Прил. 1 План ФХД с транспортир.'!_Pi4</definedName>
    <definedName name="Pi4_15" localSheetId="6">'Прил. 1 План ФХД стоки табл 2'!_Pi4</definedName>
    <definedName name="Pi4_15" localSheetId="5">'Прил. 1 План ФХД табл 1'!_Pi4</definedName>
    <definedName name="Pi4_15" localSheetId="8">'Расчет товарной выручки'!_Pi4</definedName>
    <definedName name="Pi4_15" localSheetId="1">'Текущий ремонт'!_Pi4</definedName>
    <definedName name="Pi4_15" localSheetId="11">'ФАКТ. СЕБЕСТ ВОДА 9 мес. 2019'!_Pi4</definedName>
    <definedName name="Pi4_15" localSheetId="9">'ФАКТ. СЕБЕСТ. СТОКИ 9 мес. 2019'!_Pi4</definedName>
    <definedName name="Pi4_15" localSheetId="4">'Чистая прибыль'!_Pi4</definedName>
    <definedName name="Pi4_15" localSheetId="2">'Чистая прибыль с транспортир.'!_Pi4</definedName>
    <definedName name="Pi4_15">_Pi4</definedName>
    <definedName name="Pi4_16" localSheetId="45">'ЗП с факт 3 кв. 2015'!_Pi4</definedName>
    <definedName name="Pi4_16" localSheetId="12">'ПОЛНАЯ СЕБЕСТОИМОСТЬ ВОДА 2019'!_Pi4</definedName>
    <definedName name="Pi4_16" localSheetId="10">'ПОЛНАЯ СЕБЕСТОИМОСТЬ СТОКИ 2019'!_Pi4</definedName>
    <definedName name="Pi4_16" localSheetId="7">'Прил. 1 План ФХД вода табл. 2'!_Pi4</definedName>
    <definedName name="Pi4_16" localSheetId="3">'Прил. 1 План ФХД с транспортир.'!_Pi4</definedName>
    <definedName name="Pi4_16" localSheetId="6">'Прил. 1 План ФХД стоки табл 2'!_Pi4</definedName>
    <definedName name="Pi4_16" localSheetId="5">'Прил. 1 План ФХД табл 1'!_Pi4</definedName>
    <definedName name="Pi4_16" localSheetId="8">'Расчет товарной выручки'!_Pi4</definedName>
    <definedName name="Pi4_16" localSheetId="1">'Текущий ремонт'!_Pi4</definedName>
    <definedName name="Pi4_16" localSheetId="11">'ФАКТ. СЕБЕСТ ВОДА 9 мес. 2019'!_Pi4</definedName>
    <definedName name="Pi4_16" localSheetId="9">'ФАКТ. СЕБЕСТ. СТОКИ 9 мес. 2019'!_Pi4</definedName>
    <definedName name="Pi4_16" localSheetId="4">'Чистая прибыль'!_Pi4</definedName>
    <definedName name="Pi4_16" localSheetId="2">'Чистая прибыль с транспортир.'!_Pi4</definedName>
    <definedName name="Pi4_16">[0]!_Pi4</definedName>
    <definedName name="Pi4_2" localSheetId="45">'ЗП с факт 3 кв. 2015'!_Pi4</definedName>
    <definedName name="Pi4_2" localSheetId="12">'ПОЛНАЯ СЕБЕСТОИМОСТЬ ВОДА 2019'!_Pi4</definedName>
    <definedName name="Pi4_2" localSheetId="10">'ПОЛНАЯ СЕБЕСТОИМОСТЬ СТОКИ 2019'!_Pi4</definedName>
    <definedName name="Pi4_2" localSheetId="7">'Прил. 1 План ФХД вода табл. 2'!_Pi4</definedName>
    <definedName name="Pi4_2" localSheetId="3">'Прил. 1 План ФХД с транспортир.'!_Pi4</definedName>
    <definedName name="Pi4_2" localSheetId="6">'Прил. 1 План ФХД стоки табл 2'!_Pi4</definedName>
    <definedName name="Pi4_2" localSheetId="5">'Прил. 1 План ФХД табл 1'!_Pi4</definedName>
    <definedName name="Pi4_2" localSheetId="8">'Расчет товарной выручки'!_Pi4</definedName>
    <definedName name="Pi4_2" localSheetId="1">'Текущий ремонт'!_Pi4</definedName>
    <definedName name="Pi4_2" localSheetId="11">'ФАКТ. СЕБЕСТ ВОДА 9 мес. 2019'!_Pi4</definedName>
    <definedName name="Pi4_2" localSheetId="9">'ФАКТ. СЕБЕСТ. СТОКИ 9 мес. 2019'!_Pi4</definedName>
    <definedName name="Pi4_2" localSheetId="4">'Чистая прибыль'!_Pi4</definedName>
    <definedName name="Pi4_2" localSheetId="2">'Чистая прибыль с транспортир.'!_Pi4</definedName>
    <definedName name="Pi4_2">[0]!_Pi4</definedName>
    <definedName name="Pi4_22" localSheetId="45">'ЗП с факт 3 кв. 2015'!_Pi4</definedName>
    <definedName name="Pi4_22" localSheetId="12">'ПОЛНАЯ СЕБЕСТОИМОСТЬ ВОДА 2019'!_Pi4</definedName>
    <definedName name="Pi4_22" localSheetId="10">'ПОЛНАЯ СЕБЕСТОИМОСТЬ СТОКИ 2019'!_Pi4</definedName>
    <definedName name="Pi4_22" localSheetId="7">'Прил. 1 План ФХД вода табл. 2'!_Pi4</definedName>
    <definedName name="Pi4_22" localSheetId="3">'Прил. 1 План ФХД с транспортир.'!_Pi4</definedName>
    <definedName name="Pi4_22" localSheetId="6">'Прил. 1 План ФХД стоки табл 2'!_Pi4</definedName>
    <definedName name="Pi4_22" localSheetId="5">'Прил. 1 План ФХД табл 1'!_Pi4</definedName>
    <definedName name="Pi4_22" localSheetId="8">'Расчет товарной выручки'!_Pi4</definedName>
    <definedName name="Pi4_22" localSheetId="1">'Текущий ремонт'!_Pi4</definedName>
    <definedName name="Pi4_22" localSheetId="11">'ФАКТ. СЕБЕСТ ВОДА 9 мес. 2019'!_Pi4</definedName>
    <definedName name="Pi4_22" localSheetId="9">'ФАКТ. СЕБЕСТ. СТОКИ 9 мес. 2019'!_Pi4</definedName>
    <definedName name="Pi4_22" localSheetId="4">'Чистая прибыль'!_Pi4</definedName>
    <definedName name="Pi4_22" localSheetId="2">'Чистая прибыль с транспортир.'!_Pi4</definedName>
    <definedName name="Pi4_22">_Pi4</definedName>
    <definedName name="Pi4_3" localSheetId="45">'ЗП с факт 3 кв. 2015'!_Pi4</definedName>
    <definedName name="Pi4_3" localSheetId="12">'ПОЛНАЯ СЕБЕСТОИМОСТЬ ВОДА 2019'!_Pi4</definedName>
    <definedName name="Pi4_3" localSheetId="10">'ПОЛНАЯ СЕБЕСТОИМОСТЬ СТОКИ 2019'!_Pi4</definedName>
    <definedName name="Pi4_3" localSheetId="7">'Прил. 1 План ФХД вода табл. 2'!_Pi4</definedName>
    <definedName name="Pi4_3" localSheetId="3">'Прил. 1 План ФХД с транспортир.'!_Pi4</definedName>
    <definedName name="Pi4_3" localSheetId="6">'Прил. 1 План ФХД стоки табл 2'!_Pi4</definedName>
    <definedName name="Pi4_3" localSheetId="5">'Прил. 1 План ФХД табл 1'!_Pi4</definedName>
    <definedName name="Pi4_3" localSheetId="8">'Расчет товарной выручки'!_Pi4</definedName>
    <definedName name="Pi4_3" localSheetId="1">'Текущий ремонт'!_Pi4</definedName>
    <definedName name="Pi4_3" localSheetId="11">'ФАКТ. СЕБЕСТ ВОДА 9 мес. 2019'!_Pi4</definedName>
    <definedName name="Pi4_3" localSheetId="9">'ФАКТ. СЕБЕСТ. СТОКИ 9 мес. 2019'!_Pi4</definedName>
    <definedName name="Pi4_3" localSheetId="4">'Чистая прибыль'!_Pi4</definedName>
    <definedName name="Pi4_3" localSheetId="2">'Чистая прибыль с транспортир.'!_Pi4</definedName>
    <definedName name="Pi4_3">[0]!_Pi4</definedName>
    <definedName name="Pi4_4" localSheetId="45">'ЗП с факт 3 кв. 2015'!_Pi4</definedName>
    <definedName name="Pi4_4" localSheetId="12">'ПОЛНАЯ СЕБЕСТОИМОСТЬ ВОДА 2019'!_Pi4</definedName>
    <definedName name="Pi4_4" localSheetId="10">'ПОЛНАЯ СЕБЕСТОИМОСТЬ СТОКИ 2019'!_Pi4</definedName>
    <definedName name="Pi4_4" localSheetId="7">'Прил. 1 План ФХД вода табл. 2'!_Pi4</definedName>
    <definedName name="Pi4_4" localSheetId="3">'Прил. 1 План ФХД с транспортир.'!_Pi4</definedName>
    <definedName name="Pi4_4" localSheetId="6">'Прил. 1 План ФХД стоки табл 2'!_Pi4</definedName>
    <definedName name="Pi4_4" localSheetId="5">'Прил. 1 План ФХД табл 1'!_Pi4</definedName>
    <definedName name="Pi4_4" localSheetId="8">'Расчет товарной выручки'!_Pi4</definedName>
    <definedName name="Pi4_4" localSheetId="1">'Текущий ремонт'!_Pi4</definedName>
    <definedName name="Pi4_4" localSheetId="11">'ФАКТ. СЕБЕСТ ВОДА 9 мес. 2019'!_Pi4</definedName>
    <definedName name="Pi4_4" localSheetId="9">'ФАКТ. СЕБЕСТ. СТОКИ 9 мес. 2019'!_Pi4</definedName>
    <definedName name="Pi4_4" localSheetId="4">'Чистая прибыль'!_Pi4</definedName>
    <definedName name="Pi4_4" localSheetId="2">'Чистая прибыль с транспортир.'!_Pi4</definedName>
    <definedName name="Pi4_4">_Pi4</definedName>
    <definedName name="Pi4_67" localSheetId="45">'ЗП с факт 3 кв. 2015'!_Pi4</definedName>
    <definedName name="Pi4_67" localSheetId="12">'ПОЛНАЯ СЕБЕСТОИМОСТЬ ВОДА 2019'!_Pi4</definedName>
    <definedName name="Pi4_67" localSheetId="10">'ПОЛНАЯ СЕБЕСТОИМОСТЬ СТОКИ 2019'!_Pi4</definedName>
    <definedName name="Pi4_67" localSheetId="7">'Прил. 1 План ФХД вода табл. 2'!_Pi4</definedName>
    <definedName name="Pi4_67" localSheetId="3">'Прил. 1 План ФХД с транспортир.'!_Pi4</definedName>
    <definedName name="Pi4_67" localSheetId="6">'Прил. 1 План ФХД стоки табл 2'!_Pi4</definedName>
    <definedName name="Pi4_67" localSheetId="5">'Прил. 1 План ФХД табл 1'!_Pi4</definedName>
    <definedName name="Pi4_67" localSheetId="8">'Расчет товарной выручки'!_Pi4</definedName>
    <definedName name="Pi4_67" localSheetId="1">'Текущий ремонт'!_Pi4</definedName>
    <definedName name="Pi4_67" localSheetId="11">'ФАКТ. СЕБЕСТ ВОДА 9 мес. 2019'!_Pi4</definedName>
    <definedName name="Pi4_67" localSheetId="9">'ФАКТ. СЕБЕСТ. СТОКИ 9 мес. 2019'!_Pi4</definedName>
    <definedName name="Pi4_67" localSheetId="4">'Чистая прибыль'!_Pi4</definedName>
    <definedName name="Pi4_67" localSheetId="2">'Чистая прибыль с транспортир.'!_Pi4</definedName>
    <definedName name="Pi4_67">_Pi4</definedName>
    <definedName name="Pi4_70" localSheetId="45">'ЗП с факт 3 кв. 2015'!_Pi4</definedName>
    <definedName name="Pi4_70" localSheetId="12">'ПОЛНАЯ СЕБЕСТОИМОСТЬ ВОДА 2019'!_Pi4</definedName>
    <definedName name="Pi4_70" localSheetId="10">'ПОЛНАЯ СЕБЕСТОИМОСТЬ СТОКИ 2019'!_Pi4</definedName>
    <definedName name="Pi4_70" localSheetId="7">'Прил. 1 План ФХД вода табл. 2'!_Pi4</definedName>
    <definedName name="Pi4_70" localSheetId="3">'Прил. 1 План ФХД с транспортир.'!_Pi4</definedName>
    <definedName name="Pi4_70" localSheetId="6">'Прил. 1 План ФХД стоки табл 2'!_Pi4</definedName>
    <definedName name="Pi4_70" localSheetId="5">'Прил. 1 План ФХД табл 1'!_Pi4</definedName>
    <definedName name="Pi4_70" localSheetId="8">'Расчет товарной выручки'!_Pi4</definedName>
    <definedName name="Pi4_70" localSheetId="1">'Текущий ремонт'!_Pi4</definedName>
    <definedName name="Pi4_70" localSheetId="11">'ФАКТ. СЕБЕСТ ВОДА 9 мес. 2019'!_Pi4</definedName>
    <definedName name="Pi4_70" localSheetId="9">'ФАКТ. СЕБЕСТ. СТОКИ 9 мес. 2019'!_Pi4</definedName>
    <definedName name="Pi4_70" localSheetId="4">'Чистая прибыль'!_Pi4</definedName>
    <definedName name="Pi4_70" localSheetId="2">'Чистая прибыль с транспортир.'!_Pi4</definedName>
    <definedName name="Pi4_70">_Pi4</definedName>
    <definedName name="Pi4_71" localSheetId="45">'ЗП с факт 3 кв. 2015'!_Pi4</definedName>
    <definedName name="Pi4_71" localSheetId="12">'ПОЛНАЯ СЕБЕСТОИМОСТЬ ВОДА 2019'!_Pi4</definedName>
    <definedName name="Pi4_71" localSheetId="10">'ПОЛНАЯ СЕБЕСТОИМОСТЬ СТОКИ 2019'!_Pi4</definedName>
    <definedName name="Pi4_71" localSheetId="7">'Прил. 1 План ФХД вода табл. 2'!_Pi4</definedName>
    <definedName name="Pi4_71" localSheetId="3">'Прил. 1 План ФХД с транспортир.'!_Pi4</definedName>
    <definedName name="Pi4_71" localSheetId="6">'Прил. 1 План ФХД стоки табл 2'!_Pi4</definedName>
    <definedName name="Pi4_71" localSheetId="5">'Прил. 1 План ФХД табл 1'!_Pi4</definedName>
    <definedName name="Pi4_71" localSheetId="8">'Расчет товарной выручки'!_Pi4</definedName>
    <definedName name="Pi4_71" localSheetId="1">'Текущий ремонт'!_Pi4</definedName>
    <definedName name="Pi4_71" localSheetId="11">'ФАКТ. СЕБЕСТ ВОДА 9 мес. 2019'!_Pi4</definedName>
    <definedName name="Pi4_71" localSheetId="9">'ФАКТ. СЕБЕСТ. СТОКИ 9 мес. 2019'!_Pi4</definedName>
    <definedName name="Pi4_71" localSheetId="4">'Чистая прибыль'!_Pi4</definedName>
    <definedName name="Pi4_71" localSheetId="2">'Чистая прибыль с транспортир.'!_Pi4</definedName>
    <definedName name="Pi4_71">_Pi4</definedName>
    <definedName name="Pi4_72" localSheetId="45">'ЗП с факт 3 кв. 2015'!_Pi4</definedName>
    <definedName name="Pi4_72" localSheetId="12">'ПОЛНАЯ СЕБЕСТОИМОСТЬ ВОДА 2019'!_Pi4</definedName>
    <definedName name="Pi4_72" localSheetId="10">'ПОЛНАЯ СЕБЕСТОИМОСТЬ СТОКИ 2019'!_Pi4</definedName>
    <definedName name="Pi4_72" localSheetId="7">'Прил. 1 План ФХД вода табл. 2'!_Pi4</definedName>
    <definedName name="Pi4_72" localSheetId="3">'Прил. 1 План ФХД с транспортир.'!_Pi4</definedName>
    <definedName name="Pi4_72" localSheetId="6">'Прил. 1 План ФХД стоки табл 2'!_Pi4</definedName>
    <definedName name="Pi4_72" localSheetId="5">'Прил. 1 План ФХД табл 1'!_Pi4</definedName>
    <definedName name="Pi4_72" localSheetId="8">'Расчет товарной выручки'!_Pi4</definedName>
    <definedName name="Pi4_72" localSheetId="1">'Текущий ремонт'!_Pi4</definedName>
    <definedName name="Pi4_72" localSheetId="11">'ФАКТ. СЕБЕСТ ВОДА 9 мес. 2019'!_Pi4</definedName>
    <definedName name="Pi4_72" localSheetId="9">'ФАКТ. СЕБЕСТ. СТОКИ 9 мес. 2019'!_Pi4</definedName>
    <definedName name="Pi4_72" localSheetId="4">'Чистая прибыль'!_Pi4</definedName>
    <definedName name="Pi4_72" localSheetId="2">'Чистая прибыль с транспортир.'!_Pi4</definedName>
    <definedName name="Pi4_72">_Pi4</definedName>
    <definedName name="Pi4_74" localSheetId="45">'ЗП с факт 3 кв. 2015'!_Pi4</definedName>
    <definedName name="Pi4_74" localSheetId="12">'ПОЛНАЯ СЕБЕСТОИМОСТЬ ВОДА 2019'!_Pi4</definedName>
    <definedName name="Pi4_74" localSheetId="10">'ПОЛНАЯ СЕБЕСТОИМОСТЬ СТОКИ 2019'!_Pi4</definedName>
    <definedName name="Pi4_74" localSheetId="7">'Прил. 1 План ФХД вода табл. 2'!_Pi4</definedName>
    <definedName name="Pi4_74" localSheetId="3">'Прил. 1 План ФХД с транспортир.'!_Pi4</definedName>
    <definedName name="Pi4_74" localSheetId="6">'Прил. 1 План ФХД стоки табл 2'!_Pi4</definedName>
    <definedName name="Pi4_74" localSheetId="5">'Прил. 1 План ФХД табл 1'!_Pi4</definedName>
    <definedName name="Pi4_74" localSheetId="8">'Расчет товарной выручки'!_Pi4</definedName>
    <definedName name="Pi4_74" localSheetId="1">'Текущий ремонт'!_Pi4</definedName>
    <definedName name="Pi4_74" localSheetId="11">'ФАКТ. СЕБЕСТ ВОДА 9 мес. 2019'!_Pi4</definedName>
    <definedName name="Pi4_74" localSheetId="9">'ФАКТ. СЕБЕСТ. СТОКИ 9 мес. 2019'!_Pi4</definedName>
    <definedName name="Pi4_74" localSheetId="4">'Чистая прибыль'!_Pi4</definedName>
    <definedName name="Pi4_74" localSheetId="2">'Чистая прибыль с транспортир.'!_Pi4</definedName>
    <definedName name="Pi4_74">_Pi4</definedName>
    <definedName name="Pi4_9" localSheetId="45">'ЗП с факт 3 кв. 2015'!_Pi4</definedName>
    <definedName name="Pi4_9" localSheetId="12">'ПОЛНАЯ СЕБЕСТОИМОСТЬ ВОДА 2019'!_Pi4</definedName>
    <definedName name="Pi4_9" localSheetId="10">'ПОЛНАЯ СЕБЕСТОИМОСТЬ СТОКИ 2019'!_Pi4</definedName>
    <definedName name="Pi4_9" localSheetId="7">'Прил. 1 План ФХД вода табл. 2'!_Pi4</definedName>
    <definedName name="Pi4_9" localSheetId="3">'Прил. 1 План ФХД с транспортир.'!_Pi4</definedName>
    <definedName name="Pi4_9" localSheetId="6">'Прил. 1 План ФХД стоки табл 2'!_Pi4</definedName>
    <definedName name="Pi4_9" localSheetId="5">'Прил. 1 План ФХД табл 1'!_Pi4</definedName>
    <definedName name="Pi4_9" localSheetId="8">'Расчет товарной выручки'!_Pi4</definedName>
    <definedName name="Pi4_9" localSheetId="1">'Текущий ремонт'!_Pi4</definedName>
    <definedName name="Pi4_9" localSheetId="11">'ФАКТ. СЕБЕСТ ВОДА 9 мес. 2019'!_Pi4</definedName>
    <definedName name="Pi4_9" localSheetId="9">'ФАКТ. СЕБЕСТ. СТОКИ 9 мес. 2019'!_Pi4</definedName>
    <definedName name="Pi4_9" localSheetId="4">'Чистая прибыль'!_Pi4</definedName>
    <definedName name="Pi4_9" localSheetId="2">'Чистая прибыль с транспортир.'!_Pi4</definedName>
    <definedName name="Pi4_9">_Pi4</definedName>
    <definedName name="Pi5_1" localSheetId="45">'ЗП с факт 3 кв. 2015'!_Pi5</definedName>
    <definedName name="Pi5_1" localSheetId="12">'ПОЛНАЯ СЕБЕСТОИМОСТЬ ВОДА 2019'!_Pi5</definedName>
    <definedName name="Pi5_1" localSheetId="10">'ПОЛНАЯ СЕБЕСТОИМОСТЬ СТОКИ 2019'!_Pi5</definedName>
    <definedName name="Pi5_1" localSheetId="7">'Прил. 1 План ФХД вода табл. 2'!_Pi5</definedName>
    <definedName name="Pi5_1" localSheetId="3">'Прил. 1 План ФХД с транспортир.'!_Pi5</definedName>
    <definedName name="Pi5_1" localSheetId="6">'Прил. 1 План ФХД стоки табл 2'!_Pi5</definedName>
    <definedName name="Pi5_1" localSheetId="5">'Прил. 1 План ФХД табл 1'!_Pi5</definedName>
    <definedName name="Pi5_1" localSheetId="8">'Расчет товарной выручки'!_Pi5</definedName>
    <definedName name="Pi5_1" localSheetId="1">'Текущий ремонт'!_Pi5</definedName>
    <definedName name="Pi5_1" localSheetId="11">'ФАКТ. СЕБЕСТ ВОДА 9 мес. 2019'!_Pi5</definedName>
    <definedName name="Pi5_1" localSheetId="9">'ФАКТ. СЕБЕСТ. СТОКИ 9 мес. 2019'!_Pi5</definedName>
    <definedName name="Pi5_1" localSheetId="4">'Чистая прибыль'!_Pi5</definedName>
    <definedName name="Pi5_1" localSheetId="2">'Чистая прибыль с транспортир.'!_Pi5</definedName>
    <definedName name="Pi5_1">[0]!_Pi5</definedName>
    <definedName name="Pi5_10" localSheetId="45">'ЗП с факт 3 кв. 2015'!_Pi5</definedName>
    <definedName name="Pi5_10" localSheetId="12">'ПОЛНАЯ СЕБЕСТОИМОСТЬ ВОДА 2019'!_Pi5</definedName>
    <definedName name="Pi5_10" localSheetId="10">'ПОЛНАЯ СЕБЕСТОИМОСТЬ СТОКИ 2019'!_Pi5</definedName>
    <definedName name="Pi5_10" localSheetId="7">'Прил. 1 План ФХД вода табл. 2'!_Pi5</definedName>
    <definedName name="Pi5_10" localSheetId="3">'Прил. 1 План ФХД с транспортир.'!_Pi5</definedName>
    <definedName name="Pi5_10" localSheetId="6">'Прил. 1 План ФХД стоки табл 2'!_Pi5</definedName>
    <definedName name="Pi5_10" localSheetId="5">'Прил. 1 План ФХД табл 1'!_Pi5</definedName>
    <definedName name="Pi5_10" localSheetId="8">'Расчет товарной выручки'!_Pi5</definedName>
    <definedName name="Pi5_10" localSheetId="1">'Текущий ремонт'!_Pi5</definedName>
    <definedName name="Pi5_10" localSheetId="11">'ФАКТ. СЕБЕСТ ВОДА 9 мес. 2019'!_Pi5</definedName>
    <definedName name="Pi5_10" localSheetId="9">'ФАКТ. СЕБЕСТ. СТОКИ 9 мес. 2019'!_Pi5</definedName>
    <definedName name="Pi5_10" localSheetId="4">'Чистая прибыль'!_Pi5</definedName>
    <definedName name="Pi5_10" localSheetId="2">'Чистая прибыль с транспортир.'!_Pi5</definedName>
    <definedName name="Pi5_10">[0]!_Pi5</definedName>
    <definedName name="Pi5_11" localSheetId="45">'ЗП с факт 3 кв. 2015'!_Pi5</definedName>
    <definedName name="Pi5_11" localSheetId="12">'ПОЛНАЯ СЕБЕСТОИМОСТЬ ВОДА 2019'!_Pi5</definedName>
    <definedName name="Pi5_11" localSheetId="10">'ПОЛНАЯ СЕБЕСТОИМОСТЬ СТОКИ 2019'!_Pi5</definedName>
    <definedName name="Pi5_11" localSheetId="7">'Прил. 1 План ФХД вода табл. 2'!_Pi5</definedName>
    <definedName name="Pi5_11" localSheetId="3">'Прил. 1 План ФХД с транспортир.'!_Pi5</definedName>
    <definedName name="Pi5_11" localSheetId="6">'Прил. 1 План ФХД стоки табл 2'!_Pi5</definedName>
    <definedName name="Pi5_11" localSheetId="5">'Прил. 1 План ФХД табл 1'!_Pi5</definedName>
    <definedName name="Pi5_11" localSheetId="8">'Расчет товарной выручки'!_Pi5</definedName>
    <definedName name="Pi5_11" localSheetId="1">'Текущий ремонт'!_Pi5</definedName>
    <definedName name="Pi5_11" localSheetId="11">'ФАКТ. СЕБЕСТ ВОДА 9 мес. 2019'!_Pi5</definedName>
    <definedName name="Pi5_11" localSheetId="9">'ФАКТ. СЕБЕСТ. СТОКИ 9 мес. 2019'!_Pi5</definedName>
    <definedName name="Pi5_11" localSheetId="4">'Чистая прибыль'!_Pi5</definedName>
    <definedName name="Pi5_11" localSheetId="2">'Чистая прибыль с транспортир.'!_Pi5</definedName>
    <definedName name="Pi5_11">[0]!_Pi5</definedName>
    <definedName name="Pi5_13" localSheetId="45">'ЗП с факт 3 кв. 2015'!_Pi5</definedName>
    <definedName name="Pi5_13" localSheetId="12">'ПОЛНАЯ СЕБЕСТОИМОСТЬ ВОДА 2019'!_Pi5</definedName>
    <definedName name="Pi5_13" localSheetId="10">'ПОЛНАЯ СЕБЕСТОИМОСТЬ СТОКИ 2019'!_Pi5</definedName>
    <definedName name="Pi5_13" localSheetId="7">'Прил. 1 План ФХД вода табл. 2'!_Pi5</definedName>
    <definedName name="Pi5_13" localSheetId="3">'Прил. 1 План ФХД с транспортир.'!_Pi5</definedName>
    <definedName name="Pi5_13" localSheetId="6">'Прил. 1 План ФХД стоки табл 2'!_Pi5</definedName>
    <definedName name="Pi5_13" localSheetId="5">'Прил. 1 План ФХД табл 1'!_Pi5</definedName>
    <definedName name="Pi5_13" localSheetId="8">'Расчет товарной выручки'!_Pi5</definedName>
    <definedName name="Pi5_13" localSheetId="1">'Текущий ремонт'!_Pi5</definedName>
    <definedName name="Pi5_13" localSheetId="11">'ФАКТ. СЕБЕСТ ВОДА 9 мес. 2019'!_Pi5</definedName>
    <definedName name="Pi5_13" localSheetId="9">'ФАКТ. СЕБЕСТ. СТОКИ 9 мес. 2019'!_Pi5</definedName>
    <definedName name="Pi5_13" localSheetId="4">'Чистая прибыль'!_Pi5</definedName>
    <definedName name="Pi5_13" localSheetId="2">'Чистая прибыль с транспортир.'!_Pi5</definedName>
    <definedName name="Pi5_13">[0]!_Pi5</definedName>
    <definedName name="Pi5_14" localSheetId="45">'ЗП с факт 3 кв. 2015'!_Pi5</definedName>
    <definedName name="Pi5_14" localSheetId="12">'ПОЛНАЯ СЕБЕСТОИМОСТЬ ВОДА 2019'!_Pi5</definedName>
    <definedName name="Pi5_14" localSheetId="10">'ПОЛНАЯ СЕБЕСТОИМОСТЬ СТОКИ 2019'!_Pi5</definedName>
    <definedName name="Pi5_14" localSheetId="7">'Прил. 1 План ФХД вода табл. 2'!_Pi5</definedName>
    <definedName name="Pi5_14" localSheetId="3">'Прил. 1 План ФХД с транспортир.'!_Pi5</definedName>
    <definedName name="Pi5_14" localSheetId="6">'Прил. 1 План ФХД стоки табл 2'!_Pi5</definedName>
    <definedName name="Pi5_14" localSheetId="5">'Прил. 1 План ФХД табл 1'!_Pi5</definedName>
    <definedName name="Pi5_14" localSheetId="8">'Расчет товарной выручки'!_Pi5</definedName>
    <definedName name="Pi5_14" localSheetId="1">'Текущий ремонт'!_Pi5</definedName>
    <definedName name="Pi5_14" localSheetId="11">'ФАКТ. СЕБЕСТ ВОДА 9 мес. 2019'!_Pi5</definedName>
    <definedName name="Pi5_14" localSheetId="9">'ФАКТ. СЕБЕСТ. СТОКИ 9 мес. 2019'!_Pi5</definedName>
    <definedName name="Pi5_14" localSheetId="4">'Чистая прибыль'!_Pi5</definedName>
    <definedName name="Pi5_14" localSheetId="2">'Чистая прибыль с транспортир.'!_Pi5</definedName>
    <definedName name="Pi5_14">[0]!_Pi5</definedName>
    <definedName name="Pi5_15" localSheetId="45">'ЗП с факт 3 кв. 2015'!_Pi5</definedName>
    <definedName name="Pi5_15" localSheetId="12">'ПОЛНАЯ СЕБЕСТОИМОСТЬ ВОДА 2019'!_Pi5</definedName>
    <definedName name="Pi5_15" localSheetId="10">'ПОЛНАЯ СЕБЕСТОИМОСТЬ СТОКИ 2019'!_Pi5</definedName>
    <definedName name="Pi5_15" localSheetId="7">'Прил. 1 План ФХД вода табл. 2'!_Pi5</definedName>
    <definedName name="Pi5_15" localSheetId="3">'Прил. 1 План ФХД с транспортир.'!_Pi5</definedName>
    <definedName name="Pi5_15" localSheetId="6">'Прил. 1 План ФХД стоки табл 2'!_Pi5</definedName>
    <definedName name="Pi5_15" localSheetId="5">'Прил. 1 План ФХД табл 1'!_Pi5</definedName>
    <definedName name="Pi5_15" localSheetId="8">'Расчет товарной выручки'!_Pi5</definedName>
    <definedName name="Pi5_15" localSheetId="1">'Текущий ремонт'!_Pi5</definedName>
    <definedName name="Pi5_15" localSheetId="11">'ФАКТ. СЕБЕСТ ВОДА 9 мес. 2019'!_Pi5</definedName>
    <definedName name="Pi5_15" localSheetId="9">'ФАКТ. СЕБЕСТ. СТОКИ 9 мес. 2019'!_Pi5</definedName>
    <definedName name="Pi5_15" localSheetId="4">'Чистая прибыль'!_Pi5</definedName>
    <definedName name="Pi5_15" localSheetId="2">'Чистая прибыль с транспортир.'!_Pi5</definedName>
    <definedName name="Pi5_15">_Pi5</definedName>
    <definedName name="Pi5_16" localSheetId="45">'ЗП с факт 3 кв. 2015'!_Pi5</definedName>
    <definedName name="Pi5_16" localSheetId="12">'ПОЛНАЯ СЕБЕСТОИМОСТЬ ВОДА 2019'!_Pi5</definedName>
    <definedName name="Pi5_16" localSheetId="10">'ПОЛНАЯ СЕБЕСТОИМОСТЬ СТОКИ 2019'!_Pi5</definedName>
    <definedName name="Pi5_16" localSheetId="7">'Прил. 1 План ФХД вода табл. 2'!_Pi5</definedName>
    <definedName name="Pi5_16" localSheetId="3">'Прил. 1 План ФХД с транспортир.'!_Pi5</definedName>
    <definedName name="Pi5_16" localSheetId="6">'Прил. 1 План ФХД стоки табл 2'!_Pi5</definedName>
    <definedName name="Pi5_16" localSheetId="5">'Прил. 1 План ФХД табл 1'!_Pi5</definedName>
    <definedName name="Pi5_16" localSheetId="8">'Расчет товарной выручки'!_Pi5</definedName>
    <definedName name="Pi5_16" localSheetId="1">'Текущий ремонт'!_Pi5</definedName>
    <definedName name="Pi5_16" localSheetId="11">'ФАКТ. СЕБЕСТ ВОДА 9 мес. 2019'!_Pi5</definedName>
    <definedName name="Pi5_16" localSheetId="9">'ФАКТ. СЕБЕСТ. СТОКИ 9 мес. 2019'!_Pi5</definedName>
    <definedName name="Pi5_16" localSheetId="4">'Чистая прибыль'!_Pi5</definedName>
    <definedName name="Pi5_16" localSheetId="2">'Чистая прибыль с транспортир.'!_Pi5</definedName>
    <definedName name="Pi5_16">[0]!_Pi5</definedName>
    <definedName name="Pi5_2" localSheetId="45">'ЗП с факт 3 кв. 2015'!_Pi5</definedName>
    <definedName name="Pi5_2" localSheetId="12">'ПОЛНАЯ СЕБЕСТОИМОСТЬ ВОДА 2019'!_Pi5</definedName>
    <definedName name="Pi5_2" localSheetId="10">'ПОЛНАЯ СЕБЕСТОИМОСТЬ СТОКИ 2019'!_Pi5</definedName>
    <definedName name="Pi5_2" localSheetId="7">'Прил. 1 План ФХД вода табл. 2'!_Pi5</definedName>
    <definedName name="Pi5_2" localSheetId="3">'Прил. 1 План ФХД с транспортир.'!_Pi5</definedName>
    <definedName name="Pi5_2" localSheetId="6">'Прил. 1 План ФХД стоки табл 2'!_Pi5</definedName>
    <definedName name="Pi5_2" localSheetId="5">'Прил. 1 План ФХД табл 1'!_Pi5</definedName>
    <definedName name="Pi5_2" localSheetId="8">'Расчет товарной выручки'!_Pi5</definedName>
    <definedName name="Pi5_2" localSheetId="1">'Текущий ремонт'!_Pi5</definedName>
    <definedName name="Pi5_2" localSheetId="11">'ФАКТ. СЕБЕСТ ВОДА 9 мес. 2019'!_Pi5</definedName>
    <definedName name="Pi5_2" localSheetId="9">'ФАКТ. СЕБЕСТ. СТОКИ 9 мес. 2019'!_Pi5</definedName>
    <definedName name="Pi5_2" localSheetId="4">'Чистая прибыль'!_Pi5</definedName>
    <definedName name="Pi5_2" localSheetId="2">'Чистая прибыль с транспортир.'!_Pi5</definedName>
    <definedName name="Pi5_2">[0]!_Pi5</definedName>
    <definedName name="Pi5_22" localSheetId="45">'ЗП с факт 3 кв. 2015'!_Pi5</definedName>
    <definedName name="Pi5_22" localSheetId="12">'ПОЛНАЯ СЕБЕСТОИМОСТЬ ВОДА 2019'!_Pi5</definedName>
    <definedName name="Pi5_22" localSheetId="10">'ПОЛНАЯ СЕБЕСТОИМОСТЬ СТОКИ 2019'!_Pi5</definedName>
    <definedName name="Pi5_22" localSheetId="7">'Прил. 1 План ФХД вода табл. 2'!_Pi5</definedName>
    <definedName name="Pi5_22" localSheetId="3">'Прил. 1 План ФХД с транспортир.'!_Pi5</definedName>
    <definedName name="Pi5_22" localSheetId="6">'Прил. 1 План ФХД стоки табл 2'!_Pi5</definedName>
    <definedName name="Pi5_22" localSheetId="5">'Прил. 1 План ФХД табл 1'!_Pi5</definedName>
    <definedName name="Pi5_22" localSheetId="8">'Расчет товарной выручки'!_Pi5</definedName>
    <definedName name="Pi5_22" localSheetId="1">'Текущий ремонт'!_Pi5</definedName>
    <definedName name="Pi5_22" localSheetId="11">'ФАКТ. СЕБЕСТ ВОДА 9 мес. 2019'!_Pi5</definedName>
    <definedName name="Pi5_22" localSheetId="9">'ФАКТ. СЕБЕСТ. СТОКИ 9 мес. 2019'!_Pi5</definedName>
    <definedName name="Pi5_22" localSheetId="4">'Чистая прибыль'!_Pi5</definedName>
    <definedName name="Pi5_22" localSheetId="2">'Чистая прибыль с транспортир.'!_Pi5</definedName>
    <definedName name="Pi5_22">_Pi5</definedName>
    <definedName name="Pi5_3" localSheetId="45">'ЗП с факт 3 кв. 2015'!_Pi5</definedName>
    <definedName name="Pi5_3" localSheetId="12">'ПОЛНАЯ СЕБЕСТОИМОСТЬ ВОДА 2019'!_Pi5</definedName>
    <definedName name="Pi5_3" localSheetId="10">'ПОЛНАЯ СЕБЕСТОИМОСТЬ СТОКИ 2019'!_Pi5</definedName>
    <definedName name="Pi5_3" localSheetId="7">'Прил. 1 План ФХД вода табл. 2'!_Pi5</definedName>
    <definedName name="Pi5_3" localSheetId="3">'Прил. 1 План ФХД с транспортир.'!_Pi5</definedName>
    <definedName name="Pi5_3" localSheetId="6">'Прил. 1 План ФХД стоки табл 2'!_Pi5</definedName>
    <definedName name="Pi5_3" localSheetId="5">'Прил. 1 План ФХД табл 1'!_Pi5</definedName>
    <definedName name="Pi5_3" localSheetId="8">'Расчет товарной выручки'!_Pi5</definedName>
    <definedName name="Pi5_3" localSheetId="1">'Текущий ремонт'!_Pi5</definedName>
    <definedName name="Pi5_3" localSheetId="11">'ФАКТ. СЕБЕСТ ВОДА 9 мес. 2019'!_Pi5</definedName>
    <definedName name="Pi5_3" localSheetId="9">'ФАКТ. СЕБЕСТ. СТОКИ 9 мес. 2019'!_Pi5</definedName>
    <definedName name="Pi5_3" localSheetId="4">'Чистая прибыль'!_Pi5</definedName>
    <definedName name="Pi5_3" localSheetId="2">'Чистая прибыль с транспортир.'!_Pi5</definedName>
    <definedName name="Pi5_3">[0]!_Pi5</definedName>
    <definedName name="Pi5_4" localSheetId="45">'ЗП с факт 3 кв. 2015'!_Pi5</definedName>
    <definedName name="Pi5_4" localSheetId="12">'ПОЛНАЯ СЕБЕСТОИМОСТЬ ВОДА 2019'!_Pi5</definedName>
    <definedName name="Pi5_4" localSheetId="10">'ПОЛНАЯ СЕБЕСТОИМОСТЬ СТОКИ 2019'!_Pi5</definedName>
    <definedName name="Pi5_4" localSheetId="7">'Прил. 1 План ФХД вода табл. 2'!_Pi5</definedName>
    <definedName name="Pi5_4" localSheetId="3">'Прил. 1 План ФХД с транспортир.'!_Pi5</definedName>
    <definedName name="Pi5_4" localSheetId="6">'Прил. 1 План ФХД стоки табл 2'!_Pi5</definedName>
    <definedName name="Pi5_4" localSheetId="5">'Прил. 1 План ФХД табл 1'!_Pi5</definedName>
    <definedName name="Pi5_4" localSheetId="8">'Расчет товарной выручки'!_Pi5</definedName>
    <definedName name="Pi5_4" localSheetId="1">'Текущий ремонт'!_Pi5</definedName>
    <definedName name="Pi5_4" localSheetId="11">'ФАКТ. СЕБЕСТ ВОДА 9 мес. 2019'!_Pi5</definedName>
    <definedName name="Pi5_4" localSheetId="9">'ФАКТ. СЕБЕСТ. СТОКИ 9 мес. 2019'!_Pi5</definedName>
    <definedName name="Pi5_4" localSheetId="4">'Чистая прибыль'!_Pi5</definedName>
    <definedName name="Pi5_4" localSheetId="2">'Чистая прибыль с транспортир.'!_Pi5</definedName>
    <definedName name="Pi5_4">_Pi5</definedName>
    <definedName name="Pi5_67" localSheetId="45">'ЗП с факт 3 кв. 2015'!_Pi5</definedName>
    <definedName name="Pi5_67" localSheetId="12">'ПОЛНАЯ СЕБЕСТОИМОСТЬ ВОДА 2019'!_Pi5</definedName>
    <definedName name="Pi5_67" localSheetId="10">'ПОЛНАЯ СЕБЕСТОИМОСТЬ СТОКИ 2019'!_Pi5</definedName>
    <definedName name="Pi5_67" localSheetId="7">'Прил. 1 План ФХД вода табл. 2'!_Pi5</definedName>
    <definedName name="Pi5_67" localSheetId="3">'Прил. 1 План ФХД с транспортир.'!_Pi5</definedName>
    <definedName name="Pi5_67" localSheetId="6">'Прил. 1 План ФХД стоки табл 2'!_Pi5</definedName>
    <definedName name="Pi5_67" localSheetId="5">'Прил. 1 План ФХД табл 1'!_Pi5</definedName>
    <definedName name="Pi5_67" localSheetId="8">'Расчет товарной выручки'!_Pi5</definedName>
    <definedName name="Pi5_67" localSheetId="1">'Текущий ремонт'!_Pi5</definedName>
    <definedName name="Pi5_67" localSheetId="11">'ФАКТ. СЕБЕСТ ВОДА 9 мес. 2019'!_Pi5</definedName>
    <definedName name="Pi5_67" localSheetId="9">'ФАКТ. СЕБЕСТ. СТОКИ 9 мес. 2019'!_Pi5</definedName>
    <definedName name="Pi5_67" localSheetId="4">'Чистая прибыль'!_Pi5</definedName>
    <definedName name="Pi5_67" localSheetId="2">'Чистая прибыль с транспортир.'!_Pi5</definedName>
    <definedName name="Pi5_67">_Pi5</definedName>
    <definedName name="Pi5_70" localSheetId="45">'ЗП с факт 3 кв. 2015'!_Pi5</definedName>
    <definedName name="Pi5_70" localSheetId="12">'ПОЛНАЯ СЕБЕСТОИМОСТЬ ВОДА 2019'!_Pi5</definedName>
    <definedName name="Pi5_70" localSheetId="10">'ПОЛНАЯ СЕБЕСТОИМОСТЬ СТОКИ 2019'!_Pi5</definedName>
    <definedName name="Pi5_70" localSheetId="7">'Прил. 1 План ФХД вода табл. 2'!_Pi5</definedName>
    <definedName name="Pi5_70" localSheetId="3">'Прил. 1 План ФХД с транспортир.'!_Pi5</definedName>
    <definedName name="Pi5_70" localSheetId="6">'Прил. 1 План ФХД стоки табл 2'!_Pi5</definedName>
    <definedName name="Pi5_70" localSheetId="5">'Прил. 1 План ФХД табл 1'!_Pi5</definedName>
    <definedName name="Pi5_70" localSheetId="8">'Расчет товарной выручки'!_Pi5</definedName>
    <definedName name="Pi5_70" localSheetId="1">'Текущий ремонт'!_Pi5</definedName>
    <definedName name="Pi5_70" localSheetId="11">'ФАКТ. СЕБЕСТ ВОДА 9 мес. 2019'!_Pi5</definedName>
    <definedName name="Pi5_70" localSheetId="9">'ФАКТ. СЕБЕСТ. СТОКИ 9 мес. 2019'!_Pi5</definedName>
    <definedName name="Pi5_70" localSheetId="4">'Чистая прибыль'!_Pi5</definedName>
    <definedName name="Pi5_70" localSheetId="2">'Чистая прибыль с транспортир.'!_Pi5</definedName>
    <definedName name="Pi5_70">_Pi5</definedName>
    <definedName name="Pi5_71" localSheetId="45">'ЗП с факт 3 кв. 2015'!_Pi5</definedName>
    <definedName name="Pi5_71" localSheetId="12">'ПОЛНАЯ СЕБЕСТОИМОСТЬ ВОДА 2019'!_Pi5</definedName>
    <definedName name="Pi5_71" localSheetId="10">'ПОЛНАЯ СЕБЕСТОИМОСТЬ СТОКИ 2019'!_Pi5</definedName>
    <definedName name="Pi5_71" localSheetId="7">'Прил. 1 План ФХД вода табл. 2'!_Pi5</definedName>
    <definedName name="Pi5_71" localSheetId="3">'Прил. 1 План ФХД с транспортир.'!_Pi5</definedName>
    <definedName name="Pi5_71" localSheetId="6">'Прил. 1 План ФХД стоки табл 2'!_Pi5</definedName>
    <definedName name="Pi5_71" localSheetId="5">'Прил. 1 План ФХД табл 1'!_Pi5</definedName>
    <definedName name="Pi5_71" localSheetId="8">'Расчет товарной выручки'!_Pi5</definedName>
    <definedName name="Pi5_71" localSheetId="1">'Текущий ремонт'!_Pi5</definedName>
    <definedName name="Pi5_71" localSheetId="11">'ФАКТ. СЕБЕСТ ВОДА 9 мес. 2019'!_Pi5</definedName>
    <definedName name="Pi5_71" localSheetId="9">'ФАКТ. СЕБЕСТ. СТОКИ 9 мес. 2019'!_Pi5</definedName>
    <definedName name="Pi5_71" localSheetId="4">'Чистая прибыль'!_Pi5</definedName>
    <definedName name="Pi5_71" localSheetId="2">'Чистая прибыль с транспортир.'!_Pi5</definedName>
    <definedName name="Pi5_71">_Pi5</definedName>
    <definedName name="Pi5_72" localSheetId="45">'ЗП с факт 3 кв. 2015'!_Pi5</definedName>
    <definedName name="Pi5_72" localSheetId="12">'ПОЛНАЯ СЕБЕСТОИМОСТЬ ВОДА 2019'!_Pi5</definedName>
    <definedName name="Pi5_72" localSheetId="10">'ПОЛНАЯ СЕБЕСТОИМОСТЬ СТОКИ 2019'!_Pi5</definedName>
    <definedName name="Pi5_72" localSheetId="7">'Прил. 1 План ФХД вода табл. 2'!_Pi5</definedName>
    <definedName name="Pi5_72" localSheetId="3">'Прил. 1 План ФХД с транспортир.'!_Pi5</definedName>
    <definedName name="Pi5_72" localSheetId="6">'Прил. 1 План ФХД стоки табл 2'!_Pi5</definedName>
    <definedName name="Pi5_72" localSheetId="5">'Прил. 1 План ФХД табл 1'!_Pi5</definedName>
    <definedName name="Pi5_72" localSheetId="8">'Расчет товарной выручки'!_Pi5</definedName>
    <definedName name="Pi5_72" localSheetId="1">'Текущий ремонт'!_Pi5</definedName>
    <definedName name="Pi5_72" localSheetId="11">'ФАКТ. СЕБЕСТ ВОДА 9 мес. 2019'!_Pi5</definedName>
    <definedName name="Pi5_72" localSheetId="9">'ФАКТ. СЕБЕСТ. СТОКИ 9 мес. 2019'!_Pi5</definedName>
    <definedName name="Pi5_72" localSheetId="4">'Чистая прибыль'!_Pi5</definedName>
    <definedName name="Pi5_72" localSheetId="2">'Чистая прибыль с транспортир.'!_Pi5</definedName>
    <definedName name="Pi5_72">_Pi5</definedName>
    <definedName name="Pi5_74" localSheetId="45">'ЗП с факт 3 кв. 2015'!_Pi5</definedName>
    <definedName name="Pi5_74" localSheetId="12">'ПОЛНАЯ СЕБЕСТОИМОСТЬ ВОДА 2019'!_Pi5</definedName>
    <definedName name="Pi5_74" localSheetId="10">'ПОЛНАЯ СЕБЕСТОИМОСТЬ СТОКИ 2019'!_Pi5</definedName>
    <definedName name="Pi5_74" localSheetId="7">'Прил. 1 План ФХД вода табл. 2'!_Pi5</definedName>
    <definedName name="Pi5_74" localSheetId="3">'Прил. 1 План ФХД с транспортир.'!_Pi5</definedName>
    <definedName name="Pi5_74" localSheetId="6">'Прил. 1 План ФХД стоки табл 2'!_Pi5</definedName>
    <definedName name="Pi5_74" localSheetId="5">'Прил. 1 План ФХД табл 1'!_Pi5</definedName>
    <definedName name="Pi5_74" localSheetId="8">'Расчет товарной выручки'!_Pi5</definedName>
    <definedName name="Pi5_74" localSheetId="1">'Текущий ремонт'!_Pi5</definedName>
    <definedName name="Pi5_74" localSheetId="11">'ФАКТ. СЕБЕСТ ВОДА 9 мес. 2019'!_Pi5</definedName>
    <definedName name="Pi5_74" localSheetId="9">'ФАКТ. СЕБЕСТ. СТОКИ 9 мес. 2019'!_Pi5</definedName>
    <definedName name="Pi5_74" localSheetId="4">'Чистая прибыль'!_Pi5</definedName>
    <definedName name="Pi5_74" localSheetId="2">'Чистая прибыль с транспортир.'!_Pi5</definedName>
    <definedName name="Pi5_74">_Pi5</definedName>
    <definedName name="Pi5_9" localSheetId="45">'ЗП с факт 3 кв. 2015'!_Pi5</definedName>
    <definedName name="Pi5_9" localSheetId="12">'ПОЛНАЯ СЕБЕСТОИМОСТЬ ВОДА 2019'!_Pi5</definedName>
    <definedName name="Pi5_9" localSheetId="10">'ПОЛНАЯ СЕБЕСТОИМОСТЬ СТОКИ 2019'!_Pi5</definedName>
    <definedName name="Pi5_9" localSheetId="7">'Прил. 1 План ФХД вода табл. 2'!_Pi5</definedName>
    <definedName name="Pi5_9" localSheetId="3">'Прил. 1 План ФХД с транспортир.'!_Pi5</definedName>
    <definedName name="Pi5_9" localSheetId="6">'Прил. 1 План ФХД стоки табл 2'!_Pi5</definedName>
    <definedName name="Pi5_9" localSheetId="5">'Прил. 1 План ФХД табл 1'!_Pi5</definedName>
    <definedName name="Pi5_9" localSheetId="8">'Расчет товарной выручки'!_Pi5</definedName>
    <definedName name="Pi5_9" localSheetId="1">'Текущий ремонт'!_Pi5</definedName>
    <definedName name="Pi5_9" localSheetId="11">'ФАКТ. СЕБЕСТ ВОДА 9 мес. 2019'!_Pi5</definedName>
    <definedName name="Pi5_9" localSheetId="9">'ФАКТ. СЕБЕСТ. СТОКИ 9 мес. 2019'!_Pi5</definedName>
    <definedName name="Pi5_9" localSheetId="4">'Чистая прибыль'!_Pi5</definedName>
    <definedName name="Pi5_9" localSheetId="2">'Чистая прибыль с транспортир.'!_Pi5</definedName>
    <definedName name="Pi5_9">_Pi5</definedName>
    <definedName name="TEMPLATE_SPHERE" localSheetId="12">[7]TECHSHEET!$G$2</definedName>
    <definedName name="TEMPLATE_SPHERE" localSheetId="10">[7]TECHSHEET!$G$2</definedName>
    <definedName name="TEMPLATE_SPHERE" localSheetId="11">[7]TECHSHEET!$G$2</definedName>
    <definedName name="TEMPLATE_SPHERE" localSheetId="9">[7]TECHSHEET!$G$2</definedName>
    <definedName name="TEMPLATE_SPHERE">[7]TECHSHEET!$G$2</definedName>
    <definedName name="TEMPLATE_SPHERE_CODE" localSheetId="12">[7]TECHSHEET!$G$37</definedName>
    <definedName name="TEMPLATE_SPHERE_CODE" localSheetId="10">[7]TECHSHEET!$G$37</definedName>
    <definedName name="TEMPLATE_SPHERE_CODE" localSheetId="11">[7]TECHSHEET!$G$37</definedName>
    <definedName name="TEMPLATE_SPHERE_CODE" localSheetId="9">[7]TECHSHEET!$G$37</definedName>
    <definedName name="TEMPLATE_SPHERE_CODE">[7]TECHSHEET!$G$37</definedName>
    <definedName name="аа" localSheetId="45">'ЗП с факт 3 кв. 2015'!аа</definedName>
    <definedName name="аа" localSheetId="12">#N/A</definedName>
    <definedName name="аа" localSheetId="10">#N/A</definedName>
    <definedName name="аа" localSheetId="7">#N/A</definedName>
    <definedName name="аа" localSheetId="3">#N/A</definedName>
    <definedName name="аа" localSheetId="6">#N/A</definedName>
    <definedName name="аа" localSheetId="5">#N/A</definedName>
    <definedName name="аа" localSheetId="8">#N/A</definedName>
    <definedName name="аа" localSheetId="1">#N/A</definedName>
    <definedName name="аа" localSheetId="11">#N/A</definedName>
    <definedName name="аа" localSheetId="9">#N/A</definedName>
    <definedName name="аа" localSheetId="4">#N/A</definedName>
    <definedName name="аа" localSheetId="2">#N/A</definedName>
    <definedName name="аа">аа</definedName>
    <definedName name="аа_10" localSheetId="45">'ЗП с факт 3 кв. 2015'!аа</definedName>
    <definedName name="аа_10" localSheetId="12">'ПОЛНАЯ СЕБЕСТОИМОСТЬ ВОДА 2019'!аа</definedName>
    <definedName name="аа_10" localSheetId="10">'ПОЛНАЯ СЕБЕСТОИМОСТЬ СТОКИ 2019'!аа</definedName>
    <definedName name="аа_10" localSheetId="7">'Прил. 1 План ФХД вода табл. 2'!аа</definedName>
    <definedName name="аа_10" localSheetId="3">'Прил. 1 План ФХД с транспортир.'!аа</definedName>
    <definedName name="аа_10" localSheetId="6">'Прил. 1 План ФХД стоки табл 2'!аа</definedName>
    <definedName name="аа_10" localSheetId="5">'Прил. 1 План ФХД табл 1'!аа</definedName>
    <definedName name="аа_10" localSheetId="8">'Расчет товарной выручки'!аа</definedName>
    <definedName name="аа_10" localSheetId="1">'Текущий ремонт'!аа</definedName>
    <definedName name="аа_10" localSheetId="11">'ФАКТ. СЕБЕСТ ВОДА 9 мес. 2019'!аа</definedName>
    <definedName name="аа_10" localSheetId="9">'ФАКТ. СЕБЕСТ. СТОКИ 9 мес. 2019'!аа</definedName>
    <definedName name="аа_10" localSheetId="4">'Чистая прибыль'!аа</definedName>
    <definedName name="аа_10" localSheetId="2">'Чистая прибыль с транспортир.'!аа</definedName>
    <definedName name="аа_10">[0]!аа</definedName>
    <definedName name="аа_14" localSheetId="45">'ЗП с факт 3 кв. 2015'!аа</definedName>
    <definedName name="аа_14" localSheetId="12">'ПОЛНАЯ СЕБЕСТОИМОСТЬ ВОДА 2019'!аа</definedName>
    <definedName name="аа_14" localSheetId="10">'ПОЛНАЯ СЕБЕСТОИМОСТЬ СТОКИ 2019'!аа</definedName>
    <definedName name="аа_14" localSheetId="7">'Прил. 1 План ФХД вода табл. 2'!аа</definedName>
    <definedName name="аа_14" localSheetId="3">'Прил. 1 План ФХД с транспортир.'!аа</definedName>
    <definedName name="аа_14" localSheetId="6">'Прил. 1 План ФХД стоки табл 2'!аа</definedName>
    <definedName name="аа_14" localSheetId="5">'Прил. 1 План ФХД табл 1'!аа</definedName>
    <definedName name="аа_14" localSheetId="8">'Расчет товарной выручки'!аа</definedName>
    <definedName name="аа_14" localSheetId="1">'Текущий ремонт'!аа</definedName>
    <definedName name="аа_14" localSheetId="11">'ФАКТ. СЕБЕСТ ВОДА 9 мес. 2019'!аа</definedName>
    <definedName name="аа_14" localSheetId="9">'ФАКТ. СЕБЕСТ. СТОКИ 9 мес. 2019'!аа</definedName>
    <definedName name="аа_14" localSheetId="4">'Чистая прибыль'!аа</definedName>
    <definedName name="аа_14" localSheetId="2">'Чистая прибыль с транспортир.'!аа</definedName>
    <definedName name="аа_14">[0]!аа</definedName>
    <definedName name="аа_15" localSheetId="45">'ЗП с факт 3 кв. 2015'!аа</definedName>
    <definedName name="аа_15" localSheetId="12">'ПОЛНАЯ СЕБЕСТОИМОСТЬ ВОДА 2019'!аа</definedName>
    <definedName name="аа_15" localSheetId="10">'ПОЛНАЯ СЕБЕСТОИМОСТЬ СТОКИ 2019'!аа</definedName>
    <definedName name="аа_15" localSheetId="7">'Прил. 1 План ФХД вода табл. 2'!аа</definedName>
    <definedName name="аа_15" localSheetId="3">'Прил. 1 План ФХД с транспортир.'!аа</definedName>
    <definedName name="аа_15" localSheetId="6">'Прил. 1 План ФХД стоки табл 2'!аа</definedName>
    <definedName name="аа_15" localSheetId="5">'Прил. 1 План ФХД табл 1'!аа</definedName>
    <definedName name="аа_15" localSheetId="8">'Расчет товарной выручки'!аа</definedName>
    <definedName name="аа_15" localSheetId="1">'Текущий ремонт'!аа</definedName>
    <definedName name="аа_15" localSheetId="11">'ФАКТ. СЕБЕСТ ВОДА 9 мес. 2019'!аа</definedName>
    <definedName name="аа_15" localSheetId="9">'ФАКТ. СЕБЕСТ. СТОКИ 9 мес. 2019'!аа</definedName>
    <definedName name="аа_15" localSheetId="4">'Чистая прибыль'!аа</definedName>
    <definedName name="аа_15" localSheetId="2">'Чистая прибыль с транспортир.'!аа</definedName>
    <definedName name="аа_15">[0]!аа</definedName>
    <definedName name="аа_16" localSheetId="45">'ЗП с факт 3 кв. 2015'!аа</definedName>
    <definedName name="аа_16" localSheetId="12">'ПОЛНАЯ СЕБЕСТОИМОСТЬ ВОДА 2019'!аа</definedName>
    <definedName name="аа_16" localSheetId="10">'ПОЛНАЯ СЕБЕСТОИМОСТЬ СТОКИ 2019'!аа</definedName>
    <definedName name="аа_16" localSheetId="7">'Прил. 1 План ФХД вода табл. 2'!аа</definedName>
    <definedName name="аа_16" localSheetId="3">'Прил. 1 План ФХД с транспортир.'!аа</definedName>
    <definedName name="аа_16" localSheetId="6">'Прил. 1 План ФХД стоки табл 2'!аа</definedName>
    <definedName name="аа_16" localSheetId="5">'Прил. 1 План ФХД табл 1'!аа</definedName>
    <definedName name="аа_16" localSheetId="8">'Расчет товарной выручки'!аа</definedName>
    <definedName name="аа_16" localSheetId="1">'Текущий ремонт'!аа</definedName>
    <definedName name="аа_16" localSheetId="11">'ФАКТ. СЕБЕСТ ВОДА 9 мес. 2019'!аа</definedName>
    <definedName name="аа_16" localSheetId="9">'ФАКТ. СЕБЕСТ. СТОКИ 9 мес. 2019'!аа</definedName>
    <definedName name="аа_16" localSheetId="4">'Чистая прибыль'!аа</definedName>
    <definedName name="аа_16" localSheetId="2">'Чистая прибыль с транспортир.'!аа</definedName>
    <definedName name="аа_16">[0]!аа</definedName>
    <definedName name="аа_2" localSheetId="45">'ЗП с факт 3 кв. 2015'!аа</definedName>
    <definedName name="аа_2" localSheetId="12">'ПОЛНАЯ СЕБЕСТОИМОСТЬ ВОДА 2019'!аа</definedName>
    <definedName name="аа_2" localSheetId="10">'ПОЛНАЯ СЕБЕСТОИМОСТЬ СТОКИ 2019'!аа</definedName>
    <definedName name="аа_2" localSheetId="7">'Прил. 1 План ФХД вода табл. 2'!аа</definedName>
    <definedName name="аа_2" localSheetId="3">'Прил. 1 План ФХД с транспортир.'!аа</definedName>
    <definedName name="аа_2" localSheetId="6">'Прил. 1 План ФХД стоки табл 2'!аа</definedName>
    <definedName name="аа_2" localSheetId="5">'Прил. 1 План ФХД табл 1'!аа</definedName>
    <definedName name="аа_2" localSheetId="8">'Расчет товарной выручки'!аа</definedName>
    <definedName name="аа_2" localSheetId="1">'Текущий ремонт'!аа</definedName>
    <definedName name="аа_2" localSheetId="11">'ФАКТ. СЕБЕСТ ВОДА 9 мес. 2019'!аа</definedName>
    <definedName name="аа_2" localSheetId="9">'ФАКТ. СЕБЕСТ. СТОКИ 9 мес. 2019'!аа</definedName>
    <definedName name="аа_2" localSheetId="4">'Чистая прибыль'!аа</definedName>
    <definedName name="аа_2" localSheetId="2">'Чистая прибыль с транспортир.'!аа</definedName>
    <definedName name="аа_2">[0]!аа</definedName>
    <definedName name="апапа" localSheetId="45">'ЗП с факт 3 кв. 2015'!_Pi4</definedName>
    <definedName name="апапа" localSheetId="12">'ПОЛНАЯ СЕБЕСТОИМОСТЬ ВОДА 2019'!_Pi4</definedName>
    <definedName name="апапа" localSheetId="10">'ПОЛНАЯ СЕБЕСТОИМОСТЬ СТОКИ 2019'!_Pi4</definedName>
    <definedName name="апапа" localSheetId="7">'Прил. 1 План ФХД вода табл. 2'!_Pi4</definedName>
    <definedName name="апапа" localSheetId="3">'Прил. 1 План ФХД с транспортир.'!_Pi4</definedName>
    <definedName name="апапа" localSheetId="6">'Прил. 1 План ФХД стоки табл 2'!_Pi4</definedName>
    <definedName name="апапа" localSheetId="5">'Прил. 1 План ФХД табл 1'!_Pi4</definedName>
    <definedName name="апапа" localSheetId="8">'Расчет товарной выручки'!_Pi4</definedName>
    <definedName name="апапа" localSheetId="1">'Текущий ремонт'!_Pi4</definedName>
    <definedName name="апапа" localSheetId="11">'ФАКТ. СЕБЕСТ ВОДА 9 мес. 2019'!_Pi4</definedName>
    <definedName name="апапа" localSheetId="9">'ФАКТ. СЕБЕСТ. СТОКИ 9 мес. 2019'!_Pi4</definedName>
    <definedName name="апапа" localSheetId="4">'Чистая прибыль'!_Pi4</definedName>
    <definedName name="апапа" localSheetId="2">'Чистая прибыль с транспортир.'!_Pi4</definedName>
    <definedName name="апапа">[0]!_Pi4</definedName>
    <definedName name="апапа_1" localSheetId="45">'ЗП с факт 3 кв. 2015'!_Pi4</definedName>
    <definedName name="апапа_1" localSheetId="12">'ПОЛНАЯ СЕБЕСТОИМОСТЬ ВОДА 2019'!_Pi4</definedName>
    <definedName name="апапа_1" localSheetId="10">'ПОЛНАЯ СЕБЕСТОИМОСТЬ СТОКИ 2019'!_Pi4</definedName>
    <definedName name="апапа_1" localSheetId="7">'Прил. 1 План ФХД вода табл. 2'!_Pi4</definedName>
    <definedName name="апапа_1" localSheetId="3">'Прил. 1 План ФХД с транспортир.'!_Pi4</definedName>
    <definedName name="апапа_1" localSheetId="6">'Прил. 1 План ФХД стоки табл 2'!_Pi4</definedName>
    <definedName name="апапа_1" localSheetId="5">'Прил. 1 План ФХД табл 1'!_Pi4</definedName>
    <definedName name="апапа_1" localSheetId="8">'Расчет товарной выручки'!_Pi4</definedName>
    <definedName name="апапа_1" localSheetId="1">'Текущий ремонт'!_Pi4</definedName>
    <definedName name="апапа_1" localSheetId="11">'ФАКТ. СЕБЕСТ ВОДА 9 мес. 2019'!_Pi4</definedName>
    <definedName name="апапа_1" localSheetId="9">'ФАКТ. СЕБЕСТ. СТОКИ 9 мес. 2019'!_Pi4</definedName>
    <definedName name="апапа_1" localSheetId="4">'Чистая прибыль'!_Pi4</definedName>
    <definedName name="апапа_1" localSheetId="2">'Чистая прибыль с транспортир.'!_Pi4</definedName>
    <definedName name="апапа_1">[0]!_Pi4</definedName>
    <definedName name="апапа_13" localSheetId="45">'ЗП с факт 3 кв. 2015'!_Pi4</definedName>
    <definedName name="апапа_13" localSheetId="12">'ПОЛНАЯ СЕБЕСТОИМОСТЬ ВОДА 2019'!_Pi4</definedName>
    <definedName name="апапа_13" localSheetId="10">'ПОЛНАЯ СЕБЕСТОИМОСТЬ СТОКИ 2019'!_Pi4</definedName>
    <definedName name="апапа_13" localSheetId="7">'Прил. 1 План ФХД вода табл. 2'!_Pi4</definedName>
    <definedName name="апапа_13" localSheetId="3">'Прил. 1 План ФХД с транспортир.'!_Pi4</definedName>
    <definedName name="апапа_13" localSheetId="6">'Прил. 1 План ФХД стоки табл 2'!_Pi4</definedName>
    <definedName name="апапа_13" localSheetId="5">'Прил. 1 План ФХД табл 1'!_Pi4</definedName>
    <definedName name="апапа_13" localSheetId="8">'Расчет товарной выручки'!_Pi4</definedName>
    <definedName name="апапа_13" localSheetId="1">'Текущий ремонт'!_Pi4</definedName>
    <definedName name="апапа_13" localSheetId="11">'ФАКТ. СЕБЕСТ ВОДА 9 мес. 2019'!_Pi4</definedName>
    <definedName name="апапа_13" localSheetId="9">'ФАКТ. СЕБЕСТ. СТОКИ 9 мес. 2019'!_Pi4</definedName>
    <definedName name="апапа_13" localSheetId="4">'Чистая прибыль'!_Pi4</definedName>
    <definedName name="апапа_13" localSheetId="2">'Чистая прибыль с транспортир.'!_Pi4</definedName>
    <definedName name="апапа_13">[0]!_Pi4</definedName>
    <definedName name="апапа_2" localSheetId="45">'ЗП с факт 3 кв. 2015'!_Pi4</definedName>
    <definedName name="апапа_2" localSheetId="12">'ПОЛНАЯ СЕБЕСТОИМОСТЬ ВОДА 2019'!_Pi4</definedName>
    <definedName name="апапа_2" localSheetId="10">'ПОЛНАЯ СЕБЕСТОИМОСТЬ СТОКИ 2019'!_Pi4</definedName>
    <definedName name="апапа_2" localSheetId="7">'Прил. 1 План ФХД вода табл. 2'!_Pi4</definedName>
    <definedName name="апапа_2" localSheetId="3">'Прил. 1 План ФХД с транспортир.'!_Pi4</definedName>
    <definedName name="апапа_2" localSheetId="6">'Прил. 1 План ФХД стоки табл 2'!_Pi4</definedName>
    <definedName name="апапа_2" localSheetId="5">'Прил. 1 План ФХД табл 1'!_Pi4</definedName>
    <definedName name="апапа_2" localSheetId="8">'Расчет товарной выручки'!_Pi4</definedName>
    <definedName name="апапа_2" localSheetId="1">'Текущий ремонт'!_Pi4</definedName>
    <definedName name="апапа_2" localSheetId="11">'ФАКТ. СЕБЕСТ ВОДА 9 мес. 2019'!_Pi4</definedName>
    <definedName name="апапа_2" localSheetId="9">'ФАКТ. СЕБЕСТ. СТОКИ 9 мес. 2019'!_Pi4</definedName>
    <definedName name="апапа_2" localSheetId="4">'Чистая прибыль'!_Pi4</definedName>
    <definedName name="апапа_2" localSheetId="2">'Чистая прибыль с транспортир.'!_Pi4</definedName>
    <definedName name="апапа_2">[0]!_Pi4</definedName>
    <definedName name="апквуцыыыыы">#N/A</definedName>
    <definedName name="б" localSheetId="45">'ЗП с факт 3 кв. 2015'!б</definedName>
    <definedName name="б" localSheetId="12">#N/A</definedName>
    <definedName name="б" localSheetId="10">#N/A</definedName>
    <definedName name="б" localSheetId="7">#N/A</definedName>
    <definedName name="б" localSheetId="3">#N/A</definedName>
    <definedName name="б" localSheetId="6">#N/A</definedName>
    <definedName name="б" localSheetId="5">#N/A</definedName>
    <definedName name="б" localSheetId="8">#N/A</definedName>
    <definedName name="б" localSheetId="1">#N/A</definedName>
    <definedName name="б" localSheetId="11">#N/A</definedName>
    <definedName name="б" localSheetId="9">#N/A</definedName>
    <definedName name="б" localSheetId="4">#N/A</definedName>
    <definedName name="б" localSheetId="2">#N/A</definedName>
    <definedName name="б">б</definedName>
    <definedName name="б_10" localSheetId="45">'ЗП с факт 3 кв. 2015'!б</definedName>
    <definedName name="б_10" localSheetId="12">'ПОЛНАЯ СЕБЕСТОИМОСТЬ ВОДА 2019'!б</definedName>
    <definedName name="б_10" localSheetId="10">'ПОЛНАЯ СЕБЕСТОИМОСТЬ СТОКИ 2019'!б</definedName>
    <definedName name="б_10" localSheetId="7">'Прил. 1 План ФХД вода табл. 2'!б</definedName>
    <definedName name="б_10" localSheetId="3">'Прил. 1 План ФХД с транспортир.'!б</definedName>
    <definedName name="б_10" localSheetId="6">'Прил. 1 План ФХД стоки табл 2'!б</definedName>
    <definedName name="б_10" localSheetId="5">'Прил. 1 План ФХД табл 1'!б</definedName>
    <definedName name="б_10" localSheetId="8">'Расчет товарной выручки'!б</definedName>
    <definedName name="б_10" localSheetId="1">'Текущий ремонт'!б</definedName>
    <definedName name="б_10" localSheetId="11">'ФАКТ. СЕБЕСТ ВОДА 9 мес. 2019'!б</definedName>
    <definedName name="б_10" localSheetId="9">'ФАКТ. СЕБЕСТ. СТОКИ 9 мес. 2019'!б</definedName>
    <definedName name="б_10" localSheetId="4">'Чистая прибыль'!б</definedName>
    <definedName name="б_10" localSheetId="2">'Чистая прибыль с транспортир.'!б</definedName>
    <definedName name="б_10">[0]!б</definedName>
    <definedName name="б_14" localSheetId="45">'ЗП с факт 3 кв. 2015'!б</definedName>
    <definedName name="б_14" localSheetId="12">'ПОЛНАЯ СЕБЕСТОИМОСТЬ ВОДА 2019'!б</definedName>
    <definedName name="б_14" localSheetId="10">'ПОЛНАЯ СЕБЕСТОИМОСТЬ СТОКИ 2019'!б</definedName>
    <definedName name="б_14" localSheetId="7">'Прил. 1 План ФХД вода табл. 2'!б</definedName>
    <definedName name="б_14" localSheetId="3">'Прил. 1 План ФХД с транспортир.'!б</definedName>
    <definedName name="б_14" localSheetId="6">'Прил. 1 План ФХД стоки табл 2'!б</definedName>
    <definedName name="б_14" localSheetId="5">'Прил. 1 План ФХД табл 1'!б</definedName>
    <definedName name="б_14" localSheetId="8">'Расчет товарной выручки'!б</definedName>
    <definedName name="б_14" localSheetId="1">'Текущий ремонт'!б</definedName>
    <definedName name="б_14" localSheetId="11">'ФАКТ. СЕБЕСТ ВОДА 9 мес. 2019'!б</definedName>
    <definedName name="б_14" localSheetId="9">'ФАКТ. СЕБЕСТ. СТОКИ 9 мес. 2019'!б</definedName>
    <definedName name="б_14" localSheetId="4">'Чистая прибыль'!б</definedName>
    <definedName name="б_14" localSheetId="2">'Чистая прибыль с транспортир.'!б</definedName>
    <definedName name="б_14">[0]!б</definedName>
    <definedName name="б_15" localSheetId="45">'ЗП с факт 3 кв. 2015'!б</definedName>
    <definedName name="б_15" localSheetId="12">'ПОЛНАЯ СЕБЕСТОИМОСТЬ ВОДА 2019'!б</definedName>
    <definedName name="б_15" localSheetId="10">'ПОЛНАЯ СЕБЕСТОИМОСТЬ СТОКИ 2019'!б</definedName>
    <definedName name="б_15" localSheetId="7">'Прил. 1 План ФХД вода табл. 2'!б</definedName>
    <definedName name="б_15" localSheetId="3">'Прил. 1 План ФХД с транспортир.'!б</definedName>
    <definedName name="б_15" localSheetId="6">'Прил. 1 План ФХД стоки табл 2'!б</definedName>
    <definedName name="б_15" localSheetId="5">'Прил. 1 План ФХД табл 1'!б</definedName>
    <definedName name="б_15" localSheetId="8">'Расчет товарной выручки'!б</definedName>
    <definedName name="б_15" localSheetId="1">'Текущий ремонт'!б</definedName>
    <definedName name="б_15" localSheetId="11">'ФАКТ. СЕБЕСТ ВОДА 9 мес. 2019'!б</definedName>
    <definedName name="б_15" localSheetId="9">'ФАКТ. СЕБЕСТ. СТОКИ 9 мес. 2019'!б</definedName>
    <definedName name="б_15" localSheetId="4">'Чистая прибыль'!б</definedName>
    <definedName name="б_15" localSheetId="2">'Чистая прибыль с транспортир.'!б</definedName>
    <definedName name="б_15">[0]!б</definedName>
    <definedName name="б_16" localSheetId="45">'ЗП с факт 3 кв. 2015'!б</definedName>
    <definedName name="б_16" localSheetId="12">'ПОЛНАЯ СЕБЕСТОИМОСТЬ ВОДА 2019'!б</definedName>
    <definedName name="б_16" localSheetId="10">'ПОЛНАЯ СЕБЕСТОИМОСТЬ СТОКИ 2019'!б</definedName>
    <definedName name="б_16" localSheetId="7">'Прил. 1 План ФХД вода табл. 2'!б</definedName>
    <definedName name="б_16" localSheetId="3">'Прил. 1 План ФХД с транспортир.'!б</definedName>
    <definedName name="б_16" localSheetId="6">'Прил. 1 План ФХД стоки табл 2'!б</definedName>
    <definedName name="б_16" localSheetId="5">'Прил. 1 План ФХД табл 1'!б</definedName>
    <definedName name="б_16" localSheetId="8">'Расчет товарной выручки'!б</definedName>
    <definedName name="б_16" localSheetId="1">'Текущий ремонт'!б</definedName>
    <definedName name="б_16" localSheetId="11">'ФАКТ. СЕБЕСТ ВОДА 9 мес. 2019'!б</definedName>
    <definedName name="б_16" localSheetId="9">'ФАКТ. СЕБЕСТ. СТОКИ 9 мес. 2019'!б</definedName>
    <definedName name="б_16" localSheetId="4">'Чистая прибыль'!б</definedName>
    <definedName name="б_16" localSheetId="2">'Чистая прибыль с транспортир.'!б</definedName>
    <definedName name="б_16">[0]!б</definedName>
    <definedName name="б_2" localSheetId="45">'ЗП с факт 3 кв. 2015'!б</definedName>
    <definedName name="б_2" localSheetId="12">'ПОЛНАЯ СЕБЕСТОИМОСТЬ ВОДА 2019'!б</definedName>
    <definedName name="б_2" localSheetId="10">'ПОЛНАЯ СЕБЕСТОИМОСТЬ СТОКИ 2019'!б</definedName>
    <definedName name="б_2" localSheetId="7">'Прил. 1 План ФХД вода табл. 2'!б</definedName>
    <definedName name="б_2" localSheetId="3">'Прил. 1 План ФХД с транспортир.'!б</definedName>
    <definedName name="б_2" localSheetId="6">'Прил. 1 План ФХД стоки табл 2'!б</definedName>
    <definedName name="б_2" localSheetId="5">'Прил. 1 План ФХД табл 1'!б</definedName>
    <definedName name="б_2" localSheetId="8">'Расчет товарной выручки'!б</definedName>
    <definedName name="б_2" localSheetId="1">'Текущий ремонт'!б</definedName>
    <definedName name="б_2" localSheetId="11">'ФАКТ. СЕБЕСТ ВОДА 9 мес. 2019'!б</definedName>
    <definedName name="б_2" localSheetId="9">'ФАКТ. СЕБЕСТ. СТОКИ 9 мес. 2019'!б</definedName>
    <definedName name="б_2" localSheetId="4">'Чистая прибыль'!б</definedName>
    <definedName name="б_2" localSheetId="2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45">'ЗП с факт 3 кв. 2015'!в</definedName>
    <definedName name="в" localSheetId="12">#N/A</definedName>
    <definedName name="в" localSheetId="10">#N/A</definedName>
    <definedName name="в" localSheetId="7">#N/A</definedName>
    <definedName name="в" localSheetId="3">#N/A</definedName>
    <definedName name="в" localSheetId="6">#N/A</definedName>
    <definedName name="в" localSheetId="5">#N/A</definedName>
    <definedName name="в" localSheetId="8">#N/A</definedName>
    <definedName name="в" localSheetId="1">#N/A</definedName>
    <definedName name="в" localSheetId="11">#N/A</definedName>
    <definedName name="в" localSheetId="9">#N/A</definedName>
    <definedName name="в" localSheetId="4">#N/A</definedName>
    <definedName name="в" localSheetId="2">#N/A</definedName>
    <definedName name="в">в</definedName>
    <definedName name="в_10" localSheetId="45">'ЗП с факт 3 кв. 2015'!в</definedName>
    <definedName name="в_10" localSheetId="12">'ПОЛНАЯ СЕБЕСТОИМОСТЬ ВОДА 2019'!в</definedName>
    <definedName name="в_10" localSheetId="10">'ПОЛНАЯ СЕБЕСТОИМОСТЬ СТОКИ 2019'!в</definedName>
    <definedName name="в_10" localSheetId="7">'Прил. 1 План ФХД вода табл. 2'!в</definedName>
    <definedName name="в_10" localSheetId="3">'Прил. 1 План ФХД с транспортир.'!в</definedName>
    <definedName name="в_10" localSheetId="6">'Прил. 1 План ФХД стоки табл 2'!в</definedName>
    <definedName name="в_10" localSheetId="5">'Прил. 1 План ФХД табл 1'!в</definedName>
    <definedName name="в_10" localSheetId="8">'Расчет товарной выручки'!в</definedName>
    <definedName name="в_10" localSheetId="1">'Текущий ремонт'!в</definedName>
    <definedName name="в_10" localSheetId="11">'ФАКТ. СЕБЕСТ ВОДА 9 мес. 2019'!в</definedName>
    <definedName name="в_10" localSheetId="9">'ФАКТ. СЕБЕСТ. СТОКИ 9 мес. 2019'!в</definedName>
    <definedName name="в_10" localSheetId="4">'Чистая прибыль'!в</definedName>
    <definedName name="в_10" localSheetId="2">'Чистая прибыль с транспортир.'!в</definedName>
    <definedName name="в_10">[0]!в</definedName>
    <definedName name="в_14" localSheetId="45">'ЗП с факт 3 кв. 2015'!в</definedName>
    <definedName name="в_14" localSheetId="12">'ПОЛНАЯ СЕБЕСТОИМОСТЬ ВОДА 2019'!в</definedName>
    <definedName name="в_14" localSheetId="10">'ПОЛНАЯ СЕБЕСТОИМОСТЬ СТОКИ 2019'!в</definedName>
    <definedName name="в_14" localSheetId="7">'Прил. 1 План ФХД вода табл. 2'!в</definedName>
    <definedName name="в_14" localSheetId="3">'Прил. 1 План ФХД с транспортир.'!в</definedName>
    <definedName name="в_14" localSheetId="6">'Прил. 1 План ФХД стоки табл 2'!в</definedName>
    <definedName name="в_14" localSheetId="5">'Прил. 1 План ФХД табл 1'!в</definedName>
    <definedName name="в_14" localSheetId="8">'Расчет товарной выручки'!в</definedName>
    <definedName name="в_14" localSheetId="1">'Текущий ремонт'!в</definedName>
    <definedName name="в_14" localSheetId="11">'ФАКТ. СЕБЕСТ ВОДА 9 мес. 2019'!в</definedName>
    <definedName name="в_14" localSheetId="9">'ФАКТ. СЕБЕСТ. СТОКИ 9 мес. 2019'!в</definedName>
    <definedName name="в_14" localSheetId="4">'Чистая прибыль'!в</definedName>
    <definedName name="в_14" localSheetId="2">'Чистая прибыль с транспортир.'!в</definedName>
    <definedName name="в_14">[0]!в</definedName>
    <definedName name="в_15" localSheetId="45">'ЗП с факт 3 кв. 2015'!в</definedName>
    <definedName name="в_15" localSheetId="12">'ПОЛНАЯ СЕБЕСТОИМОСТЬ ВОДА 2019'!в</definedName>
    <definedName name="в_15" localSheetId="10">'ПОЛНАЯ СЕБЕСТОИМОСТЬ СТОКИ 2019'!в</definedName>
    <definedName name="в_15" localSheetId="7">'Прил. 1 План ФХД вода табл. 2'!в</definedName>
    <definedName name="в_15" localSheetId="3">'Прил. 1 План ФХД с транспортир.'!в</definedName>
    <definedName name="в_15" localSheetId="6">'Прил. 1 План ФХД стоки табл 2'!в</definedName>
    <definedName name="в_15" localSheetId="5">'Прил. 1 План ФХД табл 1'!в</definedName>
    <definedName name="в_15" localSheetId="8">'Расчет товарной выручки'!в</definedName>
    <definedName name="в_15" localSheetId="1">'Текущий ремонт'!в</definedName>
    <definedName name="в_15" localSheetId="11">'ФАКТ. СЕБЕСТ ВОДА 9 мес. 2019'!в</definedName>
    <definedName name="в_15" localSheetId="9">'ФАКТ. СЕБЕСТ. СТОКИ 9 мес. 2019'!в</definedName>
    <definedName name="в_15" localSheetId="4">'Чистая прибыль'!в</definedName>
    <definedName name="в_15" localSheetId="2">'Чистая прибыль с транспортир.'!в</definedName>
    <definedName name="в_15">[0]!в</definedName>
    <definedName name="в_16" localSheetId="45">'ЗП с факт 3 кв. 2015'!в</definedName>
    <definedName name="в_16" localSheetId="12">'ПОЛНАЯ СЕБЕСТОИМОСТЬ ВОДА 2019'!в</definedName>
    <definedName name="в_16" localSheetId="10">'ПОЛНАЯ СЕБЕСТОИМОСТЬ СТОКИ 2019'!в</definedName>
    <definedName name="в_16" localSheetId="7">'Прил. 1 План ФХД вода табл. 2'!в</definedName>
    <definedName name="в_16" localSheetId="3">'Прил. 1 План ФХД с транспортир.'!в</definedName>
    <definedName name="в_16" localSheetId="6">'Прил. 1 План ФХД стоки табл 2'!в</definedName>
    <definedName name="в_16" localSheetId="5">'Прил. 1 План ФХД табл 1'!в</definedName>
    <definedName name="в_16" localSheetId="8">'Расчет товарной выручки'!в</definedName>
    <definedName name="в_16" localSheetId="1">'Текущий ремонт'!в</definedName>
    <definedName name="в_16" localSheetId="11">'ФАКТ. СЕБЕСТ ВОДА 9 мес. 2019'!в</definedName>
    <definedName name="в_16" localSheetId="9">'ФАКТ. СЕБЕСТ. СТОКИ 9 мес. 2019'!в</definedName>
    <definedName name="в_16" localSheetId="4">'Чистая прибыль'!в</definedName>
    <definedName name="в_16" localSheetId="2">'Чистая прибыль с транспортир.'!в</definedName>
    <definedName name="в_16">[0]!в</definedName>
    <definedName name="в_2" localSheetId="45">'ЗП с факт 3 кв. 2015'!в</definedName>
    <definedName name="в_2" localSheetId="12">'ПОЛНАЯ СЕБЕСТОИМОСТЬ ВОДА 2019'!в</definedName>
    <definedName name="в_2" localSheetId="10">'ПОЛНАЯ СЕБЕСТОИМОСТЬ СТОКИ 2019'!в</definedName>
    <definedName name="в_2" localSheetId="7">'Прил. 1 План ФХД вода табл. 2'!в</definedName>
    <definedName name="в_2" localSheetId="3">'Прил. 1 План ФХД с транспортир.'!в</definedName>
    <definedName name="в_2" localSheetId="6">'Прил. 1 План ФХД стоки табл 2'!в</definedName>
    <definedName name="в_2" localSheetId="5">'Прил. 1 План ФХД табл 1'!в</definedName>
    <definedName name="в_2" localSheetId="8">'Расчет товарной выручки'!в</definedName>
    <definedName name="в_2" localSheetId="1">'Текущий ремонт'!в</definedName>
    <definedName name="в_2" localSheetId="11">'ФАКТ. СЕБЕСТ ВОДА 9 мес. 2019'!в</definedName>
    <definedName name="в_2" localSheetId="9">'ФАКТ. СЕБЕСТ. СТОКИ 9 мес. 2019'!в</definedName>
    <definedName name="в_2" localSheetId="4">'Чистая прибыль'!в</definedName>
    <definedName name="в_2" localSheetId="2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7">#REF!</definedName>
    <definedName name="выкапфвап" localSheetId="3">#REF!</definedName>
    <definedName name="выкапфвап" localSheetId="6">#REF!</definedName>
    <definedName name="выкапфвап" localSheetId="5">#REF!</definedName>
    <definedName name="выкапфвап" localSheetId="8">#REF!</definedName>
    <definedName name="выкапфвап" localSheetId="1">#REF!</definedName>
    <definedName name="выкапфвап" localSheetId="4">#REF!</definedName>
    <definedName name="выкапфвап" localSheetId="2">#REF!</definedName>
    <definedName name="выкапфвап">#REF!</definedName>
    <definedName name="гггггг" localSheetId="45">'[4]распределение январь по бухг.'!#REF!</definedName>
    <definedName name="гггггг" localSheetId="31">'[4]распределение январь по бухг.'!#REF!</definedName>
    <definedName name="гггггг" localSheetId="12">'[4]распределение январь по бухг.'!#REF!</definedName>
    <definedName name="гггггг" localSheetId="10">'[4]распределение январь по бухг.'!#REF!</definedName>
    <definedName name="гггггг" localSheetId="7">'[4]распределение январь по бухг.'!#REF!</definedName>
    <definedName name="гггггг" localSheetId="3">'[4]распределение январь по бухг.'!#REF!</definedName>
    <definedName name="гггггг" localSheetId="6">'[4]распределение январь по бухг.'!#REF!</definedName>
    <definedName name="гггггг" localSheetId="5">'[4]распределение январь по бухг.'!#REF!</definedName>
    <definedName name="гггггг" localSheetId="8">'[4]распределение январь по бухг.'!#REF!</definedName>
    <definedName name="гггггг" localSheetId="30">'[4]распределение январь по бухг.'!#REF!</definedName>
    <definedName name="гггггг" localSheetId="1">'[4]распределение январь по бухг.'!#REF!</definedName>
    <definedName name="гггггг" localSheetId="29">'[4]распределение январь по бухг.'!#REF!</definedName>
    <definedName name="гггггг" localSheetId="11">'[4]распределение январь по бухг.'!#REF!</definedName>
    <definedName name="гггггг" localSheetId="9">'[4]распределение январь по бухг.'!#REF!</definedName>
    <definedName name="гггггг" localSheetId="4">'[4]распределение январь по бухг.'!#REF!</definedName>
    <definedName name="гггггг" localSheetId="2">'[4]распределение январь по бухг.'!#REF!</definedName>
    <definedName name="гггггг" localSheetId="35">'[4]распределение январь по бухг.'!#REF!</definedName>
    <definedName name="гггггг">'[4]распределение январь по бухг.'!#REF!</definedName>
    <definedName name="гггггггггггггггггг" localSheetId="45">[4]расшифровка!#REF!</definedName>
    <definedName name="гггггггггггггггггг" localSheetId="31">[4]расшифровка!#REF!</definedName>
    <definedName name="гггггггггггггггггг" localSheetId="12">[4]расшифровка!#REF!</definedName>
    <definedName name="гггггггггггггггггг" localSheetId="10">[4]расшифровка!#REF!</definedName>
    <definedName name="гггггггггггггггггг" localSheetId="7">[4]расшифровка!#REF!</definedName>
    <definedName name="гггггггггггггггггг" localSheetId="3">[4]расшифровка!#REF!</definedName>
    <definedName name="гггггггггггггггггг" localSheetId="6">[4]расшифровка!#REF!</definedName>
    <definedName name="гггггггггггггггггг" localSheetId="5">[4]расшифровка!#REF!</definedName>
    <definedName name="гггггггггггггггггг" localSheetId="8">[4]расшифровка!#REF!</definedName>
    <definedName name="гггггггггггггггггг" localSheetId="30">[4]расшифровка!#REF!</definedName>
    <definedName name="гггггггггггггггггг" localSheetId="1">[4]расшифровка!#REF!</definedName>
    <definedName name="гггггггггггггггггг" localSheetId="29">[4]расшифровка!#REF!</definedName>
    <definedName name="гггггггггггггггггг" localSheetId="11">[4]расшифровка!#REF!</definedName>
    <definedName name="гггггггггггггггггг" localSheetId="9">[4]расшифровка!#REF!</definedName>
    <definedName name="гггггггггггггггггг" localSheetId="4">[4]расшифровка!#REF!</definedName>
    <definedName name="гггггггггггггггггг" localSheetId="2">[4]расшифровка!#REF!</definedName>
    <definedName name="гггггггггггггггггг" localSheetId="35">[4]расшифровка!#REF!</definedName>
    <definedName name="гггггггггггггггггг">[4]расшифровка!#REF!</definedName>
    <definedName name="дапвеункее">#N/A</definedName>
    <definedName name="дголь" localSheetId="45">'ЗП с факт 3 кв. 2015'!_Pi3</definedName>
    <definedName name="дголь" localSheetId="12">'ПОЛНАЯ СЕБЕСТОИМОСТЬ ВОДА 2019'!_Pi3</definedName>
    <definedName name="дголь" localSheetId="10">'ПОЛНАЯ СЕБЕСТОИМОСТЬ СТОКИ 2019'!_Pi3</definedName>
    <definedName name="дголь" localSheetId="7">'Прил. 1 План ФХД вода табл. 2'!_Pi3</definedName>
    <definedName name="дголь" localSheetId="3">'Прил. 1 План ФХД с транспортир.'!_Pi3</definedName>
    <definedName name="дголь" localSheetId="6">'Прил. 1 План ФХД стоки табл 2'!_Pi3</definedName>
    <definedName name="дголь" localSheetId="5">'Прил. 1 План ФХД табл 1'!_Pi3</definedName>
    <definedName name="дголь" localSheetId="8">'Расчет товарной выручки'!_Pi3</definedName>
    <definedName name="дголь" localSheetId="1">'Текущий ремонт'!_Pi3</definedName>
    <definedName name="дголь" localSheetId="11">'ФАКТ. СЕБЕСТ ВОДА 9 мес. 2019'!_Pi3</definedName>
    <definedName name="дголь" localSheetId="9">'ФАКТ. СЕБЕСТ. СТОКИ 9 мес. 2019'!_Pi3</definedName>
    <definedName name="дголь" localSheetId="4">'Чистая прибыль'!_Pi3</definedName>
    <definedName name="дголь" localSheetId="2">'Чистая прибыль с транспортир.'!_Pi3</definedName>
    <definedName name="дголь">[0]!_Pi3</definedName>
    <definedName name="дголь_13" localSheetId="45">'ЗП с факт 3 кв. 2015'!_Pi3</definedName>
    <definedName name="дголь_13" localSheetId="12">'ПОЛНАЯ СЕБЕСТОИМОСТЬ ВОДА 2019'!_Pi3</definedName>
    <definedName name="дголь_13" localSheetId="10">'ПОЛНАЯ СЕБЕСТОИМОСТЬ СТОКИ 2019'!_Pi3</definedName>
    <definedName name="дголь_13" localSheetId="7">'Прил. 1 План ФХД вода табл. 2'!_Pi3</definedName>
    <definedName name="дголь_13" localSheetId="3">'Прил. 1 План ФХД с транспортир.'!_Pi3</definedName>
    <definedName name="дголь_13" localSheetId="6">'Прил. 1 План ФХД стоки табл 2'!_Pi3</definedName>
    <definedName name="дголь_13" localSheetId="5">'Прил. 1 План ФХД табл 1'!_Pi3</definedName>
    <definedName name="дголь_13" localSheetId="8">'Расчет товарной выручки'!_Pi3</definedName>
    <definedName name="дголь_13" localSheetId="1">'Текущий ремонт'!_Pi3</definedName>
    <definedName name="дголь_13" localSheetId="11">'ФАКТ. СЕБЕСТ ВОДА 9 мес. 2019'!_Pi3</definedName>
    <definedName name="дголь_13" localSheetId="9">'ФАКТ. СЕБЕСТ. СТОКИ 9 мес. 2019'!_Pi3</definedName>
    <definedName name="дголь_13" localSheetId="4">'Чистая прибыль'!_Pi3</definedName>
    <definedName name="дголь_13" localSheetId="2">'Чистая прибыль с транспортир.'!_Pi3</definedName>
    <definedName name="дголь_13">[0]!_Pi3</definedName>
    <definedName name="ддллоогггггггггггг">#N/A</definedName>
    <definedName name="длгоор" localSheetId="45">'ЗП с факт 3 кв. 2015'!_Pi5</definedName>
    <definedName name="длгоор" localSheetId="12">'ПОЛНАЯ СЕБЕСТОИМОСТЬ ВОДА 2019'!_Pi5</definedName>
    <definedName name="длгоор" localSheetId="10">'ПОЛНАЯ СЕБЕСТОИМОСТЬ СТОКИ 2019'!_Pi5</definedName>
    <definedName name="длгоор" localSheetId="7">'Прил. 1 План ФХД вода табл. 2'!_Pi5</definedName>
    <definedName name="длгоор" localSheetId="3">'Прил. 1 План ФХД с транспортир.'!_Pi5</definedName>
    <definedName name="длгоор" localSheetId="6">'Прил. 1 План ФХД стоки табл 2'!_Pi5</definedName>
    <definedName name="длгоор" localSheetId="5">'Прил. 1 План ФХД табл 1'!_Pi5</definedName>
    <definedName name="длгоор" localSheetId="8">'Расчет товарной выручки'!_Pi5</definedName>
    <definedName name="длгоор" localSheetId="1">'Текущий ремонт'!_Pi5</definedName>
    <definedName name="длгоор" localSheetId="11">'ФАКТ. СЕБЕСТ ВОДА 9 мес. 2019'!_Pi5</definedName>
    <definedName name="длгоор" localSheetId="9">'ФАКТ. СЕБЕСТ. СТОКИ 9 мес. 2019'!_Pi5</definedName>
    <definedName name="длгоор" localSheetId="4">'Чистая прибыль'!_Pi5</definedName>
    <definedName name="длгоор" localSheetId="2">'Чистая прибыль с транспортир.'!_Pi5</definedName>
    <definedName name="длгоор">[0]!_Pi5</definedName>
    <definedName name="длгоор_13" localSheetId="45">'ЗП с факт 3 кв. 2015'!_Pi5</definedName>
    <definedName name="длгоор_13" localSheetId="12">'ПОЛНАЯ СЕБЕСТОИМОСТЬ ВОДА 2019'!_Pi5</definedName>
    <definedName name="длгоор_13" localSheetId="10">'ПОЛНАЯ СЕБЕСТОИМОСТЬ СТОКИ 2019'!_Pi5</definedName>
    <definedName name="длгоор_13" localSheetId="7">'Прил. 1 План ФХД вода табл. 2'!_Pi5</definedName>
    <definedName name="длгоор_13" localSheetId="3">'Прил. 1 План ФХД с транспортир.'!_Pi5</definedName>
    <definedName name="длгоор_13" localSheetId="6">'Прил. 1 План ФХД стоки табл 2'!_Pi5</definedName>
    <definedName name="длгоор_13" localSheetId="5">'Прил. 1 План ФХД табл 1'!_Pi5</definedName>
    <definedName name="длгоор_13" localSheetId="8">'Расчет товарной выручки'!_Pi5</definedName>
    <definedName name="длгоор_13" localSheetId="1">'Текущий ремонт'!_Pi5</definedName>
    <definedName name="длгоор_13" localSheetId="11">'ФАКТ. СЕБЕСТ ВОДА 9 мес. 2019'!_Pi5</definedName>
    <definedName name="длгоор_13" localSheetId="9">'ФАКТ. СЕБЕСТ. СТОКИ 9 мес. 2019'!_Pi5</definedName>
    <definedName name="длгоор_13" localSheetId="4">'Чистая прибыль'!_Pi5</definedName>
    <definedName name="длгоор_13" localSheetId="2">'Чистая прибыль с транспортир.'!_Pi5</definedName>
    <definedName name="длгоор_13">[0]!_Pi5</definedName>
    <definedName name="длгоор_2" localSheetId="45">'ЗП с факт 3 кв. 2015'!_Pi5</definedName>
    <definedName name="длгоор_2" localSheetId="12">'ПОЛНАЯ СЕБЕСТОИМОСТЬ ВОДА 2019'!_Pi5</definedName>
    <definedName name="длгоор_2" localSheetId="10">'ПОЛНАЯ СЕБЕСТОИМОСТЬ СТОКИ 2019'!_Pi5</definedName>
    <definedName name="длгоор_2" localSheetId="7">'Прил. 1 План ФХД вода табл. 2'!_Pi5</definedName>
    <definedName name="длгоор_2" localSheetId="3">'Прил. 1 План ФХД с транспортир.'!_Pi5</definedName>
    <definedName name="длгоор_2" localSheetId="6">'Прил. 1 План ФХД стоки табл 2'!_Pi5</definedName>
    <definedName name="длгоор_2" localSheetId="5">'Прил. 1 План ФХД табл 1'!_Pi5</definedName>
    <definedName name="длгоор_2" localSheetId="8">'Расчет товарной выручки'!_Pi5</definedName>
    <definedName name="длгоор_2" localSheetId="1">'Текущий ремонт'!_Pi5</definedName>
    <definedName name="длгоор_2" localSheetId="11">'ФАКТ. СЕБЕСТ ВОДА 9 мес. 2019'!_Pi5</definedName>
    <definedName name="длгоор_2" localSheetId="9">'ФАКТ. СЕБЕСТ. СТОКИ 9 мес. 2019'!_Pi5</definedName>
    <definedName name="длгоор_2" localSheetId="4">'Чистая прибыль'!_Pi5</definedName>
    <definedName name="длгоор_2" localSheetId="2">'Чистая прибыль с транспортир.'!_Pi5</definedName>
    <definedName name="длгоор_2">[0]!_Pi5</definedName>
    <definedName name="дллллл" localSheetId="45">'ЗП с факт 3 кв. 2015'!_Pi3</definedName>
    <definedName name="дллллл" localSheetId="12">'ПОЛНАЯ СЕБЕСТОИМОСТЬ ВОДА 2019'!_Pi3</definedName>
    <definedName name="дллллл" localSheetId="10">'ПОЛНАЯ СЕБЕСТОИМОСТЬ СТОКИ 2019'!_Pi3</definedName>
    <definedName name="дллллл" localSheetId="7">'Прил. 1 План ФХД вода табл. 2'!_Pi3</definedName>
    <definedName name="дллллл" localSheetId="3">'Прил. 1 План ФХД с транспортир.'!_Pi3</definedName>
    <definedName name="дллллл" localSheetId="6">'Прил. 1 План ФХД стоки табл 2'!_Pi3</definedName>
    <definedName name="дллллл" localSheetId="5">'Прил. 1 План ФХД табл 1'!_Pi3</definedName>
    <definedName name="дллллл" localSheetId="8">'Расчет товарной выручки'!_Pi3</definedName>
    <definedName name="дллллл" localSheetId="1">'Текущий ремонт'!_Pi3</definedName>
    <definedName name="дллллл" localSheetId="11">'ФАКТ. СЕБЕСТ ВОДА 9 мес. 2019'!_Pi3</definedName>
    <definedName name="дллллл" localSheetId="9">'ФАКТ. СЕБЕСТ. СТОКИ 9 мес. 2019'!_Pi3</definedName>
    <definedName name="дллллл" localSheetId="4">'Чистая прибыль'!_Pi3</definedName>
    <definedName name="дллллл" localSheetId="2">'Чистая прибыль с транспортир.'!_Pi3</definedName>
    <definedName name="дллллл">[0]!_Pi3</definedName>
    <definedName name="дллллл_13" localSheetId="45">'ЗП с факт 3 кв. 2015'!_Pi3</definedName>
    <definedName name="дллллл_13" localSheetId="12">'ПОЛНАЯ СЕБЕСТОИМОСТЬ ВОДА 2019'!_Pi3</definedName>
    <definedName name="дллллл_13" localSheetId="10">'ПОЛНАЯ СЕБЕСТОИМОСТЬ СТОКИ 2019'!_Pi3</definedName>
    <definedName name="дллллл_13" localSheetId="7">'Прил. 1 План ФХД вода табл. 2'!_Pi3</definedName>
    <definedName name="дллллл_13" localSheetId="3">'Прил. 1 План ФХД с транспортир.'!_Pi3</definedName>
    <definedName name="дллллл_13" localSheetId="6">'Прил. 1 План ФХД стоки табл 2'!_Pi3</definedName>
    <definedName name="дллллл_13" localSheetId="5">'Прил. 1 План ФХД табл 1'!_Pi3</definedName>
    <definedName name="дллллл_13" localSheetId="8">'Расчет товарной выручки'!_Pi3</definedName>
    <definedName name="дллллл_13" localSheetId="1">'Текущий ремонт'!_Pi3</definedName>
    <definedName name="дллллл_13" localSheetId="11">'ФАКТ. СЕБЕСТ ВОДА 9 мес. 2019'!_Pi3</definedName>
    <definedName name="дллллл_13" localSheetId="9">'ФАКТ. СЕБЕСТ. СТОКИ 9 мес. 2019'!_Pi3</definedName>
    <definedName name="дллллл_13" localSheetId="4">'Чистая прибыль'!_Pi3</definedName>
    <definedName name="дллллл_13" localSheetId="2">'Чистая прибыль с транспортир.'!_Pi3</definedName>
    <definedName name="дллллл_13">[0]!_Pi3</definedName>
    <definedName name="дллллл_2" localSheetId="45">'ЗП с факт 3 кв. 2015'!_Pi3</definedName>
    <definedName name="дллллл_2" localSheetId="12">'ПОЛНАЯ СЕБЕСТОИМОСТЬ ВОДА 2019'!_Pi3</definedName>
    <definedName name="дллллл_2" localSheetId="10">'ПОЛНАЯ СЕБЕСТОИМОСТЬ СТОКИ 2019'!_Pi3</definedName>
    <definedName name="дллллл_2" localSheetId="7">'Прил. 1 План ФХД вода табл. 2'!_Pi3</definedName>
    <definedName name="дллллл_2" localSheetId="3">'Прил. 1 План ФХД с транспортир.'!_Pi3</definedName>
    <definedName name="дллллл_2" localSheetId="6">'Прил. 1 План ФХД стоки табл 2'!_Pi3</definedName>
    <definedName name="дллллл_2" localSheetId="5">'Прил. 1 План ФХД табл 1'!_Pi3</definedName>
    <definedName name="дллллл_2" localSheetId="8">'Расчет товарной выручки'!_Pi3</definedName>
    <definedName name="дллллл_2" localSheetId="1">'Текущий ремонт'!_Pi3</definedName>
    <definedName name="дллллл_2" localSheetId="11">'ФАКТ. СЕБЕСТ ВОДА 9 мес. 2019'!_Pi3</definedName>
    <definedName name="дллллл_2" localSheetId="9">'ФАКТ. СЕБЕСТ. СТОКИ 9 мес. 2019'!_Pi3</definedName>
    <definedName name="дллллл_2" localSheetId="4">'Чистая прибыль'!_Pi3</definedName>
    <definedName name="дллллл_2" localSheetId="2">'Чистая прибыль с транспортир.'!_Pi3</definedName>
    <definedName name="дллллл_2">[0]!_Pi3</definedName>
    <definedName name="длллоо" localSheetId="45">#REF!</definedName>
    <definedName name="длллоо" localSheetId="31">#REF!</definedName>
    <definedName name="длллоо" localSheetId="3">#REF!</definedName>
    <definedName name="длллоо" localSheetId="5">#REF!</definedName>
    <definedName name="длллоо" localSheetId="30">#REF!</definedName>
    <definedName name="длллоо" localSheetId="29">#REF!</definedName>
    <definedName name="длллоо" localSheetId="2">#REF!</definedName>
    <definedName name="длллоо" localSheetId="35">#REF!</definedName>
    <definedName name="длллоо">#REF!</definedName>
    <definedName name="длллоо_13" localSheetId="45">#REF!</definedName>
    <definedName name="длллоо_13" localSheetId="31">#REF!</definedName>
    <definedName name="длллоо_13" localSheetId="3">#REF!</definedName>
    <definedName name="длллоо_13" localSheetId="5">#REF!</definedName>
    <definedName name="длллоо_13" localSheetId="30">#REF!</definedName>
    <definedName name="длллоо_13" localSheetId="29">#REF!</definedName>
    <definedName name="длллоо_13" localSheetId="2">#REF!</definedName>
    <definedName name="длллоо_13" localSheetId="35">#REF!</definedName>
    <definedName name="длллоо_13">#REF!</definedName>
    <definedName name="имя" localSheetId="45">'ЗП с факт 3 кв. 2015'!_Pi2</definedName>
    <definedName name="имя" localSheetId="12">'ПОЛНАЯ СЕБЕСТОИМОСТЬ ВОДА 2019'!_Pi2</definedName>
    <definedName name="имя" localSheetId="10">'ПОЛНАЯ СЕБЕСТОИМОСТЬ СТОКИ 2019'!_Pi2</definedName>
    <definedName name="имя" localSheetId="7">'Прил. 1 План ФХД вода табл. 2'!_Pi2</definedName>
    <definedName name="имя" localSheetId="3">'Прил. 1 План ФХД с транспортир.'!_Pi2</definedName>
    <definedName name="имя" localSheetId="6">'Прил. 1 План ФХД стоки табл 2'!_Pi2</definedName>
    <definedName name="имя" localSheetId="5">'Прил. 1 План ФХД табл 1'!_Pi2</definedName>
    <definedName name="имя" localSheetId="8">'Расчет товарной выручки'!_Pi2</definedName>
    <definedName name="имя" localSheetId="1">'Текущий ремонт'!_Pi2</definedName>
    <definedName name="имя" localSheetId="11">'ФАКТ. СЕБЕСТ ВОДА 9 мес. 2019'!_Pi2</definedName>
    <definedName name="имя" localSheetId="9">'ФАКТ. СЕБЕСТ. СТОКИ 9 мес. 2019'!_Pi2</definedName>
    <definedName name="имя" localSheetId="4">'Чистая прибыль'!_Pi2</definedName>
    <definedName name="имя" localSheetId="2">'Чистая прибыль с транспортир.'!_Pi2</definedName>
    <definedName name="имя">[0]!_Pi2</definedName>
    <definedName name="имя1" localSheetId="45">'ЗП с факт 3 кв. 2015'!_Pi2</definedName>
    <definedName name="имя1" localSheetId="12">'ПОЛНАЯ СЕБЕСТОИМОСТЬ ВОДА 2019'!_Pi2</definedName>
    <definedName name="имя1" localSheetId="10">'ПОЛНАЯ СЕБЕСТОИМОСТЬ СТОКИ 2019'!_Pi2</definedName>
    <definedName name="имя1" localSheetId="7">'Прил. 1 План ФХД вода табл. 2'!_Pi2</definedName>
    <definedName name="имя1" localSheetId="3">'Прил. 1 План ФХД с транспортир.'!_Pi2</definedName>
    <definedName name="имя1" localSheetId="6">'Прил. 1 План ФХД стоки табл 2'!_Pi2</definedName>
    <definedName name="имя1" localSheetId="5">'Прил. 1 План ФХД табл 1'!_Pi2</definedName>
    <definedName name="имя1" localSheetId="8">'Расчет товарной выручки'!_Pi2</definedName>
    <definedName name="имя1" localSheetId="1">'Текущий ремонт'!_Pi2</definedName>
    <definedName name="имя1" localSheetId="11">'ФАКТ. СЕБЕСТ ВОДА 9 мес. 2019'!_Pi2</definedName>
    <definedName name="имя1" localSheetId="9">'ФАКТ. СЕБЕСТ. СТОКИ 9 мес. 2019'!_Pi2</definedName>
    <definedName name="имя1" localSheetId="4">'Чистая прибыль'!_Pi2</definedName>
    <definedName name="имя1" localSheetId="2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[8]Нормат!$J$23</definedName>
    <definedName name="итрооогнгггг" localSheetId="45">#REF!</definedName>
    <definedName name="итрооогнгггг" localSheetId="31">#REF!</definedName>
    <definedName name="итрооогнгггг" localSheetId="3">#REF!</definedName>
    <definedName name="итрооогнгггг" localSheetId="5">#REF!</definedName>
    <definedName name="итрооогнгггг" localSheetId="30">#REF!</definedName>
    <definedName name="итрооогнгггг" localSheetId="29">#REF!</definedName>
    <definedName name="итрооогнгггг" localSheetId="2">#REF!</definedName>
    <definedName name="итрооогнгггг" localSheetId="35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[8]Нормат!$J$12</definedName>
    <definedName name="йцуукен">#N/A</definedName>
    <definedName name="коррект" localSheetId="45">'ЗП с факт 3 кв. 2015'!коррект</definedName>
    <definedName name="коррект" localSheetId="12">#N/A</definedName>
    <definedName name="коррект" localSheetId="10">#N/A</definedName>
    <definedName name="коррект" localSheetId="7">#N/A</definedName>
    <definedName name="коррект" localSheetId="3">#N/A</definedName>
    <definedName name="коррект" localSheetId="6">#N/A</definedName>
    <definedName name="коррект" localSheetId="5">#N/A</definedName>
    <definedName name="коррект" localSheetId="8">#N/A</definedName>
    <definedName name="коррект" localSheetId="1">#N/A</definedName>
    <definedName name="коррект" localSheetId="11">#N/A</definedName>
    <definedName name="коррект" localSheetId="9">#N/A</definedName>
    <definedName name="коррект" localSheetId="4">#N/A</definedName>
    <definedName name="коррект" localSheetId="2">#N/A</definedName>
    <definedName name="коррект">коррект</definedName>
    <definedName name="коррект_10" localSheetId="45">'ЗП с факт 3 кв. 2015'!коррект</definedName>
    <definedName name="коррект_10" localSheetId="12">'ПОЛНАЯ СЕБЕСТОИМОСТЬ ВОДА 2019'!коррект</definedName>
    <definedName name="коррект_10" localSheetId="10">'ПОЛНАЯ СЕБЕСТОИМОСТЬ СТОКИ 2019'!коррект</definedName>
    <definedName name="коррект_10" localSheetId="7">'Прил. 1 План ФХД вода табл. 2'!коррект</definedName>
    <definedName name="коррект_10" localSheetId="3">'Прил. 1 План ФХД с транспортир.'!коррект</definedName>
    <definedName name="коррект_10" localSheetId="6">'Прил. 1 План ФХД стоки табл 2'!коррект</definedName>
    <definedName name="коррект_10" localSheetId="5">'Прил. 1 План ФХД табл 1'!коррект</definedName>
    <definedName name="коррект_10" localSheetId="8">'Расчет товарной выручки'!коррект</definedName>
    <definedName name="коррект_10" localSheetId="1">'Текущий ремонт'!коррект</definedName>
    <definedName name="коррект_10" localSheetId="11">'ФАКТ. СЕБЕСТ ВОДА 9 мес. 2019'!коррект</definedName>
    <definedName name="коррект_10" localSheetId="9">'ФАКТ. СЕБЕСТ. СТОКИ 9 мес. 2019'!коррект</definedName>
    <definedName name="коррект_10" localSheetId="4">'Чистая прибыль'!коррект</definedName>
    <definedName name="коррект_10" localSheetId="2">'Чистая прибыль с транспортир.'!коррект</definedName>
    <definedName name="коррект_10">[0]!коррект</definedName>
    <definedName name="коррект_14" localSheetId="45">'ЗП с факт 3 кв. 2015'!коррект</definedName>
    <definedName name="коррект_14" localSheetId="12">'ПОЛНАЯ СЕБЕСТОИМОСТЬ ВОДА 2019'!коррект</definedName>
    <definedName name="коррект_14" localSheetId="10">'ПОЛНАЯ СЕБЕСТОИМОСТЬ СТОКИ 2019'!коррект</definedName>
    <definedName name="коррект_14" localSheetId="7">'Прил. 1 План ФХД вода табл. 2'!коррект</definedName>
    <definedName name="коррект_14" localSheetId="3">'Прил. 1 План ФХД с транспортир.'!коррект</definedName>
    <definedName name="коррект_14" localSheetId="6">'Прил. 1 План ФХД стоки табл 2'!коррект</definedName>
    <definedName name="коррект_14" localSheetId="5">'Прил. 1 План ФХД табл 1'!коррект</definedName>
    <definedName name="коррект_14" localSheetId="8">'Расчет товарной выручки'!коррект</definedName>
    <definedName name="коррект_14" localSheetId="1">'Текущий ремонт'!коррект</definedName>
    <definedName name="коррект_14" localSheetId="11">'ФАКТ. СЕБЕСТ ВОДА 9 мес. 2019'!коррект</definedName>
    <definedName name="коррект_14" localSheetId="9">'ФАКТ. СЕБЕСТ. СТОКИ 9 мес. 2019'!коррект</definedName>
    <definedName name="коррект_14" localSheetId="4">'Чистая прибыль'!коррект</definedName>
    <definedName name="коррект_14" localSheetId="2">'Чистая прибыль с транспортир.'!коррект</definedName>
    <definedName name="коррект_14">[0]!коррект</definedName>
    <definedName name="коррект_15" localSheetId="45">'ЗП с факт 3 кв. 2015'!коррект</definedName>
    <definedName name="коррект_15" localSheetId="12">'ПОЛНАЯ СЕБЕСТОИМОСТЬ ВОДА 2019'!коррект</definedName>
    <definedName name="коррект_15" localSheetId="10">'ПОЛНАЯ СЕБЕСТОИМОСТЬ СТОКИ 2019'!коррект</definedName>
    <definedName name="коррект_15" localSheetId="7">'Прил. 1 План ФХД вода табл. 2'!коррект</definedName>
    <definedName name="коррект_15" localSheetId="3">'Прил. 1 План ФХД с транспортир.'!коррект</definedName>
    <definedName name="коррект_15" localSheetId="6">'Прил. 1 План ФХД стоки табл 2'!коррект</definedName>
    <definedName name="коррект_15" localSheetId="5">'Прил. 1 План ФХД табл 1'!коррект</definedName>
    <definedName name="коррект_15" localSheetId="8">'Расчет товарной выручки'!коррект</definedName>
    <definedName name="коррект_15" localSheetId="1">'Текущий ремонт'!коррект</definedName>
    <definedName name="коррект_15" localSheetId="11">'ФАКТ. СЕБЕСТ ВОДА 9 мес. 2019'!коррект</definedName>
    <definedName name="коррект_15" localSheetId="9">'ФАКТ. СЕБЕСТ. СТОКИ 9 мес. 2019'!коррект</definedName>
    <definedName name="коррект_15" localSheetId="4">'Чистая прибыль'!коррект</definedName>
    <definedName name="коррект_15" localSheetId="2">'Чистая прибыль с транспортир.'!коррект</definedName>
    <definedName name="коррект_15">[0]!коррект</definedName>
    <definedName name="коррект_16" localSheetId="45">'ЗП с факт 3 кв. 2015'!коррект</definedName>
    <definedName name="коррект_16" localSheetId="12">'ПОЛНАЯ СЕБЕСТОИМОСТЬ ВОДА 2019'!коррект</definedName>
    <definedName name="коррект_16" localSheetId="10">'ПОЛНАЯ СЕБЕСТОИМОСТЬ СТОКИ 2019'!коррект</definedName>
    <definedName name="коррект_16" localSheetId="7">'Прил. 1 План ФХД вода табл. 2'!коррект</definedName>
    <definedName name="коррект_16" localSheetId="3">'Прил. 1 План ФХД с транспортир.'!коррект</definedName>
    <definedName name="коррект_16" localSheetId="6">'Прил. 1 План ФХД стоки табл 2'!коррект</definedName>
    <definedName name="коррект_16" localSheetId="5">'Прил. 1 План ФХД табл 1'!коррект</definedName>
    <definedName name="коррект_16" localSheetId="8">'Расчет товарной выручки'!коррект</definedName>
    <definedName name="коррект_16" localSheetId="1">'Текущий ремонт'!коррект</definedName>
    <definedName name="коррект_16" localSheetId="11">'ФАКТ. СЕБЕСТ ВОДА 9 мес. 2019'!коррект</definedName>
    <definedName name="коррект_16" localSheetId="9">'ФАКТ. СЕБЕСТ. СТОКИ 9 мес. 2019'!коррект</definedName>
    <definedName name="коррект_16" localSheetId="4">'Чистая прибыль'!коррект</definedName>
    <definedName name="коррект_16" localSheetId="2">'Чистая прибыль с транспортир.'!коррект</definedName>
    <definedName name="коррект_16">[0]!коррект</definedName>
    <definedName name="коррект_2" localSheetId="45">'ЗП с факт 3 кв. 2015'!коррект</definedName>
    <definedName name="коррект_2" localSheetId="12">'ПОЛНАЯ СЕБЕСТОИМОСТЬ ВОДА 2019'!коррект</definedName>
    <definedName name="коррект_2" localSheetId="10">'ПОЛНАЯ СЕБЕСТОИМОСТЬ СТОКИ 2019'!коррект</definedName>
    <definedName name="коррект_2" localSheetId="7">'Прил. 1 План ФХД вода табл. 2'!коррект</definedName>
    <definedName name="коррект_2" localSheetId="3">'Прил. 1 План ФХД с транспортир.'!коррект</definedName>
    <definedName name="коррект_2" localSheetId="6">'Прил. 1 План ФХД стоки табл 2'!коррект</definedName>
    <definedName name="коррект_2" localSheetId="5">'Прил. 1 План ФХД табл 1'!коррект</definedName>
    <definedName name="коррект_2" localSheetId="8">'Расчет товарной выручки'!коррект</definedName>
    <definedName name="коррект_2" localSheetId="1">'Текущий ремонт'!коррект</definedName>
    <definedName name="коррект_2" localSheetId="11">'ФАКТ. СЕБЕСТ ВОДА 9 мес. 2019'!коррект</definedName>
    <definedName name="коррект_2" localSheetId="9">'ФАКТ. СЕБЕСТ. СТОКИ 9 мес. 2019'!коррект</definedName>
    <definedName name="коррект_2" localSheetId="4">'Чистая прибыль'!коррект</definedName>
    <definedName name="коррект_2" localSheetId="2">'Чистая прибыль с транспортир.'!коррект</definedName>
    <definedName name="коррект_2">[0]!коррект</definedName>
    <definedName name="кууееерототтт">#N/A</definedName>
    <definedName name="лист" localSheetId="45">'ЗП с факт 3 кв. 2015'!лист</definedName>
    <definedName name="лист" localSheetId="12">#N/A</definedName>
    <definedName name="лист" localSheetId="10">#N/A</definedName>
    <definedName name="лист" localSheetId="7">#N/A</definedName>
    <definedName name="лист" localSheetId="3">#N/A</definedName>
    <definedName name="лист" localSheetId="6">#N/A</definedName>
    <definedName name="лист" localSheetId="5">#N/A</definedName>
    <definedName name="лист" localSheetId="8">#N/A</definedName>
    <definedName name="лист" localSheetId="1">#N/A</definedName>
    <definedName name="лист" localSheetId="11">#N/A</definedName>
    <definedName name="лист" localSheetId="9">#N/A</definedName>
    <definedName name="лист" localSheetId="4">#N/A</definedName>
    <definedName name="лист" localSheetId="2">#N/A</definedName>
    <definedName name="лист">лист</definedName>
    <definedName name="лист_10" localSheetId="45">'ЗП с факт 3 кв. 2015'!лист</definedName>
    <definedName name="лист_10" localSheetId="12">'ПОЛНАЯ СЕБЕСТОИМОСТЬ ВОДА 2019'!лист</definedName>
    <definedName name="лист_10" localSheetId="10">'ПОЛНАЯ СЕБЕСТОИМОСТЬ СТОКИ 2019'!лист</definedName>
    <definedName name="лист_10" localSheetId="7">'Прил. 1 План ФХД вода табл. 2'!лист</definedName>
    <definedName name="лист_10" localSheetId="3">'Прил. 1 План ФХД с транспортир.'!лист</definedName>
    <definedName name="лист_10" localSheetId="6">'Прил. 1 План ФХД стоки табл 2'!лист</definedName>
    <definedName name="лист_10" localSheetId="5">'Прил. 1 План ФХД табл 1'!лист</definedName>
    <definedName name="лист_10" localSheetId="8">'Расчет товарной выручки'!лист</definedName>
    <definedName name="лист_10" localSheetId="1">'Текущий ремонт'!лист</definedName>
    <definedName name="лист_10" localSheetId="11">'ФАКТ. СЕБЕСТ ВОДА 9 мес. 2019'!лист</definedName>
    <definedName name="лист_10" localSheetId="9">'ФАКТ. СЕБЕСТ. СТОКИ 9 мес. 2019'!лист</definedName>
    <definedName name="лист_10" localSheetId="4">'Чистая прибыль'!лист</definedName>
    <definedName name="лист_10" localSheetId="2">'Чистая прибыль с транспортир.'!лист</definedName>
    <definedName name="лист_10">[0]!лист</definedName>
    <definedName name="лист_14" localSheetId="45">'ЗП с факт 3 кв. 2015'!лист</definedName>
    <definedName name="лист_14" localSheetId="12">'ПОЛНАЯ СЕБЕСТОИМОСТЬ ВОДА 2019'!лист</definedName>
    <definedName name="лист_14" localSheetId="10">'ПОЛНАЯ СЕБЕСТОИМОСТЬ СТОКИ 2019'!лист</definedName>
    <definedName name="лист_14" localSheetId="7">'Прил. 1 План ФХД вода табл. 2'!лист</definedName>
    <definedName name="лист_14" localSheetId="3">'Прил. 1 План ФХД с транспортир.'!лист</definedName>
    <definedName name="лист_14" localSheetId="6">'Прил. 1 План ФХД стоки табл 2'!лист</definedName>
    <definedName name="лист_14" localSheetId="5">'Прил. 1 План ФХД табл 1'!лист</definedName>
    <definedName name="лист_14" localSheetId="8">'Расчет товарной выручки'!лист</definedName>
    <definedName name="лист_14" localSheetId="1">'Текущий ремонт'!лист</definedName>
    <definedName name="лист_14" localSheetId="11">'ФАКТ. СЕБЕСТ ВОДА 9 мес. 2019'!лист</definedName>
    <definedName name="лист_14" localSheetId="9">'ФАКТ. СЕБЕСТ. СТОКИ 9 мес. 2019'!лист</definedName>
    <definedName name="лист_14" localSheetId="4">'Чистая прибыль'!лист</definedName>
    <definedName name="лист_14" localSheetId="2">'Чистая прибыль с транспортир.'!лист</definedName>
    <definedName name="лист_14">[0]!лист</definedName>
    <definedName name="лист_15" localSheetId="45">'ЗП с факт 3 кв. 2015'!лист</definedName>
    <definedName name="лист_15" localSheetId="12">'ПОЛНАЯ СЕБЕСТОИМОСТЬ ВОДА 2019'!лист</definedName>
    <definedName name="лист_15" localSheetId="10">'ПОЛНАЯ СЕБЕСТОИМОСТЬ СТОКИ 2019'!лист</definedName>
    <definedName name="лист_15" localSheetId="7">'Прил. 1 План ФХД вода табл. 2'!лист</definedName>
    <definedName name="лист_15" localSheetId="3">'Прил. 1 План ФХД с транспортир.'!лист</definedName>
    <definedName name="лист_15" localSheetId="6">'Прил. 1 План ФХД стоки табл 2'!лист</definedName>
    <definedName name="лист_15" localSheetId="5">'Прил. 1 План ФХД табл 1'!лист</definedName>
    <definedName name="лист_15" localSheetId="8">'Расчет товарной выручки'!лист</definedName>
    <definedName name="лист_15" localSheetId="1">'Текущий ремонт'!лист</definedName>
    <definedName name="лист_15" localSheetId="11">'ФАКТ. СЕБЕСТ ВОДА 9 мес. 2019'!лист</definedName>
    <definedName name="лист_15" localSheetId="9">'ФАКТ. СЕБЕСТ. СТОКИ 9 мес. 2019'!лист</definedName>
    <definedName name="лист_15" localSheetId="4">'Чистая прибыль'!лист</definedName>
    <definedName name="лист_15" localSheetId="2">'Чистая прибыль с транспортир.'!лист</definedName>
    <definedName name="лист_15">[0]!лист</definedName>
    <definedName name="лист_16" localSheetId="45">'ЗП с факт 3 кв. 2015'!лист</definedName>
    <definedName name="лист_16" localSheetId="12">'ПОЛНАЯ СЕБЕСТОИМОСТЬ ВОДА 2019'!лист</definedName>
    <definedName name="лист_16" localSheetId="10">'ПОЛНАЯ СЕБЕСТОИМОСТЬ СТОКИ 2019'!лист</definedName>
    <definedName name="лист_16" localSheetId="7">'Прил. 1 План ФХД вода табл. 2'!лист</definedName>
    <definedName name="лист_16" localSheetId="3">'Прил. 1 План ФХД с транспортир.'!лист</definedName>
    <definedName name="лист_16" localSheetId="6">'Прил. 1 План ФХД стоки табл 2'!лист</definedName>
    <definedName name="лист_16" localSheetId="5">'Прил. 1 План ФХД табл 1'!лист</definedName>
    <definedName name="лист_16" localSheetId="8">'Расчет товарной выручки'!лист</definedName>
    <definedName name="лист_16" localSheetId="1">'Текущий ремонт'!лист</definedName>
    <definedName name="лист_16" localSheetId="11">'ФАКТ. СЕБЕСТ ВОДА 9 мес. 2019'!лист</definedName>
    <definedName name="лист_16" localSheetId="9">'ФАКТ. СЕБЕСТ. СТОКИ 9 мес. 2019'!лист</definedName>
    <definedName name="лист_16" localSheetId="4">'Чистая прибыль'!лист</definedName>
    <definedName name="лист_16" localSheetId="2">'Чистая прибыль с транспортир.'!лист</definedName>
    <definedName name="лист_16">[0]!лист</definedName>
    <definedName name="лист_2" localSheetId="45">'ЗП с факт 3 кв. 2015'!лист</definedName>
    <definedName name="лист_2" localSheetId="12">'ПОЛНАЯ СЕБЕСТОИМОСТЬ ВОДА 2019'!лист</definedName>
    <definedName name="лист_2" localSheetId="10">'ПОЛНАЯ СЕБЕСТОИМОСТЬ СТОКИ 2019'!лист</definedName>
    <definedName name="лист_2" localSheetId="7">'Прил. 1 План ФХД вода табл. 2'!лист</definedName>
    <definedName name="лист_2" localSheetId="3">'Прил. 1 План ФХД с транспортир.'!лист</definedName>
    <definedName name="лист_2" localSheetId="6">'Прил. 1 План ФХД стоки табл 2'!лист</definedName>
    <definedName name="лист_2" localSheetId="5">'Прил. 1 План ФХД табл 1'!лист</definedName>
    <definedName name="лист_2" localSheetId="8">'Расчет товарной выручки'!лист</definedName>
    <definedName name="лист_2" localSheetId="1">'Текущий ремонт'!лист</definedName>
    <definedName name="лист_2" localSheetId="11">'ФАКТ. СЕБЕСТ ВОДА 9 мес. 2019'!лист</definedName>
    <definedName name="лист_2" localSheetId="9">'ФАКТ. СЕБЕСТ. СТОКИ 9 мес. 2019'!лист</definedName>
    <definedName name="лист_2" localSheetId="4">'Чистая прибыль'!лист</definedName>
    <definedName name="лист_2" localSheetId="2">'Чистая прибыль с транспортир.'!лист</definedName>
    <definedName name="лист_2">[0]!лист</definedName>
    <definedName name="лоекнукеущшбь">[9]Нормат!$J$23</definedName>
    <definedName name="лпоапкпвввввв">[10]Нормат!$J$23</definedName>
    <definedName name="мааппенннннннннннн">#N/A</definedName>
    <definedName name="маиттььббллл">#N/A</definedName>
    <definedName name="мапеенроооо" localSheetId="45">#REF!</definedName>
    <definedName name="мапеенроооо" localSheetId="31">#REF!</definedName>
    <definedName name="мапеенроооо" localSheetId="3">#REF!</definedName>
    <definedName name="мапеенроооо" localSheetId="5">#REF!</definedName>
    <definedName name="мапеенроооо" localSheetId="30">#REF!</definedName>
    <definedName name="мапеенроооо" localSheetId="29">#REF!</definedName>
    <definedName name="мапеенроооо" localSheetId="2">#REF!</definedName>
    <definedName name="мапеенроооо" localSheetId="35">#REF!</definedName>
    <definedName name="мапеенроооо">#REF!</definedName>
    <definedName name="мапппппппппп" localSheetId="45">#REF!</definedName>
    <definedName name="мапппппппппп" localSheetId="31">#REF!</definedName>
    <definedName name="мапппппппппп" localSheetId="3">#REF!</definedName>
    <definedName name="мапппппппппп" localSheetId="5">#REF!</definedName>
    <definedName name="мапппппппппп" localSheetId="30">#REF!</definedName>
    <definedName name="мапппппппппп" localSheetId="29">#REF!</definedName>
    <definedName name="мапппппппппп" localSheetId="2">#REF!</definedName>
    <definedName name="мапппппппппп" localSheetId="35">#REF!</definedName>
    <definedName name="мапппппппппп">#REF!</definedName>
    <definedName name="мипакенроггггг">#N/A</definedName>
    <definedName name="НАЛ" localSheetId="45">'ЗП с факт 3 кв. 2015'!НАЛ</definedName>
    <definedName name="НАЛ" localSheetId="12">#N/A</definedName>
    <definedName name="НАЛ" localSheetId="10">#N/A</definedName>
    <definedName name="НАЛ" localSheetId="7">#N/A</definedName>
    <definedName name="НАЛ" localSheetId="3">#N/A</definedName>
    <definedName name="НАЛ" localSheetId="6">#N/A</definedName>
    <definedName name="НАЛ" localSheetId="5">#N/A</definedName>
    <definedName name="НАЛ" localSheetId="8">#N/A</definedName>
    <definedName name="НАЛ" localSheetId="1">#N/A</definedName>
    <definedName name="НАЛ" localSheetId="11">#N/A</definedName>
    <definedName name="НАЛ" localSheetId="9">#N/A</definedName>
    <definedName name="НАЛ" localSheetId="4">#N/A</definedName>
    <definedName name="НАЛ" localSheetId="2">#N/A</definedName>
    <definedName name="НАЛ">НАЛ</definedName>
    <definedName name="НАЛ_10" localSheetId="45">'ЗП с факт 3 кв. 2015'!НАЛ</definedName>
    <definedName name="НАЛ_10" localSheetId="12">'ПОЛНАЯ СЕБЕСТОИМОСТЬ ВОДА 2019'!НАЛ</definedName>
    <definedName name="НАЛ_10" localSheetId="10">'ПОЛНАЯ СЕБЕСТОИМОСТЬ СТОКИ 2019'!НАЛ</definedName>
    <definedName name="НАЛ_10" localSheetId="7">'Прил. 1 План ФХД вода табл. 2'!НАЛ</definedName>
    <definedName name="НАЛ_10" localSheetId="3">'Прил. 1 План ФХД с транспортир.'!НАЛ</definedName>
    <definedName name="НАЛ_10" localSheetId="6">'Прил. 1 План ФХД стоки табл 2'!НАЛ</definedName>
    <definedName name="НАЛ_10" localSheetId="5">'Прил. 1 План ФХД табл 1'!НАЛ</definedName>
    <definedName name="НАЛ_10" localSheetId="8">'Расчет товарной выручки'!НАЛ</definedName>
    <definedName name="НАЛ_10" localSheetId="1">'Текущий ремонт'!НАЛ</definedName>
    <definedName name="НАЛ_10" localSheetId="11">'ФАКТ. СЕБЕСТ ВОДА 9 мес. 2019'!НАЛ</definedName>
    <definedName name="НАЛ_10" localSheetId="9">'ФАКТ. СЕБЕСТ. СТОКИ 9 мес. 2019'!НАЛ</definedName>
    <definedName name="НАЛ_10" localSheetId="4">'Чистая прибыль'!НАЛ</definedName>
    <definedName name="НАЛ_10" localSheetId="2">'Чистая прибыль с транспортир.'!НАЛ</definedName>
    <definedName name="НАЛ_10">[0]!НАЛ</definedName>
    <definedName name="НАЛ_14" localSheetId="45">'ЗП с факт 3 кв. 2015'!НАЛ</definedName>
    <definedName name="НАЛ_14" localSheetId="12">'ПОЛНАЯ СЕБЕСТОИМОСТЬ ВОДА 2019'!НАЛ</definedName>
    <definedName name="НАЛ_14" localSheetId="10">'ПОЛНАЯ СЕБЕСТОИМОСТЬ СТОКИ 2019'!НАЛ</definedName>
    <definedName name="НАЛ_14" localSheetId="7">'Прил. 1 План ФХД вода табл. 2'!НАЛ</definedName>
    <definedName name="НАЛ_14" localSheetId="3">'Прил. 1 План ФХД с транспортир.'!НАЛ</definedName>
    <definedName name="НАЛ_14" localSheetId="6">'Прил. 1 План ФХД стоки табл 2'!НАЛ</definedName>
    <definedName name="НАЛ_14" localSheetId="5">'Прил. 1 План ФХД табл 1'!НАЛ</definedName>
    <definedName name="НАЛ_14" localSheetId="8">'Расчет товарной выручки'!НАЛ</definedName>
    <definedName name="НАЛ_14" localSheetId="1">'Текущий ремонт'!НАЛ</definedName>
    <definedName name="НАЛ_14" localSheetId="11">'ФАКТ. СЕБЕСТ ВОДА 9 мес. 2019'!НАЛ</definedName>
    <definedName name="НАЛ_14" localSheetId="9">'ФАКТ. СЕБЕСТ. СТОКИ 9 мес. 2019'!НАЛ</definedName>
    <definedName name="НАЛ_14" localSheetId="4">'Чистая прибыль'!НАЛ</definedName>
    <definedName name="НАЛ_14" localSheetId="2">'Чистая прибыль с транспортир.'!НАЛ</definedName>
    <definedName name="НАЛ_14">[0]!НАЛ</definedName>
    <definedName name="НАЛ_15" localSheetId="45">'ЗП с факт 3 кв. 2015'!НАЛ</definedName>
    <definedName name="НАЛ_15" localSheetId="12">'ПОЛНАЯ СЕБЕСТОИМОСТЬ ВОДА 2019'!НАЛ</definedName>
    <definedName name="НАЛ_15" localSheetId="10">'ПОЛНАЯ СЕБЕСТОИМОСТЬ СТОКИ 2019'!НАЛ</definedName>
    <definedName name="НАЛ_15" localSheetId="7">'Прил. 1 План ФХД вода табл. 2'!НАЛ</definedName>
    <definedName name="НАЛ_15" localSheetId="3">'Прил. 1 План ФХД с транспортир.'!НАЛ</definedName>
    <definedName name="НАЛ_15" localSheetId="6">'Прил. 1 План ФХД стоки табл 2'!НАЛ</definedName>
    <definedName name="НАЛ_15" localSheetId="5">'Прил. 1 План ФХД табл 1'!НАЛ</definedName>
    <definedName name="НАЛ_15" localSheetId="8">'Расчет товарной выручки'!НАЛ</definedName>
    <definedName name="НАЛ_15" localSheetId="1">'Текущий ремонт'!НАЛ</definedName>
    <definedName name="НАЛ_15" localSheetId="11">'ФАКТ. СЕБЕСТ ВОДА 9 мес. 2019'!НАЛ</definedName>
    <definedName name="НАЛ_15" localSheetId="9">'ФАКТ. СЕБЕСТ. СТОКИ 9 мес. 2019'!НАЛ</definedName>
    <definedName name="НАЛ_15" localSheetId="4">'Чистая прибыль'!НАЛ</definedName>
    <definedName name="НАЛ_15" localSheetId="2">'Чистая прибыль с транспортир.'!НАЛ</definedName>
    <definedName name="НАЛ_15">[0]!НАЛ</definedName>
    <definedName name="НАЛ_16" localSheetId="45">'ЗП с факт 3 кв. 2015'!НАЛ</definedName>
    <definedName name="НАЛ_16" localSheetId="12">'ПОЛНАЯ СЕБЕСТОИМОСТЬ ВОДА 2019'!НАЛ</definedName>
    <definedName name="НАЛ_16" localSheetId="10">'ПОЛНАЯ СЕБЕСТОИМОСТЬ СТОКИ 2019'!НАЛ</definedName>
    <definedName name="НАЛ_16" localSheetId="7">'Прил. 1 План ФХД вода табл. 2'!НАЛ</definedName>
    <definedName name="НАЛ_16" localSheetId="3">'Прил. 1 План ФХД с транспортир.'!НАЛ</definedName>
    <definedName name="НАЛ_16" localSheetId="6">'Прил. 1 План ФХД стоки табл 2'!НАЛ</definedName>
    <definedName name="НАЛ_16" localSheetId="5">'Прил. 1 План ФХД табл 1'!НАЛ</definedName>
    <definedName name="НАЛ_16" localSheetId="8">'Расчет товарной выручки'!НАЛ</definedName>
    <definedName name="НАЛ_16" localSheetId="1">'Текущий ремонт'!НАЛ</definedName>
    <definedName name="НАЛ_16" localSheetId="11">'ФАКТ. СЕБЕСТ ВОДА 9 мес. 2019'!НАЛ</definedName>
    <definedName name="НАЛ_16" localSheetId="9">'ФАКТ. СЕБЕСТ. СТОКИ 9 мес. 2019'!НАЛ</definedName>
    <definedName name="НАЛ_16" localSheetId="4">'Чистая прибыль'!НАЛ</definedName>
    <definedName name="НАЛ_16" localSheetId="2">'Чистая прибыль с транспортир.'!НАЛ</definedName>
    <definedName name="НАЛ_16">[0]!НАЛ</definedName>
    <definedName name="НАЛ_2" localSheetId="45">'ЗП с факт 3 кв. 2015'!НАЛ</definedName>
    <definedName name="НАЛ_2" localSheetId="12">'ПОЛНАЯ СЕБЕСТОИМОСТЬ ВОДА 2019'!НАЛ</definedName>
    <definedName name="НАЛ_2" localSheetId="10">'ПОЛНАЯ СЕБЕСТОИМОСТЬ СТОКИ 2019'!НАЛ</definedName>
    <definedName name="НАЛ_2" localSheetId="7">'Прил. 1 План ФХД вода табл. 2'!НАЛ</definedName>
    <definedName name="НАЛ_2" localSheetId="3">'Прил. 1 План ФХД с транспортир.'!НАЛ</definedName>
    <definedName name="НАЛ_2" localSheetId="6">'Прил. 1 План ФХД стоки табл 2'!НАЛ</definedName>
    <definedName name="НАЛ_2" localSheetId="5">'Прил. 1 План ФХД табл 1'!НАЛ</definedName>
    <definedName name="НАЛ_2" localSheetId="8">'Расчет товарной выручки'!НАЛ</definedName>
    <definedName name="НАЛ_2" localSheetId="1">'Текущий ремонт'!НАЛ</definedName>
    <definedName name="НАЛ_2" localSheetId="11">'ФАКТ. СЕБЕСТ ВОДА 9 мес. 2019'!НАЛ</definedName>
    <definedName name="НАЛ_2" localSheetId="9">'ФАКТ. СЕБЕСТ. СТОКИ 9 мес. 2019'!НАЛ</definedName>
    <definedName name="НАЛ_2" localSheetId="4">'Чистая прибыль'!НАЛ</definedName>
    <definedName name="НАЛ_2" localSheetId="2">'Чистая прибыль с транспортир.'!НАЛ</definedName>
    <definedName name="НАЛ_2">[0]!НАЛ</definedName>
    <definedName name="НАЛИЧКА" localSheetId="45">'ЗП с факт 3 кв. 2015'!НАЛИЧКА</definedName>
    <definedName name="НАЛИЧКА" localSheetId="12">#N/A</definedName>
    <definedName name="НАЛИЧКА" localSheetId="10">#N/A</definedName>
    <definedName name="НАЛИЧКА" localSheetId="7">#N/A</definedName>
    <definedName name="НАЛИЧКА" localSheetId="3">#N/A</definedName>
    <definedName name="НАЛИЧКА" localSheetId="6">#N/A</definedName>
    <definedName name="НАЛИЧКА" localSheetId="5">#N/A</definedName>
    <definedName name="НАЛИЧКА" localSheetId="8">#N/A</definedName>
    <definedName name="НАЛИЧКА" localSheetId="1">#N/A</definedName>
    <definedName name="НАЛИЧКА" localSheetId="11">#N/A</definedName>
    <definedName name="НАЛИЧКА" localSheetId="9">#N/A</definedName>
    <definedName name="НАЛИЧКА" localSheetId="4">#N/A</definedName>
    <definedName name="НАЛИЧКА" localSheetId="2">#N/A</definedName>
    <definedName name="НАЛИЧКА">НАЛИЧКА</definedName>
    <definedName name="НАЛИЧКА_10" localSheetId="45">'ЗП с факт 3 кв. 2015'!НАЛИЧКА</definedName>
    <definedName name="НАЛИЧКА_10" localSheetId="12">'ПОЛНАЯ СЕБЕСТОИМОСТЬ ВОДА 2019'!НАЛИЧКА</definedName>
    <definedName name="НАЛИЧКА_10" localSheetId="10">'ПОЛНАЯ СЕБЕСТОИМОСТЬ СТОКИ 2019'!НАЛИЧКА</definedName>
    <definedName name="НАЛИЧКА_10" localSheetId="7">'Прил. 1 План ФХД вода табл. 2'!НАЛИЧКА</definedName>
    <definedName name="НАЛИЧКА_10" localSheetId="3">'Прил. 1 План ФХД с транспортир.'!НАЛИЧКА</definedName>
    <definedName name="НАЛИЧКА_10" localSheetId="6">'Прил. 1 План ФХД стоки табл 2'!НАЛИЧКА</definedName>
    <definedName name="НАЛИЧКА_10" localSheetId="5">'Прил. 1 План ФХД табл 1'!НАЛИЧКА</definedName>
    <definedName name="НАЛИЧКА_10" localSheetId="8">'Расчет товарной выручки'!НАЛИЧКА</definedName>
    <definedName name="НАЛИЧКА_10" localSheetId="1">'Текущий ремонт'!НАЛИЧКА</definedName>
    <definedName name="НАЛИЧКА_10" localSheetId="11">'ФАКТ. СЕБЕСТ ВОДА 9 мес. 2019'!НАЛИЧКА</definedName>
    <definedName name="НАЛИЧКА_10" localSheetId="9">'ФАКТ. СЕБЕСТ. СТОКИ 9 мес. 2019'!НАЛИЧКА</definedName>
    <definedName name="НАЛИЧКА_10" localSheetId="4">'Чистая прибыль'!НАЛИЧКА</definedName>
    <definedName name="НАЛИЧКА_10" localSheetId="2">'Чистая прибыль с транспортир.'!НАЛИЧКА</definedName>
    <definedName name="НАЛИЧКА_10">[0]!НАЛИЧКА</definedName>
    <definedName name="НАЛИЧКА_14" localSheetId="45">'ЗП с факт 3 кв. 2015'!НАЛИЧКА</definedName>
    <definedName name="НАЛИЧКА_14" localSheetId="12">'ПОЛНАЯ СЕБЕСТОИМОСТЬ ВОДА 2019'!НАЛИЧКА</definedName>
    <definedName name="НАЛИЧКА_14" localSheetId="10">'ПОЛНАЯ СЕБЕСТОИМОСТЬ СТОКИ 2019'!НАЛИЧКА</definedName>
    <definedName name="НАЛИЧКА_14" localSheetId="7">'Прил. 1 План ФХД вода табл. 2'!НАЛИЧКА</definedName>
    <definedName name="НАЛИЧКА_14" localSheetId="3">'Прил. 1 План ФХД с транспортир.'!НАЛИЧКА</definedName>
    <definedName name="НАЛИЧКА_14" localSheetId="6">'Прил. 1 План ФХД стоки табл 2'!НАЛИЧКА</definedName>
    <definedName name="НАЛИЧКА_14" localSheetId="5">'Прил. 1 План ФХД табл 1'!НАЛИЧКА</definedName>
    <definedName name="НАЛИЧКА_14" localSheetId="8">'Расчет товарной выручки'!НАЛИЧКА</definedName>
    <definedName name="НАЛИЧКА_14" localSheetId="1">'Текущий ремонт'!НАЛИЧКА</definedName>
    <definedName name="НАЛИЧКА_14" localSheetId="11">'ФАКТ. СЕБЕСТ ВОДА 9 мес. 2019'!НАЛИЧКА</definedName>
    <definedName name="НАЛИЧКА_14" localSheetId="9">'ФАКТ. СЕБЕСТ. СТОКИ 9 мес. 2019'!НАЛИЧКА</definedName>
    <definedName name="НАЛИЧКА_14" localSheetId="4">'Чистая прибыль'!НАЛИЧКА</definedName>
    <definedName name="НАЛИЧКА_14" localSheetId="2">'Чистая прибыль с транспортир.'!НАЛИЧКА</definedName>
    <definedName name="НАЛИЧКА_14">[0]!НАЛИЧКА</definedName>
    <definedName name="НАЛИЧКА_15" localSheetId="45">'ЗП с факт 3 кв. 2015'!НАЛИЧКА</definedName>
    <definedName name="НАЛИЧКА_15" localSheetId="12">'ПОЛНАЯ СЕБЕСТОИМОСТЬ ВОДА 2019'!НАЛИЧКА</definedName>
    <definedName name="НАЛИЧКА_15" localSheetId="10">'ПОЛНАЯ СЕБЕСТОИМОСТЬ СТОКИ 2019'!НАЛИЧКА</definedName>
    <definedName name="НАЛИЧКА_15" localSheetId="7">'Прил. 1 План ФХД вода табл. 2'!НАЛИЧКА</definedName>
    <definedName name="НАЛИЧКА_15" localSheetId="3">'Прил. 1 План ФХД с транспортир.'!НАЛИЧКА</definedName>
    <definedName name="НАЛИЧКА_15" localSheetId="6">'Прил. 1 План ФХД стоки табл 2'!НАЛИЧКА</definedName>
    <definedName name="НАЛИЧКА_15" localSheetId="5">'Прил. 1 План ФХД табл 1'!НАЛИЧКА</definedName>
    <definedName name="НАЛИЧКА_15" localSheetId="8">'Расчет товарной выручки'!НАЛИЧКА</definedName>
    <definedName name="НАЛИЧКА_15" localSheetId="1">'Текущий ремонт'!НАЛИЧКА</definedName>
    <definedName name="НАЛИЧКА_15" localSheetId="11">'ФАКТ. СЕБЕСТ ВОДА 9 мес. 2019'!НАЛИЧКА</definedName>
    <definedName name="НАЛИЧКА_15" localSheetId="9">'ФАКТ. СЕБЕСТ. СТОКИ 9 мес. 2019'!НАЛИЧКА</definedName>
    <definedName name="НАЛИЧКА_15" localSheetId="4">'Чистая прибыль'!НАЛИЧКА</definedName>
    <definedName name="НАЛИЧКА_15" localSheetId="2">'Чистая прибыль с транспортир.'!НАЛИЧКА</definedName>
    <definedName name="НАЛИЧКА_15">[0]!НАЛИЧКА</definedName>
    <definedName name="НАЛИЧКА_16" localSheetId="45">'ЗП с факт 3 кв. 2015'!НАЛИЧКА</definedName>
    <definedName name="НАЛИЧКА_16" localSheetId="12">'ПОЛНАЯ СЕБЕСТОИМОСТЬ ВОДА 2019'!НАЛИЧКА</definedName>
    <definedName name="НАЛИЧКА_16" localSheetId="10">'ПОЛНАЯ СЕБЕСТОИМОСТЬ СТОКИ 2019'!НАЛИЧКА</definedName>
    <definedName name="НАЛИЧКА_16" localSheetId="7">'Прил. 1 План ФХД вода табл. 2'!НАЛИЧКА</definedName>
    <definedName name="НАЛИЧКА_16" localSheetId="3">'Прил. 1 План ФХД с транспортир.'!НАЛИЧКА</definedName>
    <definedName name="НАЛИЧКА_16" localSheetId="6">'Прил. 1 План ФХД стоки табл 2'!НАЛИЧКА</definedName>
    <definedName name="НАЛИЧКА_16" localSheetId="5">'Прил. 1 План ФХД табл 1'!НАЛИЧКА</definedName>
    <definedName name="НАЛИЧКА_16" localSheetId="8">'Расчет товарной выручки'!НАЛИЧКА</definedName>
    <definedName name="НАЛИЧКА_16" localSheetId="1">'Текущий ремонт'!НАЛИЧКА</definedName>
    <definedName name="НАЛИЧКА_16" localSheetId="11">'ФАКТ. СЕБЕСТ ВОДА 9 мес. 2019'!НАЛИЧКА</definedName>
    <definedName name="НАЛИЧКА_16" localSheetId="9">'ФАКТ. СЕБЕСТ. СТОКИ 9 мес. 2019'!НАЛИЧКА</definedName>
    <definedName name="НАЛИЧКА_16" localSheetId="4">'Чистая прибыль'!НАЛИЧКА</definedName>
    <definedName name="НАЛИЧКА_16" localSheetId="2">'Чистая прибыль с транспортир.'!НАЛИЧКА</definedName>
    <definedName name="НАЛИЧКА_16">[0]!НАЛИЧКА</definedName>
    <definedName name="НАЛИЧКА_2" localSheetId="45">'ЗП с факт 3 кв. 2015'!НАЛИЧКА</definedName>
    <definedName name="НАЛИЧКА_2" localSheetId="12">'ПОЛНАЯ СЕБЕСТОИМОСТЬ ВОДА 2019'!НАЛИЧКА</definedName>
    <definedName name="НАЛИЧКА_2" localSheetId="10">'ПОЛНАЯ СЕБЕСТОИМОСТЬ СТОКИ 2019'!НАЛИЧКА</definedName>
    <definedName name="НАЛИЧКА_2" localSheetId="7">'Прил. 1 План ФХД вода табл. 2'!НАЛИЧКА</definedName>
    <definedName name="НАЛИЧКА_2" localSheetId="3">'Прил. 1 План ФХД с транспортир.'!НАЛИЧКА</definedName>
    <definedName name="НАЛИЧКА_2" localSheetId="6">'Прил. 1 План ФХД стоки табл 2'!НАЛИЧКА</definedName>
    <definedName name="НАЛИЧКА_2" localSheetId="5">'Прил. 1 План ФХД табл 1'!НАЛИЧКА</definedName>
    <definedName name="НАЛИЧКА_2" localSheetId="8">'Расчет товарной выручки'!НАЛИЧКА</definedName>
    <definedName name="НАЛИЧКА_2" localSheetId="1">'Текущий ремонт'!НАЛИЧКА</definedName>
    <definedName name="НАЛИЧКА_2" localSheetId="11">'ФАКТ. СЕБЕСТ ВОДА 9 мес. 2019'!НАЛИЧКА</definedName>
    <definedName name="НАЛИЧКА_2" localSheetId="9">'ФАКТ. СЕБЕСТ. СТОКИ 9 мес. 2019'!НАЛИЧКА</definedName>
    <definedName name="НАЛИЧКА_2" localSheetId="4">'Чистая прибыль'!НАЛИЧКА</definedName>
    <definedName name="НАЛИЧКА_2" localSheetId="2">'Чистая прибыль с транспортир.'!НАЛИЧКА</definedName>
    <definedName name="НАЛИЧКА_2">[0]!НАЛИЧКА</definedName>
    <definedName name="_xlnm.Print_Area" localSheetId="52">'  текРемстоки 2016'!$A$1:$K$92</definedName>
    <definedName name="_xlnm.Print_Area" localSheetId="51">' текРемвода 2016'!$A$1:$L$197</definedName>
    <definedName name="_xlnm.Print_Area" localSheetId="73">'2018 к'!$A$1:$G$39</definedName>
    <definedName name="_xlnm.Print_Area" localSheetId="77">'2018 к смета'!$A$2:$M$30</definedName>
    <definedName name="_xlnm.Print_Area" localSheetId="39">Аморт!$A$1:$AU$34</definedName>
    <definedName name="_xlnm.Print_Area" localSheetId="56">вод.налог!$A$1:$P$53</definedName>
    <definedName name="_xlnm.Print_Area" localSheetId="26">вода!$A$2:$BT$61</definedName>
    <definedName name="_xlnm.Print_Area" localSheetId="28">'вода 2018 коррект'!$A$1:$AD$53</definedName>
    <definedName name="_xlnm.Print_Area" localSheetId="63">'Выпадающ15-16'!$A$1:$I$25</definedName>
    <definedName name="_xlnm.Print_Area" localSheetId="44">ЗП!$A$1:$CQ$38</definedName>
    <definedName name="_xlnm.Print_Area" localSheetId="45">'ЗП с факт 3 кв. 2015'!$A$2:$CB$40</definedName>
    <definedName name="_xlnm.Print_Area" localSheetId="13">объемы!$A$1:$BB$62</definedName>
    <definedName name="_xlnm.Print_Area" localSheetId="14">'объемы черн'!$A$33:$AG$62</definedName>
    <definedName name="_xlnm.Print_Area" localSheetId="61">'ОХР '!$A$1:$BF$61</definedName>
    <definedName name="_xlnm.Print_Area" localSheetId="31">'очистка 2016-2018'!$A$1:$AD$48</definedName>
    <definedName name="_xlnm.Print_Area" localSheetId="69">'платежка с ИП'!$A$1:$P$32</definedName>
    <definedName name="_xlnm.Print_Area" localSheetId="12">'ПОЛНАЯ СЕБЕСТОИМОСТЬ ВОДА 2019'!$A$4:$P$153</definedName>
    <definedName name="_xlnm.Print_Area" localSheetId="10">'ПОЛНАЯ СЕБЕСТОИМОСТЬ СТОКИ 2019'!$A$147:$D$180</definedName>
    <definedName name="_xlnm.Print_Area" localSheetId="7">'Прил. 1 План ФХД вода табл. 2'!$A$1:$AF$67</definedName>
    <definedName name="_xlnm.Print_Area" localSheetId="3">'Прил. 1 План ФХД с транспортир.'!$A$1:$I$68</definedName>
    <definedName name="_xlnm.Print_Area" localSheetId="6">'Прил. 1 План ФХД стоки табл 2'!$A$1:$AG$60</definedName>
    <definedName name="_xlnm.Print_Area" localSheetId="5">'Прил. 1 План ФХД табл 1'!$A$1:$I$60</definedName>
    <definedName name="_xlnm.Print_Area" localSheetId="0">'расчет тарифов '!$A$1:$X$124</definedName>
    <definedName name="_xlnm.Print_Area" localSheetId="70">'рез к 2017'!$A$1:$F$49</definedName>
    <definedName name="_xlnm.Print_Area" localSheetId="65">'Ремонт вода 2016'!$A$163:$L$191</definedName>
    <definedName name="_xlnm.Print_Area" localSheetId="68">'Ремонт стоки 2015'!$A$2:$N$19</definedName>
    <definedName name="_xlnm.Print_Area" localSheetId="64">'Ремонт стоки 2016'!$A$62:$K$88</definedName>
    <definedName name="_xlnm.Print_Area" localSheetId="27">стоки!$A$1:$BP$94</definedName>
    <definedName name="_xlnm.Print_Area" localSheetId="30">'стоки 2018'!$A$1:$AF$53</definedName>
    <definedName name="_xlnm.Print_Area" localSheetId="1">'Текущий ремонт'!$A$1:$I$25</definedName>
    <definedName name="_xlnm.Print_Area" localSheetId="29">'тех вода 2018'!$A$1:$AD$42</definedName>
    <definedName name="_xlnm.Print_Area" localSheetId="50">транс!$A$292:$E$339</definedName>
    <definedName name="_xlnm.Print_Area" localSheetId="11">'ФАКТ. СЕБЕСТ ВОДА 9 мес. 2019'!$A$1:$AW$82</definedName>
    <definedName name="_xlnm.Print_Area" localSheetId="9">'ФАКТ. СЕБЕСТ. СТОКИ 9 мес. 2019'!$A$1:$S$70</definedName>
    <definedName name="_xlnm.Print_Area" localSheetId="34">ХР!$A$1:$BL$66</definedName>
    <definedName name="_xlnm.Print_Area" localSheetId="32">'цех вода'!$A$1:$AN$54</definedName>
    <definedName name="_xlnm.Print_Area" localSheetId="33">'цех стоки'!$A$1:$AO$54</definedName>
    <definedName name="_xlnm.Print_Area" localSheetId="4">'Чистая прибыль'!$A$1:$T$44</definedName>
    <definedName name="_xlnm.Print_Area" localSheetId="2">'Чистая прибыль с транспортир.'!$A$1:$T$50</definedName>
    <definedName name="_xlnm.Print_Area" localSheetId="36">электр!$A$38:$BG$62</definedName>
    <definedName name="_xlnm.Print_Area" localSheetId="35">'электр 2017-2018'!$A$1:$CS$63</definedName>
    <definedName name="Объемы2" localSheetId="45">#REF!</definedName>
    <definedName name="Объемы2" localSheetId="31">#REF!</definedName>
    <definedName name="Объемы2" localSheetId="3">#REF!</definedName>
    <definedName name="Объемы2" localSheetId="5">#REF!</definedName>
    <definedName name="Объемы2" localSheetId="30">#REF!</definedName>
    <definedName name="Объемы2" localSheetId="29">#REF!</definedName>
    <definedName name="Объемы2" localSheetId="2">#REF!</definedName>
    <definedName name="Объемы2" localSheetId="35">#REF!</definedName>
    <definedName name="Объемы2">#REF!</definedName>
    <definedName name="Объемы2_13" localSheetId="45">#REF!</definedName>
    <definedName name="Объемы2_13" localSheetId="31">#REF!</definedName>
    <definedName name="Объемы2_13" localSheetId="3">#REF!</definedName>
    <definedName name="Объемы2_13" localSheetId="5">#REF!</definedName>
    <definedName name="Объемы2_13" localSheetId="30">#REF!</definedName>
    <definedName name="Объемы2_13" localSheetId="29">#REF!</definedName>
    <definedName name="Объемы2_13" localSheetId="2">#REF!</definedName>
    <definedName name="Объемы2_13" localSheetId="35">#REF!</definedName>
    <definedName name="Объемы2_13">#REF!</definedName>
    <definedName name="Объемы2_2" localSheetId="45">#REF!</definedName>
    <definedName name="Объемы2_2" localSheetId="31">#REF!</definedName>
    <definedName name="Объемы2_2" localSheetId="3">#REF!</definedName>
    <definedName name="Объемы2_2" localSheetId="5">#REF!</definedName>
    <definedName name="Объемы2_2" localSheetId="30">#REF!</definedName>
    <definedName name="Объемы2_2" localSheetId="29">#REF!</definedName>
    <definedName name="Объемы2_2" localSheetId="2">#REF!</definedName>
    <definedName name="Объемы2_2" localSheetId="35">#REF!</definedName>
    <definedName name="Объемы2_2">#REF!</definedName>
    <definedName name="олггшщзжжхх">#N/A</definedName>
    <definedName name="пае" localSheetId="45">'ЗП с факт 3 кв. 2015'!пае</definedName>
    <definedName name="пае" localSheetId="12">#N/A</definedName>
    <definedName name="пае" localSheetId="10">#N/A</definedName>
    <definedName name="пае" localSheetId="7">#N/A</definedName>
    <definedName name="пае" localSheetId="3">#N/A</definedName>
    <definedName name="пае" localSheetId="6">#N/A</definedName>
    <definedName name="пае" localSheetId="5">#N/A</definedName>
    <definedName name="пае" localSheetId="8">#N/A</definedName>
    <definedName name="пае" localSheetId="1">#N/A</definedName>
    <definedName name="пае" localSheetId="11">#N/A</definedName>
    <definedName name="пае" localSheetId="9">#N/A</definedName>
    <definedName name="пае" localSheetId="4">#N/A</definedName>
    <definedName name="пае" localSheetId="2">#N/A</definedName>
    <definedName name="пае">пае</definedName>
    <definedName name="пае_10" localSheetId="45">'ЗП с факт 3 кв. 2015'!пае</definedName>
    <definedName name="пае_10" localSheetId="12">'ПОЛНАЯ СЕБЕСТОИМОСТЬ ВОДА 2019'!пае</definedName>
    <definedName name="пае_10" localSheetId="10">'ПОЛНАЯ СЕБЕСТОИМОСТЬ СТОКИ 2019'!пае</definedName>
    <definedName name="пае_10" localSheetId="7">'Прил. 1 План ФХД вода табл. 2'!пае</definedName>
    <definedName name="пае_10" localSheetId="3">'Прил. 1 План ФХД с транспортир.'!пае</definedName>
    <definedName name="пае_10" localSheetId="6">'Прил. 1 План ФХД стоки табл 2'!пае</definedName>
    <definedName name="пае_10" localSheetId="5">'Прил. 1 План ФХД табл 1'!пае</definedName>
    <definedName name="пае_10" localSheetId="8">'Расчет товарной выручки'!пае</definedName>
    <definedName name="пае_10" localSheetId="1">'Текущий ремонт'!пае</definedName>
    <definedName name="пае_10" localSheetId="11">'ФАКТ. СЕБЕСТ ВОДА 9 мес. 2019'!пае</definedName>
    <definedName name="пае_10" localSheetId="9">'ФАКТ. СЕБЕСТ. СТОКИ 9 мес. 2019'!пае</definedName>
    <definedName name="пае_10" localSheetId="4">'Чистая прибыль'!пае</definedName>
    <definedName name="пае_10" localSheetId="2">'Чистая прибыль с транспортир.'!пае</definedName>
    <definedName name="пае_10">[0]!пае</definedName>
    <definedName name="пае_14" localSheetId="45">'ЗП с факт 3 кв. 2015'!пае</definedName>
    <definedName name="пае_14" localSheetId="12">'ПОЛНАЯ СЕБЕСТОИМОСТЬ ВОДА 2019'!пае</definedName>
    <definedName name="пае_14" localSheetId="10">'ПОЛНАЯ СЕБЕСТОИМОСТЬ СТОКИ 2019'!пае</definedName>
    <definedName name="пае_14" localSheetId="7">'Прил. 1 План ФХД вода табл. 2'!пае</definedName>
    <definedName name="пае_14" localSheetId="3">'Прил. 1 План ФХД с транспортир.'!пае</definedName>
    <definedName name="пае_14" localSheetId="6">'Прил. 1 План ФХД стоки табл 2'!пае</definedName>
    <definedName name="пае_14" localSheetId="5">'Прил. 1 План ФХД табл 1'!пае</definedName>
    <definedName name="пае_14" localSheetId="8">'Расчет товарной выручки'!пае</definedName>
    <definedName name="пае_14" localSheetId="1">'Текущий ремонт'!пае</definedName>
    <definedName name="пае_14" localSheetId="11">'ФАКТ. СЕБЕСТ ВОДА 9 мес. 2019'!пае</definedName>
    <definedName name="пае_14" localSheetId="9">'ФАКТ. СЕБЕСТ. СТОКИ 9 мес. 2019'!пае</definedName>
    <definedName name="пае_14" localSheetId="4">'Чистая прибыль'!пае</definedName>
    <definedName name="пае_14" localSheetId="2">'Чистая прибыль с транспортир.'!пае</definedName>
    <definedName name="пае_14">[0]!пае</definedName>
    <definedName name="пае_15" localSheetId="45">'ЗП с факт 3 кв. 2015'!пае</definedName>
    <definedName name="пае_15" localSheetId="12">'ПОЛНАЯ СЕБЕСТОИМОСТЬ ВОДА 2019'!пае</definedName>
    <definedName name="пае_15" localSheetId="10">'ПОЛНАЯ СЕБЕСТОИМОСТЬ СТОКИ 2019'!пае</definedName>
    <definedName name="пае_15" localSheetId="7">'Прил. 1 План ФХД вода табл. 2'!пае</definedName>
    <definedName name="пае_15" localSheetId="3">'Прил. 1 План ФХД с транспортир.'!пае</definedName>
    <definedName name="пае_15" localSheetId="6">'Прил. 1 План ФХД стоки табл 2'!пае</definedName>
    <definedName name="пае_15" localSheetId="5">'Прил. 1 План ФХД табл 1'!пае</definedName>
    <definedName name="пае_15" localSheetId="8">'Расчет товарной выручки'!пае</definedName>
    <definedName name="пае_15" localSheetId="1">'Текущий ремонт'!пае</definedName>
    <definedName name="пае_15" localSheetId="11">'ФАКТ. СЕБЕСТ ВОДА 9 мес. 2019'!пае</definedName>
    <definedName name="пае_15" localSheetId="9">'ФАКТ. СЕБЕСТ. СТОКИ 9 мес. 2019'!пае</definedName>
    <definedName name="пае_15" localSheetId="4">'Чистая прибыль'!пае</definedName>
    <definedName name="пае_15" localSheetId="2">'Чистая прибыль с транспортир.'!пае</definedName>
    <definedName name="пае_15">[0]!пае</definedName>
    <definedName name="пае_16" localSheetId="45">'ЗП с факт 3 кв. 2015'!пае</definedName>
    <definedName name="пае_16" localSheetId="12">'ПОЛНАЯ СЕБЕСТОИМОСТЬ ВОДА 2019'!пае</definedName>
    <definedName name="пае_16" localSheetId="10">'ПОЛНАЯ СЕБЕСТОИМОСТЬ СТОКИ 2019'!пае</definedName>
    <definedName name="пае_16" localSheetId="7">'Прил. 1 План ФХД вода табл. 2'!пае</definedName>
    <definedName name="пае_16" localSheetId="3">'Прил. 1 План ФХД с транспортир.'!пае</definedName>
    <definedName name="пае_16" localSheetId="6">'Прил. 1 План ФХД стоки табл 2'!пае</definedName>
    <definedName name="пае_16" localSheetId="5">'Прил. 1 План ФХД табл 1'!пае</definedName>
    <definedName name="пае_16" localSheetId="8">'Расчет товарной выручки'!пае</definedName>
    <definedName name="пае_16" localSheetId="1">'Текущий ремонт'!пае</definedName>
    <definedName name="пае_16" localSheetId="11">'ФАКТ. СЕБЕСТ ВОДА 9 мес. 2019'!пае</definedName>
    <definedName name="пае_16" localSheetId="9">'ФАКТ. СЕБЕСТ. СТОКИ 9 мес. 2019'!пае</definedName>
    <definedName name="пае_16" localSheetId="4">'Чистая прибыль'!пае</definedName>
    <definedName name="пае_16" localSheetId="2">'Чистая прибыль с транспортир.'!пае</definedName>
    <definedName name="пае_16">[0]!пае</definedName>
    <definedName name="пае_2" localSheetId="45">'ЗП с факт 3 кв. 2015'!пае</definedName>
    <definedName name="пае_2" localSheetId="12">'ПОЛНАЯ СЕБЕСТОИМОСТЬ ВОДА 2019'!пае</definedName>
    <definedName name="пае_2" localSheetId="10">'ПОЛНАЯ СЕБЕСТОИМОСТЬ СТОКИ 2019'!пае</definedName>
    <definedName name="пае_2" localSheetId="7">'Прил. 1 План ФХД вода табл. 2'!пае</definedName>
    <definedName name="пае_2" localSheetId="3">'Прил. 1 План ФХД с транспортир.'!пае</definedName>
    <definedName name="пае_2" localSheetId="6">'Прил. 1 План ФХД стоки табл 2'!пае</definedName>
    <definedName name="пае_2" localSheetId="5">'Прил. 1 План ФХД табл 1'!пае</definedName>
    <definedName name="пае_2" localSheetId="8">'Расчет товарной выручки'!пае</definedName>
    <definedName name="пае_2" localSheetId="1">'Текущий ремонт'!пае</definedName>
    <definedName name="пае_2" localSheetId="11">'ФАКТ. СЕБЕСТ ВОДА 9 мес. 2019'!пае</definedName>
    <definedName name="пае_2" localSheetId="9">'ФАКТ. СЕБЕСТ. СТОКИ 9 мес. 2019'!пае</definedName>
    <definedName name="пае_2" localSheetId="4">'Чистая прибыль'!пае</definedName>
    <definedName name="пае_2" localSheetId="2">'Чистая прибыль с транспортир.'!пае</definedName>
    <definedName name="пае_2">[0]!пае</definedName>
    <definedName name="пимрн" localSheetId="45">'ЗП с факт 3 кв. 2015'!_Pi2</definedName>
    <definedName name="пимрн" localSheetId="12">'ПОЛНАЯ СЕБЕСТОИМОСТЬ ВОДА 2019'!_Pi2</definedName>
    <definedName name="пимрн" localSheetId="10">'ПОЛНАЯ СЕБЕСТОИМОСТЬ СТОКИ 2019'!_Pi2</definedName>
    <definedName name="пимрн" localSheetId="7">'Прил. 1 План ФХД вода табл. 2'!_Pi2</definedName>
    <definedName name="пимрн" localSheetId="3">'Прил. 1 План ФХД с транспортир.'!_Pi2</definedName>
    <definedName name="пимрн" localSheetId="6">'Прил. 1 План ФХД стоки табл 2'!_Pi2</definedName>
    <definedName name="пимрн" localSheetId="5">'Прил. 1 План ФХД табл 1'!_Pi2</definedName>
    <definedName name="пимрн" localSheetId="8">'Расчет товарной выручки'!_Pi2</definedName>
    <definedName name="пимрн" localSheetId="1">'Текущий ремонт'!_Pi2</definedName>
    <definedName name="пимрн" localSheetId="11">'ФАКТ. СЕБЕСТ ВОДА 9 мес. 2019'!_Pi2</definedName>
    <definedName name="пимрн" localSheetId="9">'ФАКТ. СЕБЕСТ. СТОКИ 9 мес. 2019'!_Pi2</definedName>
    <definedName name="пимрн" localSheetId="4">'Чистая прибыль'!_Pi2</definedName>
    <definedName name="пимрн" localSheetId="2">'Чистая прибыль с транспортир.'!_Pi2</definedName>
    <definedName name="пимрн">[0]!_Pi2</definedName>
    <definedName name="пимрн_1" localSheetId="45">'ЗП с факт 3 кв. 2015'!_Pi2</definedName>
    <definedName name="пимрн_1" localSheetId="12">'ПОЛНАЯ СЕБЕСТОИМОСТЬ ВОДА 2019'!_Pi2</definedName>
    <definedName name="пимрн_1" localSheetId="10">'ПОЛНАЯ СЕБЕСТОИМОСТЬ СТОКИ 2019'!_Pi2</definedName>
    <definedName name="пимрн_1" localSheetId="7">'Прил. 1 План ФХД вода табл. 2'!_Pi2</definedName>
    <definedName name="пимрн_1" localSheetId="3">'Прил. 1 План ФХД с транспортир.'!_Pi2</definedName>
    <definedName name="пимрн_1" localSheetId="6">'Прил. 1 План ФХД стоки табл 2'!_Pi2</definedName>
    <definedName name="пимрн_1" localSheetId="5">'Прил. 1 План ФХД табл 1'!_Pi2</definedName>
    <definedName name="пимрн_1" localSheetId="8">'Расчет товарной выручки'!_Pi2</definedName>
    <definedName name="пимрн_1" localSheetId="1">'Текущий ремонт'!_Pi2</definedName>
    <definedName name="пимрн_1" localSheetId="11">'ФАКТ. СЕБЕСТ ВОДА 9 мес. 2019'!_Pi2</definedName>
    <definedName name="пимрн_1" localSheetId="9">'ФАКТ. СЕБЕСТ. СТОКИ 9 мес. 2019'!_Pi2</definedName>
    <definedName name="пимрн_1" localSheetId="4">'Чистая прибыль'!_Pi2</definedName>
    <definedName name="пимрн_1" localSheetId="2">'Чистая прибыль с транспортир.'!_Pi2</definedName>
    <definedName name="пимрн_1">[0]!_Pi2</definedName>
    <definedName name="пимрн_13" localSheetId="45">'ЗП с факт 3 кв. 2015'!_Pi2</definedName>
    <definedName name="пимрн_13" localSheetId="12">'ПОЛНАЯ СЕБЕСТОИМОСТЬ ВОДА 2019'!_Pi2</definedName>
    <definedName name="пимрн_13" localSheetId="10">'ПОЛНАЯ СЕБЕСТОИМОСТЬ СТОКИ 2019'!_Pi2</definedName>
    <definedName name="пимрн_13" localSheetId="7">'Прил. 1 План ФХД вода табл. 2'!_Pi2</definedName>
    <definedName name="пимрн_13" localSheetId="3">'Прил. 1 План ФХД с транспортир.'!_Pi2</definedName>
    <definedName name="пимрн_13" localSheetId="6">'Прил. 1 План ФХД стоки табл 2'!_Pi2</definedName>
    <definedName name="пимрн_13" localSheetId="5">'Прил. 1 План ФХД табл 1'!_Pi2</definedName>
    <definedName name="пимрн_13" localSheetId="8">'Расчет товарной выручки'!_Pi2</definedName>
    <definedName name="пимрн_13" localSheetId="1">'Текущий ремонт'!_Pi2</definedName>
    <definedName name="пимрн_13" localSheetId="11">'ФАКТ. СЕБЕСТ ВОДА 9 мес. 2019'!_Pi2</definedName>
    <definedName name="пимрн_13" localSheetId="9">'ФАКТ. СЕБЕСТ. СТОКИ 9 мес. 2019'!_Pi2</definedName>
    <definedName name="пимрн_13" localSheetId="4">'Чистая прибыль'!_Pi2</definedName>
    <definedName name="пимрн_13" localSheetId="2">'Чистая прибыль с транспортир.'!_Pi2</definedName>
    <definedName name="пимрн_13">[0]!_Pi2</definedName>
    <definedName name="пимрн_2" localSheetId="45">'ЗП с факт 3 кв. 2015'!_Pi2</definedName>
    <definedName name="пимрн_2" localSheetId="12">'ПОЛНАЯ СЕБЕСТОИМОСТЬ ВОДА 2019'!_Pi2</definedName>
    <definedName name="пимрн_2" localSheetId="10">'ПОЛНАЯ СЕБЕСТОИМОСТЬ СТОКИ 2019'!_Pi2</definedName>
    <definedName name="пимрн_2" localSheetId="7">'Прил. 1 План ФХД вода табл. 2'!_Pi2</definedName>
    <definedName name="пимрн_2" localSheetId="3">'Прил. 1 План ФХД с транспортир.'!_Pi2</definedName>
    <definedName name="пимрн_2" localSheetId="6">'Прил. 1 План ФХД стоки табл 2'!_Pi2</definedName>
    <definedName name="пимрн_2" localSheetId="5">'Прил. 1 План ФХД табл 1'!_Pi2</definedName>
    <definedName name="пимрн_2" localSheetId="8">'Расчет товарной выручки'!_Pi2</definedName>
    <definedName name="пимрн_2" localSheetId="1">'Текущий ремонт'!_Pi2</definedName>
    <definedName name="пимрн_2" localSheetId="11">'ФАКТ. СЕБЕСТ ВОДА 9 мес. 2019'!_Pi2</definedName>
    <definedName name="пимрн_2" localSheetId="9">'ФАКТ. СЕБЕСТ. СТОКИ 9 мес. 2019'!_Pi2</definedName>
    <definedName name="пимрн_2" localSheetId="4">'Чистая прибыль'!_Pi2</definedName>
    <definedName name="пимрн_2" localSheetId="2">'Чистая прибыль с транспортир.'!_Pi2</definedName>
    <definedName name="пимрн_2">[0]!_Pi2</definedName>
    <definedName name="про" localSheetId="45">'ЗП с факт 3 кв. 2015'!про</definedName>
    <definedName name="про" localSheetId="12">#N/A</definedName>
    <definedName name="про" localSheetId="10">#N/A</definedName>
    <definedName name="про" localSheetId="7">#N/A</definedName>
    <definedName name="про" localSheetId="3">#N/A</definedName>
    <definedName name="про" localSheetId="6">#N/A</definedName>
    <definedName name="про" localSheetId="5">#N/A</definedName>
    <definedName name="про" localSheetId="8">#N/A</definedName>
    <definedName name="про" localSheetId="1">#N/A</definedName>
    <definedName name="про" localSheetId="11">#N/A</definedName>
    <definedName name="про" localSheetId="9">#N/A</definedName>
    <definedName name="про" localSheetId="4">#N/A</definedName>
    <definedName name="про" localSheetId="2">#N/A</definedName>
    <definedName name="про">про</definedName>
    <definedName name="про_10" localSheetId="45">'ЗП с факт 3 кв. 2015'!про</definedName>
    <definedName name="про_10" localSheetId="12">'ПОЛНАЯ СЕБЕСТОИМОСТЬ ВОДА 2019'!про</definedName>
    <definedName name="про_10" localSheetId="10">'ПОЛНАЯ СЕБЕСТОИМОСТЬ СТОКИ 2019'!про</definedName>
    <definedName name="про_10" localSheetId="7">'Прил. 1 План ФХД вода табл. 2'!про</definedName>
    <definedName name="про_10" localSheetId="3">'Прил. 1 План ФХД с транспортир.'!про</definedName>
    <definedName name="про_10" localSheetId="6">'Прил. 1 План ФХД стоки табл 2'!про</definedName>
    <definedName name="про_10" localSheetId="5">'Прил. 1 План ФХД табл 1'!про</definedName>
    <definedName name="про_10" localSheetId="8">'Расчет товарной выручки'!про</definedName>
    <definedName name="про_10" localSheetId="1">'Текущий ремонт'!про</definedName>
    <definedName name="про_10" localSheetId="11">'ФАКТ. СЕБЕСТ ВОДА 9 мес. 2019'!про</definedName>
    <definedName name="про_10" localSheetId="9">'ФАКТ. СЕБЕСТ. СТОКИ 9 мес. 2019'!про</definedName>
    <definedName name="про_10" localSheetId="4">'Чистая прибыль'!про</definedName>
    <definedName name="про_10" localSheetId="2">'Чистая прибыль с транспортир.'!про</definedName>
    <definedName name="про_10">[0]!про</definedName>
    <definedName name="про_14" localSheetId="45">'ЗП с факт 3 кв. 2015'!про</definedName>
    <definedName name="про_14" localSheetId="12">'ПОЛНАЯ СЕБЕСТОИМОСТЬ ВОДА 2019'!про</definedName>
    <definedName name="про_14" localSheetId="10">'ПОЛНАЯ СЕБЕСТОИМОСТЬ СТОКИ 2019'!про</definedName>
    <definedName name="про_14" localSheetId="7">'Прил. 1 План ФХД вода табл. 2'!про</definedName>
    <definedName name="про_14" localSheetId="3">'Прил. 1 План ФХД с транспортир.'!про</definedName>
    <definedName name="про_14" localSheetId="6">'Прил. 1 План ФХД стоки табл 2'!про</definedName>
    <definedName name="про_14" localSheetId="5">'Прил. 1 План ФХД табл 1'!про</definedName>
    <definedName name="про_14" localSheetId="8">'Расчет товарной выручки'!про</definedName>
    <definedName name="про_14" localSheetId="1">'Текущий ремонт'!про</definedName>
    <definedName name="про_14" localSheetId="11">'ФАКТ. СЕБЕСТ ВОДА 9 мес. 2019'!про</definedName>
    <definedName name="про_14" localSheetId="9">'ФАКТ. СЕБЕСТ. СТОКИ 9 мес. 2019'!про</definedName>
    <definedName name="про_14" localSheetId="4">'Чистая прибыль'!про</definedName>
    <definedName name="про_14" localSheetId="2">'Чистая прибыль с транспортир.'!про</definedName>
    <definedName name="про_14">[0]!про</definedName>
    <definedName name="про_15" localSheetId="45">'ЗП с факт 3 кв. 2015'!про</definedName>
    <definedName name="про_15" localSheetId="12">'ПОЛНАЯ СЕБЕСТОИМОСТЬ ВОДА 2019'!про</definedName>
    <definedName name="про_15" localSheetId="10">'ПОЛНАЯ СЕБЕСТОИМОСТЬ СТОКИ 2019'!про</definedName>
    <definedName name="про_15" localSheetId="7">'Прил. 1 План ФХД вода табл. 2'!про</definedName>
    <definedName name="про_15" localSheetId="3">'Прил. 1 План ФХД с транспортир.'!про</definedName>
    <definedName name="про_15" localSheetId="6">'Прил. 1 План ФХД стоки табл 2'!про</definedName>
    <definedName name="про_15" localSheetId="5">'Прил. 1 План ФХД табл 1'!про</definedName>
    <definedName name="про_15" localSheetId="8">'Расчет товарной выручки'!про</definedName>
    <definedName name="про_15" localSheetId="1">'Текущий ремонт'!про</definedName>
    <definedName name="про_15" localSheetId="11">'ФАКТ. СЕБЕСТ ВОДА 9 мес. 2019'!про</definedName>
    <definedName name="про_15" localSheetId="9">'ФАКТ. СЕБЕСТ. СТОКИ 9 мес. 2019'!про</definedName>
    <definedName name="про_15" localSheetId="4">'Чистая прибыль'!про</definedName>
    <definedName name="про_15" localSheetId="2">'Чистая прибыль с транспортир.'!про</definedName>
    <definedName name="про_15">[0]!про</definedName>
    <definedName name="про_16" localSheetId="45">'ЗП с факт 3 кв. 2015'!про</definedName>
    <definedName name="про_16" localSheetId="12">'ПОЛНАЯ СЕБЕСТОИМОСТЬ ВОДА 2019'!про</definedName>
    <definedName name="про_16" localSheetId="10">'ПОЛНАЯ СЕБЕСТОИМОСТЬ СТОКИ 2019'!про</definedName>
    <definedName name="про_16" localSheetId="7">'Прил. 1 План ФХД вода табл. 2'!про</definedName>
    <definedName name="про_16" localSheetId="3">'Прил. 1 План ФХД с транспортир.'!про</definedName>
    <definedName name="про_16" localSheetId="6">'Прил. 1 План ФХД стоки табл 2'!про</definedName>
    <definedName name="про_16" localSheetId="5">'Прил. 1 План ФХД табл 1'!про</definedName>
    <definedName name="про_16" localSheetId="8">'Расчет товарной выручки'!про</definedName>
    <definedName name="про_16" localSheetId="1">'Текущий ремонт'!про</definedName>
    <definedName name="про_16" localSheetId="11">'ФАКТ. СЕБЕСТ ВОДА 9 мес. 2019'!про</definedName>
    <definedName name="про_16" localSheetId="9">'ФАКТ. СЕБЕСТ. СТОКИ 9 мес. 2019'!про</definedName>
    <definedName name="про_16" localSheetId="4">'Чистая прибыль'!про</definedName>
    <definedName name="про_16" localSheetId="2">'Чистая прибыль с транспортир.'!про</definedName>
    <definedName name="про_16">[0]!про</definedName>
    <definedName name="про_2" localSheetId="45">'ЗП с факт 3 кв. 2015'!про</definedName>
    <definedName name="про_2" localSheetId="12">'ПОЛНАЯ СЕБЕСТОИМОСТЬ ВОДА 2019'!про</definedName>
    <definedName name="про_2" localSheetId="10">'ПОЛНАЯ СЕБЕСТОИМОСТЬ СТОКИ 2019'!про</definedName>
    <definedName name="про_2" localSheetId="7">'Прил. 1 План ФХД вода табл. 2'!про</definedName>
    <definedName name="про_2" localSheetId="3">'Прил. 1 План ФХД с транспортир.'!про</definedName>
    <definedName name="про_2" localSheetId="6">'Прил. 1 План ФХД стоки табл 2'!про</definedName>
    <definedName name="про_2" localSheetId="5">'Прил. 1 План ФХД табл 1'!про</definedName>
    <definedName name="про_2" localSheetId="8">'Расчет товарной выручки'!про</definedName>
    <definedName name="про_2" localSheetId="1">'Текущий ремонт'!про</definedName>
    <definedName name="про_2" localSheetId="11">'ФАКТ. СЕБЕСТ ВОДА 9 мес. 2019'!про</definedName>
    <definedName name="про_2" localSheetId="9">'ФАКТ. СЕБЕСТ. СТОКИ 9 мес. 2019'!про</definedName>
    <definedName name="про_2" localSheetId="4">'Чистая прибыль'!про</definedName>
    <definedName name="про_2" localSheetId="2">'Чистая прибыль с транспортир.'!про</definedName>
    <definedName name="про_2">[0]!про</definedName>
    <definedName name="р7" localSheetId="45">'ЗП с факт 3 кв. 2015'!р7</definedName>
    <definedName name="р7" localSheetId="12">#N/A</definedName>
    <definedName name="р7" localSheetId="10">#N/A</definedName>
    <definedName name="р7" localSheetId="7">#N/A</definedName>
    <definedName name="р7" localSheetId="3">#N/A</definedName>
    <definedName name="р7" localSheetId="6">#N/A</definedName>
    <definedName name="р7" localSheetId="5">#N/A</definedName>
    <definedName name="р7" localSheetId="8">#N/A</definedName>
    <definedName name="р7" localSheetId="1">#N/A</definedName>
    <definedName name="р7" localSheetId="11">#N/A</definedName>
    <definedName name="р7" localSheetId="9">#N/A</definedName>
    <definedName name="р7" localSheetId="4">#N/A</definedName>
    <definedName name="р7" localSheetId="2">#N/A</definedName>
    <definedName name="р7">р7</definedName>
    <definedName name="р7_10" localSheetId="45">'ЗП с факт 3 кв. 2015'!р7</definedName>
    <definedName name="р7_10" localSheetId="12">'ПОЛНАЯ СЕБЕСТОИМОСТЬ ВОДА 2019'!р7</definedName>
    <definedName name="р7_10" localSheetId="10">'ПОЛНАЯ СЕБЕСТОИМОСТЬ СТОКИ 2019'!р7</definedName>
    <definedName name="р7_10" localSheetId="7">'Прил. 1 План ФХД вода табл. 2'!р7</definedName>
    <definedName name="р7_10" localSheetId="3">'Прил. 1 План ФХД с транспортир.'!р7</definedName>
    <definedName name="р7_10" localSheetId="6">'Прил. 1 План ФХД стоки табл 2'!р7</definedName>
    <definedName name="р7_10" localSheetId="5">'Прил. 1 План ФХД табл 1'!р7</definedName>
    <definedName name="р7_10" localSheetId="8">'Расчет товарной выручки'!р7</definedName>
    <definedName name="р7_10" localSheetId="1">'Текущий ремонт'!р7</definedName>
    <definedName name="р7_10" localSheetId="11">'ФАКТ. СЕБЕСТ ВОДА 9 мес. 2019'!р7</definedName>
    <definedName name="р7_10" localSheetId="9">'ФАКТ. СЕБЕСТ. СТОКИ 9 мес. 2019'!р7</definedName>
    <definedName name="р7_10" localSheetId="4">'Чистая прибыль'!р7</definedName>
    <definedName name="р7_10" localSheetId="2">'Чистая прибыль с транспортир.'!р7</definedName>
    <definedName name="р7_10">[0]!р7</definedName>
    <definedName name="р7_14" localSheetId="45">'ЗП с факт 3 кв. 2015'!р7</definedName>
    <definedName name="р7_14" localSheetId="12">'ПОЛНАЯ СЕБЕСТОИМОСТЬ ВОДА 2019'!р7</definedName>
    <definedName name="р7_14" localSheetId="10">'ПОЛНАЯ СЕБЕСТОИМОСТЬ СТОКИ 2019'!р7</definedName>
    <definedName name="р7_14" localSheetId="7">'Прил. 1 План ФХД вода табл. 2'!р7</definedName>
    <definedName name="р7_14" localSheetId="3">'Прил. 1 План ФХД с транспортир.'!р7</definedName>
    <definedName name="р7_14" localSheetId="6">'Прил. 1 План ФХД стоки табл 2'!р7</definedName>
    <definedName name="р7_14" localSheetId="5">'Прил. 1 План ФХД табл 1'!р7</definedName>
    <definedName name="р7_14" localSheetId="8">'Расчет товарной выручки'!р7</definedName>
    <definedName name="р7_14" localSheetId="1">'Текущий ремонт'!р7</definedName>
    <definedName name="р7_14" localSheetId="11">'ФАКТ. СЕБЕСТ ВОДА 9 мес. 2019'!р7</definedName>
    <definedName name="р7_14" localSheetId="9">'ФАКТ. СЕБЕСТ. СТОКИ 9 мес. 2019'!р7</definedName>
    <definedName name="р7_14" localSheetId="4">'Чистая прибыль'!р7</definedName>
    <definedName name="р7_14" localSheetId="2">'Чистая прибыль с транспортир.'!р7</definedName>
    <definedName name="р7_14">[0]!р7</definedName>
    <definedName name="р7_15" localSheetId="45">'ЗП с факт 3 кв. 2015'!р7</definedName>
    <definedName name="р7_15" localSheetId="12">'ПОЛНАЯ СЕБЕСТОИМОСТЬ ВОДА 2019'!р7</definedName>
    <definedName name="р7_15" localSheetId="10">'ПОЛНАЯ СЕБЕСТОИМОСТЬ СТОКИ 2019'!р7</definedName>
    <definedName name="р7_15" localSheetId="7">'Прил. 1 План ФХД вода табл. 2'!р7</definedName>
    <definedName name="р7_15" localSheetId="3">'Прил. 1 План ФХД с транспортир.'!р7</definedName>
    <definedName name="р7_15" localSheetId="6">'Прил. 1 План ФХД стоки табл 2'!р7</definedName>
    <definedName name="р7_15" localSheetId="5">'Прил. 1 План ФХД табл 1'!р7</definedName>
    <definedName name="р7_15" localSheetId="8">'Расчет товарной выручки'!р7</definedName>
    <definedName name="р7_15" localSheetId="1">'Текущий ремонт'!р7</definedName>
    <definedName name="р7_15" localSheetId="11">'ФАКТ. СЕБЕСТ ВОДА 9 мес. 2019'!р7</definedName>
    <definedName name="р7_15" localSheetId="9">'ФАКТ. СЕБЕСТ. СТОКИ 9 мес. 2019'!р7</definedName>
    <definedName name="р7_15" localSheetId="4">'Чистая прибыль'!р7</definedName>
    <definedName name="р7_15" localSheetId="2">'Чистая прибыль с транспортир.'!р7</definedName>
    <definedName name="р7_15">[0]!р7</definedName>
    <definedName name="р7_16" localSheetId="45">'ЗП с факт 3 кв. 2015'!р7</definedName>
    <definedName name="р7_16" localSheetId="12">'ПОЛНАЯ СЕБЕСТОИМОСТЬ ВОДА 2019'!р7</definedName>
    <definedName name="р7_16" localSheetId="10">'ПОЛНАЯ СЕБЕСТОИМОСТЬ СТОКИ 2019'!р7</definedName>
    <definedName name="р7_16" localSheetId="7">'Прил. 1 План ФХД вода табл. 2'!р7</definedName>
    <definedName name="р7_16" localSheetId="3">'Прил. 1 План ФХД с транспортир.'!р7</definedName>
    <definedName name="р7_16" localSheetId="6">'Прил. 1 План ФХД стоки табл 2'!р7</definedName>
    <definedName name="р7_16" localSheetId="5">'Прил. 1 План ФХД табл 1'!р7</definedName>
    <definedName name="р7_16" localSheetId="8">'Расчет товарной выручки'!р7</definedName>
    <definedName name="р7_16" localSheetId="1">'Текущий ремонт'!р7</definedName>
    <definedName name="р7_16" localSheetId="11">'ФАКТ. СЕБЕСТ ВОДА 9 мес. 2019'!р7</definedName>
    <definedName name="р7_16" localSheetId="9">'ФАКТ. СЕБЕСТ. СТОКИ 9 мес. 2019'!р7</definedName>
    <definedName name="р7_16" localSheetId="4">'Чистая прибыль'!р7</definedName>
    <definedName name="р7_16" localSheetId="2">'Чистая прибыль с транспортир.'!р7</definedName>
    <definedName name="р7_16">[0]!р7</definedName>
    <definedName name="р7_2" localSheetId="45">'ЗП с факт 3 кв. 2015'!р7</definedName>
    <definedName name="р7_2" localSheetId="12">'ПОЛНАЯ СЕБЕСТОИМОСТЬ ВОДА 2019'!р7</definedName>
    <definedName name="р7_2" localSheetId="10">'ПОЛНАЯ СЕБЕСТОИМОСТЬ СТОКИ 2019'!р7</definedName>
    <definedName name="р7_2" localSheetId="7">'Прил. 1 План ФХД вода табл. 2'!р7</definedName>
    <definedName name="р7_2" localSheetId="3">'Прил. 1 План ФХД с транспортир.'!р7</definedName>
    <definedName name="р7_2" localSheetId="6">'Прил. 1 План ФХД стоки табл 2'!р7</definedName>
    <definedName name="р7_2" localSheetId="5">'Прил. 1 План ФХД табл 1'!р7</definedName>
    <definedName name="р7_2" localSheetId="8">'Расчет товарной выручки'!р7</definedName>
    <definedName name="р7_2" localSheetId="1">'Текущий ремонт'!р7</definedName>
    <definedName name="р7_2" localSheetId="11">'ФАКТ. СЕБЕСТ ВОДА 9 мес. 2019'!р7</definedName>
    <definedName name="р7_2" localSheetId="9">'ФАКТ. СЕБЕСТ. СТОКИ 9 мес. 2019'!р7</definedName>
    <definedName name="р7_2" localSheetId="4">'Чистая прибыль'!р7</definedName>
    <definedName name="р7_2" localSheetId="2">'Чистая прибыль с транспортир.'!р7</definedName>
    <definedName name="р7_2">[0]!р7</definedName>
    <definedName name="р71" localSheetId="45">'ЗП с факт 3 кв. 2015'!р71</definedName>
    <definedName name="р71" localSheetId="12">#N/A</definedName>
    <definedName name="р71" localSheetId="10">#N/A</definedName>
    <definedName name="р71" localSheetId="7">#N/A</definedName>
    <definedName name="р71" localSheetId="3">#N/A</definedName>
    <definedName name="р71" localSheetId="6">#N/A</definedName>
    <definedName name="р71" localSheetId="5">#N/A</definedName>
    <definedName name="р71" localSheetId="8">#N/A</definedName>
    <definedName name="р71" localSheetId="1">#N/A</definedName>
    <definedName name="р71" localSheetId="11">#N/A</definedName>
    <definedName name="р71" localSheetId="9">#N/A</definedName>
    <definedName name="р71" localSheetId="4">#N/A</definedName>
    <definedName name="р71" localSheetId="2">#N/A</definedName>
    <definedName name="р71">р71</definedName>
    <definedName name="р71_10" localSheetId="45">'ЗП с факт 3 кв. 2015'!р71</definedName>
    <definedName name="р71_10" localSheetId="12">'ПОЛНАЯ СЕБЕСТОИМОСТЬ ВОДА 2019'!р71</definedName>
    <definedName name="р71_10" localSheetId="10">'ПОЛНАЯ СЕБЕСТОИМОСТЬ СТОКИ 2019'!р71</definedName>
    <definedName name="р71_10" localSheetId="7">'Прил. 1 План ФХД вода табл. 2'!р71</definedName>
    <definedName name="р71_10" localSheetId="3">'Прил. 1 План ФХД с транспортир.'!р71</definedName>
    <definedName name="р71_10" localSheetId="6">'Прил. 1 План ФХД стоки табл 2'!р71</definedName>
    <definedName name="р71_10" localSheetId="5">'Прил. 1 План ФХД табл 1'!р71</definedName>
    <definedName name="р71_10" localSheetId="8">'Расчет товарной выручки'!р71</definedName>
    <definedName name="р71_10" localSheetId="1">'Текущий ремонт'!р71</definedName>
    <definedName name="р71_10" localSheetId="11">'ФАКТ. СЕБЕСТ ВОДА 9 мес. 2019'!р71</definedName>
    <definedName name="р71_10" localSheetId="9">'ФАКТ. СЕБЕСТ. СТОКИ 9 мес. 2019'!р71</definedName>
    <definedName name="р71_10" localSheetId="4">'Чистая прибыль'!р71</definedName>
    <definedName name="р71_10" localSheetId="2">'Чистая прибыль с транспортир.'!р71</definedName>
    <definedName name="р71_10">[0]!р71</definedName>
    <definedName name="р71_14" localSheetId="45">'ЗП с факт 3 кв. 2015'!р71</definedName>
    <definedName name="р71_14" localSheetId="12">'ПОЛНАЯ СЕБЕСТОИМОСТЬ ВОДА 2019'!р71</definedName>
    <definedName name="р71_14" localSheetId="10">'ПОЛНАЯ СЕБЕСТОИМОСТЬ СТОКИ 2019'!р71</definedName>
    <definedName name="р71_14" localSheetId="7">'Прил. 1 План ФХД вода табл. 2'!р71</definedName>
    <definedName name="р71_14" localSheetId="3">'Прил. 1 План ФХД с транспортир.'!р71</definedName>
    <definedName name="р71_14" localSheetId="6">'Прил. 1 План ФХД стоки табл 2'!р71</definedName>
    <definedName name="р71_14" localSheetId="5">'Прил. 1 План ФХД табл 1'!р71</definedName>
    <definedName name="р71_14" localSheetId="8">'Расчет товарной выручки'!р71</definedName>
    <definedName name="р71_14" localSheetId="1">'Текущий ремонт'!р71</definedName>
    <definedName name="р71_14" localSheetId="11">'ФАКТ. СЕБЕСТ ВОДА 9 мес. 2019'!р71</definedName>
    <definedName name="р71_14" localSheetId="9">'ФАКТ. СЕБЕСТ. СТОКИ 9 мес. 2019'!р71</definedName>
    <definedName name="р71_14" localSheetId="4">'Чистая прибыль'!р71</definedName>
    <definedName name="р71_14" localSheetId="2">'Чистая прибыль с транспортир.'!р71</definedName>
    <definedName name="р71_14">[0]!р71</definedName>
    <definedName name="р71_15" localSheetId="45">'ЗП с факт 3 кв. 2015'!р71</definedName>
    <definedName name="р71_15" localSheetId="12">'ПОЛНАЯ СЕБЕСТОИМОСТЬ ВОДА 2019'!р71</definedName>
    <definedName name="р71_15" localSheetId="10">'ПОЛНАЯ СЕБЕСТОИМОСТЬ СТОКИ 2019'!р71</definedName>
    <definedName name="р71_15" localSheetId="7">'Прил. 1 План ФХД вода табл. 2'!р71</definedName>
    <definedName name="р71_15" localSheetId="3">'Прил. 1 План ФХД с транспортир.'!р71</definedName>
    <definedName name="р71_15" localSheetId="6">'Прил. 1 План ФХД стоки табл 2'!р71</definedName>
    <definedName name="р71_15" localSheetId="5">'Прил. 1 План ФХД табл 1'!р71</definedName>
    <definedName name="р71_15" localSheetId="8">'Расчет товарной выручки'!р71</definedName>
    <definedName name="р71_15" localSheetId="1">'Текущий ремонт'!р71</definedName>
    <definedName name="р71_15" localSheetId="11">'ФАКТ. СЕБЕСТ ВОДА 9 мес. 2019'!р71</definedName>
    <definedName name="р71_15" localSheetId="9">'ФАКТ. СЕБЕСТ. СТОКИ 9 мес. 2019'!р71</definedName>
    <definedName name="р71_15" localSheetId="4">'Чистая прибыль'!р71</definedName>
    <definedName name="р71_15" localSheetId="2">'Чистая прибыль с транспортир.'!р71</definedName>
    <definedName name="р71_15">[0]!р71</definedName>
    <definedName name="р71_16" localSheetId="45">'ЗП с факт 3 кв. 2015'!р71</definedName>
    <definedName name="р71_16" localSheetId="12">'ПОЛНАЯ СЕБЕСТОИМОСТЬ ВОДА 2019'!р71</definedName>
    <definedName name="р71_16" localSheetId="10">'ПОЛНАЯ СЕБЕСТОИМОСТЬ СТОКИ 2019'!р71</definedName>
    <definedName name="р71_16" localSheetId="7">'Прил. 1 План ФХД вода табл. 2'!р71</definedName>
    <definedName name="р71_16" localSheetId="3">'Прил. 1 План ФХД с транспортир.'!р71</definedName>
    <definedName name="р71_16" localSheetId="6">'Прил. 1 План ФХД стоки табл 2'!р71</definedName>
    <definedName name="р71_16" localSheetId="5">'Прил. 1 План ФХД табл 1'!р71</definedName>
    <definedName name="р71_16" localSheetId="8">'Расчет товарной выручки'!р71</definedName>
    <definedName name="р71_16" localSheetId="1">'Текущий ремонт'!р71</definedName>
    <definedName name="р71_16" localSheetId="11">'ФАКТ. СЕБЕСТ ВОДА 9 мес. 2019'!р71</definedName>
    <definedName name="р71_16" localSheetId="9">'ФАКТ. СЕБЕСТ. СТОКИ 9 мес. 2019'!р71</definedName>
    <definedName name="р71_16" localSheetId="4">'Чистая прибыль'!р71</definedName>
    <definedName name="р71_16" localSheetId="2">'Чистая прибыль с транспортир.'!р71</definedName>
    <definedName name="р71_16">[0]!р71</definedName>
    <definedName name="р71_2" localSheetId="45">'ЗП с факт 3 кв. 2015'!р71</definedName>
    <definedName name="р71_2" localSheetId="12">'ПОЛНАЯ СЕБЕСТОИМОСТЬ ВОДА 2019'!р71</definedName>
    <definedName name="р71_2" localSheetId="10">'ПОЛНАЯ СЕБЕСТОИМОСТЬ СТОКИ 2019'!р71</definedName>
    <definedName name="р71_2" localSheetId="7">'Прил. 1 План ФХД вода табл. 2'!р71</definedName>
    <definedName name="р71_2" localSheetId="3">'Прил. 1 План ФХД с транспортир.'!р71</definedName>
    <definedName name="р71_2" localSheetId="6">'Прил. 1 План ФХД стоки табл 2'!р71</definedName>
    <definedName name="р71_2" localSheetId="5">'Прил. 1 План ФХД табл 1'!р71</definedName>
    <definedName name="р71_2" localSheetId="8">'Расчет товарной выручки'!р71</definedName>
    <definedName name="р71_2" localSheetId="1">'Текущий ремонт'!р71</definedName>
    <definedName name="р71_2" localSheetId="11">'ФАКТ. СЕБЕСТ ВОДА 9 мес. 2019'!р71</definedName>
    <definedName name="р71_2" localSheetId="9">'ФАКТ. СЕБЕСТ. СТОКИ 9 мес. 2019'!р71</definedName>
    <definedName name="р71_2" localSheetId="4">'Чистая прибыль'!р71</definedName>
    <definedName name="р71_2" localSheetId="2">'Чистая прибыль с транспортир.'!р71</definedName>
    <definedName name="р71_2">[0]!р71</definedName>
    <definedName name="ра71" localSheetId="45">'ЗП с факт 3 кв. 2015'!ра71</definedName>
    <definedName name="ра71" localSheetId="12">#N/A</definedName>
    <definedName name="ра71" localSheetId="10">#N/A</definedName>
    <definedName name="ра71" localSheetId="7">#N/A</definedName>
    <definedName name="ра71" localSheetId="3">#N/A</definedName>
    <definedName name="ра71" localSheetId="6">#N/A</definedName>
    <definedName name="ра71" localSheetId="5">#N/A</definedName>
    <definedName name="ра71" localSheetId="8">#N/A</definedName>
    <definedName name="ра71" localSheetId="1">#N/A</definedName>
    <definedName name="ра71" localSheetId="11">#N/A</definedName>
    <definedName name="ра71" localSheetId="9">#N/A</definedName>
    <definedName name="ра71" localSheetId="4">#N/A</definedName>
    <definedName name="ра71" localSheetId="2">#N/A</definedName>
    <definedName name="ра71">ра71</definedName>
    <definedName name="ра71_10" localSheetId="45">'ЗП с факт 3 кв. 2015'!ра71</definedName>
    <definedName name="ра71_10" localSheetId="12">'ПОЛНАЯ СЕБЕСТОИМОСТЬ ВОДА 2019'!ра71</definedName>
    <definedName name="ра71_10" localSheetId="10">'ПОЛНАЯ СЕБЕСТОИМОСТЬ СТОКИ 2019'!ра71</definedName>
    <definedName name="ра71_10" localSheetId="7">'Прил. 1 План ФХД вода табл. 2'!ра71</definedName>
    <definedName name="ра71_10" localSheetId="3">'Прил. 1 План ФХД с транспортир.'!ра71</definedName>
    <definedName name="ра71_10" localSheetId="6">'Прил. 1 План ФХД стоки табл 2'!ра71</definedName>
    <definedName name="ра71_10" localSheetId="5">'Прил. 1 План ФХД табл 1'!ра71</definedName>
    <definedName name="ра71_10" localSheetId="8">'Расчет товарной выручки'!ра71</definedName>
    <definedName name="ра71_10" localSheetId="1">'Текущий ремонт'!ра71</definedName>
    <definedName name="ра71_10" localSheetId="11">'ФАКТ. СЕБЕСТ ВОДА 9 мес. 2019'!ра71</definedName>
    <definedName name="ра71_10" localSheetId="9">'ФАКТ. СЕБЕСТ. СТОКИ 9 мес. 2019'!ра71</definedName>
    <definedName name="ра71_10" localSheetId="4">'Чистая прибыль'!ра71</definedName>
    <definedName name="ра71_10" localSheetId="2">'Чистая прибыль с транспортир.'!ра71</definedName>
    <definedName name="ра71_10">[0]!ра71</definedName>
    <definedName name="ра71_14" localSheetId="45">'ЗП с факт 3 кв. 2015'!ра71</definedName>
    <definedName name="ра71_14" localSheetId="12">'ПОЛНАЯ СЕБЕСТОИМОСТЬ ВОДА 2019'!ра71</definedName>
    <definedName name="ра71_14" localSheetId="10">'ПОЛНАЯ СЕБЕСТОИМОСТЬ СТОКИ 2019'!ра71</definedName>
    <definedName name="ра71_14" localSheetId="7">'Прил. 1 План ФХД вода табл. 2'!ра71</definedName>
    <definedName name="ра71_14" localSheetId="3">'Прил. 1 План ФХД с транспортир.'!ра71</definedName>
    <definedName name="ра71_14" localSheetId="6">'Прил. 1 План ФХД стоки табл 2'!ра71</definedName>
    <definedName name="ра71_14" localSheetId="5">'Прил. 1 План ФХД табл 1'!ра71</definedName>
    <definedName name="ра71_14" localSheetId="8">'Расчет товарной выручки'!ра71</definedName>
    <definedName name="ра71_14" localSheetId="1">'Текущий ремонт'!ра71</definedName>
    <definedName name="ра71_14" localSheetId="11">'ФАКТ. СЕБЕСТ ВОДА 9 мес. 2019'!ра71</definedName>
    <definedName name="ра71_14" localSheetId="9">'ФАКТ. СЕБЕСТ. СТОКИ 9 мес. 2019'!ра71</definedName>
    <definedName name="ра71_14" localSheetId="4">'Чистая прибыль'!ра71</definedName>
    <definedName name="ра71_14" localSheetId="2">'Чистая прибыль с транспортир.'!ра71</definedName>
    <definedName name="ра71_14">[0]!ра71</definedName>
    <definedName name="ра71_15" localSheetId="45">'ЗП с факт 3 кв. 2015'!ра71</definedName>
    <definedName name="ра71_15" localSheetId="12">'ПОЛНАЯ СЕБЕСТОИМОСТЬ ВОДА 2019'!ра71</definedName>
    <definedName name="ра71_15" localSheetId="10">'ПОЛНАЯ СЕБЕСТОИМОСТЬ СТОКИ 2019'!ра71</definedName>
    <definedName name="ра71_15" localSheetId="7">'Прил. 1 План ФХД вода табл. 2'!ра71</definedName>
    <definedName name="ра71_15" localSheetId="3">'Прил. 1 План ФХД с транспортир.'!ра71</definedName>
    <definedName name="ра71_15" localSheetId="6">'Прил. 1 План ФХД стоки табл 2'!ра71</definedName>
    <definedName name="ра71_15" localSheetId="5">'Прил. 1 План ФХД табл 1'!ра71</definedName>
    <definedName name="ра71_15" localSheetId="8">'Расчет товарной выручки'!ра71</definedName>
    <definedName name="ра71_15" localSheetId="1">'Текущий ремонт'!ра71</definedName>
    <definedName name="ра71_15" localSheetId="11">'ФАКТ. СЕБЕСТ ВОДА 9 мес. 2019'!ра71</definedName>
    <definedName name="ра71_15" localSheetId="9">'ФАКТ. СЕБЕСТ. СТОКИ 9 мес. 2019'!ра71</definedName>
    <definedName name="ра71_15" localSheetId="4">'Чистая прибыль'!ра71</definedName>
    <definedName name="ра71_15" localSheetId="2">'Чистая прибыль с транспортир.'!ра71</definedName>
    <definedName name="ра71_15">[0]!ра71</definedName>
    <definedName name="ра71_16" localSheetId="45">'ЗП с факт 3 кв. 2015'!ра71</definedName>
    <definedName name="ра71_16" localSheetId="12">'ПОЛНАЯ СЕБЕСТОИМОСТЬ ВОДА 2019'!ра71</definedName>
    <definedName name="ра71_16" localSheetId="10">'ПОЛНАЯ СЕБЕСТОИМОСТЬ СТОКИ 2019'!ра71</definedName>
    <definedName name="ра71_16" localSheetId="7">'Прил. 1 План ФХД вода табл. 2'!ра71</definedName>
    <definedName name="ра71_16" localSheetId="3">'Прил. 1 План ФХД с транспортир.'!ра71</definedName>
    <definedName name="ра71_16" localSheetId="6">'Прил. 1 План ФХД стоки табл 2'!ра71</definedName>
    <definedName name="ра71_16" localSheetId="5">'Прил. 1 План ФХД табл 1'!ра71</definedName>
    <definedName name="ра71_16" localSheetId="8">'Расчет товарной выручки'!ра71</definedName>
    <definedName name="ра71_16" localSheetId="1">'Текущий ремонт'!ра71</definedName>
    <definedName name="ра71_16" localSheetId="11">'ФАКТ. СЕБЕСТ ВОДА 9 мес. 2019'!ра71</definedName>
    <definedName name="ра71_16" localSheetId="9">'ФАКТ. СЕБЕСТ. СТОКИ 9 мес. 2019'!ра71</definedName>
    <definedName name="ра71_16" localSheetId="4">'Чистая прибыль'!ра71</definedName>
    <definedName name="ра71_16" localSheetId="2">'Чистая прибыль с транспортир.'!ра71</definedName>
    <definedName name="ра71_16">[0]!ра71</definedName>
    <definedName name="ра71_2" localSheetId="45">'ЗП с факт 3 кв. 2015'!ра71</definedName>
    <definedName name="ра71_2" localSheetId="12">'ПОЛНАЯ СЕБЕСТОИМОСТЬ ВОДА 2019'!ра71</definedName>
    <definedName name="ра71_2" localSheetId="10">'ПОЛНАЯ СЕБЕСТОИМОСТЬ СТОКИ 2019'!ра71</definedName>
    <definedName name="ра71_2" localSheetId="7">'Прил. 1 План ФХД вода табл. 2'!ра71</definedName>
    <definedName name="ра71_2" localSheetId="3">'Прил. 1 План ФХД с транспортир.'!ра71</definedName>
    <definedName name="ра71_2" localSheetId="6">'Прил. 1 План ФХД стоки табл 2'!ра71</definedName>
    <definedName name="ра71_2" localSheetId="5">'Прил. 1 План ФХД табл 1'!ра71</definedName>
    <definedName name="ра71_2" localSheetId="8">'Расчет товарной выручки'!ра71</definedName>
    <definedName name="ра71_2" localSheetId="1">'Текущий ремонт'!ра71</definedName>
    <definedName name="ра71_2" localSheetId="11">'ФАКТ. СЕБЕСТ ВОДА 9 мес. 2019'!ра71</definedName>
    <definedName name="ра71_2" localSheetId="9">'ФАКТ. СЕБЕСТ. СТОКИ 9 мес. 2019'!ра71</definedName>
    <definedName name="ра71_2" localSheetId="4">'Чистая прибыль'!ра71</definedName>
    <definedName name="ра71_2" localSheetId="2">'Чистая прибыль с транспортир.'!ра71</definedName>
    <definedName name="ра71_2">[0]!ра71</definedName>
    <definedName name="РТВ" localSheetId="12">[11]Нормат!$J$12</definedName>
    <definedName name="РТВ" localSheetId="10">[11]Нормат!$J$12</definedName>
    <definedName name="РТВ" localSheetId="7">[11]Нормат!$J$12</definedName>
    <definedName name="РТВ" localSheetId="3">[11]Нормат!$J$12</definedName>
    <definedName name="РТВ" localSheetId="6">[11]Нормат!$J$12</definedName>
    <definedName name="РТВ" localSheetId="5">[11]Нормат!$J$12</definedName>
    <definedName name="РТВ" localSheetId="8">[11]Нормат!$J$12</definedName>
    <definedName name="РТВ" localSheetId="1">[11]Нормат!$J$12</definedName>
    <definedName name="РТВ" localSheetId="11">[11]Нормат!$J$12</definedName>
    <definedName name="РТВ" localSheetId="9">[11]Нормат!$J$12</definedName>
    <definedName name="РТВ" localSheetId="4">[11]Нормат!$J$12</definedName>
    <definedName name="РТВ" localSheetId="2">[11]Нормат!$J$12</definedName>
    <definedName name="РТВ">[11]Нормат!$J$12</definedName>
    <definedName name="РТВ_10">[8]Нормат!$J$12</definedName>
    <definedName name="РТВ_12">[12]Нормат!$J$12</definedName>
    <definedName name="РТВ_13">[12]Нормат!$J$12</definedName>
    <definedName name="РТВ_14">[8]Нормат!$J$12</definedName>
    <definedName name="РТВ_15">[8]Нормат!$J$12</definedName>
    <definedName name="РТВ_16">[8]Нормат!$J$12</definedName>
    <definedName name="РТВ_2">[8]Нормат!$J$12</definedName>
    <definedName name="РТВ_201" localSheetId="12">[11]Нормат!$J$23</definedName>
    <definedName name="РТВ_201" localSheetId="10">[11]Нормат!$J$23</definedName>
    <definedName name="РТВ_201" localSheetId="7">[11]Нормат!$J$23</definedName>
    <definedName name="РТВ_201" localSheetId="3">[11]Нормат!$J$23</definedName>
    <definedName name="РТВ_201" localSheetId="6">[11]Нормат!$J$23</definedName>
    <definedName name="РТВ_201" localSheetId="5">[11]Нормат!$J$23</definedName>
    <definedName name="РТВ_201" localSheetId="8">[11]Нормат!$J$23</definedName>
    <definedName name="РТВ_201" localSheetId="1">[11]Нормат!$J$23</definedName>
    <definedName name="РТВ_201" localSheetId="11">[11]Нормат!$J$23</definedName>
    <definedName name="РТВ_201" localSheetId="9">[11]Нормат!$J$23</definedName>
    <definedName name="РТВ_201" localSheetId="4">[11]Нормат!$J$23</definedName>
    <definedName name="РТВ_201" localSheetId="2">[11]Нормат!$J$23</definedName>
    <definedName name="РТВ_201">[11]Нормат!$J$23</definedName>
    <definedName name="РТВ_201_10">[8]Нормат!$J$23</definedName>
    <definedName name="РТВ_201_12">[12]Нормат!$J$23</definedName>
    <definedName name="РТВ_201_13">[12]Нормат!$J$23</definedName>
    <definedName name="РТВ_201_14">[8]Нормат!$J$23</definedName>
    <definedName name="РТВ_201_15">[8]Нормат!$J$23</definedName>
    <definedName name="РТВ_201_16">[8]Нормат!$J$23</definedName>
    <definedName name="РТВ_201_2">[8]Нормат!$J$23</definedName>
    <definedName name="РТВ_201_24" localSheetId="12">[13]Нормат!$J$23</definedName>
    <definedName name="РТВ_201_24" localSheetId="10">[13]Нормат!$J$23</definedName>
    <definedName name="РТВ_201_24" localSheetId="7">[13]Нормат!$J$23</definedName>
    <definedName name="РТВ_201_24" localSheetId="3">[13]Нормат!$J$23</definedName>
    <definedName name="РТВ_201_24" localSheetId="6">[13]Нормат!$J$23</definedName>
    <definedName name="РТВ_201_24" localSheetId="5">[13]Нормат!$J$23</definedName>
    <definedName name="РТВ_201_24" localSheetId="8">[13]Нормат!$J$23</definedName>
    <definedName name="РТВ_201_24" localSheetId="1">[13]Нормат!$J$23</definedName>
    <definedName name="РТВ_201_24" localSheetId="11">[13]Нормат!$J$23</definedName>
    <definedName name="РТВ_201_24" localSheetId="9">[13]Нормат!$J$23</definedName>
    <definedName name="РТВ_201_24" localSheetId="4">[13]Нормат!$J$23</definedName>
    <definedName name="РТВ_201_24" localSheetId="2">[13]Нормат!$J$23</definedName>
    <definedName name="РТВ_201_24">[13]Нормат!$J$23</definedName>
    <definedName name="РТВ_201_25" localSheetId="12">[14]Нормат!$J$23</definedName>
    <definedName name="РТВ_201_25" localSheetId="10">[14]Нормат!$J$23</definedName>
    <definedName name="РТВ_201_25" localSheetId="7">[14]Нормат!$J$23</definedName>
    <definedName name="РТВ_201_25" localSheetId="3">[14]Нормат!$J$23</definedName>
    <definedName name="РТВ_201_25" localSheetId="6">[14]Нормат!$J$23</definedName>
    <definedName name="РТВ_201_25" localSheetId="5">[14]Нормат!$J$23</definedName>
    <definedName name="РТВ_201_25" localSheetId="8">[14]Нормат!$J$23</definedName>
    <definedName name="РТВ_201_25" localSheetId="1">[14]Нормат!$J$23</definedName>
    <definedName name="РТВ_201_25" localSheetId="11">[14]Нормат!$J$23</definedName>
    <definedName name="РТВ_201_25" localSheetId="9">[14]Нормат!$J$23</definedName>
    <definedName name="РТВ_201_25" localSheetId="4">[14]Нормат!$J$23</definedName>
    <definedName name="РТВ_201_25" localSheetId="2">[14]Нормат!$J$23</definedName>
    <definedName name="РТВ_201_25">[14]Нормат!$J$23</definedName>
    <definedName name="РТВ_201_3" localSheetId="12">[15]Нормат!$J$23</definedName>
    <definedName name="РТВ_201_3" localSheetId="10">[15]Нормат!$J$23</definedName>
    <definedName name="РТВ_201_3" localSheetId="7">[15]Нормат!$J$23</definedName>
    <definedName name="РТВ_201_3" localSheetId="3">[15]Нормат!$J$23</definedName>
    <definedName name="РТВ_201_3" localSheetId="6">[15]Нормат!$J$23</definedName>
    <definedName name="РТВ_201_3" localSheetId="5">[15]Нормат!$J$23</definedName>
    <definedName name="РТВ_201_3" localSheetId="8">[15]Нормат!$J$23</definedName>
    <definedName name="РТВ_201_3" localSheetId="1">[15]Нормат!$J$23</definedName>
    <definedName name="РТВ_201_3" localSheetId="11">[15]Нормат!$J$23</definedName>
    <definedName name="РТВ_201_3" localSheetId="9">[15]Нормат!$J$23</definedName>
    <definedName name="РТВ_201_3" localSheetId="4">[15]Нормат!$J$23</definedName>
    <definedName name="РТВ_201_3" localSheetId="2">[15]Нормат!$J$23</definedName>
    <definedName name="РТВ_201_3">[15]Нормат!$J$23</definedName>
    <definedName name="РТВ_201_4">[10]Нормат!$J$23</definedName>
    <definedName name="РТВ_201_5">[9]Нормат!$J$23</definedName>
    <definedName name="РТВ_201_59" localSheetId="12">[16]Нормат!$J$23</definedName>
    <definedName name="РТВ_201_59" localSheetId="10">[16]Нормат!$J$23</definedName>
    <definedName name="РТВ_201_59" localSheetId="7">[16]Нормат!$J$23</definedName>
    <definedName name="РТВ_201_59" localSheetId="3">[16]Нормат!$J$23</definedName>
    <definedName name="РТВ_201_59" localSheetId="6">[16]Нормат!$J$23</definedName>
    <definedName name="РТВ_201_59" localSheetId="5">[16]Нормат!$J$23</definedName>
    <definedName name="РТВ_201_59" localSheetId="8">[16]Нормат!$J$23</definedName>
    <definedName name="РТВ_201_59" localSheetId="1">[16]Нормат!$J$23</definedName>
    <definedName name="РТВ_201_59" localSheetId="11">[16]Нормат!$J$23</definedName>
    <definedName name="РТВ_201_59" localSheetId="9">[16]Нормат!$J$23</definedName>
    <definedName name="РТВ_201_59" localSheetId="4">[16]Нормат!$J$23</definedName>
    <definedName name="РТВ_201_59" localSheetId="2">[16]Нормат!$J$23</definedName>
    <definedName name="РТВ_201_59">[16]Нормат!$J$23</definedName>
    <definedName name="РТВ_201_59_10">[17]Нормат!$J$23</definedName>
    <definedName name="РТВ_201_59_14">[17]Нормат!$J$23</definedName>
    <definedName name="РТВ_201_59_15">[17]Нормат!$J$23</definedName>
    <definedName name="РТВ_201_59_16">[17]Нормат!$J$23</definedName>
    <definedName name="РТВ_201_59_2">[17]Нормат!$J$23</definedName>
    <definedName name="РТВ_201_6" localSheetId="12">[18]Нормат!$J$23</definedName>
    <definedName name="РТВ_201_6" localSheetId="10">[18]Нормат!$J$23</definedName>
    <definedName name="РТВ_201_6" localSheetId="7">[18]Нормат!$J$23</definedName>
    <definedName name="РТВ_201_6" localSheetId="3">[18]Нормат!$J$23</definedName>
    <definedName name="РТВ_201_6" localSheetId="6">[18]Нормат!$J$23</definedName>
    <definedName name="РТВ_201_6" localSheetId="5">[18]Нормат!$J$23</definedName>
    <definedName name="РТВ_201_6" localSheetId="8">[18]Нормат!$J$23</definedName>
    <definedName name="РТВ_201_6" localSheetId="1">[18]Нормат!$J$23</definedName>
    <definedName name="РТВ_201_6" localSheetId="11">[18]Нормат!$J$23</definedName>
    <definedName name="РТВ_201_6" localSheetId="9">[18]Нормат!$J$23</definedName>
    <definedName name="РТВ_201_6" localSheetId="4">[18]Нормат!$J$23</definedName>
    <definedName name="РТВ_201_6" localSheetId="2">[18]Нормат!$J$23</definedName>
    <definedName name="РТВ_201_6">[18]Нормат!$J$23</definedName>
    <definedName name="РТВ_201_60" localSheetId="12">[16]Нормат!$J$23</definedName>
    <definedName name="РТВ_201_60" localSheetId="10">[16]Нормат!$J$23</definedName>
    <definedName name="РТВ_201_60" localSheetId="7">[16]Нормат!$J$23</definedName>
    <definedName name="РТВ_201_60" localSheetId="3">[16]Нормат!$J$23</definedName>
    <definedName name="РТВ_201_60" localSheetId="6">[16]Нормат!$J$23</definedName>
    <definedName name="РТВ_201_60" localSheetId="5">[16]Нормат!$J$23</definedName>
    <definedName name="РТВ_201_60" localSheetId="8">[16]Нормат!$J$23</definedName>
    <definedName name="РТВ_201_60" localSheetId="1">[16]Нормат!$J$23</definedName>
    <definedName name="РТВ_201_60" localSheetId="11">[16]Нормат!$J$23</definedName>
    <definedName name="РТВ_201_60" localSheetId="9">[16]Нормат!$J$23</definedName>
    <definedName name="РТВ_201_60" localSheetId="4">[16]Нормат!$J$23</definedName>
    <definedName name="РТВ_201_60" localSheetId="2">[16]Нормат!$J$23</definedName>
    <definedName name="РТВ_201_60">[16]Нормат!$J$23</definedName>
    <definedName name="РТВ_201_60_10">[17]Нормат!$J$23</definedName>
    <definedName name="РТВ_201_60_14">[17]Нормат!$J$23</definedName>
    <definedName name="РТВ_201_60_15">[17]Нормат!$J$23</definedName>
    <definedName name="РТВ_201_60_16">[17]Нормат!$J$23</definedName>
    <definedName name="РТВ_201_60_2">[17]Нормат!$J$23</definedName>
    <definedName name="РТВ_201_7">[9]Нормат!$J$23</definedName>
    <definedName name="РТВ_201_72" localSheetId="12">[11]Нормат!$J$23</definedName>
    <definedName name="РТВ_201_72" localSheetId="10">[11]Нормат!$J$23</definedName>
    <definedName name="РТВ_201_72" localSheetId="7">[11]Нормат!$J$23</definedName>
    <definedName name="РТВ_201_72" localSheetId="3">[11]Нормат!$J$23</definedName>
    <definedName name="РТВ_201_72" localSheetId="6">[11]Нормат!$J$23</definedName>
    <definedName name="РТВ_201_72" localSheetId="5">[11]Нормат!$J$23</definedName>
    <definedName name="РТВ_201_72" localSheetId="8">[11]Нормат!$J$23</definedName>
    <definedName name="РТВ_201_72" localSheetId="1">[11]Нормат!$J$23</definedName>
    <definedName name="РТВ_201_72" localSheetId="11">[11]Нормат!$J$23</definedName>
    <definedName name="РТВ_201_72" localSheetId="9">[11]Нормат!$J$23</definedName>
    <definedName name="РТВ_201_72" localSheetId="4">[11]Нормат!$J$23</definedName>
    <definedName name="РТВ_201_72" localSheetId="2">[11]Нормат!$J$23</definedName>
    <definedName name="РТВ_201_72">[11]Нормат!$J$23</definedName>
    <definedName name="РТВ_201_72_10">[8]Нормат!$J$23</definedName>
    <definedName name="РТВ_201_72_14">[8]Нормат!$J$23</definedName>
    <definedName name="РТВ_201_72_15">[8]Нормат!$J$23</definedName>
    <definedName name="РТВ_201_72_16">[8]Нормат!$J$23</definedName>
    <definedName name="РТВ_201_72_2">[8]Нормат!$J$23</definedName>
    <definedName name="РТВ_201_8">[9]Нормат!$J$23</definedName>
    <definedName name="РТВ_201_9">[9]Нормат!$J$23</definedName>
    <definedName name="РТВ_24" localSheetId="12">[13]Нормат!$J$12</definedName>
    <definedName name="РТВ_24" localSheetId="10">[13]Нормат!$J$12</definedName>
    <definedName name="РТВ_24" localSheetId="7">[13]Нормат!$J$12</definedName>
    <definedName name="РТВ_24" localSheetId="3">[13]Нормат!$J$12</definedName>
    <definedName name="РТВ_24" localSheetId="6">[13]Нормат!$J$12</definedName>
    <definedName name="РТВ_24" localSheetId="5">[13]Нормат!$J$12</definedName>
    <definedName name="РТВ_24" localSheetId="8">[13]Нормат!$J$12</definedName>
    <definedName name="РТВ_24" localSheetId="1">[13]Нормат!$J$12</definedName>
    <definedName name="РТВ_24" localSheetId="11">[13]Нормат!$J$12</definedName>
    <definedName name="РТВ_24" localSheetId="9">[13]Нормат!$J$12</definedName>
    <definedName name="РТВ_24" localSheetId="4">[13]Нормат!$J$12</definedName>
    <definedName name="РТВ_24" localSheetId="2">[13]Нормат!$J$12</definedName>
    <definedName name="РТВ_24">[13]Нормат!$J$12</definedName>
    <definedName name="РТВ_25" localSheetId="12">[14]Нормат!$J$12</definedName>
    <definedName name="РТВ_25" localSheetId="10">[14]Нормат!$J$12</definedName>
    <definedName name="РТВ_25" localSheetId="7">[14]Нормат!$J$12</definedName>
    <definedName name="РТВ_25" localSheetId="3">[14]Нормат!$J$12</definedName>
    <definedName name="РТВ_25" localSheetId="6">[14]Нормат!$J$12</definedName>
    <definedName name="РТВ_25" localSheetId="5">[14]Нормат!$J$12</definedName>
    <definedName name="РТВ_25" localSheetId="8">[14]Нормат!$J$12</definedName>
    <definedName name="РТВ_25" localSheetId="1">[14]Нормат!$J$12</definedName>
    <definedName name="РТВ_25" localSheetId="11">[14]Нормат!$J$12</definedName>
    <definedName name="РТВ_25" localSheetId="9">[14]Нормат!$J$12</definedName>
    <definedName name="РТВ_25" localSheetId="4">[14]Нормат!$J$12</definedName>
    <definedName name="РТВ_25" localSheetId="2">[14]Нормат!$J$12</definedName>
    <definedName name="РТВ_25">[14]Нормат!$J$12</definedName>
    <definedName name="РТВ_3" localSheetId="12">[15]Нормат!$J$12</definedName>
    <definedName name="РТВ_3" localSheetId="10">[15]Нормат!$J$12</definedName>
    <definedName name="РТВ_3" localSheetId="7">[15]Нормат!$J$12</definedName>
    <definedName name="РТВ_3" localSheetId="3">[15]Нормат!$J$12</definedName>
    <definedName name="РТВ_3" localSheetId="6">[15]Нормат!$J$12</definedName>
    <definedName name="РТВ_3" localSheetId="5">[15]Нормат!$J$12</definedName>
    <definedName name="РТВ_3" localSheetId="8">[15]Нормат!$J$12</definedName>
    <definedName name="РТВ_3" localSheetId="1">[15]Нормат!$J$12</definedName>
    <definedName name="РТВ_3" localSheetId="11">[15]Нормат!$J$12</definedName>
    <definedName name="РТВ_3" localSheetId="9">[15]Нормат!$J$12</definedName>
    <definedName name="РТВ_3" localSheetId="4">[15]Нормат!$J$12</definedName>
    <definedName name="РТВ_3" localSheetId="2">[15]Нормат!$J$12</definedName>
    <definedName name="РТВ_3">[15]Нормат!$J$12</definedName>
    <definedName name="РТВ_4">[10]Нормат!$J$12</definedName>
    <definedName name="РТВ_5">[9]Нормат!$J$12</definedName>
    <definedName name="РТВ_59" localSheetId="12">[16]Нормат!$J$12</definedName>
    <definedName name="РТВ_59" localSheetId="10">[16]Нормат!$J$12</definedName>
    <definedName name="РТВ_59" localSheetId="7">[16]Нормат!$J$12</definedName>
    <definedName name="РТВ_59" localSheetId="3">[16]Нормат!$J$12</definedName>
    <definedName name="РТВ_59" localSheetId="6">[16]Нормат!$J$12</definedName>
    <definedName name="РТВ_59" localSheetId="5">[16]Нормат!$J$12</definedName>
    <definedName name="РТВ_59" localSheetId="8">[16]Нормат!$J$12</definedName>
    <definedName name="РТВ_59" localSheetId="1">[16]Нормат!$J$12</definedName>
    <definedName name="РТВ_59" localSheetId="11">[16]Нормат!$J$12</definedName>
    <definedName name="РТВ_59" localSheetId="9">[16]Нормат!$J$12</definedName>
    <definedName name="РТВ_59" localSheetId="4">[16]Нормат!$J$12</definedName>
    <definedName name="РТВ_59" localSheetId="2">[16]Нормат!$J$12</definedName>
    <definedName name="РТВ_59">[16]Нормат!$J$12</definedName>
    <definedName name="РТВ_59_10">[17]Нормат!$J$12</definedName>
    <definedName name="РТВ_59_14">[17]Нормат!$J$12</definedName>
    <definedName name="РТВ_59_15">[17]Нормат!$J$12</definedName>
    <definedName name="РТВ_59_16">[17]Нормат!$J$12</definedName>
    <definedName name="РТВ_59_2">[17]Нормат!$J$12</definedName>
    <definedName name="РТВ_6" localSheetId="12">[18]Нормат!$J$12</definedName>
    <definedName name="РТВ_6" localSheetId="10">[18]Нормат!$J$12</definedName>
    <definedName name="РТВ_6" localSheetId="7">[18]Нормат!$J$12</definedName>
    <definedName name="РТВ_6" localSheetId="3">[18]Нормат!$J$12</definedName>
    <definedName name="РТВ_6" localSheetId="6">[18]Нормат!$J$12</definedName>
    <definedName name="РТВ_6" localSheetId="5">[18]Нормат!$J$12</definedName>
    <definedName name="РТВ_6" localSheetId="8">[18]Нормат!$J$12</definedName>
    <definedName name="РТВ_6" localSheetId="1">[18]Нормат!$J$12</definedName>
    <definedName name="РТВ_6" localSheetId="11">[18]Нормат!$J$12</definedName>
    <definedName name="РТВ_6" localSheetId="9">[18]Нормат!$J$12</definedName>
    <definedName name="РТВ_6" localSheetId="4">[18]Нормат!$J$12</definedName>
    <definedName name="РТВ_6" localSheetId="2">[18]Нормат!$J$12</definedName>
    <definedName name="РТВ_6">[18]Нормат!$J$12</definedName>
    <definedName name="РТВ_60" localSheetId="12">[16]Нормат!$J$12</definedName>
    <definedName name="РТВ_60" localSheetId="10">[16]Нормат!$J$12</definedName>
    <definedName name="РТВ_60" localSheetId="7">[16]Нормат!$J$12</definedName>
    <definedName name="РТВ_60" localSheetId="3">[16]Нормат!$J$12</definedName>
    <definedName name="РТВ_60" localSheetId="6">[16]Нормат!$J$12</definedName>
    <definedName name="РТВ_60" localSheetId="5">[16]Нормат!$J$12</definedName>
    <definedName name="РТВ_60" localSheetId="8">[16]Нормат!$J$12</definedName>
    <definedName name="РТВ_60" localSheetId="1">[16]Нормат!$J$12</definedName>
    <definedName name="РТВ_60" localSheetId="11">[16]Нормат!$J$12</definedName>
    <definedName name="РТВ_60" localSheetId="9">[16]Нормат!$J$12</definedName>
    <definedName name="РТВ_60" localSheetId="4">[16]Нормат!$J$12</definedName>
    <definedName name="РТВ_60" localSheetId="2">[16]Нормат!$J$12</definedName>
    <definedName name="РТВ_60">[16]Нормат!$J$12</definedName>
    <definedName name="РТВ_60_10">[17]Нормат!$J$12</definedName>
    <definedName name="РТВ_60_14">[17]Нормат!$J$12</definedName>
    <definedName name="РТВ_60_15">[17]Нормат!$J$12</definedName>
    <definedName name="РТВ_60_16">[17]Нормат!$J$12</definedName>
    <definedName name="РТВ_60_2">[17]Нормат!$J$12</definedName>
    <definedName name="РТВ_7">[9]Нормат!$J$12</definedName>
    <definedName name="РТВ_72" localSheetId="12">[11]Нормат!$J$12</definedName>
    <definedName name="РТВ_72" localSheetId="10">[11]Нормат!$J$12</definedName>
    <definedName name="РТВ_72" localSheetId="7">[11]Нормат!$J$12</definedName>
    <definedName name="РТВ_72" localSheetId="3">[11]Нормат!$J$12</definedName>
    <definedName name="РТВ_72" localSheetId="6">[11]Нормат!$J$12</definedName>
    <definedName name="РТВ_72" localSheetId="5">[11]Нормат!$J$12</definedName>
    <definedName name="РТВ_72" localSheetId="8">[11]Нормат!$J$12</definedName>
    <definedName name="РТВ_72" localSheetId="1">[11]Нормат!$J$12</definedName>
    <definedName name="РТВ_72" localSheetId="11">[11]Нормат!$J$12</definedName>
    <definedName name="РТВ_72" localSheetId="9">[11]Нормат!$J$12</definedName>
    <definedName name="РТВ_72" localSheetId="4">[11]Нормат!$J$12</definedName>
    <definedName name="РТВ_72" localSheetId="2">[11]Нормат!$J$12</definedName>
    <definedName name="РТВ_72">[11]Нормат!$J$12</definedName>
    <definedName name="РТВ_72_10">[8]Нормат!$J$12</definedName>
    <definedName name="РТВ_72_14">[8]Нормат!$J$12</definedName>
    <definedName name="РТВ_72_15">[8]Нормат!$J$12</definedName>
    <definedName name="РТВ_72_16">[8]Нормат!$J$12</definedName>
    <definedName name="РТВ_72_2">[8]Нормат!$J$12</definedName>
    <definedName name="РТВ_8">[9]Нормат!$J$12</definedName>
    <definedName name="РТВ_9">[9]Нормат!$J$12</definedName>
    <definedName name="смитронгглллльббб" localSheetId="45">#REF!</definedName>
    <definedName name="смитронгглллльббб" localSheetId="31">#REF!</definedName>
    <definedName name="смитронгглллльббб" localSheetId="3">#REF!</definedName>
    <definedName name="смитронгглллльббб" localSheetId="5">#REF!</definedName>
    <definedName name="смитронгглллльббб" localSheetId="30">#REF!</definedName>
    <definedName name="смитронгглллльббб" localSheetId="29">#REF!</definedName>
    <definedName name="смитронгглллльббб" localSheetId="2">#REF!</definedName>
    <definedName name="смитронгглллльббб" localSheetId="35">#REF!</definedName>
    <definedName name="смитронгглллльббб">#REF!</definedName>
    <definedName name="сммаапеенннннн">#N/A</definedName>
    <definedName name="спсп" localSheetId="45">'ЗП с факт 3 кв. 2015'!_Pi1</definedName>
    <definedName name="спсп" localSheetId="12">'ПОЛНАЯ СЕБЕСТОИМОСТЬ ВОДА 2019'!_Pi1</definedName>
    <definedName name="спсп" localSheetId="10">'ПОЛНАЯ СЕБЕСТОИМОСТЬ СТОКИ 2019'!_Pi1</definedName>
    <definedName name="спсп" localSheetId="7">'Прил. 1 План ФХД вода табл. 2'!_Pi1</definedName>
    <definedName name="спсп" localSheetId="3">'Прил. 1 План ФХД с транспортир.'!_Pi1</definedName>
    <definedName name="спсп" localSheetId="6">'Прил. 1 План ФХД стоки табл 2'!_Pi1</definedName>
    <definedName name="спсп" localSheetId="5">'Прил. 1 План ФХД табл 1'!_Pi1</definedName>
    <definedName name="спсп" localSheetId="8">'Расчет товарной выручки'!_Pi1</definedName>
    <definedName name="спсп" localSheetId="1">'Текущий ремонт'!_Pi1</definedName>
    <definedName name="спсп" localSheetId="11">'ФАКТ. СЕБЕСТ ВОДА 9 мес. 2019'!_Pi1</definedName>
    <definedName name="спсп" localSheetId="9">'ФАКТ. СЕБЕСТ. СТОКИ 9 мес. 2019'!_Pi1</definedName>
    <definedName name="спсп" localSheetId="4">'Чистая прибыль'!_Pi1</definedName>
    <definedName name="спсп" localSheetId="2">'Чистая прибыль с транспортир.'!_Pi1</definedName>
    <definedName name="спсп">[0]!_Pi1</definedName>
    <definedName name="спсп_1" localSheetId="45">'ЗП с факт 3 кв. 2015'!_Pi1</definedName>
    <definedName name="спсп_1" localSheetId="12">'ПОЛНАЯ СЕБЕСТОИМОСТЬ ВОДА 2019'!_Pi1</definedName>
    <definedName name="спсп_1" localSheetId="10">'ПОЛНАЯ СЕБЕСТОИМОСТЬ СТОКИ 2019'!_Pi1</definedName>
    <definedName name="спсп_1" localSheetId="7">'Прил. 1 План ФХД вода табл. 2'!_Pi1</definedName>
    <definedName name="спсп_1" localSheetId="3">'Прил. 1 План ФХД с транспортир.'!_Pi1</definedName>
    <definedName name="спсп_1" localSheetId="6">'Прил. 1 План ФХД стоки табл 2'!_Pi1</definedName>
    <definedName name="спсп_1" localSheetId="5">'Прил. 1 План ФХД табл 1'!_Pi1</definedName>
    <definedName name="спсп_1" localSheetId="8">'Расчет товарной выручки'!_Pi1</definedName>
    <definedName name="спсп_1" localSheetId="1">'Текущий ремонт'!_Pi1</definedName>
    <definedName name="спсп_1" localSheetId="11">'ФАКТ. СЕБЕСТ ВОДА 9 мес. 2019'!_Pi1</definedName>
    <definedName name="спсп_1" localSheetId="9">'ФАКТ. СЕБЕСТ. СТОКИ 9 мес. 2019'!_Pi1</definedName>
    <definedName name="спсп_1" localSheetId="4">'Чистая прибыль'!_Pi1</definedName>
    <definedName name="спсп_1" localSheetId="2">'Чистая прибыль с транспортир.'!_Pi1</definedName>
    <definedName name="спсп_1">[0]!_Pi1</definedName>
    <definedName name="спсп_13" localSheetId="45">'ЗП с факт 3 кв. 2015'!_Pi1</definedName>
    <definedName name="спсп_13" localSheetId="12">'ПОЛНАЯ СЕБЕСТОИМОСТЬ ВОДА 2019'!_Pi1</definedName>
    <definedName name="спсп_13" localSheetId="10">'ПОЛНАЯ СЕБЕСТОИМОСТЬ СТОКИ 2019'!_Pi1</definedName>
    <definedName name="спсп_13" localSheetId="7">'Прил. 1 План ФХД вода табл. 2'!_Pi1</definedName>
    <definedName name="спсп_13" localSheetId="3">'Прил. 1 План ФХД с транспортир.'!_Pi1</definedName>
    <definedName name="спсп_13" localSheetId="6">'Прил. 1 План ФХД стоки табл 2'!_Pi1</definedName>
    <definedName name="спсп_13" localSheetId="5">'Прил. 1 План ФХД табл 1'!_Pi1</definedName>
    <definedName name="спсп_13" localSheetId="8">'Расчет товарной выручки'!_Pi1</definedName>
    <definedName name="спсп_13" localSheetId="1">'Текущий ремонт'!_Pi1</definedName>
    <definedName name="спсп_13" localSheetId="11">'ФАКТ. СЕБЕСТ ВОДА 9 мес. 2019'!_Pi1</definedName>
    <definedName name="спсп_13" localSheetId="9">'ФАКТ. СЕБЕСТ. СТОКИ 9 мес. 2019'!_Pi1</definedName>
    <definedName name="спсп_13" localSheetId="4">'Чистая прибыль'!_Pi1</definedName>
    <definedName name="спсп_13" localSheetId="2">'Чистая прибыль с транспортир.'!_Pi1</definedName>
    <definedName name="спсп_13">[0]!_Pi1</definedName>
    <definedName name="спсп_2" localSheetId="45">'ЗП с факт 3 кв. 2015'!_Pi1</definedName>
    <definedName name="спсп_2" localSheetId="12">'ПОЛНАЯ СЕБЕСТОИМОСТЬ ВОДА 2019'!_Pi1</definedName>
    <definedName name="спсп_2" localSheetId="10">'ПОЛНАЯ СЕБЕСТОИМОСТЬ СТОКИ 2019'!_Pi1</definedName>
    <definedName name="спсп_2" localSheetId="7">'Прил. 1 План ФХД вода табл. 2'!_Pi1</definedName>
    <definedName name="спсп_2" localSheetId="3">'Прил. 1 План ФХД с транспортир.'!_Pi1</definedName>
    <definedName name="спсп_2" localSheetId="6">'Прил. 1 План ФХД стоки табл 2'!_Pi1</definedName>
    <definedName name="спсп_2" localSheetId="5">'Прил. 1 План ФХД табл 1'!_Pi1</definedName>
    <definedName name="спсп_2" localSheetId="8">'Расчет товарной выручки'!_Pi1</definedName>
    <definedName name="спсп_2" localSheetId="1">'Текущий ремонт'!_Pi1</definedName>
    <definedName name="спсп_2" localSheetId="11">'ФАКТ. СЕБЕСТ ВОДА 9 мес. 2019'!_Pi1</definedName>
    <definedName name="спсп_2" localSheetId="9">'ФАКТ. СЕБЕСТ. СТОКИ 9 мес. 2019'!_Pi1</definedName>
    <definedName name="спсп_2" localSheetId="4">'Чистая прибыль'!_Pi1</definedName>
    <definedName name="спсп_2" localSheetId="2">'Чистая прибыль с транспортир.'!_Pi1</definedName>
    <definedName name="спсп_2">[0]!_Pi1</definedName>
    <definedName name="тарифы" localSheetId="45">'ЗП с факт 3 кв. 2015'!_Pi3</definedName>
    <definedName name="тарифы" localSheetId="12">'ПОЛНАЯ СЕБЕСТОИМОСТЬ ВОДА 2019'!_Pi3</definedName>
    <definedName name="тарифы" localSheetId="10">'ПОЛНАЯ СЕБЕСТОИМОСТЬ СТОКИ 2019'!_Pi3</definedName>
    <definedName name="тарифы" localSheetId="7">'Прил. 1 План ФХД вода табл. 2'!_Pi3</definedName>
    <definedName name="тарифы" localSheetId="3">'Прил. 1 План ФХД с транспортир.'!_Pi3</definedName>
    <definedName name="тарифы" localSheetId="6">'Прил. 1 План ФХД стоки табл 2'!_Pi3</definedName>
    <definedName name="тарифы" localSheetId="5">'Прил. 1 План ФХД табл 1'!_Pi3</definedName>
    <definedName name="тарифы" localSheetId="8">'Расчет товарной выручки'!_Pi3</definedName>
    <definedName name="тарифы" localSheetId="1">'Текущий ремонт'!_Pi3</definedName>
    <definedName name="тарифы" localSheetId="11">'ФАКТ. СЕБЕСТ ВОДА 9 мес. 2019'!_Pi3</definedName>
    <definedName name="тарифы" localSheetId="9">'ФАКТ. СЕБЕСТ. СТОКИ 9 мес. 2019'!_Pi3</definedName>
    <definedName name="тарифы" localSheetId="4">'Чистая прибыль'!_Pi3</definedName>
    <definedName name="тарифы" localSheetId="2">'Чистая прибыль с транспортир.'!_Pi3</definedName>
    <definedName name="тарифы">[0]!_Pi3</definedName>
    <definedName name="тарифы_1" localSheetId="45">'ЗП с факт 3 кв. 2015'!_Pi3</definedName>
    <definedName name="тарифы_1" localSheetId="12">'ПОЛНАЯ СЕБЕСТОИМОСТЬ ВОДА 2019'!_Pi3</definedName>
    <definedName name="тарифы_1" localSheetId="10">'ПОЛНАЯ СЕБЕСТОИМОСТЬ СТОКИ 2019'!_Pi3</definedName>
    <definedName name="тарифы_1" localSheetId="7">'Прил. 1 План ФХД вода табл. 2'!_Pi3</definedName>
    <definedName name="тарифы_1" localSheetId="3">'Прил. 1 План ФХД с транспортир.'!_Pi3</definedName>
    <definedName name="тарифы_1" localSheetId="6">'Прил. 1 План ФХД стоки табл 2'!_Pi3</definedName>
    <definedName name="тарифы_1" localSheetId="5">'Прил. 1 План ФХД табл 1'!_Pi3</definedName>
    <definedName name="тарифы_1" localSheetId="8">'Расчет товарной выручки'!_Pi3</definedName>
    <definedName name="тарифы_1" localSheetId="1">'Текущий ремонт'!_Pi3</definedName>
    <definedName name="тарифы_1" localSheetId="11">'ФАКТ. СЕБЕСТ ВОДА 9 мес. 2019'!_Pi3</definedName>
    <definedName name="тарифы_1" localSheetId="9">'ФАКТ. СЕБЕСТ. СТОКИ 9 мес. 2019'!_Pi3</definedName>
    <definedName name="тарифы_1" localSheetId="4">'Чистая прибыль'!_Pi3</definedName>
    <definedName name="тарифы_1" localSheetId="2">'Чистая прибыль с транспортир.'!_Pi3</definedName>
    <definedName name="тарифы_1">[0]!_Pi3</definedName>
    <definedName name="тарифы_13" localSheetId="45">'ЗП с факт 3 кв. 2015'!_Pi3</definedName>
    <definedName name="тарифы_13" localSheetId="12">'ПОЛНАЯ СЕБЕСТОИМОСТЬ ВОДА 2019'!_Pi3</definedName>
    <definedName name="тарифы_13" localSheetId="10">'ПОЛНАЯ СЕБЕСТОИМОСТЬ СТОКИ 2019'!_Pi3</definedName>
    <definedName name="тарифы_13" localSheetId="7">'Прил. 1 План ФХД вода табл. 2'!_Pi3</definedName>
    <definedName name="тарифы_13" localSheetId="3">'Прил. 1 План ФХД с транспортир.'!_Pi3</definedName>
    <definedName name="тарифы_13" localSheetId="6">'Прил. 1 План ФХД стоки табл 2'!_Pi3</definedName>
    <definedName name="тарифы_13" localSheetId="5">'Прил. 1 План ФХД табл 1'!_Pi3</definedName>
    <definedName name="тарифы_13" localSheetId="8">'Расчет товарной выручки'!_Pi3</definedName>
    <definedName name="тарифы_13" localSheetId="1">'Текущий ремонт'!_Pi3</definedName>
    <definedName name="тарифы_13" localSheetId="11">'ФАКТ. СЕБЕСТ ВОДА 9 мес. 2019'!_Pi3</definedName>
    <definedName name="тарифы_13" localSheetId="9">'ФАКТ. СЕБЕСТ. СТОКИ 9 мес. 2019'!_Pi3</definedName>
    <definedName name="тарифы_13" localSheetId="4">'Чистая прибыль'!_Pi3</definedName>
    <definedName name="тарифы_13" localSheetId="2">'Чистая прибыль с транспортир.'!_Pi3</definedName>
    <definedName name="тарифы_13">[0]!_Pi3</definedName>
    <definedName name="тарифы_2" localSheetId="45">'ЗП с факт 3 кв. 2015'!_Pi3</definedName>
    <definedName name="тарифы_2" localSheetId="12">'ПОЛНАЯ СЕБЕСТОИМОСТЬ ВОДА 2019'!_Pi3</definedName>
    <definedName name="тарифы_2" localSheetId="10">'ПОЛНАЯ СЕБЕСТОИМОСТЬ СТОКИ 2019'!_Pi3</definedName>
    <definedName name="тарифы_2" localSheetId="7">'Прил. 1 План ФХД вода табл. 2'!_Pi3</definedName>
    <definedName name="тарифы_2" localSheetId="3">'Прил. 1 План ФХД с транспортир.'!_Pi3</definedName>
    <definedName name="тарифы_2" localSheetId="6">'Прил. 1 План ФХД стоки табл 2'!_Pi3</definedName>
    <definedName name="тарифы_2" localSheetId="5">'Прил. 1 План ФХД табл 1'!_Pi3</definedName>
    <definedName name="тарифы_2" localSheetId="8">'Расчет товарной выручки'!_Pi3</definedName>
    <definedName name="тарифы_2" localSheetId="1">'Текущий ремонт'!_Pi3</definedName>
    <definedName name="тарифы_2" localSheetId="11">'ФАКТ. СЕБЕСТ ВОДА 9 мес. 2019'!_Pi3</definedName>
    <definedName name="тарифы_2" localSheetId="9">'ФАКТ. СЕБЕСТ. СТОКИ 9 мес. 2019'!_Pi3</definedName>
    <definedName name="тарифы_2" localSheetId="4">'Чистая прибыль'!_Pi3</definedName>
    <definedName name="тарифы_2" localSheetId="2">'Чистая прибыль с транспортир.'!_Pi3</definedName>
    <definedName name="тарифы_2">[0]!_Pi3</definedName>
    <definedName name="тир" localSheetId="45">'[4]распределение январь по бухг.'!#REF!</definedName>
    <definedName name="тир" localSheetId="31">'[4]распределение январь по бухг.'!#REF!</definedName>
    <definedName name="тир" localSheetId="12">'[4]распределение январь по бухг.'!#REF!</definedName>
    <definedName name="тир" localSheetId="10">'[4]распределение январь по бухг.'!#REF!</definedName>
    <definedName name="тир" localSheetId="7">'[4]распределение январь по бухг.'!#REF!</definedName>
    <definedName name="тир" localSheetId="3">'[4]распределение январь по бухг.'!#REF!</definedName>
    <definedName name="тир" localSheetId="6">'[4]распределение январь по бухг.'!#REF!</definedName>
    <definedName name="тир" localSheetId="5">'[4]распределение январь по бухг.'!#REF!</definedName>
    <definedName name="тир" localSheetId="8">'[4]распределение январь по бухг.'!#REF!</definedName>
    <definedName name="тир" localSheetId="30">'[4]распределение январь по бухг.'!#REF!</definedName>
    <definedName name="тир" localSheetId="1">'[4]распределение январь по бухг.'!#REF!</definedName>
    <definedName name="тир" localSheetId="29">'[4]распределение январь по бухг.'!#REF!</definedName>
    <definedName name="тир" localSheetId="11">'[4]распределение январь по бухг.'!#REF!</definedName>
    <definedName name="тир" localSheetId="9">'[4]распределение январь по бухг.'!#REF!</definedName>
    <definedName name="тир" localSheetId="4">'[4]распределение январь по бухг.'!#REF!</definedName>
    <definedName name="тир" localSheetId="2">'[4]распределение январь по бухг.'!#REF!</definedName>
    <definedName name="тир" localSheetId="35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[9]Нормат!$J$23</definedName>
    <definedName name="тпп" localSheetId="45">#REF!</definedName>
    <definedName name="тпп" localSheetId="31">#REF!</definedName>
    <definedName name="тпп" localSheetId="3">#REF!</definedName>
    <definedName name="тпп" localSheetId="5">#REF!</definedName>
    <definedName name="тпп" localSheetId="30">#REF!</definedName>
    <definedName name="тпп" localSheetId="29">#REF!</definedName>
    <definedName name="тпп" localSheetId="2">#REF!</definedName>
    <definedName name="тпп" localSheetId="35">#REF!</definedName>
    <definedName name="тпп">#REF!</definedName>
    <definedName name="тпп_1" localSheetId="45">#REF!</definedName>
    <definedName name="тпп_1" localSheetId="31">#REF!</definedName>
    <definedName name="тпп_1" localSheetId="3">#REF!</definedName>
    <definedName name="тпп_1" localSheetId="5">#REF!</definedName>
    <definedName name="тпп_1" localSheetId="30">#REF!</definedName>
    <definedName name="тпп_1" localSheetId="29">#REF!</definedName>
    <definedName name="тпп_1" localSheetId="2">#REF!</definedName>
    <definedName name="тпп_1" localSheetId="35">#REF!</definedName>
    <definedName name="тпп_1">#REF!</definedName>
    <definedName name="тпп_13" localSheetId="45">#REF!</definedName>
    <definedName name="тпп_13" localSheetId="31">#REF!</definedName>
    <definedName name="тпп_13" localSheetId="3">#REF!</definedName>
    <definedName name="тпп_13" localSheetId="5">#REF!</definedName>
    <definedName name="тпп_13" localSheetId="30">#REF!</definedName>
    <definedName name="тпп_13" localSheetId="29">#REF!</definedName>
    <definedName name="тпп_13" localSheetId="2">#REF!</definedName>
    <definedName name="тпп_13" localSheetId="35">#REF!</definedName>
    <definedName name="тпп_13">#REF!</definedName>
    <definedName name="тпп_2" localSheetId="31">#REF!</definedName>
    <definedName name="тпп_2" localSheetId="3">#REF!</definedName>
    <definedName name="тпп_2" localSheetId="5">#REF!</definedName>
    <definedName name="тпп_2" localSheetId="30">#REF!</definedName>
    <definedName name="тпп_2" localSheetId="29">#REF!</definedName>
    <definedName name="тпп_2" localSheetId="2">#REF!</definedName>
    <definedName name="тпп_2" localSheetId="35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45">'ЗП с факт 3 кв. 2015'!ц</definedName>
    <definedName name="ц" localSheetId="12">#N/A</definedName>
    <definedName name="ц" localSheetId="10">#N/A</definedName>
    <definedName name="ц" localSheetId="7">#N/A</definedName>
    <definedName name="ц" localSheetId="3">#N/A</definedName>
    <definedName name="ц" localSheetId="6">#N/A</definedName>
    <definedName name="ц" localSheetId="5">#N/A</definedName>
    <definedName name="ц" localSheetId="8">#N/A</definedName>
    <definedName name="ц" localSheetId="1">#N/A</definedName>
    <definedName name="ц" localSheetId="11">#N/A</definedName>
    <definedName name="ц" localSheetId="9">#N/A</definedName>
    <definedName name="ц" localSheetId="4">#N/A</definedName>
    <definedName name="ц" localSheetId="2">#N/A</definedName>
    <definedName name="ц">ц</definedName>
    <definedName name="ц_10" localSheetId="45">'ЗП с факт 3 кв. 2015'!ц</definedName>
    <definedName name="ц_10" localSheetId="12">'ПОЛНАЯ СЕБЕСТОИМОСТЬ ВОДА 2019'!ц</definedName>
    <definedName name="ц_10" localSheetId="10">'ПОЛНАЯ СЕБЕСТОИМОСТЬ СТОКИ 2019'!ц</definedName>
    <definedName name="ц_10" localSheetId="7">'Прил. 1 План ФХД вода табл. 2'!ц</definedName>
    <definedName name="ц_10" localSheetId="3">'Прил. 1 План ФХД с транспортир.'!ц</definedName>
    <definedName name="ц_10" localSheetId="6">'Прил. 1 План ФХД стоки табл 2'!ц</definedName>
    <definedName name="ц_10" localSheetId="5">'Прил. 1 План ФХД табл 1'!ц</definedName>
    <definedName name="ц_10" localSheetId="8">'Расчет товарной выручки'!ц</definedName>
    <definedName name="ц_10" localSheetId="1">'Текущий ремонт'!ц</definedName>
    <definedName name="ц_10" localSheetId="11">'ФАКТ. СЕБЕСТ ВОДА 9 мес. 2019'!ц</definedName>
    <definedName name="ц_10" localSheetId="9">'ФАКТ. СЕБЕСТ. СТОКИ 9 мес. 2019'!ц</definedName>
    <definedName name="ц_10" localSheetId="4">'Чистая прибыль'!ц</definedName>
    <definedName name="ц_10" localSheetId="2">'Чистая прибыль с транспортир.'!ц</definedName>
    <definedName name="ц_10">[0]!ц</definedName>
    <definedName name="ц_14" localSheetId="45">'ЗП с факт 3 кв. 2015'!ц</definedName>
    <definedName name="ц_14" localSheetId="12">'ПОЛНАЯ СЕБЕСТОИМОСТЬ ВОДА 2019'!ц</definedName>
    <definedName name="ц_14" localSheetId="10">'ПОЛНАЯ СЕБЕСТОИМОСТЬ СТОКИ 2019'!ц</definedName>
    <definedName name="ц_14" localSheetId="7">'Прил. 1 План ФХД вода табл. 2'!ц</definedName>
    <definedName name="ц_14" localSheetId="3">'Прил. 1 План ФХД с транспортир.'!ц</definedName>
    <definedName name="ц_14" localSheetId="6">'Прил. 1 План ФХД стоки табл 2'!ц</definedName>
    <definedName name="ц_14" localSheetId="5">'Прил. 1 План ФХД табл 1'!ц</definedName>
    <definedName name="ц_14" localSheetId="8">'Расчет товарной выручки'!ц</definedName>
    <definedName name="ц_14" localSheetId="1">'Текущий ремонт'!ц</definedName>
    <definedName name="ц_14" localSheetId="11">'ФАКТ. СЕБЕСТ ВОДА 9 мес. 2019'!ц</definedName>
    <definedName name="ц_14" localSheetId="9">'ФАКТ. СЕБЕСТ. СТОКИ 9 мес. 2019'!ц</definedName>
    <definedName name="ц_14" localSheetId="4">'Чистая прибыль'!ц</definedName>
    <definedName name="ц_14" localSheetId="2">'Чистая прибыль с транспортир.'!ц</definedName>
    <definedName name="ц_14">[0]!ц</definedName>
    <definedName name="ц_15" localSheetId="45">'ЗП с факт 3 кв. 2015'!ц</definedName>
    <definedName name="ц_15" localSheetId="12">'ПОЛНАЯ СЕБЕСТОИМОСТЬ ВОДА 2019'!ц</definedName>
    <definedName name="ц_15" localSheetId="10">'ПОЛНАЯ СЕБЕСТОИМОСТЬ СТОКИ 2019'!ц</definedName>
    <definedName name="ц_15" localSheetId="7">'Прил. 1 План ФХД вода табл. 2'!ц</definedName>
    <definedName name="ц_15" localSheetId="3">'Прил. 1 План ФХД с транспортир.'!ц</definedName>
    <definedName name="ц_15" localSheetId="6">'Прил. 1 План ФХД стоки табл 2'!ц</definedName>
    <definedName name="ц_15" localSheetId="5">'Прил. 1 План ФХД табл 1'!ц</definedName>
    <definedName name="ц_15" localSheetId="8">'Расчет товарной выручки'!ц</definedName>
    <definedName name="ц_15" localSheetId="1">'Текущий ремонт'!ц</definedName>
    <definedName name="ц_15" localSheetId="11">'ФАКТ. СЕБЕСТ ВОДА 9 мес. 2019'!ц</definedName>
    <definedName name="ц_15" localSheetId="9">'ФАКТ. СЕБЕСТ. СТОКИ 9 мес. 2019'!ц</definedName>
    <definedName name="ц_15" localSheetId="4">'Чистая прибыль'!ц</definedName>
    <definedName name="ц_15" localSheetId="2">'Чистая прибыль с транспортир.'!ц</definedName>
    <definedName name="ц_15">[0]!ц</definedName>
    <definedName name="ц_16" localSheetId="45">'ЗП с факт 3 кв. 2015'!ц</definedName>
    <definedName name="ц_16" localSheetId="12">'ПОЛНАЯ СЕБЕСТОИМОСТЬ ВОДА 2019'!ц</definedName>
    <definedName name="ц_16" localSheetId="10">'ПОЛНАЯ СЕБЕСТОИМОСТЬ СТОКИ 2019'!ц</definedName>
    <definedName name="ц_16" localSheetId="7">'Прил. 1 План ФХД вода табл. 2'!ц</definedName>
    <definedName name="ц_16" localSheetId="3">'Прил. 1 План ФХД с транспортир.'!ц</definedName>
    <definedName name="ц_16" localSheetId="6">'Прил. 1 План ФХД стоки табл 2'!ц</definedName>
    <definedName name="ц_16" localSheetId="5">'Прил. 1 План ФХД табл 1'!ц</definedName>
    <definedName name="ц_16" localSheetId="8">'Расчет товарной выручки'!ц</definedName>
    <definedName name="ц_16" localSheetId="1">'Текущий ремонт'!ц</definedName>
    <definedName name="ц_16" localSheetId="11">'ФАКТ. СЕБЕСТ ВОДА 9 мес. 2019'!ц</definedName>
    <definedName name="ц_16" localSheetId="9">'ФАКТ. СЕБЕСТ. СТОКИ 9 мес. 2019'!ц</definedName>
    <definedName name="ц_16" localSheetId="4">'Чистая прибыль'!ц</definedName>
    <definedName name="ц_16" localSheetId="2">'Чистая прибыль с транспортир.'!ц</definedName>
    <definedName name="ц_16">[0]!ц</definedName>
    <definedName name="ц_2" localSheetId="45">'ЗП с факт 3 кв. 2015'!ц</definedName>
    <definedName name="ц_2" localSheetId="12">'ПОЛНАЯ СЕБЕСТОИМОСТЬ ВОДА 2019'!ц</definedName>
    <definedName name="ц_2" localSheetId="10">'ПОЛНАЯ СЕБЕСТОИМОСТЬ СТОКИ 2019'!ц</definedName>
    <definedName name="ц_2" localSheetId="7">'Прил. 1 План ФХД вода табл. 2'!ц</definedName>
    <definedName name="ц_2" localSheetId="3">'Прил. 1 План ФХД с транспортир.'!ц</definedName>
    <definedName name="ц_2" localSheetId="6">'Прил. 1 План ФХД стоки табл 2'!ц</definedName>
    <definedName name="ц_2" localSheetId="5">'Прил. 1 План ФХД табл 1'!ц</definedName>
    <definedName name="ц_2" localSheetId="8">'Расчет товарной выручки'!ц</definedName>
    <definedName name="ц_2" localSheetId="1">'Текущий ремонт'!ц</definedName>
    <definedName name="ц_2" localSheetId="11">'ФАКТ. СЕБЕСТ ВОДА 9 мес. 2019'!ц</definedName>
    <definedName name="ц_2" localSheetId="9">'ФАКТ. СЕБЕСТ. СТОКИ 9 мес. 2019'!ц</definedName>
    <definedName name="ц_2" localSheetId="4">'Чистая прибыль'!ц</definedName>
    <definedName name="ц_2" localSheetId="2">'Чистая прибыль с транспортир.'!ц</definedName>
    <definedName name="ц_2">[0]!ц</definedName>
    <definedName name="цу" localSheetId="7">#REF!</definedName>
    <definedName name="цу" localSheetId="3">#REF!</definedName>
    <definedName name="цу" localSheetId="6">#REF!</definedName>
    <definedName name="цу" localSheetId="5">#REF!</definedName>
    <definedName name="цу" localSheetId="8">#REF!</definedName>
    <definedName name="цу" localSheetId="1">#REF!</definedName>
    <definedName name="цу" localSheetId="4">#REF!</definedName>
    <definedName name="цу" localSheetId="2">#REF!</definedName>
    <definedName name="цу">#REF!</definedName>
    <definedName name="чсваакеппрроо">#N/A</definedName>
    <definedName name="чяыйфцуккееенен" localSheetId="45">[5]Прибыль1!#REF!</definedName>
    <definedName name="чяыйфцуккееенен" localSheetId="31">[5]Прибыль1!#REF!</definedName>
    <definedName name="чяыйфцуккееенен" localSheetId="12">[5]Прибыль1!#REF!</definedName>
    <definedName name="чяыйфцуккееенен" localSheetId="10">[5]Прибыль1!#REF!</definedName>
    <definedName name="чяыйфцуккееенен" localSheetId="7">[5]Прибыль1!#REF!</definedName>
    <definedName name="чяыйфцуккееенен" localSheetId="3">[5]Прибыль1!#REF!</definedName>
    <definedName name="чяыйфцуккееенен" localSheetId="6">[5]Прибыль1!#REF!</definedName>
    <definedName name="чяыйфцуккееенен" localSheetId="5">[5]Прибыль1!#REF!</definedName>
    <definedName name="чяыйфцуккееенен" localSheetId="8">[5]Прибыль1!#REF!</definedName>
    <definedName name="чяыйфцуккееенен" localSheetId="30">[5]Прибыль1!#REF!</definedName>
    <definedName name="чяыйфцуккееенен" localSheetId="1">[5]Прибыль1!#REF!</definedName>
    <definedName name="чяыйфцуккееенен" localSheetId="29">[5]Прибыль1!#REF!</definedName>
    <definedName name="чяыйфцуккееенен" localSheetId="11">[5]Прибыль1!#REF!</definedName>
    <definedName name="чяыйфцуккееенен" localSheetId="9">[5]Прибыль1!#REF!</definedName>
    <definedName name="чяыйфцуккееенен" localSheetId="4">[5]Прибыль1!#REF!</definedName>
    <definedName name="чяыйфцуккееенен" localSheetId="2">[5]Прибыль1!#REF!</definedName>
    <definedName name="чяыйфцуккееенен" localSheetId="35">[5]Прибыль1!#REF!</definedName>
    <definedName name="чяыйфцуккееенен">[5]Прибыль1!#REF!</definedName>
    <definedName name="ш" localSheetId="45">'ЗП с факт 3 кв. 2015'!про</definedName>
    <definedName name="ш" localSheetId="12">'ПОЛНАЯ СЕБЕСТОИМОСТЬ ВОДА 2019'!про</definedName>
    <definedName name="ш" localSheetId="10">'ПОЛНАЯ СЕБЕСТОИМОСТЬ СТОКИ 2019'!про</definedName>
    <definedName name="ш" localSheetId="7">'Прил. 1 План ФХД вода табл. 2'!про</definedName>
    <definedName name="ш" localSheetId="3">'Прил. 1 План ФХД с транспортир.'!про</definedName>
    <definedName name="ш" localSheetId="6">'Прил. 1 План ФХД стоки табл 2'!про</definedName>
    <definedName name="ш" localSheetId="5">'Прил. 1 План ФХД табл 1'!про</definedName>
    <definedName name="ш" localSheetId="8">'Расчет товарной выручки'!про</definedName>
    <definedName name="ш" localSheetId="1">'Текущий ремонт'!про</definedName>
    <definedName name="ш" localSheetId="11">'ФАКТ. СЕБЕСТ ВОДА 9 мес. 2019'!про</definedName>
    <definedName name="ш" localSheetId="9">'ФАКТ. СЕБЕСТ. СТОКИ 9 мес. 2019'!про</definedName>
    <definedName name="ш" localSheetId="4">'Чистая прибыль'!про</definedName>
    <definedName name="ш" localSheetId="2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52511"/>
  <fileRecoveryPr autoRecover="0"/>
</workbook>
</file>

<file path=xl/calcChain.xml><?xml version="1.0" encoding="utf-8"?>
<calcChain xmlns="http://schemas.openxmlformats.org/spreadsheetml/2006/main">
  <c r="CG142" i="115" l="1"/>
  <c r="CF142" i="115"/>
  <c r="CE142" i="115"/>
  <c r="CG141" i="115"/>
  <c r="CF141" i="115"/>
  <c r="CE141" i="115" s="1"/>
  <c r="CG140" i="115"/>
  <c r="CF140" i="115"/>
  <c r="CE140" i="115" s="1"/>
  <c r="CG139" i="115"/>
  <c r="CF139" i="115"/>
  <c r="CE139" i="115"/>
  <c r="BI142" i="115"/>
  <c r="BH142" i="115"/>
  <c r="BG142" i="115"/>
  <c r="BI141" i="115"/>
  <c r="BH141" i="115"/>
  <c r="BI140" i="115"/>
  <c r="BH140" i="115"/>
  <c r="BG140" i="115" s="1"/>
  <c r="BI139" i="115"/>
  <c r="BH139" i="115"/>
  <c r="BG139" i="115"/>
  <c r="AK142" i="115"/>
  <c r="AJ142" i="115"/>
  <c r="AI142" i="115" s="1"/>
  <c r="AK141" i="115"/>
  <c r="AJ141" i="115"/>
  <c r="AI141" i="115"/>
  <c r="AK140" i="115"/>
  <c r="AJ140" i="115"/>
  <c r="AI140" i="115"/>
  <c r="AK139" i="115"/>
  <c r="AJ139" i="115"/>
  <c r="AI139" i="115" s="1"/>
  <c r="BG141" i="115" l="1"/>
  <c r="AY111" i="115"/>
  <c r="AY65" i="115" l="1"/>
  <c r="AY105" i="113" l="1"/>
  <c r="AY116" i="113"/>
  <c r="AY76" i="113"/>
  <c r="AY71" i="113"/>
  <c r="AY86" i="113" l="1"/>
  <c r="AY53" i="113"/>
  <c r="AY90" i="113"/>
  <c r="AY81" i="115" l="1"/>
  <c r="AY51" i="115"/>
  <c r="AY63" i="115"/>
  <c r="AY62" i="115"/>
  <c r="AY52" i="115"/>
  <c r="AY121" i="113"/>
  <c r="K20" i="123" l="1"/>
  <c r="K16" i="123"/>
  <c r="R36" i="124" l="1"/>
  <c r="Q36" i="124"/>
  <c r="P36" i="124"/>
  <c r="M36" i="124"/>
  <c r="L36" i="124"/>
  <c r="K36" i="124"/>
  <c r="H36" i="124"/>
  <c r="G36" i="124"/>
  <c r="F36" i="124"/>
  <c r="I36" i="124" s="1"/>
  <c r="D36" i="124"/>
  <c r="C36" i="124"/>
  <c r="B36" i="124"/>
  <c r="S36" i="124"/>
  <c r="N36" i="124"/>
  <c r="E36" i="124"/>
  <c r="R34" i="124"/>
  <c r="Q34" i="124"/>
  <c r="S34" i="124" s="1"/>
  <c r="P34" i="124"/>
  <c r="M34" i="124"/>
  <c r="L34" i="124"/>
  <c r="K34" i="124"/>
  <c r="H34" i="124"/>
  <c r="G34" i="124"/>
  <c r="F34" i="124"/>
  <c r="D34" i="124"/>
  <c r="C34" i="124"/>
  <c r="B34" i="124"/>
  <c r="N34" i="124"/>
  <c r="I34" i="124"/>
  <c r="R28" i="124"/>
  <c r="Q28" i="124"/>
  <c r="P28" i="124"/>
  <c r="K28" i="124"/>
  <c r="B28" i="124"/>
  <c r="H28" i="124"/>
  <c r="R24" i="124"/>
  <c r="Q24" i="124"/>
  <c r="P24" i="124"/>
  <c r="K24" i="124"/>
  <c r="I24" i="124"/>
  <c r="H24" i="124"/>
  <c r="G24" i="124"/>
  <c r="F24" i="124"/>
  <c r="E24" i="124"/>
  <c r="J24" i="124" s="1"/>
  <c r="D24" i="124"/>
  <c r="C24" i="124"/>
  <c r="B24" i="124"/>
  <c r="R16" i="124"/>
  <c r="Q16" i="124"/>
  <c r="P16" i="124"/>
  <c r="K16" i="124"/>
  <c r="B16" i="124"/>
  <c r="H16" i="124" s="1"/>
  <c r="P12" i="124"/>
  <c r="R12" i="124" s="1"/>
  <c r="B12" i="124"/>
  <c r="L12" i="124" s="1"/>
  <c r="K51" i="123"/>
  <c r="K49" i="123"/>
  <c r="I51" i="123"/>
  <c r="H51" i="123"/>
  <c r="G51" i="123"/>
  <c r="F51" i="123"/>
  <c r="E51" i="123"/>
  <c r="D51" i="123"/>
  <c r="C51" i="123"/>
  <c r="I49" i="123"/>
  <c r="H49" i="123"/>
  <c r="G49" i="123"/>
  <c r="F49" i="123"/>
  <c r="E49" i="123"/>
  <c r="D49" i="123"/>
  <c r="C49" i="123"/>
  <c r="K43" i="123"/>
  <c r="K26" i="123"/>
  <c r="K31" i="123"/>
  <c r="K39" i="123"/>
  <c r="I43" i="123"/>
  <c r="I39" i="123"/>
  <c r="I31" i="123"/>
  <c r="I26" i="123"/>
  <c r="I20" i="123"/>
  <c r="I16" i="123"/>
  <c r="J36" i="124" l="1"/>
  <c r="O36" i="124" s="1"/>
  <c r="T36" i="124" s="1"/>
  <c r="E34" i="124"/>
  <c r="J34" i="124" s="1"/>
  <c r="O34" i="124"/>
  <c r="T34" i="124" s="1"/>
  <c r="M28" i="124"/>
  <c r="F28" i="124"/>
  <c r="S28" i="124"/>
  <c r="C28" i="124"/>
  <c r="G28" i="124"/>
  <c r="D28" i="124"/>
  <c r="L28" i="124"/>
  <c r="N28" i="124" s="1"/>
  <c r="M24" i="124"/>
  <c r="S24" i="124"/>
  <c r="L24" i="124"/>
  <c r="N24" i="124" s="1"/>
  <c r="O24" i="124" s="1"/>
  <c r="F16" i="124"/>
  <c r="I16" i="124" s="1"/>
  <c r="M16" i="124"/>
  <c r="S16" i="124"/>
  <c r="C16" i="124"/>
  <c r="G16" i="124"/>
  <c r="D16" i="124"/>
  <c r="L16" i="124"/>
  <c r="N16" i="124" s="1"/>
  <c r="Q12" i="124"/>
  <c r="D12" i="124"/>
  <c r="M12" i="124"/>
  <c r="G12" i="124"/>
  <c r="H12" i="124"/>
  <c r="C12" i="124"/>
  <c r="K12" i="124"/>
  <c r="N12" i="124" s="1"/>
  <c r="E12" i="124"/>
  <c r="S12" i="124"/>
  <c r="F12" i="124"/>
  <c r="I28" i="124" l="1"/>
  <c r="E28" i="124"/>
  <c r="J28" i="124" s="1"/>
  <c r="O28" i="124" s="1"/>
  <c r="T28" i="124" s="1"/>
  <c r="T24" i="124"/>
  <c r="E16" i="124"/>
  <c r="J16" i="124" s="1"/>
  <c r="O16" i="124"/>
  <c r="T16" i="124" s="1"/>
  <c r="I12" i="124"/>
  <c r="J12" i="124" s="1"/>
  <c r="O12" i="124" s="1"/>
  <c r="T12" i="124" s="1"/>
  <c r="K42" i="124" l="1"/>
  <c r="P42" i="124" s="1"/>
  <c r="B42" i="124"/>
  <c r="H42" i="124" s="1"/>
  <c r="K41" i="124"/>
  <c r="Q41" i="124" s="1"/>
  <c r="B41" i="124"/>
  <c r="G41" i="124" s="1"/>
  <c r="K40" i="124"/>
  <c r="B40" i="124"/>
  <c r="F40" i="124" s="1"/>
  <c r="K38" i="124"/>
  <c r="P38" i="124" s="1"/>
  <c r="B38" i="124"/>
  <c r="H38" i="124" s="1"/>
  <c r="B31" i="124"/>
  <c r="K31" i="124" s="1"/>
  <c r="B30" i="124"/>
  <c r="R30" i="124" s="1"/>
  <c r="B29" i="124"/>
  <c r="K27" i="124"/>
  <c r="P27" i="124" s="1"/>
  <c r="B27" i="124"/>
  <c r="G27" i="124" s="1"/>
  <c r="K26" i="124"/>
  <c r="R26" i="124" s="1"/>
  <c r="B26" i="124"/>
  <c r="G26" i="124" s="1"/>
  <c r="K23" i="124"/>
  <c r="R23" i="124" s="1"/>
  <c r="B23" i="124"/>
  <c r="G23" i="124" s="1"/>
  <c r="K22" i="124"/>
  <c r="B22" i="124"/>
  <c r="F22" i="124" s="1"/>
  <c r="B19" i="124"/>
  <c r="K19" i="124" s="1"/>
  <c r="B18" i="124"/>
  <c r="R18" i="124" s="1"/>
  <c r="K15" i="124"/>
  <c r="P15" i="124" s="1"/>
  <c r="B15" i="124"/>
  <c r="F15" i="124" s="1"/>
  <c r="K14" i="124"/>
  <c r="Q14" i="124" s="1"/>
  <c r="B14" i="124"/>
  <c r="G14" i="124" s="1"/>
  <c r="B11" i="124"/>
  <c r="F11" i="124" s="1"/>
  <c r="K10" i="124"/>
  <c r="P10" i="124" s="1"/>
  <c r="B10" i="124"/>
  <c r="F10" i="124" s="1"/>
  <c r="K57" i="123"/>
  <c r="E57" i="123"/>
  <c r="G57" i="123" s="1"/>
  <c r="I57" i="123" s="1"/>
  <c r="K56" i="123"/>
  <c r="E56" i="123"/>
  <c r="G56" i="123" s="1"/>
  <c r="I56" i="123" s="1"/>
  <c r="K55" i="123"/>
  <c r="E55" i="123"/>
  <c r="G55" i="123" s="1"/>
  <c r="H54" i="123"/>
  <c r="F54" i="123"/>
  <c r="K54" i="123" s="1"/>
  <c r="E54" i="123"/>
  <c r="D54" i="123"/>
  <c r="C54" i="123"/>
  <c r="K53" i="123"/>
  <c r="E53" i="123"/>
  <c r="G53" i="123" s="1"/>
  <c r="I53" i="123" s="1"/>
  <c r="H46" i="123"/>
  <c r="F46" i="123"/>
  <c r="K46" i="123" s="1"/>
  <c r="D46" i="123"/>
  <c r="C46" i="123"/>
  <c r="H45" i="123"/>
  <c r="F45" i="123"/>
  <c r="K45" i="123" s="1"/>
  <c r="D45" i="123"/>
  <c r="C45" i="123"/>
  <c r="H44" i="123"/>
  <c r="F44" i="123"/>
  <c r="K44" i="123" s="1"/>
  <c r="D44" i="123"/>
  <c r="C44" i="123"/>
  <c r="I42" i="123"/>
  <c r="H42" i="123"/>
  <c r="G42" i="123"/>
  <c r="F42" i="123"/>
  <c r="E42" i="123"/>
  <c r="D42" i="123"/>
  <c r="C42" i="123"/>
  <c r="I41" i="123"/>
  <c r="I40" i="123" s="1"/>
  <c r="H41" i="123"/>
  <c r="G41" i="123"/>
  <c r="F41" i="123"/>
  <c r="E41" i="123"/>
  <c r="E40" i="123" s="1"/>
  <c r="D41" i="123"/>
  <c r="C41" i="123"/>
  <c r="C40" i="123" s="1"/>
  <c r="H40" i="123"/>
  <c r="D40" i="123"/>
  <c r="I38" i="123"/>
  <c r="H38" i="123"/>
  <c r="G38" i="123"/>
  <c r="F38" i="123"/>
  <c r="E38" i="123"/>
  <c r="D38" i="123"/>
  <c r="C38" i="123"/>
  <c r="I37" i="123"/>
  <c r="I36" i="123" s="1"/>
  <c r="H37" i="123"/>
  <c r="G37" i="123"/>
  <c r="F37" i="123"/>
  <c r="E37" i="123"/>
  <c r="E36" i="123" s="1"/>
  <c r="D37" i="123"/>
  <c r="C37" i="123"/>
  <c r="H36" i="123"/>
  <c r="H35" i="123" s="1"/>
  <c r="K34" i="123"/>
  <c r="E34" i="123"/>
  <c r="E46" i="123" s="1"/>
  <c r="K33" i="123"/>
  <c r="E33" i="123"/>
  <c r="E45" i="123" s="1"/>
  <c r="H32" i="123"/>
  <c r="H52" i="123" s="1"/>
  <c r="F32" i="123"/>
  <c r="K32" i="123" s="1"/>
  <c r="D32" i="123"/>
  <c r="D52" i="123" s="1"/>
  <c r="C32" i="123"/>
  <c r="C52" i="123" s="1"/>
  <c r="I30" i="123"/>
  <c r="H30" i="123"/>
  <c r="G30" i="123"/>
  <c r="F30" i="123"/>
  <c r="E30" i="123"/>
  <c r="D30" i="123"/>
  <c r="C30" i="123"/>
  <c r="I29" i="123"/>
  <c r="H29" i="123"/>
  <c r="G29" i="123"/>
  <c r="F29" i="123"/>
  <c r="E29" i="123"/>
  <c r="D29" i="123"/>
  <c r="C29" i="123"/>
  <c r="I28" i="123"/>
  <c r="H28" i="123"/>
  <c r="G28" i="123"/>
  <c r="F28" i="123"/>
  <c r="E28" i="123"/>
  <c r="D28" i="123"/>
  <c r="C28" i="123"/>
  <c r="D27" i="123"/>
  <c r="I25" i="123"/>
  <c r="H25" i="123"/>
  <c r="G25" i="123"/>
  <c r="F25" i="123"/>
  <c r="E25" i="123"/>
  <c r="D25" i="123"/>
  <c r="C25" i="123"/>
  <c r="I24" i="123"/>
  <c r="H24" i="123"/>
  <c r="G24" i="123"/>
  <c r="F24" i="123"/>
  <c r="E24" i="123"/>
  <c r="D24" i="123"/>
  <c r="C24" i="123"/>
  <c r="I23" i="123"/>
  <c r="H23" i="123"/>
  <c r="H22" i="123" s="1"/>
  <c r="G23" i="123"/>
  <c r="F23" i="123"/>
  <c r="E23" i="123"/>
  <c r="D23" i="123"/>
  <c r="D22" i="123" s="1"/>
  <c r="C23" i="123"/>
  <c r="I19" i="123"/>
  <c r="H19" i="123"/>
  <c r="G19" i="123"/>
  <c r="F19" i="123"/>
  <c r="E19" i="123"/>
  <c r="D19" i="123"/>
  <c r="C19" i="123"/>
  <c r="I18" i="123"/>
  <c r="H18" i="123"/>
  <c r="G18" i="123"/>
  <c r="G17" i="123" s="1"/>
  <c r="F18" i="123"/>
  <c r="E18" i="123"/>
  <c r="D18" i="123"/>
  <c r="C18" i="123"/>
  <c r="C17" i="123" s="1"/>
  <c r="I15" i="123"/>
  <c r="H15" i="123"/>
  <c r="G15" i="123"/>
  <c r="F15" i="123"/>
  <c r="E15" i="123"/>
  <c r="D15" i="123"/>
  <c r="C15" i="123"/>
  <c r="I14" i="123"/>
  <c r="I13" i="123" s="1"/>
  <c r="H14" i="123"/>
  <c r="G14" i="123"/>
  <c r="F14" i="123"/>
  <c r="E14" i="123"/>
  <c r="E13" i="123" s="1"/>
  <c r="D14" i="123"/>
  <c r="C14" i="123"/>
  <c r="C10" i="124" l="1"/>
  <c r="M15" i="124"/>
  <c r="G22" i="124"/>
  <c r="G21" i="124" s="1"/>
  <c r="Q10" i="124"/>
  <c r="K30" i="124"/>
  <c r="M38" i="124"/>
  <c r="H41" i="124"/>
  <c r="K25" i="124"/>
  <c r="H10" i="124"/>
  <c r="C18" i="124"/>
  <c r="M27" i="124"/>
  <c r="L41" i="124"/>
  <c r="M10" i="124"/>
  <c r="H14" i="124"/>
  <c r="P41" i="124"/>
  <c r="R14" i="124"/>
  <c r="Q18" i="124"/>
  <c r="H23" i="124"/>
  <c r="B25" i="124"/>
  <c r="H26" i="124"/>
  <c r="D27" i="124"/>
  <c r="D31" i="124"/>
  <c r="D40" i="124"/>
  <c r="C30" i="124"/>
  <c r="L31" i="124"/>
  <c r="B39" i="124"/>
  <c r="G40" i="124"/>
  <c r="R41" i="124"/>
  <c r="Q42" i="124"/>
  <c r="C15" i="124"/>
  <c r="Q15" i="124"/>
  <c r="Q13" i="124" s="1"/>
  <c r="G18" i="124"/>
  <c r="D19" i="124"/>
  <c r="L23" i="124"/>
  <c r="L26" i="124"/>
  <c r="K13" i="124"/>
  <c r="L14" i="124"/>
  <c r="H15" i="124"/>
  <c r="H13" i="124" s="1"/>
  <c r="B17" i="124"/>
  <c r="B37" i="124" s="1"/>
  <c r="K18" i="124"/>
  <c r="P19" i="124"/>
  <c r="P23" i="124"/>
  <c r="C26" i="124"/>
  <c r="C40" i="124"/>
  <c r="M41" i="124"/>
  <c r="N41" i="124" s="1"/>
  <c r="C42" i="124"/>
  <c r="G10" i="124"/>
  <c r="I10" i="124" s="1"/>
  <c r="G15" i="124"/>
  <c r="G13" i="124" s="1"/>
  <c r="B21" i="124"/>
  <c r="B20" i="124" s="1"/>
  <c r="D26" i="124"/>
  <c r="P26" i="124"/>
  <c r="P25" i="124" s="1"/>
  <c r="Q27" i="124"/>
  <c r="G30" i="124"/>
  <c r="H31" i="124"/>
  <c r="G42" i="124"/>
  <c r="G39" i="124" s="1"/>
  <c r="H19" i="124"/>
  <c r="H27" i="124"/>
  <c r="H25" i="124" s="1"/>
  <c r="D10" i="124"/>
  <c r="E10" i="124" s="1"/>
  <c r="D14" i="124"/>
  <c r="P14" i="124"/>
  <c r="S14" i="124" s="1"/>
  <c r="D15" i="124"/>
  <c r="E15" i="124" s="1"/>
  <c r="M18" i="124"/>
  <c r="L19" i="124"/>
  <c r="C22" i="124"/>
  <c r="D23" i="124"/>
  <c r="G25" i="124"/>
  <c r="C27" i="124"/>
  <c r="P31" i="124"/>
  <c r="Q38" i="124"/>
  <c r="D41" i="124"/>
  <c r="M42" i="124"/>
  <c r="D36" i="123"/>
  <c r="F36" i="123"/>
  <c r="C36" i="123"/>
  <c r="G36" i="123"/>
  <c r="C22" i="123"/>
  <c r="G22" i="123"/>
  <c r="D35" i="123"/>
  <c r="F22" i="123"/>
  <c r="F48" i="123" s="1"/>
  <c r="D48" i="123"/>
  <c r="D21" i="123"/>
  <c r="C35" i="123"/>
  <c r="D17" i="123"/>
  <c r="F40" i="123"/>
  <c r="K40" i="123" s="1"/>
  <c r="C27" i="123"/>
  <c r="G27" i="123"/>
  <c r="G48" i="123"/>
  <c r="H17" i="123"/>
  <c r="D50" i="123"/>
  <c r="H27" i="123"/>
  <c r="H50" i="123" s="1"/>
  <c r="F27" i="123"/>
  <c r="F21" i="123" s="1"/>
  <c r="H48" i="123"/>
  <c r="G13" i="123"/>
  <c r="D13" i="123"/>
  <c r="E17" i="123"/>
  <c r="I17" i="123"/>
  <c r="E22" i="123"/>
  <c r="I22" i="123"/>
  <c r="E27" i="123"/>
  <c r="E50" i="123" s="1"/>
  <c r="I27" i="123"/>
  <c r="I50" i="123" s="1"/>
  <c r="G40" i="123"/>
  <c r="F13" i="123"/>
  <c r="C13" i="123"/>
  <c r="H13" i="123"/>
  <c r="K19" i="123"/>
  <c r="K24" i="123"/>
  <c r="K41" i="123"/>
  <c r="C50" i="123"/>
  <c r="K14" i="123"/>
  <c r="K29" i="123"/>
  <c r="K37" i="123"/>
  <c r="K42" i="123"/>
  <c r="K18" i="123"/>
  <c r="K23" i="123"/>
  <c r="K28" i="123"/>
  <c r="K36" i="123"/>
  <c r="F17" i="123"/>
  <c r="K15" i="123"/>
  <c r="K25" i="123"/>
  <c r="K30" i="123"/>
  <c r="K38" i="123"/>
  <c r="K35" i="124"/>
  <c r="P13" i="124"/>
  <c r="R22" i="124"/>
  <c r="R21" i="124" s="1"/>
  <c r="Q22" i="124"/>
  <c r="M22" i="124"/>
  <c r="P22" i="124"/>
  <c r="L22" i="124"/>
  <c r="L21" i="124" s="1"/>
  <c r="K21" i="124"/>
  <c r="F9" i="124"/>
  <c r="Q11" i="124"/>
  <c r="Q9" i="124" s="1"/>
  <c r="M11" i="124"/>
  <c r="M9" i="124" s="1"/>
  <c r="P11" i="124"/>
  <c r="P9" i="124" s="1"/>
  <c r="L11" i="124"/>
  <c r="H11" i="124"/>
  <c r="H9" i="124" s="1"/>
  <c r="D11" i="124"/>
  <c r="B9" i="124"/>
  <c r="K11" i="124"/>
  <c r="G11" i="124"/>
  <c r="G9" i="124" s="1"/>
  <c r="C11" i="124"/>
  <c r="C9" i="124" s="1"/>
  <c r="R11" i="124"/>
  <c r="K17" i="124"/>
  <c r="R40" i="124"/>
  <c r="Q40" i="124"/>
  <c r="Q39" i="124" s="1"/>
  <c r="M40" i="124"/>
  <c r="P40" i="124"/>
  <c r="L40" i="124"/>
  <c r="K39" i="124"/>
  <c r="R10" i="124"/>
  <c r="S10" i="124" s="1"/>
  <c r="M14" i="124"/>
  <c r="M13" i="124" s="1"/>
  <c r="R15" i="124"/>
  <c r="R13" i="124" s="1"/>
  <c r="D18" i="124"/>
  <c r="D17" i="124" s="1"/>
  <c r="H18" i="124"/>
  <c r="H17" i="124" s="1"/>
  <c r="L18" i="124"/>
  <c r="L17" i="124" s="1"/>
  <c r="P18" i="124"/>
  <c r="M19" i="124"/>
  <c r="N19" i="124" s="1"/>
  <c r="Q19" i="124"/>
  <c r="D22" i="124"/>
  <c r="D21" i="124" s="1"/>
  <c r="H22" i="124"/>
  <c r="H21" i="124" s="1"/>
  <c r="M23" i="124"/>
  <c r="N23" i="124" s="1"/>
  <c r="Q23" i="124"/>
  <c r="S23" i="124" s="1"/>
  <c r="K29" i="124"/>
  <c r="F14" i="124"/>
  <c r="F19" i="124"/>
  <c r="R19" i="124"/>
  <c r="R17" i="124" s="1"/>
  <c r="F23" i="124"/>
  <c r="L10" i="124"/>
  <c r="L9" i="124" s="1"/>
  <c r="B13" i="124"/>
  <c r="C14" i="124"/>
  <c r="C13" i="124" s="1"/>
  <c r="L15" i="124"/>
  <c r="N15" i="124" s="1"/>
  <c r="F18" i="124"/>
  <c r="C19" i="124"/>
  <c r="C17" i="124" s="1"/>
  <c r="G19" i="124"/>
  <c r="G17" i="124" s="1"/>
  <c r="C23" i="124"/>
  <c r="E26" i="124"/>
  <c r="M26" i="124"/>
  <c r="Q26" i="124"/>
  <c r="Q25" i="124" s="1"/>
  <c r="F27" i="124"/>
  <c r="R27" i="124"/>
  <c r="S27" i="124" s="1"/>
  <c r="D30" i="124"/>
  <c r="D29" i="124" s="1"/>
  <c r="H30" i="124"/>
  <c r="H29" i="124" s="1"/>
  <c r="L30" i="124"/>
  <c r="L29" i="124" s="1"/>
  <c r="P30" i="124"/>
  <c r="M31" i="124"/>
  <c r="N31" i="124" s="1"/>
  <c r="Q31" i="124"/>
  <c r="F38" i="124"/>
  <c r="R38" i="124"/>
  <c r="S38" i="124" s="1"/>
  <c r="H40" i="124"/>
  <c r="H39" i="124" s="1"/>
  <c r="F42" i="124"/>
  <c r="R42" i="124"/>
  <c r="S42" i="124" s="1"/>
  <c r="F26" i="124"/>
  <c r="M30" i="124"/>
  <c r="M29" i="124" s="1"/>
  <c r="Q30" i="124"/>
  <c r="F31" i="124"/>
  <c r="R31" i="124"/>
  <c r="R29" i="124" s="1"/>
  <c r="C38" i="124"/>
  <c r="G38" i="124"/>
  <c r="F41" i="124"/>
  <c r="L27" i="124"/>
  <c r="F30" i="124"/>
  <c r="C31" i="124"/>
  <c r="C29" i="124" s="1"/>
  <c r="G31" i="124"/>
  <c r="G29" i="124" s="1"/>
  <c r="D38" i="124"/>
  <c r="L38" i="124"/>
  <c r="N38" i="124" s="1"/>
  <c r="C41" i="124"/>
  <c r="C39" i="124" s="1"/>
  <c r="D42" i="124"/>
  <c r="E42" i="124" s="1"/>
  <c r="L42" i="124"/>
  <c r="N42" i="124" s="1"/>
  <c r="E44" i="123"/>
  <c r="E35" i="123" s="1"/>
  <c r="I55" i="123"/>
  <c r="I54" i="123" s="1"/>
  <c r="G54" i="123"/>
  <c r="F52" i="123"/>
  <c r="K22" i="123"/>
  <c r="F35" i="123"/>
  <c r="G33" i="123"/>
  <c r="G34" i="123"/>
  <c r="E32" i="123"/>
  <c r="GF78" i="114"/>
  <c r="FZ78" i="114"/>
  <c r="FT78" i="114"/>
  <c r="FQ78" i="114"/>
  <c r="FN78" i="114"/>
  <c r="FK78" i="114"/>
  <c r="FH78" i="114"/>
  <c r="FE78" i="114"/>
  <c r="FB78" i="114"/>
  <c r="EY78" i="114"/>
  <c r="EV78" i="114"/>
  <c r="ES78" i="114"/>
  <c r="EP78" i="114"/>
  <c r="EM78" i="114"/>
  <c r="EG78" i="114"/>
  <c r="EA78" i="114"/>
  <c r="DU78" i="114"/>
  <c r="DO78" i="114"/>
  <c r="DL78" i="114"/>
  <c r="DF78" i="114"/>
  <c r="DC78" i="114"/>
  <c r="CZ78" i="114"/>
  <c r="CW78" i="114"/>
  <c r="CT78" i="114"/>
  <c r="CQ78" i="114"/>
  <c r="CN78" i="114"/>
  <c r="CH78" i="114"/>
  <c r="CE78" i="114"/>
  <c r="CB78" i="114"/>
  <c r="BV78" i="114"/>
  <c r="BS78" i="114"/>
  <c r="BP78" i="114"/>
  <c r="BM78" i="114"/>
  <c r="BJ78" i="114"/>
  <c r="BG78" i="114"/>
  <c r="BD78" i="114"/>
  <c r="BA78" i="114"/>
  <c r="AX78" i="114"/>
  <c r="AU78" i="114"/>
  <c r="AR78" i="114"/>
  <c r="AO78" i="114"/>
  <c r="AI78" i="114"/>
  <c r="AF78" i="114"/>
  <c r="AC78" i="114"/>
  <c r="Z78" i="114"/>
  <c r="W78" i="114"/>
  <c r="T78" i="114"/>
  <c r="Q78" i="114"/>
  <c r="N78" i="114"/>
  <c r="K78" i="114"/>
  <c r="H78" i="114"/>
  <c r="E78" i="114"/>
  <c r="B78" i="114"/>
  <c r="GF66" i="116"/>
  <c r="FZ66" i="116"/>
  <c r="FT66" i="116"/>
  <c r="FQ66" i="116"/>
  <c r="FN66" i="116"/>
  <c r="FK66" i="116"/>
  <c r="FH66" i="116"/>
  <c r="FE66" i="116"/>
  <c r="FB66" i="116"/>
  <c r="EY66" i="116"/>
  <c r="EV66" i="116"/>
  <c r="ES66" i="116"/>
  <c r="EP66" i="116"/>
  <c r="EM66" i="116"/>
  <c r="EG66" i="116"/>
  <c r="EA66" i="116"/>
  <c r="DU66" i="116"/>
  <c r="DO66" i="116"/>
  <c r="DL66" i="116"/>
  <c r="DF66" i="116"/>
  <c r="DC66" i="116"/>
  <c r="CZ66" i="116"/>
  <c r="CW66" i="116"/>
  <c r="CT66" i="116"/>
  <c r="CQ66" i="116"/>
  <c r="CN66" i="116"/>
  <c r="CH66" i="116"/>
  <c r="CE66" i="116"/>
  <c r="CB66" i="116"/>
  <c r="BY66" i="116"/>
  <c r="BV66" i="116"/>
  <c r="BS66" i="116"/>
  <c r="BP66" i="116"/>
  <c r="BM66" i="116"/>
  <c r="BJ66" i="116"/>
  <c r="BG66" i="116"/>
  <c r="BD66" i="116"/>
  <c r="BA66" i="116"/>
  <c r="AX66" i="116"/>
  <c r="AU66" i="116"/>
  <c r="AR66" i="116"/>
  <c r="AO66" i="116"/>
  <c r="AI66" i="116"/>
  <c r="AF66" i="116"/>
  <c r="AC66" i="116"/>
  <c r="Z66" i="116"/>
  <c r="W66" i="116"/>
  <c r="T66" i="116"/>
  <c r="Q66" i="116"/>
  <c r="N66" i="116"/>
  <c r="K66" i="116"/>
  <c r="H66" i="116"/>
  <c r="E66" i="116"/>
  <c r="B66" i="116"/>
  <c r="J10" i="124" l="1"/>
  <c r="N11" i="124"/>
  <c r="N26" i="124"/>
  <c r="E40" i="124"/>
  <c r="S41" i="124"/>
  <c r="I27" i="124"/>
  <c r="C21" i="124"/>
  <c r="S19" i="124"/>
  <c r="M39" i="124"/>
  <c r="D25" i="124"/>
  <c r="L25" i="124"/>
  <c r="M25" i="124"/>
  <c r="M35" i="124" s="1"/>
  <c r="C25" i="124"/>
  <c r="E19" i="124"/>
  <c r="E27" i="124"/>
  <c r="N27" i="124"/>
  <c r="H35" i="124"/>
  <c r="E38" i="124"/>
  <c r="Q35" i="124"/>
  <c r="D39" i="124"/>
  <c r="E39" i="124" s="1"/>
  <c r="G35" i="124"/>
  <c r="E30" i="124"/>
  <c r="I42" i="124"/>
  <c r="J42" i="124" s="1"/>
  <c r="O42" i="124" s="1"/>
  <c r="T42" i="124" s="1"/>
  <c r="S31" i="124"/>
  <c r="K9" i="124"/>
  <c r="H37" i="124"/>
  <c r="I15" i="124"/>
  <c r="J15" i="124" s="1"/>
  <c r="O15" i="124" s="1"/>
  <c r="G20" i="124"/>
  <c r="D37" i="124"/>
  <c r="D9" i="124"/>
  <c r="D33" i="124" s="1"/>
  <c r="E29" i="124"/>
  <c r="S26" i="124"/>
  <c r="N18" i="124"/>
  <c r="I11" i="124"/>
  <c r="Q17" i="124"/>
  <c r="Q8" i="124" s="1"/>
  <c r="D13" i="124"/>
  <c r="D35" i="124" s="1"/>
  <c r="G50" i="123"/>
  <c r="K13" i="123"/>
  <c r="C48" i="123"/>
  <c r="C47" i="123" s="1"/>
  <c r="C58" i="123" s="1"/>
  <c r="K48" i="123"/>
  <c r="C21" i="123"/>
  <c r="G21" i="123"/>
  <c r="K35" i="123"/>
  <c r="K27" i="123"/>
  <c r="F50" i="123"/>
  <c r="K50" i="123" s="1"/>
  <c r="K17" i="123"/>
  <c r="I48" i="123"/>
  <c r="I21" i="123"/>
  <c r="H47" i="123"/>
  <c r="H58" i="123" s="1"/>
  <c r="H59" i="123" s="1"/>
  <c r="H21" i="123"/>
  <c r="K21" i="123" s="1"/>
  <c r="E48" i="123"/>
  <c r="E21" i="123"/>
  <c r="D47" i="123"/>
  <c r="D58" i="123" s="1"/>
  <c r="D59" i="123" s="1"/>
  <c r="F47" i="123"/>
  <c r="F58" i="123" s="1"/>
  <c r="F59" i="123" s="1"/>
  <c r="F60" i="123" s="1"/>
  <c r="G37" i="124"/>
  <c r="R37" i="124"/>
  <c r="C33" i="124"/>
  <c r="C8" i="124"/>
  <c r="C20" i="124"/>
  <c r="E21" i="124"/>
  <c r="C37" i="124"/>
  <c r="E37" i="124" s="1"/>
  <c r="E17" i="124"/>
  <c r="E23" i="124"/>
  <c r="I40" i="124"/>
  <c r="J40" i="124" s="1"/>
  <c r="I19" i="124"/>
  <c r="J19" i="124" s="1"/>
  <c r="O19" i="124" s="1"/>
  <c r="T19" i="124" s="1"/>
  <c r="N29" i="124"/>
  <c r="H20" i="124"/>
  <c r="E14" i="124"/>
  <c r="R25" i="124"/>
  <c r="R20" i="124" s="1"/>
  <c r="E11" i="124"/>
  <c r="J11" i="124" s="1"/>
  <c r="O11" i="124" s="1"/>
  <c r="E22" i="124"/>
  <c r="P21" i="124"/>
  <c r="S22" i="124"/>
  <c r="N14" i="124"/>
  <c r="S15" i="124"/>
  <c r="S11" i="124"/>
  <c r="L20" i="124"/>
  <c r="G33" i="124"/>
  <c r="G8" i="124"/>
  <c r="L13" i="124"/>
  <c r="I41" i="124"/>
  <c r="F39" i="124"/>
  <c r="I39" i="124" s="1"/>
  <c r="I31" i="124"/>
  <c r="E31" i="124"/>
  <c r="B35" i="124"/>
  <c r="F13" i="124"/>
  <c r="I14" i="124"/>
  <c r="N30" i="124"/>
  <c r="D20" i="124"/>
  <c r="P17" i="124"/>
  <c r="S18" i="124"/>
  <c r="R9" i="124"/>
  <c r="S9" i="124" s="1"/>
  <c r="L39" i="124"/>
  <c r="N40" i="124"/>
  <c r="I22" i="124"/>
  <c r="H33" i="124"/>
  <c r="H8" i="124"/>
  <c r="I9" i="124"/>
  <c r="M17" i="124"/>
  <c r="M37" i="124" s="1"/>
  <c r="M21" i="124"/>
  <c r="M20" i="124" s="1"/>
  <c r="P35" i="124"/>
  <c r="S13" i="124"/>
  <c r="I30" i="124"/>
  <c r="J30" i="124" s="1"/>
  <c r="O30" i="124" s="1"/>
  <c r="F29" i="124"/>
  <c r="I29" i="124" s="1"/>
  <c r="K33" i="124"/>
  <c r="N9" i="124"/>
  <c r="K8" i="124"/>
  <c r="B8" i="124"/>
  <c r="B33" i="124"/>
  <c r="N22" i="124"/>
  <c r="Q29" i="124"/>
  <c r="I26" i="124"/>
  <c r="J26" i="124" s="1"/>
  <c r="O26" i="124" s="1"/>
  <c r="F25" i="124"/>
  <c r="I25" i="124" s="1"/>
  <c r="E41" i="124"/>
  <c r="J41" i="124" s="1"/>
  <c r="O41" i="124" s="1"/>
  <c r="T41" i="124" s="1"/>
  <c r="I38" i="124"/>
  <c r="J38" i="124" s="1"/>
  <c r="O38" i="124" s="1"/>
  <c r="T38" i="124" s="1"/>
  <c r="P29" i="124"/>
  <c r="S30" i="124"/>
  <c r="I18" i="124"/>
  <c r="F17" i="124"/>
  <c r="L33" i="124"/>
  <c r="I23" i="124"/>
  <c r="F21" i="124"/>
  <c r="F33" i="124" s="1"/>
  <c r="L37" i="124"/>
  <c r="N10" i="124"/>
  <c r="O10" i="124" s="1"/>
  <c r="T10" i="124" s="1"/>
  <c r="P39" i="124"/>
  <c r="S40" i="124"/>
  <c r="R39" i="124"/>
  <c r="K37" i="124"/>
  <c r="K20" i="124"/>
  <c r="Q21" i="124"/>
  <c r="E18" i="124"/>
  <c r="I33" i="123"/>
  <c r="G45" i="123"/>
  <c r="G32" i="123"/>
  <c r="E52" i="123"/>
  <c r="E47" i="123" s="1"/>
  <c r="E58" i="123" s="1"/>
  <c r="E59" i="123" s="1"/>
  <c r="K52" i="123"/>
  <c r="I34" i="123"/>
  <c r="I46" i="123" s="1"/>
  <c r="G46" i="123"/>
  <c r="BY123" i="115"/>
  <c r="BV123" i="115"/>
  <c r="BS123" i="115"/>
  <c r="BP123" i="115"/>
  <c r="BM123" i="115"/>
  <c r="BD123" i="115"/>
  <c r="AX123" i="115"/>
  <c r="AU123" i="115"/>
  <c r="AR123" i="115"/>
  <c r="AO123" i="115"/>
  <c r="AC123" i="115"/>
  <c r="Z123" i="115"/>
  <c r="W123" i="115"/>
  <c r="T123" i="115"/>
  <c r="Q123" i="115"/>
  <c r="N123" i="115"/>
  <c r="K123" i="115"/>
  <c r="H123" i="115"/>
  <c r="E123" i="115"/>
  <c r="B123" i="115"/>
  <c r="N25" i="124" l="1"/>
  <c r="J39" i="124"/>
  <c r="E25" i="124"/>
  <c r="E20" i="124"/>
  <c r="J27" i="124"/>
  <c r="O27" i="124" s="1"/>
  <c r="T27" i="124" s="1"/>
  <c r="N20" i="124"/>
  <c r="J25" i="124"/>
  <c r="O25" i="124" s="1"/>
  <c r="D32" i="124"/>
  <c r="D43" i="124" s="1"/>
  <c r="D44" i="124" s="1"/>
  <c r="D45" i="124" s="1"/>
  <c r="J29" i="124"/>
  <c r="O29" i="124" s="1"/>
  <c r="N39" i="124"/>
  <c r="J18" i="124"/>
  <c r="O18" i="124" s="1"/>
  <c r="T18" i="124" s="1"/>
  <c r="Q37" i="124"/>
  <c r="H32" i="124"/>
  <c r="H43" i="124" s="1"/>
  <c r="H44" i="124" s="1"/>
  <c r="H46" i="124" s="1"/>
  <c r="C35" i="124"/>
  <c r="T15" i="124"/>
  <c r="R35" i="124"/>
  <c r="N17" i="124"/>
  <c r="J31" i="124"/>
  <c r="O31" i="124" s="1"/>
  <c r="T31" i="124" s="1"/>
  <c r="O40" i="124"/>
  <c r="T40" i="124" s="1"/>
  <c r="T30" i="124"/>
  <c r="D8" i="124"/>
  <c r="E8" i="124" s="1"/>
  <c r="E9" i="124"/>
  <c r="J9" i="124" s="1"/>
  <c r="O9" i="124" s="1"/>
  <c r="E13" i="124"/>
  <c r="S29" i="124"/>
  <c r="T26" i="124"/>
  <c r="E35" i="124"/>
  <c r="K47" i="123"/>
  <c r="H61" i="123"/>
  <c r="H64" i="123" s="1"/>
  <c r="H60" i="123"/>
  <c r="F61" i="123"/>
  <c r="F64" i="123" s="1"/>
  <c r="D61" i="123"/>
  <c r="D64" i="123" s="1"/>
  <c r="D60" i="123"/>
  <c r="O39" i="124"/>
  <c r="I21" i="124"/>
  <c r="F20" i="124"/>
  <c r="I20" i="124" s="1"/>
  <c r="J20" i="124" s="1"/>
  <c r="O20" i="124" s="1"/>
  <c r="P37" i="124"/>
  <c r="S37" i="124" s="1"/>
  <c r="S17" i="124"/>
  <c r="F35" i="124"/>
  <c r="I35" i="124" s="1"/>
  <c r="I13" i="124"/>
  <c r="L35" i="124"/>
  <c r="N35" i="124" s="1"/>
  <c r="N13" i="124"/>
  <c r="P20" i="124"/>
  <c r="S21" i="124"/>
  <c r="J21" i="124"/>
  <c r="P8" i="124"/>
  <c r="J14" i="124"/>
  <c r="O14" i="124" s="1"/>
  <c r="T14" i="124" s="1"/>
  <c r="M33" i="124"/>
  <c r="M32" i="124" s="1"/>
  <c r="M43" i="124" s="1"/>
  <c r="M44" i="124" s="1"/>
  <c r="F37" i="124"/>
  <c r="I37" i="124" s="1"/>
  <c r="J37" i="124" s="1"/>
  <c r="I17" i="124"/>
  <c r="J17" i="124" s="1"/>
  <c r="Q20" i="124"/>
  <c r="S39" i="124"/>
  <c r="E33" i="124"/>
  <c r="B32" i="124"/>
  <c r="K32" i="124"/>
  <c r="S35" i="124"/>
  <c r="J22" i="124"/>
  <c r="O22" i="124" s="1"/>
  <c r="T22" i="124" s="1"/>
  <c r="J23" i="124"/>
  <c r="O23" i="124" s="1"/>
  <c r="T23" i="124" s="1"/>
  <c r="C32" i="124"/>
  <c r="C43" i="124" s="1"/>
  <c r="C44" i="124" s="1"/>
  <c r="I33" i="124"/>
  <c r="T9" i="124"/>
  <c r="N21" i="124"/>
  <c r="N37" i="124"/>
  <c r="L8" i="124"/>
  <c r="F8" i="124"/>
  <c r="I8" i="124" s="1"/>
  <c r="R8" i="124"/>
  <c r="R33" i="124"/>
  <c r="R32" i="124" s="1"/>
  <c r="R43" i="124" s="1"/>
  <c r="R44" i="124" s="1"/>
  <c r="G32" i="124"/>
  <c r="G43" i="124" s="1"/>
  <c r="G44" i="124" s="1"/>
  <c r="S25" i="124"/>
  <c r="T25" i="124" s="1"/>
  <c r="T11" i="124"/>
  <c r="Q33" i="124"/>
  <c r="Q32" i="124" s="1"/>
  <c r="Q43" i="124" s="1"/>
  <c r="Q44" i="124" s="1"/>
  <c r="M8" i="124"/>
  <c r="N8" i="124" s="1"/>
  <c r="P33" i="124"/>
  <c r="I45" i="123"/>
  <c r="I44" i="123" s="1"/>
  <c r="I35" i="123" s="1"/>
  <c r="I32" i="123"/>
  <c r="E61" i="123"/>
  <c r="E64" i="123" s="1"/>
  <c r="E60" i="123"/>
  <c r="K58" i="123"/>
  <c r="C59" i="123"/>
  <c r="G44" i="123"/>
  <c r="G35" i="123" s="1"/>
  <c r="G52" i="123"/>
  <c r="G47" i="123" s="1"/>
  <c r="G58" i="123" s="1"/>
  <c r="G59" i="123" s="1"/>
  <c r="CH158" i="113"/>
  <c r="CH125" i="115"/>
  <c r="BJ125" i="115"/>
  <c r="BJ124" i="115"/>
  <c r="FT67" i="116"/>
  <c r="GF67" i="116" s="1"/>
  <c r="FQ67" i="116"/>
  <c r="EM67" i="116"/>
  <c r="EV67" i="116" s="1"/>
  <c r="FE67" i="116" s="1"/>
  <c r="FH67" i="116"/>
  <c r="EY67" i="116"/>
  <c r="EP67" i="116"/>
  <c r="DU67" i="116"/>
  <c r="EG67" i="116" s="1"/>
  <c r="DR67" i="116"/>
  <c r="DX67" i="116" s="1"/>
  <c r="DO67" i="116"/>
  <c r="EA67" i="116" s="1"/>
  <c r="DI67" i="116"/>
  <c r="DF67" i="116"/>
  <c r="CZ67" i="116"/>
  <c r="CQ67" i="116"/>
  <c r="CN67" i="116"/>
  <c r="CW67" i="116" s="1"/>
  <c r="BV67" i="116"/>
  <c r="CH67" i="116" s="1"/>
  <c r="BS67" i="116"/>
  <c r="BY67" i="116" s="1"/>
  <c r="BP67" i="116"/>
  <c r="CB67" i="116" s="1"/>
  <c r="BJ67" i="116"/>
  <c r="BG67" i="116"/>
  <c r="BA67" i="116"/>
  <c r="AR67" i="116"/>
  <c r="AO67" i="116"/>
  <c r="AX67" i="116" s="1"/>
  <c r="AI67" i="116"/>
  <c r="AF67" i="116"/>
  <c r="AL67" i="116" s="1"/>
  <c r="AC67" i="116"/>
  <c r="W67" i="116"/>
  <c r="T67" i="116"/>
  <c r="N67" i="116"/>
  <c r="E67" i="116"/>
  <c r="B67" i="116"/>
  <c r="K67" i="116" s="1"/>
  <c r="CE177" i="115"/>
  <c r="BV177" i="115"/>
  <c r="BS177" i="115"/>
  <c r="BP177" i="115"/>
  <c r="BY177" i="115" s="1"/>
  <c r="BM177" i="115"/>
  <c r="CB177" i="115" s="1"/>
  <c r="BG177" i="115"/>
  <c r="BJ177" i="115" s="1"/>
  <c r="BD177" i="115"/>
  <c r="AX177" i="115"/>
  <c r="AU177" i="115"/>
  <c r="AR177" i="115"/>
  <c r="BA177" i="115" s="1"/>
  <c r="AO177" i="115"/>
  <c r="AI177" i="115"/>
  <c r="AL177" i="115" s="1"/>
  <c r="AF177" i="115"/>
  <c r="AC177" i="115"/>
  <c r="Z177" i="115"/>
  <c r="W177" i="115"/>
  <c r="T177" i="115"/>
  <c r="Q177" i="115"/>
  <c r="K177" i="115"/>
  <c r="H177" i="115"/>
  <c r="E177" i="115"/>
  <c r="N177" i="115" s="1"/>
  <c r="B177" i="115"/>
  <c r="CB124" i="115"/>
  <c r="CH124" i="115" s="1"/>
  <c r="BY124" i="115"/>
  <c r="CE124" i="115" s="1"/>
  <c r="BG124" i="115"/>
  <c r="BD124" i="115"/>
  <c r="BA124" i="115"/>
  <c r="AI124" i="115"/>
  <c r="AL124" i="115" s="1"/>
  <c r="AF124" i="115"/>
  <c r="AC124" i="115"/>
  <c r="N124" i="115"/>
  <c r="FT79" i="114"/>
  <c r="GF79" i="114" s="1"/>
  <c r="FQ79" i="114"/>
  <c r="FH79" i="114"/>
  <c r="EM79" i="114"/>
  <c r="EV79" i="114" s="1"/>
  <c r="FE79" i="114" s="1"/>
  <c r="EY79" i="114"/>
  <c r="EP79" i="114"/>
  <c r="DU79" i="114"/>
  <c r="EG79" i="114" s="1"/>
  <c r="DR79" i="114"/>
  <c r="DX79" i="114" s="1"/>
  <c r="DO79" i="114"/>
  <c r="EA79" i="114" s="1"/>
  <c r="DI79" i="114"/>
  <c r="DF79" i="114"/>
  <c r="CZ79" i="114"/>
  <c r="CQ79" i="114"/>
  <c r="CN79" i="114"/>
  <c r="CW79" i="114" s="1"/>
  <c r="CH79" i="114"/>
  <c r="CE79" i="114"/>
  <c r="CK79" i="114" s="1"/>
  <c r="CB79" i="114"/>
  <c r="BV79" i="114"/>
  <c r="BS79" i="114"/>
  <c r="BY79" i="114" s="1"/>
  <c r="BP79" i="114"/>
  <c r="BJ79" i="114"/>
  <c r="BG79" i="114"/>
  <c r="BA79" i="114"/>
  <c r="AX79" i="114"/>
  <c r="AR79" i="114"/>
  <c r="AO79" i="114"/>
  <c r="AI79" i="114"/>
  <c r="AF79" i="114"/>
  <c r="AL79" i="114" s="1"/>
  <c r="AC79" i="114"/>
  <c r="W79" i="114"/>
  <c r="T79" i="114"/>
  <c r="N79" i="114"/>
  <c r="K79" i="114"/>
  <c r="E79" i="114"/>
  <c r="B79" i="114"/>
  <c r="BJ219" i="113"/>
  <c r="BJ218" i="113"/>
  <c r="CH219" i="113"/>
  <c r="CE218" i="113"/>
  <c r="BV218" i="113"/>
  <c r="BS218" i="113"/>
  <c r="BP218" i="113"/>
  <c r="BY218" i="113" s="1"/>
  <c r="BY217" i="113" s="1"/>
  <c r="BM218" i="113"/>
  <c r="CB218" i="113" s="1"/>
  <c r="CH218" i="113" s="1"/>
  <c r="BG218" i="113"/>
  <c r="BD218" i="113"/>
  <c r="BA218" i="113"/>
  <c r="AX218" i="113"/>
  <c r="AU218" i="113"/>
  <c r="AR218" i="113"/>
  <c r="AO218" i="113"/>
  <c r="AO217" i="113" s="1"/>
  <c r="AI218" i="113"/>
  <c r="AL218" i="113" s="1"/>
  <c r="AF218" i="113"/>
  <c r="AC218" i="113"/>
  <c r="Z218" i="113"/>
  <c r="W218" i="113"/>
  <c r="T218" i="113"/>
  <c r="T217" i="113" s="1"/>
  <c r="Q218" i="113"/>
  <c r="Q217" i="113" s="1"/>
  <c r="K218" i="113"/>
  <c r="H218" i="113"/>
  <c r="E218" i="113"/>
  <c r="N218" i="113" s="1"/>
  <c r="N217" i="113" s="1"/>
  <c r="B218" i="113"/>
  <c r="BJ158" i="113"/>
  <c r="BJ157" i="113"/>
  <c r="CB162" i="113"/>
  <c r="CC162" i="113"/>
  <c r="CD162" i="113"/>
  <c r="CE157" i="113"/>
  <c r="CB157" i="113"/>
  <c r="CH157" i="113" s="1"/>
  <c r="BG157" i="113"/>
  <c r="BD157" i="113"/>
  <c r="BA157" i="113"/>
  <c r="AI157" i="113"/>
  <c r="AL157" i="113" s="1"/>
  <c r="AF157" i="113"/>
  <c r="AC157" i="113"/>
  <c r="AC156" i="113" s="1"/>
  <c r="N157" i="113"/>
  <c r="BY156" i="113"/>
  <c r="BV156" i="113"/>
  <c r="BS156" i="113"/>
  <c r="BP156" i="113"/>
  <c r="BM156" i="113"/>
  <c r="AX156" i="113"/>
  <c r="AU156" i="113"/>
  <c r="AR156" i="113"/>
  <c r="AO156" i="113"/>
  <c r="Z156" i="113"/>
  <c r="W156" i="113"/>
  <c r="T156" i="113"/>
  <c r="Q156" i="113"/>
  <c r="N156" i="113"/>
  <c r="K156" i="113"/>
  <c r="H156" i="113"/>
  <c r="E156" i="113"/>
  <c r="B156" i="113"/>
  <c r="H217" i="113"/>
  <c r="K217" i="113"/>
  <c r="W217" i="113"/>
  <c r="Z217" i="113"/>
  <c r="AC217" i="113"/>
  <c r="AR217" i="113"/>
  <c r="AU217" i="113"/>
  <c r="BM217" i="113"/>
  <c r="BS217" i="113"/>
  <c r="BV217" i="113"/>
  <c r="B217" i="113"/>
  <c r="D46" i="124" l="1"/>
  <c r="H45" i="124"/>
  <c r="J13" i="124"/>
  <c r="O13" i="124" s="1"/>
  <c r="T13" i="124" s="1"/>
  <c r="O17" i="124"/>
  <c r="T17" i="124" s="1"/>
  <c r="T29" i="124"/>
  <c r="N33" i="124"/>
  <c r="J35" i="124"/>
  <c r="O37" i="124"/>
  <c r="T37" i="124" s="1"/>
  <c r="F32" i="124"/>
  <c r="I32" i="124" s="1"/>
  <c r="J8" i="124"/>
  <c r="O8" i="124" s="1"/>
  <c r="G45" i="124"/>
  <c r="G46" i="124"/>
  <c r="C45" i="124"/>
  <c r="C46" i="124"/>
  <c r="K43" i="124"/>
  <c r="M45" i="124"/>
  <c r="M46" i="124"/>
  <c r="O21" i="124"/>
  <c r="T21" i="124" s="1"/>
  <c r="Q45" i="124"/>
  <c r="Q46" i="124"/>
  <c r="O35" i="124"/>
  <c r="T35" i="124" s="1"/>
  <c r="E32" i="124"/>
  <c r="B43" i="124"/>
  <c r="S20" i="124"/>
  <c r="T20" i="124" s="1"/>
  <c r="P32" i="124"/>
  <c r="S33" i="124"/>
  <c r="S8" i="124"/>
  <c r="R45" i="124"/>
  <c r="R46" i="124"/>
  <c r="J33" i="124"/>
  <c r="O33" i="124" s="1"/>
  <c r="L32" i="124"/>
  <c r="L43" i="124" s="1"/>
  <c r="L44" i="124" s="1"/>
  <c r="T39" i="124"/>
  <c r="G61" i="123"/>
  <c r="G64" i="123" s="1"/>
  <c r="G60" i="123"/>
  <c r="K59" i="123"/>
  <c r="C61" i="123"/>
  <c r="C60" i="123"/>
  <c r="K60" i="123" s="1"/>
  <c r="I52" i="123"/>
  <c r="I47" i="123" s="1"/>
  <c r="I58" i="123" s="1"/>
  <c r="I59" i="123" s="1"/>
  <c r="FN79" i="114"/>
  <c r="FZ79" i="114" s="1"/>
  <c r="FW79" i="114"/>
  <c r="FN67" i="116"/>
  <c r="FZ67" i="116" s="1"/>
  <c r="FW67" i="116"/>
  <c r="CH177" i="115"/>
  <c r="GC67" i="116"/>
  <c r="GI67" i="116" s="1"/>
  <c r="ED67" i="116"/>
  <c r="EJ67" i="116" s="1"/>
  <c r="CE67" i="116"/>
  <c r="CK67" i="116" s="1"/>
  <c r="GC79" i="114"/>
  <c r="GI79" i="114" s="1"/>
  <c r="ED79" i="114"/>
  <c r="EJ79" i="114" s="1"/>
  <c r="BP217" i="113"/>
  <c r="E217" i="113"/>
  <c r="AV105" i="113"/>
  <c r="T8" i="124" l="1"/>
  <c r="F43" i="124"/>
  <c r="F44" i="124" s="1"/>
  <c r="N32" i="124"/>
  <c r="J32" i="124"/>
  <c r="L46" i="124"/>
  <c r="L45" i="124"/>
  <c r="K44" i="124"/>
  <c r="N43" i="124"/>
  <c r="T33" i="124"/>
  <c r="B44" i="124"/>
  <c r="E43" i="124"/>
  <c r="P43" i="124"/>
  <c r="S32" i="124"/>
  <c r="I61" i="123"/>
  <c r="I64" i="123" s="1"/>
  <c r="I60" i="123"/>
  <c r="K61" i="123"/>
  <c r="C64" i="123"/>
  <c r="AV55" i="113"/>
  <c r="AV54" i="113"/>
  <c r="I43" i="124" l="1"/>
  <c r="J43" i="124" s="1"/>
  <c r="O43" i="124" s="1"/>
  <c r="O32" i="124"/>
  <c r="T32" i="124" s="1"/>
  <c r="B45" i="124"/>
  <c r="E45" i="124" s="1"/>
  <c r="E44" i="124"/>
  <c r="B46" i="124"/>
  <c r="E46" i="124" s="1"/>
  <c r="P44" i="124"/>
  <c r="S43" i="124"/>
  <c r="K45" i="124"/>
  <c r="N45" i="124" s="1"/>
  <c r="N44" i="124"/>
  <c r="K46" i="124"/>
  <c r="N46" i="124" s="1"/>
  <c r="F45" i="124"/>
  <c r="I45" i="124" s="1"/>
  <c r="I44" i="124"/>
  <c r="F46" i="124"/>
  <c r="I46" i="124" s="1"/>
  <c r="AV81" i="115"/>
  <c r="AV67" i="115"/>
  <c r="AV51" i="115"/>
  <c r="AV68" i="115"/>
  <c r="AV62" i="115"/>
  <c r="AV69" i="115"/>
  <c r="AV65" i="115"/>
  <c r="AV105" i="115"/>
  <c r="T43" i="124" l="1"/>
  <c r="P46" i="124"/>
  <c r="S46" i="124" s="1"/>
  <c r="P45" i="124"/>
  <c r="S45" i="124" s="1"/>
  <c r="S44" i="124"/>
  <c r="J46" i="124"/>
  <c r="O46" i="124" s="1"/>
  <c r="J44" i="124"/>
  <c r="O44" i="124" s="1"/>
  <c r="J45" i="124"/>
  <c r="O45" i="124" s="1"/>
  <c r="AV101" i="113"/>
  <c r="AV94" i="113" s="1"/>
  <c r="AV112" i="113"/>
  <c r="T46" i="124" l="1"/>
  <c r="T45" i="124"/>
  <c r="T44" i="124"/>
  <c r="AV91" i="113"/>
  <c r="AV76" i="113"/>
  <c r="AV71" i="113"/>
  <c r="AV90" i="113"/>
  <c r="AV121" i="113"/>
  <c r="AS55" i="113" l="1"/>
  <c r="AS93" i="113"/>
  <c r="AS54" i="113"/>
  <c r="AS91" i="113"/>
  <c r="AS105" i="113"/>
  <c r="AS116" i="113"/>
  <c r="AS95" i="113"/>
  <c r="AS71" i="113"/>
  <c r="AS90" i="113"/>
  <c r="AT31" i="113"/>
  <c r="AS121" i="113"/>
  <c r="AS51" i="115" l="1"/>
  <c r="AS81" i="115"/>
  <c r="AS62" i="115"/>
  <c r="AS93" i="115"/>
  <c r="AA115" i="113" l="1"/>
  <c r="AA55" i="113"/>
  <c r="AA54" i="113"/>
  <c r="AA105" i="113"/>
  <c r="AA95" i="113"/>
  <c r="AA116" i="113"/>
  <c r="AA76" i="113"/>
  <c r="AA71" i="113"/>
  <c r="AA78" i="113"/>
  <c r="AA53" i="113"/>
  <c r="AA90" i="113"/>
  <c r="AA68" i="115"/>
  <c r="AA81" i="115"/>
  <c r="AA51" i="115"/>
  <c r="AA57" i="115"/>
  <c r="AA41" i="115"/>
  <c r="AA62" i="115"/>
  <c r="AA52" i="115"/>
  <c r="AA121" i="113" l="1"/>
  <c r="W8" i="113" l="1"/>
  <c r="X8" i="115"/>
  <c r="X10" i="115"/>
  <c r="X53" i="113" l="1"/>
  <c r="X71" i="113" l="1"/>
  <c r="X107" i="113"/>
  <c r="X55" i="113"/>
  <c r="X54" i="113"/>
  <c r="X51" i="113"/>
  <c r="X105" i="113"/>
  <c r="X95" i="113"/>
  <c r="X85" i="113"/>
  <c r="X90" i="113"/>
  <c r="X72" i="115"/>
  <c r="X81" i="115"/>
  <c r="X62" i="115"/>
  <c r="X57" i="115"/>
  <c r="X93" i="115"/>
  <c r="X78" i="113"/>
  <c r="X121" i="113"/>
  <c r="U55" i="113" l="1"/>
  <c r="U144" i="113"/>
  <c r="U54" i="113"/>
  <c r="U105" i="113"/>
  <c r="U111" i="115"/>
  <c r="U69" i="115" l="1"/>
  <c r="U217" i="115"/>
  <c r="U78" i="113" l="1"/>
  <c r="U83" i="113" l="1"/>
  <c r="U81" i="115" l="1"/>
  <c r="U72" i="115"/>
  <c r="U53" i="115"/>
  <c r="U68" i="115"/>
  <c r="U62" i="115"/>
  <c r="U92" i="113" l="1"/>
  <c r="U71" i="113"/>
  <c r="U233" i="113"/>
  <c r="U107" i="113" l="1"/>
  <c r="U86" i="113" l="1"/>
  <c r="U95" i="113"/>
  <c r="U116" i="113"/>
  <c r="U85" i="113" l="1"/>
  <c r="U121" i="113"/>
  <c r="L55" i="113" l="1"/>
  <c r="L54" i="113"/>
  <c r="I55" i="113"/>
  <c r="I54" i="113"/>
  <c r="FT59" i="114" l="1"/>
  <c r="FM59" i="114"/>
  <c r="FL59" i="114" s="1"/>
  <c r="FH59" i="114"/>
  <c r="FD59" i="114"/>
  <c r="FC59" i="114" s="1"/>
  <c r="EU59" i="114"/>
  <c r="ET59" i="114" s="1"/>
  <c r="DU59" i="114"/>
  <c r="DN59" i="114"/>
  <c r="DM59" i="114" s="1"/>
  <c r="DE59" i="114"/>
  <c r="DD59" i="114" s="1"/>
  <c r="CV59" i="114"/>
  <c r="CU59" i="114" s="1"/>
  <c r="BV59" i="114"/>
  <c r="BO59" i="114"/>
  <c r="BN59" i="114" s="1"/>
  <c r="BF59" i="114"/>
  <c r="BE59" i="114" s="1"/>
  <c r="AW59" i="114"/>
  <c r="AV59" i="114" s="1"/>
  <c r="AI59" i="114"/>
  <c r="CH59" i="114" s="1"/>
  <c r="EG59" i="114" s="1"/>
  <c r="GF59" i="114" s="1"/>
  <c r="AB59" i="114"/>
  <c r="AA59" i="114" s="1"/>
  <c r="S59" i="114"/>
  <c r="R59" i="114" s="1"/>
  <c r="J59" i="114"/>
  <c r="I59" i="114" s="1"/>
  <c r="BX204" i="113"/>
  <c r="FJ59" i="114" s="1"/>
  <c r="BW204" i="113"/>
  <c r="FI59" i="114" s="1"/>
  <c r="BU204" i="113"/>
  <c r="FA59" i="114" s="1"/>
  <c r="BT204" i="113"/>
  <c r="EZ59" i="114" s="1"/>
  <c r="BR204" i="113"/>
  <c r="ER59" i="114" s="1"/>
  <c r="BQ204" i="113"/>
  <c r="EQ59" i="114" s="1"/>
  <c r="EP59" i="114" s="1"/>
  <c r="AZ204" i="113"/>
  <c r="DK59" i="114" s="1"/>
  <c r="AY204" i="113"/>
  <c r="DJ59" i="114" s="1"/>
  <c r="AW204" i="113"/>
  <c r="DB59" i="114" s="1"/>
  <c r="AV204" i="113"/>
  <c r="DA59" i="114" s="1"/>
  <c r="CZ59" i="114" s="1"/>
  <c r="AT204" i="113"/>
  <c r="CS59" i="114" s="1"/>
  <c r="AS204" i="113"/>
  <c r="CR59" i="114" s="1"/>
  <c r="AB204" i="113"/>
  <c r="BL59" i="114" s="1"/>
  <c r="AA204" i="113"/>
  <c r="BK59" i="114" s="1"/>
  <c r="Y204" i="113"/>
  <c r="BC59" i="114" s="1"/>
  <c r="X204" i="113"/>
  <c r="BB59" i="114" s="1"/>
  <c r="V204" i="113"/>
  <c r="AT59" i="114" s="1"/>
  <c r="U204" i="113"/>
  <c r="AS59" i="114" s="1"/>
  <c r="M204" i="113"/>
  <c r="Y59" i="114" s="1"/>
  <c r="L204" i="113"/>
  <c r="X59" i="114" s="1"/>
  <c r="J204" i="113"/>
  <c r="P59" i="114" s="1"/>
  <c r="I204" i="113"/>
  <c r="O59" i="114" s="1"/>
  <c r="G204" i="113"/>
  <c r="G59" i="114" s="1"/>
  <c r="F204" i="113"/>
  <c r="F59" i="114" s="1"/>
  <c r="N59" i="114" l="1"/>
  <c r="BT59" i="114"/>
  <c r="BA59" i="114"/>
  <c r="AG59" i="114"/>
  <c r="CF59" i="114" s="1"/>
  <c r="AH59" i="114"/>
  <c r="BU59" i="114"/>
  <c r="CG59" i="114" s="1"/>
  <c r="DT59" i="114"/>
  <c r="BW59" i="114"/>
  <c r="DI59" i="114"/>
  <c r="AJ59" i="114"/>
  <c r="CI59" i="114" s="1"/>
  <c r="EH59" i="114" s="1"/>
  <c r="GG59" i="114" s="1"/>
  <c r="W59" i="114"/>
  <c r="BJ59" i="114"/>
  <c r="FV59" i="114"/>
  <c r="FS59" i="114"/>
  <c r="E59" i="114"/>
  <c r="AF59" i="114" s="1"/>
  <c r="AR59" i="114"/>
  <c r="BS59" i="114" s="1"/>
  <c r="CQ59" i="114"/>
  <c r="DR59" i="114" s="1"/>
  <c r="DS59" i="114"/>
  <c r="EY59" i="114"/>
  <c r="FQ59" i="114" s="1"/>
  <c r="DV59" i="114"/>
  <c r="FU59" i="114"/>
  <c r="AK59" i="114"/>
  <c r="CJ59" i="114" s="1"/>
  <c r="BX59" i="114"/>
  <c r="DW59" i="114"/>
  <c r="FR59" i="114"/>
  <c r="FK70" i="116"/>
  <c r="FB70" i="116"/>
  <c r="ES70" i="116"/>
  <c r="DL70" i="116"/>
  <c r="DC70" i="116"/>
  <c r="CT70" i="116"/>
  <c r="BM70" i="116"/>
  <c r="BD70" i="116"/>
  <c r="AU70" i="116"/>
  <c r="Z70" i="116"/>
  <c r="Q70" i="116"/>
  <c r="H70" i="116"/>
  <c r="BV179" i="115"/>
  <c r="BS179" i="115"/>
  <c r="BP179" i="115"/>
  <c r="BM179" i="115"/>
  <c r="BV178" i="115"/>
  <c r="BS178" i="115"/>
  <c r="BP178" i="115"/>
  <c r="BM178" i="115"/>
  <c r="AX179" i="115"/>
  <c r="AU179" i="115"/>
  <c r="AR179" i="115"/>
  <c r="AO179" i="115"/>
  <c r="AX178" i="115"/>
  <c r="AU178" i="115"/>
  <c r="AR178" i="115"/>
  <c r="AO178" i="115"/>
  <c r="Z179" i="115"/>
  <c r="W179" i="115"/>
  <c r="T179" i="115"/>
  <c r="Q179" i="115"/>
  <c r="Z178" i="115"/>
  <c r="W178" i="115"/>
  <c r="T178" i="115"/>
  <c r="Q178" i="115"/>
  <c r="K179" i="115"/>
  <c r="H179" i="115"/>
  <c r="E179" i="115"/>
  <c r="K178" i="115"/>
  <c r="H178" i="115"/>
  <c r="E178" i="115"/>
  <c r="B179" i="115"/>
  <c r="B178" i="115"/>
  <c r="AO220" i="113"/>
  <c r="AO219" i="113"/>
  <c r="BV220" i="113"/>
  <c r="BS220" i="113"/>
  <c r="BP220" i="113"/>
  <c r="BM220" i="113"/>
  <c r="BV219" i="113"/>
  <c r="BS219" i="113"/>
  <c r="BP219" i="113"/>
  <c r="BM219" i="113"/>
  <c r="AX220" i="113"/>
  <c r="AX217" i="113" s="1"/>
  <c r="AU220" i="113"/>
  <c r="AR220" i="113"/>
  <c r="AX219" i="113"/>
  <c r="AU219" i="113"/>
  <c r="AR219" i="113"/>
  <c r="Z220" i="113"/>
  <c r="W220" i="113"/>
  <c r="Z219" i="113"/>
  <c r="W219" i="113"/>
  <c r="T220" i="113"/>
  <c r="T219" i="113"/>
  <c r="Q220" i="113"/>
  <c r="Q219" i="113"/>
  <c r="B220" i="113"/>
  <c r="B219" i="113"/>
  <c r="K220" i="113"/>
  <c r="K219" i="113"/>
  <c r="H220" i="113"/>
  <c r="H219" i="113"/>
  <c r="E220" i="113"/>
  <c r="E219" i="113"/>
  <c r="CE59" i="114" l="1"/>
  <c r="EF59" i="114"/>
  <c r="EI59" i="114"/>
  <c r="GH59" i="114" s="1"/>
  <c r="EE59" i="114"/>
  <c r="ED59" i="114"/>
  <c r="L133" i="113"/>
  <c r="M37" i="115"/>
  <c r="L63" i="115"/>
  <c r="GD59" i="114" l="1"/>
  <c r="GE59" i="114"/>
  <c r="GC59" i="114"/>
  <c r="L107" i="113"/>
  <c r="L53" i="113"/>
  <c r="L93" i="113"/>
  <c r="L105" i="113"/>
  <c r="L116" i="113"/>
  <c r="L76" i="113"/>
  <c r="L71" i="113"/>
  <c r="L78" i="113"/>
  <c r="L85" i="113"/>
  <c r="L68" i="115"/>
  <c r="L81" i="115"/>
  <c r="L57" i="115"/>
  <c r="L62" i="115"/>
  <c r="L52" i="115"/>
  <c r="L93" i="115"/>
  <c r="L121" i="113"/>
  <c r="BX48" i="113" l="1"/>
  <c r="BW48" i="113"/>
  <c r="BU48" i="113"/>
  <c r="BT48" i="113"/>
  <c r="BR48" i="113"/>
  <c r="BQ48" i="113"/>
  <c r="AZ48" i="113"/>
  <c r="AW48" i="113"/>
  <c r="AT48" i="113"/>
  <c r="AB48" i="113"/>
  <c r="Y48" i="113"/>
  <c r="V48" i="113"/>
  <c r="M48" i="113"/>
  <c r="J48" i="113"/>
  <c r="I91" i="113"/>
  <c r="I105" i="113"/>
  <c r="I116" i="113"/>
  <c r="I107" i="113"/>
  <c r="I71" i="113"/>
  <c r="I78" i="113"/>
  <c r="I85" i="113"/>
  <c r="I53" i="113"/>
  <c r="I92" i="113"/>
  <c r="I81" i="115"/>
  <c r="I72" i="115"/>
  <c r="I41" i="115"/>
  <c r="I62" i="115"/>
  <c r="I121" i="113"/>
  <c r="F121" i="113" l="1"/>
  <c r="BX64" i="113"/>
  <c r="BW64" i="113"/>
  <c r="BU64" i="113"/>
  <c r="BT64" i="113"/>
  <c r="BR64" i="113"/>
  <c r="BQ64" i="113"/>
  <c r="AZ64" i="113"/>
  <c r="AY64" i="113"/>
  <c r="AW64" i="113"/>
  <c r="AV64" i="113"/>
  <c r="AT64" i="113"/>
  <c r="AS64" i="113"/>
  <c r="AB64" i="113"/>
  <c r="AA64" i="113"/>
  <c r="Y64" i="113"/>
  <c r="X64" i="113"/>
  <c r="V64" i="113"/>
  <c r="U64" i="113"/>
  <c r="M64" i="113"/>
  <c r="L64" i="113"/>
  <c r="J64" i="113"/>
  <c r="I64" i="113"/>
  <c r="F144" i="113" l="1"/>
  <c r="F138" i="113"/>
  <c r="F134" i="113"/>
  <c r="F114" i="113"/>
  <c r="G57" i="113"/>
  <c r="G64" i="113"/>
  <c r="E64" i="113" s="1"/>
  <c r="F64" i="113"/>
  <c r="F57" i="113" s="1"/>
  <c r="F251" i="113"/>
  <c r="F186" i="113"/>
  <c r="F68" i="115"/>
  <c r="F81" i="115"/>
  <c r="F72" i="115"/>
  <c r="F41" i="115"/>
  <c r="F62" i="115"/>
  <c r="F107" i="113"/>
  <c r="F93" i="113"/>
  <c r="F89" i="113" s="1"/>
  <c r="F66" i="113" s="1"/>
  <c r="F55" i="113"/>
  <c r="F54" i="113"/>
  <c r="F91" i="113"/>
  <c r="F105" i="113"/>
  <c r="F116" i="113"/>
  <c r="F95" i="113"/>
  <c r="F71" i="113"/>
  <c r="F85" i="113"/>
  <c r="F84" i="113" s="1"/>
  <c r="F53" i="113"/>
  <c r="F9" i="115"/>
  <c r="FM56" i="116"/>
  <c r="FL56" i="116" s="1"/>
  <c r="FM46" i="116"/>
  <c r="FM35" i="116"/>
  <c r="FL35" i="116" s="1"/>
  <c r="DE51" i="116"/>
  <c r="CV56" i="116"/>
  <c r="CU56" i="116" s="1"/>
  <c r="CV35" i="116"/>
  <c r="CU35" i="116" s="1"/>
  <c r="AB51" i="116"/>
  <c r="AA51" i="116" s="1"/>
  <c r="AB40" i="116"/>
  <c r="AB31" i="116"/>
  <c r="AA31" i="116" s="1"/>
  <c r="S35" i="116"/>
  <c r="R35" i="116" s="1"/>
  <c r="FL45" i="116"/>
  <c r="FL42" i="116"/>
  <c r="FC45" i="116"/>
  <c r="FC42" i="116"/>
  <c r="FB48" i="116"/>
  <c r="ET45" i="116"/>
  <c r="ET42" i="116"/>
  <c r="DM45" i="116"/>
  <c r="DM42" i="116"/>
  <c r="DD51" i="116"/>
  <c r="DD45" i="116"/>
  <c r="DD42" i="116"/>
  <c r="DC39" i="116"/>
  <c r="CU45" i="116"/>
  <c r="CU42" i="116"/>
  <c r="BN45" i="116"/>
  <c r="BN42" i="116"/>
  <c r="BE45" i="116"/>
  <c r="BE42" i="116"/>
  <c r="AV45" i="116"/>
  <c r="AV42" i="116"/>
  <c r="AA45" i="116"/>
  <c r="AA42" i="116"/>
  <c r="R58" i="116"/>
  <c r="R45" i="116"/>
  <c r="R42" i="116"/>
  <c r="I42" i="116"/>
  <c r="I45" i="116"/>
  <c r="H48" i="116"/>
  <c r="FK26" i="116"/>
  <c r="FK25" i="116"/>
  <c r="FK24" i="116"/>
  <c r="FK23" i="116"/>
  <c r="FK21" i="116"/>
  <c r="FK22" i="116" s="1"/>
  <c r="FL20" i="116"/>
  <c r="FM19" i="116"/>
  <c r="FM21" i="116" s="1"/>
  <c r="FM22" i="116" s="1"/>
  <c r="FL18" i="116"/>
  <c r="FL17" i="116"/>
  <c r="FB26" i="116"/>
  <c r="FB25" i="116"/>
  <c r="FB24" i="116"/>
  <c r="FB23" i="116"/>
  <c r="FB21" i="116"/>
  <c r="FC20" i="116"/>
  <c r="FD19" i="116"/>
  <c r="FD21" i="116" s="1"/>
  <c r="FC18" i="116"/>
  <c r="FC17" i="116"/>
  <c r="ES26" i="116"/>
  <c r="ES25" i="116"/>
  <c r="ES24" i="116"/>
  <c r="ES23" i="116"/>
  <c r="ES21" i="116"/>
  <c r="ES22" i="116" s="1"/>
  <c r="ET20" i="116"/>
  <c r="EU19" i="116"/>
  <c r="EU21" i="116" s="1"/>
  <c r="ET18" i="116"/>
  <c r="ET17" i="116"/>
  <c r="ET23" i="116" s="1"/>
  <c r="DL26" i="116"/>
  <c r="DL25" i="116"/>
  <c r="DL24" i="116"/>
  <c r="DL23" i="116"/>
  <c r="DL21" i="116"/>
  <c r="DM20" i="116"/>
  <c r="DN19" i="116"/>
  <c r="DN21" i="116" s="1"/>
  <c r="DM18" i="116"/>
  <c r="DM17" i="116"/>
  <c r="DC26" i="116"/>
  <c r="DC25" i="116"/>
  <c r="DC24" i="116"/>
  <c r="DC23" i="116"/>
  <c r="DC21" i="116"/>
  <c r="DD20" i="116"/>
  <c r="DE19" i="116"/>
  <c r="DE21" i="116" s="1"/>
  <c r="DD18" i="116"/>
  <c r="DD17" i="116"/>
  <c r="DD23" i="116" s="1"/>
  <c r="CT26" i="116"/>
  <c r="CT25" i="116"/>
  <c r="CT24" i="116"/>
  <c r="CT23" i="116"/>
  <c r="CT21" i="116"/>
  <c r="CU20" i="116"/>
  <c r="CU26" i="116" s="1"/>
  <c r="CV19" i="116"/>
  <c r="CV21" i="116" s="1"/>
  <c r="CU18" i="116"/>
  <c r="CU24" i="116" s="1"/>
  <c r="CU17" i="116"/>
  <c r="BM26" i="116"/>
  <c r="BM25" i="116"/>
  <c r="BM24" i="116"/>
  <c r="BM23" i="116"/>
  <c r="BM21" i="116"/>
  <c r="BN20" i="116"/>
  <c r="BO19" i="116"/>
  <c r="BO21" i="116" s="1"/>
  <c r="BO22" i="116" s="1"/>
  <c r="BN18" i="116"/>
  <c r="BN17" i="116"/>
  <c r="BD26" i="116"/>
  <c r="BD25" i="116"/>
  <c r="BD24" i="116"/>
  <c r="BD23" i="116"/>
  <c r="BD21" i="116"/>
  <c r="BE20" i="116"/>
  <c r="BE26" i="116" s="1"/>
  <c r="BF19" i="116"/>
  <c r="BF21" i="116" s="1"/>
  <c r="BE18" i="116"/>
  <c r="BE24" i="116" s="1"/>
  <c r="BE17" i="116"/>
  <c r="AU26" i="116"/>
  <c r="AU25" i="116"/>
  <c r="AU24" i="116"/>
  <c r="AU23" i="116"/>
  <c r="AU21" i="116"/>
  <c r="AU22" i="116" s="1"/>
  <c r="AV20" i="116"/>
  <c r="AW19" i="116"/>
  <c r="AW21" i="116" s="1"/>
  <c r="AV18" i="116"/>
  <c r="AV17" i="116"/>
  <c r="AV23" i="116" s="1"/>
  <c r="Z26" i="116"/>
  <c r="Z25" i="116"/>
  <c r="Z24" i="116"/>
  <c r="Z23" i="116"/>
  <c r="Z21" i="116"/>
  <c r="AA20" i="116"/>
  <c r="AB19" i="116"/>
  <c r="AB21" i="116" s="1"/>
  <c r="AA18" i="116"/>
  <c r="AA17" i="116"/>
  <c r="Q26" i="116"/>
  <c r="Q25" i="116"/>
  <c r="Q24" i="116"/>
  <c r="Q23" i="116"/>
  <c r="Q21" i="116"/>
  <c r="R20" i="116"/>
  <c r="S19" i="116"/>
  <c r="S21" i="116" s="1"/>
  <c r="R18" i="116"/>
  <c r="R17" i="116"/>
  <c r="R23" i="116" s="1"/>
  <c r="I20" i="116"/>
  <c r="J19" i="116"/>
  <c r="I18" i="116"/>
  <c r="I17" i="116"/>
  <c r="H21" i="116"/>
  <c r="FL12" i="116"/>
  <c r="FM11" i="116"/>
  <c r="FL10" i="116"/>
  <c r="FM9" i="116"/>
  <c r="FM8" i="116" s="1"/>
  <c r="FL8" i="116" s="1"/>
  <c r="FL9" i="116"/>
  <c r="FK9" i="116"/>
  <c r="FC12" i="116"/>
  <c r="FD11" i="116"/>
  <c r="FD9" i="116" s="1"/>
  <c r="FD8" i="116" s="1"/>
  <c r="FC8" i="116" s="1"/>
  <c r="FC10" i="116"/>
  <c r="FC9" i="116" s="1"/>
  <c r="FB9" i="116"/>
  <c r="ET12" i="116"/>
  <c r="EU11" i="116"/>
  <c r="EU9" i="116" s="1"/>
  <c r="EU8" i="116" s="1"/>
  <c r="ET8" i="116" s="1"/>
  <c r="ET10" i="116"/>
  <c r="ET9" i="116"/>
  <c r="ES9" i="116"/>
  <c r="DM12" i="116"/>
  <c r="DN11" i="116"/>
  <c r="DN9" i="116" s="1"/>
  <c r="DN8" i="116" s="1"/>
  <c r="DM8" i="116" s="1"/>
  <c r="DM10" i="116"/>
  <c r="DM9" i="116" s="1"/>
  <c r="DL9" i="116"/>
  <c r="DD12" i="116"/>
  <c r="DE11" i="116"/>
  <c r="DE9" i="116" s="1"/>
  <c r="DE8" i="116" s="1"/>
  <c r="DD8" i="116" s="1"/>
  <c r="DD10" i="116"/>
  <c r="DC9" i="116"/>
  <c r="CU12" i="116"/>
  <c r="CV11" i="116"/>
  <c r="CV9" i="116" s="1"/>
  <c r="CV8" i="116" s="1"/>
  <c r="CU8" i="116" s="1"/>
  <c r="CU10" i="116"/>
  <c r="CU9" i="116"/>
  <c r="CT9" i="116"/>
  <c r="BN12" i="116"/>
  <c r="BO11" i="116"/>
  <c r="BO9" i="116" s="1"/>
  <c r="BO8" i="116" s="1"/>
  <c r="BN8" i="116" s="1"/>
  <c r="BN10" i="116"/>
  <c r="BN9" i="116" s="1"/>
  <c r="BM9" i="116"/>
  <c r="BE12" i="116"/>
  <c r="BF11" i="116"/>
  <c r="BF9" i="116" s="1"/>
  <c r="BF8" i="116" s="1"/>
  <c r="BE8" i="116" s="1"/>
  <c r="BE10" i="116"/>
  <c r="BD9" i="116"/>
  <c r="AV12" i="116"/>
  <c r="AW11" i="116"/>
  <c r="AW9" i="116" s="1"/>
  <c r="AW8" i="116" s="1"/>
  <c r="AV8" i="116" s="1"/>
  <c r="AV10" i="116"/>
  <c r="AV9" i="116"/>
  <c r="AU9" i="116"/>
  <c r="AA12" i="116"/>
  <c r="AB11" i="116"/>
  <c r="AB9" i="116" s="1"/>
  <c r="AB8" i="116" s="1"/>
  <c r="AA8" i="116" s="1"/>
  <c r="AA10" i="116"/>
  <c r="AA9" i="116" s="1"/>
  <c r="Z9" i="116"/>
  <c r="R12" i="116"/>
  <c r="S11" i="116"/>
  <c r="R10" i="116"/>
  <c r="S9" i="116"/>
  <c r="R9" i="116"/>
  <c r="Q9" i="116"/>
  <c r="I12" i="116"/>
  <c r="J11" i="116"/>
  <c r="I10" i="116"/>
  <c r="FL45" i="114"/>
  <c r="FL43" i="114"/>
  <c r="FC45" i="114"/>
  <c r="FC43" i="114"/>
  <c r="ET45" i="114"/>
  <c r="ET43" i="114"/>
  <c r="DM45" i="114"/>
  <c r="DM43" i="114"/>
  <c r="DD45" i="114"/>
  <c r="DD43" i="114"/>
  <c r="CU45" i="114"/>
  <c r="CU43" i="114"/>
  <c r="BN45" i="114"/>
  <c r="BN43" i="114"/>
  <c r="BE45" i="114"/>
  <c r="BE43" i="114"/>
  <c r="AV45" i="114"/>
  <c r="AV43" i="114"/>
  <c r="AA45" i="114"/>
  <c r="AA43" i="114"/>
  <c r="R45" i="114"/>
  <c r="R43" i="114"/>
  <c r="Q48" i="114"/>
  <c r="Q49" i="114"/>
  <c r="Q54" i="114"/>
  <c r="Q60" i="114"/>
  <c r="I45" i="114"/>
  <c r="I43" i="114"/>
  <c r="BF54" i="116" l="1"/>
  <c r="BE54" i="116" s="1"/>
  <c r="BF55" i="116"/>
  <c r="BE55" i="116" s="1"/>
  <c r="BF56" i="116"/>
  <c r="BE56" i="116" s="1"/>
  <c r="BF52" i="116"/>
  <c r="BE52" i="116" s="1"/>
  <c r="BF50" i="116"/>
  <c r="BE50" i="116" s="1"/>
  <c r="BF47" i="116"/>
  <c r="BE47" i="116" s="1"/>
  <c r="BF41" i="116"/>
  <c r="BE41" i="116" s="1"/>
  <c r="BF36" i="116"/>
  <c r="BE36" i="116" s="1"/>
  <c r="BF34" i="116"/>
  <c r="BE34" i="116" s="1"/>
  <c r="BF32" i="116"/>
  <c r="BE32" i="116" s="1"/>
  <c r="BF51" i="116"/>
  <c r="BE51" i="116" s="1"/>
  <c r="BF46" i="116"/>
  <c r="BF40" i="116"/>
  <c r="BF35" i="116"/>
  <c r="BE35" i="116" s="1"/>
  <c r="BF31" i="116"/>
  <c r="BE31" i="116" s="1"/>
  <c r="BO54" i="116"/>
  <c r="BN54" i="116" s="1"/>
  <c r="BO56" i="116"/>
  <c r="BN56" i="116" s="1"/>
  <c r="BO53" i="116"/>
  <c r="BN53" i="116" s="1"/>
  <c r="BO51" i="116"/>
  <c r="BN51" i="116" s="1"/>
  <c r="BO49" i="116"/>
  <c r="BO46" i="116"/>
  <c r="BO55" i="116"/>
  <c r="BN55" i="116" s="1"/>
  <c r="BO50" i="116"/>
  <c r="BN50" i="116" s="1"/>
  <c r="BO41" i="116"/>
  <c r="BN41" i="116" s="1"/>
  <c r="BO36" i="116"/>
  <c r="BN36" i="116" s="1"/>
  <c r="BO34" i="116"/>
  <c r="BN34" i="116" s="1"/>
  <c r="BO32" i="116"/>
  <c r="BN32" i="116" s="1"/>
  <c r="BO47" i="116"/>
  <c r="BN47" i="116" s="1"/>
  <c r="BO40" i="116"/>
  <c r="BO35" i="116"/>
  <c r="BN35" i="116" s="1"/>
  <c r="BO31" i="116"/>
  <c r="BN31" i="116" s="1"/>
  <c r="FD56" i="116"/>
  <c r="FC56" i="116" s="1"/>
  <c r="FD53" i="116"/>
  <c r="FC53" i="116" s="1"/>
  <c r="FD51" i="116"/>
  <c r="FC51" i="116" s="1"/>
  <c r="FD49" i="116"/>
  <c r="FD46" i="116"/>
  <c r="FD43" i="116"/>
  <c r="FC43" i="116" s="1"/>
  <c r="FD40" i="116"/>
  <c r="FD37" i="116"/>
  <c r="FD35" i="116"/>
  <c r="FC35" i="116" s="1"/>
  <c r="FD33" i="116"/>
  <c r="FC33" i="116" s="1"/>
  <c r="FD31" i="116"/>
  <c r="FC31" i="116" s="1"/>
  <c r="FD54" i="116"/>
  <c r="FC54" i="116" s="1"/>
  <c r="FD55" i="116"/>
  <c r="FC55" i="116" s="1"/>
  <c r="FD50" i="116"/>
  <c r="FC50" i="116" s="1"/>
  <c r="FD34" i="116"/>
  <c r="FC34" i="116" s="1"/>
  <c r="FD47" i="116"/>
  <c r="FC47" i="116" s="1"/>
  <c r="FD36" i="116"/>
  <c r="FC36" i="116" s="1"/>
  <c r="AW34" i="116"/>
  <c r="AV34" i="116" s="1"/>
  <c r="AW55" i="116"/>
  <c r="AV55" i="116" s="1"/>
  <c r="BF37" i="116"/>
  <c r="BF38" i="116" s="1"/>
  <c r="BF49" i="116"/>
  <c r="BO33" i="116"/>
  <c r="BN33" i="116" s="1"/>
  <c r="BO43" i="116"/>
  <c r="BN43" i="116" s="1"/>
  <c r="EU37" i="116"/>
  <c r="FD32" i="116"/>
  <c r="FC32" i="116" s="1"/>
  <c r="FD52" i="116"/>
  <c r="FC52" i="116" s="1"/>
  <c r="FL46" i="116"/>
  <c r="AW54" i="116"/>
  <c r="AV54" i="116" s="1"/>
  <c r="S54" i="116"/>
  <c r="R54" i="116" s="1"/>
  <c r="S56" i="116"/>
  <c r="R56" i="116" s="1"/>
  <c r="S53" i="116"/>
  <c r="R53" i="116" s="1"/>
  <c r="S51" i="116"/>
  <c r="R51" i="116" s="1"/>
  <c r="S49" i="116"/>
  <c r="S47" i="116"/>
  <c r="R47" i="116" s="1"/>
  <c r="S43" i="116"/>
  <c r="R43" i="116" s="1"/>
  <c r="S40" i="116"/>
  <c r="S36" i="116"/>
  <c r="R36" i="116" s="1"/>
  <c r="S34" i="116"/>
  <c r="R34" i="116" s="1"/>
  <c r="S32" i="116"/>
  <c r="R32" i="116" s="1"/>
  <c r="S55" i="116"/>
  <c r="R55" i="116" s="1"/>
  <c r="S50" i="116"/>
  <c r="R50" i="116" s="1"/>
  <c r="S46" i="116"/>
  <c r="S37" i="116"/>
  <c r="S33" i="116"/>
  <c r="R33" i="116" s="1"/>
  <c r="S8" i="116"/>
  <c r="R8" i="116" s="1"/>
  <c r="S58" i="116"/>
  <c r="AB54" i="116"/>
  <c r="AA54" i="116" s="1"/>
  <c r="AB55" i="116"/>
  <c r="AA55" i="116" s="1"/>
  <c r="AB52" i="116"/>
  <c r="AA52" i="116" s="1"/>
  <c r="AB50" i="116"/>
  <c r="AA50" i="116" s="1"/>
  <c r="AB47" i="116"/>
  <c r="AA47" i="116" s="1"/>
  <c r="AB41" i="116"/>
  <c r="AA41" i="116" s="1"/>
  <c r="AB36" i="116"/>
  <c r="AA36" i="116" s="1"/>
  <c r="AB34" i="116"/>
  <c r="AA34" i="116" s="1"/>
  <c r="AB32" i="116"/>
  <c r="AA32" i="116" s="1"/>
  <c r="AB53" i="116"/>
  <c r="AA53" i="116" s="1"/>
  <c r="AB49" i="116"/>
  <c r="AB43" i="116"/>
  <c r="AA43" i="116" s="1"/>
  <c r="AB37" i="116"/>
  <c r="AB38" i="116" s="1"/>
  <c r="AB33" i="116"/>
  <c r="AA33" i="116" s="1"/>
  <c r="DE54" i="116"/>
  <c r="DD54" i="116" s="1"/>
  <c r="DE55" i="116"/>
  <c r="DD55" i="116" s="1"/>
  <c r="DE52" i="116"/>
  <c r="DD52" i="116" s="1"/>
  <c r="DE50" i="116"/>
  <c r="DD50" i="116" s="1"/>
  <c r="DE46" i="116"/>
  <c r="DE41" i="116"/>
  <c r="DD41" i="116" s="1"/>
  <c r="DE37" i="116"/>
  <c r="DD37" i="116" s="1"/>
  <c r="DE35" i="116"/>
  <c r="DD35" i="116" s="1"/>
  <c r="DE33" i="116"/>
  <c r="DD33" i="116" s="1"/>
  <c r="DE31" i="116"/>
  <c r="DD31" i="116" s="1"/>
  <c r="DE53" i="116"/>
  <c r="DD53" i="116" s="1"/>
  <c r="DE49" i="116"/>
  <c r="DE43" i="116"/>
  <c r="DD43" i="116" s="1"/>
  <c r="DE36" i="116"/>
  <c r="DE32" i="116"/>
  <c r="DD32" i="116" s="1"/>
  <c r="DE56" i="116"/>
  <c r="DD56" i="116" s="1"/>
  <c r="DE47" i="116"/>
  <c r="DD47" i="116" s="1"/>
  <c r="DE34" i="116"/>
  <c r="DD34" i="116" s="1"/>
  <c r="DN56" i="116"/>
  <c r="DM56" i="116" s="1"/>
  <c r="DN53" i="116"/>
  <c r="DM53" i="116" s="1"/>
  <c r="DN51" i="116"/>
  <c r="DM51" i="116" s="1"/>
  <c r="DN49" i="116"/>
  <c r="DN46" i="116"/>
  <c r="DN43" i="116"/>
  <c r="DM43" i="116" s="1"/>
  <c r="DN40" i="116"/>
  <c r="DN37" i="116"/>
  <c r="DN35" i="116"/>
  <c r="DM35" i="116" s="1"/>
  <c r="DN33" i="116"/>
  <c r="DM33" i="116" s="1"/>
  <c r="DN31" i="116"/>
  <c r="DM31" i="116" s="1"/>
  <c r="DN52" i="116"/>
  <c r="DM52" i="116" s="1"/>
  <c r="DN47" i="116"/>
  <c r="DM47" i="116" s="1"/>
  <c r="DN41" i="116"/>
  <c r="DM41" i="116" s="1"/>
  <c r="DN36" i="116"/>
  <c r="DM36" i="116" s="1"/>
  <c r="DN32" i="116"/>
  <c r="DM32" i="116" s="1"/>
  <c r="DN54" i="116"/>
  <c r="DM54" i="116" s="1"/>
  <c r="DN50" i="116"/>
  <c r="DM50" i="116" s="1"/>
  <c r="S22" i="116"/>
  <c r="Q22" i="116"/>
  <c r="AA24" i="116"/>
  <c r="AA26" i="116"/>
  <c r="AW22" i="116"/>
  <c r="BN23" i="116"/>
  <c r="BM22" i="116"/>
  <c r="DE22" i="116"/>
  <c r="DC22" i="116"/>
  <c r="DM24" i="116"/>
  <c r="DM26" i="116"/>
  <c r="EU22" i="116"/>
  <c r="FC24" i="116"/>
  <c r="FC26" i="116"/>
  <c r="FL23" i="116"/>
  <c r="AA40" i="116"/>
  <c r="AA39" i="116" s="1"/>
  <c r="S31" i="116"/>
  <c r="R31" i="116" s="1"/>
  <c r="S41" i="116"/>
  <c r="R41" i="116" s="1"/>
  <c r="S52" i="116"/>
  <c r="R52" i="116" s="1"/>
  <c r="AB35" i="116"/>
  <c r="AA35" i="116" s="1"/>
  <c r="AB46" i="116"/>
  <c r="AB56" i="116"/>
  <c r="AA56" i="116" s="1"/>
  <c r="AW50" i="116"/>
  <c r="AV50" i="116" s="1"/>
  <c r="BF33" i="116"/>
  <c r="BE33" i="116" s="1"/>
  <c r="BF43" i="116"/>
  <c r="BE43" i="116" s="1"/>
  <c r="BF53" i="116"/>
  <c r="BE53" i="116" s="1"/>
  <c r="BO37" i="116"/>
  <c r="BO38" i="116" s="1"/>
  <c r="BO52" i="116"/>
  <c r="BN52" i="116" s="1"/>
  <c r="DE40" i="116"/>
  <c r="DN34" i="116"/>
  <c r="DM34" i="116" s="1"/>
  <c r="DN55" i="116"/>
  <c r="DM55" i="116" s="1"/>
  <c r="EU49" i="116"/>
  <c r="FD41" i="116"/>
  <c r="FC41" i="116" s="1"/>
  <c r="E57" i="113"/>
  <c r="F48" i="113"/>
  <c r="AW56" i="116"/>
  <c r="AV56" i="116" s="1"/>
  <c r="AW53" i="116"/>
  <c r="AV53" i="116" s="1"/>
  <c r="AW51" i="116"/>
  <c r="AV51" i="116" s="1"/>
  <c r="AW49" i="116"/>
  <c r="AW46" i="116"/>
  <c r="AW43" i="116"/>
  <c r="AV43" i="116" s="1"/>
  <c r="AW40" i="116"/>
  <c r="AW37" i="116"/>
  <c r="AW35" i="116"/>
  <c r="AV35" i="116" s="1"/>
  <c r="AW33" i="116"/>
  <c r="AV33" i="116" s="1"/>
  <c r="AW31" i="116"/>
  <c r="AV31" i="116" s="1"/>
  <c r="BE9" i="116"/>
  <c r="CV55" i="116"/>
  <c r="CU55" i="116" s="1"/>
  <c r="CV53" i="116"/>
  <c r="CU53" i="116" s="1"/>
  <c r="CV51" i="116"/>
  <c r="CU51" i="116" s="1"/>
  <c r="CV49" i="116"/>
  <c r="CV47" i="116"/>
  <c r="CU47" i="116" s="1"/>
  <c r="CV43" i="116"/>
  <c r="CU43" i="116" s="1"/>
  <c r="CV40" i="116"/>
  <c r="CV36" i="116"/>
  <c r="CV34" i="116"/>
  <c r="CU34" i="116" s="1"/>
  <c r="CV32" i="116"/>
  <c r="CU32" i="116" s="1"/>
  <c r="CV54" i="116"/>
  <c r="CU54" i="116" s="1"/>
  <c r="CV50" i="116"/>
  <c r="CU50" i="116" s="1"/>
  <c r="CV46" i="116"/>
  <c r="CV44" i="116" s="1"/>
  <c r="CV37" i="116"/>
  <c r="CU37" i="116" s="1"/>
  <c r="CV33" i="116"/>
  <c r="CU33" i="116" s="1"/>
  <c r="DD9" i="116"/>
  <c r="EU54" i="116"/>
  <c r="ET54" i="116" s="1"/>
  <c r="EU55" i="116"/>
  <c r="ET55" i="116" s="1"/>
  <c r="EU52" i="116"/>
  <c r="ET52" i="116" s="1"/>
  <c r="EU50" i="116"/>
  <c r="ET50" i="116" s="1"/>
  <c r="EU47" i="116"/>
  <c r="ET47" i="116" s="1"/>
  <c r="EU41" i="116"/>
  <c r="ET41" i="116" s="1"/>
  <c r="EU36" i="116"/>
  <c r="ET36" i="116" s="1"/>
  <c r="EU34" i="116"/>
  <c r="ET34" i="116" s="1"/>
  <c r="EU32" i="116"/>
  <c r="ET32" i="116" s="1"/>
  <c r="EU56" i="116"/>
  <c r="ET56" i="116" s="1"/>
  <c r="EU51" i="116"/>
  <c r="ET51" i="116" s="1"/>
  <c r="EU46" i="116"/>
  <c r="EU40" i="116"/>
  <c r="EU35" i="116"/>
  <c r="ET35" i="116" s="1"/>
  <c r="EU31" i="116"/>
  <c r="ET31" i="116" s="1"/>
  <c r="FM54" i="116"/>
  <c r="FL54" i="116" s="1"/>
  <c r="FM55" i="116"/>
  <c r="FL55" i="116" s="1"/>
  <c r="FM52" i="116"/>
  <c r="FL52" i="116" s="1"/>
  <c r="FM50" i="116"/>
  <c r="FL50" i="116" s="1"/>
  <c r="FM47" i="116"/>
  <c r="FL47" i="116" s="1"/>
  <c r="FM41" i="116"/>
  <c r="FL41" i="116" s="1"/>
  <c r="FM36" i="116"/>
  <c r="FL36" i="116" s="1"/>
  <c r="FL38" i="116" s="1"/>
  <c r="FM34" i="116"/>
  <c r="FL34" i="116" s="1"/>
  <c r="FM32" i="116"/>
  <c r="FL32" i="116" s="1"/>
  <c r="FM53" i="116"/>
  <c r="FL53" i="116" s="1"/>
  <c r="FM49" i="116"/>
  <c r="FM43" i="116"/>
  <c r="FL43" i="116" s="1"/>
  <c r="FM37" i="116"/>
  <c r="FM38" i="116" s="1"/>
  <c r="FM33" i="116"/>
  <c r="FL33" i="116" s="1"/>
  <c r="R24" i="116"/>
  <c r="R26" i="116"/>
  <c r="AA23" i="116"/>
  <c r="AB22" i="116"/>
  <c r="Z22" i="116"/>
  <c r="AV24" i="116"/>
  <c r="AV26" i="116"/>
  <c r="BE23" i="116"/>
  <c r="BF22" i="116"/>
  <c r="BD22" i="116"/>
  <c r="BN24" i="116"/>
  <c r="BN26" i="116"/>
  <c r="CU23" i="116"/>
  <c r="CV22" i="116"/>
  <c r="CT22" i="116"/>
  <c r="DD24" i="116"/>
  <c r="DD26" i="116"/>
  <c r="DM23" i="116"/>
  <c r="DN22" i="116"/>
  <c r="DL22" i="116"/>
  <c r="ET24" i="116"/>
  <c r="ET26" i="116"/>
  <c r="FC23" i="116"/>
  <c r="FD22" i="116"/>
  <c r="FB22" i="116"/>
  <c r="FL24" i="116"/>
  <c r="FL26" i="116"/>
  <c r="AW32" i="116"/>
  <c r="AV32" i="116" s="1"/>
  <c r="AW36" i="116"/>
  <c r="AV36" i="116" s="1"/>
  <c r="AW41" i="116"/>
  <c r="AV41" i="116" s="1"/>
  <c r="AW47" i="116"/>
  <c r="AV47" i="116" s="1"/>
  <c r="AW52" i="116"/>
  <c r="AV52" i="116" s="1"/>
  <c r="CV31" i="116"/>
  <c r="CU31" i="116" s="1"/>
  <c r="CV41" i="116"/>
  <c r="CU41" i="116" s="1"/>
  <c r="CV52" i="116"/>
  <c r="CU52" i="116" s="1"/>
  <c r="EU33" i="116"/>
  <c r="ET33" i="116" s="1"/>
  <c r="EU43" i="116"/>
  <c r="ET43" i="116" s="1"/>
  <c r="EU53" i="116"/>
  <c r="ET53" i="116" s="1"/>
  <c r="FM31" i="116"/>
  <c r="FL31" i="116" s="1"/>
  <c r="FM40" i="116"/>
  <c r="FM51" i="116"/>
  <c r="FL51" i="116" s="1"/>
  <c r="FL44" i="116"/>
  <c r="FL37" i="116"/>
  <c r="FC49" i="116"/>
  <c r="DM37" i="116"/>
  <c r="DM38" i="116" s="1"/>
  <c r="CU46" i="116"/>
  <c r="CU44" i="116" s="1"/>
  <c r="BN37" i="116"/>
  <c r="BN49" i="116"/>
  <c r="AV37" i="116"/>
  <c r="AV38" i="116" s="1"/>
  <c r="BN38" i="116"/>
  <c r="FL21" i="116"/>
  <c r="FL22" i="116" s="1"/>
  <c r="FM25" i="116"/>
  <c r="FC21" i="116"/>
  <c r="FC22" i="116" s="1"/>
  <c r="FD25" i="116"/>
  <c r="ET21" i="116"/>
  <c r="ET22" i="116" s="1"/>
  <c r="EU25" i="116"/>
  <c r="DM21" i="116"/>
  <c r="DM22" i="116" s="1"/>
  <c r="DN25" i="116"/>
  <c r="DD21" i="116"/>
  <c r="DD22" i="116" s="1"/>
  <c r="DE25" i="116"/>
  <c r="CU21" i="116"/>
  <c r="CU22" i="116" s="1"/>
  <c r="CV25" i="116"/>
  <c r="BN21" i="116"/>
  <c r="BN22" i="116" s="1"/>
  <c r="BO25" i="116"/>
  <c r="BE21" i="116"/>
  <c r="BE22" i="116" s="1"/>
  <c r="BF25" i="116"/>
  <c r="AV21" i="116"/>
  <c r="AV22" i="116" s="1"/>
  <c r="AW25" i="116"/>
  <c r="AA21" i="116"/>
  <c r="AA22" i="116" s="1"/>
  <c r="AB25" i="116"/>
  <c r="R21" i="116"/>
  <c r="R22" i="116" s="1"/>
  <c r="S25" i="116"/>
  <c r="FK73" i="114"/>
  <c r="FK72" i="114"/>
  <c r="FK60" i="114"/>
  <c r="FK54" i="114"/>
  <c r="FK49" i="114"/>
  <c r="FK48" i="114"/>
  <c r="FB73" i="114"/>
  <c r="FB72" i="114"/>
  <c r="FB60" i="114"/>
  <c r="FB54" i="114"/>
  <c r="FB69" i="114" s="1"/>
  <c r="FB49" i="114"/>
  <c r="FB48" i="114"/>
  <c r="ES73" i="114"/>
  <c r="ES72" i="114"/>
  <c r="ES60" i="114"/>
  <c r="ES54" i="114"/>
  <c r="ES49" i="114"/>
  <c r="ES48" i="114"/>
  <c r="DL73" i="114"/>
  <c r="DL72" i="114"/>
  <c r="DL60" i="114"/>
  <c r="DL54" i="114"/>
  <c r="DL49" i="114"/>
  <c r="DL48" i="114"/>
  <c r="DC73" i="114"/>
  <c r="DC72" i="114"/>
  <c r="DC60" i="114"/>
  <c r="DC54" i="114"/>
  <c r="DC49" i="114"/>
  <c r="DC48" i="114"/>
  <c r="CT73" i="114"/>
  <c r="CT72" i="114"/>
  <c r="CT60" i="114"/>
  <c r="CT54" i="114"/>
  <c r="CT49" i="114"/>
  <c r="CT48" i="114"/>
  <c r="BM73" i="114"/>
  <c r="BM72" i="114"/>
  <c r="BM60" i="114"/>
  <c r="BM54" i="114"/>
  <c r="BM49" i="114"/>
  <c r="BM48" i="114"/>
  <c r="BN48" i="116" l="1"/>
  <c r="FC48" i="116"/>
  <c r="DL69" i="114"/>
  <c r="BM69" i="114"/>
  <c r="FK69" i="114"/>
  <c r="FM39" i="116"/>
  <c r="FL40" i="116"/>
  <c r="FL39" i="116" s="1"/>
  <c r="EU39" i="116"/>
  <c r="ET40" i="116"/>
  <c r="ET39" i="116" s="1"/>
  <c r="CV39" i="116"/>
  <c r="AV40" i="116"/>
  <c r="AV39" i="116" s="1"/>
  <c r="AW39" i="116"/>
  <c r="AW44" i="116"/>
  <c r="AV46" i="116"/>
  <c r="AV44" i="116" s="1"/>
  <c r="EU48" i="116"/>
  <c r="ET49" i="116"/>
  <c r="ET48" i="116" s="1"/>
  <c r="DN39" i="116"/>
  <c r="DM40" i="116"/>
  <c r="DM39" i="116" s="1"/>
  <c r="DM46" i="116"/>
  <c r="DM44" i="116" s="1"/>
  <c r="DN44" i="116"/>
  <c r="DE44" i="116"/>
  <c r="DD46" i="116"/>
  <c r="DD44" i="116" s="1"/>
  <c r="AB48" i="116"/>
  <c r="AA49" i="116"/>
  <c r="AA48" i="116" s="1"/>
  <c r="S38" i="116"/>
  <c r="R37" i="116"/>
  <c r="R38" i="116" s="1"/>
  <c r="S48" i="116"/>
  <c r="R49" i="116"/>
  <c r="R48" i="116" s="1"/>
  <c r="EU38" i="116"/>
  <c r="FD39" i="116"/>
  <c r="FC40" i="116"/>
  <c r="FC39" i="116" s="1"/>
  <c r="FD44" i="116"/>
  <c r="FC46" i="116"/>
  <c r="BO48" i="116"/>
  <c r="BF44" i="116"/>
  <c r="BE46" i="116"/>
  <c r="BE44" i="116" s="1"/>
  <c r="CT69" i="114"/>
  <c r="DC69" i="114"/>
  <c r="ES69" i="114"/>
  <c r="AA37" i="116"/>
  <c r="AA38" i="116" s="1"/>
  <c r="BE37" i="116"/>
  <c r="BE38" i="116" s="1"/>
  <c r="CU40" i="116"/>
  <c r="CU39" i="116" s="1"/>
  <c r="ET37" i="116"/>
  <c r="ET38" i="116" s="1"/>
  <c r="FM48" i="116"/>
  <c r="FL49" i="116"/>
  <c r="FL48" i="116" s="1"/>
  <c r="EU44" i="116"/>
  <c r="ET46" i="116"/>
  <c r="ET44" i="116" s="1"/>
  <c r="CV38" i="116"/>
  <c r="CU36" i="116"/>
  <c r="CU38" i="116" s="1"/>
  <c r="CU49" i="116"/>
  <c r="CU48" i="116" s="1"/>
  <c r="CV48" i="116"/>
  <c r="AW38" i="116"/>
  <c r="AW48" i="116"/>
  <c r="AV49" i="116"/>
  <c r="AV48" i="116" s="1"/>
  <c r="DE39" i="116"/>
  <c r="DD40" i="116"/>
  <c r="DD39" i="116" s="1"/>
  <c r="AB44" i="116"/>
  <c r="AA46" i="116"/>
  <c r="AA44" i="116" s="1"/>
  <c r="DN38" i="116"/>
  <c r="DN48" i="116"/>
  <c r="DM49" i="116"/>
  <c r="DM48" i="116" s="1"/>
  <c r="DE38" i="116"/>
  <c r="DD36" i="116"/>
  <c r="DD38" i="116" s="1"/>
  <c r="DE48" i="116"/>
  <c r="DD49" i="116"/>
  <c r="DD48" i="116" s="1"/>
  <c r="S44" i="116"/>
  <c r="R46" i="116"/>
  <c r="R44" i="116" s="1"/>
  <c r="S39" i="116"/>
  <c r="S57" i="116" s="1"/>
  <c r="R40" i="116"/>
  <c r="R39" i="116" s="1"/>
  <c r="FM44" i="116"/>
  <c r="BF48" i="116"/>
  <c r="BE49" i="116"/>
  <c r="BE48" i="116" s="1"/>
  <c r="AB39" i="116"/>
  <c r="FC44" i="116"/>
  <c r="FD38" i="116"/>
  <c r="FC37" i="116"/>
  <c r="FC38" i="116" s="1"/>
  <c r="FD48" i="116"/>
  <c r="BO39" i="116"/>
  <c r="BN40" i="116"/>
  <c r="BN39" i="116" s="1"/>
  <c r="BO44" i="116"/>
  <c r="BN46" i="116"/>
  <c r="BN44" i="116" s="1"/>
  <c r="BF39" i="116"/>
  <c r="BE40" i="116"/>
  <c r="BE39" i="116" s="1"/>
  <c r="BD73" i="114"/>
  <c r="BD72" i="114"/>
  <c r="BD60" i="114"/>
  <c r="BD54" i="114"/>
  <c r="BD49" i="114"/>
  <c r="BD48" i="114"/>
  <c r="AU73" i="114"/>
  <c r="AU72" i="114"/>
  <c r="AU60" i="114"/>
  <c r="AU54" i="114"/>
  <c r="AU49" i="114"/>
  <c r="AU48" i="114"/>
  <c r="Z60" i="114"/>
  <c r="Z54" i="114"/>
  <c r="Z49" i="114"/>
  <c r="Z48" i="114"/>
  <c r="Q73" i="114"/>
  <c r="Q72" i="114"/>
  <c r="Q69" i="114"/>
  <c r="FM31" i="114"/>
  <c r="FK30" i="114"/>
  <c r="FK29" i="114"/>
  <c r="FL28" i="114"/>
  <c r="FK27" i="114"/>
  <c r="FK26" i="114"/>
  <c r="FK25" i="114"/>
  <c r="FK34" i="114" s="1"/>
  <c r="FK24" i="114"/>
  <c r="FK33" i="114" s="1"/>
  <c r="FD31" i="114"/>
  <c r="FB30" i="114"/>
  <c r="FB29" i="114"/>
  <c r="FC28" i="114"/>
  <c r="FB27" i="114"/>
  <c r="FB26" i="114"/>
  <c r="FB25" i="114"/>
  <c r="FB34" i="114" s="1"/>
  <c r="FB24" i="114"/>
  <c r="FB33" i="114" s="1"/>
  <c r="EU31" i="114"/>
  <c r="ES30" i="114"/>
  <c r="ES29" i="114"/>
  <c r="ET28" i="114"/>
  <c r="ES27" i="114"/>
  <c r="ES26" i="114"/>
  <c r="ES25" i="114"/>
  <c r="ES34" i="114" s="1"/>
  <c r="ES24" i="114"/>
  <c r="ES33" i="114" s="1"/>
  <c r="DN31" i="114"/>
  <c r="DL30" i="114"/>
  <c r="DL29" i="114"/>
  <c r="DM28" i="114"/>
  <c r="DL27" i="114"/>
  <c r="DL26" i="114"/>
  <c r="DL25" i="114"/>
  <c r="DL34" i="114" s="1"/>
  <c r="DL24" i="114"/>
  <c r="DL33" i="114" s="1"/>
  <c r="DD33" i="114"/>
  <c r="DE31" i="114"/>
  <c r="DC30" i="114"/>
  <c r="DC28" i="114" s="1"/>
  <c r="DC29" i="114"/>
  <c r="DD28" i="114"/>
  <c r="DC27" i="114"/>
  <c r="DC26" i="114"/>
  <c r="DC25" i="114"/>
  <c r="DC34" i="114" s="1"/>
  <c r="DC24" i="114"/>
  <c r="DC33" i="114" s="1"/>
  <c r="CV31" i="114"/>
  <c r="CT30" i="114"/>
  <c r="CT29" i="114"/>
  <c r="CU28" i="114"/>
  <c r="CT27" i="114"/>
  <c r="CT26" i="114"/>
  <c r="CT25" i="114"/>
  <c r="CT34" i="114" s="1"/>
  <c r="CT24" i="114"/>
  <c r="CT33" i="114" s="1"/>
  <c r="BO31" i="114"/>
  <c r="BM30" i="114"/>
  <c r="BM29" i="114"/>
  <c r="BN28" i="114"/>
  <c r="BM27" i="114"/>
  <c r="BM26" i="114"/>
  <c r="BM25" i="114"/>
  <c r="BM34" i="114" s="1"/>
  <c r="BM24" i="114"/>
  <c r="BM33" i="114" s="1"/>
  <c r="BF31" i="114"/>
  <c r="BD30" i="114"/>
  <c r="BD29" i="114"/>
  <c r="BE28" i="114"/>
  <c r="BD27" i="114"/>
  <c r="BD26" i="114"/>
  <c r="BD25" i="114"/>
  <c r="BD34" i="114" s="1"/>
  <c r="BD24" i="114"/>
  <c r="BD33" i="114" s="1"/>
  <c r="AW31" i="114"/>
  <c r="AU30" i="114"/>
  <c r="AU29" i="114"/>
  <c r="AV28" i="114"/>
  <c r="AV31" i="114" s="1"/>
  <c r="AU31" i="114" s="1"/>
  <c r="AU27" i="114"/>
  <c r="AU26" i="114"/>
  <c r="AU25" i="114"/>
  <c r="AU34" i="114" s="1"/>
  <c r="AU24" i="114"/>
  <c r="AU33" i="114" s="1"/>
  <c r="AB31" i="114"/>
  <c r="Z30" i="114"/>
  <c r="Z28" i="114" s="1"/>
  <c r="Z29" i="114"/>
  <c r="AA28" i="114"/>
  <c r="Z27" i="114"/>
  <c r="Z26" i="114"/>
  <c r="Z25" i="114"/>
  <c r="Z34" i="114" s="1"/>
  <c r="Z24" i="114"/>
  <c r="Z33" i="114" s="1"/>
  <c r="S31" i="114"/>
  <c r="Q30" i="114"/>
  <c r="Q29" i="114"/>
  <c r="R28" i="114"/>
  <c r="Q27" i="114"/>
  <c r="Q26" i="114"/>
  <c r="Q25" i="114"/>
  <c r="Q34" i="114" s="1"/>
  <c r="Q24" i="114"/>
  <c r="Q33" i="114" s="1"/>
  <c r="H30" i="114"/>
  <c r="H29" i="114"/>
  <c r="H27" i="114"/>
  <c r="H26" i="114"/>
  <c r="H25" i="114"/>
  <c r="H24" i="114"/>
  <c r="FL18" i="114"/>
  <c r="FM17" i="114"/>
  <c r="FL17" i="114"/>
  <c r="FK17" i="114"/>
  <c r="FK14" i="114" s="1"/>
  <c r="FM16" i="114"/>
  <c r="FM36" i="114" s="1"/>
  <c r="FL15" i="114"/>
  <c r="FL33" i="114" s="1"/>
  <c r="FM11" i="114"/>
  <c r="FK11" i="114"/>
  <c r="FM10" i="114"/>
  <c r="FK10" i="114"/>
  <c r="FL9" i="114"/>
  <c r="FL8" i="114"/>
  <c r="FC18" i="114"/>
  <c r="FC17" i="114" s="1"/>
  <c r="FD17" i="114"/>
  <c r="FB17" i="114"/>
  <c r="FB14" i="114" s="1"/>
  <c r="FD16" i="114"/>
  <c r="FD36" i="114" s="1"/>
  <c r="FC16" i="114"/>
  <c r="FC15" i="114"/>
  <c r="FC34" i="114" s="1"/>
  <c r="FD14" i="114"/>
  <c r="FD70" i="114" s="1"/>
  <c r="FD11" i="114"/>
  <c r="FB11" i="114"/>
  <c r="FD10" i="114"/>
  <c r="FB10" i="114"/>
  <c r="FC9" i="114"/>
  <c r="FC8" i="114"/>
  <c r="ET18" i="114"/>
  <c r="EU17" i="114"/>
  <c r="ET17" i="114"/>
  <c r="ES17" i="114"/>
  <c r="ES14" i="114" s="1"/>
  <c r="EU16" i="114"/>
  <c r="ET16" i="114" s="1"/>
  <c r="ET15" i="114"/>
  <c r="ET33" i="114" s="1"/>
  <c r="EU11" i="114"/>
  <c r="ES11" i="114"/>
  <c r="EU10" i="114"/>
  <c r="ES10" i="114"/>
  <c r="ET9" i="114"/>
  <c r="ET8" i="114"/>
  <c r="DM18" i="114"/>
  <c r="DN17" i="114"/>
  <c r="DM17" i="114"/>
  <c r="DL17" i="114"/>
  <c r="DL14" i="114" s="1"/>
  <c r="DN16" i="114"/>
  <c r="DM16" i="114" s="1"/>
  <c r="DM15" i="114"/>
  <c r="DM34" i="114" s="1"/>
  <c r="DN11" i="114"/>
  <c r="DL11" i="114"/>
  <c r="DN10" i="114"/>
  <c r="DL10" i="114"/>
  <c r="DM9" i="114"/>
  <c r="DM8" i="114"/>
  <c r="DM11" i="114" s="1"/>
  <c r="DD18" i="114"/>
  <c r="DE17" i="114"/>
  <c r="DE14" i="114" s="1"/>
  <c r="DE70" i="114" s="1"/>
  <c r="DD17" i="114"/>
  <c r="DC17" i="114"/>
  <c r="DC14" i="114" s="1"/>
  <c r="DE16" i="114"/>
  <c r="DE36" i="114" s="1"/>
  <c r="DD16" i="114"/>
  <c r="DD14" i="114" s="1"/>
  <c r="DD70" i="114" s="1"/>
  <c r="DD15" i="114"/>
  <c r="DD34" i="114" s="1"/>
  <c r="DE11" i="114"/>
  <c r="DC11" i="114"/>
  <c r="DE10" i="114"/>
  <c r="DC10" i="114"/>
  <c r="DD9" i="114"/>
  <c r="DD8" i="114"/>
  <c r="CU18" i="114"/>
  <c r="CV17" i="114"/>
  <c r="CU17" i="114"/>
  <c r="CT17" i="114"/>
  <c r="CT14" i="114" s="1"/>
  <c r="CV16" i="114"/>
  <c r="CU16" i="114" s="1"/>
  <c r="CU15" i="114"/>
  <c r="CU34" i="114" s="1"/>
  <c r="CV11" i="114"/>
  <c r="CT11" i="114"/>
  <c r="CV10" i="114"/>
  <c r="CT10" i="114"/>
  <c r="CU9" i="114"/>
  <c r="CU8" i="114"/>
  <c r="BN18" i="114"/>
  <c r="BO17" i="114"/>
  <c r="BN17" i="114"/>
  <c r="BM17" i="114"/>
  <c r="BM14" i="114" s="1"/>
  <c r="BO16" i="114"/>
  <c r="BO14" i="114" s="1"/>
  <c r="BO70" i="114" s="1"/>
  <c r="BN15" i="114"/>
  <c r="BN34" i="114" s="1"/>
  <c r="BO11" i="114"/>
  <c r="BM11" i="114"/>
  <c r="BO10" i="114"/>
  <c r="BM10" i="114"/>
  <c r="BN9" i="114"/>
  <c r="BN8" i="114"/>
  <c r="BE18" i="114"/>
  <c r="BE17" i="114" s="1"/>
  <c r="BF17" i="114"/>
  <c r="BD17" i="114"/>
  <c r="BD14" i="114" s="1"/>
  <c r="BF16" i="114"/>
  <c r="BE16" i="114" s="1"/>
  <c r="BE15" i="114"/>
  <c r="BE34" i="114" s="1"/>
  <c r="BF11" i="114"/>
  <c r="BD11" i="114"/>
  <c r="BF10" i="114"/>
  <c r="BD10" i="114"/>
  <c r="BE9" i="114"/>
  <c r="BE8" i="114"/>
  <c r="AV18" i="114"/>
  <c r="AV17" i="114" s="1"/>
  <c r="AW17" i="114"/>
  <c r="AU17" i="114"/>
  <c r="AU14" i="114" s="1"/>
  <c r="AW16" i="114"/>
  <c r="AV16" i="114" s="1"/>
  <c r="AV15" i="114"/>
  <c r="AV34" i="114" s="1"/>
  <c r="AW11" i="114"/>
  <c r="AU11" i="114"/>
  <c r="AW10" i="114"/>
  <c r="AU10" i="114"/>
  <c r="AV9" i="114"/>
  <c r="AV10" i="114" s="1"/>
  <c r="AV8" i="114"/>
  <c r="AA18" i="114"/>
  <c r="AA17" i="114" s="1"/>
  <c r="AB17" i="114"/>
  <c r="Z17" i="114"/>
  <c r="Z14" i="114" s="1"/>
  <c r="AB16" i="114"/>
  <c r="AA16" i="114" s="1"/>
  <c r="AA15" i="114"/>
  <c r="AA34" i="114" s="1"/>
  <c r="AB11" i="114"/>
  <c r="Z11" i="114"/>
  <c r="AB10" i="114"/>
  <c r="Z10" i="114"/>
  <c r="AA9" i="114"/>
  <c r="AA8" i="114"/>
  <c r="S16" i="114"/>
  <c r="R16" i="114" s="1"/>
  <c r="R18" i="114"/>
  <c r="S17" i="114"/>
  <c r="R17" i="114"/>
  <c r="Q17" i="114"/>
  <c r="Q14" i="114" s="1"/>
  <c r="R15" i="114"/>
  <c r="R33" i="114" s="1"/>
  <c r="Q11" i="114"/>
  <c r="Q10" i="114"/>
  <c r="R9" i="114"/>
  <c r="I16" i="114"/>
  <c r="I18" i="114"/>
  <c r="I15" i="114"/>
  <c r="I9" i="114"/>
  <c r="H8" i="122"/>
  <c r="H5" i="122"/>
  <c r="H9" i="122" s="1"/>
  <c r="H13" i="122" s="1"/>
  <c r="B36" i="121"/>
  <c r="B35" i="121"/>
  <c r="C35" i="121" s="1"/>
  <c r="B34" i="121"/>
  <c r="B33" i="121"/>
  <c r="K36" i="121"/>
  <c r="Q36" i="121" s="1"/>
  <c r="G36" i="121"/>
  <c r="K35" i="121"/>
  <c r="R35" i="121" s="1"/>
  <c r="G35" i="121"/>
  <c r="H35" i="121"/>
  <c r="L34" i="121"/>
  <c r="K34" i="121"/>
  <c r="Q34" i="121" s="1"/>
  <c r="G34" i="121"/>
  <c r="B32" i="121"/>
  <c r="K32" i="121"/>
  <c r="R32" i="121" s="1"/>
  <c r="G32" i="121"/>
  <c r="C32" i="121"/>
  <c r="H32" i="121"/>
  <c r="B17" i="121"/>
  <c r="Q17" i="121" s="1"/>
  <c r="M17" i="121"/>
  <c r="G17" i="121"/>
  <c r="R17" i="121"/>
  <c r="B16" i="121"/>
  <c r="Q16" i="121" s="1"/>
  <c r="R57" i="116" l="1"/>
  <c r="FL34" i="114"/>
  <c r="AA11" i="114"/>
  <c r="AA12" i="114" s="1"/>
  <c r="AA13" i="114" s="1"/>
  <c r="BN16" i="114"/>
  <c r="BN14" i="114" s="1"/>
  <c r="BN70" i="114" s="1"/>
  <c r="DD10" i="114"/>
  <c r="DE12" i="114"/>
  <c r="DE13" i="114" s="1"/>
  <c r="FL16" i="114"/>
  <c r="FL35" i="114" s="1"/>
  <c r="BO36" i="114"/>
  <c r="CT36" i="114"/>
  <c r="Z69" i="114"/>
  <c r="AA14" i="114"/>
  <c r="AA70" i="114" s="1"/>
  <c r="S14" i="114"/>
  <c r="S70" i="114" s="1"/>
  <c r="BO12" i="114"/>
  <c r="BO13" i="114" s="1"/>
  <c r="FC14" i="114"/>
  <c r="FC70" i="114" s="1"/>
  <c r="AV33" i="114"/>
  <c r="CU33" i="114"/>
  <c r="DL36" i="114"/>
  <c r="FB28" i="114"/>
  <c r="BN33" i="114"/>
  <c r="Q12" i="114"/>
  <c r="Q13" i="114" s="1"/>
  <c r="CT12" i="114"/>
  <c r="CT13" i="114" s="1"/>
  <c r="FM14" i="114"/>
  <c r="BE33" i="114"/>
  <c r="BM36" i="114"/>
  <c r="DC36" i="114"/>
  <c r="DN36" i="114"/>
  <c r="ES36" i="114"/>
  <c r="FB36" i="114"/>
  <c r="BD69" i="114"/>
  <c r="CT28" i="114"/>
  <c r="Q28" i="114"/>
  <c r="Q35" i="114" s="1"/>
  <c r="BD28" i="114"/>
  <c r="BD35" i="114" s="1"/>
  <c r="DL28" i="114"/>
  <c r="DL35" i="114" s="1"/>
  <c r="FK28" i="114"/>
  <c r="BM28" i="114"/>
  <c r="FM44" i="114"/>
  <c r="FL44" i="114" s="1"/>
  <c r="FM42" i="114"/>
  <c r="FL42" i="114" s="1"/>
  <c r="FM41" i="114"/>
  <c r="FM67" i="114"/>
  <c r="FL67" i="114" s="1"/>
  <c r="FM65" i="114"/>
  <c r="FL65" i="114" s="1"/>
  <c r="FM63" i="114"/>
  <c r="FL63" i="114" s="1"/>
  <c r="FM61" i="114"/>
  <c r="FM58" i="114"/>
  <c r="FL58" i="114" s="1"/>
  <c r="FM56" i="114"/>
  <c r="FL56" i="114" s="1"/>
  <c r="FM52" i="114"/>
  <c r="FL52" i="114" s="1"/>
  <c r="FM50" i="114"/>
  <c r="FM47" i="114"/>
  <c r="FM68" i="114"/>
  <c r="FL68" i="114" s="1"/>
  <c r="FM66" i="114"/>
  <c r="FL66" i="114" s="1"/>
  <c r="FM64" i="114"/>
  <c r="FL64" i="114" s="1"/>
  <c r="FM62" i="114"/>
  <c r="FL62" i="114" s="1"/>
  <c r="FM57" i="114"/>
  <c r="FL57" i="114" s="1"/>
  <c r="FM55" i="114"/>
  <c r="FM53" i="114"/>
  <c r="FL53" i="114" s="1"/>
  <c r="FM51" i="114"/>
  <c r="FL51" i="114" s="1"/>
  <c r="FM46" i="114"/>
  <c r="FL46" i="114" s="1"/>
  <c r="H15" i="122"/>
  <c r="H19" i="122" s="1"/>
  <c r="S59" i="116"/>
  <c r="S62" i="116"/>
  <c r="BM70" i="114"/>
  <c r="BM71" i="114" s="1"/>
  <c r="BO44" i="114"/>
  <c r="BN44" i="114" s="1"/>
  <c r="BO42" i="114"/>
  <c r="BN42" i="114" s="1"/>
  <c r="BO41" i="114"/>
  <c r="BO68" i="114"/>
  <c r="BN68" i="114" s="1"/>
  <c r="BO66" i="114"/>
  <c r="BN66" i="114" s="1"/>
  <c r="BO64" i="114"/>
  <c r="BN64" i="114" s="1"/>
  <c r="BO62" i="114"/>
  <c r="BN62" i="114" s="1"/>
  <c r="BO57" i="114"/>
  <c r="BN57" i="114" s="1"/>
  <c r="BO55" i="114"/>
  <c r="BO53" i="114"/>
  <c r="BN53" i="114" s="1"/>
  <c r="BO51" i="114"/>
  <c r="BN51" i="114" s="1"/>
  <c r="BO46" i="114"/>
  <c r="BN46" i="114" s="1"/>
  <c r="BO67" i="114"/>
  <c r="BN67" i="114" s="1"/>
  <c r="BO65" i="114"/>
  <c r="BN65" i="114" s="1"/>
  <c r="BO63" i="114"/>
  <c r="BN63" i="114" s="1"/>
  <c r="BO61" i="114"/>
  <c r="BO58" i="114"/>
  <c r="BN58" i="114" s="1"/>
  <c r="BO56" i="114"/>
  <c r="BN56" i="114" s="1"/>
  <c r="BO52" i="114"/>
  <c r="BN52" i="114" s="1"/>
  <c r="BO50" i="114"/>
  <c r="BO47" i="114"/>
  <c r="DC70" i="114"/>
  <c r="DC71" i="114" s="1"/>
  <c r="DE44" i="114"/>
  <c r="DD44" i="114" s="1"/>
  <c r="DE42" i="114"/>
  <c r="DD42" i="114" s="1"/>
  <c r="DE41" i="114"/>
  <c r="DE67" i="114"/>
  <c r="DD67" i="114" s="1"/>
  <c r="DE65" i="114"/>
  <c r="DD65" i="114" s="1"/>
  <c r="DE63" i="114"/>
  <c r="DD63" i="114" s="1"/>
  <c r="DE61" i="114"/>
  <c r="DE58" i="114"/>
  <c r="DD58" i="114" s="1"/>
  <c r="DE56" i="114"/>
  <c r="DD56" i="114" s="1"/>
  <c r="DE52" i="114"/>
  <c r="DD52" i="114" s="1"/>
  <c r="DE50" i="114"/>
  <c r="DE47" i="114"/>
  <c r="DE68" i="114"/>
  <c r="DD68" i="114" s="1"/>
  <c r="DE66" i="114"/>
  <c r="DD66" i="114" s="1"/>
  <c r="DE64" i="114"/>
  <c r="DD64" i="114" s="1"/>
  <c r="DE62" i="114"/>
  <c r="DD62" i="114" s="1"/>
  <c r="DE57" i="114"/>
  <c r="DD57" i="114" s="1"/>
  <c r="DE55" i="114"/>
  <c r="DE53" i="114"/>
  <c r="DD53" i="114" s="1"/>
  <c r="DE51" i="114"/>
  <c r="DD51" i="114" s="1"/>
  <c r="DE46" i="114"/>
  <c r="DD46" i="114" s="1"/>
  <c r="EU68" i="114"/>
  <c r="ET68" i="114" s="1"/>
  <c r="EU46" i="114"/>
  <c r="ET46" i="114" s="1"/>
  <c r="EU50" i="114"/>
  <c r="FB70" i="114"/>
  <c r="FB71" i="114" s="1"/>
  <c r="FD68" i="114"/>
  <c r="FC68" i="114" s="1"/>
  <c r="FD67" i="114"/>
  <c r="FC67" i="114" s="1"/>
  <c r="FD66" i="114"/>
  <c r="FC66" i="114" s="1"/>
  <c r="FD65" i="114"/>
  <c r="FC65" i="114" s="1"/>
  <c r="FD64" i="114"/>
  <c r="FC64" i="114" s="1"/>
  <c r="FD63" i="114"/>
  <c r="FC63" i="114" s="1"/>
  <c r="FD62" i="114"/>
  <c r="FC62" i="114" s="1"/>
  <c r="FD61" i="114"/>
  <c r="FD58" i="114"/>
  <c r="FC58" i="114" s="1"/>
  <c r="FD57" i="114"/>
  <c r="FC57" i="114" s="1"/>
  <c r="FD56" i="114"/>
  <c r="FC56" i="114" s="1"/>
  <c r="FD55" i="114"/>
  <c r="FD53" i="114"/>
  <c r="FC53" i="114" s="1"/>
  <c r="FD52" i="114"/>
  <c r="FC52" i="114" s="1"/>
  <c r="FD51" i="114"/>
  <c r="FC51" i="114" s="1"/>
  <c r="FD50" i="114"/>
  <c r="FD47" i="114"/>
  <c r="FD46" i="114"/>
  <c r="FC46" i="114" s="1"/>
  <c r="FD44" i="114"/>
  <c r="FC44" i="114" s="1"/>
  <c r="FD42" i="114"/>
  <c r="FC42" i="114" s="1"/>
  <c r="FD41" i="114"/>
  <c r="R35" i="114"/>
  <c r="R34" i="114"/>
  <c r="Z35" i="114"/>
  <c r="AB36" i="114"/>
  <c r="AU36" i="114"/>
  <c r="AW36" i="114"/>
  <c r="BD36" i="114"/>
  <c r="BE35" i="114"/>
  <c r="BF36" i="114"/>
  <c r="BN35" i="114"/>
  <c r="CU35" i="114"/>
  <c r="CV36" i="114"/>
  <c r="DD35" i="114"/>
  <c r="EU32" i="114"/>
  <c r="ET34" i="114"/>
  <c r="FB35" i="114"/>
  <c r="FD32" i="114"/>
  <c r="FK35" i="114"/>
  <c r="FM32" i="114"/>
  <c r="R34" i="121"/>
  <c r="H6" i="122"/>
  <c r="H10" i="122" s="1"/>
  <c r="H14" i="122" s="1"/>
  <c r="H18" i="122" s="1"/>
  <c r="S65" i="114"/>
  <c r="R65" i="114" s="1"/>
  <c r="S61" i="114"/>
  <c r="S55" i="114"/>
  <c r="S50" i="114"/>
  <c r="S42" i="114"/>
  <c r="R42" i="114" s="1"/>
  <c r="AB14" i="114"/>
  <c r="AB66" i="114" s="1"/>
  <c r="AA66" i="114" s="1"/>
  <c r="AB68" i="114"/>
  <c r="AA68" i="114" s="1"/>
  <c r="AB64" i="114"/>
  <c r="AA64" i="114" s="1"/>
  <c r="AB58" i="114"/>
  <c r="AA58" i="114" s="1"/>
  <c r="AB53" i="114"/>
  <c r="AA53" i="114" s="1"/>
  <c r="AB47" i="114"/>
  <c r="BN11" i="114"/>
  <c r="BN12" i="114" s="1"/>
  <c r="BN13" i="114" s="1"/>
  <c r="CU10" i="114"/>
  <c r="DD11" i="114"/>
  <c r="DD12" i="114" s="1"/>
  <c r="DD13" i="114" s="1"/>
  <c r="FD12" i="114"/>
  <c r="FD13" i="114" s="1"/>
  <c r="FL10" i="114"/>
  <c r="Q36" i="114"/>
  <c r="S36" i="114"/>
  <c r="Z36" i="114"/>
  <c r="AA35" i="114"/>
  <c r="AA33" i="114"/>
  <c r="AV35" i="114"/>
  <c r="AU28" i="114"/>
  <c r="AU35" i="114" s="1"/>
  <c r="BM35" i="114"/>
  <c r="BO32" i="114"/>
  <c r="CT35" i="114"/>
  <c r="DC35" i="114"/>
  <c r="DE32" i="114"/>
  <c r="ES28" i="114"/>
  <c r="ES35" i="114" s="1"/>
  <c r="EU36" i="114"/>
  <c r="FC35" i="114"/>
  <c r="FC33" i="114"/>
  <c r="FK36" i="114"/>
  <c r="AU69" i="114"/>
  <c r="S63" i="116"/>
  <c r="S64" i="116" s="1"/>
  <c r="S65" i="116" s="1"/>
  <c r="ET35" i="114"/>
  <c r="FL31" i="114"/>
  <c r="FC31" i="114"/>
  <c r="ET31" i="114"/>
  <c r="DM35" i="114"/>
  <c r="DM33" i="114"/>
  <c r="DM14" i="114"/>
  <c r="DM31" i="114"/>
  <c r="DD31" i="114"/>
  <c r="CU31" i="114"/>
  <c r="BN31" i="114"/>
  <c r="BE31" i="114"/>
  <c r="AA31" i="114"/>
  <c r="R31" i="114"/>
  <c r="DN14" i="114"/>
  <c r="FK12" i="114"/>
  <c r="FK13" i="114" s="1"/>
  <c r="FL11" i="114"/>
  <c r="FC10" i="114"/>
  <c r="ET10" i="114"/>
  <c r="FB12" i="114"/>
  <c r="FB13" i="114" s="1"/>
  <c r="FC11" i="114"/>
  <c r="FC12" i="114" s="1"/>
  <c r="FC13" i="114" s="1"/>
  <c r="ES12" i="114"/>
  <c r="ES13" i="114" s="1"/>
  <c r="ET14" i="114"/>
  <c r="ET70" i="114" s="1"/>
  <c r="ET11" i="114"/>
  <c r="EU14" i="114"/>
  <c r="EU64" i="114" s="1"/>
  <c r="ET64" i="114" s="1"/>
  <c r="DL12" i="114"/>
  <c r="DL13" i="114" s="1"/>
  <c r="DM10" i="114"/>
  <c r="DC12" i="114"/>
  <c r="DC13" i="114" s="1"/>
  <c r="CU14" i="114"/>
  <c r="CU70" i="114" s="1"/>
  <c r="CU11" i="114"/>
  <c r="CV14" i="114"/>
  <c r="BM12" i="114"/>
  <c r="BM13" i="114" s="1"/>
  <c r="BN10" i="114"/>
  <c r="BD12" i="114"/>
  <c r="BD13" i="114" s="1"/>
  <c r="BE14" i="114"/>
  <c r="BE70" i="114" s="1"/>
  <c r="BE11" i="114"/>
  <c r="BE10" i="114"/>
  <c r="BF14" i="114"/>
  <c r="AU12" i="114"/>
  <c r="AU13" i="114" s="1"/>
  <c r="AV14" i="114"/>
  <c r="AV70" i="114" s="1"/>
  <c r="AV11" i="114"/>
  <c r="AW14" i="114"/>
  <c r="Z12" i="114"/>
  <c r="Z13" i="114" s="1"/>
  <c r="AA10" i="114"/>
  <c r="R14" i="114"/>
  <c r="R70" i="114" s="1"/>
  <c r="S11" i="114"/>
  <c r="R8" i="114"/>
  <c r="R11" i="114" s="1"/>
  <c r="R12" i="114" s="1"/>
  <c r="R13" i="114" s="1"/>
  <c r="S10" i="114"/>
  <c r="P36" i="121"/>
  <c r="B15" i="121"/>
  <c r="P34" i="121"/>
  <c r="S34" i="121" s="1"/>
  <c r="L36" i="121"/>
  <c r="R36" i="121"/>
  <c r="R33" i="121" s="1"/>
  <c r="K33" i="121"/>
  <c r="G33" i="121"/>
  <c r="S36" i="121"/>
  <c r="D34" i="121"/>
  <c r="F34" i="121"/>
  <c r="H34" i="121"/>
  <c r="M35" i="121"/>
  <c r="Q35" i="121"/>
  <c r="Q33" i="121" s="1"/>
  <c r="D36" i="121"/>
  <c r="F36" i="121"/>
  <c r="H36" i="121"/>
  <c r="C34" i="121"/>
  <c r="M34" i="121"/>
  <c r="D35" i="121"/>
  <c r="E35" i="121" s="1"/>
  <c r="F35" i="121"/>
  <c r="I35" i="121" s="1"/>
  <c r="L35" i="121"/>
  <c r="P35" i="121"/>
  <c r="C36" i="121"/>
  <c r="M36" i="121"/>
  <c r="N36" i="121" s="1"/>
  <c r="M32" i="121"/>
  <c r="Q32" i="121"/>
  <c r="D32" i="121"/>
  <c r="E32" i="121" s="1"/>
  <c r="F32" i="121"/>
  <c r="I32" i="121" s="1"/>
  <c r="L32" i="121"/>
  <c r="N32" i="121" s="1"/>
  <c r="P32" i="121"/>
  <c r="S32" i="121" s="1"/>
  <c r="Q15" i="121"/>
  <c r="C17" i="121"/>
  <c r="K17" i="121"/>
  <c r="D17" i="121"/>
  <c r="E17" i="121" s="1"/>
  <c r="F17" i="121"/>
  <c r="H17" i="121"/>
  <c r="L17" i="121"/>
  <c r="N17" i="121" s="1"/>
  <c r="P17" i="121"/>
  <c r="S17" i="121" s="1"/>
  <c r="D16" i="121"/>
  <c r="F16" i="121"/>
  <c r="H16" i="121"/>
  <c r="L16" i="121"/>
  <c r="P16" i="121"/>
  <c r="R16" i="121"/>
  <c r="R15" i="121" s="1"/>
  <c r="C16" i="121"/>
  <c r="G16" i="121"/>
  <c r="G15" i="121" s="1"/>
  <c r="K16" i="121"/>
  <c r="M16" i="121"/>
  <c r="M15" i="121" s="1"/>
  <c r="E45" i="120"/>
  <c r="R59" i="116" l="1"/>
  <c r="R62" i="116"/>
  <c r="R63" i="116" s="1"/>
  <c r="R64" i="116" s="1"/>
  <c r="R65" i="116" s="1"/>
  <c r="S12" i="114"/>
  <c r="S13" i="114" s="1"/>
  <c r="FL14" i="114"/>
  <c r="FL70" i="114" s="1"/>
  <c r="FK70" i="114" s="1"/>
  <c r="FK71" i="114" s="1"/>
  <c r="AB51" i="114"/>
  <c r="AA51" i="114" s="1"/>
  <c r="AB62" i="114"/>
  <c r="AA62" i="114" s="1"/>
  <c r="AB42" i="114"/>
  <c r="AA42" i="114" s="1"/>
  <c r="S44" i="114"/>
  <c r="R44" i="114" s="1"/>
  <c r="S51" i="114"/>
  <c r="R51" i="114" s="1"/>
  <c r="S56" i="114"/>
  <c r="R56" i="114" s="1"/>
  <c r="S62" i="114"/>
  <c r="R62" i="114" s="1"/>
  <c r="S66" i="114"/>
  <c r="R66" i="114" s="1"/>
  <c r="EU56" i="114"/>
  <c r="ET56" i="114" s="1"/>
  <c r="EU53" i="114"/>
  <c r="ET53" i="114" s="1"/>
  <c r="EU42" i="114"/>
  <c r="ET42" i="114" s="1"/>
  <c r="FM70" i="114"/>
  <c r="FM12" i="114"/>
  <c r="FM13" i="114" s="1"/>
  <c r="Q70" i="114"/>
  <c r="Q71" i="114" s="1"/>
  <c r="S46" i="114"/>
  <c r="R46" i="114" s="1"/>
  <c r="S52" i="114"/>
  <c r="R52" i="114" s="1"/>
  <c r="S57" i="114"/>
  <c r="R57" i="114" s="1"/>
  <c r="S63" i="114"/>
  <c r="R63" i="114" s="1"/>
  <c r="S67" i="114"/>
  <c r="R67" i="114" s="1"/>
  <c r="EU61" i="114"/>
  <c r="ET61" i="114" s="1"/>
  <c r="EU57" i="114"/>
  <c r="ET57" i="114" s="1"/>
  <c r="R10" i="114"/>
  <c r="AB56" i="114"/>
  <c r="AA56" i="114" s="1"/>
  <c r="S41" i="114"/>
  <c r="S47" i="114"/>
  <c r="S53" i="114"/>
  <c r="R53" i="114" s="1"/>
  <c r="S58" i="114"/>
  <c r="R58" i="114" s="1"/>
  <c r="S64" i="114"/>
  <c r="R64" i="114" s="1"/>
  <c r="S68" i="114"/>
  <c r="R68" i="114" s="1"/>
  <c r="EU65" i="114"/>
  <c r="ET65" i="114" s="1"/>
  <c r="S32" i="114"/>
  <c r="AW12" i="114"/>
  <c r="AW13" i="114" s="1"/>
  <c r="AW70" i="114"/>
  <c r="AU70" i="114" s="1"/>
  <c r="AU71" i="114" s="1"/>
  <c r="BF12" i="114"/>
  <c r="BF13" i="114" s="1"/>
  <c r="BF70" i="114"/>
  <c r="CV12" i="114"/>
  <c r="CV13" i="114" s="1"/>
  <c r="CV70" i="114"/>
  <c r="CT70" i="114"/>
  <c r="CT71" i="114" s="1"/>
  <c r="DN12" i="114"/>
  <c r="DN13" i="114" s="1"/>
  <c r="DN70" i="114"/>
  <c r="DN32" i="114"/>
  <c r="CV32" i="114"/>
  <c r="BF32" i="114"/>
  <c r="BF44" i="114"/>
  <c r="BE44" i="114" s="1"/>
  <c r="BF46" i="114"/>
  <c r="BE46" i="114" s="1"/>
  <c r="BF50" i="114"/>
  <c r="BF52" i="114"/>
  <c r="BE52" i="114" s="1"/>
  <c r="BF55" i="114"/>
  <c r="BF57" i="114"/>
  <c r="BE57" i="114" s="1"/>
  <c r="BF61" i="114"/>
  <c r="BF63" i="114"/>
  <c r="BE63" i="114" s="1"/>
  <c r="BF65" i="114"/>
  <c r="BE65" i="114" s="1"/>
  <c r="BF67" i="114"/>
  <c r="BE67" i="114" s="1"/>
  <c r="AW41" i="114"/>
  <c r="AW44" i="114"/>
  <c r="AV44" i="114" s="1"/>
  <c r="AW68" i="114"/>
  <c r="AV68" i="114" s="1"/>
  <c r="AW47" i="114"/>
  <c r="AW51" i="114"/>
  <c r="AV51" i="114" s="1"/>
  <c r="AW53" i="114"/>
  <c r="AV53" i="114" s="1"/>
  <c r="AW56" i="114"/>
  <c r="AV56" i="114" s="1"/>
  <c r="AW58" i="114"/>
  <c r="AV58" i="114" s="1"/>
  <c r="AW62" i="114"/>
  <c r="AV62" i="114" s="1"/>
  <c r="AW64" i="114"/>
  <c r="AV64" i="114" s="1"/>
  <c r="AW67" i="114"/>
  <c r="AV67" i="114" s="1"/>
  <c r="AA47" i="114"/>
  <c r="AB70" i="114"/>
  <c r="AB12" i="114"/>
  <c r="AB13" i="114" s="1"/>
  <c r="R50" i="114"/>
  <c r="S54" i="114"/>
  <c r="R55" i="114"/>
  <c r="R54" i="114" s="1"/>
  <c r="R61" i="114"/>
  <c r="H20" i="122"/>
  <c r="H21" i="122"/>
  <c r="FD49" i="114"/>
  <c r="FC50" i="114"/>
  <c r="FC49" i="114" s="1"/>
  <c r="FD54" i="114"/>
  <c r="FD69" i="114" s="1"/>
  <c r="FC55" i="114"/>
  <c r="FC54" i="114" s="1"/>
  <c r="FD60" i="114"/>
  <c r="FC61" i="114"/>
  <c r="FC60" i="114" s="1"/>
  <c r="ET50" i="114"/>
  <c r="DN42" i="114"/>
  <c r="DM42" i="114" s="1"/>
  <c r="DN41" i="114"/>
  <c r="DN47" i="114"/>
  <c r="DN51" i="114"/>
  <c r="DM51" i="114" s="1"/>
  <c r="DN53" i="114"/>
  <c r="DM53" i="114" s="1"/>
  <c r="DN56" i="114"/>
  <c r="DM56" i="114" s="1"/>
  <c r="DN58" i="114"/>
  <c r="DM58" i="114" s="1"/>
  <c r="DN62" i="114"/>
  <c r="DM62" i="114" s="1"/>
  <c r="DN64" i="114"/>
  <c r="DM64" i="114" s="1"/>
  <c r="DN66" i="114"/>
  <c r="DM66" i="114" s="1"/>
  <c r="DN68" i="114"/>
  <c r="DM68" i="114" s="1"/>
  <c r="DD55" i="114"/>
  <c r="DD54" i="114" s="1"/>
  <c r="DE54" i="114"/>
  <c r="DE48" i="114"/>
  <c r="DD47" i="114"/>
  <c r="DD48" i="114" s="1"/>
  <c r="CV42" i="114"/>
  <c r="CU42" i="114" s="1"/>
  <c r="CV46" i="114"/>
  <c r="CU46" i="114" s="1"/>
  <c r="CV50" i="114"/>
  <c r="CV52" i="114"/>
  <c r="CU52" i="114" s="1"/>
  <c r="CV55" i="114"/>
  <c r="CV57" i="114"/>
  <c r="CU57" i="114" s="1"/>
  <c r="CV61" i="114"/>
  <c r="CV63" i="114"/>
  <c r="CU63" i="114" s="1"/>
  <c r="CV65" i="114"/>
  <c r="CU65" i="114" s="1"/>
  <c r="CV67" i="114"/>
  <c r="CU67" i="114" s="1"/>
  <c r="BO48" i="114"/>
  <c r="BN47" i="114"/>
  <c r="BN48" i="114" s="1"/>
  <c r="BN55" i="114"/>
  <c r="BN54" i="114" s="1"/>
  <c r="BO54" i="114"/>
  <c r="BN41" i="114"/>
  <c r="FL50" i="114"/>
  <c r="FL49" i="114" s="1"/>
  <c r="FM49" i="114"/>
  <c r="FL61" i="114"/>
  <c r="FL60" i="114" s="1"/>
  <c r="FM60" i="114"/>
  <c r="FL41" i="114"/>
  <c r="E36" i="121"/>
  <c r="J36" i="121" s="1"/>
  <c r="O36" i="121" s="1"/>
  <c r="T36" i="121" s="1"/>
  <c r="L33" i="121"/>
  <c r="I36" i="121"/>
  <c r="H33" i="121"/>
  <c r="BD70" i="114"/>
  <c r="BD71" i="114" s="1"/>
  <c r="EU12" i="114"/>
  <c r="EU13" i="114" s="1"/>
  <c r="EU70" i="114"/>
  <c r="ES70" i="114" s="1"/>
  <c r="ES71" i="114" s="1"/>
  <c r="DM12" i="114"/>
  <c r="DM13" i="114" s="1"/>
  <c r="DM70" i="114"/>
  <c r="BF42" i="114"/>
  <c r="BE42" i="114" s="1"/>
  <c r="BF41" i="114"/>
  <c r="BF47" i="114"/>
  <c r="BF51" i="114"/>
  <c r="BE51" i="114" s="1"/>
  <c r="BF53" i="114"/>
  <c r="BE53" i="114" s="1"/>
  <c r="BF56" i="114"/>
  <c r="BE56" i="114" s="1"/>
  <c r="BF58" i="114"/>
  <c r="BE58" i="114" s="1"/>
  <c r="BF62" i="114"/>
  <c r="BE62" i="114" s="1"/>
  <c r="BF64" i="114"/>
  <c r="BE64" i="114" s="1"/>
  <c r="BF66" i="114"/>
  <c r="BE66" i="114" s="1"/>
  <c r="BF68" i="114"/>
  <c r="BE68" i="114" s="1"/>
  <c r="AW42" i="114"/>
  <c r="AV42" i="114" s="1"/>
  <c r="AW66" i="114"/>
  <c r="AV66" i="114" s="1"/>
  <c r="AW46" i="114"/>
  <c r="AV46" i="114" s="1"/>
  <c r="AW50" i="114"/>
  <c r="AW52" i="114"/>
  <c r="AV52" i="114" s="1"/>
  <c r="AW55" i="114"/>
  <c r="AW57" i="114"/>
  <c r="AV57" i="114" s="1"/>
  <c r="AW61" i="114"/>
  <c r="AW63" i="114"/>
  <c r="AV63" i="114" s="1"/>
  <c r="AW65" i="114"/>
  <c r="AV65" i="114" s="1"/>
  <c r="AB46" i="114"/>
  <c r="AA46" i="114" s="1"/>
  <c r="AB50" i="114"/>
  <c r="AB52" i="114"/>
  <c r="AA52" i="114" s="1"/>
  <c r="AB55" i="114"/>
  <c r="AB57" i="114"/>
  <c r="AA57" i="114" s="1"/>
  <c r="AB61" i="114"/>
  <c r="AB63" i="114"/>
  <c r="AA63" i="114" s="1"/>
  <c r="AB65" i="114"/>
  <c r="AA65" i="114" s="1"/>
  <c r="AB67" i="114"/>
  <c r="AA67" i="114" s="1"/>
  <c r="AB41" i="114"/>
  <c r="AB44" i="114"/>
  <c r="AA44" i="114" s="1"/>
  <c r="R41" i="114"/>
  <c r="S48" i="114"/>
  <c r="R47" i="114"/>
  <c r="R48" i="114" s="1"/>
  <c r="AB32" i="114"/>
  <c r="FC41" i="114"/>
  <c r="FD48" i="114"/>
  <c r="FC47" i="114"/>
  <c r="FC48" i="114" s="1"/>
  <c r="EU47" i="114"/>
  <c r="EU52" i="114"/>
  <c r="ET52" i="114" s="1"/>
  <c r="EU58" i="114"/>
  <c r="ET58" i="114" s="1"/>
  <c r="EU63" i="114"/>
  <c r="ET63" i="114" s="1"/>
  <c r="EU67" i="114"/>
  <c r="ET67" i="114" s="1"/>
  <c r="EU51" i="114"/>
  <c r="ET51" i="114" s="1"/>
  <c r="EU55" i="114"/>
  <c r="EU62" i="114"/>
  <c r="ET62" i="114" s="1"/>
  <c r="EU66" i="114"/>
  <c r="ET66" i="114" s="1"/>
  <c r="EU41" i="114"/>
  <c r="EU44" i="114"/>
  <c r="ET44" i="114" s="1"/>
  <c r="DN44" i="114"/>
  <c r="DM44" i="114" s="1"/>
  <c r="DN46" i="114"/>
  <c r="DM46" i="114" s="1"/>
  <c r="DN50" i="114"/>
  <c r="DN52" i="114"/>
  <c r="DM52" i="114" s="1"/>
  <c r="DN55" i="114"/>
  <c r="DN57" i="114"/>
  <c r="DM57" i="114" s="1"/>
  <c r="DN61" i="114"/>
  <c r="DN63" i="114"/>
  <c r="DM63" i="114" s="1"/>
  <c r="DN65" i="114"/>
  <c r="DM65" i="114" s="1"/>
  <c r="DN67" i="114"/>
  <c r="DM67" i="114" s="1"/>
  <c r="DD50" i="114"/>
  <c r="DD49" i="114" s="1"/>
  <c r="DE49" i="114"/>
  <c r="DD61" i="114"/>
  <c r="DD60" i="114" s="1"/>
  <c r="DE60" i="114"/>
  <c r="DE69" i="114" s="1"/>
  <c r="DD41" i="114"/>
  <c r="CV41" i="114"/>
  <c r="CV44" i="114"/>
  <c r="CU44" i="114" s="1"/>
  <c r="CV47" i="114"/>
  <c r="CV51" i="114"/>
  <c r="CU51" i="114" s="1"/>
  <c r="CV53" i="114"/>
  <c r="CU53" i="114" s="1"/>
  <c r="CV56" i="114"/>
  <c r="CU56" i="114" s="1"/>
  <c r="CV58" i="114"/>
  <c r="CU58" i="114" s="1"/>
  <c r="CV62" i="114"/>
  <c r="CU62" i="114" s="1"/>
  <c r="CV64" i="114"/>
  <c r="CU64" i="114" s="1"/>
  <c r="CV66" i="114"/>
  <c r="CU66" i="114" s="1"/>
  <c r="CV68" i="114"/>
  <c r="CU68" i="114" s="1"/>
  <c r="BN50" i="114"/>
  <c r="BN49" i="114" s="1"/>
  <c r="BO49" i="114"/>
  <c r="BO69" i="114" s="1"/>
  <c r="BN61" i="114"/>
  <c r="BN60" i="114" s="1"/>
  <c r="BO60" i="114"/>
  <c r="H16" i="122"/>
  <c r="AW32" i="114"/>
  <c r="FL55" i="114"/>
  <c r="FL54" i="114" s="1"/>
  <c r="FM54" i="114"/>
  <c r="FM48" i="114"/>
  <c r="FL47" i="114"/>
  <c r="FL48" i="114" s="1"/>
  <c r="H11" i="122"/>
  <c r="FK31" i="114"/>
  <c r="FK32" i="114" s="1"/>
  <c r="FC32" i="114"/>
  <c r="FB31" i="114"/>
  <c r="FB32" i="114" s="1"/>
  <c r="ET32" i="114"/>
  <c r="ES31" i="114"/>
  <c r="ES32" i="114" s="1"/>
  <c r="DM32" i="114"/>
  <c r="DL31" i="114"/>
  <c r="DL32" i="114" s="1"/>
  <c r="DD32" i="114"/>
  <c r="DC31" i="114"/>
  <c r="DC32" i="114" s="1"/>
  <c r="CU32" i="114"/>
  <c r="CT31" i="114"/>
  <c r="CT32" i="114" s="1"/>
  <c r="BN32" i="114"/>
  <c r="BM31" i="114"/>
  <c r="BM32" i="114" s="1"/>
  <c r="BE32" i="114"/>
  <c r="BD31" i="114"/>
  <c r="BD32" i="114" s="1"/>
  <c r="AV32" i="114"/>
  <c r="AU32" i="114"/>
  <c r="AA32" i="114"/>
  <c r="Z31" i="114"/>
  <c r="Z32" i="114" s="1"/>
  <c r="R32" i="114"/>
  <c r="Q31" i="114"/>
  <c r="Q32" i="114" s="1"/>
  <c r="ET12" i="114"/>
  <c r="ET13" i="114" s="1"/>
  <c r="CU12" i="114"/>
  <c r="CU13" i="114" s="1"/>
  <c r="BE12" i="114"/>
  <c r="BE13" i="114" s="1"/>
  <c r="AV12" i="114"/>
  <c r="AV13" i="114" s="1"/>
  <c r="N34" i="121"/>
  <c r="M33" i="121"/>
  <c r="N35" i="121"/>
  <c r="N33" i="121"/>
  <c r="P33" i="121"/>
  <c r="S33" i="121" s="1"/>
  <c r="D33" i="121"/>
  <c r="F33" i="121"/>
  <c r="I33" i="121" s="1"/>
  <c r="E34" i="121"/>
  <c r="C33" i="121"/>
  <c r="S35" i="121"/>
  <c r="I34" i="121"/>
  <c r="J35" i="121"/>
  <c r="O35" i="121" s="1"/>
  <c r="T35" i="121" s="1"/>
  <c r="J32" i="121"/>
  <c r="O32" i="121"/>
  <c r="T32" i="121" s="1"/>
  <c r="C15" i="121"/>
  <c r="H15" i="121"/>
  <c r="D15" i="121"/>
  <c r="I17" i="121"/>
  <c r="J17" i="121" s="1"/>
  <c r="O17" i="121" s="1"/>
  <c r="T17" i="121" s="1"/>
  <c r="L15" i="121"/>
  <c r="N16" i="121"/>
  <c r="K15" i="121"/>
  <c r="I16" i="121"/>
  <c r="F15" i="121"/>
  <c r="E16" i="121"/>
  <c r="J16" i="121" s="1"/>
  <c r="O16" i="121" s="1"/>
  <c r="N15" i="121"/>
  <c r="S16" i="121"/>
  <c r="P15" i="121"/>
  <c r="H40" i="120"/>
  <c r="F40" i="120"/>
  <c r="D40" i="120"/>
  <c r="K40" i="120" s="1"/>
  <c r="C40" i="120"/>
  <c r="B27" i="121" s="1"/>
  <c r="H39" i="120"/>
  <c r="F39" i="120"/>
  <c r="D39" i="120"/>
  <c r="C39" i="120"/>
  <c r="B26" i="121" s="1"/>
  <c r="G45" i="120"/>
  <c r="I45" i="120" s="1"/>
  <c r="C28" i="120"/>
  <c r="D28" i="120"/>
  <c r="F28" i="120"/>
  <c r="H28" i="120"/>
  <c r="E29" i="120"/>
  <c r="E39" i="120" s="1"/>
  <c r="K30" i="120"/>
  <c r="K29" i="120"/>
  <c r="E30" i="120"/>
  <c r="G30" i="120" s="1"/>
  <c r="I30" i="120" s="1"/>
  <c r="I40" i="120" s="1"/>
  <c r="R60" i="114" l="1"/>
  <c r="R49" i="114"/>
  <c r="FL32" i="114"/>
  <c r="S60" i="114"/>
  <c r="S49" i="114"/>
  <c r="FM69" i="114"/>
  <c r="FM74" i="114" s="1"/>
  <c r="FM75" i="114" s="1"/>
  <c r="FM76" i="114" s="1"/>
  <c r="FM77" i="114" s="1"/>
  <c r="EU49" i="114"/>
  <c r="FL12" i="114"/>
  <c r="FL13" i="114" s="1"/>
  <c r="FC69" i="114"/>
  <c r="FM71" i="114"/>
  <c r="BO71" i="114"/>
  <c r="BO74" i="114"/>
  <c r="BO75" i="114" s="1"/>
  <c r="BO76" i="114" s="1"/>
  <c r="BO77" i="114" s="1"/>
  <c r="DE74" i="114"/>
  <c r="DE75" i="114" s="1"/>
  <c r="DE76" i="114" s="1"/>
  <c r="DE77" i="114" s="1"/>
  <c r="DE71" i="114"/>
  <c r="ET55" i="114"/>
  <c r="ET54" i="114" s="1"/>
  <c r="EU54" i="114"/>
  <c r="EU48" i="114"/>
  <c r="ET47" i="114"/>
  <c r="ET48" i="114" s="1"/>
  <c r="FC71" i="114"/>
  <c r="FC74" i="114"/>
  <c r="BE41" i="114"/>
  <c r="FL69" i="114"/>
  <c r="BN69" i="114"/>
  <c r="CV60" i="114"/>
  <c r="CU61" i="114"/>
  <c r="CU60" i="114" s="1"/>
  <c r="CV54" i="114"/>
  <c r="CU55" i="114"/>
  <c r="CU54" i="114" s="1"/>
  <c r="CV49" i="114"/>
  <c r="CV69" i="114" s="1"/>
  <c r="CU50" i="114"/>
  <c r="CU49" i="114" s="1"/>
  <c r="DM41" i="114"/>
  <c r="EU60" i="114"/>
  <c r="EU69" i="114" s="1"/>
  <c r="AA48" i="114"/>
  <c r="AV41" i="114"/>
  <c r="BF60" i="114"/>
  <c r="BE61" i="114"/>
  <c r="BE60" i="114" s="1"/>
  <c r="BF54" i="114"/>
  <c r="BE55" i="114"/>
  <c r="BE54" i="114" s="1"/>
  <c r="BF49" i="114"/>
  <c r="BF69" i="114" s="1"/>
  <c r="BE50" i="114"/>
  <c r="BE49" i="114" s="1"/>
  <c r="R26" i="121"/>
  <c r="G26" i="121"/>
  <c r="G25" i="121" s="1"/>
  <c r="G31" i="121" s="1"/>
  <c r="C26" i="121"/>
  <c r="E26" i="121"/>
  <c r="Q26" i="121"/>
  <c r="F26" i="121"/>
  <c r="L26" i="121"/>
  <c r="B25" i="121"/>
  <c r="B31" i="121" s="1"/>
  <c r="K26" i="121"/>
  <c r="M26" i="121"/>
  <c r="D26" i="121"/>
  <c r="H26" i="121"/>
  <c r="H25" i="121" s="1"/>
  <c r="H31" i="121" s="1"/>
  <c r="P26" i="121"/>
  <c r="Q27" i="121"/>
  <c r="F27" i="121"/>
  <c r="L27" i="121"/>
  <c r="R27" i="121"/>
  <c r="R25" i="121" s="1"/>
  <c r="R31" i="121" s="1"/>
  <c r="C27" i="121"/>
  <c r="C25" i="121" s="1"/>
  <c r="K27" i="121"/>
  <c r="D27" i="121"/>
  <c r="H27" i="121"/>
  <c r="P27" i="121"/>
  <c r="S27" i="121" s="1"/>
  <c r="G27" i="121"/>
  <c r="M27" i="121"/>
  <c r="E27" i="121"/>
  <c r="J34" i="121"/>
  <c r="O34" i="121" s="1"/>
  <c r="T34" i="121" s="1"/>
  <c r="CV48" i="114"/>
  <c r="CU47" i="114"/>
  <c r="CU48" i="114" s="1"/>
  <c r="CU41" i="114"/>
  <c r="DD69" i="114"/>
  <c r="DN60" i="114"/>
  <c r="DM61" i="114"/>
  <c r="DM60" i="114" s="1"/>
  <c r="DN54" i="114"/>
  <c r="DM55" i="114"/>
  <c r="DM54" i="114" s="1"/>
  <c r="DN49" i="114"/>
  <c r="DN69" i="114" s="1"/>
  <c r="DM50" i="114"/>
  <c r="DM49" i="114" s="1"/>
  <c r="ET41" i="114"/>
  <c r="FD74" i="114"/>
  <c r="FD75" i="114" s="1"/>
  <c r="FD76" i="114" s="1"/>
  <c r="FD77" i="114" s="1"/>
  <c r="FD71" i="114"/>
  <c r="R69" i="114"/>
  <c r="AA41" i="114"/>
  <c r="AA61" i="114"/>
  <c r="AA60" i="114" s="1"/>
  <c r="AB60" i="114"/>
  <c r="AA55" i="114"/>
  <c r="AA54" i="114" s="1"/>
  <c r="AB54" i="114"/>
  <c r="AA50" i="114"/>
  <c r="AA49" i="114" s="1"/>
  <c r="AB49" i="114"/>
  <c r="AB69" i="114" s="1"/>
  <c r="AW60" i="114"/>
  <c r="AV61" i="114"/>
  <c r="AV60" i="114" s="1"/>
  <c r="AW54" i="114"/>
  <c r="AV55" i="114"/>
  <c r="AV54" i="114" s="1"/>
  <c r="AW49" i="114"/>
  <c r="AV50" i="114"/>
  <c r="AV49" i="114" s="1"/>
  <c r="BF48" i="114"/>
  <c r="BE47" i="114"/>
  <c r="BE48" i="114" s="1"/>
  <c r="DL70" i="114"/>
  <c r="DL71" i="114" s="1"/>
  <c r="DN48" i="114"/>
  <c r="DM47" i="114"/>
  <c r="DM48" i="114" s="1"/>
  <c r="ET60" i="114"/>
  <c r="ET49" i="114"/>
  <c r="AB48" i="114"/>
  <c r="AW48" i="114"/>
  <c r="AV47" i="114"/>
  <c r="AV48" i="114" s="1"/>
  <c r="S15" i="121"/>
  <c r="E33" i="121"/>
  <c r="J33" i="121" s="1"/>
  <c r="O33" i="121" s="1"/>
  <c r="T33" i="121" s="1"/>
  <c r="I15" i="121"/>
  <c r="E15" i="121"/>
  <c r="T16" i="121"/>
  <c r="D44" i="120"/>
  <c r="E40" i="120"/>
  <c r="G40" i="120"/>
  <c r="K39" i="120"/>
  <c r="E38" i="120"/>
  <c r="G29" i="120"/>
  <c r="G39" i="120" s="1"/>
  <c r="C38" i="120"/>
  <c r="C44" i="120" s="1"/>
  <c r="D38" i="120"/>
  <c r="F38" i="120"/>
  <c r="F44" i="120" s="1"/>
  <c r="H38" i="120"/>
  <c r="H44" i="120" s="1"/>
  <c r="E28" i="120"/>
  <c r="G28" i="120"/>
  <c r="AW69" i="114" l="1"/>
  <c r="S69" i="114"/>
  <c r="CU69" i="114"/>
  <c r="CU74" i="114" s="1"/>
  <c r="AB74" i="114"/>
  <c r="AB75" i="114" s="1"/>
  <c r="AB76" i="114" s="1"/>
  <c r="AB77" i="114" s="1"/>
  <c r="AB71" i="114"/>
  <c r="AW71" i="114"/>
  <c r="AW74" i="114"/>
  <c r="AW75" i="114" s="1"/>
  <c r="AW76" i="114" s="1"/>
  <c r="AW77" i="114" s="1"/>
  <c r="AA69" i="114"/>
  <c r="EU71" i="114"/>
  <c r="EU74" i="114"/>
  <c r="EU75" i="114" s="1"/>
  <c r="EU76" i="114" s="1"/>
  <c r="EU77" i="114" s="1"/>
  <c r="DD74" i="114"/>
  <c r="DD71" i="114"/>
  <c r="E25" i="121"/>
  <c r="M25" i="121"/>
  <c r="M31" i="121" s="1"/>
  <c r="I26" i="121"/>
  <c r="J26" i="121" s="1"/>
  <c r="O26" i="121" s="1"/>
  <c r="T26" i="121" s="1"/>
  <c r="F25" i="121"/>
  <c r="DN74" i="114"/>
  <c r="DN75" i="114" s="1"/>
  <c r="DN76" i="114" s="1"/>
  <c r="DN77" i="114" s="1"/>
  <c r="DN71" i="114"/>
  <c r="BN71" i="114"/>
  <c r="BN74" i="114"/>
  <c r="BF74" i="114"/>
  <c r="BF75" i="114" s="1"/>
  <c r="BF76" i="114" s="1"/>
  <c r="BF77" i="114" s="1"/>
  <c r="BF71" i="114"/>
  <c r="FB74" i="114"/>
  <c r="FC75" i="114"/>
  <c r="R71" i="114"/>
  <c r="R74" i="114"/>
  <c r="ET69" i="114"/>
  <c r="CV74" i="114"/>
  <c r="CV75" i="114" s="1"/>
  <c r="CV76" i="114" s="1"/>
  <c r="CV77" i="114" s="1"/>
  <c r="CV71" i="114"/>
  <c r="N27" i="121"/>
  <c r="I27" i="121"/>
  <c r="J27" i="121" s="1"/>
  <c r="O27" i="121" s="1"/>
  <c r="T27" i="121" s="1"/>
  <c r="S26" i="121"/>
  <c r="P25" i="121"/>
  <c r="D25" i="121"/>
  <c r="D31" i="121" s="1"/>
  <c r="K25" i="121"/>
  <c r="N26" i="121"/>
  <c r="L25" i="121"/>
  <c r="L31" i="121" s="1"/>
  <c r="Q25" i="121"/>
  <c r="Q31" i="121" s="1"/>
  <c r="AV69" i="114"/>
  <c r="DM69" i="114"/>
  <c r="FL71" i="114"/>
  <c r="FL74" i="114"/>
  <c r="BE69" i="114"/>
  <c r="C31" i="121"/>
  <c r="E31" i="121" s="1"/>
  <c r="J15" i="121"/>
  <c r="O15" i="121" s="1"/>
  <c r="T15" i="121" s="1"/>
  <c r="E44" i="120"/>
  <c r="I29" i="120"/>
  <c r="I39" i="120" s="1"/>
  <c r="G38" i="120"/>
  <c r="G44" i="120" s="1"/>
  <c r="K38" i="120"/>
  <c r="CU71" i="114" l="1"/>
  <c r="S71" i="114"/>
  <c r="S74" i="114"/>
  <c r="S75" i="114" s="1"/>
  <c r="S76" i="114" s="1"/>
  <c r="S77" i="114" s="1"/>
  <c r="BE74" i="114"/>
  <c r="BE71" i="114"/>
  <c r="AV74" i="114"/>
  <c r="AV71" i="114"/>
  <c r="N25" i="121"/>
  <c r="K31" i="121"/>
  <c r="N31" i="121" s="1"/>
  <c r="S25" i="121"/>
  <c r="P31" i="121"/>
  <c r="S31" i="121" s="1"/>
  <c r="ET74" i="114"/>
  <c r="ET71" i="114"/>
  <c r="CT74" i="114"/>
  <c r="CU75" i="114"/>
  <c r="DC74" i="114"/>
  <c r="DD75" i="114"/>
  <c r="FK74" i="114"/>
  <c r="FL75" i="114"/>
  <c r="DM71" i="114"/>
  <c r="DM74" i="114"/>
  <c r="R75" i="114"/>
  <c r="Q74" i="114"/>
  <c r="FC76" i="114"/>
  <c r="FB75" i="114"/>
  <c r="BM74" i="114"/>
  <c r="BN75" i="114"/>
  <c r="I25" i="121"/>
  <c r="J25" i="121" s="1"/>
  <c r="F31" i="121"/>
  <c r="I31" i="121" s="1"/>
  <c r="J31" i="121" s="1"/>
  <c r="O31" i="121" s="1"/>
  <c r="AA74" i="114"/>
  <c r="AA75" i="114" s="1"/>
  <c r="AA76" i="114" s="1"/>
  <c r="AA77" i="114" s="1"/>
  <c r="AA71" i="114"/>
  <c r="I38" i="120"/>
  <c r="I28" i="120"/>
  <c r="BN76" i="114" l="1"/>
  <c r="BM75" i="114"/>
  <c r="DL74" i="114"/>
  <c r="DM75" i="114"/>
  <c r="FL76" i="114"/>
  <c r="FK75" i="114"/>
  <c r="DD76" i="114"/>
  <c r="DC75" i="114"/>
  <c r="CU76" i="114"/>
  <c r="CT75" i="114"/>
  <c r="T31" i="121"/>
  <c r="FC77" i="114"/>
  <c r="FB76" i="114"/>
  <c r="FB77" i="114" s="1"/>
  <c r="R76" i="114"/>
  <c r="Q75" i="114"/>
  <c r="ES74" i="114"/>
  <c r="ET75" i="114"/>
  <c r="O25" i="121"/>
  <c r="T25" i="121" s="1"/>
  <c r="AV75" i="114"/>
  <c r="AU74" i="114"/>
  <c r="BE75" i="114"/>
  <c r="BD74" i="114"/>
  <c r="I44" i="120"/>
  <c r="K49" i="120"/>
  <c r="K48" i="120"/>
  <c r="K47" i="120"/>
  <c r="K45" i="120"/>
  <c r="K28" i="120"/>
  <c r="AG18" i="119"/>
  <c r="AF17" i="119"/>
  <c r="AG16" i="119"/>
  <c r="H7" i="122"/>
  <c r="H12" i="122" s="1"/>
  <c r="H17" i="122" s="1"/>
  <c r="H22" i="122" s="1"/>
  <c r="E49" i="120"/>
  <c r="G49" i="120" s="1"/>
  <c r="I49" i="120" s="1"/>
  <c r="E48" i="120"/>
  <c r="G48" i="120" s="1"/>
  <c r="E47" i="120"/>
  <c r="G47" i="120" s="1"/>
  <c r="I47" i="120" s="1"/>
  <c r="H46" i="120"/>
  <c r="F46" i="120"/>
  <c r="D46" i="120"/>
  <c r="C46" i="120"/>
  <c r="G18" i="119"/>
  <c r="F18" i="119"/>
  <c r="G16" i="119"/>
  <c r="G15" i="119" s="1"/>
  <c r="F16" i="119"/>
  <c r="K15" i="119"/>
  <c r="I15" i="119"/>
  <c r="H15" i="119"/>
  <c r="F15" i="119"/>
  <c r="R77" i="114" l="1"/>
  <c r="Q76" i="114"/>
  <c r="Q77" i="114" s="1"/>
  <c r="DM76" i="114"/>
  <c r="DL75" i="114"/>
  <c r="E46" i="120"/>
  <c r="BE76" i="114"/>
  <c r="BD75" i="114"/>
  <c r="AV76" i="114"/>
  <c r="AU75" i="114"/>
  <c r="ET76" i="114"/>
  <c r="ES75" i="114"/>
  <c r="CU77" i="114"/>
  <c r="CT76" i="114"/>
  <c r="CT77" i="114" s="1"/>
  <c r="DD77" i="114"/>
  <c r="DC76" i="114"/>
  <c r="DC77" i="114" s="1"/>
  <c r="FL77" i="114"/>
  <c r="FK76" i="114"/>
  <c r="FK77" i="114" s="1"/>
  <c r="BN77" i="114"/>
  <c r="BM76" i="114"/>
  <c r="BM77" i="114" s="1"/>
  <c r="K46" i="120"/>
  <c r="K44" i="120"/>
  <c r="I48" i="120"/>
  <c r="G46" i="120"/>
  <c r="I46" i="120"/>
  <c r="ES76" i="114" l="1"/>
  <c r="ES77" i="114" s="1"/>
  <c r="ET77" i="114"/>
  <c r="AV77" i="114"/>
  <c r="AU76" i="114"/>
  <c r="AU77" i="114" s="1"/>
  <c r="BE77" i="114"/>
  <c r="BD76" i="114"/>
  <c r="BD77" i="114" s="1"/>
  <c r="DL76" i="114"/>
  <c r="DL77" i="114" s="1"/>
  <c r="DM77" i="114"/>
  <c r="FH69" i="116" l="1"/>
  <c r="E68" i="116"/>
  <c r="FH68" i="116"/>
  <c r="EY69" i="116"/>
  <c r="EY68" i="116"/>
  <c r="EP69" i="116"/>
  <c r="EP68" i="116"/>
  <c r="DI69" i="116"/>
  <c r="DI66" i="116" s="1"/>
  <c r="DI68" i="116"/>
  <c r="CZ69" i="116"/>
  <c r="CZ68" i="116"/>
  <c r="DR68" i="116" s="1"/>
  <c r="CQ69" i="116"/>
  <c r="CQ68" i="116"/>
  <c r="BJ69" i="116"/>
  <c r="BJ68" i="116"/>
  <c r="BA69" i="116"/>
  <c r="BA68" i="116"/>
  <c r="AR69" i="116"/>
  <c r="AR68" i="116"/>
  <c r="W69" i="116"/>
  <c r="W68" i="116"/>
  <c r="N69" i="116"/>
  <c r="N68" i="116"/>
  <c r="AF68" i="116" s="1"/>
  <c r="E69" i="116"/>
  <c r="AF69" i="116" s="1"/>
  <c r="B69" i="116"/>
  <c r="K69" i="116" s="1"/>
  <c r="T69" i="116" s="1"/>
  <c r="AO69" i="116" s="1"/>
  <c r="AX69" i="116" s="1"/>
  <c r="BG69" i="116" s="1"/>
  <c r="CN69" i="116" s="1"/>
  <c r="CW69" i="116" s="1"/>
  <c r="DF69" i="116" s="1"/>
  <c r="EM69" i="116" s="1"/>
  <c r="EV69" i="116" s="1"/>
  <c r="FE69" i="116" s="1"/>
  <c r="B68" i="116"/>
  <c r="K68" i="116" s="1"/>
  <c r="T68" i="116" s="1"/>
  <c r="AO68" i="116" s="1"/>
  <c r="AX68" i="116" s="1"/>
  <c r="BG68" i="116" s="1"/>
  <c r="CN68" i="116" s="1"/>
  <c r="CW68" i="116" s="1"/>
  <c r="DF68" i="116" s="1"/>
  <c r="EM68" i="116" s="1"/>
  <c r="EV68" i="116" s="1"/>
  <c r="FE68" i="116" s="1"/>
  <c r="FT69" i="116"/>
  <c r="DU69" i="116"/>
  <c r="BV69" i="116"/>
  <c r="AI69" i="116"/>
  <c r="CH69" i="116" s="1"/>
  <c r="EG69" i="116" s="1"/>
  <c r="GF69" i="116" s="1"/>
  <c r="FT68" i="116"/>
  <c r="FQ68" i="116"/>
  <c r="DU68" i="116"/>
  <c r="BV68" i="116"/>
  <c r="BS68" i="116"/>
  <c r="AI68" i="116"/>
  <c r="CH68" i="116" s="1"/>
  <c r="FV61" i="116"/>
  <c r="FU61" i="116"/>
  <c r="FS61" i="116"/>
  <c r="FR61" i="116"/>
  <c r="FK61" i="116"/>
  <c r="FH61" i="116"/>
  <c r="FB61" i="116"/>
  <c r="EY61" i="116"/>
  <c r="ES61" i="116"/>
  <c r="EP61" i="116"/>
  <c r="DW61" i="116"/>
  <c r="DV61" i="116"/>
  <c r="DT61" i="116"/>
  <c r="DS61" i="116"/>
  <c r="DL61" i="116"/>
  <c r="DI61" i="116"/>
  <c r="DC61" i="116"/>
  <c r="CZ61" i="116"/>
  <c r="CT61" i="116"/>
  <c r="DU61" i="116" s="1"/>
  <c r="CQ61" i="116"/>
  <c r="BX61" i="116"/>
  <c r="BW61" i="116"/>
  <c r="BU61" i="116"/>
  <c r="BT61" i="116"/>
  <c r="BM61" i="116"/>
  <c r="BJ61" i="116"/>
  <c r="BD61" i="116"/>
  <c r="BA61" i="116"/>
  <c r="AU61" i="116"/>
  <c r="AR61" i="116"/>
  <c r="BS61" i="116" s="1"/>
  <c r="AK61" i="116"/>
  <c r="AJ61" i="116"/>
  <c r="AH61" i="116"/>
  <c r="AG61" i="116"/>
  <c r="Z61" i="116"/>
  <c r="W61" i="116"/>
  <c r="Q61" i="116"/>
  <c r="N61" i="116"/>
  <c r="M61" i="116"/>
  <c r="V61" i="116" s="1"/>
  <c r="AQ61" i="116" s="1"/>
  <c r="H61" i="116"/>
  <c r="E61" i="116"/>
  <c r="FV60" i="116"/>
  <c r="FU60" i="116"/>
  <c r="FS60" i="116"/>
  <c r="FR60" i="116"/>
  <c r="FK60" i="116"/>
  <c r="FH60" i="116"/>
  <c r="FB60" i="116"/>
  <c r="EY60" i="116"/>
  <c r="ES60" i="116"/>
  <c r="FT60" i="116" s="1"/>
  <c r="EP60" i="116"/>
  <c r="DW60" i="116"/>
  <c r="DV60" i="116"/>
  <c r="DT60" i="116"/>
  <c r="DS60" i="116"/>
  <c r="DL60" i="116"/>
  <c r="DI60" i="116"/>
  <c r="DC60" i="116"/>
  <c r="CZ60" i="116"/>
  <c r="CT60" i="116"/>
  <c r="CQ60" i="116"/>
  <c r="DR60" i="116" s="1"/>
  <c r="BX60" i="116"/>
  <c r="BW60" i="116"/>
  <c r="BU60" i="116"/>
  <c r="BT60" i="116"/>
  <c r="BM60" i="116"/>
  <c r="BJ60" i="116"/>
  <c r="BD60" i="116"/>
  <c r="BA60" i="116"/>
  <c r="AU60" i="116"/>
  <c r="BV60" i="116" s="1"/>
  <c r="AR60" i="116"/>
  <c r="AK60" i="116"/>
  <c r="AJ60" i="116"/>
  <c r="AH60" i="116"/>
  <c r="AG60" i="116"/>
  <c r="Z60" i="116"/>
  <c r="W60" i="116"/>
  <c r="Q60" i="116"/>
  <c r="N60" i="116"/>
  <c r="H60" i="116"/>
  <c r="E60" i="116"/>
  <c r="FH81" i="114"/>
  <c r="FH80" i="114"/>
  <c r="EY81" i="114"/>
  <c r="EY80" i="114"/>
  <c r="EP81" i="114"/>
  <c r="EP80" i="114"/>
  <c r="FT81" i="114"/>
  <c r="FT80" i="114"/>
  <c r="FK82" i="114"/>
  <c r="FB82" i="114"/>
  <c r="ES82" i="114"/>
  <c r="DU81" i="114"/>
  <c r="DU80" i="114"/>
  <c r="DI81" i="114"/>
  <c r="DI78" i="114" s="1"/>
  <c r="DI80" i="114"/>
  <c r="CZ81" i="114"/>
  <c r="CZ80" i="114"/>
  <c r="CQ81" i="114"/>
  <c r="CQ80" i="114"/>
  <c r="DL82" i="114"/>
  <c r="DC82" i="114"/>
  <c r="CT82" i="114"/>
  <c r="BV81" i="114"/>
  <c r="BV80" i="114"/>
  <c r="BJ81" i="114"/>
  <c r="BJ80" i="114"/>
  <c r="BA81" i="114"/>
  <c r="BA80" i="114"/>
  <c r="AR81" i="114"/>
  <c r="AR80" i="114"/>
  <c r="BM82" i="114"/>
  <c r="BD82" i="114"/>
  <c r="AU82" i="114"/>
  <c r="AI81" i="114"/>
  <c r="CH81" i="114" s="1"/>
  <c r="AI80" i="114"/>
  <c r="E80" i="114"/>
  <c r="B81" i="114"/>
  <c r="B80" i="114"/>
  <c r="W81" i="114"/>
  <c r="W80" i="114"/>
  <c r="N81" i="114"/>
  <c r="N80" i="114"/>
  <c r="E81" i="114"/>
  <c r="Z82" i="114"/>
  <c r="Q82" i="114"/>
  <c r="FV73" i="114"/>
  <c r="FU73" i="114"/>
  <c r="FV72" i="114"/>
  <c r="FU72" i="114"/>
  <c r="FS73" i="114"/>
  <c r="FR73" i="114"/>
  <c r="FS72" i="114"/>
  <c r="FR72" i="114"/>
  <c r="FH73" i="114"/>
  <c r="FH72" i="114"/>
  <c r="EY73" i="114"/>
  <c r="EY72" i="114"/>
  <c r="FT73" i="114"/>
  <c r="EP73" i="114"/>
  <c r="EP72" i="114"/>
  <c r="DW73" i="114"/>
  <c r="DV73" i="114"/>
  <c r="DW72" i="114"/>
  <c r="DV72" i="114"/>
  <c r="DT73" i="114"/>
  <c r="DS73" i="114"/>
  <c r="DT72" i="114"/>
  <c r="DS72" i="114"/>
  <c r="DR69" i="116" l="1"/>
  <c r="DR66" i="116" s="1"/>
  <c r="CJ60" i="116"/>
  <c r="EI60" i="116" s="1"/>
  <c r="GH60" i="116" s="1"/>
  <c r="CI61" i="116"/>
  <c r="EH61" i="116" s="1"/>
  <c r="GG61" i="116" s="1"/>
  <c r="BS69" i="116"/>
  <c r="BS80" i="114"/>
  <c r="DR81" i="114"/>
  <c r="DR78" i="114" s="1"/>
  <c r="DR80" i="114"/>
  <c r="FQ81" i="114"/>
  <c r="BS81" i="114"/>
  <c r="AF81" i="114"/>
  <c r="AF80" i="114"/>
  <c r="FQ73" i="114"/>
  <c r="CH80" i="114"/>
  <c r="AF60" i="116"/>
  <c r="CE60" i="116" s="1"/>
  <c r="AI60" i="116"/>
  <c r="CH60" i="116" s="1"/>
  <c r="AF61" i="116"/>
  <c r="AI61" i="116"/>
  <c r="K81" i="114"/>
  <c r="T81" i="114" s="1"/>
  <c r="AO81" i="114" s="1"/>
  <c r="EG81" i="114"/>
  <c r="GF81" i="114" s="1"/>
  <c r="FQ69" i="116"/>
  <c r="CG60" i="116"/>
  <c r="EF60" i="116" s="1"/>
  <c r="DU60" i="116"/>
  <c r="BV61" i="116"/>
  <c r="CH61" i="116" s="1"/>
  <c r="EG61" i="116" s="1"/>
  <c r="CJ61" i="116"/>
  <c r="EI61" i="116" s="1"/>
  <c r="GH61" i="116" s="1"/>
  <c r="FT61" i="116"/>
  <c r="BS60" i="116"/>
  <c r="CI60" i="116"/>
  <c r="EH60" i="116" s="1"/>
  <c r="GG60" i="116" s="1"/>
  <c r="FQ60" i="116"/>
  <c r="AE61" i="116"/>
  <c r="O52" i="119" s="1"/>
  <c r="DR61" i="116"/>
  <c r="CE61" i="116"/>
  <c r="CF60" i="116"/>
  <c r="AZ61" i="116"/>
  <c r="BI61" i="116" s="1"/>
  <c r="CP61" i="116" s="1"/>
  <c r="CF61" i="116"/>
  <c r="FQ61" i="116"/>
  <c r="CG61" i="116"/>
  <c r="CE68" i="116"/>
  <c r="EG68" i="116"/>
  <c r="FQ80" i="114"/>
  <c r="FT72" i="114"/>
  <c r="FQ72" i="114"/>
  <c r="DI73" i="114"/>
  <c r="DI72" i="114"/>
  <c r="CZ73" i="114"/>
  <c r="CZ72" i="114"/>
  <c r="EG60" i="116" l="1"/>
  <c r="GF60" i="116" s="1"/>
  <c r="EG80" i="114"/>
  <c r="GF80" i="114" s="1"/>
  <c r="CE69" i="116"/>
  <c r="ED69" i="116" s="1"/>
  <c r="ED66" i="116" s="1"/>
  <c r="CE80" i="114"/>
  <c r="ED80" i="114" s="1"/>
  <c r="CE81" i="114"/>
  <c r="GF61" i="116"/>
  <c r="AN61" i="116"/>
  <c r="AX81" i="114"/>
  <c r="BG81" i="114" s="1"/>
  <c r="CN81" i="114" s="1"/>
  <c r="AC81" i="114"/>
  <c r="AC68" i="116"/>
  <c r="EE60" i="116"/>
  <c r="ED68" i="116"/>
  <c r="EE61" i="116"/>
  <c r="ED60" i="116"/>
  <c r="AC69" i="116"/>
  <c r="BR61" i="116"/>
  <c r="R52" i="119" s="1"/>
  <c r="GF68" i="116"/>
  <c r="EF61" i="116"/>
  <c r="CY61" i="116"/>
  <c r="DH61" i="116" s="1"/>
  <c r="EO61" i="116" s="1"/>
  <c r="ED61" i="116"/>
  <c r="GE60" i="116"/>
  <c r="DU73" i="114"/>
  <c r="DU72" i="114"/>
  <c r="CQ73" i="114"/>
  <c r="DR73" i="114" s="1"/>
  <c r="CQ72" i="114"/>
  <c r="DR72" i="114" s="1"/>
  <c r="BX73" i="114"/>
  <c r="BW73" i="114"/>
  <c r="BX72" i="114"/>
  <c r="BW72" i="114"/>
  <c r="BU73" i="114"/>
  <c r="BT73" i="114"/>
  <c r="BU72" i="114"/>
  <c r="BT72" i="114"/>
  <c r="BJ73" i="114"/>
  <c r="BJ72" i="114"/>
  <c r="BA73" i="114"/>
  <c r="BA72" i="114"/>
  <c r="AR73" i="114"/>
  <c r="AR72" i="114"/>
  <c r="AK73" i="114"/>
  <c r="AJ73" i="114"/>
  <c r="CI73" i="114" s="1"/>
  <c r="EH73" i="114" s="1"/>
  <c r="GG73" i="114" s="1"/>
  <c r="AK72" i="114"/>
  <c r="AJ72" i="114"/>
  <c r="AH73" i="114"/>
  <c r="AG73" i="114"/>
  <c r="CF73" i="114" s="1"/>
  <c r="AH72" i="114"/>
  <c r="AG72" i="114"/>
  <c r="M73" i="114"/>
  <c r="V73" i="114" s="1"/>
  <c r="AQ73" i="114" s="1"/>
  <c r="Z73" i="114"/>
  <c r="W73" i="114"/>
  <c r="Z72" i="114"/>
  <c r="W72" i="114"/>
  <c r="N73" i="114"/>
  <c r="N72" i="114"/>
  <c r="M72" i="114"/>
  <c r="V72" i="114" s="1"/>
  <c r="AE72" i="114" s="1"/>
  <c r="N58" i="118" s="1"/>
  <c r="H73" i="114"/>
  <c r="H72" i="114"/>
  <c r="E73" i="114"/>
  <c r="E72" i="114"/>
  <c r="CF72" i="114" l="1"/>
  <c r="CI72" i="114"/>
  <c r="EH72" i="114" s="1"/>
  <c r="GG72" i="114" s="1"/>
  <c r="BS72" i="114"/>
  <c r="ED81" i="114"/>
  <c r="GC80" i="114"/>
  <c r="AF73" i="114"/>
  <c r="AL81" i="114"/>
  <c r="CW81" i="114"/>
  <c r="DF81" i="114" s="1"/>
  <c r="EM81" i="114" s="1"/>
  <c r="AI73" i="114"/>
  <c r="CG72" i="114"/>
  <c r="EF72" i="114" s="1"/>
  <c r="CG73" i="114"/>
  <c r="EF73" i="114" s="1"/>
  <c r="CJ72" i="114"/>
  <c r="EI72" i="114" s="1"/>
  <c r="GH72" i="114" s="1"/>
  <c r="CJ73" i="114"/>
  <c r="EI73" i="114" s="1"/>
  <c r="GH73" i="114" s="1"/>
  <c r="BV72" i="114"/>
  <c r="BV73" i="114"/>
  <c r="BP81" i="114"/>
  <c r="BY81" i="114" s="1"/>
  <c r="EX61" i="116"/>
  <c r="FG61" i="116" s="1"/>
  <c r="GE61" i="116"/>
  <c r="CD61" i="116"/>
  <c r="U52" i="119" s="1"/>
  <c r="CA61" i="116"/>
  <c r="AL69" i="116"/>
  <c r="GC60" i="116"/>
  <c r="GD61" i="116"/>
  <c r="DO69" i="116"/>
  <c r="DX69" i="116" s="1"/>
  <c r="AL66" i="116"/>
  <c r="AL68" i="116"/>
  <c r="GC61" i="116"/>
  <c r="GC68" i="116"/>
  <c r="GD60" i="116"/>
  <c r="GC69" i="116"/>
  <c r="GC66" i="116" s="1"/>
  <c r="GI66" i="116" s="1"/>
  <c r="DQ61" i="116"/>
  <c r="BP69" i="116"/>
  <c r="BY69" i="116" s="1"/>
  <c r="BS73" i="114"/>
  <c r="CE73" i="114" s="1"/>
  <c r="AZ73" i="114"/>
  <c r="BI73" i="114" s="1"/>
  <c r="CP73" i="114" s="1"/>
  <c r="EE72" i="114"/>
  <c r="EE73" i="114"/>
  <c r="AE73" i="114"/>
  <c r="N59" i="118" s="1"/>
  <c r="AN72" i="114"/>
  <c r="AQ72" i="114"/>
  <c r="GC81" i="114" l="1"/>
  <c r="GC78" i="114" s="1"/>
  <c r="ED78" i="114"/>
  <c r="CH73" i="114"/>
  <c r="EG73" i="114" s="1"/>
  <c r="GF73" i="114" s="1"/>
  <c r="DO81" i="114"/>
  <c r="DX81" i="114" s="1"/>
  <c r="DZ61" i="116"/>
  <c r="X52" i="119"/>
  <c r="EV81" i="114"/>
  <c r="FE81" i="114" s="1"/>
  <c r="CB81" i="114"/>
  <c r="CK81" i="114" s="1"/>
  <c r="CB69" i="116"/>
  <c r="FP61" i="116"/>
  <c r="EC61" i="116"/>
  <c r="AA52" i="119" s="1"/>
  <c r="CM61" i="116"/>
  <c r="AZ72" i="114"/>
  <c r="BI72" i="114" s="1"/>
  <c r="CY73" i="114"/>
  <c r="DH73" i="114" s="1"/>
  <c r="EO73" i="114" s="1"/>
  <c r="AN73" i="114"/>
  <c r="GD73" i="114"/>
  <c r="GD72" i="114"/>
  <c r="ED73" i="114"/>
  <c r="GE73" i="114"/>
  <c r="GE72" i="114"/>
  <c r="BR73" i="114"/>
  <c r="CA73" i="114" l="1"/>
  <c r="Q59" i="118"/>
  <c r="FY61" i="116"/>
  <c r="AD52" i="119"/>
  <c r="FN81" i="114"/>
  <c r="EA81" i="114"/>
  <c r="EJ81" i="114" s="1"/>
  <c r="BR72" i="114"/>
  <c r="CD72" i="114" s="1"/>
  <c r="T58" i="118" s="1"/>
  <c r="GB61" i="116"/>
  <c r="EL61" i="116"/>
  <c r="FN69" i="116"/>
  <c r="FW69" i="116" s="1"/>
  <c r="EA69" i="116"/>
  <c r="CK69" i="116"/>
  <c r="CD73" i="114"/>
  <c r="T59" i="118" s="1"/>
  <c r="EX73" i="114"/>
  <c r="FG73" i="114" s="1"/>
  <c r="GC73" i="114"/>
  <c r="CP72" i="114"/>
  <c r="DQ73" i="114"/>
  <c r="CM73" i="114" l="1"/>
  <c r="GK61" i="116"/>
  <c r="AG52" i="119"/>
  <c r="DZ73" i="114"/>
  <c r="W59" i="118"/>
  <c r="CA72" i="114"/>
  <c r="Q58" i="118"/>
  <c r="FZ81" i="114"/>
  <c r="GI81" i="114" s="1"/>
  <c r="FW81" i="114"/>
  <c r="FZ69" i="116"/>
  <c r="GI69" i="116" s="1"/>
  <c r="EJ69" i="116"/>
  <c r="BP68" i="116"/>
  <c r="CY72" i="114"/>
  <c r="DH72" i="114" s="1"/>
  <c r="CM72" i="114"/>
  <c r="FP73" i="114"/>
  <c r="EC73" i="114"/>
  <c r="Z59" i="118" s="1"/>
  <c r="FV56" i="116"/>
  <c r="FU56" i="116"/>
  <c r="FT56" i="116"/>
  <c r="FV55" i="116"/>
  <c r="FU55" i="116"/>
  <c r="FT55" i="116"/>
  <c r="FV54" i="116"/>
  <c r="FU54" i="116"/>
  <c r="FT54" i="116"/>
  <c r="FV53" i="116"/>
  <c r="FU53" i="116"/>
  <c r="FT53" i="116"/>
  <c r="DW56" i="116"/>
  <c r="DV56" i="116"/>
  <c r="DU56" i="116"/>
  <c r="DW55" i="116"/>
  <c r="DV55" i="116"/>
  <c r="DU55" i="116"/>
  <c r="DW54" i="116"/>
  <c r="DV54" i="116"/>
  <c r="DU54" i="116"/>
  <c r="DW53" i="116"/>
  <c r="DV53" i="116"/>
  <c r="DU53" i="116"/>
  <c r="BX56" i="116"/>
  <c r="BW56" i="116"/>
  <c r="BV56" i="116"/>
  <c r="BX55" i="116"/>
  <c r="BW55" i="116"/>
  <c r="BV55" i="116"/>
  <c r="BX54" i="116"/>
  <c r="BW54" i="116"/>
  <c r="BV54" i="116"/>
  <c r="BX53" i="116"/>
  <c r="BW53" i="116"/>
  <c r="BV53" i="116"/>
  <c r="AI56" i="116"/>
  <c r="AI55" i="116"/>
  <c r="CH55" i="116" s="1"/>
  <c r="EG55" i="116" s="1"/>
  <c r="GF55" i="116" s="1"/>
  <c r="AI54" i="116"/>
  <c r="CH54" i="116" s="1"/>
  <c r="EG54" i="116" s="1"/>
  <c r="GF54" i="116" s="1"/>
  <c r="AI53" i="116"/>
  <c r="CH53" i="116" s="1"/>
  <c r="EG53" i="116" s="1"/>
  <c r="GF53" i="116" s="1"/>
  <c r="AI52" i="116"/>
  <c r="FV52" i="116"/>
  <c r="FU52" i="116"/>
  <c r="FT52" i="116"/>
  <c r="FV51" i="116"/>
  <c r="FU51" i="116"/>
  <c r="FT51" i="116"/>
  <c r="FV50" i="116"/>
  <c r="FU50" i="116"/>
  <c r="FT50" i="116"/>
  <c r="FV49" i="116"/>
  <c r="FU49" i="116"/>
  <c r="FT49" i="116"/>
  <c r="FV48" i="116"/>
  <c r="FU48" i="116"/>
  <c r="FV47" i="116"/>
  <c r="FU47" i="116"/>
  <c r="FT47" i="116"/>
  <c r="FV46" i="116"/>
  <c r="FU46" i="116"/>
  <c r="FT46" i="116"/>
  <c r="FV45" i="116"/>
  <c r="FU45" i="116"/>
  <c r="FT45" i="116"/>
  <c r="FV44" i="116"/>
  <c r="FU44" i="116"/>
  <c r="FV43" i="116"/>
  <c r="FU43" i="116"/>
  <c r="FT43" i="116"/>
  <c r="FV42" i="116"/>
  <c r="FU42" i="116"/>
  <c r="FT42" i="116"/>
  <c r="FV41" i="116"/>
  <c r="FU41" i="116"/>
  <c r="FT41" i="116"/>
  <c r="FV40" i="116"/>
  <c r="FU40" i="116"/>
  <c r="FT40" i="116"/>
  <c r="FV39" i="116"/>
  <c r="FU39" i="116"/>
  <c r="FV37" i="116"/>
  <c r="FU37" i="116"/>
  <c r="FV36" i="116"/>
  <c r="FU36" i="116"/>
  <c r="FV35" i="116"/>
  <c r="FU35" i="116"/>
  <c r="FV34" i="116"/>
  <c r="FU34" i="116"/>
  <c r="FV33" i="116"/>
  <c r="FU33" i="116"/>
  <c r="FV32" i="116"/>
  <c r="FU32" i="116"/>
  <c r="FV31" i="116"/>
  <c r="FU31" i="116"/>
  <c r="FM57" i="116"/>
  <c r="FM62" i="116" s="1"/>
  <c r="FL57" i="116"/>
  <c r="FL62" i="116" s="1"/>
  <c r="FD57" i="116"/>
  <c r="FD62" i="116" s="1"/>
  <c r="FC57" i="116"/>
  <c r="FC62" i="116" s="1"/>
  <c r="EU57" i="116"/>
  <c r="EU62" i="116" s="1"/>
  <c r="ET57" i="116"/>
  <c r="ET62" i="116" s="1"/>
  <c r="DW52" i="116"/>
  <c r="DV52" i="116"/>
  <c r="DU52" i="116"/>
  <c r="DW51" i="116"/>
  <c r="DV51" i="116"/>
  <c r="DU51" i="116"/>
  <c r="DW50" i="116"/>
  <c r="DV50" i="116"/>
  <c r="DU50" i="116"/>
  <c r="DW49" i="116"/>
  <c r="DV49" i="116"/>
  <c r="DU49" i="116"/>
  <c r="DW48" i="116"/>
  <c r="DV48" i="116"/>
  <c r="DW47" i="116"/>
  <c r="DV47" i="116"/>
  <c r="DU47" i="116"/>
  <c r="DW46" i="116"/>
  <c r="DV46" i="116"/>
  <c r="DU46" i="116"/>
  <c r="DW45" i="116"/>
  <c r="DV45" i="116"/>
  <c r="DU45" i="116"/>
  <c r="DW44" i="116"/>
  <c r="DV44" i="116"/>
  <c r="DW43" i="116"/>
  <c r="DV43" i="116"/>
  <c r="DU43" i="116"/>
  <c r="DW42" i="116"/>
  <c r="DV42" i="116"/>
  <c r="DU42" i="116"/>
  <c r="DW41" i="116"/>
  <c r="DV41" i="116"/>
  <c r="DU41" i="116"/>
  <c r="DW40" i="116"/>
  <c r="DV40" i="116"/>
  <c r="DU40" i="116"/>
  <c r="DW39" i="116"/>
  <c r="DV39" i="116"/>
  <c r="DW37" i="116"/>
  <c r="DV37" i="116"/>
  <c r="DW36" i="116"/>
  <c r="DV36" i="116"/>
  <c r="DW35" i="116"/>
  <c r="DV35" i="116"/>
  <c r="DW34" i="116"/>
  <c r="DV34" i="116"/>
  <c r="DW33" i="116"/>
  <c r="DV33" i="116"/>
  <c r="DW32" i="116"/>
  <c r="DV32" i="116"/>
  <c r="DW31" i="116"/>
  <c r="DV31" i="116"/>
  <c r="DN57" i="116"/>
  <c r="DN62" i="116" s="1"/>
  <c r="DM57" i="116"/>
  <c r="DM62" i="116" s="1"/>
  <c r="DE57" i="116"/>
  <c r="DE62" i="116" s="1"/>
  <c r="DD57" i="116"/>
  <c r="DD62" i="116" s="1"/>
  <c r="CV57" i="116"/>
  <c r="CV62" i="116" s="1"/>
  <c r="CU57" i="116"/>
  <c r="CU62" i="116" s="1"/>
  <c r="BX52" i="116"/>
  <c r="BW52" i="116"/>
  <c r="BV52" i="116"/>
  <c r="BX51" i="116"/>
  <c r="BW51" i="116"/>
  <c r="BV51" i="116"/>
  <c r="BX50" i="116"/>
  <c r="BW50" i="116"/>
  <c r="BV50" i="116"/>
  <c r="BX49" i="116"/>
  <c r="BW49" i="116"/>
  <c r="BV49" i="116"/>
  <c r="BX48" i="116"/>
  <c r="BW48" i="116"/>
  <c r="BX47" i="116"/>
  <c r="BW47" i="116"/>
  <c r="BV47" i="116"/>
  <c r="BX46" i="116"/>
  <c r="BW46" i="116"/>
  <c r="BV46" i="116"/>
  <c r="BX45" i="116"/>
  <c r="BW45" i="116"/>
  <c r="BV45" i="116"/>
  <c r="BX44" i="116"/>
  <c r="BW44" i="116"/>
  <c r="BX43" i="116"/>
  <c r="BW43" i="116"/>
  <c r="BV43" i="116"/>
  <c r="BX42" i="116"/>
  <c r="BW42" i="116"/>
  <c r="BV42" i="116"/>
  <c r="BX41" i="116"/>
  <c r="BW41" i="116"/>
  <c r="BV41" i="116"/>
  <c r="BX40" i="116"/>
  <c r="BW40" i="116"/>
  <c r="BV40" i="116"/>
  <c r="BX39" i="116"/>
  <c r="BW39" i="116"/>
  <c r="BX37" i="116"/>
  <c r="BW37" i="116"/>
  <c r="BX36" i="116"/>
  <c r="BW36" i="116"/>
  <c r="BX35" i="116"/>
  <c r="BW35" i="116"/>
  <c r="BX34" i="116"/>
  <c r="BW34" i="116"/>
  <c r="BX33" i="116"/>
  <c r="BW33" i="116"/>
  <c r="BX32" i="116"/>
  <c r="BW32" i="116"/>
  <c r="BX31" i="116"/>
  <c r="BW31" i="116"/>
  <c r="CH56" i="116" l="1"/>
  <c r="EG56" i="116" s="1"/>
  <c r="GF56" i="116" s="1"/>
  <c r="FY73" i="114"/>
  <c r="AC59" i="118"/>
  <c r="DW62" i="116"/>
  <c r="FU62" i="116"/>
  <c r="ES62" i="116"/>
  <c r="FB62" i="116"/>
  <c r="FK62" i="116"/>
  <c r="CT62" i="116"/>
  <c r="DV62" i="116"/>
  <c r="DC62" i="116"/>
  <c r="DL62" i="116"/>
  <c r="FV62" i="116"/>
  <c r="BY68" i="116"/>
  <c r="CB68" i="116"/>
  <c r="GB73" i="114"/>
  <c r="EL73" i="114"/>
  <c r="DQ72" i="114"/>
  <c r="W58" i="118" s="1"/>
  <c r="EO72" i="114"/>
  <c r="DV57" i="116"/>
  <c r="FU57" i="116"/>
  <c r="DW57" i="116"/>
  <c r="FV57" i="116"/>
  <c r="BO57" i="116"/>
  <c r="BO62" i="116" s="1"/>
  <c r="BN57" i="116"/>
  <c r="BN62" i="116" s="1"/>
  <c r="BF57" i="116"/>
  <c r="BF62" i="116" s="1"/>
  <c r="BE57" i="116"/>
  <c r="BE62" i="116" s="1"/>
  <c r="AW57" i="116"/>
  <c r="AW62" i="116" s="1"/>
  <c r="AV57" i="116"/>
  <c r="AV62" i="116" s="1"/>
  <c r="CH52" i="116"/>
  <c r="EG52" i="116" s="1"/>
  <c r="GF52" i="116" s="1"/>
  <c r="AI51" i="116"/>
  <c r="CH51" i="116" s="1"/>
  <c r="EG51" i="116" s="1"/>
  <c r="GF51" i="116" s="1"/>
  <c r="AI50" i="116"/>
  <c r="CH50" i="116" s="1"/>
  <c r="EG50" i="116" s="1"/>
  <c r="GF50" i="116" s="1"/>
  <c r="AI49" i="116"/>
  <c r="CH49" i="116" s="1"/>
  <c r="EG49" i="116" s="1"/>
  <c r="GF49" i="116" s="1"/>
  <c r="AI47" i="116"/>
  <c r="CH47" i="116" s="1"/>
  <c r="EG47" i="116" s="1"/>
  <c r="GF47" i="116" s="1"/>
  <c r="AI46" i="116"/>
  <c r="CH46" i="116" s="1"/>
  <c r="EG46" i="116" s="1"/>
  <c r="GF46" i="116" s="1"/>
  <c r="AK45" i="116"/>
  <c r="CJ45" i="116" s="1"/>
  <c r="EI45" i="116" s="1"/>
  <c r="GH45" i="116" s="1"/>
  <c r="AJ45" i="116"/>
  <c r="CI45" i="116" s="1"/>
  <c r="EH45" i="116" s="1"/>
  <c r="GG45" i="116" s="1"/>
  <c r="AI45" i="116"/>
  <c r="CH45" i="116" s="1"/>
  <c r="EG45" i="116" s="1"/>
  <c r="GF45" i="116" s="1"/>
  <c r="AI43" i="116"/>
  <c r="CH43" i="116" s="1"/>
  <c r="EG43" i="116" s="1"/>
  <c r="GF43" i="116" s="1"/>
  <c r="AK42" i="116"/>
  <c r="CJ42" i="116" s="1"/>
  <c r="EI42" i="116" s="1"/>
  <c r="GH42" i="116" s="1"/>
  <c r="AJ42" i="116"/>
  <c r="CI42" i="116" s="1"/>
  <c r="EH42" i="116" s="1"/>
  <c r="GG42" i="116" s="1"/>
  <c r="AI42" i="116"/>
  <c r="CH42" i="116" s="1"/>
  <c r="EG42" i="116" s="1"/>
  <c r="GF42" i="116" s="1"/>
  <c r="AI41" i="116"/>
  <c r="CH41" i="116" s="1"/>
  <c r="EG41" i="116" s="1"/>
  <c r="GF41" i="116" s="1"/>
  <c r="AI40" i="116"/>
  <c r="CH40" i="116" s="1"/>
  <c r="EG40" i="116" s="1"/>
  <c r="GF40" i="116" s="1"/>
  <c r="AB57" i="116"/>
  <c r="AB62" i="116" s="1"/>
  <c r="AA57" i="116"/>
  <c r="AA62" i="116" s="1"/>
  <c r="FV38" i="116"/>
  <c r="FU38" i="116"/>
  <c r="FK38" i="116"/>
  <c r="FB38" i="116"/>
  <c r="ES38" i="116"/>
  <c r="DW38" i="116"/>
  <c r="DV38" i="116"/>
  <c r="DL38" i="116"/>
  <c r="DC38" i="116"/>
  <c r="CT38" i="116"/>
  <c r="BX38" i="116"/>
  <c r="BW38" i="116"/>
  <c r="BM38" i="116"/>
  <c r="BD38" i="116"/>
  <c r="AU38" i="116"/>
  <c r="Z38" i="116"/>
  <c r="Q38" i="116"/>
  <c r="H38" i="116"/>
  <c r="FM58" i="116"/>
  <c r="FM59" i="116" s="1"/>
  <c r="FL58" i="116"/>
  <c r="FL59" i="116" s="1"/>
  <c r="FD58" i="116"/>
  <c r="FD59" i="116" s="1"/>
  <c r="FC58" i="116"/>
  <c r="FC59" i="116" s="1"/>
  <c r="EU58" i="116"/>
  <c r="ET58" i="116"/>
  <c r="DN58" i="116"/>
  <c r="DN59" i="116" s="1"/>
  <c r="DM58" i="116"/>
  <c r="DM59" i="116" s="1"/>
  <c r="DE58" i="116"/>
  <c r="DE59" i="116" s="1"/>
  <c r="DD58" i="116"/>
  <c r="DD59" i="116" s="1"/>
  <c r="CV58" i="116"/>
  <c r="CU58" i="116"/>
  <c r="BO58" i="116"/>
  <c r="BN58" i="116"/>
  <c r="BF58" i="116"/>
  <c r="BE58" i="116"/>
  <c r="AW58" i="116"/>
  <c r="BX58" i="116" s="1"/>
  <c r="AV58" i="116"/>
  <c r="BW58" i="116" s="1"/>
  <c r="AB58" i="116"/>
  <c r="AA58" i="116"/>
  <c r="J9" i="116"/>
  <c r="I9" i="116"/>
  <c r="I58" i="116" s="1"/>
  <c r="AJ58" i="116" s="1"/>
  <c r="CI58" i="116" s="1"/>
  <c r="FV68" i="114"/>
  <c r="FU68" i="114"/>
  <c r="FT68" i="114"/>
  <c r="FV67" i="114"/>
  <c r="FU67" i="114"/>
  <c r="FT67" i="114"/>
  <c r="FV66" i="114"/>
  <c r="FU66" i="114"/>
  <c r="FT66" i="114"/>
  <c r="FV65" i="114"/>
  <c r="FU65" i="114"/>
  <c r="FT65" i="114"/>
  <c r="FV64" i="114"/>
  <c r="FU64" i="114"/>
  <c r="FT64" i="114"/>
  <c r="FV63" i="114"/>
  <c r="FU63" i="114"/>
  <c r="FT63" i="114"/>
  <c r="FV62" i="114"/>
  <c r="FU62" i="114"/>
  <c r="FT62" i="114"/>
  <c r="FV61" i="114"/>
  <c r="FU61" i="114"/>
  <c r="FT61" i="114"/>
  <c r="FV60" i="114"/>
  <c r="FU60" i="114"/>
  <c r="FV58" i="114"/>
  <c r="FU58" i="114"/>
  <c r="FT58" i="114"/>
  <c r="FV57" i="114"/>
  <c r="FU57" i="114"/>
  <c r="FT57" i="114"/>
  <c r="FV56" i="114"/>
  <c r="FU56" i="114"/>
  <c r="FT56" i="114"/>
  <c r="FV55" i="114"/>
  <c r="FU55" i="114"/>
  <c r="FT55" i="114"/>
  <c r="FV54" i="114"/>
  <c r="FU54" i="114"/>
  <c r="FV53" i="114"/>
  <c r="FU53" i="114"/>
  <c r="FT53" i="114"/>
  <c r="FV52" i="114"/>
  <c r="FU52" i="114"/>
  <c r="FT52" i="114"/>
  <c r="FV51" i="114"/>
  <c r="FU51" i="114"/>
  <c r="FT51" i="114"/>
  <c r="FV50" i="114"/>
  <c r="FU50" i="114"/>
  <c r="FT50" i="114"/>
  <c r="FV49" i="114"/>
  <c r="FU49" i="114"/>
  <c r="FV47" i="114"/>
  <c r="FU47" i="114"/>
  <c r="FT47" i="114"/>
  <c r="FT48" i="114" s="1"/>
  <c r="FV46" i="114"/>
  <c r="FU46" i="114"/>
  <c r="FT46" i="114"/>
  <c r="FV45" i="114"/>
  <c r="FU45" i="114"/>
  <c r="FT45" i="114"/>
  <c r="FV44" i="114"/>
  <c r="FU44" i="114"/>
  <c r="FT44" i="114"/>
  <c r="FV43" i="114"/>
  <c r="FU43" i="114"/>
  <c r="FT43" i="114"/>
  <c r="FV42" i="114"/>
  <c r="FU42" i="114"/>
  <c r="FT42" i="114"/>
  <c r="FV41" i="114"/>
  <c r="FU41" i="114"/>
  <c r="FH68" i="114"/>
  <c r="FH67" i="114"/>
  <c r="FH66" i="114"/>
  <c r="FH65" i="114"/>
  <c r="FH64" i="114"/>
  <c r="FH63" i="114"/>
  <c r="FH62" i="114"/>
  <c r="FH61" i="114"/>
  <c r="FH60" i="114"/>
  <c r="FH58" i="114"/>
  <c r="FH57" i="114"/>
  <c r="FH56" i="114"/>
  <c r="FH55" i="114"/>
  <c r="FH54" i="114"/>
  <c r="FH53" i="114"/>
  <c r="FH52" i="114"/>
  <c r="FH51" i="114"/>
  <c r="FH50" i="114"/>
  <c r="FH49" i="114"/>
  <c r="FH47" i="114"/>
  <c r="FH46" i="114"/>
  <c r="FH45" i="114"/>
  <c r="FH44" i="114"/>
  <c r="FH43" i="114"/>
  <c r="FH42" i="114"/>
  <c r="DW68" i="114"/>
  <c r="DV68" i="114"/>
  <c r="DW67" i="114"/>
  <c r="DV67" i="114"/>
  <c r="DW66" i="114"/>
  <c r="DV66" i="114"/>
  <c r="DW65" i="114"/>
  <c r="DV65" i="114"/>
  <c r="DW64" i="114"/>
  <c r="DV64" i="114"/>
  <c r="DW63" i="114"/>
  <c r="DV63" i="114"/>
  <c r="DW62" i="114"/>
  <c r="DV62" i="114"/>
  <c r="DW61" i="114"/>
  <c r="DV61" i="114"/>
  <c r="DW60" i="114"/>
  <c r="DV60" i="114"/>
  <c r="DW58" i="114"/>
  <c r="DV58" i="114"/>
  <c r="DW57" i="114"/>
  <c r="DV57" i="114"/>
  <c r="DW56" i="114"/>
  <c r="DV56" i="114"/>
  <c r="DW55" i="114"/>
  <c r="DV55" i="114"/>
  <c r="DW54" i="114"/>
  <c r="DV54" i="114"/>
  <c r="DW53" i="114"/>
  <c r="DV53" i="114"/>
  <c r="DW52" i="114"/>
  <c r="DV52" i="114"/>
  <c r="DW51" i="114"/>
  <c r="DV51" i="114"/>
  <c r="DW50" i="114"/>
  <c r="DV50" i="114"/>
  <c r="DW49" i="114"/>
  <c r="DV49" i="114"/>
  <c r="DW47" i="114"/>
  <c r="DV47" i="114"/>
  <c r="DW46" i="114"/>
  <c r="DV46" i="114"/>
  <c r="DW45" i="114"/>
  <c r="DV45" i="114"/>
  <c r="DW44" i="114"/>
  <c r="DV44" i="114"/>
  <c r="DW43" i="114"/>
  <c r="DV43" i="114"/>
  <c r="DW42" i="114"/>
  <c r="DV42" i="114"/>
  <c r="DV69" i="114" s="1"/>
  <c r="DW41" i="114"/>
  <c r="DW69" i="114" s="1"/>
  <c r="DV41" i="114"/>
  <c r="BX68" i="114"/>
  <c r="BW68" i="114"/>
  <c r="BX67" i="114"/>
  <c r="BW67" i="114"/>
  <c r="BX66" i="114"/>
  <c r="BW66" i="114"/>
  <c r="BX65" i="114"/>
  <c r="BW65" i="114"/>
  <c r="BX64" i="114"/>
  <c r="BW64" i="114"/>
  <c r="BX63" i="114"/>
  <c r="BW63" i="114"/>
  <c r="BX62" i="114"/>
  <c r="BW62" i="114"/>
  <c r="BX61" i="114"/>
  <c r="BW61" i="114"/>
  <c r="BX60" i="114"/>
  <c r="BW60" i="114"/>
  <c r="BX58" i="114"/>
  <c r="BW58" i="114"/>
  <c r="BX57" i="114"/>
  <c r="BW57" i="114"/>
  <c r="BX56" i="114"/>
  <c r="BW56" i="114"/>
  <c r="BX55" i="114"/>
  <c r="BW55" i="114"/>
  <c r="BX54" i="114"/>
  <c r="BW54" i="114"/>
  <c r="BX53" i="114"/>
  <c r="BW53" i="114"/>
  <c r="BX52" i="114"/>
  <c r="BW52" i="114"/>
  <c r="BX51" i="114"/>
  <c r="BW51" i="114"/>
  <c r="BX50" i="114"/>
  <c r="BW50" i="114"/>
  <c r="BX49" i="114"/>
  <c r="BW49" i="114"/>
  <c r="BX47" i="114"/>
  <c r="BW47" i="114"/>
  <c r="BX46" i="114"/>
  <c r="BW46" i="114"/>
  <c r="BX45" i="114"/>
  <c r="BW45" i="114"/>
  <c r="BX44" i="114"/>
  <c r="BW44" i="114"/>
  <c r="BX43" i="114"/>
  <c r="BW43" i="114"/>
  <c r="BX42" i="114"/>
  <c r="BW42" i="114"/>
  <c r="BX41" i="114"/>
  <c r="BX69" i="114" s="1"/>
  <c r="BW41" i="114"/>
  <c r="AI68" i="114"/>
  <c r="AI67" i="114"/>
  <c r="AI66" i="114"/>
  <c r="AI65" i="114"/>
  <c r="AI64" i="114"/>
  <c r="AI63" i="114"/>
  <c r="AI62" i="114"/>
  <c r="AI61" i="114"/>
  <c r="AI58" i="114"/>
  <c r="AI57" i="114"/>
  <c r="AI56" i="114"/>
  <c r="AI55" i="114"/>
  <c r="AI53" i="114"/>
  <c r="AI52" i="114"/>
  <c r="AI51" i="114"/>
  <c r="AI50" i="114"/>
  <c r="AI47" i="114"/>
  <c r="AI46" i="114"/>
  <c r="AK45" i="114"/>
  <c r="AJ45" i="114"/>
  <c r="CI45" i="114" s="1"/>
  <c r="EH45" i="114" s="1"/>
  <c r="GG45" i="114" s="1"/>
  <c r="AI45" i="114"/>
  <c r="AI44" i="114"/>
  <c r="AK43" i="114"/>
  <c r="AJ43" i="114"/>
  <c r="CI43" i="114" s="1"/>
  <c r="EH43" i="114" s="1"/>
  <c r="GG43" i="114" s="1"/>
  <c r="AI43" i="114"/>
  <c r="AI42" i="114"/>
  <c r="FV48" i="114"/>
  <c r="FU48" i="114"/>
  <c r="H48" i="114"/>
  <c r="CD249" i="113"/>
  <c r="CC249" i="113"/>
  <c r="CD248" i="113"/>
  <c r="CC248" i="113"/>
  <c r="CD247" i="113"/>
  <c r="CD246" i="113"/>
  <c r="CC246" i="113"/>
  <c r="CD245" i="113"/>
  <c r="CC245" i="113"/>
  <c r="CD238" i="113"/>
  <c r="CD237" i="113"/>
  <c r="CD236" i="113"/>
  <c r="CC236" i="113"/>
  <c r="CD234" i="113"/>
  <c r="CC234" i="113"/>
  <c r="CB243" i="113"/>
  <c r="CB242" i="113"/>
  <c r="CB241" i="113"/>
  <c r="CB240" i="113"/>
  <c r="CB230" i="113"/>
  <c r="BX259" i="113"/>
  <c r="BW259" i="113"/>
  <c r="BU259" i="113"/>
  <c r="BT259" i="113"/>
  <c r="BR259" i="113"/>
  <c r="BQ259" i="113"/>
  <c r="BX258" i="113"/>
  <c r="BW258" i="113"/>
  <c r="BU258" i="113"/>
  <c r="BU255" i="113" s="1"/>
  <c r="BT258" i="113"/>
  <c r="BR258" i="113"/>
  <c r="BQ258" i="113"/>
  <c r="BX257" i="113"/>
  <c r="BW257" i="113"/>
  <c r="BU257" i="113"/>
  <c r="BT257" i="113"/>
  <c r="BR257" i="113"/>
  <c r="BQ257" i="113"/>
  <c r="BX256" i="113"/>
  <c r="BW256" i="113"/>
  <c r="BW255" i="113" s="1"/>
  <c r="BU256" i="113"/>
  <c r="BT256" i="113"/>
  <c r="BR256" i="113"/>
  <c r="BQ256" i="113"/>
  <c r="BQ255" i="113"/>
  <c r="BX254" i="113"/>
  <c r="BW254" i="113"/>
  <c r="BU254" i="113"/>
  <c r="BT254" i="113"/>
  <c r="BR254" i="113"/>
  <c r="BQ254" i="113"/>
  <c r="BX253" i="113"/>
  <c r="BW253" i="113"/>
  <c r="BU253" i="113"/>
  <c r="BT253" i="113"/>
  <c r="BR253" i="113"/>
  <c r="BQ253" i="113"/>
  <c r="BX252" i="113"/>
  <c r="BX250" i="113" s="1"/>
  <c r="BW252" i="113"/>
  <c r="BU252" i="113"/>
  <c r="BT252" i="113"/>
  <c r="BR252" i="113"/>
  <c r="BQ252" i="113"/>
  <c r="BX251" i="113"/>
  <c r="BW251" i="113"/>
  <c r="BW250" i="113" s="1"/>
  <c r="BU251" i="113"/>
  <c r="BT251" i="113"/>
  <c r="BR251" i="113"/>
  <c r="BQ251" i="113"/>
  <c r="BT250" i="113"/>
  <c r="BX249" i="113"/>
  <c r="BW249" i="113"/>
  <c r="BU249" i="113"/>
  <c r="BT249" i="113"/>
  <c r="BR249" i="113"/>
  <c r="BQ249" i="113"/>
  <c r="BX248" i="113"/>
  <c r="BW248" i="113"/>
  <c r="BU248" i="113"/>
  <c r="BT248" i="113"/>
  <c r="BR248" i="113"/>
  <c r="BQ248" i="113"/>
  <c r="BX247" i="113"/>
  <c r="BW247" i="113"/>
  <c r="BU247" i="113"/>
  <c r="BT247" i="113"/>
  <c r="BR247" i="113"/>
  <c r="BQ247" i="113"/>
  <c r="BX246" i="113"/>
  <c r="BW246" i="113"/>
  <c r="BU246" i="113"/>
  <c r="BT246" i="113"/>
  <c r="BR246" i="113"/>
  <c r="BQ246" i="113"/>
  <c r="BX245" i="113"/>
  <c r="BW245" i="113"/>
  <c r="BU245" i="113"/>
  <c r="BT245" i="113"/>
  <c r="BR245" i="113"/>
  <c r="BQ245" i="113"/>
  <c r="BX244" i="113"/>
  <c r="BW244" i="113"/>
  <c r="BU244" i="113"/>
  <c r="BT244" i="113"/>
  <c r="BR244" i="113"/>
  <c r="BQ244" i="113"/>
  <c r="BX243" i="113"/>
  <c r="BW243" i="113"/>
  <c r="BU243" i="113"/>
  <c r="BT243" i="113"/>
  <c r="BR243" i="113"/>
  <c r="BQ243" i="113"/>
  <c r="BX242" i="113"/>
  <c r="BW242" i="113"/>
  <c r="BU242" i="113"/>
  <c r="BT242" i="113"/>
  <c r="BR242" i="113"/>
  <c r="BQ242" i="113"/>
  <c r="BX241" i="113"/>
  <c r="BW241" i="113"/>
  <c r="BU241" i="113"/>
  <c r="BT241" i="113"/>
  <c r="BR241" i="113"/>
  <c r="BQ241" i="113"/>
  <c r="BX240" i="113"/>
  <c r="BW240" i="113"/>
  <c r="BU240" i="113"/>
  <c r="BT240" i="113"/>
  <c r="BR240" i="113"/>
  <c r="BQ240" i="113"/>
  <c r="BX239" i="113"/>
  <c r="BW239" i="113"/>
  <c r="BU239" i="113"/>
  <c r="BT239" i="113"/>
  <c r="BR239" i="113"/>
  <c r="BQ239" i="113"/>
  <c r="BX238" i="113"/>
  <c r="BW238" i="113"/>
  <c r="BU238" i="113"/>
  <c r="BT238" i="113"/>
  <c r="BR238" i="113"/>
  <c r="BQ238" i="113"/>
  <c r="BX237" i="113"/>
  <c r="BW237" i="113"/>
  <c r="BU237" i="113"/>
  <c r="BT237" i="113"/>
  <c r="BR237" i="113"/>
  <c r="BQ237" i="113"/>
  <c r="BX236" i="113"/>
  <c r="BW236" i="113"/>
  <c r="BU236" i="113"/>
  <c r="BT236" i="113"/>
  <c r="BR236" i="113"/>
  <c r="BQ236" i="113"/>
  <c r="BX235" i="113"/>
  <c r="BW235" i="113"/>
  <c r="BU235" i="113"/>
  <c r="BT235" i="113"/>
  <c r="BR235" i="113"/>
  <c r="BQ235" i="113"/>
  <c r="BX234" i="113"/>
  <c r="BW234" i="113"/>
  <c r="BU234" i="113"/>
  <c r="BT234" i="113"/>
  <c r="BR234" i="113"/>
  <c r="BQ234" i="113"/>
  <c r="BX233" i="113"/>
  <c r="BW233" i="113"/>
  <c r="BU233" i="113"/>
  <c r="BT233" i="113"/>
  <c r="BR233" i="113"/>
  <c r="BQ233" i="113"/>
  <c r="BX232" i="113"/>
  <c r="BW232" i="113"/>
  <c r="BU232" i="113"/>
  <c r="BT232" i="113"/>
  <c r="BR232" i="113"/>
  <c r="BQ232" i="113"/>
  <c r="BX231" i="113"/>
  <c r="BW231" i="113"/>
  <c r="BU231" i="113"/>
  <c r="BT231" i="113"/>
  <c r="BR231" i="113"/>
  <c r="BQ231" i="113"/>
  <c r="BX230" i="113"/>
  <c r="BW230" i="113"/>
  <c r="BU230" i="113"/>
  <c r="BT230" i="113"/>
  <c r="BR230" i="113"/>
  <c r="BQ230" i="113"/>
  <c r="BX229" i="113"/>
  <c r="BW229" i="113"/>
  <c r="BU229" i="113"/>
  <c r="BT229" i="113"/>
  <c r="BR229" i="113"/>
  <c r="BQ229" i="113"/>
  <c r="BX228" i="113"/>
  <c r="BW228" i="113"/>
  <c r="BU228" i="113"/>
  <c r="BT228" i="113"/>
  <c r="BR228" i="113"/>
  <c r="BQ228" i="113"/>
  <c r="AZ259" i="113"/>
  <c r="AY259" i="113"/>
  <c r="AW259" i="113"/>
  <c r="AV259" i="113"/>
  <c r="AT259" i="113"/>
  <c r="AS259" i="113"/>
  <c r="AZ258" i="113"/>
  <c r="AY258" i="113"/>
  <c r="AW258" i="113"/>
  <c r="AV258" i="113"/>
  <c r="AT258" i="113"/>
  <c r="AS258" i="113"/>
  <c r="AZ257" i="113"/>
  <c r="AY257" i="113"/>
  <c r="AW257" i="113"/>
  <c r="AV257" i="113"/>
  <c r="AT257" i="113"/>
  <c r="AS257" i="113"/>
  <c r="AZ256" i="113"/>
  <c r="AY256" i="113"/>
  <c r="AW256" i="113"/>
  <c r="AV256" i="113"/>
  <c r="AT256" i="113"/>
  <c r="AS256" i="113"/>
  <c r="AS255" i="113" s="1"/>
  <c r="AW255" i="113"/>
  <c r="AZ254" i="113"/>
  <c r="AY254" i="113"/>
  <c r="AW254" i="113"/>
  <c r="AV254" i="113"/>
  <c r="AT254" i="113"/>
  <c r="AS254" i="113"/>
  <c r="AZ253" i="113"/>
  <c r="AY253" i="113"/>
  <c r="AW253" i="113"/>
  <c r="AV253" i="113"/>
  <c r="AT253" i="113"/>
  <c r="AS253" i="113"/>
  <c r="AZ252" i="113"/>
  <c r="AY252" i="113"/>
  <c r="AW252" i="113"/>
  <c r="AV252" i="113"/>
  <c r="AT252" i="113"/>
  <c r="AS252" i="113"/>
  <c r="AZ251" i="113"/>
  <c r="AZ250" i="113" s="1"/>
  <c r="AY251" i="113"/>
  <c r="AW251" i="113"/>
  <c r="AW250" i="113" s="1"/>
  <c r="AV251" i="113"/>
  <c r="AT251" i="113"/>
  <c r="AS251" i="113"/>
  <c r="AS250" i="113" s="1"/>
  <c r="AZ249" i="113"/>
  <c r="AY249" i="113"/>
  <c r="AW249" i="113"/>
  <c r="AV249" i="113"/>
  <c r="AT249" i="113"/>
  <c r="AS249" i="113"/>
  <c r="AZ248" i="113"/>
  <c r="AY248" i="113"/>
  <c r="AW248" i="113"/>
  <c r="AV248" i="113"/>
  <c r="AT248" i="113"/>
  <c r="AS248" i="113"/>
  <c r="AZ247" i="113"/>
  <c r="AY247" i="113"/>
  <c r="AW247" i="113"/>
  <c r="AV247" i="113"/>
  <c r="AT247" i="113"/>
  <c r="AS247" i="113"/>
  <c r="AZ246" i="113"/>
  <c r="AY246" i="113"/>
  <c r="AW246" i="113"/>
  <c r="AV246" i="113"/>
  <c r="AT246" i="113"/>
  <c r="AS246" i="113"/>
  <c r="AZ245" i="113"/>
  <c r="AY245" i="113"/>
  <c r="AW245" i="113"/>
  <c r="AV245" i="113"/>
  <c r="AT245" i="113"/>
  <c r="AS245" i="113"/>
  <c r="AZ244" i="113"/>
  <c r="AY244" i="113"/>
  <c r="AW244" i="113"/>
  <c r="AV244" i="113"/>
  <c r="AT244" i="113"/>
  <c r="AS244" i="113"/>
  <c r="AZ243" i="113"/>
  <c r="AY243" i="113"/>
  <c r="AW243" i="113"/>
  <c r="AV243" i="113"/>
  <c r="AT243" i="113"/>
  <c r="AS243" i="113"/>
  <c r="AZ242" i="113"/>
  <c r="AY242" i="113"/>
  <c r="AW242" i="113"/>
  <c r="AV242" i="113"/>
  <c r="AT242" i="113"/>
  <c r="AS242" i="113"/>
  <c r="AZ241" i="113"/>
  <c r="AY241" i="113"/>
  <c r="AW241" i="113"/>
  <c r="AV241" i="113"/>
  <c r="AT241" i="113"/>
  <c r="AS241" i="113"/>
  <c r="AZ240" i="113"/>
  <c r="AY240" i="113"/>
  <c r="AW240" i="113"/>
  <c r="AV240" i="113"/>
  <c r="AT240" i="113"/>
  <c r="AS240" i="113"/>
  <c r="AZ239" i="113"/>
  <c r="AY239" i="113"/>
  <c r="AW239" i="113"/>
  <c r="AV239" i="113"/>
  <c r="AT239" i="113"/>
  <c r="AS239" i="113"/>
  <c r="AZ238" i="113"/>
  <c r="AY238" i="113"/>
  <c r="AW238" i="113"/>
  <c r="AV238" i="113"/>
  <c r="AT238" i="113"/>
  <c r="AS238" i="113"/>
  <c r="AZ237" i="113"/>
  <c r="AY237" i="113"/>
  <c r="AW237" i="113"/>
  <c r="AV237" i="113"/>
  <c r="AT237" i="113"/>
  <c r="AS237" i="113"/>
  <c r="AZ236" i="113"/>
  <c r="AY236" i="113"/>
  <c r="AW236" i="113"/>
  <c r="AV236" i="113"/>
  <c r="AT236" i="113"/>
  <c r="AS236" i="113"/>
  <c r="AZ235" i="113"/>
  <c r="AY235" i="113"/>
  <c r="AW235" i="113"/>
  <c r="AV235" i="113"/>
  <c r="AT235" i="113"/>
  <c r="AS235" i="113"/>
  <c r="AZ234" i="113"/>
  <c r="AY234" i="113"/>
  <c r="AW234" i="113"/>
  <c r="AV234" i="113"/>
  <c r="AT234" i="113"/>
  <c r="AS234" i="113"/>
  <c r="AZ233" i="113"/>
  <c r="AY233" i="113"/>
  <c r="AW233" i="113"/>
  <c r="AV233" i="113"/>
  <c r="AT233" i="113"/>
  <c r="AS233" i="113"/>
  <c r="AZ232" i="113"/>
  <c r="AY232" i="113"/>
  <c r="AW232" i="113"/>
  <c r="AV232" i="113"/>
  <c r="AT232" i="113"/>
  <c r="AS232" i="113"/>
  <c r="AZ231" i="113"/>
  <c r="AY231" i="113"/>
  <c r="AW231" i="113"/>
  <c r="AV231" i="113"/>
  <c r="AT231" i="113"/>
  <c r="AS231" i="113"/>
  <c r="AZ230" i="113"/>
  <c r="AY230" i="113"/>
  <c r="AW230" i="113"/>
  <c r="AV230" i="113"/>
  <c r="AT230" i="113"/>
  <c r="AS230" i="113"/>
  <c r="AZ229" i="113"/>
  <c r="AY229" i="113"/>
  <c r="AW229" i="113"/>
  <c r="AV229" i="113"/>
  <c r="AT229" i="113"/>
  <c r="AS229" i="113"/>
  <c r="AZ228" i="113"/>
  <c r="AY228" i="113"/>
  <c r="AW228" i="113"/>
  <c r="AV228" i="113"/>
  <c r="AT228" i="113"/>
  <c r="AS228" i="113"/>
  <c r="AB259" i="113"/>
  <c r="AA259" i="113"/>
  <c r="Y259" i="113"/>
  <c r="X259" i="113"/>
  <c r="V259" i="113"/>
  <c r="U259" i="113"/>
  <c r="AB258" i="113"/>
  <c r="AA258" i="113"/>
  <c r="Y258" i="113"/>
  <c r="X258" i="113"/>
  <c r="V258" i="113"/>
  <c r="U258" i="113"/>
  <c r="AB257" i="113"/>
  <c r="AA257" i="113"/>
  <c r="Y257" i="113"/>
  <c r="X257" i="113"/>
  <c r="V257" i="113"/>
  <c r="U257" i="113"/>
  <c r="AB256" i="113"/>
  <c r="AA256" i="113"/>
  <c r="Y256" i="113"/>
  <c r="X256" i="113"/>
  <c r="X255" i="113" s="1"/>
  <c r="V256" i="113"/>
  <c r="U256" i="113"/>
  <c r="AB255" i="113"/>
  <c r="Y255" i="113"/>
  <c r="V255" i="113"/>
  <c r="U255" i="113"/>
  <c r="AB254" i="113"/>
  <c r="AA254" i="113"/>
  <c r="Y254" i="113"/>
  <c r="X254" i="113"/>
  <c r="V254" i="113"/>
  <c r="U254" i="113"/>
  <c r="AB253" i="113"/>
  <c r="AA253" i="113"/>
  <c r="Y253" i="113"/>
  <c r="X253" i="113"/>
  <c r="V253" i="113"/>
  <c r="U253" i="113"/>
  <c r="AB252" i="113"/>
  <c r="AA252" i="113"/>
  <c r="Y252" i="113"/>
  <c r="X252" i="113"/>
  <c r="V252" i="113"/>
  <c r="U252" i="113"/>
  <c r="AB251" i="113"/>
  <c r="AB250" i="113" s="1"/>
  <c r="AA251" i="113"/>
  <c r="Y251" i="113"/>
  <c r="Y250" i="113" s="1"/>
  <c r="X251" i="113"/>
  <c r="V251" i="113"/>
  <c r="V250" i="113" s="1"/>
  <c r="U251" i="113"/>
  <c r="U250" i="113" s="1"/>
  <c r="AB249" i="113"/>
  <c r="AA249" i="113"/>
  <c r="Y249" i="113"/>
  <c r="X249" i="113"/>
  <c r="V249" i="113"/>
  <c r="U249" i="113"/>
  <c r="AB248" i="113"/>
  <c r="AA248" i="113"/>
  <c r="Y248" i="113"/>
  <c r="X248" i="113"/>
  <c r="V248" i="113"/>
  <c r="U248" i="113"/>
  <c r="AB247" i="113"/>
  <c r="AA247" i="113"/>
  <c r="Y247" i="113"/>
  <c r="X247" i="113"/>
  <c r="V247" i="113"/>
  <c r="U247" i="113"/>
  <c r="AB246" i="113"/>
  <c r="AA246" i="113"/>
  <c r="Y246" i="113"/>
  <c r="X246" i="113"/>
  <c r="V246" i="113"/>
  <c r="U246" i="113"/>
  <c r="AB245" i="113"/>
  <c r="AA245" i="113"/>
  <c r="Y245" i="113"/>
  <c r="X245" i="113"/>
  <c r="V245" i="113"/>
  <c r="U245" i="113"/>
  <c r="AB244" i="113"/>
  <c r="AA244" i="113"/>
  <c r="Y244" i="113"/>
  <c r="X244" i="113"/>
  <c r="V244" i="113"/>
  <c r="U244" i="113"/>
  <c r="AB243" i="113"/>
  <c r="AA243" i="113"/>
  <c r="Y243" i="113"/>
  <c r="X243" i="113"/>
  <c r="V243" i="113"/>
  <c r="U243" i="113"/>
  <c r="AB242" i="113"/>
  <c r="AA242" i="113"/>
  <c r="Y242" i="113"/>
  <c r="X242" i="113"/>
  <c r="V242" i="113"/>
  <c r="U242" i="113"/>
  <c r="AB241" i="113"/>
  <c r="AA241" i="113"/>
  <c r="Y241" i="113"/>
  <c r="X241" i="113"/>
  <c r="V241" i="113"/>
  <c r="U241" i="113"/>
  <c r="AB240" i="113"/>
  <c r="AA240" i="113"/>
  <c r="Y240" i="113"/>
  <c r="X240" i="113"/>
  <c r="V240" i="113"/>
  <c r="U240" i="113"/>
  <c r="AB239" i="113"/>
  <c r="AA239" i="113"/>
  <c r="Y239" i="113"/>
  <c r="X239" i="113"/>
  <c r="V239" i="113"/>
  <c r="U239" i="113"/>
  <c r="AB238" i="113"/>
  <c r="AA238" i="113"/>
  <c r="Y238" i="113"/>
  <c r="X238" i="113"/>
  <c r="V238" i="113"/>
  <c r="U238" i="113"/>
  <c r="AB237" i="113"/>
  <c r="AA237" i="113"/>
  <c r="Y237" i="113"/>
  <c r="X237" i="113"/>
  <c r="V237" i="113"/>
  <c r="U237" i="113"/>
  <c r="AB236" i="113"/>
  <c r="AA236" i="113"/>
  <c r="Y236" i="113"/>
  <c r="X236" i="113"/>
  <c r="V236" i="113"/>
  <c r="U236" i="113"/>
  <c r="AB235" i="113"/>
  <c r="AA235" i="113"/>
  <c r="Y235" i="113"/>
  <c r="X235" i="113"/>
  <c r="V235" i="113"/>
  <c r="U235" i="113"/>
  <c r="AB234" i="113"/>
  <c r="AA234" i="113"/>
  <c r="Y234" i="113"/>
  <c r="X234" i="113"/>
  <c r="V234" i="113"/>
  <c r="U234" i="113"/>
  <c r="AB233" i="113"/>
  <c r="AA233" i="113"/>
  <c r="Y233" i="113"/>
  <c r="X233" i="113"/>
  <c r="V233" i="113"/>
  <c r="AB232" i="113"/>
  <c r="AA232" i="113"/>
  <c r="Y232" i="113"/>
  <c r="X232" i="113"/>
  <c r="V232" i="113"/>
  <c r="U232" i="113"/>
  <c r="AB231" i="113"/>
  <c r="AA231" i="113"/>
  <c r="Y231" i="113"/>
  <c r="X231" i="113"/>
  <c r="V231" i="113"/>
  <c r="U231" i="113"/>
  <c r="AB230" i="113"/>
  <c r="AA230" i="113"/>
  <c r="Y230" i="113"/>
  <c r="X230" i="113"/>
  <c r="V230" i="113"/>
  <c r="U230" i="113"/>
  <c r="AB229" i="113"/>
  <c r="AA229" i="113"/>
  <c r="Y229" i="113"/>
  <c r="X229" i="113"/>
  <c r="V229" i="113"/>
  <c r="U229" i="113"/>
  <c r="AB228" i="113"/>
  <c r="AA228" i="113"/>
  <c r="Y228" i="113"/>
  <c r="X228" i="113"/>
  <c r="V228" i="113"/>
  <c r="U228" i="113"/>
  <c r="M259" i="113"/>
  <c r="L259" i="113"/>
  <c r="J259" i="113"/>
  <c r="I259" i="113"/>
  <c r="G259" i="113"/>
  <c r="F259" i="113"/>
  <c r="M258" i="113"/>
  <c r="L258" i="113"/>
  <c r="J258" i="113"/>
  <c r="I258" i="113"/>
  <c r="G258" i="113"/>
  <c r="F258" i="113"/>
  <c r="M257" i="113"/>
  <c r="L257" i="113"/>
  <c r="J257" i="113"/>
  <c r="J255" i="113" s="1"/>
  <c r="I257" i="113"/>
  <c r="G257" i="113"/>
  <c r="F257" i="113"/>
  <c r="M256" i="113"/>
  <c r="L256" i="113"/>
  <c r="J256" i="113"/>
  <c r="I256" i="113"/>
  <c r="G256" i="113"/>
  <c r="F256" i="113"/>
  <c r="M255" i="113"/>
  <c r="G255" i="113"/>
  <c r="M254" i="113"/>
  <c r="L254" i="113"/>
  <c r="J254" i="113"/>
  <c r="I254" i="113"/>
  <c r="G254" i="113"/>
  <c r="F254" i="113"/>
  <c r="M253" i="113"/>
  <c r="L253" i="113"/>
  <c r="J253" i="113"/>
  <c r="I253" i="113"/>
  <c r="G253" i="113"/>
  <c r="F253" i="113"/>
  <c r="M252" i="113"/>
  <c r="L252" i="113"/>
  <c r="J252" i="113"/>
  <c r="I252" i="113"/>
  <c r="G252" i="113"/>
  <c r="F252" i="113"/>
  <c r="M251" i="113"/>
  <c r="M250" i="113" s="1"/>
  <c r="L251" i="113"/>
  <c r="J251" i="113"/>
  <c r="J250" i="113" s="1"/>
  <c r="I251" i="113"/>
  <c r="G251" i="113"/>
  <c r="M249" i="113"/>
  <c r="L249" i="113"/>
  <c r="J249" i="113"/>
  <c r="I249" i="113"/>
  <c r="G249" i="113"/>
  <c r="F249" i="113"/>
  <c r="M248" i="113"/>
  <c r="L248" i="113"/>
  <c r="J248" i="113"/>
  <c r="I248" i="113"/>
  <c r="G248" i="113"/>
  <c r="F248" i="113"/>
  <c r="M247" i="113"/>
  <c r="L247" i="113"/>
  <c r="J247" i="113"/>
  <c r="I247" i="113"/>
  <c r="G247" i="113"/>
  <c r="F247" i="113"/>
  <c r="M246" i="113"/>
  <c r="L246" i="113"/>
  <c r="J246" i="113"/>
  <c r="I246" i="113"/>
  <c r="G246" i="113"/>
  <c r="F246" i="113"/>
  <c r="M245" i="113"/>
  <c r="L245" i="113"/>
  <c r="J245" i="113"/>
  <c r="I245" i="113"/>
  <c r="G245" i="113"/>
  <c r="F245" i="113"/>
  <c r="M244" i="113"/>
  <c r="L244" i="113"/>
  <c r="J244" i="113"/>
  <c r="I244" i="113"/>
  <c r="G244" i="113"/>
  <c r="F244" i="113"/>
  <c r="M243" i="113"/>
  <c r="L243" i="113"/>
  <c r="J243" i="113"/>
  <c r="I243" i="113"/>
  <c r="G243" i="113"/>
  <c r="F243" i="113"/>
  <c r="M242" i="113"/>
  <c r="L242" i="113"/>
  <c r="J242" i="113"/>
  <c r="I242" i="113"/>
  <c r="G242" i="113"/>
  <c r="F242" i="113"/>
  <c r="M241" i="113"/>
  <c r="L241" i="113"/>
  <c r="J241" i="113"/>
  <c r="I241" i="113"/>
  <c r="G241" i="113"/>
  <c r="F241" i="113"/>
  <c r="M240" i="113"/>
  <c r="L240" i="113"/>
  <c r="J240" i="113"/>
  <c r="I240" i="113"/>
  <c r="G240" i="113"/>
  <c r="F240" i="113"/>
  <c r="M239" i="113"/>
  <c r="L239" i="113"/>
  <c r="J239" i="113"/>
  <c r="I239" i="113"/>
  <c r="G239" i="113"/>
  <c r="F239" i="113"/>
  <c r="M238" i="113"/>
  <c r="L238" i="113"/>
  <c r="J238" i="113"/>
  <c r="I238" i="113"/>
  <c r="G238" i="113"/>
  <c r="F238" i="113"/>
  <c r="M237" i="113"/>
  <c r="L237" i="113"/>
  <c r="J237" i="113"/>
  <c r="I237" i="113"/>
  <c r="G237" i="113"/>
  <c r="F237" i="113"/>
  <c r="M236" i="113"/>
  <c r="L236" i="113"/>
  <c r="J236" i="113"/>
  <c r="I236" i="113"/>
  <c r="G236" i="113"/>
  <c r="F236" i="113"/>
  <c r="M235" i="113"/>
  <c r="L235" i="113"/>
  <c r="J235" i="113"/>
  <c r="I235" i="113"/>
  <c r="G235" i="113"/>
  <c r="F235" i="113"/>
  <c r="M234" i="113"/>
  <c r="L234" i="113"/>
  <c r="J234" i="113"/>
  <c r="I234" i="113"/>
  <c r="G234" i="113"/>
  <c r="F234" i="113"/>
  <c r="M233" i="113"/>
  <c r="L233" i="113"/>
  <c r="J233" i="113"/>
  <c r="I233" i="113"/>
  <c r="G233" i="113"/>
  <c r="F233" i="113"/>
  <c r="M232" i="113"/>
  <c r="L232" i="113"/>
  <c r="J232" i="113"/>
  <c r="I232" i="113"/>
  <c r="G232" i="113"/>
  <c r="F232" i="113"/>
  <c r="M231" i="113"/>
  <c r="L231" i="113"/>
  <c r="J231" i="113"/>
  <c r="I231" i="113"/>
  <c r="G231" i="113"/>
  <c r="F231" i="113"/>
  <c r="M230" i="113"/>
  <c r="L230" i="113"/>
  <c r="J230" i="113"/>
  <c r="I230" i="113"/>
  <c r="G230" i="113"/>
  <c r="F230" i="113"/>
  <c r="M229" i="113"/>
  <c r="L229" i="113"/>
  <c r="J229" i="113"/>
  <c r="I229" i="113"/>
  <c r="G229" i="113"/>
  <c r="F229" i="113"/>
  <c r="M228" i="113"/>
  <c r="L228" i="113"/>
  <c r="J228" i="113"/>
  <c r="I228" i="113"/>
  <c r="G228" i="113"/>
  <c r="F228" i="113"/>
  <c r="FH48" i="114" l="1"/>
  <c r="AA255" i="113"/>
  <c r="AA250" i="113"/>
  <c r="X250" i="113"/>
  <c r="L255" i="113"/>
  <c r="L250" i="113"/>
  <c r="I250" i="113"/>
  <c r="I255" i="113"/>
  <c r="AV250" i="113"/>
  <c r="AT250" i="113"/>
  <c r="AB260" i="113"/>
  <c r="X260" i="113"/>
  <c r="Y260" i="113"/>
  <c r="U260" i="113"/>
  <c r="V260" i="113"/>
  <c r="J260" i="113"/>
  <c r="M260" i="113"/>
  <c r="G250" i="113"/>
  <c r="AY250" i="113"/>
  <c r="AY255" i="113"/>
  <c r="AY260" i="113" s="1"/>
  <c r="BQ250" i="113"/>
  <c r="BU250" i="113"/>
  <c r="BU260" i="113" s="1"/>
  <c r="BR250" i="113"/>
  <c r="AT260" i="113"/>
  <c r="AZ260" i="113"/>
  <c r="AT255" i="113"/>
  <c r="AV255" i="113"/>
  <c r="AV260" i="113" s="1"/>
  <c r="AZ255" i="113"/>
  <c r="BR260" i="113"/>
  <c r="BX260" i="113"/>
  <c r="BR255" i="113"/>
  <c r="BT255" i="113"/>
  <c r="BT260" i="113" s="1"/>
  <c r="BX255" i="113"/>
  <c r="CJ43" i="114"/>
  <c r="EI43" i="114" s="1"/>
  <c r="GH43" i="114" s="1"/>
  <c r="CJ45" i="114"/>
  <c r="EI45" i="114" s="1"/>
  <c r="GH45" i="114" s="1"/>
  <c r="J58" i="116"/>
  <c r="AK58" i="116" s="1"/>
  <c r="CJ58" i="116" s="1"/>
  <c r="J8" i="116"/>
  <c r="I8" i="116" s="1"/>
  <c r="GK73" i="114"/>
  <c r="AF59" i="118"/>
  <c r="G260" i="113"/>
  <c r="F255" i="113"/>
  <c r="F250" i="113"/>
  <c r="F260" i="113" s="1"/>
  <c r="AI48" i="114"/>
  <c r="BW69" i="114"/>
  <c r="DU62" i="116"/>
  <c r="Q62" i="116"/>
  <c r="Z62" i="116"/>
  <c r="BX62" i="116"/>
  <c r="AU62" i="116"/>
  <c r="BW62" i="116"/>
  <c r="BD62" i="116"/>
  <c r="BM62" i="116"/>
  <c r="FT62" i="116"/>
  <c r="CK66" i="116"/>
  <c r="CK68" i="116"/>
  <c r="BX74" i="114"/>
  <c r="DW74" i="114"/>
  <c r="FU74" i="114"/>
  <c r="DZ72" i="114"/>
  <c r="EC72" i="114"/>
  <c r="Z58" i="118" s="1"/>
  <c r="Z74" i="114"/>
  <c r="BW74" i="114"/>
  <c r="DV74" i="114"/>
  <c r="FV74" i="114"/>
  <c r="EX72" i="114"/>
  <c r="FG72" i="114" s="1"/>
  <c r="BW48" i="114"/>
  <c r="DW48" i="114"/>
  <c r="BX48" i="114"/>
  <c r="DV48" i="114"/>
  <c r="FV69" i="114"/>
  <c r="DW58" i="116"/>
  <c r="EI58" i="116" s="1"/>
  <c r="CV59" i="116"/>
  <c r="FV58" i="116"/>
  <c r="FV59" i="116" s="1"/>
  <c r="EU59" i="116"/>
  <c r="AA59" i="116"/>
  <c r="DV58" i="116"/>
  <c r="EH58" i="116" s="1"/>
  <c r="CU59" i="116"/>
  <c r="FU58" i="116"/>
  <c r="FU59" i="116" s="1"/>
  <c r="ET59" i="116"/>
  <c r="AB59" i="116"/>
  <c r="AW59" i="116"/>
  <c r="BE59" i="116"/>
  <c r="BO59" i="116"/>
  <c r="AV59" i="116"/>
  <c r="BF59" i="116"/>
  <c r="BN59" i="116"/>
  <c r="BX57" i="116"/>
  <c r="BX59" i="116" s="1"/>
  <c r="BW57" i="116"/>
  <c r="BW59" i="116" s="1"/>
  <c r="FU69" i="114"/>
  <c r="DU69" i="114"/>
  <c r="DU82" i="114" s="1"/>
  <c r="BV69" i="114"/>
  <c r="BV82" i="114" s="1"/>
  <c r="BQ260" i="113"/>
  <c r="BW260" i="113"/>
  <c r="AS260" i="113"/>
  <c r="AW260" i="113"/>
  <c r="CD213" i="113"/>
  <c r="CD212" i="113"/>
  <c r="CC212" i="113"/>
  <c r="CB212" i="113"/>
  <c r="CB211" i="113"/>
  <c r="CB210" i="113"/>
  <c r="CB209" i="113"/>
  <c r="CB207" i="113"/>
  <c r="CB206" i="113"/>
  <c r="CB197" i="113"/>
  <c r="CD190" i="113"/>
  <c r="BX213" i="113"/>
  <c r="FJ68" i="114" s="1"/>
  <c r="BW213" i="113"/>
  <c r="FI68" i="114" s="1"/>
  <c r="BU213" i="113"/>
  <c r="FA68" i="114" s="1"/>
  <c r="BT213" i="113"/>
  <c r="EZ68" i="114" s="1"/>
  <c r="BR213" i="113"/>
  <c r="ER68" i="114" s="1"/>
  <c r="BQ213" i="113"/>
  <c r="EQ68" i="114" s="1"/>
  <c r="BX212" i="113"/>
  <c r="FJ67" i="114" s="1"/>
  <c r="BW212" i="113"/>
  <c r="FI67" i="114" s="1"/>
  <c r="BU212" i="113"/>
  <c r="FA67" i="114" s="1"/>
  <c r="BT212" i="113"/>
  <c r="EZ67" i="114" s="1"/>
  <c r="BR212" i="113"/>
  <c r="ER67" i="114" s="1"/>
  <c r="BQ212" i="113"/>
  <c r="EQ67" i="114" s="1"/>
  <c r="BX211" i="113"/>
  <c r="FJ66" i="114" s="1"/>
  <c r="BW211" i="113"/>
  <c r="FI66" i="114" s="1"/>
  <c r="BU211" i="113"/>
  <c r="FA66" i="114" s="1"/>
  <c r="BT211" i="113"/>
  <c r="EZ66" i="114" s="1"/>
  <c r="BR211" i="113"/>
  <c r="ER66" i="114" s="1"/>
  <c r="BQ211" i="113"/>
  <c r="EQ66" i="114" s="1"/>
  <c r="BX210" i="113"/>
  <c r="FJ65" i="114" s="1"/>
  <c r="BW210" i="113"/>
  <c r="FI65" i="114" s="1"/>
  <c r="BU210" i="113"/>
  <c r="FA65" i="114" s="1"/>
  <c r="BT210" i="113"/>
  <c r="EZ65" i="114" s="1"/>
  <c r="BR210" i="113"/>
  <c r="ER65" i="114" s="1"/>
  <c r="BQ210" i="113"/>
  <c r="EQ65" i="114" s="1"/>
  <c r="BX209" i="113"/>
  <c r="FJ64" i="114" s="1"/>
  <c r="BW209" i="113"/>
  <c r="FI64" i="114" s="1"/>
  <c r="BU209" i="113"/>
  <c r="FA64" i="114" s="1"/>
  <c r="BT209" i="113"/>
  <c r="EZ64" i="114" s="1"/>
  <c r="BR209" i="113"/>
  <c r="ER64" i="114" s="1"/>
  <c r="BQ209" i="113"/>
  <c r="EQ64" i="114" s="1"/>
  <c r="BX208" i="113"/>
  <c r="FJ63" i="114" s="1"/>
  <c r="BW208" i="113"/>
  <c r="FI63" i="114" s="1"/>
  <c r="BU208" i="113"/>
  <c r="FA63" i="114" s="1"/>
  <c r="BT208" i="113"/>
  <c r="EZ63" i="114" s="1"/>
  <c r="BR208" i="113"/>
  <c r="ER63" i="114" s="1"/>
  <c r="BQ208" i="113"/>
  <c r="EQ63" i="114" s="1"/>
  <c r="BX207" i="113"/>
  <c r="FJ62" i="114" s="1"/>
  <c r="BW207" i="113"/>
  <c r="FI62" i="114" s="1"/>
  <c r="BU207" i="113"/>
  <c r="FA62" i="114" s="1"/>
  <c r="BT207" i="113"/>
  <c r="EZ62" i="114" s="1"/>
  <c r="BR207" i="113"/>
  <c r="ER62" i="114" s="1"/>
  <c r="BQ207" i="113"/>
  <c r="EQ62" i="114" s="1"/>
  <c r="BX206" i="113"/>
  <c r="FJ61" i="114" s="1"/>
  <c r="BW206" i="113"/>
  <c r="FI61" i="114" s="1"/>
  <c r="BU206" i="113"/>
  <c r="FA61" i="114" s="1"/>
  <c r="BT206" i="113"/>
  <c r="EZ61" i="114" s="1"/>
  <c r="BR206" i="113"/>
  <c r="ER61" i="114" s="1"/>
  <c r="BQ206" i="113"/>
  <c r="EQ61" i="114" s="1"/>
  <c r="BX203" i="113"/>
  <c r="FJ58" i="114" s="1"/>
  <c r="BW203" i="113"/>
  <c r="FI58" i="114" s="1"/>
  <c r="BU203" i="113"/>
  <c r="FA58" i="114" s="1"/>
  <c r="BT203" i="113"/>
  <c r="EZ58" i="114" s="1"/>
  <c r="BR203" i="113"/>
  <c r="ER58" i="114" s="1"/>
  <c r="BQ203" i="113"/>
  <c r="EQ58" i="114" s="1"/>
  <c r="BX202" i="113"/>
  <c r="FJ57" i="114" s="1"/>
  <c r="BW202" i="113"/>
  <c r="FI57" i="114" s="1"/>
  <c r="BU202" i="113"/>
  <c r="FA57" i="114" s="1"/>
  <c r="BT202" i="113"/>
  <c r="EZ57" i="114" s="1"/>
  <c r="BR202" i="113"/>
  <c r="ER57" i="114" s="1"/>
  <c r="BQ202" i="113"/>
  <c r="EQ57" i="114" s="1"/>
  <c r="BX201" i="113"/>
  <c r="FJ56" i="114" s="1"/>
  <c r="BW201" i="113"/>
  <c r="FI56" i="114" s="1"/>
  <c r="BU201" i="113"/>
  <c r="FA56" i="114" s="1"/>
  <c r="BT201" i="113"/>
  <c r="EZ56" i="114" s="1"/>
  <c r="BR201" i="113"/>
  <c r="ER56" i="114" s="1"/>
  <c r="BQ201" i="113"/>
  <c r="EQ56" i="114" s="1"/>
  <c r="BX200" i="113"/>
  <c r="FJ55" i="114" s="1"/>
  <c r="BW200" i="113"/>
  <c r="FI55" i="114" s="1"/>
  <c r="BU200" i="113"/>
  <c r="FA55" i="114" s="1"/>
  <c r="BT200" i="113"/>
  <c r="EZ55" i="114" s="1"/>
  <c r="BR200" i="113"/>
  <c r="ER55" i="114" s="1"/>
  <c r="BQ200" i="113"/>
  <c r="EQ55" i="114" s="1"/>
  <c r="BX197" i="113"/>
  <c r="FJ52" i="114" s="1"/>
  <c r="BW197" i="113"/>
  <c r="FI52" i="114" s="1"/>
  <c r="BU197" i="113"/>
  <c r="FA52" i="114" s="1"/>
  <c r="BT197" i="113"/>
  <c r="EZ52" i="114" s="1"/>
  <c r="BR197" i="113"/>
  <c r="ER52" i="114" s="1"/>
  <c r="BQ197" i="113"/>
  <c r="EQ52" i="114" s="1"/>
  <c r="BX196" i="113"/>
  <c r="FJ51" i="114" s="1"/>
  <c r="BW196" i="113"/>
  <c r="FI51" i="114" s="1"/>
  <c r="BU196" i="113"/>
  <c r="FA51" i="114" s="1"/>
  <c r="BT196" i="113"/>
  <c r="EZ51" i="114" s="1"/>
  <c r="BR196" i="113"/>
  <c r="ER51" i="114" s="1"/>
  <c r="BQ196" i="113"/>
  <c r="EQ51" i="114" s="1"/>
  <c r="BX195" i="113"/>
  <c r="FJ50" i="114" s="1"/>
  <c r="BW195" i="113"/>
  <c r="FI50" i="114" s="1"/>
  <c r="BU195" i="113"/>
  <c r="FA50" i="114" s="1"/>
  <c r="BT195" i="113"/>
  <c r="EZ50" i="114" s="1"/>
  <c r="BR195" i="113"/>
  <c r="ER50" i="114" s="1"/>
  <c r="BQ195" i="113"/>
  <c r="EQ50" i="114" s="1"/>
  <c r="BX192" i="113"/>
  <c r="BW192" i="113"/>
  <c r="BU192" i="113"/>
  <c r="BT192" i="113"/>
  <c r="BR192" i="113"/>
  <c r="BQ192" i="113"/>
  <c r="BX191" i="113"/>
  <c r="FJ46" i="114" s="1"/>
  <c r="BW191" i="113"/>
  <c r="FI46" i="114" s="1"/>
  <c r="BU191" i="113"/>
  <c r="FA46" i="114" s="1"/>
  <c r="BT191" i="113"/>
  <c r="EZ46" i="114" s="1"/>
  <c r="BR191" i="113"/>
  <c r="ER46" i="114" s="1"/>
  <c r="BQ191" i="113"/>
  <c r="EQ46" i="114" s="1"/>
  <c r="BX190" i="113"/>
  <c r="FJ45" i="114" s="1"/>
  <c r="BW190" i="113"/>
  <c r="FI45" i="114" s="1"/>
  <c r="BU190" i="113"/>
  <c r="FA45" i="114" s="1"/>
  <c r="BT190" i="113"/>
  <c r="EZ45" i="114" s="1"/>
  <c r="BR190" i="113"/>
  <c r="ER45" i="114" s="1"/>
  <c r="BQ190" i="113"/>
  <c r="EQ45" i="114" s="1"/>
  <c r="BX189" i="113"/>
  <c r="FJ44" i="114" s="1"/>
  <c r="BW189" i="113"/>
  <c r="FI44" i="114" s="1"/>
  <c r="BU189" i="113"/>
  <c r="FA44" i="114" s="1"/>
  <c r="BT189" i="113"/>
  <c r="EZ44" i="114" s="1"/>
  <c r="EY44" i="114" s="1"/>
  <c r="BR189" i="113"/>
  <c r="ER44" i="114" s="1"/>
  <c r="BQ189" i="113"/>
  <c r="EQ44" i="114" s="1"/>
  <c r="BX188" i="113"/>
  <c r="FJ43" i="114" s="1"/>
  <c r="BW188" i="113"/>
  <c r="FI43" i="114" s="1"/>
  <c r="BU188" i="113"/>
  <c r="FA43" i="114" s="1"/>
  <c r="BT188" i="113"/>
  <c r="EZ43" i="114" s="1"/>
  <c r="BR188" i="113"/>
  <c r="ER43" i="114" s="1"/>
  <c r="BQ188" i="113"/>
  <c r="EQ43" i="114" s="1"/>
  <c r="BX187" i="113"/>
  <c r="FJ42" i="114" s="1"/>
  <c r="BW187" i="113"/>
  <c r="FI42" i="114" s="1"/>
  <c r="BU187" i="113"/>
  <c r="FA42" i="114" s="1"/>
  <c r="BT187" i="113"/>
  <c r="EZ42" i="114" s="1"/>
  <c r="BR187" i="113"/>
  <c r="ER42" i="114" s="1"/>
  <c r="BQ187" i="113"/>
  <c r="EQ42" i="114" s="1"/>
  <c r="BX186" i="113"/>
  <c r="BW186" i="113"/>
  <c r="BU186" i="113"/>
  <c r="BT186" i="113"/>
  <c r="BR186" i="113"/>
  <c r="BQ186" i="113"/>
  <c r="AZ213" i="113"/>
  <c r="DK68" i="114" s="1"/>
  <c r="AY213" i="113"/>
  <c r="DJ68" i="114" s="1"/>
  <c r="AW213" i="113"/>
  <c r="DB68" i="114" s="1"/>
  <c r="AV213" i="113"/>
  <c r="DA68" i="114" s="1"/>
  <c r="CZ68" i="114" s="1"/>
  <c r="AT213" i="113"/>
  <c r="CS68" i="114" s="1"/>
  <c r="AS213" i="113"/>
  <c r="CR68" i="114" s="1"/>
  <c r="AZ212" i="113"/>
  <c r="DK67" i="114" s="1"/>
  <c r="AY212" i="113"/>
  <c r="DJ67" i="114" s="1"/>
  <c r="DI67" i="114" s="1"/>
  <c r="AW212" i="113"/>
  <c r="DB67" i="114" s="1"/>
  <c r="AV212" i="113"/>
  <c r="DA67" i="114" s="1"/>
  <c r="AT212" i="113"/>
  <c r="CS67" i="114" s="1"/>
  <c r="AS212" i="113"/>
  <c r="CR67" i="114" s="1"/>
  <c r="AZ211" i="113"/>
  <c r="DK66" i="114" s="1"/>
  <c r="AY211" i="113"/>
  <c r="DJ66" i="114" s="1"/>
  <c r="AW211" i="113"/>
  <c r="DB66" i="114" s="1"/>
  <c r="AV211" i="113"/>
  <c r="DA66" i="114" s="1"/>
  <c r="AT211" i="113"/>
  <c r="CS66" i="114" s="1"/>
  <c r="AS211" i="113"/>
  <c r="CR66" i="114" s="1"/>
  <c r="AZ210" i="113"/>
  <c r="DK65" i="114" s="1"/>
  <c r="AY210" i="113"/>
  <c r="DJ65" i="114" s="1"/>
  <c r="AW210" i="113"/>
  <c r="DB65" i="114" s="1"/>
  <c r="AV210" i="113"/>
  <c r="DA65" i="114" s="1"/>
  <c r="AT210" i="113"/>
  <c r="CS65" i="114" s="1"/>
  <c r="AS210" i="113"/>
  <c r="CR65" i="114" s="1"/>
  <c r="AZ209" i="113"/>
  <c r="DK64" i="114" s="1"/>
  <c r="AY209" i="113"/>
  <c r="DJ64" i="114" s="1"/>
  <c r="AW209" i="113"/>
  <c r="DB64" i="114" s="1"/>
  <c r="AV209" i="113"/>
  <c r="DA64" i="114" s="1"/>
  <c r="AT209" i="113"/>
  <c r="CS64" i="114" s="1"/>
  <c r="AS209" i="113"/>
  <c r="CR64" i="114" s="1"/>
  <c r="AZ208" i="113"/>
  <c r="DK63" i="114" s="1"/>
  <c r="AY208" i="113"/>
  <c r="DJ63" i="114" s="1"/>
  <c r="AW208" i="113"/>
  <c r="DB63" i="114" s="1"/>
  <c r="AV208" i="113"/>
  <c r="DA63" i="114" s="1"/>
  <c r="AT208" i="113"/>
  <c r="CS63" i="114" s="1"/>
  <c r="AS208" i="113"/>
  <c r="CR63" i="114" s="1"/>
  <c r="AZ207" i="113"/>
  <c r="DK62" i="114" s="1"/>
  <c r="AY207" i="113"/>
  <c r="DJ62" i="114" s="1"/>
  <c r="AW207" i="113"/>
  <c r="DB62" i="114" s="1"/>
  <c r="AV207" i="113"/>
  <c r="DA62" i="114" s="1"/>
  <c r="AT207" i="113"/>
  <c r="CS62" i="114" s="1"/>
  <c r="AS207" i="113"/>
  <c r="CR62" i="114" s="1"/>
  <c r="AZ206" i="113"/>
  <c r="DK61" i="114" s="1"/>
  <c r="AY206" i="113"/>
  <c r="DJ61" i="114" s="1"/>
  <c r="AW206" i="113"/>
  <c r="DB61" i="114" s="1"/>
  <c r="AV206" i="113"/>
  <c r="DA61" i="114" s="1"/>
  <c r="AT206" i="113"/>
  <c r="CS61" i="114" s="1"/>
  <c r="AS206" i="113"/>
  <c r="CR61" i="114" s="1"/>
  <c r="AZ203" i="113"/>
  <c r="DK58" i="114" s="1"/>
  <c r="AY203" i="113"/>
  <c r="DJ58" i="114" s="1"/>
  <c r="AW203" i="113"/>
  <c r="DB58" i="114" s="1"/>
  <c r="AV203" i="113"/>
  <c r="DA58" i="114" s="1"/>
  <c r="CZ58" i="114" s="1"/>
  <c r="AT203" i="113"/>
  <c r="CS58" i="114" s="1"/>
  <c r="AS203" i="113"/>
  <c r="CR58" i="114" s="1"/>
  <c r="AZ202" i="113"/>
  <c r="DK57" i="114" s="1"/>
  <c r="AY202" i="113"/>
  <c r="DJ57" i="114" s="1"/>
  <c r="AW202" i="113"/>
  <c r="DB57" i="114" s="1"/>
  <c r="AV202" i="113"/>
  <c r="DA57" i="114" s="1"/>
  <c r="AT202" i="113"/>
  <c r="CS57" i="114" s="1"/>
  <c r="AS202" i="113"/>
  <c r="CR57" i="114" s="1"/>
  <c r="AZ201" i="113"/>
  <c r="DK56" i="114" s="1"/>
  <c r="AY201" i="113"/>
  <c r="DJ56" i="114" s="1"/>
  <c r="AW201" i="113"/>
  <c r="DB56" i="114" s="1"/>
  <c r="AV201" i="113"/>
  <c r="DA56" i="114" s="1"/>
  <c r="AT201" i="113"/>
  <c r="CS56" i="114" s="1"/>
  <c r="AS201" i="113"/>
  <c r="CR56" i="114" s="1"/>
  <c r="AZ200" i="113"/>
  <c r="DK55" i="114" s="1"/>
  <c r="AY200" i="113"/>
  <c r="DJ55" i="114" s="1"/>
  <c r="AW200" i="113"/>
  <c r="DB55" i="114" s="1"/>
  <c r="AV200" i="113"/>
  <c r="DA55" i="114" s="1"/>
  <c r="AT200" i="113"/>
  <c r="CS55" i="114" s="1"/>
  <c r="AS200" i="113"/>
  <c r="CR55" i="114" s="1"/>
  <c r="AZ197" i="113"/>
  <c r="DK52" i="114" s="1"/>
  <c r="AY197" i="113"/>
  <c r="DJ52" i="114" s="1"/>
  <c r="AW197" i="113"/>
  <c r="DB52" i="114" s="1"/>
  <c r="AV197" i="113"/>
  <c r="DA52" i="114" s="1"/>
  <c r="CZ52" i="114" s="1"/>
  <c r="AT197" i="113"/>
  <c r="CS52" i="114" s="1"/>
  <c r="AS197" i="113"/>
  <c r="CR52" i="114" s="1"/>
  <c r="AZ196" i="113"/>
  <c r="DK51" i="114" s="1"/>
  <c r="AY196" i="113"/>
  <c r="DJ51" i="114" s="1"/>
  <c r="DI51" i="114" s="1"/>
  <c r="AW196" i="113"/>
  <c r="DB51" i="114" s="1"/>
  <c r="AV196" i="113"/>
  <c r="DA51" i="114" s="1"/>
  <c r="AT196" i="113"/>
  <c r="CS51" i="114" s="1"/>
  <c r="AS196" i="113"/>
  <c r="CR51" i="114" s="1"/>
  <c r="AZ195" i="113"/>
  <c r="DK50" i="114" s="1"/>
  <c r="AY195" i="113"/>
  <c r="DJ50" i="114" s="1"/>
  <c r="AW195" i="113"/>
  <c r="DB50" i="114" s="1"/>
  <c r="AV195" i="113"/>
  <c r="DA50" i="114" s="1"/>
  <c r="CZ50" i="114" s="1"/>
  <c r="AT195" i="113"/>
  <c r="CS50" i="114" s="1"/>
  <c r="AS195" i="113"/>
  <c r="CR50" i="114" s="1"/>
  <c r="AZ192" i="113"/>
  <c r="AY192" i="113"/>
  <c r="DJ47" i="114" s="1"/>
  <c r="AW192" i="113"/>
  <c r="DB47" i="114" s="1"/>
  <c r="AV192" i="113"/>
  <c r="AT192" i="113"/>
  <c r="AS192" i="113"/>
  <c r="CR47" i="114" s="1"/>
  <c r="AZ191" i="113"/>
  <c r="DK46" i="114" s="1"/>
  <c r="AY191" i="113"/>
  <c r="AW191" i="113"/>
  <c r="AV191" i="113"/>
  <c r="DA46" i="114" s="1"/>
  <c r="AT191" i="113"/>
  <c r="CS46" i="114" s="1"/>
  <c r="AS191" i="113"/>
  <c r="AZ190" i="113"/>
  <c r="DK45" i="114" s="1"/>
  <c r="AY190" i="113"/>
  <c r="DJ45" i="114" s="1"/>
  <c r="AW190" i="113"/>
  <c r="DB45" i="114" s="1"/>
  <c r="AV190" i="113"/>
  <c r="DA45" i="114" s="1"/>
  <c r="AT190" i="113"/>
  <c r="CS45" i="114" s="1"/>
  <c r="AS190" i="113"/>
  <c r="CR45" i="114" s="1"/>
  <c r="AZ189" i="113"/>
  <c r="DK44" i="114" s="1"/>
  <c r="AY189" i="113"/>
  <c r="DJ44" i="114" s="1"/>
  <c r="AW189" i="113"/>
  <c r="DB44" i="114" s="1"/>
  <c r="AV189" i="113"/>
  <c r="DA44" i="114" s="1"/>
  <c r="AT189" i="113"/>
  <c r="CS44" i="114" s="1"/>
  <c r="AS189" i="113"/>
  <c r="CR44" i="114" s="1"/>
  <c r="AZ188" i="113"/>
  <c r="DK43" i="114" s="1"/>
  <c r="AY188" i="113"/>
  <c r="DJ43" i="114" s="1"/>
  <c r="AW188" i="113"/>
  <c r="DB43" i="114" s="1"/>
  <c r="AV188" i="113"/>
  <c r="DA43" i="114" s="1"/>
  <c r="AT188" i="113"/>
  <c r="CS43" i="114" s="1"/>
  <c r="AS188" i="113"/>
  <c r="CR43" i="114" s="1"/>
  <c r="AZ187" i="113"/>
  <c r="DK42" i="114" s="1"/>
  <c r="AY187" i="113"/>
  <c r="DJ42" i="114" s="1"/>
  <c r="AW187" i="113"/>
  <c r="DB42" i="114" s="1"/>
  <c r="AV187" i="113"/>
  <c r="DA42" i="114" s="1"/>
  <c r="AT187" i="113"/>
  <c r="CS42" i="114" s="1"/>
  <c r="AS187" i="113"/>
  <c r="CR42" i="114" s="1"/>
  <c r="AZ186" i="113"/>
  <c r="AY186" i="113"/>
  <c r="AW186" i="113"/>
  <c r="AV186" i="113"/>
  <c r="AT186" i="113"/>
  <c r="AS186" i="113"/>
  <c r="AB213" i="113"/>
  <c r="BL68" i="114" s="1"/>
  <c r="AA213" i="113"/>
  <c r="BK68" i="114" s="1"/>
  <c r="Y213" i="113"/>
  <c r="BC68" i="114" s="1"/>
  <c r="X213" i="113"/>
  <c r="BB68" i="114" s="1"/>
  <c r="V213" i="113"/>
  <c r="AT68" i="114" s="1"/>
  <c r="U213" i="113"/>
  <c r="AS68" i="114" s="1"/>
  <c r="AB212" i="113"/>
  <c r="BL67" i="114" s="1"/>
  <c r="AA212" i="113"/>
  <c r="BK67" i="114" s="1"/>
  <c r="Y212" i="113"/>
  <c r="BC67" i="114" s="1"/>
  <c r="X212" i="113"/>
  <c r="BB67" i="114" s="1"/>
  <c r="V212" i="113"/>
  <c r="AT67" i="114" s="1"/>
  <c r="U212" i="113"/>
  <c r="AS67" i="114" s="1"/>
  <c r="AB211" i="113"/>
  <c r="BL66" i="114" s="1"/>
  <c r="AA211" i="113"/>
  <c r="BK66" i="114" s="1"/>
  <c r="Y211" i="113"/>
  <c r="BC66" i="114" s="1"/>
  <c r="X211" i="113"/>
  <c r="BB66" i="114" s="1"/>
  <c r="V211" i="113"/>
  <c r="AT66" i="114" s="1"/>
  <c r="U211" i="113"/>
  <c r="AS66" i="114" s="1"/>
  <c r="AB210" i="113"/>
  <c r="BL65" i="114" s="1"/>
  <c r="AA210" i="113"/>
  <c r="BK65" i="114" s="1"/>
  <c r="Y210" i="113"/>
  <c r="BC65" i="114" s="1"/>
  <c r="X210" i="113"/>
  <c r="BB65" i="114" s="1"/>
  <c r="V210" i="113"/>
  <c r="AT65" i="114" s="1"/>
  <c r="U210" i="113"/>
  <c r="AS65" i="114" s="1"/>
  <c r="AB209" i="113"/>
  <c r="BL64" i="114" s="1"/>
  <c r="AA209" i="113"/>
  <c r="BK64" i="114" s="1"/>
  <c r="Y209" i="113"/>
  <c r="BC64" i="114" s="1"/>
  <c r="X209" i="113"/>
  <c r="BB64" i="114" s="1"/>
  <c r="V209" i="113"/>
  <c r="AT64" i="114" s="1"/>
  <c r="U209" i="113"/>
  <c r="AS64" i="114" s="1"/>
  <c r="AB208" i="113"/>
  <c r="BL63" i="114" s="1"/>
  <c r="AA208" i="113"/>
  <c r="BK63" i="114" s="1"/>
  <c r="Y208" i="113"/>
  <c r="BC63" i="114" s="1"/>
  <c r="X208" i="113"/>
  <c r="BB63" i="114" s="1"/>
  <c r="V208" i="113"/>
  <c r="AT63" i="114" s="1"/>
  <c r="U208" i="113"/>
  <c r="AS63" i="114" s="1"/>
  <c r="AB207" i="113"/>
  <c r="BL62" i="114" s="1"/>
  <c r="AA207" i="113"/>
  <c r="BK62" i="114" s="1"/>
  <c r="Y207" i="113"/>
  <c r="BC62" i="114" s="1"/>
  <c r="X207" i="113"/>
  <c r="BB62" i="114" s="1"/>
  <c r="V207" i="113"/>
  <c r="AT62" i="114" s="1"/>
  <c r="U207" i="113"/>
  <c r="AS62" i="114" s="1"/>
  <c r="AB206" i="113"/>
  <c r="BL61" i="114" s="1"/>
  <c r="AA206" i="113"/>
  <c r="BK61" i="114" s="1"/>
  <c r="Y206" i="113"/>
  <c r="BC61" i="114" s="1"/>
  <c r="X206" i="113"/>
  <c r="BB61" i="114" s="1"/>
  <c r="V206" i="113"/>
  <c r="AT61" i="114" s="1"/>
  <c r="U206" i="113"/>
  <c r="AS61" i="114" s="1"/>
  <c r="AB203" i="113"/>
  <c r="BL58" i="114" s="1"/>
  <c r="AA203" i="113"/>
  <c r="BK58" i="114" s="1"/>
  <c r="Y203" i="113"/>
  <c r="BC58" i="114" s="1"/>
  <c r="X203" i="113"/>
  <c r="BB58" i="114" s="1"/>
  <c r="V203" i="113"/>
  <c r="AT58" i="114" s="1"/>
  <c r="U203" i="113"/>
  <c r="AS58" i="114" s="1"/>
  <c r="AB202" i="113"/>
  <c r="BL57" i="114" s="1"/>
  <c r="AA202" i="113"/>
  <c r="BK57" i="114" s="1"/>
  <c r="Y202" i="113"/>
  <c r="BC57" i="114" s="1"/>
  <c r="X202" i="113"/>
  <c r="BB57" i="114" s="1"/>
  <c r="V202" i="113"/>
  <c r="AT57" i="114" s="1"/>
  <c r="U202" i="113"/>
  <c r="AS57" i="114" s="1"/>
  <c r="AB201" i="113"/>
  <c r="BL56" i="114" s="1"/>
  <c r="AA201" i="113"/>
  <c r="BK56" i="114" s="1"/>
  <c r="Y201" i="113"/>
  <c r="BC56" i="114" s="1"/>
  <c r="X201" i="113"/>
  <c r="BB56" i="114" s="1"/>
  <c r="BA56" i="114" s="1"/>
  <c r="V201" i="113"/>
  <c r="AT56" i="114" s="1"/>
  <c r="U201" i="113"/>
  <c r="AS56" i="114" s="1"/>
  <c r="AB200" i="113"/>
  <c r="BL55" i="114" s="1"/>
  <c r="AA200" i="113"/>
  <c r="BK55" i="114" s="1"/>
  <c r="Y200" i="113"/>
  <c r="BC55" i="114" s="1"/>
  <c r="X200" i="113"/>
  <c r="BB55" i="114" s="1"/>
  <c r="V200" i="113"/>
  <c r="AT55" i="114" s="1"/>
  <c r="U200" i="113"/>
  <c r="AS55" i="114" s="1"/>
  <c r="AB197" i="113"/>
  <c r="BL52" i="114" s="1"/>
  <c r="AA197" i="113"/>
  <c r="BK52" i="114" s="1"/>
  <c r="Y197" i="113"/>
  <c r="BC52" i="114" s="1"/>
  <c r="X197" i="113"/>
  <c r="BB52" i="114" s="1"/>
  <c r="V197" i="113"/>
  <c r="AT52" i="114" s="1"/>
  <c r="U197" i="113"/>
  <c r="AS52" i="114" s="1"/>
  <c r="AB196" i="113"/>
  <c r="BL51" i="114" s="1"/>
  <c r="AA196" i="113"/>
  <c r="BK51" i="114" s="1"/>
  <c r="Y196" i="113"/>
  <c r="BC51" i="114" s="1"/>
  <c r="X196" i="113"/>
  <c r="BB51" i="114" s="1"/>
  <c r="V196" i="113"/>
  <c r="AT51" i="114" s="1"/>
  <c r="U196" i="113"/>
  <c r="AS51" i="114" s="1"/>
  <c r="AB195" i="113"/>
  <c r="BL50" i="114" s="1"/>
  <c r="AA195" i="113"/>
  <c r="BK50" i="114" s="1"/>
  <c r="Y195" i="113"/>
  <c r="BC50" i="114" s="1"/>
  <c r="X195" i="113"/>
  <c r="BB50" i="114" s="1"/>
  <c r="BA50" i="114" s="1"/>
  <c r="V195" i="113"/>
  <c r="AT50" i="114" s="1"/>
  <c r="U195" i="113"/>
  <c r="AS50" i="114" s="1"/>
  <c r="AB192" i="113"/>
  <c r="BL47" i="114" s="1"/>
  <c r="AA192" i="113"/>
  <c r="Y192" i="113"/>
  <c r="X192" i="113"/>
  <c r="BB47" i="114" s="1"/>
  <c r="V192" i="113"/>
  <c r="AT47" i="114" s="1"/>
  <c r="U192" i="113"/>
  <c r="AB191" i="113"/>
  <c r="AA191" i="113"/>
  <c r="BK46" i="114" s="1"/>
  <c r="Y191" i="113"/>
  <c r="BC46" i="114" s="1"/>
  <c r="X191" i="113"/>
  <c r="V191" i="113"/>
  <c r="U191" i="113"/>
  <c r="AS46" i="114" s="1"/>
  <c r="AB190" i="113"/>
  <c r="BL45" i="114" s="1"/>
  <c r="AA190" i="113"/>
  <c r="BK45" i="114" s="1"/>
  <c r="Y190" i="113"/>
  <c r="BC45" i="114" s="1"/>
  <c r="X190" i="113"/>
  <c r="BB45" i="114" s="1"/>
  <c r="V190" i="113"/>
  <c r="AT45" i="114" s="1"/>
  <c r="U190" i="113"/>
  <c r="AS45" i="114" s="1"/>
  <c r="AB189" i="113"/>
  <c r="BL44" i="114" s="1"/>
  <c r="AA189" i="113"/>
  <c r="BK44" i="114" s="1"/>
  <c r="Y189" i="113"/>
  <c r="BC44" i="114" s="1"/>
  <c r="X189" i="113"/>
  <c r="BB44" i="114" s="1"/>
  <c r="BA44" i="114" s="1"/>
  <c r="V189" i="113"/>
  <c r="AT44" i="114" s="1"/>
  <c r="U189" i="113"/>
  <c r="AS44" i="114" s="1"/>
  <c r="AB188" i="113"/>
  <c r="BL43" i="114" s="1"/>
  <c r="AA188" i="113"/>
  <c r="BK43" i="114" s="1"/>
  <c r="BJ43" i="114" s="1"/>
  <c r="Y188" i="113"/>
  <c r="BC43" i="114" s="1"/>
  <c r="X188" i="113"/>
  <c r="BB43" i="114" s="1"/>
  <c r="V188" i="113"/>
  <c r="AT43" i="114" s="1"/>
  <c r="U188" i="113"/>
  <c r="AS43" i="114" s="1"/>
  <c r="AB187" i="113"/>
  <c r="BL42" i="114" s="1"/>
  <c r="AA187" i="113"/>
  <c r="BK42" i="114" s="1"/>
  <c r="Y187" i="113"/>
  <c r="BC42" i="114" s="1"/>
  <c r="X187" i="113"/>
  <c r="BB42" i="114" s="1"/>
  <c r="BA42" i="114" s="1"/>
  <c r="V187" i="113"/>
  <c r="AT42" i="114" s="1"/>
  <c r="U187" i="113"/>
  <c r="AS42" i="114" s="1"/>
  <c r="AB186" i="113"/>
  <c r="AA186" i="113"/>
  <c r="Y186" i="113"/>
  <c r="X186" i="113"/>
  <c r="V186" i="113"/>
  <c r="U186" i="113"/>
  <c r="M213" i="113"/>
  <c r="Y68" i="114" s="1"/>
  <c r="L213" i="113"/>
  <c r="X68" i="114" s="1"/>
  <c r="M212" i="113"/>
  <c r="Y67" i="114" s="1"/>
  <c r="L212" i="113"/>
  <c r="X67" i="114" s="1"/>
  <c r="W67" i="114" s="1"/>
  <c r="M211" i="113"/>
  <c r="Y66" i="114" s="1"/>
  <c r="L211" i="113"/>
  <c r="X66" i="114" s="1"/>
  <c r="M210" i="113"/>
  <c r="Y65" i="114" s="1"/>
  <c r="L210" i="113"/>
  <c r="X65" i="114" s="1"/>
  <c r="W65" i="114" s="1"/>
  <c r="M209" i="113"/>
  <c r="Y64" i="114" s="1"/>
  <c r="L209" i="113"/>
  <c r="X64" i="114" s="1"/>
  <c r="M208" i="113"/>
  <c r="Y63" i="114" s="1"/>
  <c r="L208" i="113"/>
  <c r="X63" i="114" s="1"/>
  <c r="W63" i="114" s="1"/>
  <c r="M207" i="113"/>
  <c r="Y62" i="114" s="1"/>
  <c r="L207" i="113"/>
  <c r="X62" i="114" s="1"/>
  <c r="M206" i="113"/>
  <c r="Y61" i="114" s="1"/>
  <c r="L206" i="113"/>
  <c r="X61" i="114" s="1"/>
  <c r="M203" i="113"/>
  <c r="Y58" i="114" s="1"/>
  <c r="L203" i="113"/>
  <c r="X58" i="114" s="1"/>
  <c r="M202" i="113"/>
  <c r="Y57" i="114" s="1"/>
  <c r="L202" i="113"/>
  <c r="X57" i="114" s="1"/>
  <c r="M201" i="113"/>
  <c r="Y56" i="114" s="1"/>
  <c r="L201" i="113"/>
  <c r="X56" i="114" s="1"/>
  <c r="M200" i="113"/>
  <c r="Y55" i="114" s="1"/>
  <c r="L200" i="113"/>
  <c r="X55" i="114" s="1"/>
  <c r="M197" i="113"/>
  <c r="Y52" i="114" s="1"/>
  <c r="L197" i="113"/>
  <c r="X52" i="114" s="1"/>
  <c r="M196" i="113"/>
  <c r="Y51" i="114" s="1"/>
  <c r="L196" i="113"/>
  <c r="X51" i="114" s="1"/>
  <c r="W51" i="114" s="1"/>
  <c r="M195" i="113"/>
  <c r="Y50" i="114" s="1"/>
  <c r="L195" i="113"/>
  <c r="X50" i="114" s="1"/>
  <c r="M192" i="113"/>
  <c r="L192" i="113"/>
  <c r="X47" i="114" s="1"/>
  <c r="M191" i="113"/>
  <c r="Y46" i="114" s="1"/>
  <c r="L191" i="113"/>
  <c r="M190" i="113"/>
  <c r="Y45" i="114" s="1"/>
  <c r="L190" i="113"/>
  <c r="X45" i="114" s="1"/>
  <c r="M189" i="113"/>
  <c r="Y44" i="114" s="1"/>
  <c r="L189" i="113"/>
  <c r="X44" i="114" s="1"/>
  <c r="M188" i="113"/>
  <c r="Y43" i="114" s="1"/>
  <c r="L188" i="113"/>
  <c r="X43" i="114" s="1"/>
  <c r="M187" i="113"/>
  <c r="Y42" i="114" s="1"/>
  <c r="L187" i="113"/>
  <c r="M186" i="113"/>
  <c r="L186" i="113"/>
  <c r="X41" i="114" s="1"/>
  <c r="J213" i="113"/>
  <c r="P68" i="114" s="1"/>
  <c r="I213" i="113"/>
  <c r="O68" i="114" s="1"/>
  <c r="J212" i="113"/>
  <c r="P67" i="114" s="1"/>
  <c r="I212" i="113"/>
  <c r="O67" i="114" s="1"/>
  <c r="N67" i="114" s="1"/>
  <c r="J211" i="113"/>
  <c r="P66" i="114" s="1"/>
  <c r="I211" i="113"/>
  <c r="O66" i="114" s="1"/>
  <c r="J210" i="113"/>
  <c r="P65" i="114" s="1"/>
  <c r="I210" i="113"/>
  <c r="O65" i="114" s="1"/>
  <c r="J209" i="113"/>
  <c r="P64" i="114" s="1"/>
  <c r="I209" i="113"/>
  <c r="O64" i="114" s="1"/>
  <c r="J208" i="113"/>
  <c r="P63" i="114" s="1"/>
  <c r="I208" i="113"/>
  <c r="O63" i="114" s="1"/>
  <c r="J207" i="113"/>
  <c r="P62" i="114" s="1"/>
  <c r="I207" i="113"/>
  <c r="O62" i="114" s="1"/>
  <c r="J206" i="113"/>
  <c r="P61" i="114" s="1"/>
  <c r="I206" i="113"/>
  <c r="O61" i="114" s="1"/>
  <c r="J203" i="113"/>
  <c r="P58" i="114" s="1"/>
  <c r="I203" i="113"/>
  <c r="O58" i="114" s="1"/>
  <c r="J202" i="113"/>
  <c r="P57" i="114" s="1"/>
  <c r="I202" i="113"/>
  <c r="O57" i="114" s="1"/>
  <c r="J201" i="113"/>
  <c r="P56" i="114" s="1"/>
  <c r="I201" i="113"/>
  <c r="O56" i="114" s="1"/>
  <c r="J200" i="113"/>
  <c r="P55" i="114" s="1"/>
  <c r="I200" i="113"/>
  <c r="O55" i="114" s="1"/>
  <c r="J197" i="113"/>
  <c r="P52" i="114" s="1"/>
  <c r="I197" i="113"/>
  <c r="O52" i="114" s="1"/>
  <c r="J196" i="113"/>
  <c r="P51" i="114" s="1"/>
  <c r="I196" i="113"/>
  <c r="O51" i="114" s="1"/>
  <c r="N51" i="114" s="1"/>
  <c r="J195" i="113"/>
  <c r="P50" i="114" s="1"/>
  <c r="I195" i="113"/>
  <c r="O50" i="114" s="1"/>
  <c r="J192" i="113"/>
  <c r="I192" i="113"/>
  <c r="O47" i="114" s="1"/>
  <c r="J191" i="113"/>
  <c r="P46" i="114" s="1"/>
  <c r="I191" i="113"/>
  <c r="J190" i="113"/>
  <c r="P45" i="114" s="1"/>
  <c r="I190" i="113"/>
  <c r="O45" i="114" s="1"/>
  <c r="J189" i="113"/>
  <c r="P44" i="114" s="1"/>
  <c r="I189" i="113"/>
  <c r="O44" i="114" s="1"/>
  <c r="J188" i="113"/>
  <c r="P43" i="114" s="1"/>
  <c r="I188" i="113"/>
  <c r="O43" i="114" s="1"/>
  <c r="J187" i="113"/>
  <c r="P42" i="114" s="1"/>
  <c r="I187" i="113"/>
  <c r="J186" i="113"/>
  <c r="I186" i="113"/>
  <c r="O41" i="114" s="1"/>
  <c r="G213" i="113"/>
  <c r="G68" i="114" s="1"/>
  <c r="F213" i="113"/>
  <c r="F68" i="114" s="1"/>
  <c r="G212" i="113"/>
  <c r="G67" i="114" s="1"/>
  <c r="F212" i="113"/>
  <c r="F67" i="114" s="1"/>
  <c r="G211" i="113"/>
  <c r="G66" i="114" s="1"/>
  <c r="F211" i="113"/>
  <c r="F66" i="114" s="1"/>
  <c r="G210" i="113"/>
  <c r="G65" i="114" s="1"/>
  <c r="F210" i="113"/>
  <c r="F65" i="114" s="1"/>
  <c r="G209" i="113"/>
  <c r="G64" i="114" s="1"/>
  <c r="F209" i="113"/>
  <c r="F64" i="114" s="1"/>
  <c r="AG64" i="114" s="1"/>
  <c r="G208" i="113"/>
  <c r="G63" i="114" s="1"/>
  <c r="F208" i="113"/>
  <c r="F63" i="114" s="1"/>
  <c r="G207" i="113"/>
  <c r="G62" i="114" s="1"/>
  <c r="F207" i="113"/>
  <c r="F62" i="114" s="1"/>
  <c r="AG62" i="114" s="1"/>
  <c r="G206" i="113"/>
  <c r="G61" i="114" s="1"/>
  <c r="F206" i="113"/>
  <c r="F61" i="114" s="1"/>
  <c r="G203" i="113"/>
  <c r="G58" i="114" s="1"/>
  <c r="AH58" i="114" s="1"/>
  <c r="F203" i="113"/>
  <c r="F58" i="114" s="1"/>
  <c r="G202" i="113"/>
  <c r="G57" i="114" s="1"/>
  <c r="AH57" i="114" s="1"/>
  <c r="F202" i="113"/>
  <c r="F57" i="114" s="1"/>
  <c r="AG57" i="114" s="1"/>
  <c r="G201" i="113"/>
  <c r="G56" i="114" s="1"/>
  <c r="AH56" i="114" s="1"/>
  <c r="F201" i="113"/>
  <c r="F56" i="114" s="1"/>
  <c r="G200" i="113"/>
  <c r="G55" i="114" s="1"/>
  <c r="F200" i="113"/>
  <c r="F55" i="114" s="1"/>
  <c r="F199" i="113"/>
  <c r="F54" i="114" s="1"/>
  <c r="G197" i="113"/>
  <c r="G52" i="114" s="1"/>
  <c r="F197" i="113"/>
  <c r="F52" i="114" s="1"/>
  <c r="G196" i="113"/>
  <c r="G51" i="114" s="1"/>
  <c r="AH51" i="114" s="1"/>
  <c r="F196" i="113"/>
  <c r="F51" i="114" s="1"/>
  <c r="G195" i="113"/>
  <c r="G50" i="114" s="1"/>
  <c r="F195" i="113"/>
  <c r="F50" i="114" s="1"/>
  <c r="G192" i="113"/>
  <c r="G47" i="114" s="1"/>
  <c r="F192" i="113"/>
  <c r="F47" i="114" s="1"/>
  <c r="G191" i="113"/>
  <c r="G46" i="114" s="1"/>
  <c r="F191" i="113"/>
  <c r="G190" i="113"/>
  <c r="G45" i="114" s="1"/>
  <c r="AH45" i="114" s="1"/>
  <c r="F190" i="113"/>
  <c r="F45" i="114" s="1"/>
  <c r="G189" i="113"/>
  <c r="G44" i="114" s="1"/>
  <c r="F189" i="113"/>
  <c r="F44" i="114" s="1"/>
  <c r="G188" i="113"/>
  <c r="G43" i="114" s="1"/>
  <c r="F188" i="113"/>
  <c r="F43" i="114" s="1"/>
  <c r="G187" i="113"/>
  <c r="G42" i="114" s="1"/>
  <c r="F187" i="113"/>
  <c r="G186" i="113"/>
  <c r="G41" i="114" s="1"/>
  <c r="F41" i="114"/>
  <c r="BY220" i="113"/>
  <c r="BA220" i="113"/>
  <c r="BA217" i="113" s="1"/>
  <c r="AF220" i="113"/>
  <c r="BD220" i="113" s="1"/>
  <c r="AC220" i="113"/>
  <c r="N220" i="113"/>
  <c r="BY219" i="113"/>
  <c r="BA219" i="113"/>
  <c r="AF219" i="113"/>
  <c r="BD219" i="113" s="1"/>
  <c r="AC219" i="113"/>
  <c r="N219" i="113"/>
  <c r="DI65" i="114" l="1"/>
  <c r="DI63" i="114"/>
  <c r="DI61" i="114"/>
  <c r="EY42" i="114"/>
  <c r="FT69" i="114"/>
  <c r="FT82" i="114" s="1"/>
  <c r="BJ45" i="114"/>
  <c r="EY46" i="114"/>
  <c r="EY56" i="114"/>
  <c r="EY58" i="114"/>
  <c r="EY64" i="114"/>
  <c r="EY68" i="114"/>
  <c r="AH42" i="114"/>
  <c r="AH44" i="114"/>
  <c r="N44" i="114"/>
  <c r="N56" i="114"/>
  <c r="N58" i="114"/>
  <c r="W44" i="114"/>
  <c r="W56" i="114"/>
  <c r="W58" i="114"/>
  <c r="BA51" i="114"/>
  <c r="BA61" i="114"/>
  <c r="DI42" i="114"/>
  <c r="CZ43" i="114"/>
  <c r="DI44" i="114"/>
  <c r="CZ55" i="114"/>
  <c r="DI56" i="114"/>
  <c r="CZ57" i="114"/>
  <c r="DI58" i="114"/>
  <c r="DI68" i="114"/>
  <c r="EY51" i="114"/>
  <c r="EY61" i="114"/>
  <c r="EY63" i="114"/>
  <c r="EY65" i="114"/>
  <c r="EY67" i="114"/>
  <c r="DI64" i="114"/>
  <c r="BT51" i="114"/>
  <c r="DS43" i="114"/>
  <c r="FR51" i="114"/>
  <c r="DT45" i="114"/>
  <c r="FS62" i="114"/>
  <c r="FS63" i="114"/>
  <c r="CZ66" i="114"/>
  <c r="CZ62" i="114"/>
  <c r="CZ65" i="114"/>
  <c r="CZ63" i="114"/>
  <c r="AA260" i="113"/>
  <c r="BT65" i="114"/>
  <c r="BT61" i="114"/>
  <c r="BA62" i="114"/>
  <c r="BA65" i="114"/>
  <c r="FS56" i="114"/>
  <c r="FS64" i="114"/>
  <c r="FS68" i="114"/>
  <c r="N43" i="114"/>
  <c r="W57" i="114"/>
  <c r="AR51" i="114"/>
  <c r="AR61" i="114"/>
  <c r="AR63" i="114"/>
  <c r="BA64" i="114"/>
  <c r="AR65" i="114"/>
  <c r="AR67" i="114"/>
  <c r="DI43" i="114"/>
  <c r="DI45" i="114"/>
  <c r="DI57" i="114"/>
  <c r="FS66" i="114"/>
  <c r="BT42" i="114"/>
  <c r="BT56" i="114"/>
  <c r="DS50" i="114"/>
  <c r="DS52" i="114"/>
  <c r="CZ61" i="114"/>
  <c r="DS68" i="114"/>
  <c r="AG43" i="114"/>
  <c r="N68" i="114"/>
  <c r="AR42" i="114"/>
  <c r="BA45" i="114"/>
  <c r="AR56" i="114"/>
  <c r="AR58" i="114"/>
  <c r="DI50" i="114"/>
  <c r="CZ51" i="114"/>
  <c r="DI52" i="114"/>
  <c r="DT64" i="114"/>
  <c r="DI66" i="114"/>
  <c r="EY43" i="114"/>
  <c r="FS44" i="114"/>
  <c r="EY55" i="114"/>
  <c r="W66" i="114"/>
  <c r="W61" i="114"/>
  <c r="W64" i="114"/>
  <c r="W62" i="114"/>
  <c r="L260" i="113"/>
  <c r="AG55" i="114"/>
  <c r="W55" i="114"/>
  <c r="W45" i="114"/>
  <c r="N63" i="114"/>
  <c r="AH63" i="114"/>
  <c r="N64" i="114"/>
  <c r="N61" i="114"/>
  <c r="AH61" i="114"/>
  <c r="N65" i="114"/>
  <c r="AH65" i="114"/>
  <c r="AG66" i="114"/>
  <c r="AG41" i="114"/>
  <c r="I260" i="113"/>
  <c r="AG45" i="114"/>
  <c r="N50" i="114"/>
  <c r="AG50" i="114"/>
  <c r="AG52" i="114"/>
  <c r="AG47" i="114"/>
  <c r="AG56" i="114"/>
  <c r="E56" i="114"/>
  <c r="AF56" i="114" s="1"/>
  <c r="AG68" i="114"/>
  <c r="E68" i="114"/>
  <c r="P41" i="114"/>
  <c r="X42" i="114"/>
  <c r="W42" i="114" s="1"/>
  <c r="L193" i="113"/>
  <c r="X46" i="114"/>
  <c r="W46" i="114" s="1"/>
  <c r="M193" i="113"/>
  <c r="Y47" i="114"/>
  <c r="Y48" i="114" s="1"/>
  <c r="AS41" i="114"/>
  <c r="BC41" i="114"/>
  <c r="AR45" i="114"/>
  <c r="BT45" i="114"/>
  <c r="CF45" i="114" s="1"/>
  <c r="V193" i="113"/>
  <c r="AT46" i="114"/>
  <c r="AT48" i="114" s="1"/>
  <c r="AA193" i="113"/>
  <c r="BK47" i="114"/>
  <c r="BK48" i="114" s="1"/>
  <c r="BT57" i="114"/>
  <c r="CF57" i="114" s="1"/>
  <c r="AR57" i="114"/>
  <c r="BA63" i="114"/>
  <c r="BT63" i="114"/>
  <c r="BT64" i="114"/>
  <c r="CF64" i="114" s="1"/>
  <c r="AR64" i="114"/>
  <c r="BA67" i="114"/>
  <c r="BT67" i="114"/>
  <c r="BT68" i="114"/>
  <c r="AR68" i="114"/>
  <c r="CS41" i="114"/>
  <c r="DS44" i="114"/>
  <c r="CQ44" i="114"/>
  <c r="AY193" i="113"/>
  <c r="DJ46" i="114"/>
  <c r="AV193" i="113"/>
  <c r="DA47" i="114"/>
  <c r="AZ193" i="113"/>
  <c r="DK47" i="114"/>
  <c r="DK48" i="114" s="1"/>
  <c r="DS56" i="114"/>
  <c r="CQ56" i="114"/>
  <c r="DT57" i="114"/>
  <c r="CQ57" i="114"/>
  <c r="DS63" i="114"/>
  <c r="CQ63" i="114"/>
  <c r="DS67" i="114"/>
  <c r="CQ67" i="114"/>
  <c r="DT68" i="114"/>
  <c r="CQ68" i="114"/>
  <c r="FI41" i="114"/>
  <c r="FR43" i="114"/>
  <c r="EP43" i="114"/>
  <c r="BQ193" i="113"/>
  <c r="EQ47" i="114"/>
  <c r="BU193" i="113"/>
  <c r="FA47" i="114"/>
  <c r="FA48" i="114" s="1"/>
  <c r="FR50" i="114"/>
  <c r="EP50" i="114"/>
  <c r="FR52" i="114"/>
  <c r="EP52" i="114"/>
  <c r="FR55" i="114"/>
  <c r="EP55" i="114"/>
  <c r="FQ55" i="114" s="1"/>
  <c r="FR62" i="114"/>
  <c r="EP62" i="114"/>
  <c r="FR66" i="114"/>
  <c r="EP66" i="114"/>
  <c r="FS67" i="114"/>
  <c r="EP67" i="114"/>
  <c r="AG44" i="114"/>
  <c r="AH50" i="114"/>
  <c r="AH52" i="114"/>
  <c r="AH55" i="114"/>
  <c r="E55" i="114"/>
  <c r="AG58" i="114"/>
  <c r="E58" i="114"/>
  <c r="AG61" i="114"/>
  <c r="AG63" i="114"/>
  <c r="AG65" i="114"/>
  <c r="AH67" i="114"/>
  <c r="E67" i="114"/>
  <c r="AF67" i="114" s="1"/>
  <c r="O42" i="114"/>
  <c r="N45" i="114"/>
  <c r="I193" i="113"/>
  <c r="O46" i="114"/>
  <c r="N46" i="114" s="1"/>
  <c r="J193" i="113"/>
  <c r="P47" i="114"/>
  <c r="N47" i="114" s="1"/>
  <c r="N52" i="114"/>
  <c r="N66" i="114"/>
  <c r="Y41" i="114"/>
  <c r="W41" i="114" s="1"/>
  <c r="W68" i="114"/>
  <c r="BK41" i="114"/>
  <c r="AR43" i="114"/>
  <c r="BT43" i="114"/>
  <c r="AR46" i="114"/>
  <c r="X193" i="113"/>
  <c r="BB46" i="114"/>
  <c r="BB48" i="114" s="1"/>
  <c r="AB193" i="113"/>
  <c r="BL46" i="114"/>
  <c r="BL48" i="114" s="1"/>
  <c r="U193" i="113"/>
  <c r="AS47" i="114"/>
  <c r="Y193" i="113"/>
  <c r="BC47" i="114"/>
  <c r="BC48" i="114" s="1"/>
  <c r="AR50" i="114"/>
  <c r="BT50" i="114"/>
  <c r="CF50" i="114" s="1"/>
  <c r="AR52" i="114"/>
  <c r="BT52" i="114"/>
  <c r="AR55" i="114"/>
  <c r="BT55" i="114"/>
  <c r="BA58" i="114"/>
  <c r="BT58" i="114"/>
  <c r="CF58" i="114" s="1"/>
  <c r="BT62" i="114"/>
  <c r="CF62" i="114" s="1"/>
  <c r="AR62" i="114"/>
  <c r="BT66" i="114"/>
  <c r="AR66" i="114"/>
  <c r="BA68" i="114"/>
  <c r="DA41" i="114"/>
  <c r="DK41" i="114"/>
  <c r="CQ42" i="114"/>
  <c r="DS42" i="114"/>
  <c r="DT42" i="114"/>
  <c r="CZ42" i="114"/>
  <c r="DT43" i="114"/>
  <c r="CQ43" i="114"/>
  <c r="DT44" i="114"/>
  <c r="CZ44" i="114"/>
  <c r="CQ45" i="114"/>
  <c r="CZ45" i="114"/>
  <c r="DS45" i="114"/>
  <c r="AS193" i="113"/>
  <c r="CR46" i="114"/>
  <c r="AW193" i="113"/>
  <c r="DB46" i="114"/>
  <c r="CZ46" i="114" s="1"/>
  <c r="AT193" i="113"/>
  <c r="CS47" i="114"/>
  <c r="DT50" i="114"/>
  <c r="CQ50" i="114"/>
  <c r="DS51" i="114"/>
  <c r="CQ51" i="114"/>
  <c r="DT52" i="114"/>
  <c r="CQ52" i="114"/>
  <c r="DT55" i="114"/>
  <c r="DI55" i="114"/>
  <c r="CZ56" i="114"/>
  <c r="DS58" i="114"/>
  <c r="CQ58" i="114"/>
  <c r="DS61" i="114"/>
  <c r="CQ61" i="114"/>
  <c r="DT62" i="114"/>
  <c r="CQ62" i="114"/>
  <c r="DI62" i="114"/>
  <c r="CQ64" i="114"/>
  <c r="CZ64" i="114"/>
  <c r="DS64" i="114"/>
  <c r="DS65" i="114"/>
  <c r="CQ65" i="114"/>
  <c r="DT66" i="114"/>
  <c r="CZ67" i="114"/>
  <c r="EQ41" i="114"/>
  <c r="FA41" i="114"/>
  <c r="FS42" i="114"/>
  <c r="EP42" i="114"/>
  <c r="FR45" i="114"/>
  <c r="EP45" i="114"/>
  <c r="FS46" i="114"/>
  <c r="EP46" i="114"/>
  <c r="BW193" i="113"/>
  <c r="FI47" i="114"/>
  <c r="FI48" i="114" s="1"/>
  <c r="EY50" i="114"/>
  <c r="FS51" i="114"/>
  <c r="EP51" i="114"/>
  <c r="FS55" i="114"/>
  <c r="FR57" i="114"/>
  <c r="EP57" i="114"/>
  <c r="FS57" i="114"/>
  <c r="EY57" i="114"/>
  <c r="FS58" i="114"/>
  <c r="EP58" i="114"/>
  <c r="FQ58" i="114" s="1"/>
  <c r="FS61" i="114"/>
  <c r="EP61" i="114"/>
  <c r="EY62" i="114"/>
  <c r="FR64" i="114"/>
  <c r="EP64" i="114"/>
  <c r="FS65" i="114"/>
  <c r="EP65" i="114"/>
  <c r="FQ65" i="114" s="1"/>
  <c r="EY66" i="114"/>
  <c r="FR68" i="114"/>
  <c r="EP68" i="114"/>
  <c r="AI219" i="113"/>
  <c r="AL219" i="113" s="1"/>
  <c r="AI220" i="113"/>
  <c r="AL220" i="113" s="1"/>
  <c r="AH43" i="114"/>
  <c r="AG51" i="114"/>
  <c r="AH62" i="114"/>
  <c r="AH64" i="114"/>
  <c r="AH66" i="114"/>
  <c r="AG67" i="114"/>
  <c r="AH68" i="114"/>
  <c r="N55" i="114"/>
  <c r="N57" i="114"/>
  <c r="N62" i="114"/>
  <c r="W43" i="114"/>
  <c r="W50" i="114"/>
  <c r="W52" i="114"/>
  <c r="AT41" i="114"/>
  <c r="BB41" i="114"/>
  <c r="BL41" i="114"/>
  <c r="BU43" i="114"/>
  <c r="BA43" i="114"/>
  <c r="BT44" i="114"/>
  <c r="BU45" i="114"/>
  <c r="CG45" i="114" s="1"/>
  <c r="BA52" i="114"/>
  <c r="BA55" i="114"/>
  <c r="BA57" i="114"/>
  <c r="BA66" i="114"/>
  <c r="CR41" i="114"/>
  <c r="DB41" i="114"/>
  <c r="DJ41" i="114"/>
  <c r="DT51" i="114"/>
  <c r="DS55" i="114"/>
  <c r="DT56" i="114"/>
  <c r="DS57" i="114"/>
  <c r="DT58" i="114"/>
  <c r="DT61" i="114"/>
  <c r="DS62" i="114"/>
  <c r="DT63" i="114"/>
  <c r="DT65" i="114"/>
  <c r="DS66" i="114"/>
  <c r="DT67" i="114"/>
  <c r="ER41" i="114"/>
  <c r="EZ41" i="114"/>
  <c r="FJ41" i="114"/>
  <c r="FR42" i="114"/>
  <c r="FS43" i="114"/>
  <c r="FR44" i="114"/>
  <c r="FS45" i="114"/>
  <c r="EY45" i="114"/>
  <c r="FR46" i="114"/>
  <c r="BR193" i="113"/>
  <c r="ER47" i="114"/>
  <c r="BT193" i="113"/>
  <c r="EZ47" i="114"/>
  <c r="BX193" i="113"/>
  <c r="FJ47" i="114"/>
  <c r="FJ48" i="114" s="1"/>
  <c r="FS50" i="114"/>
  <c r="FS52" i="114"/>
  <c r="EY52" i="114"/>
  <c r="FR56" i="114"/>
  <c r="FR58" i="114"/>
  <c r="FR61" i="114"/>
  <c r="FR63" i="114"/>
  <c r="FR65" i="114"/>
  <c r="FR67" i="114"/>
  <c r="DW59" i="116"/>
  <c r="EP63" i="114"/>
  <c r="EP44" i="114"/>
  <c r="CQ66" i="114"/>
  <c r="DS47" i="114"/>
  <c r="E57" i="114"/>
  <c r="EP56" i="114"/>
  <c r="CQ55" i="114"/>
  <c r="AR44" i="114"/>
  <c r="E66" i="114"/>
  <c r="E65" i="114"/>
  <c r="E64" i="114"/>
  <c r="AF64" i="114" s="1"/>
  <c r="E63" i="114"/>
  <c r="E62" i="114"/>
  <c r="E61" i="114"/>
  <c r="AH46" i="114"/>
  <c r="G48" i="114"/>
  <c r="G193" i="113"/>
  <c r="E45" i="114"/>
  <c r="E51" i="114"/>
  <c r="AF51" i="114" s="1"/>
  <c r="E50" i="114"/>
  <c r="E52" i="114"/>
  <c r="E47" i="114"/>
  <c r="E44" i="114"/>
  <c r="AF44" i="114" s="1"/>
  <c r="E41" i="114"/>
  <c r="E43" i="114"/>
  <c r="F193" i="113"/>
  <c r="F46" i="114"/>
  <c r="F42" i="114"/>
  <c r="DV59" i="116"/>
  <c r="GG58" i="116"/>
  <c r="BV62" i="116"/>
  <c r="GH58" i="116"/>
  <c r="DO68" i="116"/>
  <c r="EL72" i="114"/>
  <c r="FP72" i="114"/>
  <c r="DU74" i="114"/>
  <c r="BV74" i="114"/>
  <c r="FT74" i="114"/>
  <c r="CB219" i="113"/>
  <c r="CB220" i="113"/>
  <c r="AF217" i="113"/>
  <c r="BD217" i="113" s="1"/>
  <c r="BX181" i="113"/>
  <c r="BW181" i="113"/>
  <c r="BU181" i="113"/>
  <c r="BT181" i="113"/>
  <c r="BR181" i="113"/>
  <c r="BQ181" i="113"/>
  <c r="BX180" i="113"/>
  <c r="BW180" i="113"/>
  <c r="BU180" i="113"/>
  <c r="BT180" i="113"/>
  <c r="BR180" i="113"/>
  <c r="BQ180" i="113"/>
  <c r="BX178" i="113"/>
  <c r="BW178" i="113"/>
  <c r="BU178" i="113"/>
  <c r="BT178" i="113"/>
  <c r="BR178" i="113"/>
  <c r="BQ178" i="113"/>
  <c r="BX177" i="113"/>
  <c r="BW177" i="113"/>
  <c r="BU177" i="113"/>
  <c r="BT177" i="113"/>
  <c r="BR177" i="113"/>
  <c r="BQ177" i="113"/>
  <c r="AZ181" i="113"/>
  <c r="AY181" i="113"/>
  <c r="AW181" i="113"/>
  <c r="AV181" i="113"/>
  <c r="AT181" i="113"/>
  <c r="AS181" i="113"/>
  <c r="AZ180" i="113"/>
  <c r="AY180" i="113"/>
  <c r="AW180" i="113"/>
  <c r="AV180" i="113"/>
  <c r="AT180" i="113"/>
  <c r="AS180" i="113"/>
  <c r="AZ178" i="113"/>
  <c r="AY178" i="113"/>
  <c r="AW178" i="113"/>
  <c r="AV178" i="113"/>
  <c r="AT178" i="113"/>
  <c r="AS178" i="113"/>
  <c r="AZ177" i="113"/>
  <c r="AY177" i="113"/>
  <c r="AW177" i="113"/>
  <c r="AV177" i="113"/>
  <c r="AT177" i="113"/>
  <c r="AS177" i="113"/>
  <c r="AB181" i="113"/>
  <c r="AA181" i="113"/>
  <c r="Y181" i="113"/>
  <c r="X181" i="113"/>
  <c r="V181" i="113"/>
  <c r="U181" i="113"/>
  <c r="M181" i="113"/>
  <c r="L181" i="113"/>
  <c r="J181" i="113"/>
  <c r="I181" i="113"/>
  <c r="G181" i="113"/>
  <c r="F181" i="113"/>
  <c r="AB180" i="113"/>
  <c r="AA180" i="113"/>
  <c r="Y180" i="113"/>
  <c r="X180" i="113"/>
  <c r="V180" i="113"/>
  <c r="U180" i="113"/>
  <c r="M180" i="113"/>
  <c r="L180" i="113"/>
  <c r="J180" i="113"/>
  <c r="I180" i="113"/>
  <c r="G180" i="113"/>
  <c r="F180" i="113"/>
  <c r="AB178" i="113"/>
  <c r="AA178" i="113"/>
  <c r="Y178" i="113"/>
  <c r="X178" i="113"/>
  <c r="V178" i="113"/>
  <c r="U178" i="113"/>
  <c r="M178" i="113"/>
  <c r="L178" i="113"/>
  <c r="J178" i="113"/>
  <c r="I178" i="113"/>
  <c r="G178" i="113"/>
  <c r="F178" i="113"/>
  <c r="AB177" i="113"/>
  <c r="AA177" i="113"/>
  <c r="Y177" i="113"/>
  <c r="X177" i="113"/>
  <c r="V177" i="113"/>
  <c r="U177" i="113"/>
  <c r="M177" i="113"/>
  <c r="L177" i="113"/>
  <c r="J177" i="113"/>
  <c r="I177" i="113"/>
  <c r="G177" i="113"/>
  <c r="F177" i="113"/>
  <c r="BX171" i="113"/>
  <c r="BW171" i="113"/>
  <c r="BU171" i="113"/>
  <c r="BU172" i="113" s="1"/>
  <c r="BT171" i="113"/>
  <c r="BR171" i="113"/>
  <c r="BQ171" i="113"/>
  <c r="BX170" i="113"/>
  <c r="BW170" i="113"/>
  <c r="BU170" i="113"/>
  <c r="BT170" i="113"/>
  <c r="BR170" i="113"/>
  <c r="BQ170" i="113"/>
  <c r="AZ171" i="113"/>
  <c r="AY171" i="113"/>
  <c r="AW171" i="113"/>
  <c r="AV171" i="113"/>
  <c r="AT171" i="113"/>
  <c r="AT172" i="113" s="1"/>
  <c r="AS171" i="113"/>
  <c r="AZ170" i="113"/>
  <c r="AY170" i="113"/>
  <c r="AW170" i="113"/>
  <c r="AV170" i="113"/>
  <c r="AT170" i="113"/>
  <c r="AS170" i="113"/>
  <c r="BW172" i="113"/>
  <c r="BQ172" i="113"/>
  <c r="AV172" i="113"/>
  <c r="AB171" i="113"/>
  <c r="AA171" i="113"/>
  <c r="Y171" i="113"/>
  <c r="X171" i="113"/>
  <c r="V171" i="113"/>
  <c r="U171" i="113"/>
  <c r="M171" i="113"/>
  <c r="L171" i="113"/>
  <c r="J171" i="113"/>
  <c r="I171" i="113"/>
  <c r="G171" i="113"/>
  <c r="F171" i="113"/>
  <c r="AB170" i="113"/>
  <c r="AA170" i="113"/>
  <c r="Y170" i="113"/>
  <c r="X170" i="113"/>
  <c r="X172" i="113" s="1"/>
  <c r="V170" i="113"/>
  <c r="V172" i="113" s="1"/>
  <c r="U170" i="113"/>
  <c r="M170" i="113"/>
  <c r="L170" i="113"/>
  <c r="L172" i="113" s="1"/>
  <c r="J170" i="113"/>
  <c r="I170" i="113"/>
  <c r="G170" i="113"/>
  <c r="F170" i="113"/>
  <c r="F172" i="113" s="1"/>
  <c r="BY159" i="113"/>
  <c r="BA159" i="113"/>
  <c r="BA156" i="113" s="1"/>
  <c r="AF159" i="113"/>
  <c r="AC159" i="113"/>
  <c r="N159" i="113"/>
  <c r="BY158" i="113"/>
  <c r="BA158" i="113"/>
  <c r="AF158" i="113"/>
  <c r="BD158" i="113" s="1"/>
  <c r="AC158" i="113"/>
  <c r="N158" i="113"/>
  <c r="AF156" i="113"/>
  <c r="BD156" i="113" s="1"/>
  <c r="CA152" i="113"/>
  <c r="CA213" i="113" s="1"/>
  <c r="BZ152" i="113"/>
  <c r="BV152" i="113"/>
  <c r="BV213" i="113" s="1"/>
  <c r="BS152" i="113"/>
  <c r="BS213" i="113" s="1"/>
  <c r="BP152" i="113"/>
  <c r="BP213" i="113" s="1"/>
  <c r="CA151" i="113"/>
  <c r="CA212" i="113" s="1"/>
  <c r="BZ151" i="113"/>
  <c r="BZ212" i="113" s="1"/>
  <c r="BV151" i="113"/>
  <c r="BV212" i="113" s="1"/>
  <c r="BS151" i="113"/>
  <c r="BS212" i="113" s="1"/>
  <c r="BP151" i="113"/>
  <c r="BP212" i="113" s="1"/>
  <c r="CA150" i="113"/>
  <c r="CA211" i="113" s="1"/>
  <c r="BZ150" i="113"/>
  <c r="BV150" i="113"/>
  <c r="BV211" i="113" s="1"/>
  <c r="BS150" i="113"/>
  <c r="BS211" i="113" s="1"/>
  <c r="BP150" i="113"/>
  <c r="BP211" i="113" s="1"/>
  <c r="CA149" i="113"/>
  <c r="CA210" i="113" s="1"/>
  <c r="BZ149" i="113"/>
  <c r="BZ210" i="113" s="1"/>
  <c r="BV149" i="113"/>
  <c r="BV210" i="113" s="1"/>
  <c r="BS149" i="113"/>
  <c r="BS210" i="113" s="1"/>
  <c r="BP149" i="113"/>
  <c r="BP210" i="113" s="1"/>
  <c r="CA148" i="113"/>
  <c r="CA209" i="113" s="1"/>
  <c r="BZ148" i="113"/>
  <c r="BV148" i="113"/>
  <c r="BV209" i="113" s="1"/>
  <c r="BS148" i="113"/>
  <c r="BS209" i="113" s="1"/>
  <c r="BP148" i="113"/>
  <c r="BP209" i="113" s="1"/>
  <c r="CA147" i="113"/>
  <c r="CA208" i="113" s="1"/>
  <c r="BZ147" i="113"/>
  <c r="BZ208" i="113" s="1"/>
  <c r="BV147" i="113"/>
  <c r="BV208" i="113" s="1"/>
  <c r="BS147" i="113"/>
  <c r="BS208" i="113" s="1"/>
  <c r="BP147" i="113"/>
  <c r="BP208" i="113" s="1"/>
  <c r="CA146" i="113"/>
  <c r="CA207" i="113" s="1"/>
  <c r="BZ146" i="113"/>
  <c r="BV146" i="113"/>
  <c r="BV207" i="113" s="1"/>
  <c r="BS146" i="113"/>
  <c r="BS207" i="113" s="1"/>
  <c r="BP146" i="113"/>
  <c r="BP207" i="113" s="1"/>
  <c r="CA145" i="113"/>
  <c r="CA206" i="113" s="1"/>
  <c r="BZ145" i="113"/>
  <c r="BZ206" i="113" s="1"/>
  <c r="BV145" i="113"/>
  <c r="BV206" i="113" s="1"/>
  <c r="BS145" i="113"/>
  <c r="BS206" i="113" s="1"/>
  <c r="BP145" i="113"/>
  <c r="BP206" i="113" s="1"/>
  <c r="BX144" i="113"/>
  <c r="BX205" i="113" s="1"/>
  <c r="FJ60" i="114" s="1"/>
  <c r="BW144" i="113"/>
  <c r="BU144" i="113"/>
  <c r="BU205" i="113" s="1"/>
  <c r="FA60" i="114" s="1"/>
  <c r="BT144" i="113"/>
  <c r="BT205" i="113" s="1"/>
  <c r="EZ60" i="114" s="1"/>
  <c r="BR144" i="113"/>
  <c r="BQ144" i="113"/>
  <c r="BQ205" i="113" s="1"/>
  <c r="EQ60" i="114" s="1"/>
  <c r="CA143" i="113"/>
  <c r="CA204" i="113" s="1"/>
  <c r="BZ143" i="113"/>
  <c r="BZ204" i="113" s="1"/>
  <c r="BV143" i="113"/>
  <c r="BV204" i="113" s="1"/>
  <c r="BS143" i="113"/>
  <c r="BS204" i="113" s="1"/>
  <c r="BP143" i="113"/>
  <c r="BP204" i="113" s="1"/>
  <c r="CA142" i="113"/>
  <c r="CA203" i="113" s="1"/>
  <c r="BZ142" i="113"/>
  <c r="BZ203" i="113" s="1"/>
  <c r="BV142" i="113"/>
  <c r="BV203" i="113" s="1"/>
  <c r="BS142" i="113"/>
  <c r="BS203" i="113" s="1"/>
  <c r="BP142" i="113"/>
  <c r="BP203" i="113" s="1"/>
  <c r="CA141" i="113"/>
  <c r="CA202" i="113" s="1"/>
  <c r="BZ141" i="113"/>
  <c r="BV141" i="113"/>
  <c r="BV202" i="113" s="1"/>
  <c r="BS141" i="113"/>
  <c r="BS202" i="113" s="1"/>
  <c r="BP141" i="113"/>
  <c r="BP202" i="113" s="1"/>
  <c r="CA140" i="113"/>
  <c r="CA201" i="113" s="1"/>
  <c r="BZ140" i="113"/>
  <c r="BZ201" i="113" s="1"/>
  <c r="BV140" i="113"/>
  <c r="BV201" i="113" s="1"/>
  <c r="BS140" i="113"/>
  <c r="BS201" i="113" s="1"/>
  <c r="BP140" i="113"/>
  <c r="BP201" i="113" s="1"/>
  <c r="CA139" i="113"/>
  <c r="CA200" i="113" s="1"/>
  <c r="BZ139" i="113"/>
  <c r="BV139" i="113"/>
  <c r="BV200" i="113" s="1"/>
  <c r="BS139" i="113"/>
  <c r="BS200" i="113" s="1"/>
  <c r="BP139" i="113"/>
  <c r="BP200" i="113" s="1"/>
  <c r="BX138" i="113"/>
  <c r="BX199" i="113" s="1"/>
  <c r="FJ54" i="114" s="1"/>
  <c r="BW138" i="113"/>
  <c r="BW199" i="113" s="1"/>
  <c r="FI54" i="114" s="1"/>
  <c r="BU138" i="113"/>
  <c r="BU199" i="113" s="1"/>
  <c r="FA54" i="114" s="1"/>
  <c r="BT138" i="113"/>
  <c r="BT199" i="113" s="1"/>
  <c r="EZ54" i="114" s="1"/>
  <c r="BR138" i="113"/>
  <c r="BR199" i="113" s="1"/>
  <c r="ER54" i="114" s="1"/>
  <c r="FS54" i="114" s="1"/>
  <c r="BQ138" i="113"/>
  <c r="CA137" i="113"/>
  <c r="BZ137" i="113"/>
  <c r="BV137" i="113"/>
  <c r="BS137" i="113"/>
  <c r="BP137" i="113"/>
  <c r="CA136" i="113"/>
  <c r="BZ136" i="113"/>
  <c r="BV136" i="113"/>
  <c r="BS136" i="113"/>
  <c r="BP136" i="113"/>
  <c r="CA135" i="113"/>
  <c r="BZ135" i="113"/>
  <c r="BV135" i="113"/>
  <c r="BS135" i="113"/>
  <c r="BP135" i="113"/>
  <c r="BX134" i="113"/>
  <c r="BW134" i="113"/>
  <c r="BV134" i="113" s="1"/>
  <c r="BU134" i="113"/>
  <c r="BT134" i="113"/>
  <c r="BR134" i="113"/>
  <c r="CA134" i="113" s="1"/>
  <c r="BQ134" i="113"/>
  <c r="BP134" i="113" s="1"/>
  <c r="CA133" i="113"/>
  <c r="BZ133" i="113"/>
  <c r="BV133" i="113"/>
  <c r="BS133" i="113"/>
  <c r="BP133" i="113"/>
  <c r="BX132" i="113"/>
  <c r="BW132" i="113"/>
  <c r="BV132" i="113" s="1"/>
  <c r="BU132" i="113"/>
  <c r="BU125" i="113" s="1"/>
  <c r="BU118" i="113" s="1"/>
  <c r="BT132" i="113"/>
  <c r="BR132" i="113"/>
  <c r="BQ132" i="113"/>
  <c r="CA131" i="113"/>
  <c r="BZ131" i="113"/>
  <c r="BV131" i="113"/>
  <c r="BS131" i="113"/>
  <c r="BP131" i="113"/>
  <c r="CA130" i="113"/>
  <c r="BZ130" i="113"/>
  <c r="BV130" i="113"/>
  <c r="BS130" i="113"/>
  <c r="BP130" i="113"/>
  <c r="CA129" i="113"/>
  <c r="BZ129" i="113"/>
  <c r="BV129" i="113"/>
  <c r="BS129" i="113"/>
  <c r="BP129" i="113"/>
  <c r="CA128" i="113"/>
  <c r="BZ128" i="113"/>
  <c r="BV128" i="113"/>
  <c r="BS128" i="113"/>
  <c r="BP128" i="113"/>
  <c r="CA127" i="113"/>
  <c r="BZ127" i="113"/>
  <c r="BV127" i="113"/>
  <c r="BS127" i="113"/>
  <c r="BP127" i="113"/>
  <c r="CA126" i="113"/>
  <c r="BZ126" i="113"/>
  <c r="BV126" i="113"/>
  <c r="BS126" i="113"/>
  <c r="BP126" i="113"/>
  <c r="BX125" i="113"/>
  <c r="BR125" i="113"/>
  <c r="BX124" i="113"/>
  <c r="BW124" i="113"/>
  <c r="BU124" i="113"/>
  <c r="BT124" i="113"/>
  <c r="BR124" i="113"/>
  <c r="BQ124" i="113"/>
  <c r="CA123" i="113"/>
  <c r="BZ123" i="113"/>
  <c r="BV123" i="113"/>
  <c r="BS123" i="113"/>
  <c r="BP123" i="113"/>
  <c r="CA122" i="113"/>
  <c r="BZ122" i="113"/>
  <c r="BV122" i="113"/>
  <c r="BS122" i="113"/>
  <c r="BP122" i="113"/>
  <c r="CA121" i="113"/>
  <c r="BZ121" i="113"/>
  <c r="BV121" i="113"/>
  <c r="BS121" i="113"/>
  <c r="BP121" i="113"/>
  <c r="CA120" i="113"/>
  <c r="BZ120" i="113"/>
  <c r="BV120" i="113"/>
  <c r="BS120" i="113"/>
  <c r="BP120" i="113"/>
  <c r="CA119" i="113"/>
  <c r="BZ119" i="113"/>
  <c r="BV119" i="113"/>
  <c r="BS119" i="113"/>
  <c r="BP119" i="113"/>
  <c r="BX118" i="113"/>
  <c r="BC152" i="113"/>
  <c r="BC213" i="113" s="1"/>
  <c r="BB152" i="113"/>
  <c r="BB213" i="113" s="1"/>
  <c r="AX152" i="113"/>
  <c r="AX213" i="113" s="1"/>
  <c r="AU152" i="113"/>
  <c r="AU213" i="113" s="1"/>
  <c r="AR152" i="113"/>
  <c r="AR213" i="113" s="1"/>
  <c r="BC151" i="113"/>
  <c r="BC212" i="113" s="1"/>
  <c r="BB151" i="113"/>
  <c r="BB212" i="113" s="1"/>
  <c r="AX151" i="113"/>
  <c r="AX212" i="113" s="1"/>
  <c r="AU151" i="113"/>
  <c r="AU212" i="113" s="1"/>
  <c r="AR151" i="113"/>
  <c r="AR212" i="113" s="1"/>
  <c r="BC150" i="113"/>
  <c r="BC211" i="113" s="1"/>
  <c r="BB150" i="113"/>
  <c r="BB211" i="113" s="1"/>
  <c r="AX150" i="113"/>
  <c r="AX211" i="113" s="1"/>
  <c r="AU150" i="113"/>
  <c r="AU211" i="113" s="1"/>
  <c r="AR150" i="113"/>
  <c r="AR211" i="113" s="1"/>
  <c r="BC149" i="113"/>
  <c r="BC210" i="113" s="1"/>
  <c r="BB149" i="113"/>
  <c r="BB210" i="113" s="1"/>
  <c r="AX149" i="113"/>
  <c r="AX210" i="113" s="1"/>
  <c r="AU149" i="113"/>
  <c r="AU210" i="113" s="1"/>
  <c r="AR149" i="113"/>
  <c r="AR210" i="113" s="1"/>
  <c r="BC148" i="113"/>
  <c r="BC209" i="113" s="1"/>
  <c r="BB148" i="113"/>
  <c r="BB209" i="113" s="1"/>
  <c r="AX148" i="113"/>
  <c r="AX209" i="113" s="1"/>
  <c r="AU148" i="113"/>
  <c r="AU209" i="113" s="1"/>
  <c r="AR148" i="113"/>
  <c r="AR209" i="113" s="1"/>
  <c r="BC147" i="113"/>
  <c r="BC208" i="113" s="1"/>
  <c r="BB147" i="113"/>
  <c r="BB208" i="113" s="1"/>
  <c r="AX147" i="113"/>
  <c r="AX208" i="113" s="1"/>
  <c r="AU147" i="113"/>
  <c r="AU208" i="113" s="1"/>
  <c r="AR147" i="113"/>
  <c r="AR208" i="113" s="1"/>
  <c r="BC146" i="113"/>
  <c r="BC207" i="113" s="1"/>
  <c r="BB146" i="113"/>
  <c r="BB207" i="113" s="1"/>
  <c r="AX146" i="113"/>
  <c r="AX207" i="113" s="1"/>
  <c r="AU146" i="113"/>
  <c r="AU207" i="113" s="1"/>
  <c r="AR146" i="113"/>
  <c r="AR207" i="113" s="1"/>
  <c r="BC145" i="113"/>
  <c r="BC206" i="113" s="1"/>
  <c r="BB145" i="113"/>
  <c r="BB206" i="113" s="1"/>
  <c r="AX145" i="113"/>
  <c r="AX206" i="113" s="1"/>
  <c r="AU145" i="113"/>
  <c r="AU206" i="113" s="1"/>
  <c r="AR145" i="113"/>
  <c r="AR206" i="113" s="1"/>
  <c r="AZ144" i="113"/>
  <c r="AZ205" i="113" s="1"/>
  <c r="DK60" i="114" s="1"/>
  <c r="AY144" i="113"/>
  <c r="AY205" i="113" s="1"/>
  <c r="DJ60" i="114" s="1"/>
  <c r="AW144" i="113"/>
  <c r="AW205" i="113" s="1"/>
  <c r="DB60" i="114" s="1"/>
  <c r="AV144" i="113"/>
  <c r="AV205" i="113" s="1"/>
  <c r="DA60" i="114" s="1"/>
  <c r="AT144" i="113"/>
  <c r="AS144" i="113"/>
  <c r="AS205" i="113" s="1"/>
  <c r="CR60" i="114" s="1"/>
  <c r="BC143" i="113"/>
  <c r="BC204" i="113" s="1"/>
  <c r="BB143" i="113"/>
  <c r="BB204" i="113" s="1"/>
  <c r="AX143" i="113"/>
  <c r="AX204" i="113" s="1"/>
  <c r="AU143" i="113"/>
  <c r="AU204" i="113" s="1"/>
  <c r="AR143" i="113"/>
  <c r="AR204" i="113" s="1"/>
  <c r="BC142" i="113"/>
  <c r="BC203" i="113" s="1"/>
  <c r="BB142" i="113"/>
  <c r="BB203" i="113" s="1"/>
  <c r="AX142" i="113"/>
  <c r="AX203" i="113" s="1"/>
  <c r="AU142" i="113"/>
  <c r="AU203" i="113" s="1"/>
  <c r="AR142" i="113"/>
  <c r="AR203" i="113" s="1"/>
  <c r="BC141" i="113"/>
  <c r="BC202" i="113" s="1"/>
  <c r="BB141" i="113"/>
  <c r="AX141" i="113"/>
  <c r="AX202" i="113" s="1"/>
  <c r="AU141" i="113"/>
  <c r="AU202" i="113" s="1"/>
  <c r="AR141" i="113"/>
  <c r="AR202" i="113" s="1"/>
  <c r="BC140" i="113"/>
  <c r="BC201" i="113" s="1"/>
  <c r="BB140" i="113"/>
  <c r="BB201" i="113" s="1"/>
  <c r="AX140" i="113"/>
  <c r="AX201" i="113" s="1"/>
  <c r="AU140" i="113"/>
  <c r="AU201" i="113" s="1"/>
  <c r="AR140" i="113"/>
  <c r="AR201" i="113" s="1"/>
  <c r="BC139" i="113"/>
  <c r="BC200" i="113" s="1"/>
  <c r="BB139" i="113"/>
  <c r="AX139" i="113"/>
  <c r="AX200" i="113" s="1"/>
  <c r="AU139" i="113"/>
  <c r="AU200" i="113" s="1"/>
  <c r="AR139" i="113"/>
  <c r="AR200" i="113" s="1"/>
  <c r="AZ138" i="113"/>
  <c r="AZ199" i="113" s="1"/>
  <c r="DK54" i="114" s="1"/>
  <c r="AY138" i="113"/>
  <c r="AY199" i="113" s="1"/>
  <c r="DJ54" i="114" s="1"/>
  <c r="AW138" i="113"/>
  <c r="AW199" i="113" s="1"/>
  <c r="DB54" i="114" s="1"/>
  <c r="AV138" i="113"/>
  <c r="AV199" i="113" s="1"/>
  <c r="DA54" i="114" s="1"/>
  <c r="AT138" i="113"/>
  <c r="AT199" i="113" s="1"/>
  <c r="CS54" i="114" s="1"/>
  <c r="AS138" i="113"/>
  <c r="BC137" i="113"/>
  <c r="BB137" i="113"/>
  <c r="AX137" i="113"/>
  <c r="AU137" i="113"/>
  <c r="AR137" i="113"/>
  <c r="BC136" i="113"/>
  <c r="BB136" i="113"/>
  <c r="AX136" i="113"/>
  <c r="AU136" i="113"/>
  <c r="AR136" i="113"/>
  <c r="BC135" i="113"/>
  <c r="BB135" i="113"/>
  <c r="AX135" i="113"/>
  <c r="AU135" i="113"/>
  <c r="AR135" i="113"/>
  <c r="AZ134" i="113"/>
  <c r="AY134" i="113"/>
  <c r="AW134" i="113"/>
  <c r="AV134" i="113"/>
  <c r="AT134" i="113"/>
  <c r="BC134" i="113" s="1"/>
  <c r="AS134" i="113"/>
  <c r="AR134" i="113" s="1"/>
  <c r="BC133" i="113"/>
  <c r="BB133" i="113"/>
  <c r="AX133" i="113"/>
  <c r="AU133" i="113"/>
  <c r="AR133" i="113"/>
  <c r="AZ132" i="113"/>
  <c r="AZ125" i="113" s="1"/>
  <c r="AZ118" i="113" s="1"/>
  <c r="AY132" i="113"/>
  <c r="AX132" i="113" s="1"/>
  <c r="AW132" i="113"/>
  <c r="AW125" i="113" s="1"/>
  <c r="AW118" i="113" s="1"/>
  <c r="AV132" i="113"/>
  <c r="AT132" i="113"/>
  <c r="AS132" i="113"/>
  <c r="BC131" i="113"/>
  <c r="BB131" i="113"/>
  <c r="AX131" i="113"/>
  <c r="AU131" i="113"/>
  <c r="AR131" i="113"/>
  <c r="BC130" i="113"/>
  <c r="BB130" i="113"/>
  <c r="AX130" i="113"/>
  <c r="AU130" i="113"/>
  <c r="AR130" i="113"/>
  <c r="BC129" i="113"/>
  <c r="BB129" i="113"/>
  <c r="AX129" i="113"/>
  <c r="AU129" i="113"/>
  <c r="AR129" i="113"/>
  <c r="BC128" i="113"/>
  <c r="BB128" i="113"/>
  <c r="AX128" i="113"/>
  <c r="AU128" i="113"/>
  <c r="AR128" i="113"/>
  <c r="BC127" i="113"/>
  <c r="BB127" i="113"/>
  <c r="AX127" i="113"/>
  <c r="AU127" i="113"/>
  <c r="AR127" i="113"/>
  <c r="BC126" i="113"/>
  <c r="BB126" i="113"/>
  <c r="AX126" i="113"/>
  <c r="AU126" i="113"/>
  <c r="AR126" i="113"/>
  <c r="AT125" i="113"/>
  <c r="AT118" i="113" s="1"/>
  <c r="AZ124" i="113"/>
  <c r="AY124" i="113"/>
  <c r="AW124" i="113"/>
  <c r="AV124" i="113"/>
  <c r="AT124" i="113"/>
  <c r="AS124" i="113"/>
  <c r="BC123" i="113"/>
  <c r="BB123" i="113"/>
  <c r="AX123" i="113"/>
  <c r="AU123" i="113"/>
  <c r="AR123" i="113"/>
  <c r="BC122" i="113"/>
  <c r="BB122" i="113"/>
  <c r="AX122" i="113"/>
  <c r="AU122" i="113"/>
  <c r="AR122" i="113"/>
  <c r="BC121" i="113"/>
  <c r="BB121" i="113"/>
  <c r="AX121" i="113"/>
  <c r="AU121" i="113"/>
  <c r="AR121" i="113"/>
  <c r="BC120" i="113"/>
  <c r="BB120" i="113"/>
  <c r="AX120" i="113"/>
  <c r="AU120" i="113"/>
  <c r="AR120" i="113"/>
  <c r="BC119" i="113"/>
  <c r="BB119" i="113"/>
  <c r="AX119" i="113"/>
  <c r="AU119" i="113"/>
  <c r="AR119" i="113"/>
  <c r="AE152" i="113"/>
  <c r="AE213" i="113" s="1"/>
  <c r="AD152" i="113"/>
  <c r="AD213" i="113" s="1"/>
  <c r="Z152" i="113"/>
  <c r="Z213" i="113" s="1"/>
  <c r="W152" i="113"/>
  <c r="W213" i="113" s="1"/>
  <c r="T152" i="113"/>
  <c r="T213" i="113" s="1"/>
  <c r="AE151" i="113"/>
  <c r="AE212" i="113" s="1"/>
  <c r="AD151" i="113"/>
  <c r="AD212" i="113" s="1"/>
  <c r="Z151" i="113"/>
  <c r="Z212" i="113" s="1"/>
  <c r="W151" i="113"/>
  <c r="W212" i="113" s="1"/>
  <c r="T151" i="113"/>
  <c r="T212" i="113" s="1"/>
  <c r="AE150" i="113"/>
  <c r="AE211" i="113" s="1"/>
  <c r="AD150" i="113"/>
  <c r="AD211" i="113" s="1"/>
  <c r="Z150" i="113"/>
  <c r="Z211" i="113" s="1"/>
  <c r="W150" i="113"/>
  <c r="W211" i="113" s="1"/>
  <c r="T150" i="113"/>
  <c r="T211" i="113" s="1"/>
  <c r="AE149" i="113"/>
  <c r="AE210" i="113" s="1"/>
  <c r="AD149" i="113"/>
  <c r="AD210" i="113" s="1"/>
  <c r="Z149" i="113"/>
  <c r="Z210" i="113" s="1"/>
  <c r="W149" i="113"/>
  <c r="W210" i="113" s="1"/>
  <c r="T149" i="113"/>
  <c r="T210" i="113" s="1"/>
  <c r="AE148" i="113"/>
  <c r="AE209" i="113" s="1"/>
  <c r="AD148" i="113"/>
  <c r="AD209" i="113" s="1"/>
  <c r="Z148" i="113"/>
  <c r="Z209" i="113" s="1"/>
  <c r="W148" i="113"/>
  <c r="W209" i="113" s="1"/>
  <c r="T148" i="113"/>
  <c r="T209" i="113" s="1"/>
  <c r="AE147" i="113"/>
  <c r="AE208" i="113" s="1"/>
  <c r="AD147" i="113"/>
  <c r="AD208" i="113" s="1"/>
  <c r="Z147" i="113"/>
  <c r="Z208" i="113" s="1"/>
  <c r="W147" i="113"/>
  <c r="W208" i="113" s="1"/>
  <c r="T147" i="113"/>
  <c r="T208" i="113" s="1"/>
  <c r="AE146" i="113"/>
  <c r="AE207" i="113" s="1"/>
  <c r="AD146" i="113"/>
  <c r="AD207" i="113" s="1"/>
  <c r="Z146" i="113"/>
  <c r="Z207" i="113" s="1"/>
  <c r="W146" i="113"/>
  <c r="W207" i="113" s="1"/>
  <c r="T146" i="113"/>
  <c r="T207" i="113" s="1"/>
  <c r="AE145" i="113"/>
  <c r="AE206" i="113" s="1"/>
  <c r="AD145" i="113"/>
  <c r="AD206" i="113" s="1"/>
  <c r="Z145" i="113"/>
  <c r="Z206" i="113" s="1"/>
  <c r="W145" i="113"/>
  <c r="W206" i="113" s="1"/>
  <c r="T145" i="113"/>
  <c r="T206" i="113" s="1"/>
  <c r="AB144" i="113"/>
  <c r="AB205" i="113" s="1"/>
  <c r="BL60" i="114" s="1"/>
  <c r="AA144" i="113"/>
  <c r="AA205" i="113" s="1"/>
  <c r="BK60" i="114" s="1"/>
  <c r="Y144" i="113"/>
  <c r="Y205" i="113" s="1"/>
  <c r="BC60" i="114" s="1"/>
  <c r="X144" i="113"/>
  <c r="X205" i="113" s="1"/>
  <c r="BB60" i="114" s="1"/>
  <c r="V144" i="113"/>
  <c r="V205" i="113" s="1"/>
  <c r="AT60" i="114" s="1"/>
  <c r="AE143" i="113"/>
  <c r="AE204" i="113" s="1"/>
  <c r="AD143" i="113"/>
  <c r="AD204" i="113" s="1"/>
  <c r="Z143" i="113"/>
  <c r="Z204" i="113" s="1"/>
  <c r="W143" i="113"/>
  <c r="W204" i="113" s="1"/>
  <c r="T143" i="113"/>
  <c r="T204" i="113" s="1"/>
  <c r="AE142" i="113"/>
  <c r="AE203" i="113" s="1"/>
  <c r="AD142" i="113"/>
  <c r="AD203" i="113" s="1"/>
  <c r="Z142" i="113"/>
  <c r="Z203" i="113" s="1"/>
  <c r="W142" i="113"/>
  <c r="W203" i="113" s="1"/>
  <c r="T142" i="113"/>
  <c r="T203" i="113" s="1"/>
  <c r="AE141" i="113"/>
  <c r="AE202" i="113" s="1"/>
  <c r="AD141" i="113"/>
  <c r="AD202" i="113" s="1"/>
  <c r="Z141" i="113"/>
  <c r="Z202" i="113" s="1"/>
  <c r="W141" i="113"/>
  <c r="W202" i="113" s="1"/>
  <c r="T141" i="113"/>
  <c r="T202" i="113" s="1"/>
  <c r="AE140" i="113"/>
  <c r="AE201" i="113" s="1"/>
  <c r="AD140" i="113"/>
  <c r="AD201" i="113" s="1"/>
  <c r="Z140" i="113"/>
  <c r="Z201" i="113" s="1"/>
  <c r="W140" i="113"/>
  <c r="W201" i="113" s="1"/>
  <c r="T140" i="113"/>
  <c r="T201" i="113" s="1"/>
  <c r="AE139" i="113"/>
  <c r="AE200" i="113" s="1"/>
  <c r="AD139" i="113"/>
  <c r="AD200" i="113" s="1"/>
  <c r="Z139" i="113"/>
  <c r="Z200" i="113" s="1"/>
  <c r="W139" i="113"/>
  <c r="W200" i="113" s="1"/>
  <c r="T139" i="113"/>
  <c r="T200" i="113" s="1"/>
  <c r="AB138" i="113"/>
  <c r="AB199" i="113" s="1"/>
  <c r="BL54" i="114" s="1"/>
  <c r="AA138" i="113"/>
  <c r="AA199" i="113" s="1"/>
  <c r="BK54" i="114" s="1"/>
  <c r="Y138" i="113"/>
  <c r="Y199" i="113" s="1"/>
  <c r="BC54" i="114" s="1"/>
  <c r="X138" i="113"/>
  <c r="X199" i="113" s="1"/>
  <c r="BB54" i="114" s="1"/>
  <c r="BA54" i="114" s="1"/>
  <c r="V138" i="113"/>
  <c r="U138" i="113"/>
  <c r="U199" i="113" s="1"/>
  <c r="AS54" i="114" s="1"/>
  <c r="AE137" i="113"/>
  <c r="AD137" i="113"/>
  <c r="Z137" i="113"/>
  <c r="W137" i="113"/>
  <c r="T137" i="113"/>
  <c r="AE136" i="113"/>
  <c r="AD136" i="113"/>
  <c r="Z136" i="113"/>
  <c r="W136" i="113"/>
  <c r="T136" i="113"/>
  <c r="AE135" i="113"/>
  <c r="AD135" i="113"/>
  <c r="Z135" i="113"/>
  <c r="W135" i="113"/>
  <c r="T135" i="113"/>
  <c r="AB134" i="113"/>
  <c r="AA134" i="113"/>
  <c r="Z134" i="113" s="1"/>
  <c r="Y134" i="113"/>
  <c r="Y125" i="113" s="1"/>
  <c r="Y118" i="113" s="1"/>
  <c r="X134" i="113"/>
  <c r="V134" i="113"/>
  <c r="U134" i="113"/>
  <c r="AE133" i="113"/>
  <c r="AD133" i="113"/>
  <c r="Z133" i="113"/>
  <c r="W133" i="113"/>
  <c r="T133" i="113"/>
  <c r="AB132" i="113"/>
  <c r="AA132" i="113"/>
  <c r="Y132" i="113"/>
  <c r="X132" i="113"/>
  <c r="V132" i="113"/>
  <c r="AE132" i="113" s="1"/>
  <c r="U132" i="113"/>
  <c r="T132" i="113" s="1"/>
  <c r="AE131" i="113"/>
  <c r="AD131" i="113"/>
  <c r="Z131" i="113"/>
  <c r="W131" i="113"/>
  <c r="T131" i="113"/>
  <c r="AE130" i="113"/>
  <c r="AD130" i="113"/>
  <c r="Z130" i="113"/>
  <c r="W130" i="113"/>
  <c r="T130" i="113"/>
  <c r="AE129" i="113"/>
  <c r="AD129" i="113"/>
  <c r="Z129" i="113"/>
  <c r="W129" i="113"/>
  <c r="T129" i="113"/>
  <c r="AE128" i="113"/>
  <c r="AD128" i="113"/>
  <c r="Z128" i="113"/>
  <c r="W128" i="113"/>
  <c r="T128" i="113"/>
  <c r="AE127" i="113"/>
  <c r="AD127" i="113"/>
  <c r="Z127" i="113"/>
  <c r="W127" i="113"/>
  <c r="T127" i="113"/>
  <c r="AE126" i="113"/>
  <c r="AD126" i="113"/>
  <c r="Z126" i="113"/>
  <c r="W126" i="113"/>
  <c r="T126" i="113"/>
  <c r="AB124" i="113"/>
  <c r="AA124" i="113"/>
  <c r="Y124" i="113"/>
  <c r="X124" i="113"/>
  <c r="V124" i="113"/>
  <c r="U124" i="113"/>
  <c r="AE123" i="113"/>
  <c r="AD123" i="113"/>
  <c r="Z123" i="113"/>
  <c r="W123" i="113"/>
  <c r="T123" i="113"/>
  <c r="AE122" i="113"/>
  <c r="AD122" i="113"/>
  <c r="Z122" i="113"/>
  <c r="W122" i="113"/>
  <c r="T122" i="113"/>
  <c r="AE121" i="113"/>
  <c r="AD121" i="113"/>
  <c r="Z121" i="113"/>
  <c r="W121" i="113"/>
  <c r="T121" i="113"/>
  <c r="AE120" i="113"/>
  <c r="AD120" i="113"/>
  <c r="Z120" i="113"/>
  <c r="W120" i="113"/>
  <c r="T120" i="113"/>
  <c r="AE119" i="113"/>
  <c r="AD119" i="113"/>
  <c r="Z119" i="113"/>
  <c r="W119" i="113"/>
  <c r="T119" i="113"/>
  <c r="P152" i="113"/>
  <c r="P213" i="113" s="1"/>
  <c r="O152" i="113"/>
  <c r="P151" i="113"/>
  <c r="P212" i="113" s="1"/>
  <c r="O151" i="113"/>
  <c r="O212" i="113" s="1"/>
  <c r="P150" i="113"/>
  <c r="P211" i="113" s="1"/>
  <c r="O150" i="113"/>
  <c r="O211" i="113" s="1"/>
  <c r="P149" i="113"/>
  <c r="P210" i="113" s="1"/>
  <c r="O149" i="113"/>
  <c r="P148" i="113"/>
  <c r="P209" i="113" s="1"/>
  <c r="O148" i="113"/>
  <c r="O209" i="113" s="1"/>
  <c r="P147" i="113"/>
  <c r="P208" i="113" s="1"/>
  <c r="O147" i="113"/>
  <c r="O208" i="113" s="1"/>
  <c r="P146" i="113"/>
  <c r="P207" i="113" s="1"/>
  <c r="O146" i="113"/>
  <c r="O207" i="113" s="1"/>
  <c r="P145" i="113"/>
  <c r="P206" i="113" s="1"/>
  <c r="O145" i="113"/>
  <c r="O206" i="113" s="1"/>
  <c r="P143" i="113"/>
  <c r="P204" i="113" s="1"/>
  <c r="O143" i="113"/>
  <c r="O204" i="113" s="1"/>
  <c r="P142" i="113"/>
  <c r="P203" i="113" s="1"/>
  <c r="O142" i="113"/>
  <c r="O203" i="113" s="1"/>
  <c r="P141" i="113"/>
  <c r="P202" i="113" s="1"/>
  <c r="O141" i="113"/>
  <c r="O202" i="113" s="1"/>
  <c r="P140" i="113"/>
  <c r="P201" i="113" s="1"/>
  <c r="O140" i="113"/>
  <c r="O201" i="113" s="1"/>
  <c r="P139" i="113"/>
  <c r="P200" i="113" s="1"/>
  <c r="O139" i="113"/>
  <c r="P137" i="113"/>
  <c r="O137" i="113"/>
  <c r="P136" i="113"/>
  <c r="O136" i="113"/>
  <c r="P135" i="113"/>
  <c r="O135" i="113"/>
  <c r="P133" i="113"/>
  <c r="O133" i="113"/>
  <c r="P131" i="113"/>
  <c r="O131" i="113"/>
  <c r="P130" i="113"/>
  <c r="O130" i="113"/>
  <c r="P129" i="113"/>
  <c r="O129" i="113"/>
  <c r="P128" i="113"/>
  <c r="O128" i="113"/>
  <c r="P127" i="113"/>
  <c r="O127" i="113"/>
  <c r="P126" i="113"/>
  <c r="O126" i="113"/>
  <c r="P123" i="113"/>
  <c r="O123" i="113"/>
  <c r="P122" i="113"/>
  <c r="P124" i="113" s="1"/>
  <c r="O122" i="113"/>
  <c r="O124" i="113" s="1"/>
  <c r="P121" i="113"/>
  <c r="O121" i="113"/>
  <c r="P120" i="113"/>
  <c r="O120" i="113"/>
  <c r="P119" i="113"/>
  <c r="O119" i="113"/>
  <c r="K152" i="113"/>
  <c r="K213" i="113" s="1"/>
  <c r="H152" i="113"/>
  <c r="H213" i="113" s="1"/>
  <c r="K151" i="113"/>
  <c r="K212" i="113" s="1"/>
  <c r="H151" i="113"/>
  <c r="H212" i="113" s="1"/>
  <c r="K150" i="113"/>
  <c r="K211" i="113" s="1"/>
  <c r="H150" i="113"/>
  <c r="H211" i="113" s="1"/>
  <c r="K149" i="113"/>
  <c r="K210" i="113" s="1"/>
  <c r="H149" i="113"/>
  <c r="H210" i="113" s="1"/>
  <c r="K148" i="113"/>
  <c r="K209" i="113" s="1"/>
  <c r="H148" i="113"/>
  <c r="H209" i="113" s="1"/>
  <c r="K147" i="113"/>
  <c r="K208" i="113" s="1"/>
  <c r="H147" i="113"/>
  <c r="H208" i="113" s="1"/>
  <c r="K146" i="113"/>
  <c r="K207" i="113" s="1"/>
  <c r="H146" i="113"/>
  <c r="H207" i="113" s="1"/>
  <c r="K145" i="113"/>
  <c r="K206" i="113" s="1"/>
  <c r="H145" i="113"/>
  <c r="H206" i="113" s="1"/>
  <c r="M144" i="113"/>
  <c r="M205" i="113" s="1"/>
  <c r="Y60" i="114" s="1"/>
  <c r="L144" i="113"/>
  <c r="J144" i="113"/>
  <c r="J205" i="113" s="1"/>
  <c r="P60" i="114" s="1"/>
  <c r="I144" i="113"/>
  <c r="K143" i="113"/>
  <c r="K204" i="113" s="1"/>
  <c r="H143" i="113"/>
  <c r="H204" i="113" s="1"/>
  <c r="K142" i="113"/>
  <c r="K203" i="113" s="1"/>
  <c r="H142" i="113"/>
  <c r="H203" i="113" s="1"/>
  <c r="K141" i="113"/>
  <c r="K202" i="113" s="1"/>
  <c r="H141" i="113"/>
  <c r="H202" i="113" s="1"/>
  <c r="K140" i="113"/>
  <c r="K201" i="113" s="1"/>
  <c r="H140" i="113"/>
  <c r="H201" i="113" s="1"/>
  <c r="K139" i="113"/>
  <c r="K200" i="113" s="1"/>
  <c r="H139" i="113"/>
  <c r="H200" i="113" s="1"/>
  <c r="M138" i="113"/>
  <c r="M199" i="113" s="1"/>
  <c r="Y54" i="114" s="1"/>
  <c r="L138" i="113"/>
  <c r="L199" i="113" s="1"/>
  <c r="X54" i="114" s="1"/>
  <c r="J138" i="113"/>
  <c r="J199" i="113" s="1"/>
  <c r="P54" i="114" s="1"/>
  <c r="I138" i="113"/>
  <c r="K137" i="113"/>
  <c r="H137" i="113"/>
  <c r="K136" i="113"/>
  <c r="H136" i="113"/>
  <c r="K135" i="113"/>
  <c r="H135" i="113"/>
  <c r="M134" i="113"/>
  <c r="L134" i="113"/>
  <c r="L125" i="113" s="1"/>
  <c r="L118" i="113" s="1"/>
  <c r="J134" i="113"/>
  <c r="I134" i="113"/>
  <c r="K133" i="113"/>
  <c r="H133" i="113"/>
  <c r="M132" i="113"/>
  <c r="M125" i="113" s="1"/>
  <c r="M118" i="113" s="1"/>
  <c r="L132" i="113"/>
  <c r="J132" i="113"/>
  <c r="J125" i="113" s="1"/>
  <c r="J118" i="113" s="1"/>
  <c r="I132" i="113"/>
  <c r="H132" i="113"/>
  <c r="K131" i="113"/>
  <c r="H131" i="113"/>
  <c r="K130" i="113"/>
  <c r="H130" i="113"/>
  <c r="K129" i="113"/>
  <c r="H129" i="113"/>
  <c r="K128" i="113"/>
  <c r="H128" i="113"/>
  <c r="K127" i="113"/>
  <c r="H127" i="113"/>
  <c r="K126" i="113"/>
  <c r="H126" i="113"/>
  <c r="M124" i="113"/>
  <c r="L124" i="113"/>
  <c r="J124" i="113"/>
  <c r="I124" i="113"/>
  <c r="K123" i="113"/>
  <c r="H123" i="113"/>
  <c r="K122" i="113"/>
  <c r="H122" i="113"/>
  <c r="K121" i="113"/>
  <c r="H121" i="113"/>
  <c r="K120" i="113"/>
  <c r="H120" i="113"/>
  <c r="K119" i="113"/>
  <c r="H119" i="113"/>
  <c r="E152" i="113"/>
  <c r="E213" i="113" s="1"/>
  <c r="E151" i="113"/>
  <c r="E212" i="113" s="1"/>
  <c r="E150" i="113"/>
  <c r="E211" i="113" s="1"/>
  <c r="E149" i="113"/>
  <c r="E210" i="113" s="1"/>
  <c r="E148" i="113"/>
  <c r="E209" i="113" s="1"/>
  <c r="E147" i="113"/>
  <c r="E208" i="113" s="1"/>
  <c r="E146" i="113"/>
  <c r="E207" i="113" s="1"/>
  <c r="E145" i="113"/>
  <c r="E206" i="113" s="1"/>
  <c r="G144" i="113"/>
  <c r="E143" i="113"/>
  <c r="E204" i="113" s="1"/>
  <c r="E142" i="113"/>
  <c r="E203" i="113" s="1"/>
  <c r="E141" i="113"/>
  <c r="E202" i="113" s="1"/>
  <c r="E140" i="113"/>
  <c r="E201" i="113" s="1"/>
  <c r="E139" i="113"/>
  <c r="E200" i="113" s="1"/>
  <c r="G138" i="113"/>
  <c r="E137" i="113"/>
  <c r="E136" i="113"/>
  <c r="E135" i="113"/>
  <c r="E133" i="113"/>
  <c r="E131" i="113"/>
  <c r="E130" i="113"/>
  <c r="E129" i="113"/>
  <c r="E128" i="113"/>
  <c r="E127" i="113"/>
  <c r="E126" i="113"/>
  <c r="E123" i="113"/>
  <c r="E122" i="113"/>
  <c r="E121" i="113"/>
  <c r="E120" i="113"/>
  <c r="E119" i="113"/>
  <c r="G134" i="113"/>
  <c r="G132" i="113"/>
  <c r="F132" i="113"/>
  <c r="G125" i="113"/>
  <c r="G118" i="113"/>
  <c r="G124" i="113"/>
  <c r="F124" i="113"/>
  <c r="CA117" i="113"/>
  <c r="BZ117" i="113"/>
  <c r="BV117" i="113"/>
  <c r="BS117" i="113"/>
  <c r="BP117" i="113"/>
  <c r="CA116" i="113"/>
  <c r="BZ116" i="113"/>
  <c r="BV116" i="113"/>
  <c r="BS116" i="113"/>
  <c r="BP116" i="113"/>
  <c r="CA115" i="113"/>
  <c r="BZ115" i="113"/>
  <c r="BV115" i="113"/>
  <c r="BS115" i="113"/>
  <c r="BP115" i="113"/>
  <c r="BX114" i="113"/>
  <c r="BW114" i="113"/>
  <c r="BW101" i="113" s="1"/>
  <c r="BW94" i="113" s="1"/>
  <c r="BU114" i="113"/>
  <c r="BT114" i="113"/>
  <c r="BR114" i="113"/>
  <c r="BQ114" i="113"/>
  <c r="CA113" i="113"/>
  <c r="BZ113" i="113"/>
  <c r="BV113" i="113"/>
  <c r="BV112" i="113" s="1"/>
  <c r="BS113" i="113"/>
  <c r="BS112" i="113" s="1"/>
  <c r="BP113" i="113"/>
  <c r="BP112" i="113" s="1"/>
  <c r="BX112" i="113"/>
  <c r="BW112" i="113"/>
  <c r="BU112" i="113"/>
  <c r="BU101" i="113" s="1"/>
  <c r="BU94" i="113" s="1"/>
  <c r="BT112" i="113"/>
  <c r="BR112" i="113"/>
  <c r="CA112" i="113" s="1"/>
  <c r="BQ112" i="113"/>
  <c r="BQ101" i="113" s="1"/>
  <c r="BQ94" i="113" s="1"/>
  <c r="CA111" i="113"/>
  <c r="BZ111" i="113"/>
  <c r="BV111" i="113"/>
  <c r="BS111" i="113"/>
  <c r="BP111" i="113"/>
  <c r="CA110" i="113"/>
  <c r="BZ110" i="113"/>
  <c r="BV110" i="113"/>
  <c r="BS110" i="113"/>
  <c r="BP110" i="113"/>
  <c r="CA109" i="113"/>
  <c r="CA243" i="113" s="1"/>
  <c r="BZ109" i="113"/>
  <c r="BV109" i="113"/>
  <c r="BV243" i="113" s="1"/>
  <c r="BS109" i="113"/>
  <c r="BS243" i="113" s="1"/>
  <c r="BP109" i="113"/>
  <c r="BP243" i="113" s="1"/>
  <c r="CA108" i="113"/>
  <c r="CA242" i="113" s="1"/>
  <c r="BZ108" i="113"/>
  <c r="BZ242" i="113" s="1"/>
  <c r="BV108" i="113"/>
  <c r="BV242" i="113" s="1"/>
  <c r="BS108" i="113"/>
  <c r="BS242" i="113" s="1"/>
  <c r="BP108" i="113"/>
  <c r="BP242" i="113" s="1"/>
  <c r="CA107" i="113"/>
  <c r="CA241" i="113" s="1"/>
  <c r="BZ107" i="113"/>
  <c r="BV107" i="113"/>
  <c r="BV241" i="113" s="1"/>
  <c r="BS107" i="113"/>
  <c r="BS241" i="113" s="1"/>
  <c r="BP107" i="113"/>
  <c r="BP241" i="113" s="1"/>
  <c r="CA106" i="113"/>
  <c r="BZ106" i="113"/>
  <c r="BV106" i="113"/>
  <c r="BS106" i="113"/>
  <c r="BP106" i="113"/>
  <c r="CA105" i="113"/>
  <c r="BZ105" i="113"/>
  <c r="BV105" i="113"/>
  <c r="BS105" i="113"/>
  <c r="BP105" i="113"/>
  <c r="CA104" i="113"/>
  <c r="BZ104" i="113"/>
  <c r="BV104" i="113"/>
  <c r="BS104" i="113"/>
  <c r="BP104" i="113"/>
  <c r="CA103" i="113"/>
  <c r="BZ103" i="113"/>
  <c r="BV103" i="113"/>
  <c r="BS103" i="113"/>
  <c r="BP103" i="113"/>
  <c r="CA102" i="113"/>
  <c r="BZ102" i="113"/>
  <c r="BV102" i="113"/>
  <c r="BS102" i="113"/>
  <c r="BP102" i="113"/>
  <c r="BX101" i="113"/>
  <c r="BX94" i="113" s="1"/>
  <c r="BT101" i="113"/>
  <c r="BT94" i="113" s="1"/>
  <c r="BX100" i="113"/>
  <c r="BW100" i="113"/>
  <c r="BU100" i="113"/>
  <c r="BT100" i="113"/>
  <c r="BR100" i="113"/>
  <c r="BQ100" i="113"/>
  <c r="CA99" i="113"/>
  <c r="BZ99" i="113"/>
  <c r="BV99" i="113"/>
  <c r="BS99" i="113"/>
  <c r="BP99" i="113"/>
  <c r="CA98" i="113"/>
  <c r="BZ98" i="113"/>
  <c r="BY98" i="113" s="1"/>
  <c r="BV98" i="113"/>
  <c r="BS98" i="113"/>
  <c r="BP98" i="113"/>
  <c r="CA97" i="113"/>
  <c r="BZ97" i="113"/>
  <c r="BV97" i="113"/>
  <c r="BS97" i="113"/>
  <c r="BP97" i="113"/>
  <c r="CA96" i="113"/>
  <c r="BZ96" i="113"/>
  <c r="BV96" i="113"/>
  <c r="BS96" i="113"/>
  <c r="BP96" i="113"/>
  <c r="CA95" i="113"/>
  <c r="BZ95" i="113"/>
  <c r="BV95" i="113"/>
  <c r="BS95" i="113"/>
  <c r="BP95" i="113"/>
  <c r="BC117" i="113"/>
  <c r="BB117" i="113"/>
  <c r="AX117" i="113"/>
  <c r="AU117" i="113"/>
  <c r="AR117" i="113"/>
  <c r="BC116" i="113"/>
  <c r="BB116" i="113"/>
  <c r="AX116" i="113"/>
  <c r="AU116" i="113"/>
  <c r="AR116" i="113"/>
  <c r="BC115" i="113"/>
  <c r="BB115" i="113"/>
  <c r="AX115" i="113"/>
  <c r="AU115" i="113"/>
  <c r="AR115" i="113"/>
  <c r="AR114" i="113" s="1"/>
  <c r="AZ114" i="113"/>
  <c r="AZ101" i="113" s="1"/>
  <c r="AZ94" i="113" s="1"/>
  <c r="AY114" i="113"/>
  <c r="AW114" i="113"/>
  <c r="AV114" i="113"/>
  <c r="AT114" i="113"/>
  <c r="AS114" i="113"/>
  <c r="AS101" i="113" s="1"/>
  <c r="BC113" i="113"/>
  <c r="BB113" i="113"/>
  <c r="AX113" i="113"/>
  <c r="AX112" i="113" s="1"/>
  <c r="AU113" i="113"/>
  <c r="AU112" i="113" s="1"/>
  <c r="AR113" i="113"/>
  <c r="AZ112" i="113"/>
  <c r="AY112" i="113"/>
  <c r="AY101" i="113" s="1"/>
  <c r="AY94" i="113" s="1"/>
  <c r="AW112" i="113"/>
  <c r="AW101" i="113" s="1"/>
  <c r="AW94" i="113" s="1"/>
  <c r="AT112" i="113"/>
  <c r="AT101" i="113" s="1"/>
  <c r="AT94" i="113" s="1"/>
  <c r="AS112" i="113"/>
  <c r="AR112" i="113"/>
  <c r="BC111" i="113"/>
  <c r="BB111" i="113"/>
  <c r="AX111" i="113"/>
  <c r="AU111" i="113"/>
  <c r="AR111" i="113"/>
  <c r="BC110" i="113"/>
  <c r="BB110" i="113"/>
  <c r="AX110" i="113"/>
  <c r="AU110" i="113"/>
  <c r="AR110" i="113"/>
  <c r="BC109" i="113"/>
  <c r="BC243" i="113" s="1"/>
  <c r="BB109" i="113"/>
  <c r="AX109" i="113"/>
  <c r="AX243" i="113" s="1"/>
  <c r="AU109" i="113"/>
  <c r="AU243" i="113" s="1"/>
  <c r="AR109" i="113"/>
  <c r="AR243" i="113" s="1"/>
  <c r="BC108" i="113"/>
  <c r="BC242" i="113" s="1"/>
  <c r="BB108" i="113"/>
  <c r="BB242" i="113" s="1"/>
  <c r="AX108" i="113"/>
  <c r="AX242" i="113" s="1"/>
  <c r="AU108" i="113"/>
  <c r="AU242" i="113" s="1"/>
  <c r="AR108" i="113"/>
  <c r="AR242" i="113" s="1"/>
  <c r="BC107" i="113"/>
  <c r="BC241" i="113" s="1"/>
  <c r="BB107" i="113"/>
  <c r="AX107" i="113"/>
  <c r="AX241" i="113" s="1"/>
  <c r="AU107" i="113"/>
  <c r="AU241" i="113" s="1"/>
  <c r="AR107" i="113"/>
  <c r="AR241" i="113" s="1"/>
  <c r="BC106" i="113"/>
  <c r="BB106" i="113"/>
  <c r="AX106" i="113"/>
  <c r="AU106" i="113"/>
  <c r="AR106" i="113"/>
  <c r="BC105" i="113"/>
  <c r="BB105" i="113"/>
  <c r="AX105" i="113"/>
  <c r="AU105" i="113"/>
  <c r="AR105" i="113"/>
  <c r="BC104" i="113"/>
  <c r="BB104" i="113"/>
  <c r="AX104" i="113"/>
  <c r="AU104" i="113"/>
  <c r="AR104" i="113"/>
  <c r="BC103" i="113"/>
  <c r="BB103" i="113"/>
  <c r="AX103" i="113"/>
  <c r="AU103" i="113"/>
  <c r="AR103" i="113"/>
  <c r="BC102" i="113"/>
  <c r="BB102" i="113"/>
  <c r="AX102" i="113"/>
  <c r="AU102" i="113"/>
  <c r="AR102" i="113"/>
  <c r="AZ100" i="113"/>
  <c r="AY100" i="113"/>
  <c r="AW100" i="113"/>
  <c r="AV100" i="113"/>
  <c r="AT100" i="113"/>
  <c r="AS100" i="113"/>
  <c r="BC99" i="113"/>
  <c r="BB99" i="113"/>
  <c r="BA99" i="113" s="1"/>
  <c r="AX99" i="113"/>
  <c r="AU99" i="113"/>
  <c r="AR99" i="113"/>
  <c r="BC98" i="113"/>
  <c r="BB98" i="113"/>
  <c r="AX98" i="113"/>
  <c r="AU98" i="113"/>
  <c r="AR98" i="113"/>
  <c r="BC97" i="113"/>
  <c r="BB97" i="113"/>
  <c r="AX97" i="113"/>
  <c r="AU97" i="113"/>
  <c r="AR97" i="113"/>
  <c r="BC96" i="113"/>
  <c r="BB96" i="113"/>
  <c r="AX96" i="113"/>
  <c r="AU96" i="113"/>
  <c r="AR96" i="113"/>
  <c r="BC95" i="113"/>
  <c r="BB95" i="113"/>
  <c r="BA95" i="113" s="1"/>
  <c r="AX95" i="113"/>
  <c r="AU95" i="113"/>
  <c r="AR95" i="113"/>
  <c r="AE117" i="113"/>
  <c r="AD117" i="113"/>
  <c r="Z117" i="113"/>
  <c r="W117" i="113"/>
  <c r="T117" i="113"/>
  <c r="AE116" i="113"/>
  <c r="AD116" i="113"/>
  <c r="Z116" i="113"/>
  <c r="W116" i="113"/>
  <c r="T116" i="113"/>
  <c r="AE115" i="113"/>
  <c r="AD115" i="113"/>
  <c r="AC115" i="113" s="1"/>
  <c r="Z115" i="113"/>
  <c r="W115" i="113"/>
  <c r="T115" i="113"/>
  <c r="AB114" i="113"/>
  <c r="AB101" i="113" s="1"/>
  <c r="AB94" i="113" s="1"/>
  <c r="AA114" i="113"/>
  <c r="Y114" i="113"/>
  <c r="X114" i="113"/>
  <c r="V114" i="113"/>
  <c r="U114" i="113"/>
  <c r="AE113" i="113"/>
  <c r="AD113" i="113"/>
  <c r="Z113" i="113"/>
  <c r="Z112" i="113" s="1"/>
  <c r="W113" i="113"/>
  <c r="W112" i="113" s="1"/>
  <c r="T113" i="113"/>
  <c r="T112" i="113" s="1"/>
  <c r="AB112" i="113"/>
  <c r="AA112" i="113"/>
  <c r="Y112" i="113"/>
  <c r="Y101" i="113" s="1"/>
  <c r="Y94" i="113" s="1"/>
  <c r="X112" i="113"/>
  <c r="V112" i="113"/>
  <c r="AE112" i="113" s="1"/>
  <c r="U112" i="113"/>
  <c r="U101" i="113" s="1"/>
  <c r="U94" i="113" s="1"/>
  <c r="AE111" i="113"/>
  <c r="AD111" i="113"/>
  <c r="AC111" i="113" s="1"/>
  <c r="Z111" i="113"/>
  <c r="W111" i="113"/>
  <c r="T111" i="113"/>
  <c r="AE110" i="113"/>
  <c r="AD110" i="113"/>
  <c r="Z110" i="113"/>
  <c r="W110" i="113"/>
  <c r="T110" i="113"/>
  <c r="AE109" i="113"/>
  <c r="AE243" i="113" s="1"/>
  <c r="AD109" i="113"/>
  <c r="Z109" i="113"/>
  <c r="Z243" i="113" s="1"/>
  <c r="W109" i="113"/>
  <c r="W243" i="113" s="1"/>
  <c r="T109" i="113"/>
  <c r="T243" i="113" s="1"/>
  <c r="AE108" i="113"/>
  <c r="AE242" i="113" s="1"/>
  <c r="AD108" i="113"/>
  <c r="AD242" i="113" s="1"/>
  <c r="Z108" i="113"/>
  <c r="Z242" i="113" s="1"/>
  <c r="W108" i="113"/>
  <c r="W242" i="113" s="1"/>
  <c r="T108" i="113"/>
  <c r="T242" i="113" s="1"/>
  <c r="AE107" i="113"/>
  <c r="AE241" i="113" s="1"/>
  <c r="AD107" i="113"/>
  <c r="Z107" i="113"/>
  <c r="Z241" i="113" s="1"/>
  <c r="W107" i="113"/>
  <c r="W241" i="113" s="1"/>
  <c r="T107" i="113"/>
  <c r="T241" i="113" s="1"/>
  <c r="AE106" i="113"/>
  <c r="AD106" i="113"/>
  <c r="Z106" i="113"/>
  <c r="W106" i="113"/>
  <c r="T106" i="113"/>
  <c r="AE105" i="113"/>
  <c r="AD105" i="113"/>
  <c r="Z105" i="113"/>
  <c r="W105" i="113"/>
  <c r="T105" i="113"/>
  <c r="AE104" i="113"/>
  <c r="AD104" i="113"/>
  <c r="Z104" i="113"/>
  <c r="W104" i="113"/>
  <c r="T104" i="113"/>
  <c r="AE103" i="113"/>
  <c r="AD103" i="113"/>
  <c r="AC103" i="113" s="1"/>
  <c r="Z103" i="113"/>
  <c r="W103" i="113"/>
  <c r="T103" i="113"/>
  <c r="AE102" i="113"/>
  <c r="AD102" i="113"/>
  <c r="Z102" i="113"/>
  <c r="W102" i="113"/>
  <c r="T102" i="113"/>
  <c r="AB100" i="113"/>
  <c r="AA100" i="113"/>
  <c r="Y100" i="113"/>
  <c r="X100" i="113"/>
  <c r="V100" i="113"/>
  <c r="U100" i="113"/>
  <c r="AE99" i="113"/>
  <c r="AD99" i="113"/>
  <c r="Z99" i="113"/>
  <c r="W99" i="113"/>
  <c r="T99" i="113"/>
  <c r="AE98" i="113"/>
  <c r="AD98" i="113"/>
  <c r="Z98" i="113"/>
  <c r="W98" i="113"/>
  <c r="T98" i="113"/>
  <c r="AE97" i="113"/>
  <c r="AD97" i="113"/>
  <c r="Z97" i="113"/>
  <c r="W97" i="113"/>
  <c r="T97" i="113"/>
  <c r="AE96" i="113"/>
  <c r="AD96" i="113"/>
  <c r="Z96" i="113"/>
  <c r="W96" i="113"/>
  <c r="T96" i="113"/>
  <c r="AE95" i="113"/>
  <c r="AD95" i="113"/>
  <c r="Z95" i="113"/>
  <c r="W95" i="113"/>
  <c r="T95" i="113"/>
  <c r="P117" i="113"/>
  <c r="O117" i="113"/>
  <c r="P116" i="113"/>
  <c r="O116" i="113"/>
  <c r="P115" i="113"/>
  <c r="O115" i="113"/>
  <c r="P113" i="113"/>
  <c r="O113" i="113"/>
  <c r="P111" i="113"/>
  <c r="O111" i="113"/>
  <c r="P110" i="113"/>
  <c r="O110" i="113"/>
  <c r="P109" i="113"/>
  <c r="P243" i="113" s="1"/>
  <c r="O109" i="113"/>
  <c r="P108" i="113"/>
  <c r="P242" i="113" s="1"/>
  <c r="O108" i="113"/>
  <c r="O242" i="113" s="1"/>
  <c r="P107" i="113"/>
  <c r="P241" i="113" s="1"/>
  <c r="O107" i="113"/>
  <c r="O241" i="113" s="1"/>
  <c r="P106" i="113"/>
  <c r="O106" i="113"/>
  <c r="P105" i="113"/>
  <c r="O105" i="113"/>
  <c r="P104" i="113"/>
  <c r="O104" i="113"/>
  <c r="P103" i="113"/>
  <c r="O103" i="113"/>
  <c r="P102" i="113"/>
  <c r="O102" i="113"/>
  <c r="P99" i="113"/>
  <c r="P100" i="113" s="1"/>
  <c r="O99" i="113"/>
  <c r="P98" i="113"/>
  <c r="O98" i="113"/>
  <c r="P97" i="113"/>
  <c r="O97" i="113"/>
  <c r="P96" i="113"/>
  <c r="O96" i="113"/>
  <c r="P95" i="113"/>
  <c r="O95" i="113"/>
  <c r="K117" i="113"/>
  <c r="K116" i="113"/>
  <c r="K115" i="113"/>
  <c r="M114" i="113"/>
  <c r="L114" i="113"/>
  <c r="K113" i="113"/>
  <c r="K112" i="113" s="1"/>
  <c r="M112" i="113"/>
  <c r="L112" i="113"/>
  <c r="K111" i="113"/>
  <c r="K110" i="113"/>
  <c r="K109" i="113"/>
  <c r="K243" i="113" s="1"/>
  <c r="K108" i="113"/>
  <c r="K242" i="113" s="1"/>
  <c r="K107" i="113"/>
  <c r="K241" i="113" s="1"/>
  <c r="K106" i="113"/>
  <c r="K105" i="113"/>
  <c r="K104" i="113"/>
  <c r="K103" i="113"/>
  <c r="K102" i="113"/>
  <c r="M100" i="113"/>
  <c r="L100" i="113"/>
  <c r="K99" i="113"/>
  <c r="K98" i="113"/>
  <c r="K97" i="113"/>
  <c r="K96" i="113"/>
  <c r="K95" i="113"/>
  <c r="H117" i="113"/>
  <c r="H116" i="113"/>
  <c r="H115" i="113"/>
  <c r="J114" i="113"/>
  <c r="I114" i="113"/>
  <c r="H113" i="113"/>
  <c r="H112" i="113" s="1"/>
  <c r="J112" i="113"/>
  <c r="I112" i="113"/>
  <c r="H111" i="113"/>
  <c r="H110" i="113"/>
  <c r="H109" i="113"/>
  <c r="H243" i="113" s="1"/>
  <c r="H108" i="113"/>
  <c r="H242" i="113" s="1"/>
  <c r="H107" i="113"/>
  <c r="H241" i="113" s="1"/>
  <c r="H106" i="113"/>
  <c r="H105" i="113"/>
  <c r="H104" i="113"/>
  <c r="H103" i="113"/>
  <c r="H102" i="113"/>
  <c r="J100" i="113"/>
  <c r="I100" i="113"/>
  <c r="H99" i="113"/>
  <c r="H98" i="113"/>
  <c r="H97" i="113"/>
  <c r="H96" i="113"/>
  <c r="H95" i="113"/>
  <c r="E117" i="113"/>
  <c r="E116" i="113"/>
  <c r="E115" i="113"/>
  <c r="E113" i="113"/>
  <c r="E111" i="113"/>
  <c r="E110" i="113"/>
  <c r="E109" i="113"/>
  <c r="E243" i="113" s="1"/>
  <c r="E108" i="113"/>
  <c r="E242" i="113" s="1"/>
  <c r="E107" i="113"/>
  <c r="E241" i="113" s="1"/>
  <c r="E106" i="113"/>
  <c r="E105" i="113"/>
  <c r="E104" i="113"/>
  <c r="E103" i="113"/>
  <c r="E102" i="113"/>
  <c r="E99" i="113"/>
  <c r="E98" i="113"/>
  <c r="E97" i="113"/>
  <c r="E96" i="113"/>
  <c r="E95" i="113"/>
  <c r="G114" i="113"/>
  <c r="P114" i="113" s="1"/>
  <c r="G112" i="113"/>
  <c r="P112" i="113" s="1"/>
  <c r="F112" i="113"/>
  <c r="G100" i="113"/>
  <c r="F100" i="113"/>
  <c r="BX60" i="113"/>
  <c r="BW60" i="113"/>
  <c r="BU60" i="113"/>
  <c r="BT60" i="113"/>
  <c r="BR60" i="113"/>
  <c r="BQ60" i="113"/>
  <c r="AZ60" i="113"/>
  <c r="AY60" i="113"/>
  <c r="AW60" i="113"/>
  <c r="AV60" i="113"/>
  <c r="AT60" i="113"/>
  <c r="AS60" i="113"/>
  <c r="AB60" i="113"/>
  <c r="AA60" i="113"/>
  <c r="Y60" i="113"/>
  <c r="X60" i="113"/>
  <c r="V60" i="113"/>
  <c r="U60" i="113"/>
  <c r="M60" i="113"/>
  <c r="L60" i="113"/>
  <c r="J60" i="113"/>
  <c r="I60" i="113"/>
  <c r="G60" i="113"/>
  <c r="F60" i="113"/>
  <c r="CA93" i="113"/>
  <c r="BZ93" i="113"/>
  <c r="BV93" i="113"/>
  <c r="BS93" i="113"/>
  <c r="BP93" i="113"/>
  <c r="CA92" i="113"/>
  <c r="BZ92" i="113"/>
  <c r="BV92" i="113"/>
  <c r="BV257" i="113" s="1"/>
  <c r="BS92" i="113"/>
  <c r="BP92" i="113"/>
  <c r="CA91" i="113"/>
  <c r="BZ91" i="113"/>
  <c r="BV91" i="113"/>
  <c r="BS91" i="113"/>
  <c r="BP91" i="113"/>
  <c r="CA90" i="113"/>
  <c r="BZ90" i="113"/>
  <c r="BV90" i="113"/>
  <c r="BS90" i="113"/>
  <c r="BP90" i="113"/>
  <c r="BX89" i="113"/>
  <c r="BW89" i="113"/>
  <c r="BV89" i="113" s="1"/>
  <c r="BU89" i="113"/>
  <c r="BT89" i="113"/>
  <c r="BR89" i="113"/>
  <c r="CA89" i="113" s="1"/>
  <c r="BQ89" i="113"/>
  <c r="BP89" i="113" s="1"/>
  <c r="CA88" i="113"/>
  <c r="BZ88" i="113"/>
  <c r="BV88" i="113"/>
  <c r="BS88" i="113"/>
  <c r="BP88" i="113"/>
  <c r="CA87" i="113"/>
  <c r="BZ87" i="113"/>
  <c r="BV87" i="113"/>
  <c r="BS87" i="113"/>
  <c r="BP87" i="113"/>
  <c r="CA86" i="113"/>
  <c r="BZ86" i="113"/>
  <c r="BV86" i="113"/>
  <c r="BS86" i="113"/>
  <c r="BP86" i="113"/>
  <c r="CA85" i="113"/>
  <c r="BZ85" i="113"/>
  <c r="BV85" i="113"/>
  <c r="BS85" i="113"/>
  <c r="BP85" i="113"/>
  <c r="BX84" i="113"/>
  <c r="BW84" i="113"/>
  <c r="BU84" i="113"/>
  <c r="BU66" i="113" s="1"/>
  <c r="BT84" i="113"/>
  <c r="BR84" i="113"/>
  <c r="CA84" i="113" s="1"/>
  <c r="BQ84" i="113"/>
  <c r="BP84" i="113" s="1"/>
  <c r="CA83" i="113"/>
  <c r="CA239" i="113" s="1"/>
  <c r="BZ83" i="113"/>
  <c r="BV83" i="113"/>
  <c r="BS83" i="113"/>
  <c r="BP83" i="113"/>
  <c r="BP239" i="113" s="1"/>
  <c r="CA82" i="113"/>
  <c r="BZ82" i="113"/>
  <c r="BV82" i="113"/>
  <c r="BS82" i="113"/>
  <c r="BP82" i="113"/>
  <c r="CA81" i="113"/>
  <c r="CA234" i="113" s="1"/>
  <c r="BZ81" i="113"/>
  <c r="BZ234" i="113" s="1"/>
  <c r="BV81" i="113"/>
  <c r="BV234" i="113" s="1"/>
  <c r="BS81" i="113"/>
  <c r="BS234" i="113" s="1"/>
  <c r="BP81" i="113"/>
  <c r="BP234" i="113" s="1"/>
  <c r="CA80" i="113"/>
  <c r="CA249" i="113" s="1"/>
  <c r="BZ80" i="113"/>
  <c r="BZ249" i="113" s="1"/>
  <c r="BV80" i="113"/>
  <c r="BV249" i="113" s="1"/>
  <c r="BS80" i="113"/>
  <c r="BS249" i="113" s="1"/>
  <c r="BP80" i="113"/>
  <c r="BP249" i="113" s="1"/>
  <c r="CA79" i="113"/>
  <c r="CA248" i="113" s="1"/>
  <c r="BZ79" i="113"/>
  <c r="BZ248" i="113" s="1"/>
  <c r="BV79" i="113"/>
  <c r="BV248" i="113" s="1"/>
  <c r="BS79" i="113"/>
  <c r="BS248" i="113" s="1"/>
  <c r="BP79" i="113"/>
  <c r="BP248" i="113" s="1"/>
  <c r="CA78" i="113"/>
  <c r="CA247" i="113" s="1"/>
  <c r="BZ78" i="113"/>
  <c r="BZ247" i="113" s="1"/>
  <c r="BV78" i="113"/>
  <c r="BV247" i="113" s="1"/>
  <c r="BS78" i="113"/>
  <c r="BS247" i="113" s="1"/>
  <c r="BP78" i="113"/>
  <c r="BP247" i="113" s="1"/>
  <c r="CA77" i="113"/>
  <c r="CA246" i="113" s="1"/>
  <c r="BZ77" i="113"/>
  <c r="BZ246" i="113" s="1"/>
  <c r="BV77" i="113"/>
  <c r="BV246" i="113" s="1"/>
  <c r="BS77" i="113"/>
  <c r="BS246" i="113" s="1"/>
  <c r="BP77" i="113"/>
  <c r="BP246" i="113" s="1"/>
  <c r="CA76" i="113"/>
  <c r="CA245" i="113" s="1"/>
  <c r="BZ76" i="113"/>
  <c r="BZ245" i="113" s="1"/>
  <c r="BV76" i="113"/>
  <c r="BV245" i="113" s="1"/>
  <c r="BS76" i="113"/>
  <c r="BS245" i="113" s="1"/>
  <c r="BP76" i="113"/>
  <c r="BP245" i="113" s="1"/>
  <c r="CA75" i="113"/>
  <c r="CA237" i="113" s="1"/>
  <c r="BZ75" i="113"/>
  <c r="BZ237" i="113" s="1"/>
  <c r="BV75" i="113"/>
  <c r="BV237" i="113" s="1"/>
  <c r="BS75" i="113"/>
  <c r="BS237" i="113" s="1"/>
  <c r="BP75" i="113"/>
  <c r="BP237" i="113" s="1"/>
  <c r="CA74" i="113"/>
  <c r="BZ74" i="113"/>
  <c r="BV74" i="113"/>
  <c r="BS74" i="113"/>
  <c r="BP74" i="113"/>
  <c r="CA73" i="113"/>
  <c r="CA236" i="113" s="1"/>
  <c r="BZ73" i="113"/>
  <c r="BZ236" i="113" s="1"/>
  <c r="BV73" i="113"/>
  <c r="BV236" i="113" s="1"/>
  <c r="BS73" i="113"/>
  <c r="BS236" i="113" s="1"/>
  <c r="BP73" i="113"/>
  <c r="BP236" i="113" s="1"/>
  <c r="CA72" i="113"/>
  <c r="CA238" i="113" s="1"/>
  <c r="BZ72" i="113"/>
  <c r="BZ238" i="113" s="1"/>
  <c r="BV72" i="113"/>
  <c r="BV238" i="113" s="1"/>
  <c r="BS72" i="113"/>
  <c r="BS238" i="113" s="1"/>
  <c r="BP72" i="113"/>
  <c r="BP238" i="113" s="1"/>
  <c r="CA71" i="113"/>
  <c r="BZ71" i="113"/>
  <c r="BV71" i="113"/>
  <c r="BS71" i="113"/>
  <c r="BP71" i="113"/>
  <c r="CA70" i="113"/>
  <c r="BZ70" i="113"/>
  <c r="BV70" i="113"/>
  <c r="BS70" i="113"/>
  <c r="BP70" i="113"/>
  <c r="CA69" i="113"/>
  <c r="BZ69" i="113"/>
  <c r="BV69" i="113"/>
  <c r="BS69" i="113"/>
  <c r="BP69" i="113"/>
  <c r="CA68" i="113"/>
  <c r="BZ68" i="113"/>
  <c r="BV68" i="113"/>
  <c r="BS68" i="113"/>
  <c r="BP68" i="113"/>
  <c r="CA67" i="113"/>
  <c r="BZ67" i="113"/>
  <c r="BV67" i="113"/>
  <c r="BS67" i="113"/>
  <c r="BP67" i="113"/>
  <c r="BX66" i="113"/>
  <c r="BT66" i="113"/>
  <c r="CA65" i="113"/>
  <c r="BZ65" i="113"/>
  <c r="BV65" i="113"/>
  <c r="BS65" i="113"/>
  <c r="BP65" i="113"/>
  <c r="CA64" i="113"/>
  <c r="BZ64" i="113"/>
  <c r="BV64" i="113"/>
  <c r="BS64" i="113"/>
  <c r="BP64" i="113"/>
  <c r="CA63" i="113"/>
  <c r="BZ63" i="113"/>
  <c r="BV63" i="113"/>
  <c r="BS63" i="113"/>
  <c r="BP63" i="113"/>
  <c r="CA62" i="113"/>
  <c r="BZ62" i="113"/>
  <c r="BV62" i="113"/>
  <c r="BS62" i="113"/>
  <c r="BP62" i="113"/>
  <c r="CA61" i="113"/>
  <c r="BZ61" i="113"/>
  <c r="BV61" i="113"/>
  <c r="BS61" i="113"/>
  <c r="BP61" i="113"/>
  <c r="CA59" i="113"/>
  <c r="BZ59" i="113"/>
  <c r="BV59" i="113"/>
  <c r="BS59" i="113"/>
  <c r="BP59" i="113"/>
  <c r="CA58" i="113"/>
  <c r="BZ58" i="113"/>
  <c r="BV58" i="113"/>
  <c r="BS58" i="113"/>
  <c r="BP58" i="113"/>
  <c r="BX57" i="113"/>
  <c r="BW57" i="113"/>
  <c r="BU57" i="113"/>
  <c r="BT57" i="113"/>
  <c r="BR57" i="113"/>
  <c r="BQ57" i="113"/>
  <c r="BP57" i="113" s="1"/>
  <c r="BX56" i="113"/>
  <c r="BW56" i="113"/>
  <c r="BV56" i="113" s="1"/>
  <c r="BU56" i="113"/>
  <c r="BT56" i="113"/>
  <c r="BS56" i="113" s="1"/>
  <c r="BR56" i="113"/>
  <c r="BQ56" i="113"/>
  <c r="BP56" i="113" s="1"/>
  <c r="CA55" i="113"/>
  <c r="BZ55" i="113"/>
  <c r="BV55" i="113"/>
  <c r="BS55" i="113"/>
  <c r="BP55" i="113"/>
  <c r="CA54" i="113"/>
  <c r="BZ54" i="113"/>
  <c r="BV54" i="113"/>
  <c r="BS54" i="113"/>
  <c r="BP54" i="113"/>
  <c r="CA53" i="113"/>
  <c r="BZ53" i="113"/>
  <c r="BV53" i="113"/>
  <c r="BS53" i="113"/>
  <c r="BP53" i="113"/>
  <c r="CA52" i="113"/>
  <c r="BZ52" i="113"/>
  <c r="BV52" i="113"/>
  <c r="BS52" i="113"/>
  <c r="BP52" i="113"/>
  <c r="CA51" i="113"/>
  <c r="BZ51" i="113"/>
  <c r="BV51" i="113"/>
  <c r="BS51" i="113"/>
  <c r="BP51" i="113"/>
  <c r="CA50" i="113"/>
  <c r="CA190" i="113" s="1"/>
  <c r="BZ50" i="113"/>
  <c r="BZ190" i="113" s="1"/>
  <c r="BV50" i="113"/>
  <c r="BV190" i="113" s="1"/>
  <c r="BS50" i="113"/>
  <c r="BS190" i="113" s="1"/>
  <c r="BP50" i="113"/>
  <c r="BP190" i="113" s="1"/>
  <c r="CA49" i="113"/>
  <c r="BZ49" i="113"/>
  <c r="BV49" i="113"/>
  <c r="BS49" i="113"/>
  <c r="BP49" i="113"/>
  <c r="BC93" i="113"/>
  <c r="BC259" i="113" s="1"/>
  <c r="BB93" i="113"/>
  <c r="AX93" i="113"/>
  <c r="AU93" i="113"/>
  <c r="AR93" i="113"/>
  <c r="AR259" i="113" s="1"/>
  <c r="BC92" i="113"/>
  <c r="BB92" i="113"/>
  <c r="AX92" i="113"/>
  <c r="AU92" i="113"/>
  <c r="AU257" i="113" s="1"/>
  <c r="AR92" i="113"/>
  <c r="BC91" i="113"/>
  <c r="BB91" i="113"/>
  <c r="AX91" i="113"/>
  <c r="AU91" i="113"/>
  <c r="AR91" i="113"/>
  <c r="BC90" i="113"/>
  <c r="BB90" i="113"/>
  <c r="AX90" i="113"/>
  <c r="AU90" i="113"/>
  <c r="AR90" i="113"/>
  <c r="AZ89" i="113"/>
  <c r="AY89" i="113"/>
  <c r="AX89" i="113" s="1"/>
  <c r="AW89" i="113"/>
  <c r="AV89" i="113"/>
  <c r="AT89" i="113"/>
  <c r="AS89" i="113"/>
  <c r="AR89" i="113" s="1"/>
  <c r="BC88" i="113"/>
  <c r="BB88" i="113"/>
  <c r="AX88" i="113"/>
  <c r="AU88" i="113"/>
  <c r="AR88" i="113"/>
  <c r="BC87" i="113"/>
  <c r="BB87" i="113"/>
  <c r="AX87" i="113"/>
  <c r="AU87" i="113"/>
  <c r="AR87" i="113"/>
  <c r="BC86" i="113"/>
  <c r="BB86" i="113"/>
  <c r="AX86" i="113"/>
  <c r="AU86" i="113"/>
  <c r="AR86" i="113"/>
  <c r="BC85" i="113"/>
  <c r="BB85" i="113"/>
  <c r="AX85" i="113"/>
  <c r="AU85" i="113"/>
  <c r="AR85" i="113"/>
  <c r="AZ84" i="113"/>
  <c r="AY84" i="113"/>
  <c r="AX84" i="113" s="1"/>
  <c r="AW84" i="113"/>
  <c r="AV84" i="113"/>
  <c r="AV66" i="113" s="1"/>
  <c r="AT84" i="113"/>
  <c r="AS84" i="113"/>
  <c r="BC83" i="113"/>
  <c r="BB83" i="113"/>
  <c r="AX83" i="113"/>
  <c r="AU83" i="113"/>
  <c r="AR83" i="113"/>
  <c r="BC82" i="113"/>
  <c r="BB82" i="113"/>
  <c r="AX82" i="113"/>
  <c r="AU82" i="113"/>
  <c r="AR82" i="113"/>
  <c r="BC81" i="113"/>
  <c r="BC234" i="113" s="1"/>
  <c r="BB81" i="113"/>
  <c r="BB234" i="113" s="1"/>
  <c r="AX81" i="113"/>
  <c r="AX234" i="113" s="1"/>
  <c r="AU81" i="113"/>
  <c r="AU234" i="113" s="1"/>
  <c r="AR81" i="113"/>
  <c r="AR234" i="113" s="1"/>
  <c r="BC80" i="113"/>
  <c r="BC249" i="113" s="1"/>
  <c r="BB80" i="113"/>
  <c r="AX80" i="113"/>
  <c r="AX249" i="113" s="1"/>
  <c r="AU80" i="113"/>
  <c r="AU249" i="113" s="1"/>
  <c r="AR80" i="113"/>
  <c r="AR249" i="113" s="1"/>
  <c r="BC79" i="113"/>
  <c r="BC248" i="113" s="1"/>
  <c r="BB79" i="113"/>
  <c r="BB248" i="113" s="1"/>
  <c r="AX79" i="113"/>
  <c r="AX248" i="113" s="1"/>
  <c r="AU79" i="113"/>
  <c r="AU248" i="113" s="1"/>
  <c r="AR79" i="113"/>
  <c r="AR248" i="113" s="1"/>
  <c r="BC78" i="113"/>
  <c r="BC247" i="113" s="1"/>
  <c r="BB78" i="113"/>
  <c r="AX78" i="113"/>
  <c r="AX247" i="113" s="1"/>
  <c r="AU78" i="113"/>
  <c r="AU247" i="113" s="1"/>
  <c r="AR78" i="113"/>
  <c r="AR247" i="113" s="1"/>
  <c r="BC77" i="113"/>
  <c r="BC246" i="113" s="1"/>
  <c r="BB77" i="113"/>
  <c r="BB246" i="113" s="1"/>
  <c r="AX77" i="113"/>
  <c r="AX246" i="113" s="1"/>
  <c r="AU77" i="113"/>
  <c r="AU246" i="113" s="1"/>
  <c r="AR77" i="113"/>
  <c r="AR246" i="113" s="1"/>
  <c r="BC76" i="113"/>
  <c r="BC245" i="113" s="1"/>
  <c r="BB76" i="113"/>
  <c r="AX76" i="113"/>
  <c r="AX245" i="113" s="1"/>
  <c r="AU76" i="113"/>
  <c r="AU245" i="113" s="1"/>
  <c r="AR76" i="113"/>
  <c r="AR245" i="113" s="1"/>
  <c r="BC75" i="113"/>
  <c r="BC237" i="113" s="1"/>
  <c r="BB75" i="113"/>
  <c r="BB237" i="113" s="1"/>
  <c r="AX75" i="113"/>
  <c r="AX237" i="113" s="1"/>
  <c r="AU75" i="113"/>
  <c r="AU237" i="113" s="1"/>
  <c r="AR75" i="113"/>
  <c r="AR237" i="113" s="1"/>
  <c r="BC74" i="113"/>
  <c r="BB74" i="113"/>
  <c r="AX74" i="113"/>
  <c r="AU74" i="113"/>
  <c r="AR74" i="113"/>
  <c r="BC73" i="113"/>
  <c r="BC236" i="113" s="1"/>
  <c r="BB73" i="113"/>
  <c r="BB236" i="113" s="1"/>
  <c r="AX73" i="113"/>
  <c r="AX236" i="113" s="1"/>
  <c r="AU73" i="113"/>
  <c r="AU236" i="113" s="1"/>
  <c r="AR73" i="113"/>
  <c r="AR236" i="113" s="1"/>
  <c r="BC72" i="113"/>
  <c r="BC238" i="113" s="1"/>
  <c r="BB72" i="113"/>
  <c r="AX72" i="113"/>
  <c r="AX238" i="113" s="1"/>
  <c r="AU72" i="113"/>
  <c r="AU238" i="113" s="1"/>
  <c r="AR72" i="113"/>
  <c r="AR238" i="113" s="1"/>
  <c r="BC71" i="113"/>
  <c r="BB71" i="113"/>
  <c r="AX71" i="113"/>
  <c r="AU71" i="113"/>
  <c r="AR71" i="113"/>
  <c r="BC70" i="113"/>
  <c r="BB70" i="113"/>
  <c r="AX70" i="113"/>
  <c r="AU70" i="113"/>
  <c r="AR70" i="113"/>
  <c r="BC69" i="113"/>
  <c r="BB69" i="113"/>
  <c r="AX69" i="113"/>
  <c r="AU69" i="113"/>
  <c r="AR69" i="113"/>
  <c r="BC68" i="113"/>
  <c r="BB68" i="113"/>
  <c r="AX68" i="113"/>
  <c r="AU68" i="113"/>
  <c r="AR68" i="113"/>
  <c r="BC67" i="113"/>
  <c r="BB67" i="113"/>
  <c r="AX67" i="113"/>
  <c r="AU67" i="113"/>
  <c r="AR67" i="113"/>
  <c r="AW66" i="113"/>
  <c r="AT66" i="113"/>
  <c r="BC65" i="113"/>
  <c r="BB65" i="113"/>
  <c r="AX65" i="113"/>
  <c r="AU65" i="113"/>
  <c r="AR65" i="113"/>
  <c r="BC64" i="113"/>
  <c r="BB64" i="113"/>
  <c r="AX64" i="113"/>
  <c r="AU64" i="113"/>
  <c r="AR64" i="113"/>
  <c r="BC63" i="113"/>
  <c r="BB63" i="113"/>
  <c r="AX63" i="113"/>
  <c r="AU63" i="113"/>
  <c r="AR63" i="113"/>
  <c r="BC62" i="113"/>
  <c r="BB62" i="113"/>
  <c r="AX62" i="113"/>
  <c r="AU62" i="113"/>
  <c r="AR62" i="113"/>
  <c r="BC61" i="113"/>
  <c r="BB61" i="113"/>
  <c r="AX61" i="113"/>
  <c r="AU61" i="113"/>
  <c r="AR61" i="113"/>
  <c r="BC59" i="113"/>
  <c r="BB59" i="113"/>
  <c r="AX59" i="113"/>
  <c r="AU59" i="113"/>
  <c r="AR59" i="113"/>
  <c r="BC58" i="113"/>
  <c r="BB58" i="113"/>
  <c r="AX58" i="113"/>
  <c r="AU58" i="113"/>
  <c r="AR58" i="113"/>
  <c r="AZ57" i="113"/>
  <c r="AY57" i="113"/>
  <c r="AW57" i="113"/>
  <c r="AV57" i="113"/>
  <c r="AT57" i="113"/>
  <c r="AS57" i="113"/>
  <c r="AZ56" i="113"/>
  <c r="AY56" i="113"/>
  <c r="AX56" i="113"/>
  <c r="AW56" i="113"/>
  <c r="AV56" i="113"/>
  <c r="AU56" i="113" s="1"/>
  <c r="AT56" i="113"/>
  <c r="AS56" i="113"/>
  <c r="AR56" i="113" s="1"/>
  <c r="BC55" i="113"/>
  <c r="BB55" i="113"/>
  <c r="AX55" i="113"/>
  <c r="AU55" i="113"/>
  <c r="AR55" i="113"/>
  <c r="BC54" i="113"/>
  <c r="BB54" i="113"/>
  <c r="AX54" i="113"/>
  <c r="AU54" i="113"/>
  <c r="AR54" i="113"/>
  <c r="BC53" i="113"/>
  <c r="BB53" i="113"/>
  <c r="AX53" i="113"/>
  <c r="AU53" i="113"/>
  <c r="AR53" i="113"/>
  <c r="BC52" i="113"/>
  <c r="BB52" i="113"/>
  <c r="AX52" i="113"/>
  <c r="AU52" i="113"/>
  <c r="AR52" i="113"/>
  <c r="BC51" i="113"/>
  <c r="BB51" i="113"/>
  <c r="AX51" i="113"/>
  <c r="AU51" i="113"/>
  <c r="AR51" i="113"/>
  <c r="BC50" i="113"/>
  <c r="BC190" i="113" s="1"/>
  <c r="BB50" i="113"/>
  <c r="AX50" i="113"/>
  <c r="AX190" i="113" s="1"/>
  <c r="AU50" i="113"/>
  <c r="AU190" i="113" s="1"/>
  <c r="AR50" i="113"/>
  <c r="AR190" i="113" s="1"/>
  <c r="BC49" i="113"/>
  <c r="BB49" i="113"/>
  <c r="AX49" i="113"/>
  <c r="AU49" i="113"/>
  <c r="AR49" i="113"/>
  <c r="AE93" i="113"/>
  <c r="AD93" i="113"/>
  <c r="Z93" i="113"/>
  <c r="W93" i="113"/>
  <c r="T93" i="113"/>
  <c r="AE92" i="113"/>
  <c r="AD92" i="113"/>
  <c r="Z92" i="113"/>
  <c r="W92" i="113"/>
  <c r="W257" i="113" s="1"/>
  <c r="T92" i="113"/>
  <c r="AE91" i="113"/>
  <c r="AD91" i="113"/>
  <c r="Z91" i="113"/>
  <c r="W91" i="113"/>
  <c r="T91" i="113"/>
  <c r="AE90" i="113"/>
  <c r="AD90" i="113"/>
  <c r="Z90" i="113"/>
  <c r="W90" i="113"/>
  <c r="T90" i="113"/>
  <c r="AB89" i="113"/>
  <c r="AA89" i="113"/>
  <c r="Z89" i="113" s="1"/>
  <c r="Y89" i="113"/>
  <c r="X89" i="113"/>
  <c r="X66" i="113" s="1"/>
  <c r="V89" i="113"/>
  <c r="AE89" i="113" s="1"/>
  <c r="U89" i="113"/>
  <c r="T89" i="113" s="1"/>
  <c r="AE88" i="113"/>
  <c r="AD88" i="113"/>
  <c r="Z88" i="113"/>
  <c r="W88" i="113"/>
  <c r="T88" i="113"/>
  <c r="AE87" i="113"/>
  <c r="AD87" i="113"/>
  <c r="Z87" i="113"/>
  <c r="W87" i="113"/>
  <c r="T87" i="113"/>
  <c r="AE86" i="113"/>
  <c r="AD86" i="113"/>
  <c r="Z86" i="113"/>
  <c r="W86" i="113"/>
  <c r="T86" i="113"/>
  <c r="AE85" i="113"/>
  <c r="AD85" i="113"/>
  <c r="Z85" i="113"/>
  <c r="W85" i="113"/>
  <c r="T85" i="113"/>
  <c r="AB84" i="113"/>
  <c r="AA84" i="113"/>
  <c r="Y84" i="113"/>
  <c r="Y66" i="113" s="1"/>
  <c r="X84" i="113"/>
  <c r="V84" i="113"/>
  <c r="AE84" i="113" s="1"/>
  <c r="U84" i="113"/>
  <c r="T84" i="113" s="1"/>
  <c r="AE83" i="113"/>
  <c r="AE239" i="113" s="1"/>
  <c r="AD83" i="113"/>
  <c r="Z83" i="113"/>
  <c r="W83" i="113"/>
  <c r="T83" i="113"/>
  <c r="AE82" i="113"/>
  <c r="AD82" i="113"/>
  <c r="Z82" i="113"/>
  <c r="W82" i="113"/>
  <c r="T82" i="113"/>
  <c r="AE81" i="113"/>
  <c r="AE234" i="113" s="1"/>
  <c r="AD81" i="113"/>
  <c r="Z81" i="113"/>
  <c r="Z234" i="113" s="1"/>
  <c r="W81" i="113"/>
  <c r="W234" i="113" s="1"/>
  <c r="T81" i="113"/>
  <c r="T234" i="113" s="1"/>
  <c r="AE80" i="113"/>
  <c r="AE249" i="113" s="1"/>
  <c r="AD80" i="113"/>
  <c r="AD249" i="113" s="1"/>
  <c r="Z80" i="113"/>
  <c r="Z249" i="113" s="1"/>
  <c r="W80" i="113"/>
  <c r="W249" i="113" s="1"/>
  <c r="T80" i="113"/>
  <c r="T249" i="113" s="1"/>
  <c r="AE79" i="113"/>
  <c r="AE248" i="113" s="1"/>
  <c r="AD79" i="113"/>
  <c r="Z79" i="113"/>
  <c r="Z248" i="113" s="1"/>
  <c r="W79" i="113"/>
  <c r="W248" i="113" s="1"/>
  <c r="T79" i="113"/>
  <c r="T248" i="113" s="1"/>
  <c r="AE78" i="113"/>
  <c r="AE247" i="113" s="1"/>
  <c r="AD78" i="113"/>
  <c r="AD247" i="113" s="1"/>
  <c r="Z78" i="113"/>
  <c r="Z247" i="113" s="1"/>
  <c r="W78" i="113"/>
  <c r="W247" i="113" s="1"/>
  <c r="T78" i="113"/>
  <c r="T247" i="113" s="1"/>
  <c r="AE77" i="113"/>
  <c r="AE246" i="113" s="1"/>
  <c r="AD77" i="113"/>
  <c r="Z77" i="113"/>
  <c r="Z246" i="113" s="1"/>
  <c r="W77" i="113"/>
  <c r="W246" i="113" s="1"/>
  <c r="T77" i="113"/>
  <c r="T246" i="113" s="1"/>
  <c r="AE76" i="113"/>
  <c r="AE245" i="113" s="1"/>
  <c r="AD76" i="113"/>
  <c r="AD245" i="113" s="1"/>
  <c r="Z76" i="113"/>
  <c r="Z245" i="113" s="1"/>
  <c r="W76" i="113"/>
  <c r="W245" i="113" s="1"/>
  <c r="T76" i="113"/>
  <c r="T245" i="113" s="1"/>
  <c r="AE75" i="113"/>
  <c r="AE237" i="113" s="1"/>
  <c r="AD75" i="113"/>
  <c r="Z75" i="113"/>
  <c r="Z237" i="113" s="1"/>
  <c r="W75" i="113"/>
  <c r="W237" i="113" s="1"/>
  <c r="T75" i="113"/>
  <c r="T237" i="113" s="1"/>
  <c r="AE74" i="113"/>
  <c r="AD74" i="113"/>
  <c r="Z74" i="113"/>
  <c r="W74" i="113"/>
  <c r="T74" i="113"/>
  <c r="AE73" i="113"/>
  <c r="AE236" i="113" s="1"/>
  <c r="AD73" i="113"/>
  <c r="Z73" i="113"/>
  <c r="Z236" i="113" s="1"/>
  <c r="W73" i="113"/>
  <c r="W236" i="113" s="1"/>
  <c r="T73" i="113"/>
  <c r="T236" i="113" s="1"/>
  <c r="AE72" i="113"/>
  <c r="AE238" i="113" s="1"/>
  <c r="AD72" i="113"/>
  <c r="AD238" i="113" s="1"/>
  <c r="Z72" i="113"/>
  <c r="Z238" i="113" s="1"/>
  <c r="W72" i="113"/>
  <c r="W238" i="113" s="1"/>
  <c r="T72" i="113"/>
  <c r="T238" i="113" s="1"/>
  <c r="AE71" i="113"/>
  <c r="AD71" i="113"/>
  <c r="Z71" i="113"/>
  <c r="W71" i="113"/>
  <c r="T71" i="113"/>
  <c r="AE70" i="113"/>
  <c r="AD70" i="113"/>
  <c r="Z70" i="113"/>
  <c r="W70" i="113"/>
  <c r="T70" i="113"/>
  <c r="AE69" i="113"/>
  <c r="AD69" i="113"/>
  <c r="Z69" i="113"/>
  <c r="W69" i="113"/>
  <c r="T69" i="113"/>
  <c r="AE68" i="113"/>
  <c r="AD68" i="113"/>
  <c r="Z68" i="113"/>
  <c r="W68" i="113"/>
  <c r="T68" i="113"/>
  <c r="AE67" i="113"/>
  <c r="AD67" i="113"/>
  <c r="Z67" i="113"/>
  <c r="W67" i="113"/>
  <c r="T67" i="113"/>
  <c r="AB66" i="113"/>
  <c r="AE65" i="113"/>
  <c r="AD65" i="113"/>
  <c r="Z65" i="113"/>
  <c r="W65" i="113"/>
  <c r="T65" i="113"/>
  <c r="AE64" i="113"/>
  <c r="AD64" i="113"/>
  <c r="Z64" i="113"/>
  <c r="W64" i="113"/>
  <c r="T64" i="113"/>
  <c r="AE63" i="113"/>
  <c r="AD63" i="113"/>
  <c r="Z63" i="113"/>
  <c r="W63" i="113"/>
  <c r="T63" i="113"/>
  <c r="AE62" i="113"/>
  <c r="AD62" i="113"/>
  <c r="Z62" i="113"/>
  <c r="W62" i="113"/>
  <c r="T62" i="113"/>
  <c r="AE61" i="113"/>
  <c r="AD61" i="113"/>
  <c r="Z61" i="113"/>
  <c r="W61" i="113"/>
  <c r="T61" i="113"/>
  <c r="AE59" i="113"/>
  <c r="AD59" i="113"/>
  <c r="Z59" i="113"/>
  <c r="W59" i="113"/>
  <c r="T59" i="113"/>
  <c r="AE58" i="113"/>
  <c r="AD58" i="113"/>
  <c r="Z58" i="113"/>
  <c r="W58" i="113"/>
  <c r="T58" i="113"/>
  <c r="AB57" i="113"/>
  <c r="AA57" i="113"/>
  <c r="Y57" i="113"/>
  <c r="X57" i="113"/>
  <c r="V57" i="113"/>
  <c r="U57" i="113"/>
  <c r="AB56" i="113"/>
  <c r="AA56" i="113"/>
  <c r="Z56" i="113" s="1"/>
  <c r="Y56" i="113"/>
  <c r="X56" i="113"/>
  <c r="W56" i="113" s="1"/>
  <c r="V56" i="113"/>
  <c r="U56" i="113"/>
  <c r="T56" i="113" s="1"/>
  <c r="AE55" i="113"/>
  <c r="AD55" i="113"/>
  <c r="Z55" i="113"/>
  <c r="W55" i="113"/>
  <c r="T55" i="113"/>
  <c r="AE54" i="113"/>
  <c r="AD54" i="113"/>
  <c r="Z54" i="113"/>
  <c r="W54" i="113"/>
  <c r="T54" i="113"/>
  <c r="AE53" i="113"/>
  <c r="AD53" i="113"/>
  <c r="Z53" i="113"/>
  <c r="W53" i="113"/>
  <c r="T53" i="113"/>
  <c r="AE52" i="113"/>
  <c r="AD52" i="113"/>
  <c r="Z52" i="113"/>
  <c r="W52" i="113"/>
  <c r="T52" i="113"/>
  <c r="AE51" i="113"/>
  <c r="AD51" i="113"/>
  <c r="Z51" i="113"/>
  <c r="W51" i="113"/>
  <c r="T51" i="113"/>
  <c r="AE50" i="113"/>
  <c r="AE190" i="113" s="1"/>
  <c r="AD50" i="113"/>
  <c r="AD190" i="113" s="1"/>
  <c r="Z50" i="113"/>
  <c r="Z190" i="113" s="1"/>
  <c r="W50" i="113"/>
  <c r="W190" i="113" s="1"/>
  <c r="T50" i="113"/>
  <c r="T190" i="113" s="1"/>
  <c r="AE49" i="113"/>
  <c r="AD49" i="113"/>
  <c r="Z49" i="113"/>
  <c r="W49" i="113"/>
  <c r="T49" i="113"/>
  <c r="O93" i="113"/>
  <c r="P93" i="113"/>
  <c r="P92" i="113"/>
  <c r="O92" i="113"/>
  <c r="P91" i="113"/>
  <c r="O91" i="113"/>
  <c r="P90" i="113"/>
  <c r="O90" i="113"/>
  <c r="P88" i="113"/>
  <c r="O88" i="113"/>
  <c r="P87" i="113"/>
  <c r="O87" i="113"/>
  <c r="P86" i="113"/>
  <c r="O86" i="113"/>
  <c r="N86" i="113" s="1"/>
  <c r="P85" i="113"/>
  <c r="O85" i="113"/>
  <c r="P83" i="113"/>
  <c r="O83" i="113"/>
  <c r="P82" i="113"/>
  <c r="O82" i="113"/>
  <c r="P81" i="113"/>
  <c r="P234" i="113" s="1"/>
  <c r="O81" i="113"/>
  <c r="P80" i="113"/>
  <c r="P249" i="113" s="1"/>
  <c r="O80" i="113"/>
  <c r="P79" i="113"/>
  <c r="P248" i="113" s="1"/>
  <c r="O79" i="113"/>
  <c r="O248" i="113" s="1"/>
  <c r="P78" i="113"/>
  <c r="P247" i="113" s="1"/>
  <c r="O78" i="113"/>
  <c r="P77" i="113"/>
  <c r="P246" i="113" s="1"/>
  <c r="O77" i="113"/>
  <c r="O246" i="113" s="1"/>
  <c r="P76" i="113"/>
  <c r="P245" i="113" s="1"/>
  <c r="O76" i="113"/>
  <c r="O245" i="113" s="1"/>
  <c r="P75" i="113"/>
  <c r="P237" i="113" s="1"/>
  <c r="O75" i="113"/>
  <c r="O237" i="113" s="1"/>
  <c r="P74" i="113"/>
  <c r="O74" i="113"/>
  <c r="P73" i="113"/>
  <c r="P236" i="113" s="1"/>
  <c r="O73" i="113"/>
  <c r="P72" i="113"/>
  <c r="P238" i="113" s="1"/>
  <c r="O72" i="113"/>
  <c r="P71" i="113"/>
  <c r="O71" i="113"/>
  <c r="P70" i="113"/>
  <c r="O70" i="113"/>
  <c r="P69" i="113"/>
  <c r="O69" i="113"/>
  <c r="P68" i="113"/>
  <c r="O68" i="113"/>
  <c r="P67" i="113"/>
  <c r="O67" i="113"/>
  <c r="P65" i="113"/>
  <c r="O65" i="113"/>
  <c r="P64" i="113"/>
  <c r="O64" i="113"/>
  <c r="P63" i="113"/>
  <c r="O63" i="113"/>
  <c r="P62" i="113"/>
  <c r="O62" i="113"/>
  <c r="N62" i="113" s="1"/>
  <c r="P61" i="113"/>
  <c r="O61" i="113"/>
  <c r="P59" i="113"/>
  <c r="O59" i="113"/>
  <c r="P58" i="113"/>
  <c r="O58" i="113"/>
  <c r="P55" i="113"/>
  <c r="O55" i="113"/>
  <c r="P54" i="113"/>
  <c r="O54" i="113"/>
  <c r="P53" i="113"/>
  <c r="O53" i="113"/>
  <c r="P52" i="113"/>
  <c r="O52" i="113"/>
  <c r="P51" i="113"/>
  <c r="O51" i="113"/>
  <c r="P50" i="113"/>
  <c r="P190" i="113" s="1"/>
  <c r="O50" i="113"/>
  <c r="P49" i="113"/>
  <c r="O49" i="113"/>
  <c r="K93" i="113"/>
  <c r="K259" i="113" s="1"/>
  <c r="K92" i="113"/>
  <c r="K91" i="113"/>
  <c r="K90" i="113"/>
  <c r="M89" i="113"/>
  <c r="M66" i="113" s="1"/>
  <c r="L89" i="113"/>
  <c r="K88" i="113"/>
  <c r="K87" i="113"/>
  <c r="K86" i="113"/>
  <c r="K85" i="113"/>
  <c r="M84" i="113"/>
  <c r="L84" i="113"/>
  <c r="O84" i="113" s="1"/>
  <c r="K83" i="113"/>
  <c r="K239" i="113" s="1"/>
  <c r="K82" i="113"/>
  <c r="K81" i="113"/>
  <c r="K234" i="113" s="1"/>
  <c r="K80" i="113"/>
  <c r="K249" i="113" s="1"/>
  <c r="K79" i="113"/>
  <c r="K248" i="113" s="1"/>
  <c r="K78" i="113"/>
  <c r="K247" i="113" s="1"/>
  <c r="K77" i="113"/>
  <c r="K246" i="113" s="1"/>
  <c r="K76" i="113"/>
  <c r="K245" i="113" s="1"/>
  <c r="K75" i="113"/>
  <c r="K237" i="113" s="1"/>
  <c r="K74" i="113"/>
  <c r="K73" i="113"/>
  <c r="K236" i="113" s="1"/>
  <c r="K72" i="113"/>
  <c r="K238" i="113" s="1"/>
  <c r="K71" i="113"/>
  <c r="K70" i="113"/>
  <c r="K69" i="113"/>
  <c r="K68" i="113"/>
  <c r="K67" i="113"/>
  <c r="K65" i="113"/>
  <c r="K64" i="113"/>
  <c r="K63" i="113"/>
  <c r="K62" i="113"/>
  <c r="K61" i="113"/>
  <c r="K59" i="113"/>
  <c r="K58" i="113"/>
  <c r="M57" i="113"/>
  <c r="L57" i="113"/>
  <c r="M56" i="113"/>
  <c r="L56" i="113"/>
  <c r="K56" i="113" s="1"/>
  <c r="K55" i="113"/>
  <c r="K54" i="113"/>
  <c r="K53" i="113"/>
  <c r="K52" i="113"/>
  <c r="K51" i="113"/>
  <c r="K50" i="113"/>
  <c r="K190" i="113" s="1"/>
  <c r="K49" i="113"/>
  <c r="H93" i="113"/>
  <c r="H92" i="113"/>
  <c r="H91" i="113"/>
  <c r="H90" i="113"/>
  <c r="J89" i="113"/>
  <c r="J66" i="113" s="1"/>
  <c r="I89" i="113"/>
  <c r="H88" i="113"/>
  <c r="H87" i="113"/>
  <c r="H86" i="113"/>
  <c r="H85" i="113"/>
  <c r="J84" i="113"/>
  <c r="I84" i="113"/>
  <c r="H83" i="113"/>
  <c r="H82" i="113"/>
  <c r="H81" i="113"/>
  <c r="H234" i="113" s="1"/>
  <c r="H80" i="113"/>
  <c r="H249" i="113" s="1"/>
  <c r="H79" i="113"/>
  <c r="H248" i="113" s="1"/>
  <c r="H78" i="113"/>
  <c r="H247" i="113" s="1"/>
  <c r="H77" i="113"/>
  <c r="H246" i="113" s="1"/>
  <c r="H76" i="113"/>
  <c r="H245" i="113" s="1"/>
  <c r="H75" i="113"/>
  <c r="H237" i="113" s="1"/>
  <c r="H74" i="113"/>
  <c r="H73" i="113"/>
  <c r="H236" i="113" s="1"/>
  <c r="H72" i="113"/>
  <c r="H238" i="113" s="1"/>
  <c r="H71" i="113"/>
  <c r="H70" i="113"/>
  <c r="H69" i="113"/>
  <c r="H68" i="113"/>
  <c r="H67" i="113"/>
  <c r="H65" i="113"/>
  <c r="H64" i="113"/>
  <c r="H63" i="113"/>
  <c r="H62" i="113"/>
  <c r="H61" i="113"/>
  <c r="H59" i="113"/>
  <c r="H58" i="113"/>
  <c r="J57" i="113"/>
  <c r="I57" i="113"/>
  <c r="I48" i="113" s="1"/>
  <c r="J56" i="113"/>
  <c r="I56" i="113"/>
  <c r="H56" i="113" s="1"/>
  <c r="H55" i="113"/>
  <c r="H54" i="113"/>
  <c r="H53" i="113"/>
  <c r="H52" i="113"/>
  <c r="H51" i="113"/>
  <c r="H50" i="113"/>
  <c r="H190" i="113" s="1"/>
  <c r="H49" i="113"/>
  <c r="E93" i="113"/>
  <c r="E92" i="113"/>
  <c r="E91" i="113"/>
  <c r="E90" i="113"/>
  <c r="E88" i="113"/>
  <c r="E87" i="113"/>
  <c r="E86" i="113"/>
  <c r="E85" i="113"/>
  <c r="E251" i="113" s="1"/>
  <c r="E83" i="113"/>
  <c r="E82" i="113"/>
  <c r="E81" i="113"/>
  <c r="E234" i="113" s="1"/>
  <c r="E80" i="113"/>
  <c r="E249" i="113" s="1"/>
  <c r="E79" i="113"/>
  <c r="E248" i="113" s="1"/>
  <c r="E78" i="113"/>
  <c r="E247" i="113" s="1"/>
  <c r="E77" i="113"/>
  <c r="E246" i="113" s="1"/>
  <c r="E76" i="113"/>
  <c r="E245" i="113" s="1"/>
  <c r="E75" i="113"/>
  <c r="E237" i="113" s="1"/>
  <c r="E74" i="113"/>
  <c r="E73" i="113"/>
  <c r="E236" i="113" s="1"/>
  <c r="E72" i="113"/>
  <c r="E238" i="113" s="1"/>
  <c r="E71" i="113"/>
  <c r="E70" i="113"/>
  <c r="E69" i="113"/>
  <c r="E68" i="113"/>
  <c r="E67" i="113"/>
  <c r="E65" i="113"/>
  <c r="E63" i="113"/>
  <c r="E62" i="113"/>
  <c r="E61" i="113"/>
  <c r="E59" i="113"/>
  <c r="E58" i="113"/>
  <c r="E55" i="113"/>
  <c r="E54" i="113"/>
  <c r="E53" i="113"/>
  <c r="E52" i="113"/>
  <c r="E51" i="113"/>
  <c r="E50" i="113"/>
  <c r="E190" i="113" s="1"/>
  <c r="E49" i="113"/>
  <c r="G89" i="113"/>
  <c r="G84" i="113"/>
  <c r="G66" i="113"/>
  <c r="G48" i="113" s="1"/>
  <c r="E48" i="113" s="1"/>
  <c r="G56" i="113"/>
  <c r="F56" i="113"/>
  <c r="E56" i="113" s="1"/>
  <c r="CA47" i="113"/>
  <c r="CA258" i="113" s="1"/>
  <c r="BZ47" i="113"/>
  <c r="BV47" i="113"/>
  <c r="BS47" i="113"/>
  <c r="BP47" i="113"/>
  <c r="BP258" i="113" s="1"/>
  <c r="CA46" i="113"/>
  <c r="BZ46" i="113"/>
  <c r="BV46" i="113"/>
  <c r="BS46" i="113"/>
  <c r="BP46" i="113"/>
  <c r="BX45" i="113"/>
  <c r="BW45" i="113"/>
  <c r="BU45" i="113"/>
  <c r="BT45" i="113"/>
  <c r="BT32" i="113" s="1"/>
  <c r="BR45" i="113"/>
  <c r="BQ45" i="113"/>
  <c r="BP45" i="113" s="1"/>
  <c r="CA44" i="113"/>
  <c r="CA254" i="113" s="1"/>
  <c r="BZ44" i="113"/>
  <c r="BV44" i="113"/>
  <c r="BS44" i="113"/>
  <c r="BP44" i="113"/>
  <c r="BP254" i="113" s="1"/>
  <c r="CA43" i="113"/>
  <c r="BZ43" i="113"/>
  <c r="BV43" i="113"/>
  <c r="BS43" i="113"/>
  <c r="BS253" i="113" s="1"/>
  <c r="BP43" i="113"/>
  <c r="CA42" i="113"/>
  <c r="BZ42" i="113"/>
  <c r="BV42" i="113"/>
  <c r="BS42" i="113"/>
  <c r="BP42" i="113"/>
  <c r="BX41" i="113"/>
  <c r="BW41" i="113"/>
  <c r="BU41" i="113"/>
  <c r="BT41" i="113"/>
  <c r="BR41" i="113"/>
  <c r="BQ41" i="113"/>
  <c r="CA40" i="113"/>
  <c r="BZ40" i="113"/>
  <c r="BV40" i="113"/>
  <c r="BS40" i="113"/>
  <c r="BP40" i="113"/>
  <c r="CA39" i="113"/>
  <c r="BZ39" i="113"/>
  <c r="BV39" i="113"/>
  <c r="BV235" i="113" s="1"/>
  <c r="BS39" i="113"/>
  <c r="BP39" i="113"/>
  <c r="CA38" i="113"/>
  <c r="BZ38" i="113"/>
  <c r="BV38" i="113"/>
  <c r="BV233" i="113" s="1"/>
  <c r="BS38" i="113"/>
  <c r="BP38" i="113"/>
  <c r="CA37" i="113"/>
  <c r="CA232" i="113" s="1"/>
  <c r="BZ37" i="113"/>
  <c r="BV37" i="113"/>
  <c r="BV232" i="113" s="1"/>
  <c r="BS37" i="113"/>
  <c r="BP37" i="113"/>
  <c r="BP232" i="113" s="1"/>
  <c r="CA36" i="113"/>
  <c r="BZ36" i="113"/>
  <c r="BV36" i="113"/>
  <c r="BS36" i="113"/>
  <c r="BP36" i="113"/>
  <c r="CA35" i="113"/>
  <c r="CA230" i="113" s="1"/>
  <c r="BZ35" i="113"/>
  <c r="BV35" i="113"/>
  <c r="BV230" i="113" s="1"/>
  <c r="BS35" i="113"/>
  <c r="BS230" i="113" s="1"/>
  <c r="BP35" i="113"/>
  <c r="BP230" i="113" s="1"/>
  <c r="CA34" i="113"/>
  <c r="BZ34" i="113"/>
  <c r="BV34" i="113"/>
  <c r="BS34" i="113"/>
  <c r="BP34" i="113"/>
  <c r="CA33" i="113"/>
  <c r="BZ33" i="113"/>
  <c r="BV33" i="113"/>
  <c r="BS33" i="113"/>
  <c r="BP33" i="113"/>
  <c r="BX32" i="113"/>
  <c r="BX194" i="113" s="1"/>
  <c r="BQ32" i="113"/>
  <c r="BX31" i="113"/>
  <c r="BW31" i="113"/>
  <c r="BU31" i="113"/>
  <c r="BT31" i="113"/>
  <c r="BR31" i="113"/>
  <c r="BQ31" i="113"/>
  <c r="CA30" i="113"/>
  <c r="BZ30" i="113"/>
  <c r="BV30" i="113"/>
  <c r="BS30" i="113"/>
  <c r="BP30" i="113"/>
  <c r="CA29" i="113"/>
  <c r="BZ29" i="113"/>
  <c r="BV29" i="113"/>
  <c r="BS29" i="113"/>
  <c r="BP29" i="113"/>
  <c r="CA28" i="113"/>
  <c r="BZ28" i="113"/>
  <c r="BZ189" i="113" s="1"/>
  <c r="BV28" i="113"/>
  <c r="BS28" i="113"/>
  <c r="BP28" i="113"/>
  <c r="CA27" i="113"/>
  <c r="CA188" i="113" s="1"/>
  <c r="BZ27" i="113"/>
  <c r="BV27" i="113"/>
  <c r="BS27" i="113"/>
  <c r="BP27" i="113"/>
  <c r="BP188" i="113" s="1"/>
  <c r="CA26" i="113"/>
  <c r="BZ26" i="113"/>
  <c r="BV26" i="113"/>
  <c r="BS26" i="113"/>
  <c r="BS187" i="113" s="1"/>
  <c r="BP26" i="113"/>
  <c r="CA25" i="113"/>
  <c r="BZ25" i="113"/>
  <c r="BV25" i="113"/>
  <c r="BV186" i="113" s="1"/>
  <c r="BS25" i="113"/>
  <c r="BP25" i="113"/>
  <c r="BC47" i="113"/>
  <c r="BB47" i="113"/>
  <c r="AX47" i="113"/>
  <c r="AU47" i="113"/>
  <c r="AU258" i="113" s="1"/>
  <c r="AR47" i="113"/>
  <c r="BC46" i="113"/>
  <c r="BA46" i="113" s="1"/>
  <c r="BB46" i="113"/>
  <c r="AX46" i="113"/>
  <c r="AU46" i="113"/>
  <c r="AR46" i="113"/>
  <c r="AZ45" i="113"/>
  <c r="AY45" i="113"/>
  <c r="AX45" i="113" s="1"/>
  <c r="AW45" i="113"/>
  <c r="AV45" i="113"/>
  <c r="AU45" i="113" s="1"/>
  <c r="AT45" i="113"/>
  <c r="AS45" i="113"/>
  <c r="AS32" i="113" s="1"/>
  <c r="BC44" i="113"/>
  <c r="BB44" i="113"/>
  <c r="AX44" i="113"/>
  <c r="AX254" i="113" s="1"/>
  <c r="AU44" i="113"/>
  <c r="AR44" i="113"/>
  <c r="BC43" i="113"/>
  <c r="BB43" i="113"/>
  <c r="AX43" i="113"/>
  <c r="AX253" i="113" s="1"/>
  <c r="AU43" i="113"/>
  <c r="AR43" i="113"/>
  <c r="BC42" i="113"/>
  <c r="BB42" i="113"/>
  <c r="AX42" i="113"/>
  <c r="AU42" i="113"/>
  <c r="AR42" i="113"/>
  <c r="AZ41" i="113"/>
  <c r="AY41" i="113"/>
  <c r="AW41" i="113"/>
  <c r="AV41" i="113"/>
  <c r="AT41" i="113"/>
  <c r="AS41" i="113"/>
  <c r="BC40" i="113"/>
  <c r="BB40" i="113"/>
  <c r="AX40" i="113"/>
  <c r="AU40" i="113"/>
  <c r="AR40" i="113"/>
  <c r="BC39" i="113"/>
  <c r="BB39" i="113"/>
  <c r="AX39" i="113"/>
  <c r="AU39" i="113"/>
  <c r="AU235" i="113" s="1"/>
  <c r="AR39" i="113"/>
  <c r="BC38" i="113"/>
  <c r="BB38" i="113"/>
  <c r="AX38" i="113"/>
  <c r="AU38" i="113"/>
  <c r="AR38" i="113"/>
  <c r="BC37" i="113"/>
  <c r="BB37" i="113"/>
  <c r="AX37" i="113"/>
  <c r="AU37" i="113"/>
  <c r="AU232" i="113" s="1"/>
  <c r="AR37" i="113"/>
  <c r="AR232" i="113" s="1"/>
  <c r="BC36" i="113"/>
  <c r="BB36" i="113"/>
  <c r="AX36" i="113"/>
  <c r="AX231" i="113" s="1"/>
  <c r="AU36" i="113"/>
  <c r="AR36" i="113"/>
  <c r="BC35" i="113"/>
  <c r="BC230" i="113" s="1"/>
  <c r="BB35" i="113"/>
  <c r="BB230" i="113" s="1"/>
  <c r="AX35" i="113"/>
  <c r="AX230" i="113" s="1"/>
  <c r="AU35" i="113"/>
  <c r="AU230" i="113" s="1"/>
  <c r="AR35" i="113"/>
  <c r="AR230" i="113" s="1"/>
  <c r="BC34" i="113"/>
  <c r="BB34" i="113"/>
  <c r="AX34" i="113"/>
  <c r="AU34" i="113"/>
  <c r="AR34" i="113"/>
  <c r="BC33" i="113"/>
  <c r="BB33" i="113"/>
  <c r="AX33" i="113"/>
  <c r="AU33" i="113"/>
  <c r="AR33" i="113"/>
  <c r="AZ32" i="113"/>
  <c r="AW32" i="113"/>
  <c r="AT32" i="113"/>
  <c r="AT194" i="113" s="1"/>
  <c r="AZ31" i="113"/>
  <c r="AY31" i="113"/>
  <c r="AW31" i="113"/>
  <c r="AV31" i="113"/>
  <c r="AS31" i="113"/>
  <c r="BC30" i="113"/>
  <c r="BB30" i="113"/>
  <c r="AX30" i="113"/>
  <c r="AU30" i="113"/>
  <c r="AR30" i="113"/>
  <c r="BC29" i="113"/>
  <c r="BB29" i="113"/>
  <c r="AX29" i="113"/>
  <c r="AU29" i="113"/>
  <c r="AR29" i="113"/>
  <c r="BC28" i="113"/>
  <c r="BB28" i="113"/>
  <c r="AX28" i="113"/>
  <c r="AU28" i="113"/>
  <c r="AR28" i="113"/>
  <c r="BC27" i="113"/>
  <c r="BB27" i="113"/>
  <c r="AX27" i="113"/>
  <c r="AU27" i="113"/>
  <c r="AR27" i="113"/>
  <c r="BC26" i="113"/>
  <c r="BB26" i="113"/>
  <c r="AX26" i="113"/>
  <c r="AU26" i="113"/>
  <c r="AR26" i="113"/>
  <c r="BC25" i="113"/>
  <c r="BB25" i="113"/>
  <c r="AX25" i="113"/>
  <c r="AX186" i="113" s="1"/>
  <c r="AU25" i="113"/>
  <c r="AU186" i="113" s="1"/>
  <c r="AR25" i="113"/>
  <c r="AW24" i="113"/>
  <c r="AE47" i="113"/>
  <c r="AC47" i="113" s="1"/>
  <c r="AD47" i="113"/>
  <c r="Z47" i="113"/>
  <c r="W47" i="113"/>
  <c r="W258" i="113" s="1"/>
  <c r="T47" i="113"/>
  <c r="T258" i="113" s="1"/>
  <c r="AE46" i="113"/>
  <c r="AD46" i="113"/>
  <c r="Z46" i="113"/>
  <c r="W46" i="113"/>
  <c r="T46" i="113"/>
  <c r="AB45" i="113"/>
  <c r="AA45" i="113"/>
  <c r="Z45" i="113" s="1"/>
  <c r="Y45" i="113"/>
  <c r="X45" i="113"/>
  <c r="W45" i="113" s="1"/>
  <c r="V45" i="113"/>
  <c r="U45" i="113"/>
  <c r="U32" i="113" s="1"/>
  <c r="AE44" i="113"/>
  <c r="AE254" i="113" s="1"/>
  <c r="AD44" i="113"/>
  <c r="Z44" i="113"/>
  <c r="W44" i="113"/>
  <c r="W254" i="113" s="1"/>
  <c r="T44" i="113"/>
  <c r="T254" i="113" s="1"/>
  <c r="AE43" i="113"/>
  <c r="AD43" i="113"/>
  <c r="Z43" i="113"/>
  <c r="Z253" i="113" s="1"/>
  <c r="W43" i="113"/>
  <c r="W253" i="113" s="1"/>
  <c r="T43" i="113"/>
  <c r="AE42" i="113"/>
  <c r="AD42" i="113"/>
  <c r="Z42" i="113"/>
  <c r="W42" i="113"/>
  <c r="T42" i="113"/>
  <c r="AB41" i="113"/>
  <c r="AB32" i="113" s="1"/>
  <c r="AA41" i="113"/>
  <c r="Y41" i="113"/>
  <c r="Y32" i="113" s="1"/>
  <c r="X41" i="113"/>
  <c r="V41" i="113"/>
  <c r="V32" i="113" s="1"/>
  <c r="U41" i="113"/>
  <c r="AE40" i="113"/>
  <c r="AD40" i="113"/>
  <c r="AC40" i="113" s="1"/>
  <c r="Z40" i="113"/>
  <c r="W40" i="113"/>
  <c r="T40" i="113"/>
  <c r="AE39" i="113"/>
  <c r="AE235" i="113" s="1"/>
  <c r="AD39" i="113"/>
  <c r="Z39" i="113"/>
  <c r="W39" i="113"/>
  <c r="T39" i="113"/>
  <c r="T235" i="113" s="1"/>
  <c r="AE38" i="113"/>
  <c r="AD38" i="113"/>
  <c r="AD233" i="113" s="1"/>
  <c r="Z38" i="113"/>
  <c r="W38" i="113"/>
  <c r="T38" i="113"/>
  <c r="AE37" i="113"/>
  <c r="AD37" i="113"/>
  <c r="AC37" i="113" s="1"/>
  <c r="Z37" i="113"/>
  <c r="W37" i="113"/>
  <c r="T37" i="113"/>
  <c r="AE36" i="113"/>
  <c r="AD36" i="113"/>
  <c r="Z36" i="113"/>
  <c r="W36" i="113"/>
  <c r="T36" i="113"/>
  <c r="AE35" i="113"/>
  <c r="AD35" i="113"/>
  <c r="Z35" i="113"/>
  <c r="Z230" i="113" s="1"/>
  <c r="W35" i="113"/>
  <c r="W230" i="113" s="1"/>
  <c r="T35" i="113"/>
  <c r="T230" i="113" s="1"/>
  <c r="AE34" i="113"/>
  <c r="AD34" i="113"/>
  <c r="AC34" i="113"/>
  <c r="Z34" i="113"/>
  <c r="W34" i="113"/>
  <c r="T34" i="113"/>
  <c r="AE33" i="113"/>
  <c r="AD33" i="113"/>
  <c r="Z33" i="113"/>
  <c r="W33" i="113"/>
  <c r="T33" i="113"/>
  <c r="X32" i="113"/>
  <c r="AB31" i="113"/>
  <c r="AA31" i="113"/>
  <c r="Y31" i="113"/>
  <c r="X31" i="113"/>
  <c r="V31" i="113"/>
  <c r="U31" i="113"/>
  <c r="AE30" i="113"/>
  <c r="AD30" i="113"/>
  <c r="Z30" i="113"/>
  <c r="W30" i="113"/>
  <c r="T30" i="113"/>
  <c r="AE29" i="113"/>
  <c r="AD29" i="113"/>
  <c r="Z29" i="113"/>
  <c r="W29" i="113"/>
  <c r="T29" i="113"/>
  <c r="AE28" i="113"/>
  <c r="AD28" i="113"/>
  <c r="Z28" i="113"/>
  <c r="W28" i="113"/>
  <c r="T28" i="113"/>
  <c r="AE27" i="113"/>
  <c r="AE188" i="113" s="1"/>
  <c r="AD27" i="113"/>
  <c r="Z27" i="113"/>
  <c r="W27" i="113"/>
  <c r="T27" i="113"/>
  <c r="T188" i="113" s="1"/>
  <c r="AE26" i="113"/>
  <c r="AD26" i="113"/>
  <c r="Z26" i="113"/>
  <c r="W26" i="113"/>
  <c r="T26" i="113"/>
  <c r="AE25" i="113"/>
  <c r="AD25" i="113"/>
  <c r="AD186" i="113" s="1"/>
  <c r="Z25" i="113"/>
  <c r="W25" i="113"/>
  <c r="T25" i="113"/>
  <c r="P47" i="113"/>
  <c r="O47" i="113"/>
  <c r="P46" i="113"/>
  <c r="O46" i="113"/>
  <c r="P44" i="113"/>
  <c r="P254" i="113" s="1"/>
  <c r="O44" i="113"/>
  <c r="P43" i="113"/>
  <c r="O43" i="113"/>
  <c r="P42" i="113"/>
  <c r="O42" i="113"/>
  <c r="P40" i="113"/>
  <c r="O40" i="113"/>
  <c r="P39" i="113"/>
  <c r="O39" i="113"/>
  <c r="P38" i="113"/>
  <c r="O38" i="113"/>
  <c r="P37" i="113"/>
  <c r="P232" i="113" s="1"/>
  <c r="O37" i="113"/>
  <c r="P36" i="113"/>
  <c r="O36" i="113"/>
  <c r="P35" i="113"/>
  <c r="P230" i="113" s="1"/>
  <c r="O35" i="113"/>
  <c r="P34" i="113"/>
  <c r="O34" i="113"/>
  <c r="P33" i="113"/>
  <c r="O33" i="113"/>
  <c r="P30" i="113"/>
  <c r="P192" i="113" s="1"/>
  <c r="O30" i="113"/>
  <c r="P29" i="113"/>
  <c r="O29" i="113"/>
  <c r="P28" i="113"/>
  <c r="P189" i="113" s="1"/>
  <c r="O28" i="113"/>
  <c r="P27" i="113"/>
  <c r="O27" i="113"/>
  <c r="P26" i="113"/>
  <c r="O26" i="113"/>
  <c r="M31" i="113"/>
  <c r="L31" i="113"/>
  <c r="J31" i="113"/>
  <c r="I31" i="113"/>
  <c r="G31" i="113"/>
  <c r="F31" i="113"/>
  <c r="P25" i="113"/>
  <c r="O25" i="113"/>
  <c r="K47" i="113"/>
  <c r="K46" i="113"/>
  <c r="M45" i="113"/>
  <c r="M32" i="113" s="1"/>
  <c r="L45" i="113"/>
  <c r="K44" i="113"/>
  <c r="K254" i="113" s="1"/>
  <c r="K43" i="113"/>
  <c r="K253" i="113" s="1"/>
  <c r="K42" i="113"/>
  <c r="M41" i="113"/>
  <c r="L41" i="113"/>
  <c r="K41" i="113" s="1"/>
  <c r="K40" i="113"/>
  <c r="K39" i="113"/>
  <c r="K38" i="113"/>
  <c r="K37" i="113"/>
  <c r="K36" i="113"/>
  <c r="K35" i="113"/>
  <c r="K230" i="113" s="1"/>
  <c r="K34" i="113"/>
  <c r="K33" i="113"/>
  <c r="K30" i="113"/>
  <c r="K29" i="113"/>
  <c r="K28" i="113"/>
  <c r="K27" i="113"/>
  <c r="K26" i="113"/>
  <c r="K25" i="113"/>
  <c r="K186" i="113" s="1"/>
  <c r="H47" i="113"/>
  <c r="H46" i="113"/>
  <c r="H256" i="113" s="1"/>
  <c r="J45" i="113"/>
  <c r="I45" i="113"/>
  <c r="H45" i="113" s="1"/>
  <c r="H44" i="113"/>
  <c r="H43" i="113"/>
  <c r="H253" i="113" s="1"/>
  <c r="H42" i="113"/>
  <c r="J41" i="113"/>
  <c r="I41" i="113"/>
  <c r="H40" i="113"/>
  <c r="H39" i="113"/>
  <c r="H38" i="113"/>
  <c r="H37" i="113"/>
  <c r="H232" i="113" s="1"/>
  <c r="H36" i="113"/>
  <c r="H35" i="113"/>
  <c r="H230" i="113" s="1"/>
  <c r="H34" i="113"/>
  <c r="H33" i="113"/>
  <c r="J32" i="113"/>
  <c r="H30" i="113"/>
  <c r="H29" i="113"/>
  <c r="H28" i="113"/>
  <c r="H27" i="113"/>
  <c r="H188" i="113" s="1"/>
  <c r="H26" i="113"/>
  <c r="H25" i="113"/>
  <c r="E47" i="113"/>
  <c r="E46" i="113"/>
  <c r="E44" i="113"/>
  <c r="E43" i="113"/>
  <c r="E253" i="113" s="1"/>
  <c r="E42" i="113"/>
  <c r="E40" i="113"/>
  <c r="E39" i="113"/>
  <c r="E38" i="113"/>
  <c r="E37" i="113"/>
  <c r="E36" i="113"/>
  <c r="E35" i="113"/>
  <c r="E230" i="113" s="1"/>
  <c r="E34" i="113"/>
  <c r="E33" i="113"/>
  <c r="E30" i="113"/>
  <c r="E29" i="113"/>
  <c r="E28" i="113"/>
  <c r="E27" i="113"/>
  <c r="E26" i="113"/>
  <c r="G45" i="113"/>
  <c r="F45" i="113"/>
  <c r="G41" i="113"/>
  <c r="F41" i="113"/>
  <c r="E41" i="113" s="1"/>
  <c r="G32" i="113"/>
  <c r="E25" i="113"/>
  <c r="G24" i="113"/>
  <c r="BX9" i="115"/>
  <c r="BX139" i="115" s="1"/>
  <c r="BX174" i="115" s="1"/>
  <c r="BW9" i="115"/>
  <c r="BU9" i="115"/>
  <c r="BU139" i="115" s="1"/>
  <c r="BU174" i="115" s="1"/>
  <c r="BT9" i="115"/>
  <c r="BR9" i="115"/>
  <c r="BR139" i="115" s="1"/>
  <c r="BR174" i="115" s="1"/>
  <c r="BQ9" i="115"/>
  <c r="AZ9" i="115"/>
  <c r="AZ139" i="115" s="1"/>
  <c r="AZ174" i="115" s="1"/>
  <c r="AY9" i="115"/>
  <c r="AY139" i="115" s="1"/>
  <c r="AY174" i="115" s="1"/>
  <c r="AW9" i="115"/>
  <c r="AW139" i="115" s="1"/>
  <c r="AW174" i="115" s="1"/>
  <c r="AV9" i="115"/>
  <c r="AV121" i="115" s="1"/>
  <c r="AT9" i="115"/>
  <c r="AT139" i="115" s="1"/>
  <c r="AT174" i="115" s="1"/>
  <c r="AS9" i="115"/>
  <c r="AS139" i="115" s="1"/>
  <c r="AS174" i="115" s="1"/>
  <c r="AB9" i="115"/>
  <c r="AB139" i="115" s="1"/>
  <c r="AB174" i="115" s="1"/>
  <c r="AA9" i="115"/>
  <c r="Y9" i="115"/>
  <c r="Y139" i="115" s="1"/>
  <c r="Y174" i="115" s="1"/>
  <c r="X9" i="115"/>
  <c r="X139" i="115" s="1"/>
  <c r="X174" i="115" s="1"/>
  <c r="V9" i="115"/>
  <c r="V139" i="115" s="1"/>
  <c r="V174" i="115" s="1"/>
  <c r="U9" i="115"/>
  <c r="M9" i="115"/>
  <c r="M139" i="115" s="1"/>
  <c r="M174" i="115" s="1"/>
  <c r="L9" i="115"/>
  <c r="L139" i="115" s="1"/>
  <c r="L174" i="115" s="1"/>
  <c r="J9" i="115"/>
  <c r="J139" i="115" s="1"/>
  <c r="J174" i="115" s="1"/>
  <c r="I9" i="115"/>
  <c r="I139" i="115" s="1"/>
  <c r="I174" i="115" s="1"/>
  <c r="G9" i="115"/>
  <c r="G139" i="115" s="1"/>
  <c r="G174" i="115" s="1"/>
  <c r="BX218" i="115"/>
  <c r="BW218" i="115"/>
  <c r="BU218" i="115"/>
  <c r="BT218" i="115"/>
  <c r="BR218" i="115"/>
  <c r="BQ218" i="115"/>
  <c r="BX217" i="115"/>
  <c r="BW217" i="115"/>
  <c r="BU217" i="115"/>
  <c r="BT217" i="115"/>
  <c r="BR217" i="115"/>
  <c r="BQ217" i="115"/>
  <c r="BX216" i="115"/>
  <c r="BW216" i="115"/>
  <c r="BU216" i="115"/>
  <c r="BT216" i="115"/>
  <c r="BR216" i="115"/>
  <c r="BQ216" i="115"/>
  <c r="BX215" i="115"/>
  <c r="BW215" i="115"/>
  <c r="BU215" i="115"/>
  <c r="BT215" i="115"/>
  <c r="BR215" i="115"/>
  <c r="BQ215" i="115"/>
  <c r="BX213" i="115"/>
  <c r="BW213" i="115"/>
  <c r="BU213" i="115"/>
  <c r="BT213" i="115"/>
  <c r="BR213" i="115"/>
  <c r="BQ213" i="115"/>
  <c r="BX212" i="115"/>
  <c r="BW212" i="115"/>
  <c r="BU212" i="115"/>
  <c r="BT212" i="115"/>
  <c r="BR212" i="115"/>
  <c r="BQ212" i="115"/>
  <c r="BX211" i="115"/>
  <c r="BW211" i="115"/>
  <c r="BU211" i="115"/>
  <c r="BT211" i="115"/>
  <c r="BR211" i="115"/>
  <c r="BQ211" i="115"/>
  <c r="BX210" i="115"/>
  <c r="BW210" i="115"/>
  <c r="BU210" i="115"/>
  <c r="BT210" i="115"/>
  <c r="BR210" i="115"/>
  <c r="BQ210" i="115"/>
  <c r="BX208" i="115"/>
  <c r="BW208" i="115"/>
  <c r="BU208" i="115"/>
  <c r="BT208" i="115"/>
  <c r="BR208" i="115"/>
  <c r="BQ208" i="115"/>
  <c r="BX207" i="115"/>
  <c r="BW207" i="115"/>
  <c r="BU207" i="115"/>
  <c r="BT207" i="115"/>
  <c r="BR207" i="115"/>
  <c r="BQ207" i="115"/>
  <c r="BX206" i="115"/>
  <c r="BW206" i="115"/>
  <c r="BU206" i="115"/>
  <c r="BT206" i="115"/>
  <c r="BR206" i="115"/>
  <c r="BQ206" i="115"/>
  <c r="BX205" i="115"/>
  <c r="BW205" i="115"/>
  <c r="BU205" i="115"/>
  <c r="BT205" i="115"/>
  <c r="BR205" i="115"/>
  <c r="BQ205" i="115"/>
  <c r="BX204" i="115"/>
  <c r="BW204" i="115"/>
  <c r="BU204" i="115"/>
  <c r="BT204" i="115"/>
  <c r="BR204" i="115"/>
  <c r="BQ204" i="115"/>
  <c r="BX203" i="115"/>
  <c r="BW203" i="115"/>
  <c r="BU203" i="115"/>
  <c r="BT203" i="115"/>
  <c r="BR203" i="115"/>
  <c r="BQ203" i="115"/>
  <c r="BX202" i="115"/>
  <c r="BW202" i="115"/>
  <c r="BU202" i="115"/>
  <c r="BT202" i="115"/>
  <c r="BR202" i="115"/>
  <c r="BQ202" i="115"/>
  <c r="BX201" i="115"/>
  <c r="BW201" i="115"/>
  <c r="BU201" i="115"/>
  <c r="BT201" i="115"/>
  <c r="BR201" i="115"/>
  <c r="BQ201" i="115"/>
  <c r="BX200" i="115"/>
  <c r="BW200" i="115"/>
  <c r="BU200" i="115"/>
  <c r="BT200" i="115"/>
  <c r="BR200" i="115"/>
  <c r="BQ200" i="115"/>
  <c r="BX199" i="115"/>
  <c r="BW199" i="115"/>
  <c r="BU199" i="115"/>
  <c r="BT199" i="115"/>
  <c r="BR199" i="115"/>
  <c r="BQ199" i="115"/>
  <c r="BX198" i="115"/>
  <c r="BW198" i="115"/>
  <c r="BU198" i="115"/>
  <c r="BT198" i="115"/>
  <c r="BR198" i="115"/>
  <c r="BQ198" i="115"/>
  <c r="BX197" i="115"/>
  <c r="BW197" i="115"/>
  <c r="BU197" i="115"/>
  <c r="BT197" i="115"/>
  <c r="BR197" i="115"/>
  <c r="BQ197" i="115"/>
  <c r="BX196" i="115"/>
  <c r="BW196" i="115"/>
  <c r="BU196" i="115"/>
  <c r="BT196" i="115"/>
  <c r="BR196" i="115"/>
  <c r="BQ196" i="115"/>
  <c r="BX195" i="115"/>
  <c r="BW195" i="115"/>
  <c r="BU195" i="115"/>
  <c r="BT195" i="115"/>
  <c r="BR195" i="115"/>
  <c r="BQ195" i="115"/>
  <c r="BX194" i="115"/>
  <c r="BW194" i="115"/>
  <c r="BU194" i="115"/>
  <c r="BT194" i="115"/>
  <c r="BR194" i="115"/>
  <c r="BQ194" i="115"/>
  <c r="BX193" i="115"/>
  <c r="BW193" i="115"/>
  <c r="BU193" i="115"/>
  <c r="BT193" i="115"/>
  <c r="BR193" i="115"/>
  <c r="BQ193" i="115"/>
  <c r="BX192" i="115"/>
  <c r="BW192" i="115"/>
  <c r="BU192" i="115"/>
  <c r="BT192" i="115"/>
  <c r="BR192" i="115"/>
  <c r="BQ192" i="115"/>
  <c r="BX191" i="115"/>
  <c r="BW191" i="115"/>
  <c r="BU191" i="115"/>
  <c r="BT191" i="115"/>
  <c r="BR191" i="115"/>
  <c r="BQ191" i="115"/>
  <c r="BX190" i="115"/>
  <c r="BW190" i="115"/>
  <c r="BU190" i="115"/>
  <c r="BT190" i="115"/>
  <c r="BR190" i="115"/>
  <c r="BQ190" i="115"/>
  <c r="AZ218" i="115"/>
  <c r="AY218" i="115"/>
  <c r="AW218" i="115"/>
  <c r="AV218" i="115"/>
  <c r="AT218" i="115"/>
  <c r="AS218" i="115"/>
  <c r="AZ217" i="115"/>
  <c r="AY217" i="115"/>
  <c r="AW217" i="115"/>
  <c r="AV217" i="115"/>
  <c r="AT217" i="115"/>
  <c r="AS217" i="115"/>
  <c r="AZ216" i="115"/>
  <c r="AY216" i="115"/>
  <c r="AW216" i="115"/>
  <c r="AV216" i="115"/>
  <c r="AT216" i="115"/>
  <c r="AS216" i="115"/>
  <c r="AZ215" i="115"/>
  <c r="AY215" i="115"/>
  <c r="AW215" i="115"/>
  <c r="AV215" i="115"/>
  <c r="AT215" i="115"/>
  <c r="AS215" i="115"/>
  <c r="AZ213" i="115"/>
  <c r="AY213" i="115"/>
  <c r="AW213" i="115"/>
  <c r="AV213" i="115"/>
  <c r="AT213" i="115"/>
  <c r="AS213" i="115"/>
  <c r="AZ212" i="115"/>
  <c r="AY212" i="115"/>
  <c r="AW212" i="115"/>
  <c r="AV212" i="115"/>
  <c r="AT212" i="115"/>
  <c r="AS212" i="115"/>
  <c r="AZ211" i="115"/>
  <c r="AY211" i="115"/>
  <c r="AW211" i="115"/>
  <c r="AV211" i="115"/>
  <c r="AT211" i="115"/>
  <c r="AS211" i="115"/>
  <c r="AZ210" i="115"/>
  <c r="AY210" i="115"/>
  <c r="AW210" i="115"/>
  <c r="AV210" i="115"/>
  <c r="AT210" i="115"/>
  <c r="AS210" i="115"/>
  <c r="AZ208" i="115"/>
  <c r="AY208" i="115"/>
  <c r="AW208" i="115"/>
  <c r="AV208" i="115"/>
  <c r="AT208" i="115"/>
  <c r="AS208" i="115"/>
  <c r="AZ207" i="115"/>
  <c r="AY207" i="115"/>
  <c r="AW207" i="115"/>
  <c r="AV207" i="115"/>
  <c r="AT207" i="115"/>
  <c r="AS207" i="115"/>
  <c r="AZ206" i="115"/>
  <c r="AY206" i="115"/>
  <c r="AW206" i="115"/>
  <c r="AV206" i="115"/>
  <c r="AT206" i="115"/>
  <c r="AS206" i="115"/>
  <c r="AZ205" i="115"/>
  <c r="AY205" i="115"/>
  <c r="AW205" i="115"/>
  <c r="AV205" i="115"/>
  <c r="AT205" i="115"/>
  <c r="AS205" i="115"/>
  <c r="AZ204" i="115"/>
  <c r="AY204" i="115"/>
  <c r="AW204" i="115"/>
  <c r="AV204" i="115"/>
  <c r="AT204" i="115"/>
  <c r="AS204" i="115"/>
  <c r="AZ203" i="115"/>
  <c r="AY203" i="115"/>
  <c r="AW203" i="115"/>
  <c r="AV203" i="115"/>
  <c r="AT203" i="115"/>
  <c r="AS203" i="115"/>
  <c r="AZ202" i="115"/>
  <c r="AY202" i="115"/>
  <c r="AW202" i="115"/>
  <c r="AV202" i="115"/>
  <c r="AT202" i="115"/>
  <c r="AS202" i="115"/>
  <c r="AZ201" i="115"/>
  <c r="AY201" i="115"/>
  <c r="AW201" i="115"/>
  <c r="AV201" i="115"/>
  <c r="AT201" i="115"/>
  <c r="AS201" i="115"/>
  <c r="AZ200" i="115"/>
  <c r="AY200" i="115"/>
  <c r="AW200" i="115"/>
  <c r="AV200" i="115"/>
  <c r="AT200" i="115"/>
  <c r="AS200" i="115"/>
  <c r="AZ199" i="115"/>
  <c r="AY199" i="115"/>
  <c r="AW199" i="115"/>
  <c r="AV199" i="115"/>
  <c r="AT199" i="115"/>
  <c r="AS199" i="115"/>
  <c r="AZ198" i="115"/>
  <c r="AY198" i="115"/>
  <c r="AW198" i="115"/>
  <c r="AV198" i="115"/>
  <c r="AT198" i="115"/>
  <c r="AS198" i="115"/>
  <c r="AZ197" i="115"/>
  <c r="AY197" i="115"/>
  <c r="AW197" i="115"/>
  <c r="AV197" i="115"/>
  <c r="AT197" i="115"/>
  <c r="AS197" i="115"/>
  <c r="AZ196" i="115"/>
  <c r="AY196" i="115"/>
  <c r="AW196" i="115"/>
  <c r="AV196" i="115"/>
  <c r="AT196" i="115"/>
  <c r="AS196" i="115"/>
  <c r="AZ195" i="115"/>
  <c r="AY195" i="115"/>
  <c r="AW195" i="115"/>
  <c r="AV195" i="115"/>
  <c r="AT195" i="115"/>
  <c r="AS195" i="115"/>
  <c r="AZ194" i="115"/>
  <c r="AY194" i="115"/>
  <c r="AW194" i="115"/>
  <c r="AV194" i="115"/>
  <c r="AT194" i="115"/>
  <c r="AS194" i="115"/>
  <c r="AZ193" i="115"/>
  <c r="AY193" i="115"/>
  <c r="AW193" i="115"/>
  <c r="AV193" i="115"/>
  <c r="AT193" i="115"/>
  <c r="AS193" i="115"/>
  <c r="AZ192" i="115"/>
  <c r="AY192" i="115"/>
  <c r="AW192" i="115"/>
  <c r="AV192" i="115"/>
  <c r="AT192" i="115"/>
  <c r="AS192" i="115"/>
  <c r="AZ191" i="115"/>
  <c r="AY191" i="115"/>
  <c r="AW191" i="115"/>
  <c r="AV191" i="115"/>
  <c r="AT191" i="115"/>
  <c r="AS191" i="115"/>
  <c r="AZ190" i="115"/>
  <c r="AY190" i="115"/>
  <c r="AW190" i="115"/>
  <c r="AV190" i="115"/>
  <c r="AT190" i="115"/>
  <c r="AS190" i="115"/>
  <c r="AB218" i="115"/>
  <c r="AA218" i="115"/>
  <c r="Y218" i="115"/>
  <c r="X218" i="115"/>
  <c r="V218" i="115"/>
  <c r="U218" i="115"/>
  <c r="M218" i="115"/>
  <c r="L218" i="115"/>
  <c r="J218" i="115"/>
  <c r="I218" i="115"/>
  <c r="G218" i="115"/>
  <c r="F218" i="115"/>
  <c r="AB217" i="115"/>
  <c r="AA217" i="115"/>
  <c r="Y217" i="115"/>
  <c r="X217" i="115"/>
  <c r="V217" i="115"/>
  <c r="M217" i="115"/>
  <c r="L217" i="115"/>
  <c r="J217" i="115"/>
  <c r="I217" i="115"/>
  <c r="G217" i="115"/>
  <c r="F217" i="115"/>
  <c r="AB216" i="115"/>
  <c r="AA216" i="115"/>
  <c r="Y216" i="115"/>
  <c r="X216" i="115"/>
  <c r="V216" i="115"/>
  <c r="U216" i="115"/>
  <c r="M216" i="115"/>
  <c r="L216" i="115"/>
  <c r="J216" i="115"/>
  <c r="I216" i="115"/>
  <c r="G216" i="115"/>
  <c r="F216" i="115"/>
  <c r="AB215" i="115"/>
  <c r="AA215" i="115"/>
  <c r="Y215" i="115"/>
  <c r="X215" i="115"/>
  <c r="V215" i="115"/>
  <c r="U215" i="115"/>
  <c r="M215" i="115"/>
  <c r="L215" i="115"/>
  <c r="J215" i="115"/>
  <c r="I215" i="115"/>
  <c r="G215" i="115"/>
  <c r="F215" i="115"/>
  <c r="AB213" i="115"/>
  <c r="AA213" i="115"/>
  <c r="Y213" i="115"/>
  <c r="X213" i="115"/>
  <c r="V213" i="115"/>
  <c r="U213" i="115"/>
  <c r="M213" i="115"/>
  <c r="L213" i="115"/>
  <c r="J213" i="115"/>
  <c r="I213" i="115"/>
  <c r="G213" i="115"/>
  <c r="F213" i="115"/>
  <c r="AB212" i="115"/>
  <c r="AA212" i="115"/>
  <c r="Y212" i="115"/>
  <c r="X212" i="115"/>
  <c r="V212" i="115"/>
  <c r="U212" i="115"/>
  <c r="M212" i="115"/>
  <c r="L212" i="115"/>
  <c r="J212" i="115"/>
  <c r="I212" i="115"/>
  <c r="G212" i="115"/>
  <c r="F212" i="115"/>
  <c r="AB211" i="115"/>
  <c r="AA211" i="115"/>
  <c r="Y211" i="115"/>
  <c r="X211" i="115"/>
  <c r="V211" i="115"/>
  <c r="U211" i="115"/>
  <c r="M211" i="115"/>
  <c r="L211" i="115"/>
  <c r="J211" i="115"/>
  <c r="I211" i="115"/>
  <c r="G211" i="115"/>
  <c r="F211" i="115"/>
  <c r="AB210" i="115"/>
  <c r="AA210" i="115"/>
  <c r="Y210" i="115"/>
  <c r="X210" i="115"/>
  <c r="V210" i="115"/>
  <c r="U210" i="115"/>
  <c r="M210" i="115"/>
  <c r="L210" i="115"/>
  <c r="J210" i="115"/>
  <c r="I210" i="115"/>
  <c r="G210" i="115"/>
  <c r="F210" i="115"/>
  <c r="AB208" i="115"/>
  <c r="AA208" i="115"/>
  <c r="Y208" i="115"/>
  <c r="X208" i="115"/>
  <c r="V208" i="115"/>
  <c r="U208" i="115"/>
  <c r="M208" i="115"/>
  <c r="L208" i="115"/>
  <c r="J208" i="115"/>
  <c r="I208" i="115"/>
  <c r="G208" i="115"/>
  <c r="F208" i="115"/>
  <c r="AB207" i="115"/>
  <c r="AA207" i="115"/>
  <c r="Y207" i="115"/>
  <c r="X207" i="115"/>
  <c r="V207" i="115"/>
  <c r="U207" i="115"/>
  <c r="M207" i="115"/>
  <c r="L207" i="115"/>
  <c r="J207" i="115"/>
  <c r="I207" i="115"/>
  <c r="G207" i="115"/>
  <c r="F207" i="115"/>
  <c r="AB206" i="115"/>
  <c r="AA206" i="115"/>
  <c r="Y206" i="115"/>
  <c r="X206" i="115"/>
  <c r="V206" i="115"/>
  <c r="U206" i="115"/>
  <c r="M206" i="115"/>
  <c r="L206" i="115"/>
  <c r="J206" i="115"/>
  <c r="I206" i="115"/>
  <c r="G206" i="115"/>
  <c r="F206" i="115"/>
  <c r="AB205" i="115"/>
  <c r="AA205" i="115"/>
  <c r="Y205" i="115"/>
  <c r="X205" i="115"/>
  <c r="V205" i="115"/>
  <c r="U205" i="115"/>
  <c r="M205" i="115"/>
  <c r="L205" i="115"/>
  <c r="J205" i="115"/>
  <c r="I205" i="115"/>
  <c r="G205" i="115"/>
  <c r="F205" i="115"/>
  <c r="AB204" i="115"/>
  <c r="AA204" i="115"/>
  <c r="Y204" i="115"/>
  <c r="X204" i="115"/>
  <c r="V204" i="115"/>
  <c r="U204" i="115"/>
  <c r="M204" i="115"/>
  <c r="L204" i="115"/>
  <c r="J204" i="115"/>
  <c r="I204" i="115"/>
  <c r="G204" i="115"/>
  <c r="F204" i="115"/>
  <c r="AB203" i="115"/>
  <c r="AA203" i="115"/>
  <c r="Y203" i="115"/>
  <c r="X203" i="115"/>
  <c r="V203" i="115"/>
  <c r="U203" i="115"/>
  <c r="M203" i="115"/>
  <c r="L203" i="115"/>
  <c r="J203" i="115"/>
  <c r="I203" i="115"/>
  <c r="G203" i="115"/>
  <c r="F203" i="115"/>
  <c r="AB202" i="115"/>
  <c r="AA202" i="115"/>
  <c r="Y202" i="115"/>
  <c r="X202" i="115"/>
  <c r="V202" i="115"/>
  <c r="U202" i="115"/>
  <c r="M202" i="115"/>
  <c r="L202" i="115"/>
  <c r="J202" i="115"/>
  <c r="I202" i="115"/>
  <c r="G202" i="115"/>
  <c r="F202" i="115"/>
  <c r="AB201" i="115"/>
  <c r="AA201" i="115"/>
  <c r="Y201" i="115"/>
  <c r="X201" i="115"/>
  <c r="V201" i="115"/>
  <c r="U201" i="115"/>
  <c r="M201" i="115"/>
  <c r="L201" i="115"/>
  <c r="J201" i="115"/>
  <c r="I201" i="115"/>
  <c r="G201" i="115"/>
  <c r="F201" i="115"/>
  <c r="AB200" i="115"/>
  <c r="AA200" i="115"/>
  <c r="Y200" i="115"/>
  <c r="X200" i="115"/>
  <c r="V200" i="115"/>
  <c r="U200" i="115"/>
  <c r="M200" i="115"/>
  <c r="L200" i="115"/>
  <c r="J200" i="115"/>
  <c r="I200" i="115"/>
  <c r="G200" i="115"/>
  <c r="F200" i="115"/>
  <c r="AB199" i="115"/>
  <c r="AA199" i="115"/>
  <c r="Y199" i="115"/>
  <c r="X199" i="115"/>
  <c r="V199" i="115"/>
  <c r="U199" i="115"/>
  <c r="M199" i="115"/>
  <c r="L199" i="115"/>
  <c r="J199" i="115"/>
  <c r="I199" i="115"/>
  <c r="G199" i="115"/>
  <c r="F199" i="115"/>
  <c r="AB198" i="115"/>
  <c r="AA198" i="115"/>
  <c r="Y198" i="115"/>
  <c r="X198" i="115"/>
  <c r="V198" i="115"/>
  <c r="U198" i="115"/>
  <c r="M198" i="115"/>
  <c r="L198" i="115"/>
  <c r="J198" i="115"/>
  <c r="I198" i="115"/>
  <c r="G198" i="115"/>
  <c r="F198" i="115"/>
  <c r="AB197" i="115"/>
  <c r="AA197" i="115"/>
  <c r="Y197" i="115"/>
  <c r="X197" i="115"/>
  <c r="V197" i="115"/>
  <c r="U197" i="115"/>
  <c r="M197" i="115"/>
  <c r="L197" i="115"/>
  <c r="J197" i="115"/>
  <c r="I197" i="115"/>
  <c r="G197" i="115"/>
  <c r="F197" i="115"/>
  <c r="AB196" i="115"/>
  <c r="AA196" i="115"/>
  <c r="Y196" i="115"/>
  <c r="X196" i="115"/>
  <c r="V196" i="115"/>
  <c r="U196" i="115"/>
  <c r="M196" i="115"/>
  <c r="L196" i="115"/>
  <c r="J196" i="115"/>
  <c r="I196" i="115"/>
  <c r="G196" i="115"/>
  <c r="F196" i="115"/>
  <c r="AB195" i="115"/>
  <c r="AA195" i="115"/>
  <c r="Y195" i="115"/>
  <c r="X195" i="115"/>
  <c r="V195" i="115"/>
  <c r="U195" i="115"/>
  <c r="M195" i="115"/>
  <c r="L195" i="115"/>
  <c r="J195" i="115"/>
  <c r="I195" i="115"/>
  <c r="G195" i="115"/>
  <c r="F195" i="115"/>
  <c r="AB194" i="115"/>
  <c r="AA194" i="115"/>
  <c r="Y194" i="115"/>
  <c r="X194" i="115"/>
  <c r="V194" i="115"/>
  <c r="U194" i="115"/>
  <c r="M194" i="115"/>
  <c r="L194" i="115"/>
  <c r="J194" i="115"/>
  <c r="I194" i="115"/>
  <c r="G194" i="115"/>
  <c r="F194" i="115"/>
  <c r="AB193" i="115"/>
  <c r="AA193" i="115"/>
  <c r="Y193" i="115"/>
  <c r="X193" i="115"/>
  <c r="V193" i="115"/>
  <c r="U193" i="115"/>
  <c r="M193" i="115"/>
  <c r="L193" i="115"/>
  <c r="J193" i="115"/>
  <c r="I193" i="115"/>
  <c r="G193" i="115"/>
  <c r="F193" i="115"/>
  <c r="AB192" i="115"/>
  <c r="AA192" i="115"/>
  <c r="Y192" i="115"/>
  <c r="X192" i="115"/>
  <c r="V192" i="115"/>
  <c r="U192" i="115"/>
  <c r="M192" i="115"/>
  <c r="L192" i="115"/>
  <c r="J192" i="115"/>
  <c r="I192" i="115"/>
  <c r="G192" i="115"/>
  <c r="F192" i="115"/>
  <c r="AB191" i="115"/>
  <c r="AA191" i="115"/>
  <c r="Y191" i="115"/>
  <c r="X191" i="115"/>
  <c r="V191" i="115"/>
  <c r="U191" i="115"/>
  <c r="M191" i="115"/>
  <c r="L191" i="115"/>
  <c r="J191" i="115"/>
  <c r="I191" i="115"/>
  <c r="G191" i="115"/>
  <c r="F191" i="115"/>
  <c r="AB190" i="115"/>
  <c r="AA190" i="115"/>
  <c r="Y190" i="115"/>
  <c r="X190" i="115"/>
  <c r="V190" i="115"/>
  <c r="U190" i="115"/>
  <c r="M190" i="115"/>
  <c r="L190" i="115"/>
  <c r="J190" i="115"/>
  <c r="I190" i="115"/>
  <c r="G190" i="115"/>
  <c r="F190" i="115"/>
  <c r="CD172" i="115"/>
  <c r="CD171" i="115"/>
  <c r="CC171" i="115"/>
  <c r="CD169" i="115"/>
  <c r="CD168" i="115"/>
  <c r="CD167" i="115"/>
  <c r="CD166" i="115"/>
  <c r="CD165" i="115"/>
  <c r="CD158" i="115"/>
  <c r="CB169" i="115"/>
  <c r="CB168" i="115"/>
  <c r="CB167" i="115"/>
  <c r="BX172" i="115"/>
  <c r="FJ56" i="116" s="1"/>
  <c r="BW172" i="115"/>
  <c r="FI56" i="116" s="1"/>
  <c r="FH56" i="116" s="1"/>
  <c r="BU172" i="115"/>
  <c r="FA56" i="116" s="1"/>
  <c r="BT172" i="115"/>
  <c r="EZ56" i="116" s="1"/>
  <c r="EY56" i="116" s="1"/>
  <c r="BR172" i="115"/>
  <c r="ER56" i="116" s="1"/>
  <c r="FS56" i="116" s="1"/>
  <c r="BQ172" i="115"/>
  <c r="EQ56" i="116" s="1"/>
  <c r="BX171" i="115"/>
  <c r="FJ55" i="116" s="1"/>
  <c r="BW171" i="115"/>
  <c r="FI55" i="116" s="1"/>
  <c r="BU171" i="115"/>
  <c r="FA55" i="116" s="1"/>
  <c r="BT171" i="115"/>
  <c r="EZ55" i="116" s="1"/>
  <c r="EY55" i="116" s="1"/>
  <c r="BR171" i="115"/>
  <c r="ER55" i="116" s="1"/>
  <c r="BQ171" i="115"/>
  <c r="EQ55" i="116" s="1"/>
  <c r="BX170" i="115"/>
  <c r="FJ54" i="116" s="1"/>
  <c r="BW170" i="115"/>
  <c r="FI54" i="116" s="1"/>
  <c r="FH54" i="116" s="1"/>
  <c r="BU170" i="115"/>
  <c r="FA54" i="116" s="1"/>
  <c r="BT170" i="115"/>
  <c r="EZ54" i="116" s="1"/>
  <c r="BR170" i="115"/>
  <c r="ER54" i="116" s="1"/>
  <c r="FS54" i="116" s="1"/>
  <c r="BQ170" i="115"/>
  <c r="EQ54" i="116" s="1"/>
  <c r="BX169" i="115"/>
  <c r="FJ53" i="116" s="1"/>
  <c r="BW169" i="115"/>
  <c r="FI53" i="116" s="1"/>
  <c r="BU169" i="115"/>
  <c r="FA53" i="116" s="1"/>
  <c r="BT169" i="115"/>
  <c r="EZ53" i="116" s="1"/>
  <c r="EY53" i="116" s="1"/>
  <c r="BR169" i="115"/>
  <c r="ER53" i="116" s="1"/>
  <c r="BQ169" i="115"/>
  <c r="EQ53" i="116" s="1"/>
  <c r="BX168" i="115"/>
  <c r="FJ52" i="116" s="1"/>
  <c r="BW168" i="115"/>
  <c r="FI52" i="116" s="1"/>
  <c r="BU168" i="115"/>
  <c r="FA52" i="116" s="1"/>
  <c r="BT168" i="115"/>
  <c r="EZ52" i="116" s="1"/>
  <c r="EY52" i="116" s="1"/>
  <c r="BR168" i="115"/>
  <c r="ER52" i="116" s="1"/>
  <c r="BQ168" i="115"/>
  <c r="EQ52" i="116" s="1"/>
  <c r="BX167" i="115"/>
  <c r="FJ51" i="116" s="1"/>
  <c r="BW167" i="115"/>
  <c r="FI51" i="116" s="1"/>
  <c r="FH51" i="116" s="1"/>
  <c r="BU167" i="115"/>
  <c r="FA51" i="116" s="1"/>
  <c r="BT167" i="115"/>
  <c r="EZ51" i="116" s="1"/>
  <c r="EY51" i="116" s="1"/>
  <c r="BR167" i="115"/>
  <c r="ER51" i="116" s="1"/>
  <c r="BQ167" i="115"/>
  <c r="EQ51" i="116" s="1"/>
  <c r="BX166" i="115"/>
  <c r="FJ50" i="116" s="1"/>
  <c r="BW166" i="115"/>
  <c r="FI50" i="116" s="1"/>
  <c r="FH50" i="116" s="1"/>
  <c r="BU166" i="115"/>
  <c r="FA50" i="116" s="1"/>
  <c r="BT166" i="115"/>
  <c r="EZ50" i="116" s="1"/>
  <c r="EY50" i="116" s="1"/>
  <c r="BR166" i="115"/>
  <c r="ER50" i="116" s="1"/>
  <c r="FS50" i="116" s="1"/>
  <c r="BQ166" i="115"/>
  <c r="EQ50" i="116" s="1"/>
  <c r="BX165" i="115"/>
  <c r="FJ49" i="116" s="1"/>
  <c r="BW165" i="115"/>
  <c r="FI49" i="116" s="1"/>
  <c r="FH49" i="116" s="1"/>
  <c r="BU165" i="115"/>
  <c r="FA49" i="116" s="1"/>
  <c r="BT165" i="115"/>
  <c r="EZ49" i="116" s="1"/>
  <c r="EY49" i="116" s="1"/>
  <c r="BR165" i="115"/>
  <c r="ER49" i="116" s="1"/>
  <c r="BQ165" i="115"/>
  <c r="EQ49" i="116" s="1"/>
  <c r="BX163" i="115"/>
  <c r="FJ47" i="116" s="1"/>
  <c r="BW163" i="115"/>
  <c r="FI47" i="116" s="1"/>
  <c r="FH47" i="116" s="1"/>
  <c r="BU163" i="115"/>
  <c r="FA47" i="116" s="1"/>
  <c r="BT163" i="115"/>
  <c r="EZ47" i="116" s="1"/>
  <c r="EY47" i="116" s="1"/>
  <c r="BR163" i="115"/>
  <c r="ER47" i="116" s="1"/>
  <c r="FS47" i="116" s="1"/>
  <c r="BQ163" i="115"/>
  <c r="EQ47" i="116" s="1"/>
  <c r="BX162" i="115"/>
  <c r="FJ46" i="116" s="1"/>
  <c r="BW162" i="115"/>
  <c r="FI46" i="116" s="1"/>
  <c r="BU162" i="115"/>
  <c r="FA46" i="116" s="1"/>
  <c r="BT162" i="115"/>
  <c r="EZ46" i="116" s="1"/>
  <c r="EY46" i="116" s="1"/>
  <c r="BR162" i="115"/>
  <c r="ER46" i="116" s="1"/>
  <c r="BQ162" i="115"/>
  <c r="EQ46" i="116" s="1"/>
  <c r="BX161" i="115"/>
  <c r="FJ45" i="116" s="1"/>
  <c r="BW161" i="115"/>
  <c r="FI45" i="116" s="1"/>
  <c r="FH45" i="116" s="1"/>
  <c r="BU161" i="115"/>
  <c r="FA45" i="116" s="1"/>
  <c r="BT161" i="115"/>
  <c r="EZ45" i="116" s="1"/>
  <c r="EY45" i="116" s="1"/>
  <c r="BR161" i="115"/>
  <c r="ER45" i="116" s="1"/>
  <c r="FS45" i="116" s="1"/>
  <c r="BQ161" i="115"/>
  <c r="EQ45" i="116" s="1"/>
  <c r="BX158" i="115"/>
  <c r="FJ42" i="116" s="1"/>
  <c r="BW158" i="115"/>
  <c r="FI42" i="116" s="1"/>
  <c r="FH42" i="116" s="1"/>
  <c r="BU158" i="115"/>
  <c r="FA42" i="116" s="1"/>
  <c r="BT158" i="115"/>
  <c r="EZ42" i="116" s="1"/>
  <c r="EY42" i="116" s="1"/>
  <c r="BR158" i="115"/>
  <c r="ER42" i="116" s="1"/>
  <c r="BQ158" i="115"/>
  <c r="EQ42" i="116" s="1"/>
  <c r="BX157" i="115"/>
  <c r="FJ41" i="116" s="1"/>
  <c r="BW157" i="115"/>
  <c r="FI41" i="116" s="1"/>
  <c r="BU157" i="115"/>
  <c r="FA41" i="116" s="1"/>
  <c r="BT157" i="115"/>
  <c r="EZ41" i="116" s="1"/>
  <c r="EY41" i="116" s="1"/>
  <c r="BR157" i="115"/>
  <c r="ER41" i="116" s="1"/>
  <c r="FS41" i="116" s="1"/>
  <c r="BQ157" i="115"/>
  <c r="EQ41" i="116" s="1"/>
  <c r="BX156" i="115"/>
  <c r="FJ40" i="116" s="1"/>
  <c r="BW156" i="115"/>
  <c r="FI40" i="116" s="1"/>
  <c r="BU156" i="115"/>
  <c r="FA40" i="116" s="1"/>
  <c r="BT156" i="115"/>
  <c r="EZ40" i="116" s="1"/>
  <c r="EY40" i="116" s="1"/>
  <c r="BR156" i="115"/>
  <c r="ER40" i="116" s="1"/>
  <c r="BQ156" i="115"/>
  <c r="EQ40" i="116" s="1"/>
  <c r="AZ172" i="115"/>
  <c r="DK56" i="116" s="1"/>
  <c r="AY172" i="115"/>
  <c r="DJ56" i="116" s="1"/>
  <c r="DI56" i="116" s="1"/>
  <c r="AW172" i="115"/>
  <c r="DB56" i="116" s="1"/>
  <c r="AV172" i="115"/>
  <c r="DA56" i="116" s="1"/>
  <c r="AT172" i="115"/>
  <c r="CS56" i="116" s="1"/>
  <c r="DT56" i="116" s="1"/>
  <c r="AS172" i="115"/>
  <c r="CR56" i="116" s="1"/>
  <c r="AZ171" i="115"/>
  <c r="DK55" i="116" s="1"/>
  <c r="AY171" i="115"/>
  <c r="DJ55" i="116" s="1"/>
  <c r="DI55" i="116" s="1"/>
  <c r="AW171" i="115"/>
  <c r="DB55" i="116" s="1"/>
  <c r="AV171" i="115"/>
  <c r="DA55" i="116" s="1"/>
  <c r="CZ55" i="116" s="1"/>
  <c r="AT171" i="115"/>
  <c r="CS55" i="116" s="1"/>
  <c r="AS171" i="115"/>
  <c r="CR55" i="116" s="1"/>
  <c r="AZ170" i="115"/>
  <c r="DK54" i="116" s="1"/>
  <c r="AY170" i="115"/>
  <c r="DJ54" i="116" s="1"/>
  <c r="AW170" i="115"/>
  <c r="DB54" i="116" s="1"/>
  <c r="AV170" i="115"/>
  <c r="DA54" i="116" s="1"/>
  <c r="CZ54" i="116" s="1"/>
  <c r="AT170" i="115"/>
  <c r="CS54" i="116" s="1"/>
  <c r="DT54" i="116" s="1"/>
  <c r="AS170" i="115"/>
  <c r="CR54" i="116" s="1"/>
  <c r="AZ169" i="115"/>
  <c r="DK53" i="116" s="1"/>
  <c r="AY169" i="115"/>
  <c r="DJ53" i="116" s="1"/>
  <c r="AW169" i="115"/>
  <c r="DB53" i="116" s="1"/>
  <c r="AV169" i="115"/>
  <c r="DA53" i="116" s="1"/>
  <c r="AT169" i="115"/>
  <c r="CS53" i="116" s="1"/>
  <c r="AS169" i="115"/>
  <c r="CR53" i="116" s="1"/>
  <c r="AZ168" i="115"/>
  <c r="DK52" i="116" s="1"/>
  <c r="AY168" i="115"/>
  <c r="DJ52" i="116" s="1"/>
  <c r="AW168" i="115"/>
  <c r="DB52" i="116" s="1"/>
  <c r="AV168" i="115"/>
  <c r="DA52" i="116" s="1"/>
  <c r="AT168" i="115"/>
  <c r="CS52" i="116" s="1"/>
  <c r="DT52" i="116" s="1"/>
  <c r="AS168" i="115"/>
  <c r="CR52" i="116" s="1"/>
  <c r="AZ167" i="115"/>
  <c r="DK51" i="116" s="1"/>
  <c r="AY167" i="115"/>
  <c r="DJ51" i="116" s="1"/>
  <c r="AW167" i="115"/>
  <c r="DB51" i="116" s="1"/>
  <c r="AV167" i="115"/>
  <c r="DA51" i="116" s="1"/>
  <c r="AT167" i="115"/>
  <c r="CS51" i="116" s="1"/>
  <c r="AS167" i="115"/>
  <c r="CR51" i="116" s="1"/>
  <c r="AZ166" i="115"/>
  <c r="DK50" i="116" s="1"/>
  <c r="AY166" i="115"/>
  <c r="DJ50" i="116" s="1"/>
  <c r="AW166" i="115"/>
  <c r="DB50" i="116" s="1"/>
  <c r="AV166" i="115"/>
  <c r="DA50" i="116" s="1"/>
  <c r="AT166" i="115"/>
  <c r="CS50" i="116" s="1"/>
  <c r="DT50" i="116" s="1"/>
  <c r="AS166" i="115"/>
  <c r="CR50" i="116" s="1"/>
  <c r="AZ165" i="115"/>
  <c r="DK49" i="116" s="1"/>
  <c r="AY165" i="115"/>
  <c r="DJ49" i="116" s="1"/>
  <c r="DI49" i="116" s="1"/>
  <c r="AW165" i="115"/>
  <c r="DB49" i="116" s="1"/>
  <c r="AV165" i="115"/>
  <c r="DA49" i="116" s="1"/>
  <c r="CZ49" i="116" s="1"/>
  <c r="AT165" i="115"/>
  <c r="CS49" i="116" s="1"/>
  <c r="AS165" i="115"/>
  <c r="CR49" i="116" s="1"/>
  <c r="AZ163" i="115"/>
  <c r="DK47" i="116" s="1"/>
  <c r="AY163" i="115"/>
  <c r="DJ47" i="116" s="1"/>
  <c r="DI47" i="116" s="1"/>
  <c r="AW163" i="115"/>
  <c r="DB47" i="116" s="1"/>
  <c r="AV163" i="115"/>
  <c r="DA47" i="116" s="1"/>
  <c r="CZ47" i="116" s="1"/>
  <c r="AT163" i="115"/>
  <c r="CS47" i="116" s="1"/>
  <c r="DT47" i="116" s="1"/>
  <c r="AS163" i="115"/>
  <c r="CR47" i="116" s="1"/>
  <c r="AZ162" i="115"/>
  <c r="DK46" i="116" s="1"/>
  <c r="AY162" i="115"/>
  <c r="DJ46" i="116" s="1"/>
  <c r="DI46" i="116" s="1"/>
  <c r="AW162" i="115"/>
  <c r="DB46" i="116" s="1"/>
  <c r="AV162" i="115"/>
  <c r="DA46" i="116" s="1"/>
  <c r="CZ46" i="116" s="1"/>
  <c r="AT162" i="115"/>
  <c r="CS46" i="116" s="1"/>
  <c r="AS162" i="115"/>
  <c r="CR46" i="116" s="1"/>
  <c r="AZ161" i="115"/>
  <c r="DK45" i="116" s="1"/>
  <c r="AY161" i="115"/>
  <c r="DJ45" i="116" s="1"/>
  <c r="DI45" i="116" s="1"/>
  <c r="AW161" i="115"/>
  <c r="DB45" i="116" s="1"/>
  <c r="AV161" i="115"/>
  <c r="DA45" i="116" s="1"/>
  <c r="CZ45" i="116" s="1"/>
  <c r="AT161" i="115"/>
  <c r="CS45" i="116" s="1"/>
  <c r="DT45" i="116" s="1"/>
  <c r="AS161" i="115"/>
  <c r="CR45" i="116" s="1"/>
  <c r="AZ158" i="115"/>
  <c r="DK42" i="116" s="1"/>
  <c r="AY158" i="115"/>
  <c r="DJ42" i="116" s="1"/>
  <c r="DI42" i="116" s="1"/>
  <c r="AW158" i="115"/>
  <c r="DB42" i="116" s="1"/>
  <c r="AV158" i="115"/>
  <c r="DA42" i="116" s="1"/>
  <c r="CZ42" i="116" s="1"/>
  <c r="AT158" i="115"/>
  <c r="CS42" i="116" s="1"/>
  <c r="AS158" i="115"/>
  <c r="CR42" i="116" s="1"/>
  <c r="AZ157" i="115"/>
  <c r="DK41" i="116" s="1"/>
  <c r="AY157" i="115"/>
  <c r="DJ41" i="116" s="1"/>
  <c r="AW157" i="115"/>
  <c r="DB41" i="116" s="1"/>
  <c r="AV157" i="115"/>
  <c r="DA41" i="116" s="1"/>
  <c r="AT157" i="115"/>
  <c r="CS41" i="116" s="1"/>
  <c r="DT41" i="116" s="1"/>
  <c r="AS157" i="115"/>
  <c r="CR41" i="116" s="1"/>
  <c r="AZ156" i="115"/>
  <c r="DK40" i="116" s="1"/>
  <c r="AY156" i="115"/>
  <c r="DJ40" i="116" s="1"/>
  <c r="AW156" i="115"/>
  <c r="DB40" i="116" s="1"/>
  <c r="AV156" i="115"/>
  <c r="DA40" i="116" s="1"/>
  <c r="CZ40" i="116" s="1"/>
  <c r="AT156" i="115"/>
  <c r="CS40" i="116" s="1"/>
  <c r="AS156" i="115"/>
  <c r="CR40" i="116" s="1"/>
  <c r="AB172" i="115"/>
  <c r="BL56" i="116" s="1"/>
  <c r="AA172" i="115"/>
  <c r="BK56" i="116" s="1"/>
  <c r="BJ56" i="116" s="1"/>
  <c r="Y172" i="115"/>
  <c r="BC56" i="116" s="1"/>
  <c r="X172" i="115"/>
  <c r="BB56" i="116" s="1"/>
  <c r="V172" i="115"/>
  <c r="AT56" i="116" s="1"/>
  <c r="BU56" i="116" s="1"/>
  <c r="U172" i="115"/>
  <c r="AS56" i="116" s="1"/>
  <c r="M172" i="115"/>
  <c r="Y56" i="116" s="1"/>
  <c r="L172" i="115"/>
  <c r="X56" i="116" s="1"/>
  <c r="W56" i="116" s="1"/>
  <c r="J172" i="115"/>
  <c r="P56" i="116" s="1"/>
  <c r="I172" i="115"/>
  <c r="O56" i="116" s="1"/>
  <c r="N56" i="116" s="1"/>
  <c r="G172" i="115"/>
  <c r="G56" i="116" s="1"/>
  <c r="F172" i="115"/>
  <c r="F56" i="116" s="1"/>
  <c r="AB171" i="115"/>
  <c r="BL55" i="116" s="1"/>
  <c r="AA171" i="115"/>
  <c r="BK55" i="116" s="1"/>
  <c r="Y171" i="115"/>
  <c r="BC55" i="116" s="1"/>
  <c r="X171" i="115"/>
  <c r="BB55" i="116" s="1"/>
  <c r="BA55" i="116" s="1"/>
  <c r="V171" i="115"/>
  <c r="AT55" i="116" s="1"/>
  <c r="BU55" i="116" s="1"/>
  <c r="U171" i="115"/>
  <c r="AS55" i="116" s="1"/>
  <c r="M171" i="115"/>
  <c r="Y55" i="116" s="1"/>
  <c r="L171" i="115"/>
  <c r="X55" i="116" s="1"/>
  <c r="W55" i="116" s="1"/>
  <c r="J171" i="115"/>
  <c r="P55" i="116" s="1"/>
  <c r="I171" i="115"/>
  <c r="O55" i="116" s="1"/>
  <c r="G171" i="115"/>
  <c r="G55" i="116" s="1"/>
  <c r="F171" i="115"/>
  <c r="F55" i="116" s="1"/>
  <c r="AB170" i="115"/>
  <c r="BL54" i="116" s="1"/>
  <c r="AA170" i="115"/>
  <c r="BK54" i="116" s="1"/>
  <c r="BJ54" i="116" s="1"/>
  <c r="Y170" i="115"/>
  <c r="BC54" i="116" s="1"/>
  <c r="X170" i="115"/>
  <c r="BB54" i="116" s="1"/>
  <c r="V170" i="115"/>
  <c r="AT54" i="116" s="1"/>
  <c r="U170" i="115"/>
  <c r="AS54" i="116" s="1"/>
  <c r="M170" i="115"/>
  <c r="Y54" i="116" s="1"/>
  <c r="L170" i="115"/>
  <c r="X54" i="116" s="1"/>
  <c r="J170" i="115"/>
  <c r="P54" i="116" s="1"/>
  <c r="I170" i="115"/>
  <c r="O54" i="116" s="1"/>
  <c r="G170" i="115"/>
  <c r="G54" i="116" s="1"/>
  <c r="F170" i="115"/>
  <c r="F54" i="116" s="1"/>
  <c r="AB169" i="115"/>
  <c r="BL53" i="116" s="1"/>
  <c r="AA169" i="115"/>
  <c r="BK53" i="116" s="1"/>
  <c r="Y169" i="115"/>
  <c r="BC53" i="116" s="1"/>
  <c r="X169" i="115"/>
  <c r="BB53" i="116" s="1"/>
  <c r="V169" i="115"/>
  <c r="AT53" i="116" s="1"/>
  <c r="U169" i="115"/>
  <c r="AS53" i="116" s="1"/>
  <c r="M169" i="115"/>
  <c r="Y53" i="116" s="1"/>
  <c r="L169" i="115"/>
  <c r="X53" i="116" s="1"/>
  <c r="J169" i="115"/>
  <c r="P53" i="116" s="1"/>
  <c r="I169" i="115"/>
  <c r="O53" i="116" s="1"/>
  <c r="G169" i="115"/>
  <c r="G53" i="116" s="1"/>
  <c r="F169" i="115"/>
  <c r="F53" i="116" s="1"/>
  <c r="AB168" i="115"/>
  <c r="BL52" i="116" s="1"/>
  <c r="AA168" i="115"/>
  <c r="BK52" i="116" s="1"/>
  <c r="Y168" i="115"/>
  <c r="BC52" i="116" s="1"/>
  <c r="X168" i="115"/>
  <c r="BB52" i="116" s="1"/>
  <c r="V168" i="115"/>
  <c r="AT52" i="116" s="1"/>
  <c r="U168" i="115"/>
  <c r="AS52" i="116" s="1"/>
  <c r="M168" i="115"/>
  <c r="Y52" i="116" s="1"/>
  <c r="L168" i="115"/>
  <c r="X52" i="116" s="1"/>
  <c r="J168" i="115"/>
  <c r="P52" i="116" s="1"/>
  <c r="I168" i="115"/>
  <c r="O52" i="116" s="1"/>
  <c r="G168" i="115"/>
  <c r="G52" i="116" s="1"/>
  <c r="F168" i="115"/>
  <c r="F52" i="116" s="1"/>
  <c r="AB167" i="115"/>
  <c r="BL51" i="116" s="1"/>
  <c r="AA167" i="115"/>
  <c r="BK51" i="116" s="1"/>
  <c r="Y167" i="115"/>
  <c r="BC51" i="116" s="1"/>
  <c r="X167" i="115"/>
  <c r="BB51" i="116" s="1"/>
  <c r="V167" i="115"/>
  <c r="AT51" i="116" s="1"/>
  <c r="U167" i="115"/>
  <c r="AS51" i="116" s="1"/>
  <c r="M167" i="115"/>
  <c r="Y51" i="116" s="1"/>
  <c r="L167" i="115"/>
  <c r="X51" i="116" s="1"/>
  <c r="J167" i="115"/>
  <c r="P51" i="116" s="1"/>
  <c r="I167" i="115"/>
  <c r="O51" i="116" s="1"/>
  <c r="G167" i="115"/>
  <c r="G51" i="116" s="1"/>
  <c r="F167" i="115"/>
  <c r="F51" i="116" s="1"/>
  <c r="AB166" i="115"/>
  <c r="BL50" i="116" s="1"/>
  <c r="AA166" i="115"/>
  <c r="BK50" i="116" s="1"/>
  <c r="BJ50" i="116" s="1"/>
  <c r="Y166" i="115"/>
  <c r="BC50" i="116" s="1"/>
  <c r="X166" i="115"/>
  <c r="BB50" i="116" s="1"/>
  <c r="V166" i="115"/>
  <c r="AT50" i="116" s="1"/>
  <c r="BU50" i="116" s="1"/>
  <c r="U166" i="115"/>
  <c r="AS50" i="116" s="1"/>
  <c r="M166" i="115"/>
  <c r="Y50" i="116" s="1"/>
  <c r="L166" i="115"/>
  <c r="X50" i="116" s="1"/>
  <c r="J166" i="115"/>
  <c r="P50" i="116" s="1"/>
  <c r="I166" i="115"/>
  <c r="O50" i="116" s="1"/>
  <c r="G166" i="115"/>
  <c r="G50" i="116" s="1"/>
  <c r="F166" i="115"/>
  <c r="F50" i="116" s="1"/>
  <c r="AB165" i="115"/>
  <c r="BL49" i="116" s="1"/>
  <c r="AA165" i="115"/>
  <c r="BK49" i="116" s="1"/>
  <c r="Y165" i="115"/>
  <c r="BC49" i="116" s="1"/>
  <c r="X165" i="115"/>
  <c r="BB49" i="116" s="1"/>
  <c r="V165" i="115"/>
  <c r="AT49" i="116" s="1"/>
  <c r="U165" i="115"/>
  <c r="AS49" i="116" s="1"/>
  <c r="M165" i="115"/>
  <c r="Y49" i="116" s="1"/>
  <c r="L165" i="115"/>
  <c r="X49" i="116" s="1"/>
  <c r="J165" i="115"/>
  <c r="P49" i="116" s="1"/>
  <c r="I165" i="115"/>
  <c r="O49" i="116" s="1"/>
  <c r="G165" i="115"/>
  <c r="G49" i="116" s="1"/>
  <c r="F165" i="115"/>
  <c r="F49" i="116" s="1"/>
  <c r="AB163" i="115"/>
  <c r="BL47" i="116" s="1"/>
  <c r="AA163" i="115"/>
  <c r="BK47" i="116" s="1"/>
  <c r="Y163" i="115"/>
  <c r="BC47" i="116" s="1"/>
  <c r="X163" i="115"/>
  <c r="BB47" i="116" s="1"/>
  <c r="V163" i="115"/>
  <c r="AT47" i="116" s="1"/>
  <c r="BU47" i="116" s="1"/>
  <c r="U163" i="115"/>
  <c r="AS47" i="116" s="1"/>
  <c r="M163" i="115"/>
  <c r="Y47" i="116" s="1"/>
  <c r="L163" i="115"/>
  <c r="X47" i="116" s="1"/>
  <c r="J163" i="115"/>
  <c r="P47" i="116" s="1"/>
  <c r="I163" i="115"/>
  <c r="O47" i="116" s="1"/>
  <c r="G163" i="115"/>
  <c r="G47" i="116" s="1"/>
  <c r="F163" i="115"/>
  <c r="F47" i="116" s="1"/>
  <c r="AB162" i="115"/>
  <c r="BL46" i="116" s="1"/>
  <c r="AA162" i="115"/>
  <c r="BK46" i="116" s="1"/>
  <c r="BJ46" i="116" s="1"/>
  <c r="Y162" i="115"/>
  <c r="BC46" i="116" s="1"/>
  <c r="X162" i="115"/>
  <c r="BB46" i="116" s="1"/>
  <c r="V162" i="115"/>
  <c r="AT46" i="116" s="1"/>
  <c r="BU46" i="116" s="1"/>
  <c r="U162" i="115"/>
  <c r="AS46" i="116" s="1"/>
  <c r="M162" i="115"/>
  <c r="Y46" i="116" s="1"/>
  <c r="L162" i="115"/>
  <c r="X46" i="116" s="1"/>
  <c r="J162" i="115"/>
  <c r="P46" i="116" s="1"/>
  <c r="I162" i="115"/>
  <c r="O46" i="116" s="1"/>
  <c r="G162" i="115"/>
  <c r="G46" i="116" s="1"/>
  <c r="F162" i="115"/>
  <c r="F46" i="116" s="1"/>
  <c r="AB161" i="115"/>
  <c r="BL45" i="116" s="1"/>
  <c r="AA161" i="115"/>
  <c r="BK45" i="116" s="1"/>
  <c r="Y161" i="115"/>
  <c r="BC45" i="116" s="1"/>
  <c r="X161" i="115"/>
  <c r="BB45" i="116" s="1"/>
  <c r="V161" i="115"/>
  <c r="AT45" i="116" s="1"/>
  <c r="BU45" i="116" s="1"/>
  <c r="U161" i="115"/>
  <c r="AS45" i="116" s="1"/>
  <c r="M161" i="115"/>
  <c r="Y45" i="116" s="1"/>
  <c r="L161" i="115"/>
  <c r="X45" i="116" s="1"/>
  <c r="J161" i="115"/>
  <c r="P45" i="116" s="1"/>
  <c r="I161" i="115"/>
  <c r="O45" i="116" s="1"/>
  <c r="G161" i="115"/>
  <c r="G45" i="116" s="1"/>
  <c r="F161" i="115"/>
  <c r="F45" i="116" s="1"/>
  <c r="AB158" i="115"/>
  <c r="BL42" i="116" s="1"/>
  <c r="AA158" i="115"/>
  <c r="BK42" i="116" s="1"/>
  <c r="BJ42" i="116" s="1"/>
  <c r="Y158" i="115"/>
  <c r="BC42" i="116" s="1"/>
  <c r="X158" i="115"/>
  <c r="BB42" i="116" s="1"/>
  <c r="V158" i="115"/>
  <c r="AT42" i="116" s="1"/>
  <c r="BU42" i="116" s="1"/>
  <c r="U158" i="115"/>
  <c r="AS42" i="116" s="1"/>
  <c r="M158" i="115"/>
  <c r="Y42" i="116" s="1"/>
  <c r="L158" i="115"/>
  <c r="X42" i="116" s="1"/>
  <c r="J158" i="115"/>
  <c r="P42" i="116" s="1"/>
  <c r="I158" i="115"/>
  <c r="O42" i="116" s="1"/>
  <c r="N42" i="116" s="1"/>
  <c r="G158" i="115"/>
  <c r="G42" i="116" s="1"/>
  <c r="F158" i="115"/>
  <c r="F42" i="116" s="1"/>
  <c r="AB157" i="115"/>
  <c r="BL41" i="116" s="1"/>
  <c r="AA157" i="115"/>
  <c r="BK41" i="116" s="1"/>
  <c r="BJ41" i="116" s="1"/>
  <c r="Y157" i="115"/>
  <c r="BC41" i="116" s="1"/>
  <c r="X157" i="115"/>
  <c r="BB41" i="116" s="1"/>
  <c r="V157" i="115"/>
  <c r="AT41" i="116" s="1"/>
  <c r="BU41" i="116" s="1"/>
  <c r="U157" i="115"/>
  <c r="AS41" i="116" s="1"/>
  <c r="M157" i="115"/>
  <c r="Y41" i="116" s="1"/>
  <c r="L157" i="115"/>
  <c r="X41" i="116" s="1"/>
  <c r="J157" i="115"/>
  <c r="P41" i="116" s="1"/>
  <c r="I157" i="115"/>
  <c r="O41" i="116" s="1"/>
  <c r="G157" i="115"/>
  <c r="G41" i="116" s="1"/>
  <c r="F157" i="115"/>
  <c r="F41" i="116" s="1"/>
  <c r="AB156" i="115"/>
  <c r="BL40" i="116" s="1"/>
  <c r="AA156" i="115"/>
  <c r="BK40" i="116" s="1"/>
  <c r="Y156" i="115"/>
  <c r="BC40" i="116" s="1"/>
  <c r="X156" i="115"/>
  <c r="BB40" i="116" s="1"/>
  <c r="V156" i="115"/>
  <c r="AT40" i="116" s="1"/>
  <c r="BU40" i="116" s="1"/>
  <c r="U156" i="115"/>
  <c r="AS40" i="116" s="1"/>
  <c r="M156" i="115"/>
  <c r="Y40" i="116" s="1"/>
  <c r="L156" i="115"/>
  <c r="X40" i="116" s="1"/>
  <c r="J156" i="115"/>
  <c r="P40" i="116" s="1"/>
  <c r="I156" i="115"/>
  <c r="O40" i="116" s="1"/>
  <c r="G156" i="115"/>
  <c r="G40" i="116" s="1"/>
  <c r="F156" i="115"/>
  <c r="F40" i="116" s="1"/>
  <c r="BX153" i="115"/>
  <c r="FJ37" i="116" s="1"/>
  <c r="BW153" i="115"/>
  <c r="FI37" i="116" s="1"/>
  <c r="BU153" i="115"/>
  <c r="FA37" i="116" s="1"/>
  <c r="BT153" i="115"/>
  <c r="EZ37" i="116" s="1"/>
  <c r="BR153" i="115"/>
  <c r="ER37" i="116" s="1"/>
  <c r="BQ153" i="115"/>
  <c r="EQ37" i="116" s="1"/>
  <c r="BX152" i="115"/>
  <c r="FJ36" i="116" s="1"/>
  <c r="BW152" i="115"/>
  <c r="FI36" i="116" s="1"/>
  <c r="BU152" i="115"/>
  <c r="FA36" i="116" s="1"/>
  <c r="BT152" i="115"/>
  <c r="EZ36" i="116" s="1"/>
  <c r="BR152" i="115"/>
  <c r="ER36" i="116" s="1"/>
  <c r="BQ152" i="115"/>
  <c r="EQ36" i="116" s="1"/>
  <c r="BX151" i="115"/>
  <c r="FJ35" i="116" s="1"/>
  <c r="BW151" i="115"/>
  <c r="FI35" i="116" s="1"/>
  <c r="FH35" i="116" s="1"/>
  <c r="BU151" i="115"/>
  <c r="FA35" i="116" s="1"/>
  <c r="BT151" i="115"/>
  <c r="EZ35" i="116" s="1"/>
  <c r="BR151" i="115"/>
  <c r="ER35" i="116" s="1"/>
  <c r="FS35" i="116" s="1"/>
  <c r="BQ151" i="115"/>
  <c r="EQ35" i="116" s="1"/>
  <c r="BX150" i="115"/>
  <c r="FJ34" i="116" s="1"/>
  <c r="BW150" i="115"/>
  <c r="FI34" i="116" s="1"/>
  <c r="BU150" i="115"/>
  <c r="FA34" i="116" s="1"/>
  <c r="BT150" i="115"/>
  <c r="EZ34" i="116" s="1"/>
  <c r="EY34" i="116" s="1"/>
  <c r="BR150" i="115"/>
  <c r="ER34" i="116" s="1"/>
  <c r="BQ150" i="115"/>
  <c r="EQ34" i="116" s="1"/>
  <c r="BX149" i="115"/>
  <c r="FJ33" i="116" s="1"/>
  <c r="BW149" i="115"/>
  <c r="FI33" i="116" s="1"/>
  <c r="FH33" i="116" s="1"/>
  <c r="BU149" i="115"/>
  <c r="FA33" i="116" s="1"/>
  <c r="BT149" i="115"/>
  <c r="EZ33" i="116" s="1"/>
  <c r="BR149" i="115"/>
  <c r="ER33" i="116" s="1"/>
  <c r="FS33" i="116" s="1"/>
  <c r="BQ149" i="115"/>
  <c r="EQ33" i="116" s="1"/>
  <c r="BX148" i="115"/>
  <c r="FJ32" i="116" s="1"/>
  <c r="BW148" i="115"/>
  <c r="FI32" i="116" s="1"/>
  <c r="BU148" i="115"/>
  <c r="FA32" i="116" s="1"/>
  <c r="BT148" i="115"/>
  <c r="EZ32" i="116" s="1"/>
  <c r="EY32" i="116" s="1"/>
  <c r="BR148" i="115"/>
  <c r="ER32" i="116" s="1"/>
  <c r="BQ148" i="115"/>
  <c r="EQ32" i="116" s="1"/>
  <c r="BX147" i="115"/>
  <c r="FJ31" i="116" s="1"/>
  <c r="BW147" i="115"/>
  <c r="FI31" i="116" s="1"/>
  <c r="BU147" i="115"/>
  <c r="FA31" i="116" s="1"/>
  <c r="BT147" i="115"/>
  <c r="EZ31" i="116" s="1"/>
  <c r="BR147" i="115"/>
  <c r="ER31" i="116" s="1"/>
  <c r="BQ147" i="115"/>
  <c r="EQ31" i="116" s="1"/>
  <c r="AZ153" i="115"/>
  <c r="DK37" i="116" s="1"/>
  <c r="AY153" i="115"/>
  <c r="DJ37" i="116" s="1"/>
  <c r="AW153" i="115"/>
  <c r="DB37" i="116" s="1"/>
  <c r="AV153" i="115"/>
  <c r="DA37" i="116" s="1"/>
  <c r="AT153" i="115"/>
  <c r="CS37" i="116" s="1"/>
  <c r="AS153" i="115"/>
  <c r="CR37" i="116" s="1"/>
  <c r="AZ152" i="115"/>
  <c r="DK36" i="116" s="1"/>
  <c r="AY152" i="115"/>
  <c r="DJ36" i="116" s="1"/>
  <c r="AW152" i="115"/>
  <c r="DB36" i="116" s="1"/>
  <c r="AV152" i="115"/>
  <c r="DA36" i="116" s="1"/>
  <c r="AT152" i="115"/>
  <c r="CS36" i="116" s="1"/>
  <c r="DT36" i="116" s="1"/>
  <c r="AS152" i="115"/>
  <c r="CR36" i="116" s="1"/>
  <c r="AZ151" i="115"/>
  <c r="DK35" i="116" s="1"/>
  <c r="AY151" i="115"/>
  <c r="DJ35" i="116" s="1"/>
  <c r="AW151" i="115"/>
  <c r="DB35" i="116" s="1"/>
  <c r="AV151" i="115"/>
  <c r="DA35" i="116" s="1"/>
  <c r="CZ35" i="116" s="1"/>
  <c r="AT151" i="115"/>
  <c r="CS35" i="116" s="1"/>
  <c r="AS151" i="115"/>
  <c r="CR35" i="116" s="1"/>
  <c r="AZ150" i="115"/>
  <c r="DK34" i="116" s="1"/>
  <c r="AY150" i="115"/>
  <c r="DJ34" i="116" s="1"/>
  <c r="DI34" i="116" s="1"/>
  <c r="AW150" i="115"/>
  <c r="DB34" i="116" s="1"/>
  <c r="AV150" i="115"/>
  <c r="DA34" i="116" s="1"/>
  <c r="AT150" i="115"/>
  <c r="CS34" i="116" s="1"/>
  <c r="DT34" i="116" s="1"/>
  <c r="AS150" i="115"/>
  <c r="CR34" i="116" s="1"/>
  <c r="AZ149" i="115"/>
  <c r="DK33" i="116" s="1"/>
  <c r="AY149" i="115"/>
  <c r="DJ33" i="116" s="1"/>
  <c r="AW149" i="115"/>
  <c r="DB33" i="116" s="1"/>
  <c r="AV149" i="115"/>
  <c r="DA33" i="116" s="1"/>
  <c r="AT149" i="115"/>
  <c r="CS33" i="116" s="1"/>
  <c r="AS149" i="115"/>
  <c r="CR33" i="116" s="1"/>
  <c r="AZ148" i="115"/>
  <c r="DK32" i="116" s="1"/>
  <c r="AY148" i="115"/>
  <c r="DJ32" i="116" s="1"/>
  <c r="DI32" i="116" s="1"/>
  <c r="AW148" i="115"/>
  <c r="DB32" i="116" s="1"/>
  <c r="AV148" i="115"/>
  <c r="DA32" i="116" s="1"/>
  <c r="AT148" i="115"/>
  <c r="CS32" i="116" s="1"/>
  <c r="DT32" i="116" s="1"/>
  <c r="AS148" i="115"/>
  <c r="CR32" i="116" s="1"/>
  <c r="AZ147" i="115"/>
  <c r="DK31" i="116" s="1"/>
  <c r="AY147" i="115"/>
  <c r="DJ31" i="116" s="1"/>
  <c r="AW147" i="115"/>
  <c r="DB31" i="116" s="1"/>
  <c r="AV147" i="115"/>
  <c r="DA31" i="116" s="1"/>
  <c r="AT147" i="115"/>
  <c r="CS31" i="116" s="1"/>
  <c r="AS147" i="115"/>
  <c r="CR31" i="116" s="1"/>
  <c r="AB153" i="115"/>
  <c r="BL37" i="116" s="1"/>
  <c r="AA153" i="115"/>
  <c r="BK37" i="116" s="1"/>
  <c r="Y153" i="115"/>
  <c r="BC37" i="116" s="1"/>
  <c r="X153" i="115"/>
  <c r="BB37" i="116" s="1"/>
  <c r="V153" i="115"/>
  <c r="AT37" i="116" s="1"/>
  <c r="U153" i="115"/>
  <c r="AS37" i="116" s="1"/>
  <c r="M153" i="115"/>
  <c r="Y37" i="116" s="1"/>
  <c r="L153" i="115"/>
  <c r="X37" i="116" s="1"/>
  <c r="J153" i="115"/>
  <c r="P37" i="116" s="1"/>
  <c r="I153" i="115"/>
  <c r="O37" i="116" s="1"/>
  <c r="G153" i="115"/>
  <c r="G37" i="116" s="1"/>
  <c r="F153" i="115"/>
  <c r="F37" i="116" s="1"/>
  <c r="AB152" i="115"/>
  <c r="BL36" i="116" s="1"/>
  <c r="AA152" i="115"/>
  <c r="BK36" i="116" s="1"/>
  <c r="Y152" i="115"/>
  <c r="BC36" i="116" s="1"/>
  <c r="X152" i="115"/>
  <c r="BB36" i="116" s="1"/>
  <c r="V152" i="115"/>
  <c r="AT36" i="116" s="1"/>
  <c r="U152" i="115"/>
  <c r="AS36" i="116" s="1"/>
  <c r="M152" i="115"/>
  <c r="Y36" i="116" s="1"/>
  <c r="L152" i="115"/>
  <c r="X36" i="116" s="1"/>
  <c r="J152" i="115"/>
  <c r="P36" i="116" s="1"/>
  <c r="P38" i="116" s="1"/>
  <c r="I152" i="115"/>
  <c r="O36" i="116" s="1"/>
  <c r="G152" i="115"/>
  <c r="G36" i="116" s="1"/>
  <c r="F152" i="115"/>
  <c r="F36" i="116" s="1"/>
  <c r="AB151" i="115"/>
  <c r="BL35" i="116" s="1"/>
  <c r="AA151" i="115"/>
  <c r="BK35" i="116" s="1"/>
  <c r="Y151" i="115"/>
  <c r="BC35" i="116" s="1"/>
  <c r="X151" i="115"/>
  <c r="BB35" i="116" s="1"/>
  <c r="V151" i="115"/>
  <c r="AT35" i="116" s="1"/>
  <c r="BU35" i="116" s="1"/>
  <c r="U151" i="115"/>
  <c r="AS35" i="116" s="1"/>
  <c r="M151" i="115"/>
  <c r="Y35" i="116" s="1"/>
  <c r="L151" i="115"/>
  <c r="X35" i="116" s="1"/>
  <c r="J151" i="115"/>
  <c r="P35" i="116" s="1"/>
  <c r="I151" i="115"/>
  <c r="O35" i="116" s="1"/>
  <c r="G151" i="115"/>
  <c r="G35" i="116" s="1"/>
  <c r="F151" i="115"/>
  <c r="F35" i="116" s="1"/>
  <c r="AB150" i="115"/>
  <c r="BL34" i="116" s="1"/>
  <c r="AA150" i="115"/>
  <c r="BK34" i="116" s="1"/>
  <c r="Y150" i="115"/>
  <c r="BC34" i="116" s="1"/>
  <c r="X150" i="115"/>
  <c r="BB34" i="116" s="1"/>
  <c r="V150" i="115"/>
  <c r="AT34" i="116" s="1"/>
  <c r="BU34" i="116" s="1"/>
  <c r="U150" i="115"/>
  <c r="AS34" i="116" s="1"/>
  <c r="M150" i="115"/>
  <c r="Y34" i="116" s="1"/>
  <c r="L150" i="115"/>
  <c r="X34" i="116" s="1"/>
  <c r="J150" i="115"/>
  <c r="P34" i="116" s="1"/>
  <c r="I150" i="115"/>
  <c r="O34" i="116" s="1"/>
  <c r="G150" i="115"/>
  <c r="G34" i="116" s="1"/>
  <c r="F150" i="115"/>
  <c r="F34" i="116" s="1"/>
  <c r="AB149" i="115"/>
  <c r="BL33" i="116" s="1"/>
  <c r="AA149" i="115"/>
  <c r="BK33" i="116" s="1"/>
  <c r="Y149" i="115"/>
  <c r="BC33" i="116" s="1"/>
  <c r="X149" i="115"/>
  <c r="BB33" i="116" s="1"/>
  <c r="V149" i="115"/>
  <c r="AT33" i="116" s="1"/>
  <c r="BU33" i="116" s="1"/>
  <c r="U149" i="115"/>
  <c r="AS33" i="116" s="1"/>
  <c r="M149" i="115"/>
  <c r="Y33" i="116" s="1"/>
  <c r="L149" i="115"/>
  <c r="X33" i="116" s="1"/>
  <c r="J149" i="115"/>
  <c r="P33" i="116" s="1"/>
  <c r="I149" i="115"/>
  <c r="O33" i="116" s="1"/>
  <c r="G149" i="115"/>
  <c r="G33" i="116" s="1"/>
  <c r="F149" i="115"/>
  <c r="F33" i="116" s="1"/>
  <c r="AB148" i="115"/>
  <c r="BL32" i="116" s="1"/>
  <c r="AA148" i="115"/>
  <c r="BK32" i="116" s="1"/>
  <c r="Y148" i="115"/>
  <c r="BC32" i="116" s="1"/>
  <c r="X148" i="115"/>
  <c r="BB32" i="116" s="1"/>
  <c r="V148" i="115"/>
  <c r="AT32" i="116" s="1"/>
  <c r="BU32" i="116" s="1"/>
  <c r="U148" i="115"/>
  <c r="AS32" i="116" s="1"/>
  <c r="M148" i="115"/>
  <c r="Y32" i="116" s="1"/>
  <c r="L148" i="115"/>
  <c r="X32" i="116" s="1"/>
  <c r="J148" i="115"/>
  <c r="P32" i="116" s="1"/>
  <c r="I148" i="115"/>
  <c r="O32" i="116" s="1"/>
  <c r="G148" i="115"/>
  <c r="G32" i="116" s="1"/>
  <c r="F148" i="115"/>
  <c r="F32" i="116" s="1"/>
  <c r="AB147" i="115"/>
  <c r="BL31" i="116" s="1"/>
  <c r="AA147" i="115"/>
  <c r="BK31" i="116" s="1"/>
  <c r="Y147" i="115"/>
  <c r="BC31" i="116" s="1"/>
  <c r="X147" i="115"/>
  <c r="BB31" i="116" s="1"/>
  <c r="V147" i="115"/>
  <c r="AT31" i="116" s="1"/>
  <c r="U147" i="115"/>
  <c r="AS31" i="116" s="1"/>
  <c r="M147" i="115"/>
  <c r="Y31" i="116" s="1"/>
  <c r="L147" i="115"/>
  <c r="X31" i="116" s="1"/>
  <c r="J147" i="115"/>
  <c r="P31" i="116" s="1"/>
  <c r="I147" i="115"/>
  <c r="O31" i="116" s="1"/>
  <c r="G147" i="115"/>
  <c r="G31" i="116" s="1"/>
  <c r="F147" i="115"/>
  <c r="F31" i="116" s="1"/>
  <c r="BX154" i="115"/>
  <c r="BW154" i="115"/>
  <c r="BU154" i="115"/>
  <c r="BT154" i="115"/>
  <c r="BR154" i="115"/>
  <c r="BQ154" i="115"/>
  <c r="AZ154" i="115"/>
  <c r="AW154" i="115"/>
  <c r="AV154" i="115"/>
  <c r="AT154" i="115"/>
  <c r="AS154" i="115"/>
  <c r="AB154" i="115"/>
  <c r="AA154" i="115"/>
  <c r="Y154" i="115"/>
  <c r="X154" i="115"/>
  <c r="V154" i="115"/>
  <c r="U154" i="115"/>
  <c r="M154" i="115"/>
  <c r="J154" i="115"/>
  <c r="I154" i="115"/>
  <c r="G154" i="115"/>
  <c r="F154" i="115"/>
  <c r="BX142" i="115"/>
  <c r="BW142" i="115"/>
  <c r="BU142" i="115"/>
  <c r="BT142" i="115"/>
  <c r="BR142" i="115"/>
  <c r="BQ142" i="115"/>
  <c r="BX141" i="115"/>
  <c r="BW141" i="115"/>
  <c r="BU141" i="115"/>
  <c r="BT141" i="115"/>
  <c r="BR141" i="115"/>
  <c r="BQ141" i="115"/>
  <c r="BX140" i="115"/>
  <c r="BW140" i="115"/>
  <c r="BU140" i="115"/>
  <c r="BT140" i="115"/>
  <c r="BR140" i="115"/>
  <c r="BQ140" i="115"/>
  <c r="BW139" i="115"/>
  <c r="BW174" i="115" s="1"/>
  <c r="BT139" i="115"/>
  <c r="BT174" i="115" s="1"/>
  <c r="BQ139" i="115"/>
  <c r="BQ174" i="115" s="1"/>
  <c r="AZ142" i="115"/>
  <c r="AY142" i="115"/>
  <c r="AW142" i="115"/>
  <c r="AV142" i="115"/>
  <c r="AT142" i="115"/>
  <c r="AS142" i="115"/>
  <c r="AZ141" i="115"/>
  <c r="AY141" i="115"/>
  <c r="AW141" i="115"/>
  <c r="AV141" i="115"/>
  <c r="AT141" i="115"/>
  <c r="AS141" i="115"/>
  <c r="AZ140" i="115"/>
  <c r="AY140" i="115"/>
  <c r="AW140" i="115"/>
  <c r="AV140" i="115"/>
  <c r="AT140" i="115"/>
  <c r="AS140" i="115"/>
  <c r="AV139" i="115"/>
  <c r="AV174" i="115" s="1"/>
  <c r="AB142" i="115"/>
  <c r="AA142" i="115"/>
  <c r="Y142" i="115"/>
  <c r="X142" i="115"/>
  <c r="V142" i="115"/>
  <c r="U142" i="115"/>
  <c r="AB141" i="115"/>
  <c r="AA141" i="115"/>
  <c r="Y141" i="115"/>
  <c r="X141" i="115"/>
  <c r="V141" i="115"/>
  <c r="U141" i="115"/>
  <c r="AB140" i="115"/>
  <c r="AA140" i="115"/>
  <c r="Y140" i="115"/>
  <c r="X140" i="115"/>
  <c r="V140" i="115"/>
  <c r="U140" i="115"/>
  <c r="AA139" i="115"/>
  <c r="AA174" i="115" s="1"/>
  <c r="U139" i="115"/>
  <c r="U174" i="115" s="1"/>
  <c r="M142" i="115"/>
  <c r="L142" i="115"/>
  <c r="M141" i="115"/>
  <c r="L141" i="115"/>
  <c r="M140" i="115"/>
  <c r="L140" i="115"/>
  <c r="J142" i="115"/>
  <c r="I142" i="115"/>
  <c r="J141" i="115"/>
  <c r="I141" i="115"/>
  <c r="J140" i="115"/>
  <c r="I140" i="115"/>
  <c r="G142" i="115"/>
  <c r="F142" i="115"/>
  <c r="G141" i="115"/>
  <c r="F141" i="115"/>
  <c r="G140" i="115"/>
  <c r="F140" i="115"/>
  <c r="F139" i="115"/>
  <c r="F174" i="115" s="1"/>
  <c r="BY179" i="115"/>
  <c r="BA179" i="115"/>
  <c r="AF179" i="115"/>
  <c r="BD179" i="115" s="1"/>
  <c r="AC179" i="115"/>
  <c r="N179" i="115"/>
  <c r="BY178" i="115"/>
  <c r="BA178" i="115"/>
  <c r="AF178" i="115"/>
  <c r="BD178" i="115" s="1"/>
  <c r="AC178" i="115"/>
  <c r="N178" i="115"/>
  <c r="BV176" i="115"/>
  <c r="BS176" i="115"/>
  <c r="BP176" i="115"/>
  <c r="BM176" i="115"/>
  <c r="AX176" i="115"/>
  <c r="AU176" i="115"/>
  <c r="AR176" i="115"/>
  <c r="AO176" i="115"/>
  <c r="Z176" i="115"/>
  <c r="W176" i="115"/>
  <c r="T176" i="115"/>
  <c r="Q176" i="115"/>
  <c r="K176" i="115"/>
  <c r="H176" i="115"/>
  <c r="E176" i="115"/>
  <c r="B176" i="115"/>
  <c r="BY126" i="115"/>
  <c r="BY125" i="115"/>
  <c r="AF126" i="115"/>
  <c r="BD126" i="115" s="1"/>
  <c r="AF125" i="115"/>
  <c r="BD125" i="115" s="1"/>
  <c r="BA126" i="115"/>
  <c r="BA123" i="115" s="1"/>
  <c r="BA125" i="115"/>
  <c r="AC126" i="115"/>
  <c r="AC125" i="115"/>
  <c r="N126" i="115"/>
  <c r="N125" i="115"/>
  <c r="CA119" i="115"/>
  <c r="CA172" i="115" s="1"/>
  <c r="BZ119" i="115"/>
  <c r="BZ172" i="115" s="1"/>
  <c r="CA118" i="115"/>
  <c r="CA171" i="115" s="1"/>
  <c r="BZ118" i="115"/>
  <c r="BZ171" i="115" s="1"/>
  <c r="CA117" i="115"/>
  <c r="CA170" i="115" s="1"/>
  <c r="BZ117" i="115"/>
  <c r="BZ170" i="115" s="1"/>
  <c r="CA116" i="115"/>
  <c r="CA169" i="115" s="1"/>
  <c r="BZ116" i="115"/>
  <c r="CA115" i="115"/>
  <c r="CA168" i="115" s="1"/>
  <c r="BZ115" i="115"/>
  <c r="BZ168" i="115" s="1"/>
  <c r="CA114" i="115"/>
  <c r="CA167" i="115" s="1"/>
  <c r="BZ114" i="115"/>
  <c r="BZ167" i="115" s="1"/>
  <c r="CA113" i="115"/>
  <c r="CA166" i="115" s="1"/>
  <c r="BZ113" i="115"/>
  <c r="BZ166" i="115" s="1"/>
  <c r="CA112" i="115"/>
  <c r="CA165" i="115" s="1"/>
  <c r="BZ112" i="115"/>
  <c r="CA110" i="115"/>
  <c r="CA163" i="115" s="1"/>
  <c r="BZ110" i="115"/>
  <c r="BZ163" i="115" s="1"/>
  <c r="CA109" i="115"/>
  <c r="CA162" i="115" s="1"/>
  <c r="BZ109" i="115"/>
  <c r="BZ162" i="115" s="1"/>
  <c r="CA108" i="115"/>
  <c r="CA161" i="115" s="1"/>
  <c r="BZ108" i="115"/>
  <c r="BZ161" i="115" s="1"/>
  <c r="BX121" i="115"/>
  <c r="BW121" i="115"/>
  <c r="BU121" i="115"/>
  <c r="BT121" i="115"/>
  <c r="BR121" i="115"/>
  <c r="CA121" i="115" s="1"/>
  <c r="BQ121" i="115"/>
  <c r="BZ121" i="115" s="1"/>
  <c r="BV119" i="115"/>
  <c r="BV172" i="115" s="1"/>
  <c r="BS119" i="115"/>
  <c r="BS172" i="115" s="1"/>
  <c r="BP119" i="115"/>
  <c r="BP172" i="115" s="1"/>
  <c r="BV118" i="115"/>
  <c r="BV171" i="115" s="1"/>
  <c r="BS118" i="115"/>
  <c r="BS171" i="115" s="1"/>
  <c r="BP118" i="115"/>
  <c r="BP171" i="115" s="1"/>
  <c r="BV117" i="115"/>
  <c r="BV170" i="115" s="1"/>
  <c r="BS117" i="115"/>
  <c r="BS170" i="115" s="1"/>
  <c r="BP117" i="115"/>
  <c r="BP170" i="115" s="1"/>
  <c r="BV116" i="115"/>
  <c r="BV169" i="115" s="1"/>
  <c r="BS116" i="115"/>
  <c r="BS169" i="115" s="1"/>
  <c r="BP116" i="115"/>
  <c r="BP169" i="115" s="1"/>
  <c r="BV115" i="115"/>
  <c r="BV168" i="115" s="1"/>
  <c r="BS115" i="115"/>
  <c r="BS168" i="115" s="1"/>
  <c r="BP115" i="115"/>
  <c r="BP168" i="115" s="1"/>
  <c r="BV114" i="115"/>
  <c r="BV167" i="115" s="1"/>
  <c r="BS114" i="115"/>
  <c r="BS167" i="115" s="1"/>
  <c r="BP114" i="115"/>
  <c r="BP167" i="115" s="1"/>
  <c r="BV113" i="115"/>
  <c r="BV166" i="115" s="1"/>
  <c r="BS113" i="115"/>
  <c r="BS166" i="115" s="1"/>
  <c r="BP113" i="115"/>
  <c r="BP166" i="115" s="1"/>
  <c r="BV112" i="115"/>
  <c r="BV165" i="115" s="1"/>
  <c r="BS112" i="115"/>
  <c r="BS165" i="115" s="1"/>
  <c r="BP112" i="115"/>
  <c r="BP165" i="115" s="1"/>
  <c r="BX111" i="115"/>
  <c r="BX164" i="115" s="1"/>
  <c r="FJ48" i="116" s="1"/>
  <c r="BW111" i="115"/>
  <c r="BW164" i="115" s="1"/>
  <c r="FI48" i="116" s="1"/>
  <c r="BU111" i="115"/>
  <c r="BU164" i="115" s="1"/>
  <c r="FA48" i="116" s="1"/>
  <c r="BT111" i="115"/>
  <c r="BT164" i="115" s="1"/>
  <c r="EZ48" i="116" s="1"/>
  <c r="BR111" i="115"/>
  <c r="BQ111" i="115"/>
  <c r="BQ164" i="115" s="1"/>
  <c r="EQ48" i="116" s="1"/>
  <c r="BV110" i="115"/>
  <c r="BV163" i="115" s="1"/>
  <c r="BS110" i="115"/>
  <c r="BS163" i="115" s="1"/>
  <c r="BP110" i="115"/>
  <c r="BP163" i="115" s="1"/>
  <c r="BV109" i="115"/>
  <c r="BV162" i="115" s="1"/>
  <c r="BS109" i="115"/>
  <c r="BS162" i="115" s="1"/>
  <c r="BP109" i="115"/>
  <c r="BP162" i="115" s="1"/>
  <c r="BV108" i="115"/>
  <c r="BV161" i="115" s="1"/>
  <c r="BS108" i="115"/>
  <c r="BS161" i="115" s="1"/>
  <c r="BP108" i="115"/>
  <c r="BP161" i="115" s="1"/>
  <c r="BX107" i="115"/>
  <c r="BX160" i="115" s="1"/>
  <c r="FJ44" i="116" s="1"/>
  <c r="BW107" i="115"/>
  <c r="BW160" i="115" s="1"/>
  <c r="FI44" i="116" s="1"/>
  <c r="BU107" i="115"/>
  <c r="BU160" i="115" s="1"/>
  <c r="FA44" i="116" s="1"/>
  <c r="BT107" i="115"/>
  <c r="BT160" i="115" s="1"/>
  <c r="EZ44" i="116" s="1"/>
  <c r="BR107" i="115"/>
  <c r="BR160" i="115" s="1"/>
  <c r="ER44" i="116" s="1"/>
  <c r="FS44" i="116" s="1"/>
  <c r="BQ107" i="115"/>
  <c r="BC119" i="115"/>
  <c r="BC172" i="115" s="1"/>
  <c r="BB119" i="115"/>
  <c r="BB172" i="115" s="1"/>
  <c r="BC118" i="115"/>
  <c r="BC171" i="115" s="1"/>
  <c r="BB118" i="115"/>
  <c r="BC117" i="115"/>
  <c r="BC170" i="115" s="1"/>
  <c r="BB117" i="115"/>
  <c r="BB170" i="115" s="1"/>
  <c r="BC116" i="115"/>
  <c r="BC169" i="115" s="1"/>
  <c r="BB116" i="115"/>
  <c r="BB169" i="115" s="1"/>
  <c r="BC115" i="115"/>
  <c r="BC168" i="115" s="1"/>
  <c r="BB115" i="115"/>
  <c r="BB168" i="115" s="1"/>
  <c r="BC114" i="115"/>
  <c r="BC167" i="115" s="1"/>
  <c r="BB114" i="115"/>
  <c r="BC113" i="115"/>
  <c r="BC166" i="115" s="1"/>
  <c r="BB113" i="115"/>
  <c r="BB166" i="115" s="1"/>
  <c r="BC112" i="115"/>
  <c r="BC165" i="115" s="1"/>
  <c r="BB112" i="115"/>
  <c r="BB165" i="115" s="1"/>
  <c r="BC110" i="115"/>
  <c r="BC163" i="115" s="1"/>
  <c r="BB110" i="115"/>
  <c r="BB163" i="115" s="1"/>
  <c r="BC109" i="115"/>
  <c r="BC162" i="115" s="1"/>
  <c r="BB109" i="115"/>
  <c r="BB162" i="115" s="1"/>
  <c r="BC108" i="115"/>
  <c r="BC161" i="115" s="1"/>
  <c r="BB108" i="115"/>
  <c r="BB161" i="115" s="1"/>
  <c r="AX119" i="115"/>
  <c r="AX172" i="115" s="1"/>
  <c r="AU119" i="115"/>
  <c r="AU172" i="115" s="1"/>
  <c r="AR119" i="115"/>
  <c r="AR172" i="115" s="1"/>
  <c r="AX118" i="115"/>
  <c r="AX171" i="115" s="1"/>
  <c r="AU118" i="115"/>
  <c r="AU171" i="115" s="1"/>
  <c r="AR118" i="115"/>
  <c r="AR171" i="115" s="1"/>
  <c r="AX117" i="115"/>
  <c r="AX170" i="115" s="1"/>
  <c r="AU117" i="115"/>
  <c r="AU170" i="115" s="1"/>
  <c r="AR117" i="115"/>
  <c r="AR170" i="115" s="1"/>
  <c r="AX116" i="115"/>
  <c r="AX169" i="115" s="1"/>
  <c r="AU116" i="115"/>
  <c r="AU169" i="115" s="1"/>
  <c r="AR116" i="115"/>
  <c r="AR169" i="115" s="1"/>
  <c r="AX115" i="115"/>
  <c r="AX168" i="115" s="1"/>
  <c r="AU115" i="115"/>
  <c r="AU168" i="115" s="1"/>
  <c r="AR115" i="115"/>
  <c r="AR168" i="115" s="1"/>
  <c r="AX114" i="115"/>
  <c r="AX167" i="115" s="1"/>
  <c r="AU114" i="115"/>
  <c r="AU167" i="115" s="1"/>
  <c r="AR114" i="115"/>
  <c r="AR167" i="115" s="1"/>
  <c r="AX113" i="115"/>
  <c r="AX166" i="115" s="1"/>
  <c r="AU113" i="115"/>
  <c r="AU166" i="115" s="1"/>
  <c r="AR113" i="115"/>
  <c r="AR166" i="115" s="1"/>
  <c r="AX112" i="115"/>
  <c r="AX165" i="115" s="1"/>
  <c r="AU112" i="115"/>
  <c r="AU165" i="115" s="1"/>
  <c r="AR112" i="115"/>
  <c r="AR165" i="115" s="1"/>
  <c r="AZ111" i="115"/>
  <c r="AZ164" i="115" s="1"/>
  <c r="DK48" i="116" s="1"/>
  <c r="AY164" i="115"/>
  <c r="DJ48" i="116" s="1"/>
  <c r="AW111" i="115"/>
  <c r="AW164" i="115" s="1"/>
  <c r="DB48" i="116" s="1"/>
  <c r="AV111" i="115"/>
  <c r="AV164" i="115" s="1"/>
  <c r="DA48" i="116" s="1"/>
  <c r="AT111" i="115"/>
  <c r="AS111" i="115"/>
  <c r="AX110" i="115"/>
  <c r="AX163" i="115" s="1"/>
  <c r="AU110" i="115"/>
  <c r="AU163" i="115" s="1"/>
  <c r="AR110" i="115"/>
  <c r="AR163" i="115" s="1"/>
  <c r="AX109" i="115"/>
  <c r="AX162" i="115" s="1"/>
  <c r="AU109" i="115"/>
  <c r="AU162" i="115" s="1"/>
  <c r="AR109" i="115"/>
  <c r="AR162" i="115" s="1"/>
  <c r="AX108" i="115"/>
  <c r="AX161" i="115" s="1"/>
  <c r="AU108" i="115"/>
  <c r="AU161" i="115" s="1"/>
  <c r="AR108" i="115"/>
  <c r="AR161" i="115" s="1"/>
  <c r="AZ107" i="115"/>
  <c r="AZ160" i="115" s="1"/>
  <c r="DK44" i="116" s="1"/>
  <c r="AY107" i="115"/>
  <c r="AY160" i="115" s="1"/>
  <c r="DJ44" i="116" s="1"/>
  <c r="AW107" i="115"/>
  <c r="AW160" i="115" s="1"/>
  <c r="DB44" i="116" s="1"/>
  <c r="AV107" i="115"/>
  <c r="AV160" i="115" s="1"/>
  <c r="DA44" i="116" s="1"/>
  <c r="AT107" i="115"/>
  <c r="AT160" i="115" s="1"/>
  <c r="CS44" i="116" s="1"/>
  <c r="AS107" i="115"/>
  <c r="AE119" i="115"/>
  <c r="AE172" i="115" s="1"/>
  <c r="AD119" i="115"/>
  <c r="AE118" i="115"/>
  <c r="AE171" i="115" s="1"/>
  <c r="AD118" i="115"/>
  <c r="AD171" i="115" s="1"/>
  <c r="AE117" i="115"/>
  <c r="AE170" i="115" s="1"/>
  <c r="AD117" i="115"/>
  <c r="AD170" i="115" s="1"/>
  <c r="AE116" i="115"/>
  <c r="AE169" i="115" s="1"/>
  <c r="AD116" i="115"/>
  <c r="AE115" i="115"/>
  <c r="AE168" i="115" s="1"/>
  <c r="AD115" i="115"/>
  <c r="AD168" i="115" s="1"/>
  <c r="AE114" i="115"/>
  <c r="AE167" i="115" s="1"/>
  <c r="AD114" i="115"/>
  <c r="AD167" i="115" s="1"/>
  <c r="AE113" i="115"/>
  <c r="AE166" i="115" s="1"/>
  <c r="AD113" i="115"/>
  <c r="AD166" i="115" s="1"/>
  <c r="AE112" i="115"/>
  <c r="AE165" i="115" s="1"/>
  <c r="AD112" i="115"/>
  <c r="AE110" i="115"/>
  <c r="AE163" i="115" s="1"/>
  <c r="AD110" i="115"/>
  <c r="AD163" i="115" s="1"/>
  <c r="AE109" i="115"/>
  <c r="AE162" i="115" s="1"/>
  <c r="AD109" i="115"/>
  <c r="AD162" i="115" s="1"/>
  <c r="AE108" i="115"/>
  <c r="AE161" i="115" s="1"/>
  <c r="AD108" i="115"/>
  <c r="AD161" i="115" s="1"/>
  <c r="AB121" i="115"/>
  <c r="AA121" i="115"/>
  <c r="Y121" i="115"/>
  <c r="V121" i="115"/>
  <c r="U121" i="115"/>
  <c r="Z119" i="115"/>
  <c r="Z172" i="115" s="1"/>
  <c r="W119" i="115"/>
  <c r="W172" i="115" s="1"/>
  <c r="T119" i="115"/>
  <c r="T172" i="115" s="1"/>
  <c r="Z118" i="115"/>
  <c r="Z171" i="115" s="1"/>
  <c r="W118" i="115"/>
  <c r="W171" i="115" s="1"/>
  <c r="T118" i="115"/>
  <c r="T171" i="115" s="1"/>
  <c r="Z117" i="115"/>
  <c r="Z170" i="115" s="1"/>
  <c r="W117" i="115"/>
  <c r="W170" i="115" s="1"/>
  <c r="T117" i="115"/>
  <c r="T170" i="115" s="1"/>
  <c r="Z116" i="115"/>
  <c r="Z169" i="115" s="1"/>
  <c r="W116" i="115"/>
  <c r="W169" i="115" s="1"/>
  <c r="T116" i="115"/>
  <c r="T169" i="115" s="1"/>
  <c r="Z115" i="115"/>
  <c r="Z168" i="115" s="1"/>
  <c r="W115" i="115"/>
  <c r="W168" i="115" s="1"/>
  <c r="T115" i="115"/>
  <c r="T168" i="115" s="1"/>
  <c r="Z114" i="115"/>
  <c r="Z167" i="115" s="1"/>
  <c r="W114" i="115"/>
  <c r="W167" i="115" s="1"/>
  <c r="T114" i="115"/>
  <c r="T167" i="115" s="1"/>
  <c r="Z113" i="115"/>
  <c r="Z166" i="115" s="1"/>
  <c r="W113" i="115"/>
  <c r="W166" i="115" s="1"/>
  <c r="T113" i="115"/>
  <c r="T166" i="115" s="1"/>
  <c r="Z112" i="115"/>
  <c r="Z165" i="115" s="1"/>
  <c r="W112" i="115"/>
  <c r="W165" i="115" s="1"/>
  <c r="T112" i="115"/>
  <c r="T165" i="115" s="1"/>
  <c r="AB111" i="115"/>
  <c r="AB164" i="115" s="1"/>
  <c r="BL48" i="116" s="1"/>
  <c r="AA111" i="115"/>
  <c r="AA164" i="115" s="1"/>
  <c r="BK48" i="116" s="1"/>
  <c r="Y111" i="115"/>
  <c r="Y164" i="115" s="1"/>
  <c r="BC48" i="116" s="1"/>
  <c r="X111" i="115"/>
  <c r="X164" i="115" s="1"/>
  <c r="BB48" i="116" s="1"/>
  <c r="V111" i="115"/>
  <c r="U164" i="115"/>
  <c r="AS48" i="116" s="1"/>
  <c r="Z110" i="115"/>
  <c r="Z163" i="115" s="1"/>
  <c r="W110" i="115"/>
  <c r="W163" i="115" s="1"/>
  <c r="T110" i="115"/>
  <c r="T163" i="115" s="1"/>
  <c r="Z109" i="115"/>
  <c r="Z162" i="115" s="1"/>
  <c r="W109" i="115"/>
  <c r="W162" i="115" s="1"/>
  <c r="T109" i="115"/>
  <c r="T162" i="115" s="1"/>
  <c r="Z108" i="115"/>
  <c r="Z161" i="115" s="1"/>
  <c r="W108" i="115"/>
  <c r="W161" i="115" s="1"/>
  <c r="T108" i="115"/>
  <c r="T161" i="115" s="1"/>
  <c r="AB107" i="115"/>
  <c r="AA107" i="115"/>
  <c r="AA160" i="115" s="1"/>
  <c r="BK44" i="116" s="1"/>
  <c r="Y107" i="115"/>
  <c r="Y160" i="115" s="1"/>
  <c r="BC44" i="116" s="1"/>
  <c r="X107" i="115"/>
  <c r="X160" i="115" s="1"/>
  <c r="BB44" i="116" s="1"/>
  <c r="V107" i="115"/>
  <c r="V160" i="115" s="1"/>
  <c r="AT44" i="116" s="1"/>
  <c r="U107" i="115"/>
  <c r="P119" i="115"/>
  <c r="P172" i="115" s="1"/>
  <c r="O119" i="115"/>
  <c r="P118" i="115"/>
  <c r="P171" i="115" s="1"/>
  <c r="O118" i="115"/>
  <c r="O171" i="115" s="1"/>
  <c r="P117" i="115"/>
  <c r="P170" i="115" s="1"/>
  <c r="O117" i="115"/>
  <c r="P116" i="115"/>
  <c r="P169" i="115" s="1"/>
  <c r="O116" i="115"/>
  <c r="O169" i="115" s="1"/>
  <c r="P115" i="115"/>
  <c r="P168" i="115" s="1"/>
  <c r="O115" i="115"/>
  <c r="O168" i="115" s="1"/>
  <c r="P114" i="115"/>
  <c r="P167" i="115" s="1"/>
  <c r="O114" i="115"/>
  <c r="O167" i="115" s="1"/>
  <c r="P113" i="115"/>
  <c r="P166" i="115" s="1"/>
  <c r="O113" i="115"/>
  <c r="P112" i="115"/>
  <c r="P165" i="115" s="1"/>
  <c r="O112" i="115"/>
  <c r="O165" i="115" s="1"/>
  <c r="P110" i="115"/>
  <c r="P163" i="115" s="1"/>
  <c r="O110" i="115"/>
  <c r="O163" i="115" s="1"/>
  <c r="P109" i="115"/>
  <c r="P162" i="115" s="1"/>
  <c r="O109" i="115"/>
  <c r="O162" i="115" s="1"/>
  <c r="P108" i="115"/>
  <c r="P161" i="115" s="1"/>
  <c r="O108" i="115"/>
  <c r="O161" i="115" s="1"/>
  <c r="L121" i="115"/>
  <c r="K119" i="115"/>
  <c r="K172" i="115" s="1"/>
  <c r="K118" i="115"/>
  <c r="K171" i="115" s="1"/>
  <c r="K117" i="115"/>
  <c r="K170" i="115" s="1"/>
  <c r="K116" i="115"/>
  <c r="K169" i="115" s="1"/>
  <c r="K115" i="115"/>
  <c r="K168" i="115" s="1"/>
  <c r="K114" i="115"/>
  <c r="K167" i="115" s="1"/>
  <c r="K113" i="115"/>
  <c r="K166" i="115" s="1"/>
  <c r="K112" i="115"/>
  <c r="K165" i="115" s="1"/>
  <c r="M111" i="115"/>
  <c r="M164" i="115" s="1"/>
  <c r="Y48" i="116" s="1"/>
  <c r="L111" i="115"/>
  <c r="L164" i="115" s="1"/>
  <c r="X48" i="116" s="1"/>
  <c r="K110" i="115"/>
  <c r="K163" i="115" s="1"/>
  <c r="K109" i="115"/>
  <c r="K162" i="115" s="1"/>
  <c r="K108" i="115"/>
  <c r="K161" i="115" s="1"/>
  <c r="M107" i="115"/>
  <c r="M160" i="115" s="1"/>
  <c r="Y44" i="116" s="1"/>
  <c r="L107" i="115"/>
  <c r="L160" i="115" s="1"/>
  <c r="X44" i="116" s="1"/>
  <c r="J121" i="115"/>
  <c r="H119" i="115"/>
  <c r="H172" i="115" s="1"/>
  <c r="H118" i="115"/>
  <c r="H171" i="115" s="1"/>
  <c r="H117" i="115"/>
  <c r="H170" i="115" s="1"/>
  <c r="H116" i="115"/>
  <c r="H169" i="115" s="1"/>
  <c r="H115" i="115"/>
  <c r="H168" i="115" s="1"/>
  <c r="H114" i="115"/>
  <c r="H167" i="115" s="1"/>
  <c r="H113" i="115"/>
  <c r="H166" i="115" s="1"/>
  <c r="H112" i="115"/>
  <c r="H165" i="115" s="1"/>
  <c r="J111" i="115"/>
  <c r="J164" i="115" s="1"/>
  <c r="P48" i="116" s="1"/>
  <c r="I111" i="115"/>
  <c r="H110" i="115"/>
  <c r="H163" i="115" s="1"/>
  <c r="H109" i="115"/>
  <c r="H162" i="115" s="1"/>
  <c r="H108" i="115"/>
  <c r="H161" i="115" s="1"/>
  <c r="J107" i="115"/>
  <c r="J160" i="115" s="1"/>
  <c r="P44" i="116" s="1"/>
  <c r="I107" i="115"/>
  <c r="I160" i="115" s="1"/>
  <c r="O44" i="116" s="1"/>
  <c r="F121" i="115"/>
  <c r="E119" i="115"/>
  <c r="E172" i="115" s="1"/>
  <c r="E118" i="115"/>
  <c r="E171" i="115" s="1"/>
  <c r="E117" i="115"/>
  <c r="E170" i="115" s="1"/>
  <c r="E116" i="115"/>
  <c r="E169" i="115" s="1"/>
  <c r="E115" i="115"/>
  <c r="E168" i="115" s="1"/>
  <c r="E114" i="115"/>
  <c r="E167" i="115" s="1"/>
  <c r="E113" i="115"/>
  <c r="E166" i="115" s="1"/>
  <c r="E112" i="115"/>
  <c r="E165" i="115" s="1"/>
  <c r="E110" i="115"/>
  <c r="E163" i="115" s="1"/>
  <c r="E109" i="115"/>
  <c r="E162" i="115" s="1"/>
  <c r="E108" i="115"/>
  <c r="E161" i="115" s="1"/>
  <c r="G111" i="115"/>
  <c r="G164" i="115" s="1"/>
  <c r="G48" i="116" s="1"/>
  <c r="F111" i="115"/>
  <c r="G107" i="115"/>
  <c r="G160" i="115" s="1"/>
  <c r="G44" i="116" s="1"/>
  <c r="AH44" i="116" s="1"/>
  <c r="F107" i="115"/>
  <c r="CA106" i="115"/>
  <c r="BZ106" i="115"/>
  <c r="CA105" i="115"/>
  <c r="BZ105" i="115"/>
  <c r="CA103" i="115"/>
  <c r="BZ103" i="115"/>
  <c r="CA101" i="115"/>
  <c r="BZ101" i="115"/>
  <c r="CA100" i="115"/>
  <c r="BZ100" i="115"/>
  <c r="CA99" i="115"/>
  <c r="BZ99" i="115"/>
  <c r="CA98" i="115"/>
  <c r="BZ98" i="115"/>
  <c r="CA95" i="115"/>
  <c r="BZ95" i="115"/>
  <c r="CA94" i="115"/>
  <c r="BZ94" i="115"/>
  <c r="CA93" i="115"/>
  <c r="BZ93" i="115"/>
  <c r="CA92" i="115"/>
  <c r="BZ92" i="115"/>
  <c r="CA91" i="115"/>
  <c r="BZ91" i="115"/>
  <c r="BV106" i="115"/>
  <c r="BS106" i="115"/>
  <c r="BP106" i="115"/>
  <c r="BV105" i="115"/>
  <c r="BS105" i="115"/>
  <c r="BP105" i="115"/>
  <c r="BX104" i="115"/>
  <c r="BW104" i="115"/>
  <c r="BU104" i="115"/>
  <c r="BT104" i="115"/>
  <c r="BR104" i="115"/>
  <c r="CA104" i="115" s="1"/>
  <c r="BQ104" i="115"/>
  <c r="BV103" i="115"/>
  <c r="BS103" i="115"/>
  <c r="BP103" i="115"/>
  <c r="BX102" i="115"/>
  <c r="BW102" i="115"/>
  <c r="BU102" i="115"/>
  <c r="BT102" i="115"/>
  <c r="BT97" i="115" s="1"/>
  <c r="BR102" i="115"/>
  <c r="BQ102" i="115"/>
  <c r="BV101" i="115"/>
  <c r="BS101" i="115"/>
  <c r="BP101" i="115"/>
  <c r="BV100" i="115"/>
  <c r="BS100" i="115"/>
  <c r="BP100" i="115"/>
  <c r="BV99" i="115"/>
  <c r="BS99" i="115"/>
  <c r="BP99" i="115"/>
  <c r="BV98" i="115"/>
  <c r="BS98" i="115"/>
  <c r="BP98" i="115"/>
  <c r="BX96" i="115"/>
  <c r="BW96" i="115"/>
  <c r="BU96" i="115"/>
  <c r="BT96" i="115"/>
  <c r="BR96" i="115"/>
  <c r="CA96" i="115" s="1"/>
  <c r="BQ96" i="115"/>
  <c r="BZ96" i="115" s="1"/>
  <c r="BY96" i="115" s="1"/>
  <c r="BV95" i="115"/>
  <c r="BS95" i="115"/>
  <c r="BP95" i="115"/>
  <c r="BV94" i="115"/>
  <c r="BS94" i="115"/>
  <c r="BP94" i="115"/>
  <c r="BV93" i="115"/>
  <c r="BS93" i="115"/>
  <c r="BP93" i="115"/>
  <c r="BV92" i="115"/>
  <c r="BS92" i="115"/>
  <c r="BP92" i="115"/>
  <c r="BV91" i="115"/>
  <c r="BS91" i="115"/>
  <c r="BP91" i="115"/>
  <c r="BC106" i="115"/>
  <c r="BB106" i="115"/>
  <c r="BC105" i="115"/>
  <c r="BB105" i="115"/>
  <c r="BC103" i="115"/>
  <c r="BB103" i="115"/>
  <c r="BC101" i="115"/>
  <c r="BB101" i="115"/>
  <c r="BC100" i="115"/>
  <c r="BB100" i="115"/>
  <c r="BC99" i="115"/>
  <c r="BB99" i="115"/>
  <c r="BC98" i="115"/>
  <c r="BB98" i="115"/>
  <c r="BC95" i="115"/>
  <c r="BB95" i="115"/>
  <c r="BC94" i="115"/>
  <c r="BB94" i="115"/>
  <c r="BC93" i="115"/>
  <c r="BB93" i="115"/>
  <c r="BC92" i="115"/>
  <c r="BB92" i="115"/>
  <c r="BC91" i="115"/>
  <c r="BB91" i="115"/>
  <c r="AX106" i="115"/>
  <c r="AU106" i="115"/>
  <c r="AR106" i="115"/>
  <c r="AX105" i="115"/>
  <c r="AU105" i="115"/>
  <c r="AR105" i="115"/>
  <c r="AZ104" i="115"/>
  <c r="AY104" i="115"/>
  <c r="AW104" i="115"/>
  <c r="AV104" i="115"/>
  <c r="AT104" i="115"/>
  <c r="AS104" i="115"/>
  <c r="AX103" i="115"/>
  <c r="AU103" i="115"/>
  <c r="AR103" i="115"/>
  <c r="AZ102" i="115"/>
  <c r="AY102" i="115"/>
  <c r="AX102" i="115" s="1"/>
  <c r="AW102" i="115"/>
  <c r="AV102" i="115"/>
  <c r="AT102" i="115"/>
  <c r="BC102" i="115" s="1"/>
  <c r="AS102" i="115"/>
  <c r="AS97" i="115" s="1"/>
  <c r="AX101" i="115"/>
  <c r="AU101" i="115"/>
  <c r="AR101" i="115"/>
  <c r="AX100" i="115"/>
  <c r="AU100" i="115"/>
  <c r="AR100" i="115"/>
  <c r="AX99" i="115"/>
  <c r="AU99" i="115"/>
  <c r="AR99" i="115"/>
  <c r="AX98" i="115"/>
  <c r="AU98" i="115"/>
  <c r="AR98" i="115"/>
  <c r="AZ96" i="115"/>
  <c r="AY96" i="115"/>
  <c r="AW96" i="115"/>
  <c r="AV96" i="115"/>
  <c r="AT96" i="115"/>
  <c r="BC96" i="115" s="1"/>
  <c r="AS96" i="115"/>
  <c r="BB96" i="115" s="1"/>
  <c r="BA96" i="115" s="1"/>
  <c r="AX95" i="115"/>
  <c r="AU95" i="115"/>
  <c r="AR95" i="115"/>
  <c r="AX94" i="115"/>
  <c r="AU94" i="115"/>
  <c r="AR94" i="115"/>
  <c r="AX93" i="115"/>
  <c r="AU93" i="115"/>
  <c r="AR93" i="115"/>
  <c r="AX92" i="115"/>
  <c r="AU92" i="115"/>
  <c r="AR92" i="115"/>
  <c r="AX91" i="115"/>
  <c r="AU91" i="115"/>
  <c r="AR91" i="115"/>
  <c r="AE106" i="115"/>
  <c r="AD106" i="115"/>
  <c r="AE105" i="115"/>
  <c r="AD105" i="115"/>
  <c r="AE103" i="115"/>
  <c r="AD103" i="115"/>
  <c r="AE101" i="115"/>
  <c r="AD101" i="115"/>
  <c r="AE100" i="115"/>
  <c r="AD100" i="115"/>
  <c r="AE99" i="115"/>
  <c r="AD99" i="115"/>
  <c r="AE98" i="115"/>
  <c r="AD98" i="115"/>
  <c r="AE95" i="115"/>
  <c r="AD95" i="115"/>
  <c r="AE94" i="115"/>
  <c r="AD94" i="115"/>
  <c r="AE93" i="115"/>
  <c r="AD93" i="115"/>
  <c r="AE92" i="115"/>
  <c r="AD92" i="115"/>
  <c r="AE91" i="115"/>
  <c r="AD91" i="115"/>
  <c r="Z106" i="115"/>
  <c r="W106" i="115"/>
  <c r="T106" i="115"/>
  <c r="Z105" i="115"/>
  <c r="W105" i="115"/>
  <c r="T105" i="115"/>
  <c r="AB104" i="115"/>
  <c r="AA104" i="115"/>
  <c r="Y104" i="115"/>
  <c r="X104" i="115"/>
  <c r="V104" i="115"/>
  <c r="U104" i="115"/>
  <c r="Z103" i="115"/>
  <c r="W103" i="115"/>
  <c r="T103" i="115"/>
  <c r="AB102" i="115"/>
  <c r="AA102" i="115"/>
  <c r="Y102" i="115"/>
  <c r="X102" i="115"/>
  <c r="X97" i="115" s="1"/>
  <c r="V102" i="115"/>
  <c r="U102" i="115"/>
  <c r="Z101" i="115"/>
  <c r="W101" i="115"/>
  <c r="T101" i="115"/>
  <c r="Z100" i="115"/>
  <c r="W100" i="115"/>
  <c r="T100" i="115"/>
  <c r="Z99" i="115"/>
  <c r="W99" i="115"/>
  <c r="T99" i="115"/>
  <c r="Z98" i="115"/>
  <c r="W98" i="115"/>
  <c r="T98" i="115"/>
  <c r="AB96" i="115"/>
  <c r="AA96" i="115"/>
  <c r="Y96" i="115"/>
  <c r="X96" i="115"/>
  <c r="V96" i="115"/>
  <c r="AE96" i="115" s="1"/>
  <c r="U96" i="115"/>
  <c r="AD96" i="115" s="1"/>
  <c r="Z95" i="115"/>
  <c r="W95" i="115"/>
  <c r="T95" i="115"/>
  <c r="Z94" i="115"/>
  <c r="W94" i="115"/>
  <c r="T94" i="115"/>
  <c r="Z93" i="115"/>
  <c r="W93" i="115"/>
  <c r="T93" i="115"/>
  <c r="Z92" i="115"/>
  <c r="W92" i="115"/>
  <c r="T92" i="115"/>
  <c r="Z91" i="115"/>
  <c r="W91" i="115"/>
  <c r="T91" i="115"/>
  <c r="P106" i="115"/>
  <c r="O106" i="115"/>
  <c r="P105" i="115"/>
  <c r="O105" i="115"/>
  <c r="P103" i="115"/>
  <c r="O103" i="115"/>
  <c r="P101" i="115"/>
  <c r="O101" i="115"/>
  <c r="P100" i="115"/>
  <c r="O100" i="115"/>
  <c r="P99" i="115"/>
  <c r="O99" i="115"/>
  <c r="P98" i="115"/>
  <c r="O98" i="115"/>
  <c r="P95" i="115"/>
  <c r="P96" i="115" s="1"/>
  <c r="O95" i="115"/>
  <c r="P94" i="115"/>
  <c r="O94" i="115"/>
  <c r="P93" i="115"/>
  <c r="O93" i="115"/>
  <c r="P92" i="115"/>
  <c r="O92" i="115"/>
  <c r="P91" i="115"/>
  <c r="O91" i="115"/>
  <c r="K106" i="115"/>
  <c r="K105" i="115"/>
  <c r="M104" i="115"/>
  <c r="L104" i="115"/>
  <c r="K103" i="115"/>
  <c r="M102" i="115"/>
  <c r="L102" i="115"/>
  <c r="K101" i="115"/>
  <c r="K100" i="115"/>
  <c r="K99" i="115"/>
  <c r="K98" i="115"/>
  <c r="M96" i="115"/>
  <c r="L96" i="115"/>
  <c r="K95" i="115"/>
  <c r="K94" i="115"/>
  <c r="K93" i="115"/>
  <c r="K92" i="115"/>
  <c r="K91" i="115"/>
  <c r="H106" i="115"/>
  <c r="H105" i="115"/>
  <c r="J104" i="115"/>
  <c r="I104" i="115"/>
  <c r="H103" i="115"/>
  <c r="J102" i="115"/>
  <c r="I102" i="115"/>
  <c r="H101" i="115"/>
  <c r="H100" i="115"/>
  <c r="H99" i="115"/>
  <c r="H98" i="115"/>
  <c r="J96" i="115"/>
  <c r="I96" i="115"/>
  <c r="H95" i="115"/>
  <c r="H94" i="115"/>
  <c r="H93" i="115"/>
  <c r="H92" i="115"/>
  <c r="H91" i="115"/>
  <c r="E106" i="115"/>
  <c r="E105" i="115"/>
  <c r="E103" i="115"/>
  <c r="E101" i="115"/>
  <c r="E100" i="115"/>
  <c r="E99" i="115"/>
  <c r="E98" i="115"/>
  <c r="E95" i="115"/>
  <c r="E94" i="115"/>
  <c r="E93" i="115"/>
  <c r="E92" i="115"/>
  <c r="E91" i="115"/>
  <c r="K89" i="115"/>
  <c r="M88" i="115"/>
  <c r="L88" i="115"/>
  <c r="K87" i="115"/>
  <c r="M86" i="115"/>
  <c r="L86" i="115"/>
  <c r="L77" i="115" s="1"/>
  <c r="L71" i="115" s="1"/>
  <c r="K85" i="115"/>
  <c r="K84" i="115"/>
  <c r="K207" i="115" s="1"/>
  <c r="K83" i="115"/>
  <c r="K206" i="115" s="1"/>
  <c r="K82" i="115"/>
  <c r="K81" i="115"/>
  <c r="K80" i="115"/>
  <c r="K79" i="115"/>
  <c r="K78" i="115"/>
  <c r="K76" i="115"/>
  <c r="M75" i="115"/>
  <c r="L75" i="115"/>
  <c r="K74" i="115"/>
  <c r="K73" i="115"/>
  <c r="K72" i="115"/>
  <c r="H89" i="115"/>
  <c r="J88" i="115"/>
  <c r="I88" i="115"/>
  <c r="H87" i="115"/>
  <c r="J86" i="115"/>
  <c r="I86" i="115"/>
  <c r="H85" i="115"/>
  <c r="H84" i="115"/>
  <c r="H207" i="115" s="1"/>
  <c r="H83" i="115"/>
  <c r="H206" i="115" s="1"/>
  <c r="H82" i="115"/>
  <c r="H81" i="115"/>
  <c r="H80" i="115"/>
  <c r="H79" i="115"/>
  <c r="H78" i="115"/>
  <c r="H76" i="115"/>
  <c r="J75" i="115"/>
  <c r="I75" i="115"/>
  <c r="H74" i="115"/>
  <c r="H73" i="115"/>
  <c r="H72" i="115"/>
  <c r="E89" i="115"/>
  <c r="E87" i="115"/>
  <c r="E85" i="115"/>
  <c r="E84" i="115"/>
  <c r="E207" i="115" s="1"/>
  <c r="E83" i="115"/>
  <c r="E206" i="115" s="1"/>
  <c r="E82" i="115"/>
  <c r="E81" i="115"/>
  <c r="E80" i="115"/>
  <c r="E79" i="115"/>
  <c r="E78" i="115"/>
  <c r="E76" i="115"/>
  <c r="E74" i="115"/>
  <c r="E73" i="115"/>
  <c r="E72" i="115"/>
  <c r="G104" i="115"/>
  <c r="F104" i="115"/>
  <c r="G102" i="115"/>
  <c r="F102" i="115"/>
  <c r="F97" i="115" s="1"/>
  <c r="F90" i="115" s="1"/>
  <c r="G97" i="115"/>
  <c r="G96" i="115"/>
  <c r="F96" i="115"/>
  <c r="CA89" i="115"/>
  <c r="BZ89" i="115"/>
  <c r="BV89" i="115"/>
  <c r="BV88" i="115" s="1"/>
  <c r="BS89" i="115"/>
  <c r="BS88" i="115" s="1"/>
  <c r="BP89" i="115"/>
  <c r="BP88" i="115" s="1"/>
  <c r="BX88" i="115"/>
  <c r="BW88" i="115"/>
  <c r="BU88" i="115"/>
  <c r="BT88" i="115"/>
  <c r="BR88" i="115"/>
  <c r="CA88" i="115" s="1"/>
  <c r="BQ88" i="115"/>
  <c r="CA87" i="115"/>
  <c r="BZ87" i="115"/>
  <c r="BV87" i="115"/>
  <c r="BV86" i="115" s="1"/>
  <c r="BS87" i="115"/>
  <c r="BS86" i="115" s="1"/>
  <c r="BP87" i="115"/>
  <c r="BP86" i="115" s="1"/>
  <c r="BX86" i="115"/>
  <c r="BW86" i="115"/>
  <c r="BU86" i="115"/>
  <c r="BT86" i="115"/>
  <c r="BR86" i="115"/>
  <c r="BQ86" i="115"/>
  <c r="CA85" i="115"/>
  <c r="BZ85" i="115"/>
  <c r="BV85" i="115"/>
  <c r="BS85" i="115"/>
  <c r="BP85" i="115"/>
  <c r="CA84" i="115"/>
  <c r="CA207" i="115" s="1"/>
  <c r="BZ84" i="115"/>
  <c r="BZ207" i="115" s="1"/>
  <c r="BV84" i="115"/>
  <c r="BV207" i="115" s="1"/>
  <c r="BS84" i="115"/>
  <c r="BS207" i="115" s="1"/>
  <c r="BP84" i="115"/>
  <c r="BP207" i="115" s="1"/>
  <c r="CA83" i="115"/>
  <c r="CA206" i="115" s="1"/>
  <c r="BZ83" i="115"/>
  <c r="BZ206" i="115" s="1"/>
  <c r="BV83" i="115"/>
  <c r="BV206" i="115" s="1"/>
  <c r="BS83" i="115"/>
  <c r="BS206" i="115" s="1"/>
  <c r="BP83" i="115"/>
  <c r="BP206" i="115" s="1"/>
  <c r="CA82" i="115"/>
  <c r="BZ82" i="115"/>
  <c r="BV82" i="115"/>
  <c r="BS82" i="115"/>
  <c r="BP82" i="115"/>
  <c r="CA81" i="115"/>
  <c r="BZ81" i="115"/>
  <c r="BV81" i="115"/>
  <c r="BS81" i="115"/>
  <c r="BP81" i="115"/>
  <c r="CA80" i="115"/>
  <c r="BZ80" i="115"/>
  <c r="BV80" i="115"/>
  <c r="BS80" i="115"/>
  <c r="BP80" i="115"/>
  <c r="CA79" i="115"/>
  <c r="BZ79" i="115"/>
  <c r="BV79" i="115"/>
  <c r="BS79" i="115"/>
  <c r="BP79" i="115"/>
  <c r="CA78" i="115"/>
  <c r="BZ78" i="115"/>
  <c r="BV78" i="115"/>
  <c r="BS78" i="115"/>
  <c r="BP78" i="115"/>
  <c r="CA76" i="115"/>
  <c r="BZ76" i="115"/>
  <c r="BV76" i="115"/>
  <c r="BS76" i="115"/>
  <c r="BP76" i="115"/>
  <c r="BX75" i="115"/>
  <c r="BW75" i="115"/>
  <c r="BU75" i="115"/>
  <c r="BT75" i="115"/>
  <c r="BR75" i="115"/>
  <c r="CA75" i="115" s="1"/>
  <c r="BQ75" i="115"/>
  <c r="CA74" i="115"/>
  <c r="BZ74" i="115"/>
  <c r="BV74" i="115"/>
  <c r="BS74" i="115"/>
  <c r="BP74" i="115"/>
  <c r="CA73" i="115"/>
  <c r="BZ73" i="115"/>
  <c r="BV73" i="115"/>
  <c r="BS73" i="115"/>
  <c r="BP73" i="115"/>
  <c r="CA72" i="115"/>
  <c r="BZ72" i="115"/>
  <c r="BV72" i="115"/>
  <c r="BS72" i="115"/>
  <c r="BP72" i="115"/>
  <c r="BC89" i="115"/>
  <c r="BB89" i="115"/>
  <c r="AX89" i="115"/>
  <c r="AX88" i="115" s="1"/>
  <c r="AU89" i="115"/>
  <c r="AU88" i="115" s="1"/>
  <c r="AR89" i="115"/>
  <c r="AR88" i="115" s="1"/>
  <c r="AZ88" i="115"/>
  <c r="AY88" i="115"/>
  <c r="AW88" i="115"/>
  <c r="AV88" i="115"/>
  <c r="AT88" i="115"/>
  <c r="AS88" i="115"/>
  <c r="BC87" i="115"/>
  <c r="BB87" i="115"/>
  <c r="AX87" i="115"/>
  <c r="AX86" i="115" s="1"/>
  <c r="AU87" i="115"/>
  <c r="AR87" i="115"/>
  <c r="AR86" i="115" s="1"/>
  <c r="AZ86" i="115"/>
  <c r="AY86" i="115"/>
  <c r="AY77" i="115" s="1"/>
  <c r="AY71" i="115" s="1"/>
  <c r="AW86" i="115"/>
  <c r="AV86" i="115"/>
  <c r="AV77" i="115" s="1"/>
  <c r="AV71" i="115" s="1"/>
  <c r="AU86" i="115"/>
  <c r="AT86" i="115"/>
  <c r="AS86" i="115"/>
  <c r="BC85" i="115"/>
  <c r="BB85" i="115"/>
  <c r="AX85" i="115"/>
  <c r="AU85" i="115"/>
  <c r="AR85" i="115"/>
  <c r="BC84" i="115"/>
  <c r="BC207" i="115" s="1"/>
  <c r="BB84" i="115"/>
  <c r="AX84" i="115"/>
  <c r="AX207" i="115" s="1"/>
  <c r="AU84" i="115"/>
  <c r="AU207" i="115" s="1"/>
  <c r="AR84" i="115"/>
  <c r="AR207" i="115" s="1"/>
  <c r="BC83" i="115"/>
  <c r="BC206" i="115" s="1"/>
  <c r="BB83" i="115"/>
  <c r="BB206" i="115" s="1"/>
  <c r="AX83" i="115"/>
  <c r="AX206" i="115" s="1"/>
  <c r="AU83" i="115"/>
  <c r="AU206" i="115" s="1"/>
  <c r="AR83" i="115"/>
  <c r="AR206" i="115" s="1"/>
  <c r="BC82" i="115"/>
  <c r="BB82" i="115"/>
  <c r="AX82" i="115"/>
  <c r="AU82" i="115"/>
  <c r="AR82" i="115"/>
  <c r="BC81" i="115"/>
  <c r="BB81" i="115"/>
  <c r="AX81" i="115"/>
  <c r="AU81" i="115"/>
  <c r="AR81" i="115"/>
  <c r="BC80" i="115"/>
  <c r="BB80" i="115"/>
  <c r="BA80" i="115" s="1"/>
  <c r="AX80" i="115"/>
  <c r="AU80" i="115"/>
  <c r="AR80" i="115"/>
  <c r="BC79" i="115"/>
  <c r="BB79" i="115"/>
  <c r="AX79" i="115"/>
  <c r="AU79" i="115"/>
  <c r="AR79" i="115"/>
  <c r="BC78" i="115"/>
  <c r="BB78" i="115"/>
  <c r="AX78" i="115"/>
  <c r="AU78" i="115"/>
  <c r="AR78" i="115"/>
  <c r="AR77" i="115" s="1"/>
  <c r="AZ77" i="115"/>
  <c r="AZ71" i="115" s="1"/>
  <c r="AW77" i="115"/>
  <c r="AW71" i="115" s="1"/>
  <c r="AT77" i="115"/>
  <c r="BC77" i="115" s="1"/>
  <c r="AS77" i="115"/>
  <c r="BC76" i="115"/>
  <c r="BB76" i="115"/>
  <c r="BA76" i="115" s="1"/>
  <c r="AX76" i="115"/>
  <c r="AU76" i="115"/>
  <c r="AR76" i="115"/>
  <c r="AZ75" i="115"/>
  <c r="AY75" i="115"/>
  <c r="AW75" i="115"/>
  <c r="AV75" i="115"/>
  <c r="AT75" i="115"/>
  <c r="BC75" i="115" s="1"/>
  <c r="AS75" i="115"/>
  <c r="BC74" i="115"/>
  <c r="BB74" i="115"/>
  <c r="AX74" i="115"/>
  <c r="AU74" i="115"/>
  <c r="AR74" i="115"/>
  <c r="AR75" i="115" s="1"/>
  <c r="BC73" i="115"/>
  <c r="BB73" i="115"/>
  <c r="BA73" i="115" s="1"/>
  <c r="AX73" i="115"/>
  <c r="AU73" i="115"/>
  <c r="AR73" i="115"/>
  <c r="BC72" i="115"/>
  <c r="BB72" i="115"/>
  <c r="AX72" i="115"/>
  <c r="AU72" i="115"/>
  <c r="AR72" i="115"/>
  <c r="AS71" i="115"/>
  <c r="AE89" i="115"/>
  <c r="AD89" i="115"/>
  <c r="Z89" i="115"/>
  <c r="Z88" i="115" s="1"/>
  <c r="W89" i="115"/>
  <c r="W88" i="115" s="1"/>
  <c r="T89" i="115"/>
  <c r="T88" i="115" s="1"/>
  <c r="AB88" i="115"/>
  <c r="AA88" i="115"/>
  <c r="Y88" i="115"/>
  <c r="X88" i="115"/>
  <c r="V88" i="115"/>
  <c r="U88" i="115"/>
  <c r="AE87" i="115"/>
  <c r="AD87" i="115"/>
  <c r="Z87" i="115"/>
  <c r="Z86" i="115" s="1"/>
  <c r="W87" i="115"/>
  <c r="T87" i="115"/>
  <c r="T86" i="115" s="1"/>
  <c r="AB86" i="115"/>
  <c r="AB77" i="115" s="1"/>
  <c r="AB71" i="115" s="1"/>
  <c r="AA86" i="115"/>
  <c r="AA77" i="115" s="1"/>
  <c r="AA71" i="115" s="1"/>
  <c r="Y86" i="115"/>
  <c r="Y77" i="115" s="1"/>
  <c r="Y71" i="115" s="1"/>
  <c r="X86" i="115"/>
  <c r="W86" i="115"/>
  <c r="V86" i="115"/>
  <c r="V77" i="115" s="1"/>
  <c r="V71" i="115" s="1"/>
  <c r="U86" i="115"/>
  <c r="U77" i="115" s="1"/>
  <c r="U71" i="115" s="1"/>
  <c r="AE85" i="115"/>
  <c r="AD85" i="115"/>
  <c r="Z85" i="115"/>
  <c r="W85" i="115"/>
  <c r="T85" i="115"/>
  <c r="AE84" i="115"/>
  <c r="AE207" i="115" s="1"/>
  <c r="AD84" i="115"/>
  <c r="AD207" i="115" s="1"/>
  <c r="Z84" i="115"/>
  <c r="Z207" i="115" s="1"/>
  <c r="W84" i="115"/>
  <c r="W207" i="115" s="1"/>
  <c r="T84" i="115"/>
  <c r="T207" i="115" s="1"/>
  <c r="AE83" i="115"/>
  <c r="AE206" i="115" s="1"/>
  <c r="AD83" i="115"/>
  <c r="AD206" i="115" s="1"/>
  <c r="Z83" i="115"/>
  <c r="Z206" i="115" s="1"/>
  <c r="W83" i="115"/>
  <c r="W206" i="115" s="1"/>
  <c r="T83" i="115"/>
  <c r="T206" i="115" s="1"/>
  <c r="AE82" i="115"/>
  <c r="AD82" i="115"/>
  <c r="Z82" i="115"/>
  <c r="W82" i="115"/>
  <c r="T82" i="115"/>
  <c r="AE81" i="115"/>
  <c r="AD81" i="115"/>
  <c r="Z81" i="115"/>
  <c r="W81" i="115"/>
  <c r="T81" i="115"/>
  <c r="AE80" i="115"/>
  <c r="AD80" i="115"/>
  <c r="Z80" i="115"/>
  <c r="W80" i="115"/>
  <c r="T80" i="115"/>
  <c r="AE79" i="115"/>
  <c r="AD79" i="115"/>
  <c r="Z79" i="115"/>
  <c r="W79" i="115"/>
  <c r="T79" i="115"/>
  <c r="AE78" i="115"/>
  <c r="AD78" i="115"/>
  <c r="Z78" i="115"/>
  <c r="W78" i="115"/>
  <c r="T78" i="115"/>
  <c r="X77" i="115"/>
  <c r="X71" i="115" s="1"/>
  <c r="AE76" i="115"/>
  <c r="AD76" i="115"/>
  <c r="Z76" i="115"/>
  <c r="W76" i="115"/>
  <c r="T76" i="115"/>
  <c r="AB75" i="115"/>
  <c r="AA75" i="115"/>
  <c r="Y75" i="115"/>
  <c r="X75" i="115"/>
  <c r="V75" i="115"/>
  <c r="AE75" i="115" s="1"/>
  <c r="U75" i="115"/>
  <c r="AE74" i="115"/>
  <c r="AD74" i="115"/>
  <c r="Z74" i="115"/>
  <c r="W74" i="115"/>
  <c r="T74" i="115"/>
  <c r="AE73" i="115"/>
  <c r="AD73" i="115"/>
  <c r="Z73" i="115"/>
  <c r="W73" i="115"/>
  <c r="T73" i="115"/>
  <c r="AE72" i="115"/>
  <c r="AD72" i="115"/>
  <c r="Z72" i="115"/>
  <c r="W72" i="115"/>
  <c r="T72" i="115"/>
  <c r="P89" i="115"/>
  <c r="O89" i="115"/>
  <c r="P87" i="115"/>
  <c r="O87" i="115"/>
  <c r="P85" i="115"/>
  <c r="O85" i="115"/>
  <c r="P84" i="115"/>
  <c r="P207" i="115" s="1"/>
  <c r="O84" i="115"/>
  <c r="P83" i="115"/>
  <c r="P206" i="115" s="1"/>
  <c r="O83" i="115"/>
  <c r="O206" i="115" s="1"/>
  <c r="P82" i="115"/>
  <c r="O82" i="115"/>
  <c r="P81" i="115"/>
  <c r="O81" i="115"/>
  <c r="P80" i="115"/>
  <c r="O80" i="115"/>
  <c r="P79" i="115"/>
  <c r="O79" i="115"/>
  <c r="P78" i="115"/>
  <c r="O78" i="115"/>
  <c r="P76" i="115"/>
  <c r="O76" i="115"/>
  <c r="P74" i="115"/>
  <c r="O74" i="115"/>
  <c r="P73" i="115"/>
  <c r="O73" i="115"/>
  <c r="P72" i="115"/>
  <c r="O72" i="115"/>
  <c r="CA70" i="115"/>
  <c r="BZ70" i="115"/>
  <c r="BV70" i="115"/>
  <c r="BS70" i="115"/>
  <c r="BP70" i="115"/>
  <c r="CA69" i="115"/>
  <c r="CA217" i="115" s="1"/>
  <c r="BZ69" i="115"/>
  <c r="BZ217" i="115" s="1"/>
  <c r="BV69" i="115"/>
  <c r="BV217" i="115" s="1"/>
  <c r="BS69" i="115"/>
  <c r="BS217" i="115" s="1"/>
  <c r="BP69" i="115"/>
  <c r="BP217" i="115" s="1"/>
  <c r="CA68" i="115"/>
  <c r="CA216" i="115" s="1"/>
  <c r="BZ68" i="115"/>
  <c r="BZ216" i="115" s="1"/>
  <c r="BV68" i="115"/>
  <c r="BV216" i="115" s="1"/>
  <c r="BS68" i="115"/>
  <c r="BS216" i="115" s="1"/>
  <c r="BP68" i="115"/>
  <c r="BP216" i="115" s="1"/>
  <c r="CA67" i="115"/>
  <c r="BZ67" i="115"/>
  <c r="BV67" i="115"/>
  <c r="BS67" i="115"/>
  <c r="BP67" i="115"/>
  <c r="BX66" i="115"/>
  <c r="BW66" i="115"/>
  <c r="BU66" i="115"/>
  <c r="BT66" i="115"/>
  <c r="BR66" i="115"/>
  <c r="CA66" i="115" s="1"/>
  <c r="BQ66" i="115"/>
  <c r="CA65" i="115"/>
  <c r="BZ65" i="115"/>
  <c r="BV65" i="115"/>
  <c r="BS65" i="115"/>
  <c r="BP65" i="115"/>
  <c r="CA64" i="115"/>
  <c r="CA212" i="115" s="1"/>
  <c r="BZ64" i="115"/>
  <c r="BZ212" i="115" s="1"/>
  <c r="BV64" i="115"/>
  <c r="BV212" i="115" s="1"/>
  <c r="BS64" i="115"/>
  <c r="BS212" i="115" s="1"/>
  <c r="BP64" i="115"/>
  <c r="BP212" i="115" s="1"/>
  <c r="CA63" i="115"/>
  <c r="BZ63" i="115"/>
  <c r="BV63" i="115"/>
  <c r="BS63" i="115"/>
  <c r="BP63" i="115"/>
  <c r="CA62" i="115"/>
  <c r="CA210" i="115" s="1"/>
  <c r="BZ62" i="115"/>
  <c r="BZ210" i="115" s="1"/>
  <c r="BV62" i="115"/>
  <c r="BV210" i="115" s="1"/>
  <c r="BS62" i="115"/>
  <c r="BS210" i="115" s="1"/>
  <c r="BP62" i="115"/>
  <c r="BP210" i="115" s="1"/>
  <c r="BX61" i="115"/>
  <c r="BW61" i="115"/>
  <c r="BU61" i="115"/>
  <c r="BT61" i="115"/>
  <c r="BR61" i="115"/>
  <c r="BR45" i="115" s="1"/>
  <c r="BR36" i="115" s="1"/>
  <c r="BQ61" i="115"/>
  <c r="CA60" i="115"/>
  <c r="CA204" i="115" s="1"/>
  <c r="BZ60" i="115"/>
  <c r="BZ204" i="115" s="1"/>
  <c r="BV60" i="115"/>
  <c r="BS60" i="115"/>
  <c r="BP60" i="115"/>
  <c r="BP204" i="115" s="1"/>
  <c r="CA59" i="115"/>
  <c r="CA203" i="115" s="1"/>
  <c r="BZ59" i="115"/>
  <c r="BZ203" i="115" s="1"/>
  <c r="BV59" i="115"/>
  <c r="BV203" i="115" s="1"/>
  <c r="BS59" i="115"/>
  <c r="BS203" i="115" s="1"/>
  <c r="BP59" i="115"/>
  <c r="BP203" i="115" s="1"/>
  <c r="CA58" i="115"/>
  <c r="CA202" i="115" s="1"/>
  <c r="BZ58" i="115"/>
  <c r="BZ202" i="115" s="1"/>
  <c r="BV58" i="115"/>
  <c r="BV202" i="115" s="1"/>
  <c r="BS58" i="115"/>
  <c r="BS202" i="115" s="1"/>
  <c r="BP58" i="115"/>
  <c r="BP202" i="115" s="1"/>
  <c r="CA57" i="115"/>
  <c r="CA201" i="115" s="1"/>
  <c r="BZ57" i="115"/>
  <c r="BZ201" i="115" s="1"/>
  <c r="BV57" i="115"/>
  <c r="BV201" i="115" s="1"/>
  <c r="BS57" i="115"/>
  <c r="BS201" i="115" s="1"/>
  <c r="BP57" i="115"/>
  <c r="BP201" i="115" s="1"/>
  <c r="CA56" i="115"/>
  <c r="CA200" i="115" s="1"/>
  <c r="BZ56" i="115"/>
  <c r="BZ200" i="115" s="1"/>
  <c r="BV56" i="115"/>
  <c r="BV200" i="115" s="1"/>
  <c r="BS56" i="115"/>
  <c r="BS200" i="115" s="1"/>
  <c r="BP56" i="115"/>
  <c r="BP200" i="115" s="1"/>
  <c r="CA55" i="115"/>
  <c r="CA199" i="115" s="1"/>
  <c r="BZ55" i="115"/>
  <c r="BZ199" i="115" s="1"/>
  <c r="BV55" i="115"/>
  <c r="BV199" i="115" s="1"/>
  <c r="BS55" i="115"/>
  <c r="BS199" i="115" s="1"/>
  <c r="BP55" i="115"/>
  <c r="BP199" i="115" s="1"/>
  <c r="CA54" i="115"/>
  <c r="CA198" i="115" s="1"/>
  <c r="BZ54" i="115"/>
  <c r="BZ198" i="115" s="1"/>
  <c r="BV54" i="115"/>
  <c r="BV198" i="115" s="1"/>
  <c r="BS54" i="115"/>
  <c r="BS198" i="115" s="1"/>
  <c r="BP54" i="115"/>
  <c r="BP198" i="115" s="1"/>
  <c r="CA53" i="115"/>
  <c r="CA197" i="115" s="1"/>
  <c r="BZ53" i="115"/>
  <c r="BZ197" i="115" s="1"/>
  <c r="BV53" i="115"/>
  <c r="BV197" i="115" s="1"/>
  <c r="BS53" i="115"/>
  <c r="BS197" i="115" s="1"/>
  <c r="BP53" i="115"/>
  <c r="BP197" i="115" s="1"/>
  <c r="CA52" i="115"/>
  <c r="CA196" i="115" s="1"/>
  <c r="BZ52" i="115"/>
  <c r="BZ196" i="115" s="1"/>
  <c r="BV52" i="115"/>
  <c r="BV196" i="115" s="1"/>
  <c r="BS52" i="115"/>
  <c r="BS196" i="115" s="1"/>
  <c r="BP52" i="115"/>
  <c r="BP196" i="115" s="1"/>
  <c r="CA51" i="115"/>
  <c r="BZ51" i="115"/>
  <c r="BV51" i="115"/>
  <c r="BS51" i="115"/>
  <c r="BP51" i="115"/>
  <c r="CA50" i="115"/>
  <c r="CA195" i="115" s="1"/>
  <c r="BZ50" i="115"/>
  <c r="BZ195" i="115" s="1"/>
  <c r="BV50" i="115"/>
  <c r="BV195" i="115" s="1"/>
  <c r="BS50" i="115"/>
  <c r="BS195" i="115" s="1"/>
  <c r="BP50" i="115"/>
  <c r="BP195" i="115" s="1"/>
  <c r="CA49" i="115"/>
  <c r="CA194" i="115" s="1"/>
  <c r="BZ49" i="115"/>
  <c r="BZ194" i="115" s="1"/>
  <c r="BV49" i="115"/>
  <c r="BV194" i="115" s="1"/>
  <c r="BS49" i="115"/>
  <c r="BS194" i="115" s="1"/>
  <c r="BP49" i="115"/>
  <c r="BP194" i="115" s="1"/>
  <c r="CA48" i="115"/>
  <c r="BZ48" i="115"/>
  <c r="BV48" i="115"/>
  <c r="BS48" i="115"/>
  <c r="BP48" i="115"/>
  <c r="CA47" i="115"/>
  <c r="BZ47" i="115"/>
  <c r="BV47" i="115"/>
  <c r="BS47" i="115"/>
  <c r="BP47" i="115"/>
  <c r="CA46" i="115"/>
  <c r="BZ46" i="115"/>
  <c r="BV46" i="115"/>
  <c r="BS46" i="115"/>
  <c r="BP46" i="115"/>
  <c r="BU45" i="115"/>
  <c r="BU36" i="115" s="1"/>
  <c r="BX44" i="115"/>
  <c r="BW44" i="115"/>
  <c r="BU44" i="115"/>
  <c r="BT44" i="115"/>
  <c r="BR44" i="115"/>
  <c r="BQ44" i="115"/>
  <c r="CA43" i="115"/>
  <c r="BZ43" i="115"/>
  <c r="BV43" i="115"/>
  <c r="BS43" i="115"/>
  <c r="BP43" i="115"/>
  <c r="CA42" i="115"/>
  <c r="BZ42" i="115"/>
  <c r="BV42" i="115"/>
  <c r="BS42" i="115"/>
  <c r="BP42" i="115"/>
  <c r="CA41" i="115"/>
  <c r="BZ41" i="115"/>
  <c r="BV41" i="115"/>
  <c r="BS41" i="115"/>
  <c r="BP41" i="115"/>
  <c r="CA40" i="115"/>
  <c r="BZ40" i="115"/>
  <c r="BV40" i="115"/>
  <c r="BS40" i="115"/>
  <c r="BP40" i="115"/>
  <c r="CA39" i="115"/>
  <c r="BZ39" i="115"/>
  <c r="BV39" i="115"/>
  <c r="BS39" i="115"/>
  <c r="BP39" i="115"/>
  <c r="CA38" i="115"/>
  <c r="CA150" i="115" s="1"/>
  <c r="BZ38" i="115"/>
  <c r="BZ150" i="115" s="1"/>
  <c r="BV38" i="115"/>
  <c r="BV150" i="115" s="1"/>
  <c r="BS38" i="115"/>
  <c r="BS150" i="115" s="1"/>
  <c r="BP38" i="115"/>
  <c r="BP150" i="115" s="1"/>
  <c r="CA37" i="115"/>
  <c r="BZ37" i="115"/>
  <c r="BV37" i="115"/>
  <c r="BS37" i="115"/>
  <c r="BP37" i="115"/>
  <c r="BC70" i="115"/>
  <c r="BC218" i="115" s="1"/>
  <c r="BB70" i="115"/>
  <c r="AX70" i="115"/>
  <c r="AU70" i="115"/>
  <c r="AU218" i="115" s="1"/>
  <c r="AR70" i="115"/>
  <c r="BC69" i="115"/>
  <c r="BC217" i="115" s="1"/>
  <c r="BB69" i="115"/>
  <c r="BB217" i="115" s="1"/>
  <c r="AX69" i="115"/>
  <c r="AX217" i="115" s="1"/>
  <c r="AU69" i="115"/>
  <c r="AU217" i="115" s="1"/>
  <c r="AR69" i="115"/>
  <c r="AR217" i="115" s="1"/>
  <c r="BC68" i="115"/>
  <c r="BC216" i="115" s="1"/>
  <c r="BB68" i="115"/>
  <c r="BB216" i="115" s="1"/>
  <c r="AX68" i="115"/>
  <c r="AX216" i="115" s="1"/>
  <c r="AU68" i="115"/>
  <c r="AU216" i="115" s="1"/>
  <c r="AR68" i="115"/>
  <c r="AR216" i="115" s="1"/>
  <c r="BC67" i="115"/>
  <c r="BB67" i="115"/>
  <c r="AX67" i="115"/>
  <c r="AU67" i="115"/>
  <c r="AR67" i="115"/>
  <c r="AZ66" i="115"/>
  <c r="AY66" i="115"/>
  <c r="AW66" i="115"/>
  <c r="AV66" i="115"/>
  <c r="AT66" i="115"/>
  <c r="AS66" i="115"/>
  <c r="BC65" i="115"/>
  <c r="BB65" i="115"/>
  <c r="AX65" i="115"/>
  <c r="AU65" i="115"/>
  <c r="AR65" i="115"/>
  <c r="BC64" i="115"/>
  <c r="BC212" i="115" s="1"/>
  <c r="BB64" i="115"/>
  <c r="BB212" i="115" s="1"/>
  <c r="AX64" i="115"/>
  <c r="AX212" i="115" s="1"/>
  <c r="AU64" i="115"/>
  <c r="AU212" i="115" s="1"/>
  <c r="AR64" i="115"/>
  <c r="AR212" i="115" s="1"/>
  <c r="BC63" i="115"/>
  <c r="BB63" i="115"/>
  <c r="AX63" i="115"/>
  <c r="AU63" i="115"/>
  <c r="AR63" i="115"/>
  <c r="BC62" i="115"/>
  <c r="BC210" i="115" s="1"/>
  <c r="BB62" i="115"/>
  <c r="BB210" i="115" s="1"/>
  <c r="AX62" i="115"/>
  <c r="AX210" i="115" s="1"/>
  <c r="AU62" i="115"/>
  <c r="AU210" i="115" s="1"/>
  <c r="AR62" i="115"/>
  <c r="AR210" i="115" s="1"/>
  <c r="AZ61" i="115"/>
  <c r="AY61" i="115"/>
  <c r="AW61" i="115"/>
  <c r="AV61" i="115"/>
  <c r="AT61" i="115"/>
  <c r="AS61" i="115"/>
  <c r="BC60" i="115"/>
  <c r="BC204" i="115" s="1"/>
  <c r="BB60" i="115"/>
  <c r="BB204" i="115" s="1"/>
  <c r="AX60" i="115"/>
  <c r="AU60" i="115"/>
  <c r="AU204" i="115" s="1"/>
  <c r="AR60" i="115"/>
  <c r="BC59" i="115"/>
  <c r="BC203" i="115" s="1"/>
  <c r="BB59" i="115"/>
  <c r="BB203" i="115" s="1"/>
  <c r="AX59" i="115"/>
  <c r="AX203" i="115" s="1"/>
  <c r="AU59" i="115"/>
  <c r="AU203" i="115" s="1"/>
  <c r="AR59" i="115"/>
  <c r="AR203" i="115" s="1"/>
  <c r="BC58" i="115"/>
  <c r="BC202" i="115" s="1"/>
  <c r="BB58" i="115"/>
  <c r="BB202" i="115" s="1"/>
  <c r="AX58" i="115"/>
  <c r="AX202" i="115" s="1"/>
  <c r="AU58" i="115"/>
  <c r="AU202" i="115" s="1"/>
  <c r="AR58" i="115"/>
  <c r="AR202" i="115" s="1"/>
  <c r="BC57" i="115"/>
  <c r="BC201" i="115" s="1"/>
  <c r="BB57" i="115"/>
  <c r="BB201" i="115" s="1"/>
  <c r="AX57" i="115"/>
  <c r="AX201" i="115" s="1"/>
  <c r="AU57" i="115"/>
  <c r="AU201" i="115" s="1"/>
  <c r="AR57" i="115"/>
  <c r="AR201" i="115" s="1"/>
  <c r="BC56" i="115"/>
  <c r="BC200" i="115" s="1"/>
  <c r="BB56" i="115"/>
  <c r="BB200" i="115" s="1"/>
  <c r="AX56" i="115"/>
  <c r="AX200" i="115" s="1"/>
  <c r="AU56" i="115"/>
  <c r="AU200" i="115" s="1"/>
  <c r="AR56" i="115"/>
  <c r="AR200" i="115" s="1"/>
  <c r="BC55" i="115"/>
  <c r="BC199" i="115" s="1"/>
  <c r="BB55" i="115"/>
  <c r="BB199" i="115" s="1"/>
  <c r="AX55" i="115"/>
  <c r="AX199" i="115" s="1"/>
  <c r="AU55" i="115"/>
  <c r="AU199" i="115" s="1"/>
  <c r="AR55" i="115"/>
  <c r="AR199" i="115" s="1"/>
  <c r="BC54" i="115"/>
  <c r="BC198" i="115" s="1"/>
  <c r="BB54" i="115"/>
  <c r="BB198" i="115" s="1"/>
  <c r="AX54" i="115"/>
  <c r="AX198" i="115" s="1"/>
  <c r="AU54" i="115"/>
  <c r="AU198" i="115" s="1"/>
  <c r="AR54" i="115"/>
  <c r="AR198" i="115" s="1"/>
  <c r="BC53" i="115"/>
  <c r="BC197" i="115" s="1"/>
  <c r="BB53" i="115"/>
  <c r="BB197" i="115" s="1"/>
  <c r="AX53" i="115"/>
  <c r="AX197" i="115" s="1"/>
  <c r="AU53" i="115"/>
  <c r="AU197" i="115" s="1"/>
  <c r="AR53" i="115"/>
  <c r="AR197" i="115" s="1"/>
  <c r="BC52" i="115"/>
  <c r="BC196" i="115" s="1"/>
  <c r="BB52" i="115"/>
  <c r="BB196" i="115" s="1"/>
  <c r="AX52" i="115"/>
  <c r="AX196" i="115" s="1"/>
  <c r="AU52" i="115"/>
  <c r="AU196" i="115" s="1"/>
  <c r="AR52" i="115"/>
  <c r="AR196" i="115" s="1"/>
  <c r="BC51" i="115"/>
  <c r="BB51" i="115"/>
  <c r="BA51" i="115" s="1"/>
  <c r="AX51" i="115"/>
  <c r="AU51" i="115"/>
  <c r="AR51" i="115"/>
  <c r="BC50" i="115"/>
  <c r="BC195" i="115" s="1"/>
  <c r="BB50" i="115"/>
  <c r="BB195" i="115" s="1"/>
  <c r="AX50" i="115"/>
  <c r="AX195" i="115" s="1"/>
  <c r="AU50" i="115"/>
  <c r="AU195" i="115" s="1"/>
  <c r="AR50" i="115"/>
  <c r="AR195" i="115" s="1"/>
  <c r="BC49" i="115"/>
  <c r="BC194" i="115" s="1"/>
  <c r="BB49" i="115"/>
  <c r="BB194" i="115" s="1"/>
  <c r="AX49" i="115"/>
  <c r="AX194" i="115" s="1"/>
  <c r="AU49" i="115"/>
  <c r="AU194" i="115" s="1"/>
  <c r="AR49" i="115"/>
  <c r="AR194" i="115" s="1"/>
  <c r="BC48" i="115"/>
  <c r="BB48" i="115"/>
  <c r="AX48" i="115"/>
  <c r="AU48" i="115"/>
  <c r="AR48" i="115"/>
  <c r="BC47" i="115"/>
  <c r="BB47" i="115"/>
  <c r="BA47" i="115" s="1"/>
  <c r="AX47" i="115"/>
  <c r="AU47" i="115"/>
  <c r="AR47" i="115"/>
  <c r="BC46" i="115"/>
  <c r="BB46" i="115"/>
  <c r="AX46" i="115"/>
  <c r="AU46" i="115"/>
  <c r="AR46" i="115"/>
  <c r="AZ45" i="115"/>
  <c r="AZ36" i="115" s="1"/>
  <c r="AS45" i="115"/>
  <c r="AS36" i="115" s="1"/>
  <c r="AZ44" i="115"/>
  <c r="AY44" i="115"/>
  <c r="AW44" i="115"/>
  <c r="AV44" i="115"/>
  <c r="AT44" i="115"/>
  <c r="AS44" i="115"/>
  <c r="BC43" i="115"/>
  <c r="BB43" i="115"/>
  <c r="AX43" i="115"/>
  <c r="AU43" i="115"/>
  <c r="AR43" i="115"/>
  <c r="BC42" i="115"/>
  <c r="BB42" i="115"/>
  <c r="AX42" i="115"/>
  <c r="AU42" i="115"/>
  <c r="AR42" i="115"/>
  <c r="BC41" i="115"/>
  <c r="BB41" i="115"/>
  <c r="AX41" i="115"/>
  <c r="AU41" i="115"/>
  <c r="AR41" i="115"/>
  <c r="BC40" i="115"/>
  <c r="BB40" i="115"/>
  <c r="AX40" i="115"/>
  <c r="AU40" i="115"/>
  <c r="AR40" i="115"/>
  <c r="BC39" i="115"/>
  <c r="BB39" i="115"/>
  <c r="AX39" i="115"/>
  <c r="AU39" i="115"/>
  <c r="AR39" i="115"/>
  <c r="BC38" i="115"/>
  <c r="BC150" i="115" s="1"/>
  <c r="BB38" i="115"/>
  <c r="BB150" i="115" s="1"/>
  <c r="AX38" i="115"/>
  <c r="AX150" i="115" s="1"/>
  <c r="AU38" i="115"/>
  <c r="AU150" i="115" s="1"/>
  <c r="AR38" i="115"/>
  <c r="AR150" i="115" s="1"/>
  <c r="BC37" i="115"/>
  <c r="BB37" i="115"/>
  <c r="AX37" i="115"/>
  <c r="AU37" i="115"/>
  <c r="AR37" i="115"/>
  <c r="AE70" i="115"/>
  <c r="AK70" i="115" s="1"/>
  <c r="AD70" i="115"/>
  <c r="AJ70" i="115" s="1"/>
  <c r="BH70" i="115" s="1"/>
  <c r="Z70" i="115"/>
  <c r="W70" i="115"/>
  <c r="T70" i="115"/>
  <c r="AE69" i="115"/>
  <c r="AE217" i="115" s="1"/>
  <c r="AK217" i="115" s="1"/>
  <c r="BI217" i="115" s="1"/>
  <c r="AD69" i="115"/>
  <c r="AD217" i="115" s="1"/>
  <c r="Z69" i="115"/>
  <c r="Z217" i="115" s="1"/>
  <c r="W69" i="115"/>
  <c r="W217" i="115" s="1"/>
  <c r="T69" i="115"/>
  <c r="T217" i="115" s="1"/>
  <c r="AE68" i="115"/>
  <c r="AE216" i="115" s="1"/>
  <c r="AD68" i="115"/>
  <c r="Z68" i="115"/>
  <c r="Z216" i="115" s="1"/>
  <c r="W68" i="115"/>
  <c r="W216" i="115" s="1"/>
  <c r="T68" i="115"/>
  <c r="T216" i="115" s="1"/>
  <c r="AE67" i="115"/>
  <c r="AD67" i="115"/>
  <c r="Z67" i="115"/>
  <c r="W67" i="115"/>
  <c r="T67" i="115"/>
  <c r="AB66" i="115"/>
  <c r="AA66" i="115"/>
  <c r="Y66" i="115"/>
  <c r="X66" i="115"/>
  <c r="V66" i="115"/>
  <c r="U66" i="115"/>
  <c r="AE65" i="115"/>
  <c r="AD65" i="115"/>
  <c r="Z65" i="115"/>
  <c r="W65" i="115"/>
  <c r="T65" i="115"/>
  <c r="AE64" i="115"/>
  <c r="AE212" i="115" s="1"/>
  <c r="AD64" i="115"/>
  <c r="AD212" i="115" s="1"/>
  <c r="Z64" i="115"/>
  <c r="Z212" i="115" s="1"/>
  <c r="W64" i="115"/>
  <c r="W212" i="115" s="1"/>
  <c r="T64" i="115"/>
  <c r="T212" i="115" s="1"/>
  <c r="AE63" i="115"/>
  <c r="AD63" i="115"/>
  <c r="Z63" i="115"/>
  <c r="W63" i="115"/>
  <c r="T63" i="115"/>
  <c r="AE62" i="115"/>
  <c r="AE210" i="115" s="1"/>
  <c r="AD62" i="115"/>
  <c r="AD210" i="115" s="1"/>
  <c r="Z62" i="115"/>
  <c r="Z210" i="115" s="1"/>
  <c r="W62" i="115"/>
  <c r="W210" i="115" s="1"/>
  <c r="T62" i="115"/>
  <c r="T210" i="115" s="1"/>
  <c r="AB61" i="115"/>
  <c r="AB45" i="115" s="1"/>
  <c r="AB36" i="115" s="1"/>
  <c r="AA61" i="115"/>
  <c r="Y61" i="115"/>
  <c r="X61" i="115"/>
  <c r="V61" i="115"/>
  <c r="U61" i="115"/>
  <c r="AE60" i="115"/>
  <c r="AK60" i="115" s="1"/>
  <c r="BI60" i="115" s="1"/>
  <c r="AD60" i="115"/>
  <c r="Z60" i="115"/>
  <c r="Z204" i="115" s="1"/>
  <c r="W60" i="115"/>
  <c r="T60" i="115"/>
  <c r="AE59" i="115"/>
  <c r="AE203" i="115" s="1"/>
  <c r="AK203" i="115" s="1"/>
  <c r="BI203" i="115" s="1"/>
  <c r="AD59" i="115"/>
  <c r="AD203" i="115" s="1"/>
  <c r="Z59" i="115"/>
  <c r="Z203" i="115" s="1"/>
  <c r="W59" i="115"/>
  <c r="W203" i="115" s="1"/>
  <c r="T59" i="115"/>
  <c r="T203" i="115" s="1"/>
  <c r="AE58" i="115"/>
  <c r="AE202" i="115" s="1"/>
  <c r="AD58" i="115"/>
  <c r="Z58" i="115"/>
  <c r="Z202" i="115" s="1"/>
  <c r="W58" i="115"/>
  <c r="W202" i="115" s="1"/>
  <c r="T58" i="115"/>
  <c r="T202" i="115" s="1"/>
  <c r="AE57" i="115"/>
  <c r="AE201" i="115" s="1"/>
  <c r="AD57" i="115"/>
  <c r="AD201" i="115" s="1"/>
  <c r="Z57" i="115"/>
  <c r="Z201" i="115" s="1"/>
  <c r="W57" i="115"/>
  <c r="W201" i="115" s="1"/>
  <c r="T57" i="115"/>
  <c r="T201" i="115" s="1"/>
  <c r="AE56" i="115"/>
  <c r="AE200" i="115" s="1"/>
  <c r="AD56" i="115"/>
  <c r="Z56" i="115"/>
  <c r="Z200" i="115" s="1"/>
  <c r="W56" i="115"/>
  <c r="W200" i="115" s="1"/>
  <c r="T56" i="115"/>
  <c r="T200" i="115" s="1"/>
  <c r="AE55" i="115"/>
  <c r="AE199" i="115" s="1"/>
  <c r="AK199" i="115" s="1"/>
  <c r="BI199" i="115" s="1"/>
  <c r="AD55" i="115"/>
  <c r="AD199" i="115" s="1"/>
  <c r="Z55" i="115"/>
  <c r="Z199" i="115" s="1"/>
  <c r="W55" i="115"/>
  <c r="W199" i="115" s="1"/>
  <c r="T55" i="115"/>
  <c r="T199" i="115" s="1"/>
  <c r="AE54" i="115"/>
  <c r="AE198" i="115" s="1"/>
  <c r="AD54" i="115"/>
  <c r="Z54" i="115"/>
  <c r="Z198" i="115" s="1"/>
  <c r="W54" i="115"/>
  <c r="W198" i="115" s="1"/>
  <c r="T54" i="115"/>
  <c r="T198" i="115" s="1"/>
  <c r="AE53" i="115"/>
  <c r="AE197" i="115" s="1"/>
  <c r="AD53" i="115"/>
  <c r="AD197" i="115" s="1"/>
  <c r="Z53" i="115"/>
  <c r="Z197" i="115" s="1"/>
  <c r="W53" i="115"/>
  <c r="W197" i="115" s="1"/>
  <c r="T53" i="115"/>
  <c r="T197" i="115" s="1"/>
  <c r="AE52" i="115"/>
  <c r="AE196" i="115" s="1"/>
  <c r="AD52" i="115"/>
  <c r="Z52" i="115"/>
  <c r="Z196" i="115" s="1"/>
  <c r="W52" i="115"/>
  <c r="W196" i="115" s="1"/>
  <c r="T52" i="115"/>
  <c r="T196" i="115" s="1"/>
  <c r="AE51" i="115"/>
  <c r="AD51" i="115"/>
  <c r="Z51" i="115"/>
  <c r="W51" i="115"/>
  <c r="T51" i="115"/>
  <c r="AE50" i="115"/>
  <c r="AE195" i="115" s="1"/>
  <c r="AD50" i="115"/>
  <c r="Z50" i="115"/>
  <c r="Z195" i="115" s="1"/>
  <c r="W50" i="115"/>
  <c r="W195" i="115" s="1"/>
  <c r="T50" i="115"/>
  <c r="T195" i="115" s="1"/>
  <c r="AE49" i="115"/>
  <c r="AE194" i="115" s="1"/>
  <c r="AD49" i="115"/>
  <c r="AD194" i="115" s="1"/>
  <c r="Z49" i="115"/>
  <c r="Z194" i="115" s="1"/>
  <c r="W49" i="115"/>
  <c r="W194" i="115" s="1"/>
  <c r="T49" i="115"/>
  <c r="T194" i="115" s="1"/>
  <c r="AE48" i="115"/>
  <c r="AD48" i="115"/>
  <c r="Z48" i="115"/>
  <c r="W48" i="115"/>
  <c r="T48" i="115"/>
  <c r="AE47" i="115"/>
  <c r="AD47" i="115"/>
  <c r="Z47" i="115"/>
  <c r="W47" i="115"/>
  <c r="T47" i="115"/>
  <c r="AE46" i="115"/>
  <c r="AD46" i="115"/>
  <c r="Z46" i="115"/>
  <c r="W46" i="115"/>
  <c r="T46" i="115"/>
  <c r="Y45" i="115"/>
  <c r="Y36" i="115" s="1"/>
  <c r="AB44" i="115"/>
  <c r="AA44" i="115"/>
  <c r="Y44" i="115"/>
  <c r="X44" i="115"/>
  <c r="V44" i="115"/>
  <c r="U44" i="115"/>
  <c r="AE43" i="115"/>
  <c r="AD43" i="115"/>
  <c r="Z43" i="115"/>
  <c r="W43" i="115"/>
  <c r="T43" i="115"/>
  <c r="AE42" i="115"/>
  <c r="AD42" i="115"/>
  <c r="Z42" i="115"/>
  <c r="W42" i="115"/>
  <c r="T42" i="115"/>
  <c r="AE41" i="115"/>
  <c r="AD41" i="115"/>
  <c r="Z41" i="115"/>
  <c r="W41" i="115"/>
  <c r="T41" i="115"/>
  <c r="AE40" i="115"/>
  <c r="AD40" i="115"/>
  <c r="Z40" i="115"/>
  <c r="W40" i="115"/>
  <c r="T40" i="115"/>
  <c r="AE39" i="115"/>
  <c r="AD39" i="115"/>
  <c r="Z39" i="115"/>
  <c r="W39" i="115"/>
  <c r="T39" i="115"/>
  <c r="AE38" i="115"/>
  <c r="AE150" i="115" s="1"/>
  <c r="AD38" i="115"/>
  <c r="AD150" i="115" s="1"/>
  <c r="Z38" i="115"/>
  <c r="Z150" i="115" s="1"/>
  <c r="W38" i="115"/>
  <c r="W150" i="115" s="1"/>
  <c r="T38" i="115"/>
  <c r="T150" i="115" s="1"/>
  <c r="AE37" i="115"/>
  <c r="AD37" i="115"/>
  <c r="Z37" i="115"/>
  <c r="W37" i="115"/>
  <c r="T37" i="115"/>
  <c r="P70" i="115"/>
  <c r="O70" i="115"/>
  <c r="P69" i="115"/>
  <c r="P217" i="115" s="1"/>
  <c r="O69" i="115"/>
  <c r="O217" i="115" s="1"/>
  <c r="P68" i="115"/>
  <c r="P216" i="115" s="1"/>
  <c r="O68" i="115"/>
  <c r="O216" i="115" s="1"/>
  <c r="P67" i="115"/>
  <c r="O67" i="115"/>
  <c r="P65" i="115"/>
  <c r="AK65" i="115" s="1"/>
  <c r="O65" i="115"/>
  <c r="P64" i="115"/>
  <c r="O64" i="115"/>
  <c r="O212" i="115" s="1"/>
  <c r="P63" i="115"/>
  <c r="O63" i="115"/>
  <c r="P62" i="115"/>
  <c r="O62" i="115"/>
  <c r="O210" i="115" s="1"/>
  <c r="P60" i="115"/>
  <c r="O60" i="115"/>
  <c r="P59" i="115"/>
  <c r="P203" i="115" s="1"/>
  <c r="O59" i="115"/>
  <c r="O203" i="115" s="1"/>
  <c r="P58" i="115"/>
  <c r="P202" i="115" s="1"/>
  <c r="O58" i="115"/>
  <c r="P57" i="115"/>
  <c r="O57" i="115"/>
  <c r="O201" i="115" s="1"/>
  <c r="P56" i="115"/>
  <c r="P200" i="115" s="1"/>
  <c r="O56" i="115"/>
  <c r="O200" i="115" s="1"/>
  <c r="P55" i="115"/>
  <c r="P199" i="115" s="1"/>
  <c r="O55" i="115"/>
  <c r="O199" i="115" s="1"/>
  <c r="P54" i="115"/>
  <c r="P198" i="115" s="1"/>
  <c r="O54" i="115"/>
  <c r="P53" i="115"/>
  <c r="P197" i="115" s="1"/>
  <c r="O53" i="115"/>
  <c r="O197" i="115" s="1"/>
  <c r="P52" i="115"/>
  <c r="P196" i="115" s="1"/>
  <c r="O52" i="115"/>
  <c r="O196" i="115" s="1"/>
  <c r="P51" i="115"/>
  <c r="O51" i="115"/>
  <c r="P50" i="115"/>
  <c r="P195" i="115" s="1"/>
  <c r="O50" i="115"/>
  <c r="O195" i="115" s="1"/>
  <c r="P49" i="115"/>
  <c r="P194" i="115" s="1"/>
  <c r="O49" i="115"/>
  <c r="O194" i="115" s="1"/>
  <c r="P48" i="115"/>
  <c r="O48" i="115"/>
  <c r="P47" i="115"/>
  <c r="O47" i="115"/>
  <c r="P46" i="115"/>
  <c r="O46" i="115"/>
  <c r="G88" i="115"/>
  <c r="F88" i="115"/>
  <c r="G86" i="115"/>
  <c r="F86" i="115"/>
  <c r="G77" i="115"/>
  <c r="F77" i="115"/>
  <c r="G75" i="115"/>
  <c r="P75" i="115" s="1"/>
  <c r="F75" i="115"/>
  <c r="O75" i="115" s="1"/>
  <c r="G71" i="115"/>
  <c r="F71" i="115"/>
  <c r="AK53" i="115"/>
  <c r="AK49" i="115"/>
  <c r="K70" i="115"/>
  <c r="K218" i="115" s="1"/>
  <c r="K69" i="115"/>
  <c r="K217" i="115" s="1"/>
  <c r="K68" i="115"/>
  <c r="K216" i="115" s="1"/>
  <c r="K67" i="115"/>
  <c r="M66" i="115"/>
  <c r="L66" i="115"/>
  <c r="K65" i="115"/>
  <c r="K64" i="115"/>
  <c r="K212" i="115" s="1"/>
  <c r="K63" i="115"/>
  <c r="K62" i="115"/>
  <c r="M61" i="115"/>
  <c r="L61" i="115"/>
  <c r="K60" i="115"/>
  <c r="K59" i="115"/>
  <c r="K203" i="115" s="1"/>
  <c r="K58" i="115"/>
  <c r="K202" i="115" s="1"/>
  <c r="K57" i="115"/>
  <c r="K201" i="115" s="1"/>
  <c r="K56" i="115"/>
  <c r="K200" i="115" s="1"/>
  <c r="K55" i="115"/>
  <c r="K199" i="115" s="1"/>
  <c r="K54" i="115"/>
  <c r="K198" i="115" s="1"/>
  <c r="K53" i="115"/>
  <c r="K197" i="115" s="1"/>
  <c r="K52" i="115"/>
  <c r="K196" i="115" s="1"/>
  <c r="K51" i="115"/>
  <c r="K50" i="115"/>
  <c r="K195" i="115" s="1"/>
  <c r="K49" i="115"/>
  <c r="K194" i="115" s="1"/>
  <c r="K48" i="115"/>
  <c r="K47" i="115"/>
  <c r="K46" i="115"/>
  <c r="M45" i="115"/>
  <c r="H70" i="115"/>
  <c r="H69" i="115"/>
  <c r="H217" i="115" s="1"/>
  <c r="H68" i="115"/>
  <c r="H216" i="115" s="1"/>
  <c r="H67" i="115"/>
  <c r="J66" i="115"/>
  <c r="I66" i="115"/>
  <c r="H65" i="115"/>
  <c r="H64" i="115"/>
  <c r="H212" i="115" s="1"/>
  <c r="H63" i="115"/>
  <c r="H62" i="115"/>
  <c r="H210" i="115" s="1"/>
  <c r="J61" i="115"/>
  <c r="J45" i="115" s="1"/>
  <c r="J36" i="115" s="1"/>
  <c r="I61" i="115"/>
  <c r="H60" i="115"/>
  <c r="H59" i="115"/>
  <c r="H203" i="115" s="1"/>
  <c r="H58" i="115"/>
  <c r="H202" i="115" s="1"/>
  <c r="H57" i="115"/>
  <c r="H201" i="115" s="1"/>
  <c r="H56" i="115"/>
  <c r="H200" i="115" s="1"/>
  <c r="H55" i="115"/>
  <c r="H199" i="115" s="1"/>
  <c r="H54" i="115"/>
  <c r="H198" i="115" s="1"/>
  <c r="H53" i="115"/>
  <c r="H197" i="115" s="1"/>
  <c r="H52" i="115"/>
  <c r="H196" i="115" s="1"/>
  <c r="H51" i="115"/>
  <c r="H50" i="115"/>
  <c r="H195" i="115" s="1"/>
  <c r="H49" i="115"/>
  <c r="H194" i="115" s="1"/>
  <c r="H48" i="115"/>
  <c r="H47" i="115"/>
  <c r="H46" i="115"/>
  <c r="E70" i="115"/>
  <c r="E218" i="115" s="1"/>
  <c r="E69" i="115"/>
  <c r="E217" i="115" s="1"/>
  <c r="E68" i="115"/>
  <c r="E216" i="115" s="1"/>
  <c r="E67" i="115"/>
  <c r="E65" i="115"/>
  <c r="E64" i="115"/>
  <c r="E212" i="115" s="1"/>
  <c r="E63" i="115"/>
  <c r="E62" i="115"/>
  <c r="E210" i="115" s="1"/>
  <c r="G66" i="115"/>
  <c r="F66" i="115"/>
  <c r="G61" i="115"/>
  <c r="P61" i="115" s="1"/>
  <c r="F61" i="115"/>
  <c r="E60" i="115"/>
  <c r="E59" i="115"/>
  <c r="E203" i="115" s="1"/>
  <c r="E58" i="115"/>
  <c r="E202" i="115" s="1"/>
  <c r="E57" i="115"/>
  <c r="E201" i="115" s="1"/>
  <c r="E56" i="115"/>
  <c r="E200" i="115" s="1"/>
  <c r="E55" i="115"/>
  <c r="E199" i="115" s="1"/>
  <c r="E54" i="115"/>
  <c r="E198" i="115" s="1"/>
  <c r="E53" i="115"/>
  <c r="E197" i="115" s="1"/>
  <c r="E52" i="115"/>
  <c r="E196" i="115" s="1"/>
  <c r="E51" i="115"/>
  <c r="E50" i="115"/>
  <c r="E195" i="115" s="1"/>
  <c r="E49" i="115"/>
  <c r="E194" i="115" s="1"/>
  <c r="E48" i="115"/>
  <c r="E47" i="115"/>
  <c r="E46" i="115"/>
  <c r="P43" i="115"/>
  <c r="O43" i="115"/>
  <c r="P42" i="115"/>
  <c r="AK42" i="115" s="1"/>
  <c r="O42" i="115"/>
  <c r="P41" i="115"/>
  <c r="O41" i="115"/>
  <c r="P40" i="115"/>
  <c r="AK40" i="115" s="1"/>
  <c r="O40" i="115"/>
  <c r="P39" i="115"/>
  <c r="O39" i="115"/>
  <c r="P38" i="115"/>
  <c r="AK38" i="115" s="1"/>
  <c r="BI38" i="115" s="1"/>
  <c r="BI150" i="115" s="1"/>
  <c r="O38" i="115"/>
  <c r="O150" i="115" s="1"/>
  <c r="P37" i="115"/>
  <c r="O37" i="115"/>
  <c r="M44" i="115"/>
  <c r="L44" i="115"/>
  <c r="K43" i="115"/>
  <c r="K42" i="115"/>
  <c r="K41" i="115"/>
  <c r="K40" i="115"/>
  <c r="K39" i="115"/>
  <c r="K38" i="115"/>
  <c r="K150" i="115" s="1"/>
  <c r="K37" i="115"/>
  <c r="M36" i="115"/>
  <c r="J44" i="115"/>
  <c r="I44" i="115"/>
  <c r="H43" i="115"/>
  <c r="H42" i="115"/>
  <c r="H41" i="115"/>
  <c r="H40" i="115"/>
  <c r="H39" i="115"/>
  <c r="H38" i="115"/>
  <c r="H150" i="115" s="1"/>
  <c r="H37" i="115"/>
  <c r="E43" i="115"/>
  <c r="E42" i="115"/>
  <c r="E41" i="115"/>
  <c r="E40" i="115"/>
  <c r="E39" i="115"/>
  <c r="E38" i="115"/>
  <c r="E150" i="115" s="1"/>
  <c r="E37" i="115"/>
  <c r="G44" i="115"/>
  <c r="F44" i="115"/>
  <c r="CA35" i="115"/>
  <c r="BZ35" i="115"/>
  <c r="BV35" i="115"/>
  <c r="BS35" i="115"/>
  <c r="BP35" i="115"/>
  <c r="BX34" i="115"/>
  <c r="BX214" i="115" s="1"/>
  <c r="BW34" i="115"/>
  <c r="BU34" i="115"/>
  <c r="BU214" i="115" s="1"/>
  <c r="BT34" i="115"/>
  <c r="BR34" i="115"/>
  <c r="BR214" i="115" s="1"/>
  <c r="BQ34" i="115"/>
  <c r="BP34" i="115"/>
  <c r="CA33" i="115"/>
  <c r="CA213" i="115" s="1"/>
  <c r="BZ33" i="115"/>
  <c r="BZ213" i="115" s="1"/>
  <c r="BV33" i="115"/>
  <c r="BS33" i="115"/>
  <c r="BP33" i="115"/>
  <c r="BP213" i="115" s="1"/>
  <c r="CA32" i="115"/>
  <c r="BZ32" i="115"/>
  <c r="BV32" i="115"/>
  <c r="BS32" i="115"/>
  <c r="BP32" i="115"/>
  <c r="BX31" i="115"/>
  <c r="BX209" i="115" s="1"/>
  <c r="BW31" i="115"/>
  <c r="BW209" i="115" s="1"/>
  <c r="BU31" i="115"/>
  <c r="BU209" i="115" s="1"/>
  <c r="BT31" i="115"/>
  <c r="BR31" i="115"/>
  <c r="BR209" i="115" s="1"/>
  <c r="BQ31" i="115"/>
  <c r="CA30" i="115"/>
  <c r="CA208" i="115" s="1"/>
  <c r="BZ30" i="115"/>
  <c r="BZ208" i="115" s="1"/>
  <c r="BV30" i="115"/>
  <c r="BV208" i="115" s="1"/>
  <c r="BS30" i="115"/>
  <c r="BS208" i="115" s="1"/>
  <c r="BP30" i="115"/>
  <c r="BP208" i="115" s="1"/>
  <c r="CA29" i="115"/>
  <c r="BZ29" i="115"/>
  <c r="BZ193" i="115" s="1"/>
  <c r="BV29" i="115"/>
  <c r="BV193" i="115" s="1"/>
  <c r="BS29" i="115"/>
  <c r="BP29" i="115"/>
  <c r="CA28" i="115"/>
  <c r="BZ28" i="115"/>
  <c r="BV28" i="115"/>
  <c r="BS28" i="115"/>
  <c r="BS192" i="115" s="1"/>
  <c r="BP28" i="115"/>
  <c r="CA27" i="115"/>
  <c r="BZ27" i="115"/>
  <c r="BV27" i="115"/>
  <c r="BS27" i="115"/>
  <c r="BP27" i="115"/>
  <c r="CA26" i="115"/>
  <c r="BZ26" i="115"/>
  <c r="BV26" i="115"/>
  <c r="BS26" i="115"/>
  <c r="BP26" i="115"/>
  <c r="BW25" i="115"/>
  <c r="BW17" i="115" s="1"/>
  <c r="BR25" i="115"/>
  <c r="BR17" i="115" s="1"/>
  <c r="BC35" i="115"/>
  <c r="BB35" i="115"/>
  <c r="AX35" i="115"/>
  <c r="AU35" i="115"/>
  <c r="AR35" i="115"/>
  <c r="AR215" i="115" s="1"/>
  <c r="AZ34" i="115"/>
  <c r="AY34" i="115"/>
  <c r="AW34" i="115"/>
  <c r="AW214" i="115" s="1"/>
  <c r="AV34" i="115"/>
  <c r="AT34" i="115"/>
  <c r="AT214" i="115" s="1"/>
  <c r="AS34" i="115"/>
  <c r="AS214" i="115" s="1"/>
  <c r="BC33" i="115"/>
  <c r="BB33" i="115"/>
  <c r="AX33" i="115"/>
  <c r="AU33" i="115"/>
  <c r="AR33" i="115"/>
  <c r="BC32" i="115"/>
  <c r="BB32" i="115"/>
  <c r="AX32" i="115"/>
  <c r="AU32" i="115"/>
  <c r="AR32" i="115"/>
  <c r="AZ31" i="115"/>
  <c r="AY31" i="115"/>
  <c r="AW31" i="115"/>
  <c r="AV31" i="115"/>
  <c r="AT31" i="115"/>
  <c r="AT209" i="115" s="1"/>
  <c r="AS31" i="115"/>
  <c r="BC30" i="115"/>
  <c r="BC208" i="115" s="1"/>
  <c r="BB30" i="115"/>
  <c r="AX30" i="115"/>
  <c r="AX208" i="115" s="1"/>
  <c r="AU30" i="115"/>
  <c r="AU208" i="115" s="1"/>
  <c r="AR30" i="115"/>
  <c r="AR208" i="115" s="1"/>
  <c r="BC29" i="115"/>
  <c r="BB29" i="115"/>
  <c r="AX29" i="115"/>
  <c r="AX193" i="115" s="1"/>
  <c r="AU29" i="115"/>
  <c r="AR29" i="115"/>
  <c r="AR193" i="115" s="1"/>
  <c r="BC28" i="115"/>
  <c r="BC192" i="115" s="1"/>
  <c r="BB28" i="115"/>
  <c r="AX28" i="115"/>
  <c r="AU28" i="115"/>
  <c r="AR28" i="115"/>
  <c r="BC27" i="115"/>
  <c r="BB27" i="115"/>
  <c r="AX27" i="115"/>
  <c r="AU27" i="115"/>
  <c r="AR27" i="115"/>
  <c r="BC26" i="115"/>
  <c r="BB26" i="115"/>
  <c r="AX26" i="115"/>
  <c r="AU26" i="115"/>
  <c r="AR26" i="115"/>
  <c r="AE35" i="115"/>
  <c r="AE215" i="115" s="1"/>
  <c r="AD35" i="115"/>
  <c r="AE33" i="115"/>
  <c r="AE213" i="115" s="1"/>
  <c r="AD33" i="115"/>
  <c r="AE32" i="115"/>
  <c r="AD32" i="115"/>
  <c r="AE30" i="115"/>
  <c r="AE208" i="115" s="1"/>
  <c r="AD30" i="115"/>
  <c r="AD208" i="115" s="1"/>
  <c r="AE29" i="115"/>
  <c r="AD29" i="115"/>
  <c r="AE28" i="115"/>
  <c r="AD28" i="115"/>
  <c r="AE27" i="115"/>
  <c r="AD27" i="115"/>
  <c r="AE26" i="115"/>
  <c r="AD26" i="115"/>
  <c r="Z35" i="115"/>
  <c r="W35" i="115"/>
  <c r="T35" i="115"/>
  <c r="AB34" i="115"/>
  <c r="AA34" i="115"/>
  <c r="AA214" i="115" s="1"/>
  <c r="Y34" i="115"/>
  <c r="X34" i="115"/>
  <c r="X214" i="115" s="1"/>
  <c r="V34" i="115"/>
  <c r="U34" i="115"/>
  <c r="U214" i="115" s="1"/>
  <c r="Z33" i="115"/>
  <c r="W33" i="115"/>
  <c r="T33" i="115"/>
  <c r="T213" i="115" s="1"/>
  <c r="Z32" i="115"/>
  <c r="W32" i="115"/>
  <c r="T32" i="115"/>
  <c r="AB31" i="115"/>
  <c r="AB209" i="115" s="1"/>
  <c r="AA31" i="115"/>
  <c r="AA209" i="115" s="1"/>
  <c r="Y31" i="115"/>
  <c r="X31" i="115"/>
  <c r="V31" i="115"/>
  <c r="U31" i="115"/>
  <c r="U209" i="115" s="1"/>
  <c r="Z30" i="115"/>
  <c r="Z208" i="115" s="1"/>
  <c r="W30" i="115"/>
  <c r="W208" i="115" s="1"/>
  <c r="T30" i="115"/>
  <c r="T208" i="115" s="1"/>
  <c r="Z29" i="115"/>
  <c r="W29" i="115"/>
  <c r="T29" i="115"/>
  <c r="Z28" i="115"/>
  <c r="W28" i="115"/>
  <c r="T28" i="115"/>
  <c r="Z27" i="115"/>
  <c r="W27" i="115"/>
  <c r="T27" i="115"/>
  <c r="Z26" i="115"/>
  <c r="W26" i="115"/>
  <c r="T26" i="115"/>
  <c r="U25" i="115"/>
  <c r="P35" i="115"/>
  <c r="P33" i="115"/>
  <c r="P32" i="115"/>
  <c r="P30" i="115"/>
  <c r="P208" i="115" s="1"/>
  <c r="P29" i="115"/>
  <c r="P28" i="115"/>
  <c r="P27" i="115"/>
  <c r="P26" i="115"/>
  <c r="O35" i="115"/>
  <c r="O33" i="115"/>
  <c r="O213" i="115" s="1"/>
  <c r="O32" i="115"/>
  <c r="O30" i="115"/>
  <c r="O208" i="115" s="1"/>
  <c r="O29" i="115"/>
  <c r="O28" i="115"/>
  <c r="O27" i="115"/>
  <c r="O26" i="115"/>
  <c r="K35" i="115"/>
  <c r="M34" i="115"/>
  <c r="M214" i="115" s="1"/>
  <c r="L34" i="115"/>
  <c r="K33" i="115"/>
  <c r="K213" i="115" s="1"/>
  <c r="K32" i="115"/>
  <c r="M31" i="115"/>
  <c r="M209" i="115" s="1"/>
  <c r="L31" i="115"/>
  <c r="K30" i="115"/>
  <c r="K208" i="115" s="1"/>
  <c r="K29" i="115"/>
  <c r="K28" i="115"/>
  <c r="K27" i="115"/>
  <c r="K26" i="115"/>
  <c r="H35" i="115"/>
  <c r="J34" i="115"/>
  <c r="J214" i="115" s="1"/>
  <c r="I34" i="115"/>
  <c r="H33" i="115"/>
  <c r="H213" i="115" s="1"/>
  <c r="H32" i="115"/>
  <c r="J31" i="115"/>
  <c r="J209" i="115" s="1"/>
  <c r="I31" i="115"/>
  <c r="H30" i="115"/>
  <c r="H208" i="115" s="1"/>
  <c r="H29" i="115"/>
  <c r="H28" i="115"/>
  <c r="H27" i="115"/>
  <c r="H26" i="115"/>
  <c r="E35" i="115"/>
  <c r="E33" i="115"/>
  <c r="E32" i="115"/>
  <c r="G34" i="115"/>
  <c r="F34" i="115"/>
  <c r="G31" i="115"/>
  <c r="F31" i="115"/>
  <c r="E30" i="115"/>
  <c r="E208" i="115" s="1"/>
  <c r="E29" i="115"/>
  <c r="E28" i="115"/>
  <c r="E27" i="115"/>
  <c r="E26" i="115"/>
  <c r="BX24" i="115"/>
  <c r="BW24" i="115"/>
  <c r="BU24" i="115"/>
  <c r="BT24" i="115"/>
  <c r="BR24" i="115"/>
  <c r="BQ24" i="115"/>
  <c r="BV23" i="115"/>
  <c r="BV153" i="115" s="1"/>
  <c r="BV22" i="115"/>
  <c r="BV152" i="115" s="1"/>
  <c r="BV21" i="115"/>
  <c r="BV20" i="115"/>
  <c r="BV19" i="115"/>
  <c r="BV18" i="115"/>
  <c r="BV147" i="115" s="1"/>
  <c r="BS23" i="115"/>
  <c r="BS22" i="115"/>
  <c r="BS21" i="115"/>
  <c r="BS20" i="115"/>
  <c r="BS19" i="115"/>
  <c r="BS18" i="115"/>
  <c r="BS147" i="115" s="1"/>
  <c r="BP23" i="115"/>
  <c r="BP153" i="115" s="1"/>
  <c r="BP22" i="115"/>
  <c r="BP21" i="115"/>
  <c r="BP20" i="115"/>
  <c r="BP19" i="115"/>
  <c r="BP18" i="115"/>
  <c r="CA23" i="115"/>
  <c r="BZ23" i="115"/>
  <c r="BZ153" i="115" s="1"/>
  <c r="CA22" i="115"/>
  <c r="BZ22" i="115"/>
  <c r="CA21" i="115"/>
  <c r="BZ21" i="115"/>
  <c r="CA20" i="115"/>
  <c r="BZ20" i="115"/>
  <c r="CA19" i="115"/>
  <c r="BZ19" i="115"/>
  <c r="BZ148" i="115" s="1"/>
  <c r="CA18" i="115"/>
  <c r="CA147" i="115" s="1"/>
  <c r="BZ18" i="115"/>
  <c r="BZ147" i="115" s="1"/>
  <c r="AX23" i="115"/>
  <c r="AX22" i="115"/>
  <c r="AX21" i="115"/>
  <c r="AX20" i="115"/>
  <c r="AX149" i="115" s="1"/>
  <c r="AX19" i="115"/>
  <c r="AX18" i="115"/>
  <c r="AU23" i="115"/>
  <c r="AU22" i="115"/>
  <c r="AU152" i="115" s="1"/>
  <c r="AU21" i="115"/>
  <c r="AU20" i="115"/>
  <c r="AU149" i="115" s="1"/>
  <c r="AU19" i="115"/>
  <c r="AU18" i="115"/>
  <c r="AR23" i="115"/>
  <c r="AR22" i="115"/>
  <c r="AR21" i="115"/>
  <c r="AR20" i="115"/>
  <c r="AR19" i="115"/>
  <c r="AR18" i="115"/>
  <c r="AR147" i="115" s="1"/>
  <c r="Z23" i="115"/>
  <c r="Z22" i="115"/>
  <c r="Z21" i="115"/>
  <c r="Z20" i="115"/>
  <c r="Z19" i="115"/>
  <c r="Z18" i="115"/>
  <c r="Z147" i="115" s="1"/>
  <c r="W23" i="115"/>
  <c r="W22" i="115"/>
  <c r="W21" i="115"/>
  <c r="W151" i="115" s="1"/>
  <c r="W20" i="115"/>
  <c r="W19" i="115"/>
  <c r="W18" i="115"/>
  <c r="W147" i="115" s="1"/>
  <c r="T23" i="115"/>
  <c r="T22" i="115"/>
  <c r="T21" i="115"/>
  <c r="T20" i="115"/>
  <c r="T19" i="115"/>
  <c r="T18" i="115"/>
  <c r="K23" i="115"/>
  <c r="K22" i="115"/>
  <c r="K21" i="115"/>
  <c r="K20" i="115"/>
  <c r="K149" i="115" s="1"/>
  <c r="K19" i="115"/>
  <c r="K18" i="115"/>
  <c r="H23" i="115"/>
  <c r="H22" i="115"/>
  <c r="H21" i="115"/>
  <c r="H20" i="115"/>
  <c r="H19" i="115"/>
  <c r="H18" i="115"/>
  <c r="H147" i="115" s="1"/>
  <c r="E23" i="115"/>
  <c r="E22" i="115"/>
  <c r="E21" i="115"/>
  <c r="E20" i="115"/>
  <c r="E19" i="115"/>
  <c r="E18" i="115"/>
  <c r="E147" i="115" s="1"/>
  <c r="AB24" i="115"/>
  <c r="AA24" i="115"/>
  <c r="Y24" i="115"/>
  <c r="X24" i="115"/>
  <c r="V24" i="115"/>
  <c r="U24" i="115"/>
  <c r="AZ24" i="115"/>
  <c r="AY24" i="115"/>
  <c r="AW24" i="115"/>
  <c r="AV24" i="115"/>
  <c r="AT24" i="115"/>
  <c r="AS24" i="115"/>
  <c r="BC23" i="115"/>
  <c r="BB23" i="115"/>
  <c r="BC22" i="115"/>
  <c r="BC152" i="115" s="1"/>
  <c r="BB22" i="115"/>
  <c r="BC21" i="115"/>
  <c r="BB21" i="115"/>
  <c r="BC20" i="115"/>
  <c r="BB20" i="115"/>
  <c r="BC19" i="115"/>
  <c r="BB19" i="115"/>
  <c r="BC18" i="115"/>
  <c r="BC147" i="115" s="1"/>
  <c r="BB18" i="115"/>
  <c r="AE23" i="115"/>
  <c r="AD23" i="115"/>
  <c r="AE22" i="115"/>
  <c r="AD22" i="115"/>
  <c r="AE21" i="115"/>
  <c r="AE151" i="115" s="1"/>
  <c r="AD21" i="115"/>
  <c r="AE20" i="115"/>
  <c r="AD20" i="115"/>
  <c r="AE19" i="115"/>
  <c r="AE148" i="115" s="1"/>
  <c r="AD19" i="115"/>
  <c r="AE18" i="115"/>
  <c r="AD18" i="115"/>
  <c r="AE24" i="115"/>
  <c r="P23" i="115"/>
  <c r="O23" i="115"/>
  <c r="P22" i="115"/>
  <c r="O22" i="115"/>
  <c r="P21" i="115"/>
  <c r="O21" i="115"/>
  <c r="P20" i="115"/>
  <c r="O20" i="115"/>
  <c r="P19" i="115"/>
  <c r="O19" i="115"/>
  <c r="P18" i="115"/>
  <c r="P147" i="115" s="1"/>
  <c r="O18" i="115"/>
  <c r="M24" i="115"/>
  <c r="L24" i="115"/>
  <c r="J24" i="115"/>
  <c r="I24" i="115"/>
  <c r="G24" i="115"/>
  <c r="F24" i="115"/>
  <c r="CC116" i="115"/>
  <c r="CC169" i="115" s="1"/>
  <c r="CC115" i="115"/>
  <c r="CC168" i="115" s="1"/>
  <c r="CC114" i="115"/>
  <c r="CC167" i="115" s="1"/>
  <c r="CC113" i="115"/>
  <c r="CC166" i="115" s="1"/>
  <c r="CC112" i="115"/>
  <c r="CC165" i="115" s="1"/>
  <c r="D119" i="115"/>
  <c r="D118" i="115"/>
  <c r="C118" i="115"/>
  <c r="CB117" i="115"/>
  <c r="DI60" i="114" l="1"/>
  <c r="DI54" i="116"/>
  <c r="DI53" i="116"/>
  <c r="DI52" i="116"/>
  <c r="DI51" i="116"/>
  <c r="DI50" i="116"/>
  <c r="AY66" i="113"/>
  <c r="AY48" i="113" s="1"/>
  <c r="AX211" i="115"/>
  <c r="BA55" i="115"/>
  <c r="BA199" i="115" s="1"/>
  <c r="AY154" i="115"/>
  <c r="AX215" i="115"/>
  <c r="AY214" i="115"/>
  <c r="BB215" i="115"/>
  <c r="DI36" i="116"/>
  <c r="AY125" i="113"/>
  <c r="AY172" i="113"/>
  <c r="AY121" i="115"/>
  <c r="BB121" i="115" s="1"/>
  <c r="AZ172" i="113"/>
  <c r="CB156" i="113"/>
  <c r="BS152" i="115"/>
  <c r="AX192" i="115"/>
  <c r="AU211" i="115"/>
  <c r="BV213" i="115"/>
  <c r="BI53" i="115"/>
  <c r="BA48" i="115"/>
  <c r="AX218" i="115"/>
  <c r="BS204" i="115"/>
  <c r="AJ74" i="115"/>
  <c r="BC149" i="115"/>
  <c r="BP151" i="115"/>
  <c r="BV151" i="115"/>
  <c r="BP211" i="115"/>
  <c r="BB218" i="115"/>
  <c r="BA78" i="115"/>
  <c r="AJ67" i="115"/>
  <c r="BH67" i="115" s="1"/>
  <c r="CF67" i="115" s="1"/>
  <c r="P148" i="115"/>
  <c r="P151" i="115"/>
  <c r="P153" i="115"/>
  <c r="E149" i="115"/>
  <c r="H152" i="115"/>
  <c r="T147" i="115"/>
  <c r="W149" i="115"/>
  <c r="Z152" i="115"/>
  <c r="AR149" i="115"/>
  <c r="BZ152" i="115"/>
  <c r="BP147" i="115"/>
  <c r="BP152" i="115"/>
  <c r="BP154" i="115" s="1"/>
  <c r="BS149" i="115"/>
  <c r="N30" i="115"/>
  <c r="N208" i="115" s="1"/>
  <c r="P193" i="115"/>
  <c r="P215" i="115"/>
  <c r="AK215" i="115" s="1"/>
  <c r="AD215" i="115"/>
  <c r="AR192" i="115"/>
  <c r="BI40" i="115"/>
  <c r="K204" i="115"/>
  <c r="P204" i="115"/>
  <c r="AK63" i="115"/>
  <c r="P218" i="115"/>
  <c r="BA46" i="115"/>
  <c r="AR218" i="115"/>
  <c r="BV66" i="115"/>
  <c r="BZ218" i="115"/>
  <c r="AJ79" i="115"/>
  <c r="BH79" i="115" s="1"/>
  <c r="CF79" i="115" s="1"/>
  <c r="CI79" i="115" s="1"/>
  <c r="N89" i="115"/>
  <c r="BC148" i="115"/>
  <c r="W192" i="115"/>
  <c r="AE211" i="115"/>
  <c r="BC211" i="115"/>
  <c r="BZ192" i="115"/>
  <c r="BS213" i="115"/>
  <c r="E204" i="115"/>
  <c r="AJ194" i="115"/>
  <c r="BH194" i="115" s="1"/>
  <c r="AK196" i="115"/>
  <c r="BI196" i="115" s="1"/>
  <c r="AJ197" i="115"/>
  <c r="BH197" i="115" s="1"/>
  <c r="CF197" i="115" s="1"/>
  <c r="AK200" i="115"/>
  <c r="BI200" i="115" s="1"/>
  <c r="AJ201" i="115"/>
  <c r="T204" i="115"/>
  <c r="AE204" i="115"/>
  <c r="AK204" i="115" s="1"/>
  <c r="BI204" i="115" s="1"/>
  <c r="CG204" i="115" s="1"/>
  <c r="AJ212" i="115"/>
  <c r="BH212" i="115" s="1"/>
  <c r="CF194" i="115"/>
  <c r="CG196" i="115"/>
  <c r="CG200" i="115"/>
  <c r="CF212" i="115"/>
  <c r="AJ206" i="115"/>
  <c r="BH206" i="115"/>
  <c r="CF206" i="115" s="1"/>
  <c r="BS77" i="115"/>
  <c r="CG199" i="115"/>
  <c r="CG203" i="115"/>
  <c r="Z211" i="115"/>
  <c r="AE193" i="115"/>
  <c r="P149" i="115"/>
  <c r="P152" i="115"/>
  <c r="P154" i="115" s="1"/>
  <c r="E152" i="115"/>
  <c r="E154" i="115" s="1"/>
  <c r="H149" i="115"/>
  <c r="K147" i="115"/>
  <c r="T149" i="115"/>
  <c r="Z149" i="115"/>
  <c r="AX147" i="115"/>
  <c r="AX152" i="115"/>
  <c r="BZ151" i="115"/>
  <c r="BP149" i="115"/>
  <c r="BV149" i="115"/>
  <c r="E192" i="115"/>
  <c r="E213" i="115"/>
  <c r="H192" i="115"/>
  <c r="K192" i="115"/>
  <c r="P211" i="115"/>
  <c r="AJ208" i="115"/>
  <c r="AU193" i="115"/>
  <c r="AK194" i="115"/>
  <c r="BI194" i="115" s="1"/>
  <c r="AK197" i="115"/>
  <c r="BI197" i="115" s="1"/>
  <c r="W204" i="115"/>
  <c r="AK67" i="115"/>
  <c r="BI67" i="115" s="1"/>
  <c r="CG67" i="115" s="1"/>
  <c r="W218" i="115"/>
  <c r="BA54" i="115"/>
  <c r="BA198" i="115" s="1"/>
  <c r="BA60" i="115"/>
  <c r="BH217" i="115"/>
  <c r="CF217" i="115" s="1"/>
  <c r="CG194" i="115"/>
  <c r="CG197" i="115"/>
  <c r="BP66" i="115"/>
  <c r="BS218" i="115"/>
  <c r="AJ72" i="115"/>
  <c r="BH72" i="115" s="1"/>
  <c r="AK206" i="115"/>
  <c r="BI206" i="115" s="1"/>
  <c r="AX75" i="115"/>
  <c r="AU77" i="115"/>
  <c r="AC96" i="115"/>
  <c r="W36" i="116"/>
  <c r="CZ32" i="116"/>
  <c r="DI33" i="116"/>
  <c r="CZ34" i="116"/>
  <c r="DI35" i="116"/>
  <c r="EY33" i="116"/>
  <c r="FH34" i="116"/>
  <c r="FH36" i="116"/>
  <c r="W40" i="116"/>
  <c r="W41" i="116"/>
  <c r="W42" i="116"/>
  <c r="BA42" i="116"/>
  <c r="W45" i="116"/>
  <c r="BA45" i="116"/>
  <c r="W46" i="116"/>
  <c r="BA46" i="116"/>
  <c r="W47" i="116"/>
  <c r="BA47" i="116"/>
  <c r="CZ41" i="116"/>
  <c r="EY54" i="116"/>
  <c r="CG217" i="115"/>
  <c r="CG206" i="115"/>
  <c r="BC151" i="115"/>
  <c r="AR211" i="115"/>
  <c r="AE149" i="115"/>
  <c r="AE152" i="115"/>
  <c r="AE154" i="115" s="1"/>
  <c r="P192" i="115"/>
  <c r="P213" i="115"/>
  <c r="AK213" i="115" s="1"/>
  <c r="AE192" i="115"/>
  <c r="AK192" i="115" s="1"/>
  <c r="BI192" i="115" s="1"/>
  <c r="AK208" i="115"/>
  <c r="BI208" i="115" s="1"/>
  <c r="CG208" i="115" s="1"/>
  <c r="BP193" i="115"/>
  <c r="CA193" i="115"/>
  <c r="CA211" i="115"/>
  <c r="AK56" i="115"/>
  <c r="BI56" i="115" s="1"/>
  <c r="N75" i="115"/>
  <c r="N46" i="115"/>
  <c r="O218" i="115"/>
  <c r="AK195" i="115"/>
  <c r="BI195" i="115" s="1"/>
  <c r="CG195" i="115" s="1"/>
  <c r="AK198" i="115"/>
  <c r="BI198" i="115" s="1"/>
  <c r="AJ199" i="115"/>
  <c r="BH199" i="115" s="1"/>
  <c r="CF199" i="115" s="1"/>
  <c r="AK202" i="115"/>
  <c r="BI202" i="115" s="1"/>
  <c r="CG202" i="115" s="1"/>
  <c r="AJ203" i="115"/>
  <c r="BH203" i="115" s="1"/>
  <c r="CF203" i="115" s="1"/>
  <c r="AJ210" i="115"/>
  <c r="BH210" i="115" s="1"/>
  <c r="CF210" i="115" s="1"/>
  <c r="AK216" i="115"/>
  <c r="BI216" i="115" s="1"/>
  <c r="CG216" i="115" s="1"/>
  <c r="AJ217" i="115"/>
  <c r="BA49" i="115"/>
  <c r="BA194" i="115" s="1"/>
  <c r="BA52" i="115"/>
  <c r="BA196" i="115" s="1"/>
  <c r="BH201" i="115"/>
  <c r="CF201" i="115" s="1"/>
  <c r="CG198" i="115"/>
  <c r="BV204" i="115"/>
  <c r="AK207" i="115"/>
  <c r="BI207" i="115" s="1"/>
  <c r="CG207" i="115" s="1"/>
  <c r="AH32" i="116"/>
  <c r="AH33" i="116"/>
  <c r="CG33" i="116" s="1"/>
  <c r="AH34" i="116"/>
  <c r="CG34" i="116" s="1"/>
  <c r="EF34" i="116" s="1"/>
  <c r="AH35" i="116"/>
  <c r="CG35" i="116" s="1"/>
  <c r="DT33" i="116"/>
  <c r="DT35" i="116"/>
  <c r="FS32" i="116"/>
  <c r="FS34" i="116"/>
  <c r="GE34" i="116" s="1"/>
  <c r="AH40" i="116"/>
  <c r="CG40" i="116" s="1"/>
  <c r="AH41" i="116"/>
  <c r="CG41" i="116" s="1"/>
  <c r="EF41" i="116" s="1"/>
  <c r="AH42" i="116"/>
  <c r="AH45" i="116"/>
  <c r="CG45" i="116" s="1"/>
  <c r="EF45" i="116" s="1"/>
  <c r="GE45" i="116" s="1"/>
  <c r="AH46" i="116"/>
  <c r="CG46" i="116" s="1"/>
  <c r="EF46" i="116" s="1"/>
  <c r="AH47" i="116"/>
  <c r="AH55" i="116"/>
  <c r="AH56" i="116"/>
  <c r="CG56" i="116" s="1"/>
  <c r="EF56" i="116" s="1"/>
  <c r="GE56" i="116" s="1"/>
  <c r="DT40" i="116"/>
  <c r="DT42" i="116"/>
  <c r="DT46" i="116"/>
  <c r="DT49" i="116"/>
  <c r="DT51" i="116"/>
  <c r="DT53" i="116"/>
  <c r="DT55" i="116"/>
  <c r="FS40" i="116"/>
  <c r="FS42" i="116"/>
  <c r="GE42" i="116" s="1"/>
  <c r="FS46" i="116"/>
  <c r="FS49" i="116"/>
  <c r="FS51" i="116"/>
  <c r="FS53" i="116"/>
  <c r="FS55" i="116"/>
  <c r="T253" i="113"/>
  <c r="AR186" i="113"/>
  <c r="BC186" i="113"/>
  <c r="BC258" i="113"/>
  <c r="BS232" i="113"/>
  <c r="FQ68" i="114"/>
  <c r="FQ61" i="114"/>
  <c r="E244" i="113"/>
  <c r="H244" i="113"/>
  <c r="K188" i="113"/>
  <c r="W256" i="113"/>
  <c r="AD45" i="113"/>
  <c r="BC45" i="113"/>
  <c r="T257" i="113"/>
  <c r="AE257" i="113"/>
  <c r="AF63" i="114"/>
  <c r="DB48" i="114"/>
  <c r="E188" i="113"/>
  <c r="O244" i="113"/>
  <c r="N46" i="113"/>
  <c r="AI46" i="113" s="1"/>
  <c r="BG46" i="113" s="1"/>
  <c r="AC33" i="113"/>
  <c r="AU253" i="113"/>
  <c r="AR254" i="113"/>
  <c r="AU239" i="113"/>
  <c r="BA90" i="113"/>
  <c r="AC36" i="113"/>
  <c r="AC39" i="113"/>
  <c r="AC117" i="113"/>
  <c r="AI117" i="113" s="1"/>
  <c r="DT46" i="114"/>
  <c r="CF56" i="114"/>
  <c r="AC38" i="113"/>
  <c r="BA96" i="113"/>
  <c r="BV114" i="113"/>
  <c r="CF65" i="114"/>
  <c r="BA47" i="113"/>
  <c r="N74" i="113"/>
  <c r="N82" i="113"/>
  <c r="N90" i="113"/>
  <c r="AC91" i="113"/>
  <c r="N115" i="113"/>
  <c r="N117" i="113"/>
  <c r="BA97" i="113"/>
  <c r="W47" i="114"/>
  <c r="CF55" i="114"/>
  <c r="EE55" i="114" s="1"/>
  <c r="CF43" i="114"/>
  <c r="EE43" i="114" s="1"/>
  <c r="AF65" i="114"/>
  <c r="FQ56" i="114"/>
  <c r="CF51" i="114"/>
  <c r="EE51" i="114" s="1"/>
  <c r="GD51" i="114" s="1"/>
  <c r="AF58" i="114"/>
  <c r="DT54" i="114"/>
  <c r="AF52" i="114"/>
  <c r="FQ63" i="114"/>
  <c r="FQ64" i="114"/>
  <c r="FQ51" i="114"/>
  <c r="EE58" i="114"/>
  <c r="CF52" i="114"/>
  <c r="EE52" i="114" s="1"/>
  <c r="EY60" i="114"/>
  <c r="CF61" i="114"/>
  <c r="FQ67" i="114"/>
  <c r="AH41" i="114"/>
  <c r="FQ66" i="114"/>
  <c r="CZ53" i="116"/>
  <c r="CZ50" i="116"/>
  <c r="AU147" i="115"/>
  <c r="BA59" i="115"/>
  <c r="BA203" i="115" s="1"/>
  <c r="BA50" i="115"/>
  <c r="BA195" i="115" s="1"/>
  <c r="BA53" i="115"/>
  <c r="BA197" i="115" s="1"/>
  <c r="AV209" i="115"/>
  <c r="AU213" i="115"/>
  <c r="BB213" i="115"/>
  <c r="BH213" i="115" s="1"/>
  <c r="CF213" i="115" s="1"/>
  <c r="CZ60" i="114"/>
  <c r="AV48" i="113"/>
  <c r="AU48" i="113" s="1"/>
  <c r="AU254" i="113"/>
  <c r="AW172" i="113"/>
  <c r="AR111" i="115"/>
  <c r="AR164" i="115" s="1"/>
  <c r="BB101" i="113"/>
  <c r="AS94" i="113"/>
  <c r="AR94" i="113" s="1"/>
  <c r="EE50" i="114"/>
  <c r="BC153" i="115"/>
  <c r="BI42" i="115"/>
  <c r="CG42" i="115" s="1"/>
  <c r="BB193" i="115"/>
  <c r="BB151" i="115"/>
  <c r="BA56" i="115"/>
  <c r="BA200" i="115" s="1"/>
  <c r="BA58" i="115"/>
  <c r="BA202" i="115" s="1"/>
  <c r="AR152" i="115"/>
  <c r="AR34" i="115"/>
  <c r="BA57" i="115"/>
  <c r="BA201" i="115" s="1"/>
  <c r="BB153" i="115"/>
  <c r="AS121" i="115"/>
  <c r="AS172" i="113"/>
  <c r="BU53" i="116"/>
  <c r="BU52" i="116"/>
  <c r="BJ52" i="116"/>
  <c r="AA101" i="113"/>
  <c r="AA94" i="113" s="1"/>
  <c r="Z114" i="113"/>
  <c r="AJ87" i="115"/>
  <c r="BH87" i="115" s="1"/>
  <c r="AD153" i="115"/>
  <c r="AJ51" i="115"/>
  <c r="BH51" i="115" s="1"/>
  <c r="CF51" i="115" s="1"/>
  <c r="AJ42" i="115"/>
  <c r="Z213" i="115"/>
  <c r="Z66" i="115"/>
  <c r="Z193" i="115"/>
  <c r="AA125" i="113"/>
  <c r="AB172" i="113"/>
  <c r="BU54" i="116"/>
  <c r="BU51" i="116"/>
  <c r="BU49" i="116"/>
  <c r="BA49" i="116"/>
  <c r="AJ82" i="115"/>
  <c r="X48" i="113"/>
  <c r="X101" i="113"/>
  <c r="X94" i="113" s="1"/>
  <c r="W187" i="113"/>
  <c r="W152" i="115"/>
  <c r="AJ76" i="115"/>
  <c r="BH76" i="115" s="1"/>
  <c r="AD147" i="115"/>
  <c r="AJ63" i="115"/>
  <c r="BH63" i="115" s="1"/>
  <c r="CF63" i="115" s="1"/>
  <c r="W213" i="115"/>
  <c r="AD24" i="115"/>
  <c r="W61" i="115"/>
  <c r="X209" i="115"/>
  <c r="W153" i="115"/>
  <c r="W154" i="115" s="1"/>
  <c r="BU36" i="116"/>
  <c r="BA36" i="116"/>
  <c r="W252" i="113"/>
  <c r="X121" i="115"/>
  <c r="AD121" i="115" s="1"/>
  <c r="AI126" i="115"/>
  <c r="AL126" i="115" s="1"/>
  <c r="AE147" i="115"/>
  <c r="AE153" i="115"/>
  <c r="AD71" i="115"/>
  <c r="T211" i="115"/>
  <c r="AD151" i="115"/>
  <c r="AJ58" i="115"/>
  <c r="BH58" i="115" s="1"/>
  <c r="T152" i="115"/>
  <c r="T66" i="115"/>
  <c r="T193" i="115"/>
  <c r="CF63" i="114"/>
  <c r="EE63" i="114" s="1"/>
  <c r="GD63" i="114" s="1"/>
  <c r="T239" i="113"/>
  <c r="T232" i="113"/>
  <c r="I121" i="115"/>
  <c r="DI46" i="114"/>
  <c r="DJ48" i="114"/>
  <c r="E187" i="113"/>
  <c r="E256" i="113"/>
  <c r="H231" i="113"/>
  <c r="K232" i="113"/>
  <c r="K258" i="113"/>
  <c r="P188" i="113"/>
  <c r="AE256" i="113"/>
  <c r="AC46" i="113"/>
  <c r="AE45" i="113"/>
  <c r="AR233" i="113"/>
  <c r="BC233" i="113"/>
  <c r="AX244" i="113"/>
  <c r="AD230" i="113"/>
  <c r="AC35" i="113"/>
  <c r="AC230" i="113" s="1"/>
  <c r="BV191" i="113"/>
  <c r="BS192" i="113"/>
  <c r="BV252" i="113"/>
  <c r="BS256" i="113"/>
  <c r="BZ239" i="113"/>
  <c r="BP257" i="113"/>
  <c r="CA257" i="113"/>
  <c r="BZ259" i="113"/>
  <c r="BC254" i="113"/>
  <c r="BC41" i="113"/>
  <c r="AE253" i="113"/>
  <c r="AE41" i="113"/>
  <c r="BB45" i="113"/>
  <c r="BA45" i="113" s="1"/>
  <c r="AF61" i="114"/>
  <c r="DI47" i="114"/>
  <c r="Z257" i="113"/>
  <c r="T189" i="113"/>
  <c r="W232" i="113"/>
  <c r="W235" i="113"/>
  <c r="AR187" i="113"/>
  <c r="AU191" i="113"/>
  <c r="BB231" i="113"/>
  <c r="BV100" i="113"/>
  <c r="AF62" i="114"/>
  <c r="AF57" i="114"/>
  <c r="EE65" i="114"/>
  <c r="GD65" i="114" s="1"/>
  <c r="E186" i="113"/>
  <c r="E233" i="113"/>
  <c r="H186" i="113"/>
  <c r="H191" i="113"/>
  <c r="H233" i="113"/>
  <c r="K191" i="113"/>
  <c r="K235" i="113"/>
  <c r="K252" i="113"/>
  <c r="P186" i="113"/>
  <c r="P187" i="113"/>
  <c r="P231" i="113"/>
  <c r="P233" i="113"/>
  <c r="P253" i="113"/>
  <c r="Z188" i="113"/>
  <c r="Z232" i="113"/>
  <c r="Z235" i="113"/>
  <c r="AE258" i="113"/>
  <c r="AR231" i="113"/>
  <c r="BB232" i="113"/>
  <c r="AX233" i="113"/>
  <c r="AR244" i="113"/>
  <c r="BC244" i="113"/>
  <c r="BP186" i="113"/>
  <c r="CA186" i="113"/>
  <c r="BZ187" i="113"/>
  <c r="BV188" i="113"/>
  <c r="BS189" i="113"/>
  <c r="BP191" i="113"/>
  <c r="CA191" i="113"/>
  <c r="BZ192" i="113"/>
  <c r="BP235" i="113"/>
  <c r="CA235" i="113"/>
  <c r="BP252" i="113"/>
  <c r="CA252" i="113"/>
  <c r="BZ253" i="113"/>
  <c r="BV254" i="113"/>
  <c r="BZ256" i="113"/>
  <c r="BV258" i="113"/>
  <c r="E232" i="113"/>
  <c r="H239" i="113"/>
  <c r="H259" i="113"/>
  <c r="O239" i="113"/>
  <c r="Z239" i="113"/>
  <c r="AD257" i="113"/>
  <c r="BB239" i="113"/>
  <c r="AX259" i="113"/>
  <c r="BS239" i="113"/>
  <c r="BS259" i="113"/>
  <c r="W114" i="113"/>
  <c r="W101" i="113" s="1"/>
  <c r="T114" i="113"/>
  <c r="T101" i="113" s="1"/>
  <c r="CF66" i="114"/>
  <c r="EE66" i="114" s="1"/>
  <c r="GD66" i="114" s="1"/>
  <c r="P258" i="113"/>
  <c r="Z187" i="113"/>
  <c r="W188" i="113"/>
  <c r="AE189" i="113"/>
  <c r="AD191" i="113"/>
  <c r="Z192" i="113"/>
  <c r="BC187" i="113"/>
  <c r="AX189" i="113"/>
  <c r="AR192" i="113"/>
  <c r="BC192" i="113"/>
  <c r="AX232" i="113"/>
  <c r="BC32" i="113"/>
  <c r="BZ186" i="113"/>
  <c r="BV231" i="113"/>
  <c r="BP233" i="113"/>
  <c r="CA233" i="113"/>
  <c r="BV244" i="113"/>
  <c r="BV256" i="113"/>
  <c r="BS258" i="113"/>
  <c r="P257" i="113"/>
  <c r="W259" i="113"/>
  <c r="W255" i="113" s="1"/>
  <c r="BS114" i="113"/>
  <c r="AF45" i="114"/>
  <c r="AF68" i="114"/>
  <c r="H235" i="113"/>
  <c r="O235" i="113"/>
  <c r="W186" i="113"/>
  <c r="T187" i="113"/>
  <c r="AE187" i="113"/>
  <c r="Z189" i="113"/>
  <c r="W191" i="113"/>
  <c r="T192" i="113"/>
  <c r="AE192" i="113"/>
  <c r="W231" i="113"/>
  <c r="W233" i="113"/>
  <c r="W244" i="113"/>
  <c r="AE244" i="113"/>
  <c r="Z254" i="113"/>
  <c r="Z258" i="113"/>
  <c r="AX187" i="113"/>
  <c r="AU188" i="113"/>
  <c r="AR189" i="113"/>
  <c r="BC189" i="113"/>
  <c r="AX192" i="113"/>
  <c r="AU252" i="113"/>
  <c r="AR253" i="113"/>
  <c r="BC253" i="113"/>
  <c r="AU256" i="113"/>
  <c r="BC256" i="113"/>
  <c r="BS186" i="113"/>
  <c r="BP231" i="113"/>
  <c r="CA231" i="113"/>
  <c r="BS235" i="113"/>
  <c r="BP244" i="113"/>
  <c r="CA244" i="113"/>
  <c r="BP256" i="113"/>
  <c r="CA256" i="113"/>
  <c r="O259" i="113"/>
  <c r="BV239" i="113"/>
  <c r="N113" i="113"/>
  <c r="BA98" i="113"/>
  <c r="BA100" i="113" s="1"/>
  <c r="AR101" i="113"/>
  <c r="BA103" i="113"/>
  <c r="BA111" i="113"/>
  <c r="BA113" i="113"/>
  <c r="BY96" i="113"/>
  <c r="BP100" i="113"/>
  <c r="BP114" i="113"/>
  <c r="BY116" i="113"/>
  <c r="N143" i="113"/>
  <c r="N204" i="113" s="1"/>
  <c r="BY128" i="113"/>
  <c r="AF43" i="114"/>
  <c r="AF55" i="114"/>
  <c r="EE64" i="114"/>
  <c r="GD64" i="114" s="1"/>
  <c r="EE57" i="114"/>
  <c r="GD57" i="114" s="1"/>
  <c r="CF68" i="114"/>
  <c r="EE68" i="114" s="1"/>
  <c r="AF50" i="114"/>
  <c r="X48" i="114"/>
  <c r="FQ52" i="114"/>
  <c r="DI54" i="114"/>
  <c r="EE62" i="114"/>
  <c r="GD62" i="114" s="1"/>
  <c r="N176" i="115"/>
  <c r="W54" i="116"/>
  <c r="W52" i="116"/>
  <c r="W51" i="116"/>
  <c r="W50" i="116"/>
  <c r="W53" i="116"/>
  <c r="W49" i="116"/>
  <c r="L101" i="113"/>
  <c r="L94" i="113" s="1"/>
  <c r="O89" i="113"/>
  <c r="W48" i="114"/>
  <c r="AJ68" i="115"/>
  <c r="BH68" i="115" s="1"/>
  <c r="CF68" i="115" s="1"/>
  <c r="K152" i="115"/>
  <c r="L154" i="115"/>
  <c r="O191" i="113"/>
  <c r="J172" i="113"/>
  <c r="AH54" i="116"/>
  <c r="CG54" i="116" s="1"/>
  <c r="EF54" i="116" s="1"/>
  <c r="GE54" i="116" s="1"/>
  <c r="N54" i="116"/>
  <c r="AH50" i="116"/>
  <c r="CG50" i="116" s="1"/>
  <c r="EF50" i="116" s="1"/>
  <c r="N50" i="116"/>
  <c r="AH52" i="116"/>
  <c r="CG52" i="116" s="1"/>
  <c r="EF52" i="116" s="1"/>
  <c r="N52" i="116"/>
  <c r="AH48" i="116"/>
  <c r="AH49" i="116"/>
  <c r="AH47" i="114"/>
  <c r="AH48" i="114" s="1"/>
  <c r="O57" i="113"/>
  <c r="O48" i="114"/>
  <c r="O257" i="113"/>
  <c r="H211" i="115"/>
  <c r="AJ46" i="115"/>
  <c r="BH46" i="115" s="1"/>
  <c r="CF46" i="115" s="1"/>
  <c r="AH36" i="116"/>
  <c r="I125" i="113"/>
  <c r="H125" i="113" s="1"/>
  <c r="O134" i="113"/>
  <c r="N48" i="114"/>
  <c r="O187" i="113"/>
  <c r="E189" i="113"/>
  <c r="BV251" i="113"/>
  <c r="CA57" i="113"/>
  <c r="BP251" i="113"/>
  <c r="CA251" i="113"/>
  <c r="AE57" i="113"/>
  <c r="Z251" i="113"/>
  <c r="T251" i="113"/>
  <c r="AE251" i="113"/>
  <c r="T57" i="113"/>
  <c r="K71" i="115"/>
  <c r="U24" i="113"/>
  <c r="AS24" i="113"/>
  <c r="AR24" i="113" s="1"/>
  <c r="BC24" i="113"/>
  <c r="BT24" i="113"/>
  <c r="BV94" i="113"/>
  <c r="E45" i="113"/>
  <c r="F32" i="113"/>
  <c r="F24" i="113" s="1"/>
  <c r="J24" i="113"/>
  <c r="J194" i="113"/>
  <c r="H229" i="113"/>
  <c r="H196" i="113"/>
  <c r="K228" i="113"/>
  <c r="K195" i="113"/>
  <c r="M24" i="113"/>
  <c r="M194" i="113"/>
  <c r="P228" i="113"/>
  <c r="P195" i="113"/>
  <c r="P229" i="113"/>
  <c r="P196" i="113"/>
  <c r="N43" i="113"/>
  <c r="O253" i="113"/>
  <c r="P45" i="113"/>
  <c r="P256" i="113"/>
  <c r="AC27" i="113"/>
  <c r="AD188" i="113"/>
  <c r="X24" i="113"/>
  <c r="W228" i="113"/>
  <c r="W195" i="113"/>
  <c r="AE228" i="113"/>
  <c r="AE195" i="113"/>
  <c r="W229" i="113"/>
  <c r="W196" i="113"/>
  <c r="AE229" i="113"/>
  <c r="AE196" i="113"/>
  <c r="AK35" i="113"/>
  <c r="AK230" i="113" s="1"/>
  <c r="AE230" i="113"/>
  <c r="AK36" i="113"/>
  <c r="BI36" i="113" s="1"/>
  <c r="CG36" i="113" s="1"/>
  <c r="AE231" i="113"/>
  <c r="AK37" i="113"/>
  <c r="AE232" i="113"/>
  <c r="AK38" i="113"/>
  <c r="BI38" i="113" s="1"/>
  <c r="CG38" i="113" s="1"/>
  <c r="AE233" i="113"/>
  <c r="V24" i="113"/>
  <c r="T24" i="113" s="1"/>
  <c r="Y24" i="113"/>
  <c r="Y194" i="113"/>
  <c r="AB24" i="113"/>
  <c r="AB194" i="113"/>
  <c r="AJ42" i="113"/>
  <c r="AD252" i="113"/>
  <c r="AC44" i="113"/>
  <c r="AD254" i="113"/>
  <c r="BA25" i="113"/>
  <c r="BB186" i="113"/>
  <c r="BA27" i="113"/>
  <c r="BB188" i="113"/>
  <c r="BA29" i="113"/>
  <c r="BB191" i="113"/>
  <c r="AT198" i="113"/>
  <c r="CS53" i="114" s="1"/>
  <c r="CS49" i="114"/>
  <c r="AW194" i="113"/>
  <c r="AR228" i="113"/>
  <c r="AR195" i="113"/>
  <c r="AX228" i="113"/>
  <c r="AX195" i="113"/>
  <c r="BB228" i="113"/>
  <c r="BB195" i="113"/>
  <c r="AR229" i="113"/>
  <c r="AR196" i="113"/>
  <c r="AX229" i="113"/>
  <c r="AX196" i="113"/>
  <c r="BB229" i="113"/>
  <c r="BB196" i="113"/>
  <c r="BA39" i="113"/>
  <c r="BB235" i="113"/>
  <c r="BA42" i="113"/>
  <c r="BB252" i="113"/>
  <c r="BA44" i="113"/>
  <c r="BB254" i="113"/>
  <c r="BX198" i="113"/>
  <c r="FJ53" i="114" s="1"/>
  <c r="FJ49" i="114"/>
  <c r="FJ69" i="114" s="1"/>
  <c r="FJ74" i="114" s="1"/>
  <c r="BS228" i="113"/>
  <c r="BS195" i="113"/>
  <c r="BY33" i="113"/>
  <c r="BZ228" i="113"/>
  <c r="BZ195" i="113"/>
  <c r="BP229" i="113"/>
  <c r="BP196" i="113"/>
  <c r="BV229" i="113"/>
  <c r="BV196" i="113"/>
  <c r="CA229" i="113"/>
  <c r="CA196" i="113"/>
  <c r="BY35" i="113"/>
  <c r="BY230" i="113" s="1"/>
  <c r="BZ230" i="113"/>
  <c r="BY37" i="113"/>
  <c r="BZ232" i="113"/>
  <c r="BY39" i="113"/>
  <c r="BZ235" i="113"/>
  <c r="BY47" i="113"/>
  <c r="BZ258" i="113"/>
  <c r="N72" i="113"/>
  <c r="N238" i="113" s="1"/>
  <c r="O238" i="113"/>
  <c r="N73" i="113"/>
  <c r="N236" i="113" s="1"/>
  <c r="O236" i="113"/>
  <c r="AC93" i="113"/>
  <c r="AD259" i="113"/>
  <c r="AR251" i="113"/>
  <c r="AX251" i="113"/>
  <c r="BC251" i="113"/>
  <c r="BA92" i="113"/>
  <c r="BB257" i="113"/>
  <c r="O112" i="113"/>
  <c r="F101" i="113"/>
  <c r="F94" i="113" s="1"/>
  <c r="E257" i="113"/>
  <c r="H240" i="113"/>
  <c r="H197" i="113"/>
  <c r="P240" i="113"/>
  <c r="P197" i="113"/>
  <c r="AK96" i="113"/>
  <c r="BI96" i="113" s="1"/>
  <c r="CG96" i="113" s="1"/>
  <c r="AK98" i="113"/>
  <c r="Z94" i="113"/>
  <c r="W240" i="113"/>
  <c r="W197" i="113"/>
  <c r="AC105" i="113"/>
  <c r="AD240" i="113"/>
  <c r="AD197" i="113"/>
  <c r="AC107" i="113"/>
  <c r="AC241" i="113" s="1"/>
  <c r="AD241" i="113"/>
  <c r="AC109" i="113"/>
  <c r="AC243" i="113" s="1"/>
  <c r="AD243" i="113"/>
  <c r="AU240" i="113"/>
  <c r="AU197" i="113"/>
  <c r="BA105" i="113"/>
  <c r="BB240" i="113"/>
  <c r="BB197" i="113"/>
  <c r="BA107" i="113"/>
  <c r="BA241" i="113" s="1"/>
  <c r="BB241" i="113"/>
  <c r="BA109" i="113"/>
  <c r="BA243" i="113" s="1"/>
  <c r="BB243" i="113"/>
  <c r="BP240" i="113"/>
  <c r="BP197" i="113"/>
  <c r="BV240" i="113"/>
  <c r="BV197" i="113"/>
  <c r="CA240" i="113"/>
  <c r="CA197" i="113"/>
  <c r="O132" i="113"/>
  <c r="F125" i="113"/>
  <c r="N152" i="113"/>
  <c r="N213" i="113" s="1"/>
  <c r="O213" i="113"/>
  <c r="BT54" i="114"/>
  <c r="DS60" i="114"/>
  <c r="CA125" i="113"/>
  <c r="BV144" i="113"/>
  <c r="BV205" i="113" s="1"/>
  <c r="BW205" i="113"/>
  <c r="FI60" i="114" s="1"/>
  <c r="FR60" i="114" s="1"/>
  <c r="BY146" i="113"/>
  <c r="BY207" i="113" s="1"/>
  <c r="BZ207" i="113"/>
  <c r="BY148" i="113"/>
  <c r="BY209" i="113" s="1"/>
  <c r="BZ209" i="113"/>
  <c r="BY150" i="113"/>
  <c r="BY211" i="113" s="1"/>
  <c r="BZ211" i="113"/>
  <c r="BY152" i="113"/>
  <c r="BY213" i="113" s="1"/>
  <c r="BZ213" i="113"/>
  <c r="I172" i="113"/>
  <c r="U172" i="113"/>
  <c r="AA172" i="113"/>
  <c r="BR172" i="113"/>
  <c r="BX172" i="113"/>
  <c r="FY72" i="114"/>
  <c r="AC58" i="118"/>
  <c r="EZ48" i="114"/>
  <c r="EY47" i="114"/>
  <c r="EY48" i="114" s="1"/>
  <c r="FS47" i="114"/>
  <c r="FS48" i="114" s="1"/>
  <c r="ER48" i="114"/>
  <c r="EY41" i="114"/>
  <c r="FS41" i="114"/>
  <c r="DT47" i="114"/>
  <c r="DT48" i="114" s="1"/>
  <c r="CS48" i="114"/>
  <c r="CQ47" i="114"/>
  <c r="CQ46" i="114"/>
  <c r="DS46" i="114"/>
  <c r="DS48" i="114" s="1"/>
  <c r="AS48" i="114"/>
  <c r="BT47" i="114"/>
  <c r="AR47" i="114"/>
  <c r="AR48" i="114" s="1"/>
  <c r="BA46" i="114"/>
  <c r="BT46" i="114"/>
  <c r="CF44" i="114"/>
  <c r="EE44" i="114" s="1"/>
  <c r="GD44" i="114" s="1"/>
  <c r="FQ62" i="114"/>
  <c r="FQ50" i="114"/>
  <c r="EQ48" i="114"/>
  <c r="FR47" i="114"/>
  <c r="FR48" i="114" s="1"/>
  <c r="EP47" i="114"/>
  <c r="EP48" i="114" s="1"/>
  <c r="O147" i="115"/>
  <c r="O148" i="115"/>
  <c r="N20" i="115"/>
  <c r="O151" i="115"/>
  <c r="O152" i="115"/>
  <c r="O153" i="115"/>
  <c r="AD148" i="115"/>
  <c r="AD149" i="115"/>
  <c r="AD152" i="115"/>
  <c r="AD154" i="115" s="1"/>
  <c r="BA18" i="115"/>
  <c r="BB149" i="115"/>
  <c r="BB152" i="115"/>
  <c r="E148" i="115"/>
  <c r="E151" i="115"/>
  <c r="E153" i="115"/>
  <c r="H148" i="115"/>
  <c r="H151" i="115"/>
  <c r="H153" i="115"/>
  <c r="H154" i="115" s="1"/>
  <c r="K148" i="115"/>
  <c r="K151" i="115"/>
  <c r="K153" i="115"/>
  <c r="K154" i="115" s="1"/>
  <c r="T148" i="115"/>
  <c r="T151" i="115"/>
  <c r="T153" i="115"/>
  <c r="W148" i="115"/>
  <c r="Z148" i="115"/>
  <c r="Z151" i="115"/>
  <c r="Z153" i="115"/>
  <c r="AR148" i="115"/>
  <c r="AR151" i="115"/>
  <c r="AR153" i="115"/>
  <c r="AU148" i="115"/>
  <c r="AU151" i="115"/>
  <c r="AU153" i="115"/>
  <c r="AU154" i="115" s="1"/>
  <c r="AX148" i="115"/>
  <c r="AX151" i="115"/>
  <c r="AX153" i="115"/>
  <c r="AX154" i="115" s="1"/>
  <c r="CA148" i="115"/>
  <c r="CA149" i="115"/>
  <c r="CA151" i="115"/>
  <c r="CA152" i="115"/>
  <c r="CA154" i="115" s="1"/>
  <c r="CA153" i="115"/>
  <c r="BP148" i="115"/>
  <c r="BS148" i="115"/>
  <c r="BS151" i="115"/>
  <c r="BS153" i="115"/>
  <c r="BS154" i="115" s="1"/>
  <c r="BV148" i="115"/>
  <c r="E193" i="115"/>
  <c r="F214" i="115"/>
  <c r="E211" i="115"/>
  <c r="E215" i="115"/>
  <c r="H193" i="115"/>
  <c r="I209" i="115"/>
  <c r="I219" i="115" s="1"/>
  <c r="I214" i="115"/>
  <c r="K193" i="115"/>
  <c r="L209" i="115"/>
  <c r="L219" i="115" s="1"/>
  <c r="K211" i="115"/>
  <c r="L214" i="115"/>
  <c r="N33" i="115"/>
  <c r="O193" i="115"/>
  <c r="O215" i="115"/>
  <c r="AJ215" i="115" s="1"/>
  <c r="BH215" i="115" s="1"/>
  <c r="T192" i="115"/>
  <c r="Z192" i="115"/>
  <c r="W193" i="115"/>
  <c r="W211" i="115"/>
  <c r="Y214" i="115"/>
  <c r="AB214" i="115"/>
  <c r="AD192" i="115"/>
  <c r="AD193" i="115"/>
  <c r="AD213" i="115"/>
  <c r="AJ213" i="115" s="1"/>
  <c r="AW25" i="115"/>
  <c r="AW17" i="115" s="1"/>
  <c r="AU192" i="115"/>
  <c r="BC193" i="115"/>
  <c r="AU31" i="115"/>
  <c r="AR213" i="115"/>
  <c r="AX213" i="115"/>
  <c r="BC213" i="115"/>
  <c r="AV214" i="115"/>
  <c r="AX34" i="115"/>
  <c r="AZ214" i="115"/>
  <c r="BA35" i="115"/>
  <c r="BC215" i="115"/>
  <c r="BU25" i="115"/>
  <c r="BU17" i="115" s="1"/>
  <c r="BU120" i="115" s="1"/>
  <c r="BU122" i="115" s="1"/>
  <c r="BP192" i="115"/>
  <c r="BV192" i="115"/>
  <c r="CA192" i="115"/>
  <c r="CG192" i="115" s="1"/>
  <c r="BS193" i="115"/>
  <c r="BS211" i="115"/>
  <c r="BZ211" i="115"/>
  <c r="BQ214" i="115"/>
  <c r="BT214" i="115"/>
  <c r="BT219" i="115" s="1"/>
  <c r="BW214" i="115"/>
  <c r="BP215" i="115"/>
  <c r="CA215" i="115"/>
  <c r="AK37" i="115"/>
  <c r="BI37" i="115" s="1"/>
  <c r="CG37" i="115" s="1"/>
  <c r="AK39" i="115"/>
  <c r="AK41" i="115"/>
  <c r="BI41" i="115" s="1"/>
  <c r="CG41" i="115" s="1"/>
  <c r="AK43" i="115"/>
  <c r="BI43" i="115" s="1"/>
  <c r="CG43" i="115" s="1"/>
  <c r="H204" i="115"/>
  <c r="H218" i="115"/>
  <c r="BI49" i="115"/>
  <c r="CG49" i="115" s="1"/>
  <c r="AK52" i="115"/>
  <c r="BI52" i="115" s="1"/>
  <c r="AJ55" i="115"/>
  <c r="BH55" i="115" s="1"/>
  <c r="CF55" i="115" s="1"/>
  <c r="AJ62" i="115"/>
  <c r="BH62" i="115" s="1"/>
  <c r="CF62" i="115" s="1"/>
  <c r="BI65" i="115"/>
  <c r="AJ69" i="115"/>
  <c r="BH69" i="115" s="1"/>
  <c r="CF69" i="115" s="1"/>
  <c r="BI70" i="115"/>
  <c r="CG70" i="115" s="1"/>
  <c r="AK48" i="115"/>
  <c r="BI48" i="115" s="1"/>
  <c r="BI63" i="115"/>
  <c r="AC46" i="115"/>
  <c r="AC48" i="115"/>
  <c r="AD61" i="115"/>
  <c r="T218" i="115"/>
  <c r="Z218" i="115"/>
  <c r="AE218" i="115"/>
  <c r="AK218" i="115" s="1"/>
  <c r="BI218" i="115" s="1"/>
  <c r="AR204" i="115"/>
  <c r="AX204" i="115"/>
  <c r="BP218" i="115"/>
  <c r="BV218" i="115"/>
  <c r="CA218" i="115"/>
  <c r="AK87" i="115"/>
  <c r="BI87" i="115" s="1"/>
  <c r="O104" i="115"/>
  <c r="H86" i="115"/>
  <c r="M77" i="115"/>
  <c r="M71" i="115" s="1"/>
  <c r="K88" i="115"/>
  <c r="AK91" i="115"/>
  <c r="AK95" i="115"/>
  <c r="BI95" i="115" s="1"/>
  <c r="CG95" i="115" s="1"/>
  <c r="AK98" i="115"/>
  <c r="BI98" i="115" s="1"/>
  <c r="V97" i="115"/>
  <c r="V90" i="115" s="1"/>
  <c r="Y97" i="115"/>
  <c r="Y90" i="115" s="1"/>
  <c r="AB97" i="115"/>
  <c r="AB90" i="115" s="1"/>
  <c r="BA99" i="115"/>
  <c r="BY93" i="115"/>
  <c r="G121" i="115"/>
  <c r="K107" i="115"/>
  <c r="K160" i="115" s="1"/>
  <c r="K111" i="115"/>
  <c r="K164" i="115" s="1"/>
  <c r="M121" i="115"/>
  <c r="BA48" i="116"/>
  <c r="BJ48" i="116"/>
  <c r="AU107" i="115"/>
  <c r="AU160" i="115" s="1"/>
  <c r="AT121" i="115"/>
  <c r="AW121" i="115"/>
  <c r="AZ121" i="115"/>
  <c r="EY48" i="116"/>
  <c r="E191" i="113"/>
  <c r="E235" i="113"/>
  <c r="H187" i="113"/>
  <c r="H189" i="113"/>
  <c r="H192" i="113"/>
  <c r="H193" i="113" s="1"/>
  <c r="H228" i="113"/>
  <c r="H195" i="113"/>
  <c r="H252" i="113"/>
  <c r="H254" i="113"/>
  <c r="H258" i="113"/>
  <c r="K187" i="113"/>
  <c r="K189" i="113"/>
  <c r="K192" i="113"/>
  <c r="K193" i="113" s="1"/>
  <c r="K229" i="113"/>
  <c r="K196" i="113"/>
  <c r="K231" i="113"/>
  <c r="K233" i="113"/>
  <c r="K244" i="113"/>
  <c r="K256" i="113"/>
  <c r="O186" i="113"/>
  <c r="N37" i="113"/>
  <c r="AI37" i="113" s="1"/>
  <c r="N39" i="113"/>
  <c r="P235" i="113"/>
  <c r="P244" i="113"/>
  <c r="P252" i="113"/>
  <c r="O256" i="113"/>
  <c r="T186" i="113"/>
  <c r="Z186" i="113"/>
  <c r="AE186" i="113"/>
  <c r="AC26" i="113"/>
  <c r="AD187" i="113"/>
  <c r="W189" i="113"/>
  <c r="AC28" i="113"/>
  <c r="AD189" i="113"/>
  <c r="T191" i="113"/>
  <c r="Z191" i="113"/>
  <c r="Z193" i="113" s="1"/>
  <c r="AE191" i="113"/>
  <c r="W192" i="113"/>
  <c r="AC30" i="113"/>
  <c r="AD192" i="113"/>
  <c r="AA32" i="113"/>
  <c r="T228" i="113"/>
  <c r="T195" i="113"/>
  <c r="Z228" i="113"/>
  <c r="Z195" i="113"/>
  <c r="AD228" i="113"/>
  <c r="AD195" i="113"/>
  <c r="T229" i="113"/>
  <c r="T196" i="113"/>
  <c r="Z229" i="113"/>
  <c r="Z196" i="113"/>
  <c r="AD229" i="113"/>
  <c r="AD196" i="113"/>
  <c r="T231" i="113"/>
  <c r="Z231" i="113"/>
  <c r="AD231" i="113"/>
  <c r="AD232" i="113"/>
  <c r="T233" i="113"/>
  <c r="Z233" i="113"/>
  <c r="AD235" i="113"/>
  <c r="T244" i="113"/>
  <c r="Z244" i="113"/>
  <c r="AD244" i="113"/>
  <c r="AD41" i="113"/>
  <c r="T252" i="113"/>
  <c r="Z252" i="113"/>
  <c r="Z250" i="113" s="1"/>
  <c r="AE252" i="113"/>
  <c r="AC43" i="113"/>
  <c r="AD253" i="113"/>
  <c r="T256" i="113"/>
  <c r="Z256" i="113"/>
  <c r="AD256" i="113"/>
  <c r="AD258" i="113"/>
  <c r="AT24" i="113"/>
  <c r="AT153" i="113" s="1"/>
  <c r="AZ24" i="113"/>
  <c r="AU187" i="113"/>
  <c r="BA26" i="113"/>
  <c r="BB187" i="113"/>
  <c r="AR188" i="113"/>
  <c r="AX188" i="113"/>
  <c r="BC188" i="113"/>
  <c r="AU189" i="113"/>
  <c r="BA28" i="113"/>
  <c r="BB189" i="113"/>
  <c r="AR191" i="113"/>
  <c r="AX191" i="113"/>
  <c r="AX193" i="113" s="1"/>
  <c r="BC191" i="113"/>
  <c r="BC193" i="113" s="1"/>
  <c r="AU192" i="113"/>
  <c r="BA30" i="113"/>
  <c r="BB192" i="113"/>
  <c r="AV32" i="113"/>
  <c r="AV24" i="113" s="1"/>
  <c r="AU24" i="113" s="1"/>
  <c r="AY32" i="113"/>
  <c r="AU228" i="113"/>
  <c r="AU195" i="113"/>
  <c r="BA33" i="113"/>
  <c r="BC228" i="113"/>
  <c r="BC195" i="113"/>
  <c r="AU229" i="113"/>
  <c r="AU196" i="113"/>
  <c r="BA34" i="113"/>
  <c r="BC229" i="113"/>
  <c r="BC196" i="113"/>
  <c r="BA35" i="113"/>
  <c r="BA230" i="113" s="1"/>
  <c r="AU231" i="113"/>
  <c r="BA36" i="113"/>
  <c r="BC231" i="113"/>
  <c r="BA37" i="113"/>
  <c r="BC232" i="113"/>
  <c r="AU233" i="113"/>
  <c r="BA38" i="113"/>
  <c r="BB233" i="113"/>
  <c r="AR235" i="113"/>
  <c r="AX235" i="113"/>
  <c r="BC235" i="113"/>
  <c r="AU244" i="113"/>
  <c r="BA40" i="113"/>
  <c r="BB244" i="113"/>
  <c r="AU41" i="113"/>
  <c r="AX41" i="113"/>
  <c r="BB41" i="113"/>
  <c r="AR252" i="113"/>
  <c r="AX252" i="113"/>
  <c r="BC252" i="113"/>
  <c r="BA43" i="113"/>
  <c r="BB253" i="113"/>
  <c r="AR256" i="113"/>
  <c r="AX256" i="113"/>
  <c r="BB256" i="113"/>
  <c r="AR258" i="113"/>
  <c r="AX258" i="113"/>
  <c r="BB258" i="113"/>
  <c r="BQ24" i="113"/>
  <c r="BX24" i="113"/>
  <c r="BP187" i="113"/>
  <c r="BV187" i="113"/>
  <c r="CA187" i="113"/>
  <c r="BS188" i="113"/>
  <c r="BZ188" i="113"/>
  <c r="BP189" i="113"/>
  <c r="BV189" i="113"/>
  <c r="CA189" i="113"/>
  <c r="BS191" i="113"/>
  <c r="BS193" i="113" s="1"/>
  <c r="BZ191" i="113"/>
  <c r="BP192" i="113"/>
  <c r="BP193" i="113" s="1"/>
  <c r="BV192" i="113"/>
  <c r="BV193" i="113" s="1"/>
  <c r="CA192" i="113"/>
  <c r="CA193" i="113" s="1"/>
  <c r="BP228" i="113"/>
  <c r="BP195" i="113"/>
  <c r="BV228" i="113"/>
  <c r="BV195" i="113"/>
  <c r="CA228" i="113"/>
  <c r="CA195" i="113"/>
  <c r="BS229" i="113"/>
  <c r="BS196" i="113"/>
  <c r="BZ229" i="113"/>
  <c r="BZ196" i="113"/>
  <c r="BS231" i="113"/>
  <c r="BZ231" i="113"/>
  <c r="BS233" i="113"/>
  <c r="BZ233" i="113"/>
  <c r="BS244" i="113"/>
  <c r="BZ244" i="113"/>
  <c r="BV41" i="113"/>
  <c r="CA41" i="113"/>
  <c r="BS252" i="113"/>
  <c r="BY42" i="113"/>
  <c r="BZ252" i="113"/>
  <c r="BP253" i="113"/>
  <c r="BV253" i="113"/>
  <c r="CA253" i="113"/>
  <c r="BS254" i="113"/>
  <c r="BY44" i="113"/>
  <c r="BZ254" i="113"/>
  <c r="P84" i="113"/>
  <c r="N84" i="113" s="1"/>
  <c r="P89" i="113"/>
  <c r="E239" i="113"/>
  <c r="E254" i="113"/>
  <c r="E258" i="113"/>
  <c r="E259" i="113"/>
  <c r="H60" i="113"/>
  <c r="H84" i="113"/>
  <c r="H251" i="113"/>
  <c r="H89" i="113"/>
  <c r="H257" i="113"/>
  <c r="K60" i="113"/>
  <c r="K84" i="113"/>
  <c r="K251" i="113"/>
  <c r="K250" i="113" s="1"/>
  <c r="K257" i="113"/>
  <c r="N49" i="113"/>
  <c r="N51" i="113"/>
  <c r="N53" i="113"/>
  <c r="N54" i="113"/>
  <c r="N58" i="113"/>
  <c r="N59" i="113"/>
  <c r="N61" i="113"/>
  <c r="N80" i="113"/>
  <c r="N249" i="113" s="1"/>
  <c r="O249" i="113"/>
  <c r="N81" i="113"/>
  <c r="N234" i="113" s="1"/>
  <c r="O234" i="113"/>
  <c r="P239" i="113"/>
  <c r="O258" i="113"/>
  <c r="O255" i="113" s="1"/>
  <c r="P259" i="113"/>
  <c r="AC49" i="113"/>
  <c r="AC51" i="113"/>
  <c r="AC53" i="113"/>
  <c r="AI53" i="113" s="1"/>
  <c r="T60" i="113"/>
  <c r="Z60" i="113"/>
  <c r="AE60" i="113"/>
  <c r="U66" i="113"/>
  <c r="U48" i="113" s="1"/>
  <c r="AC67" i="113"/>
  <c r="AC69" i="113"/>
  <c r="AC71" i="113"/>
  <c r="AC73" i="113"/>
  <c r="AC236" i="113" s="1"/>
  <c r="AD236" i="113"/>
  <c r="AC75" i="113"/>
  <c r="AC237" i="113" s="1"/>
  <c r="AD237" i="113"/>
  <c r="AC77" i="113"/>
  <c r="AC246" i="113" s="1"/>
  <c r="AD246" i="113"/>
  <c r="AC79" i="113"/>
  <c r="AC248" i="113" s="1"/>
  <c r="AD248" i="113"/>
  <c r="AC81" i="113"/>
  <c r="AC234" i="113" s="1"/>
  <c r="AD234" i="113"/>
  <c r="W239" i="113"/>
  <c r="AC83" i="113"/>
  <c r="AD239" i="113"/>
  <c r="W251" i="113"/>
  <c r="AD251" i="113"/>
  <c r="T259" i="113"/>
  <c r="Z259" i="113"/>
  <c r="AE259" i="113"/>
  <c r="BA50" i="113"/>
  <c r="BA190" i="113" s="1"/>
  <c r="BB190" i="113"/>
  <c r="BA52" i="113"/>
  <c r="AX57" i="113"/>
  <c r="AU60" i="113"/>
  <c r="BA68" i="113"/>
  <c r="BA70" i="113"/>
  <c r="BA72" i="113"/>
  <c r="BA238" i="113" s="1"/>
  <c r="BB238" i="113"/>
  <c r="BA74" i="113"/>
  <c r="BA76" i="113"/>
  <c r="BA245" i="113" s="1"/>
  <c r="BB245" i="113"/>
  <c r="BA78" i="113"/>
  <c r="BA247" i="113" s="1"/>
  <c r="BB247" i="113"/>
  <c r="BA80" i="113"/>
  <c r="BA249" i="113" s="1"/>
  <c r="BB249" i="113"/>
  <c r="BA82" i="113"/>
  <c r="AR239" i="113"/>
  <c r="AX239" i="113"/>
  <c r="BC239" i="113"/>
  <c r="AU251" i="113"/>
  <c r="BB251" i="113"/>
  <c r="AR257" i="113"/>
  <c r="AX257" i="113"/>
  <c r="BC257" i="113"/>
  <c r="AU259" i="113"/>
  <c r="AU255" i="113" s="1"/>
  <c r="BB259" i="113"/>
  <c r="BP60" i="113"/>
  <c r="BV60" i="113"/>
  <c r="BQ66" i="113"/>
  <c r="BS251" i="113"/>
  <c r="BS250" i="113" s="1"/>
  <c r="BZ251" i="113"/>
  <c r="BS257" i="113"/>
  <c r="BZ257" i="113"/>
  <c r="BP259" i="113"/>
  <c r="BP255" i="113" s="1"/>
  <c r="BV259" i="113"/>
  <c r="CA259" i="113"/>
  <c r="G101" i="113"/>
  <c r="G94" i="113" s="1"/>
  <c r="P94" i="113" s="1"/>
  <c r="J101" i="113"/>
  <c r="J94" i="113" s="1"/>
  <c r="I101" i="113"/>
  <c r="I94" i="113" s="1"/>
  <c r="H94" i="113" s="1"/>
  <c r="H114" i="113"/>
  <c r="K100" i="113"/>
  <c r="K240" i="113"/>
  <c r="K197" i="113"/>
  <c r="N95" i="113"/>
  <c r="N97" i="113"/>
  <c r="N98" i="113"/>
  <c r="N99" i="113"/>
  <c r="N103" i="113"/>
  <c r="N104" i="113"/>
  <c r="N105" i="113"/>
  <c r="N197" i="113" s="1"/>
  <c r="N109" i="113"/>
  <c r="N243" i="113" s="1"/>
  <c r="O243" i="113"/>
  <c r="N111" i="113"/>
  <c r="T240" i="113"/>
  <c r="T197" i="113"/>
  <c r="Z240" i="113"/>
  <c r="Z197" i="113"/>
  <c r="AE240" i="113"/>
  <c r="AE197" i="113"/>
  <c r="AU94" i="113"/>
  <c r="AR240" i="113"/>
  <c r="AR197" i="113"/>
  <c r="AX240" i="113"/>
  <c r="AX197" i="113"/>
  <c r="BC240" i="113"/>
  <c r="BC197" i="113"/>
  <c r="AX114" i="113"/>
  <c r="AX101" i="113" s="1"/>
  <c r="AU114" i="113"/>
  <c r="BA116" i="113"/>
  <c r="BP101" i="113"/>
  <c r="BY103" i="113"/>
  <c r="BS240" i="113"/>
  <c r="BS197" i="113"/>
  <c r="BY105" i="113"/>
  <c r="BZ240" i="113"/>
  <c r="BZ197" i="113"/>
  <c r="BY107" i="113"/>
  <c r="BY241" i="113" s="1"/>
  <c r="BZ241" i="113"/>
  <c r="BY109" i="113"/>
  <c r="BY243" i="113" s="1"/>
  <c r="BZ243" i="113"/>
  <c r="BY111" i="113"/>
  <c r="P138" i="113"/>
  <c r="P199" i="113" s="1"/>
  <c r="G199" i="113"/>
  <c r="G54" i="114" s="1"/>
  <c r="H138" i="113"/>
  <c r="H199" i="113" s="1"/>
  <c r="I199" i="113"/>
  <c r="O54" i="114" s="1"/>
  <c r="W54" i="114"/>
  <c r="H144" i="113"/>
  <c r="H205" i="113" s="1"/>
  <c r="I205" i="113"/>
  <c r="O60" i="114" s="1"/>
  <c r="N60" i="114" s="1"/>
  <c r="K144" i="113"/>
  <c r="K205" i="113" s="1"/>
  <c r="L205" i="113"/>
  <c r="X60" i="114" s="1"/>
  <c r="W60" i="114" s="1"/>
  <c r="N120" i="113"/>
  <c r="N121" i="113"/>
  <c r="N122" i="113"/>
  <c r="N130" i="113"/>
  <c r="N131" i="113"/>
  <c r="N136" i="113"/>
  <c r="N137" i="113"/>
  <c r="N139" i="113"/>
  <c r="N200" i="113" s="1"/>
  <c r="O200" i="113"/>
  <c r="N140" i="113"/>
  <c r="N201" i="113" s="1"/>
  <c r="T134" i="113"/>
  <c r="X125" i="113"/>
  <c r="X194" i="113" s="1"/>
  <c r="T138" i="113"/>
  <c r="T199" i="113" s="1"/>
  <c r="AE138" i="113"/>
  <c r="AE199" i="113" s="1"/>
  <c r="V199" i="113"/>
  <c r="AT54" i="114" s="1"/>
  <c r="AR54" i="114" s="1"/>
  <c r="T144" i="113"/>
  <c r="T205" i="113" s="1"/>
  <c r="U205" i="113"/>
  <c r="AS60" i="114" s="1"/>
  <c r="BA60" i="114"/>
  <c r="Z144" i="113"/>
  <c r="Z205" i="113" s="1"/>
  <c r="BA120" i="113"/>
  <c r="BA122" i="113"/>
  <c r="AR124" i="113"/>
  <c r="AX124" i="113"/>
  <c r="BC124" i="113"/>
  <c r="AR132" i="113"/>
  <c r="AV125" i="113"/>
  <c r="AV118" i="113" s="1"/>
  <c r="AU118" i="113" s="1"/>
  <c r="BA133" i="113"/>
  <c r="AR138" i="113"/>
  <c r="AR199" i="113" s="1"/>
  <c r="AS199" i="113"/>
  <c r="CR54" i="114" s="1"/>
  <c r="CZ54" i="114"/>
  <c r="AX138" i="113"/>
  <c r="AX199" i="113" s="1"/>
  <c r="BA139" i="113"/>
  <c r="BA200" i="113" s="1"/>
  <c r="BB200" i="113"/>
  <c r="BA141" i="113"/>
  <c r="BA202" i="113" s="1"/>
  <c r="BB202" i="113"/>
  <c r="BA143" i="113"/>
  <c r="BA204" i="113" s="1"/>
  <c r="AR144" i="113"/>
  <c r="AR205" i="113" s="1"/>
  <c r="BC144" i="113"/>
  <c r="BC205" i="113" s="1"/>
  <c r="AT205" i="113"/>
  <c r="CS60" i="114" s="1"/>
  <c r="DT60" i="114" s="1"/>
  <c r="BP132" i="113"/>
  <c r="BT125" i="113"/>
  <c r="BT118" i="113" s="1"/>
  <c r="BT153" i="113" s="1"/>
  <c r="BY133" i="113"/>
  <c r="BP138" i="113"/>
  <c r="BP199" i="113" s="1"/>
  <c r="BQ199" i="113"/>
  <c r="EQ54" i="114" s="1"/>
  <c r="EY54" i="114"/>
  <c r="BV138" i="113"/>
  <c r="BV199" i="113" s="1"/>
  <c r="BY139" i="113"/>
  <c r="BY200" i="113" s="1"/>
  <c r="BZ200" i="113"/>
  <c r="BY141" i="113"/>
  <c r="BY202" i="113" s="1"/>
  <c r="BZ202" i="113"/>
  <c r="BY143" i="113"/>
  <c r="BY204" i="113" s="1"/>
  <c r="BP144" i="113"/>
  <c r="BP205" i="113" s="1"/>
  <c r="CA144" i="113"/>
  <c r="CA205" i="113" s="1"/>
  <c r="BR205" i="113"/>
  <c r="ER60" i="114" s="1"/>
  <c r="FS60" i="114" s="1"/>
  <c r="M172" i="113"/>
  <c r="Y172" i="113"/>
  <c r="BT172" i="113"/>
  <c r="BG219" i="113"/>
  <c r="CE219" i="113" s="1"/>
  <c r="AF47" i="114"/>
  <c r="AF66" i="114"/>
  <c r="BX214" i="113"/>
  <c r="CR48" i="114"/>
  <c r="DI41" i="114"/>
  <c r="DS41" i="114"/>
  <c r="CQ41" i="114"/>
  <c r="BA47" i="114"/>
  <c r="BA41" i="114"/>
  <c r="P48" i="114"/>
  <c r="CG43" i="114"/>
  <c r="EF43" i="114" s="1"/>
  <c r="GE43" i="114" s="1"/>
  <c r="FQ57" i="114"/>
  <c r="FR41" i="114"/>
  <c r="EP41" i="114"/>
  <c r="CZ41" i="114"/>
  <c r="N42" i="114"/>
  <c r="BG220" i="113"/>
  <c r="DA48" i="114"/>
  <c r="CZ47" i="114"/>
  <c r="CZ48" i="114" s="1"/>
  <c r="DT41" i="114"/>
  <c r="CF67" i="114"/>
  <c r="EE67" i="114" s="1"/>
  <c r="GD67" i="114" s="1"/>
  <c r="BT41" i="114"/>
  <c r="AR41" i="114"/>
  <c r="N41" i="114"/>
  <c r="N64" i="113"/>
  <c r="P251" i="113"/>
  <c r="O251" i="113"/>
  <c r="N62" i="115"/>
  <c r="N210" i="115" s="1"/>
  <c r="P144" i="113"/>
  <c r="P205" i="113" s="1"/>
  <c r="G205" i="113"/>
  <c r="N149" i="113"/>
  <c r="N210" i="113" s="1"/>
  <c r="O210" i="113"/>
  <c r="O144" i="113"/>
  <c r="O205" i="113" s="1"/>
  <c r="F205" i="113"/>
  <c r="F60" i="114" s="1"/>
  <c r="N145" i="113"/>
  <c r="N206" i="113" s="1"/>
  <c r="P31" i="113"/>
  <c r="P191" i="113"/>
  <c r="E60" i="113"/>
  <c r="E31" i="113"/>
  <c r="E231" i="113"/>
  <c r="O231" i="113"/>
  <c r="E252" i="113"/>
  <c r="O252" i="113"/>
  <c r="E192" i="113"/>
  <c r="E193" i="113" s="1"/>
  <c r="O192" i="113"/>
  <c r="N70" i="113"/>
  <c r="O232" i="113"/>
  <c r="N35" i="113"/>
  <c r="N230" i="113" s="1"/>
  <c r="O230" i="113"/>
  <c r="N50" i="113"/>
  <c r="N190" i="113" s="1"/>
  <c r="O190" i="113"/>
  <c r="N93" i="113"/>
  <c r="N259" i="113" s="1"/>
  <c r="N88" i="113"/>
  <c r="O254" i="113"/>
  <c r="N127" i="113"/>
  <c r="O229" i="113"/>
  <c r="O196" i="113"/>
  <c r="E229" i="113"/>
  <c r="E196" i="113"/>
  <c r="E228" i="113"/>
  <c r="E195" i="113"/>
  <c r="N126" i="113"/>
  <c r="O228" i="113"/>
  <c r="O195" i="113"/>
  <c r="N78" i="113"/>
  <c r="N247" i="113" s="1"/>
  <c r="O247" i="113"/>
  <c r="N128" i="113"/>
  <c r="N240" i="113"/>
  <c r="E240" i="113"/>
  <c r="E197" i="113"/>
  <c r="O240" i="113"/>
  <c r="O197" i="113"/>
  <c r="N133" i="113"/>
  <c r="O31" i="113"/>
  <c r="AJ25" i="113"/>
  <c r="N27" i="113"/>
  <c r="O188" i="113"/>
  <c r="N28" i="113"/>
  <c r="N189" i="113" s="1"/>
  <c r="O189" i="113"/>
  <c r="F194" i="113"/>
  <c r="F214" i="113" s="1"/>
  <c r="N38" i="113"/>
  <c r="O233" i="113"/>
  <c r="AG46" i="114"/>
  <c r="F48" i="114"/>
  <c r="E46" i="114"/>
  <c r="N29" i="113"/>
  <c r="AJ29" i="113"/>
  <c r="BH29" i="113" s="1"/>
  <c r="CF29" i="113" s="1"/>
  <c r="E42" i="114"/>
  <c r="AF42" i="114" s="1"/>
  <c r="AG42" i="114"/>
  <c r="G172" i="113"/>
  <c r="C171" i="115"/>
  <c r="C55" i="116" s="1"/>
  <c r="D172" i="115"/>
  <c r="D56" i="116" s="1"/>
  <c r="M56" i="116" s="1"/>
  <c r="V56" i="116" s="1"/>
  <c r="BY20" i="115"/>
  <c r="N41" i="115"/>
  <c r="BY101" i="115"/>
  <c r="BY105" i="115"/>
  <c r="FH48" i="116"/>
  <c r="BV154" i="115"/>
  <c r="AX77" i="115"/>
  <c r="BA82" i="115"/>
  <c r="BW77" i="115"/>
  <c r="BW71" i="115" s="1"/>
  <c r="BV71" i="115" s="1"/>
  <c r="DT44" i="116"/>
  <c r="FH44" i="116"/>
  <c r="W32" i="116"/>
  <c r="BA32" i="116"/>
  <c r="N33" i="116"/>
  <c r="W33" i="116"/>
  <c r="BA33" i="116"/>
  <c r="BJ33" i="116"/>
  <c r="W34" i="116"/>
  <c r="BA34" i="116"/>
  <c r="N35" i="116"/>
  <c r="W35" i="116"/>
  <c r="BJ35" i="116"/>
  <c r="BA40" i="116"/>
  <c r="BJ47" i="116"/>
  <c r="BA51" i="116"/>
  <c r="BA53" i="116"/>
  <c r="BB154" i="115"/>
  <c r="BC154" i="115"/>
  <c r="BZ154" i="115"/>
  <c r="L55" i="116"/>
  <c r="E156" i="115"/>
  <c r="E190" i="115"/>
  <c r="P31" i="115"/>
  <c r="G209" i="115"/>
  <c r="P34" i="115"/>
  <c r="G214" i="115"/>
  <c r="H190" i="115"/>
  <c r="H156" i="115"/>
  <c r="K156" i="115"/>
  <c r="K190" i="115"/>
  <c r="N26" i="115"/>
  <c r="O156" i="115"/>
  <c r="O190" i="115"/>
  <c r="N28" i="115"/>
  <c r="O192" i="115"/>
  <c r="P190" i="115"/>
  <c r="P156" i="115"/>
  <c r="W156" i="115"/>
  <c r="W190" i="115"/>
  <c r="T157" i="115"/>
  <c r="T191" i="115"/>
  <c r="Z157" i="115"/>
  <c r="Z191" i="115"/>
  <c r="T34" i="115"/>
  <c r="T215" i="115"/>
  <c r="Z34" i="115"/>
  <c r="Z215" i="115"/>
  <c r="AE156" i="115"/>
  <c r="AE190" i="115"/>
  <c r="AE191" i="115"/>
  <c r="AE157" i="115"/>
  <c r="AR190" i="115"/>
  <c r="AR156" i="115"/>
  <c r="AX190" i="115"/>
  <c r="AX156" i="115"/>
  <c r="BC190" i="115"/>
  <c r="BC156" i="115"/>
  <c r="AU191" i="115"/>
  <c r="AU157" i="115"/>
  <c r="BB191" i="115"/>
  <c r="BB157" i="115"/>
  <c r="AY25" i="115"/>
  <c r="AY209" i="115"/>
  <c r="AY219" i="115" s="1"/>
  <c r="BS190" i="115"/>
  <c r="BS156" i="115"/>
  <c r="BZ190" i="115"/>
  <c r="BZ156" i="115"/>
  <c r="BP191" i="115"/>
  <c r="BP157" i="115"/>
  <c r="BV191" i="115"/>
  <c r="BV157" i="115"/>
  <c r="CA191" i="115"/>
  <c r="CA157" i="115"/>
  <c r="BQ25" i="115"/>
  <c r="BQ209" i="115"/>
  <c r="BQ219" i="115" s="1"/>
  <c r="BT25" i="115"/>
  <c r="BT209" i="115"/>
  <c r="BV31" i="115"/>
  <c r="BV211" i="115"/>
  <c r="BS34" i="115"/>
  <c r="BS215" i="115"/>
  <c r="BY35" i="115"/>
  <c r="BZ215" i="115"/>
  <c r="AK57" i="115"/>
  <c r="BI57" i="115" s="1"/>
  <c r="CG57" i="115" s="1"/>
  <c r="P201" i="115"/>
  <c r="AK201" i="115" s="1"/>
  <c r="BI201" i="115" s="1"/>
  <c r="CG201" i="115" s="1"/>
  <c r="P205" i="115"/>
  <c r="P158" i="115"/>
  <c r="W205" i="115"/>
  <c r="W158" i="115"/>
  <c r="AD205" i="115"/>
  <c r="AD158" i="115"/>
  <c r="AU205" i="115"/>
  <c r="AU158" i="115"/>
  <c r="BB205" i="115"/>
  <c r="BB158" i="115"/>
  <c r="BS205" i="115"/>
  <c r="BS158" i="115"/>
  <c r="BZ205" i="115"/>
  <c r="BZ158" i="115"/>
  <c r="H205" i="115"/>
  <c r="H158" i="115"/>
  <c r="N113" i="115"/>
  <c r="N166" i="115" s="1"/>
  <c r="O166" i="115"/>
  <c r="N117" i="115"/>
  <c r="N170" i="115" s="1"/>
  <c r="O170" i="115"/>
  <c r="N119" i="115"/>
  <c r="N172" i="115" s="1"/>
  <c r="O172" i="115"/>
  <c r="T107" i="115"/>
  <c r="T160" i="115" s="1"/>
  <c r="U160" i="115"/>
  <c r="AS44" i="116" s="1"/>
  <c r="AE107" i="115"/>
  <c r="AE160" i="115" s="1"/>
  <c r="AB160" i="115"/>
  <c r="BL44" i="116" s="1"/>
  <c r="BJ44" i="116" s="1"/>
  <c r="AE111" i="115"/>
  <c r="AE164" i="115" s="1"/>
  <c r="V164" i="115"/>
  <c r="AT48" i="116" s="1"/>
  <c r="BU48" i="116" s="1"/>
  <c r="BB111" i="115"/>
  <c r="BB164" i="115" s="1"/>
  <c r="AS164" i="115"/>
  <c r="CR48" i="116" s="1"/>
  <c r="BA114" i="115"/>
  <c r="BA167" i="115" s="1"/>
  <c r="BB167" i="115"/>
  <c r="BA118" i="115"/>
  <c r="BA171" i="115" s="1"/>
  <c r="BB171" i="115"/>
  <c r="BZ107" i="115"/>
  <c r="BZ160" i="115" s="1"/>
  <c r="BQ160" i="115"/>
  <c r="EQ44" i="116" s="1"/>
  <c r="CA111" i="115"/>
  <c r="CA164" i="115" s="1"/>
  <c r="BR164" i="115"/>
  <c r="ER48" i="116" s="1"/>
  <c r="FS48" i="116" s="1"/>
  <c r="AG31" i="116"/>
  <c r="E31" i="116"/>
  <c r="W31" i="116"/>
  <c r="BU31" i="116"/>
  <c r="BA31" i="116"/>
  <c r="CG32" i="116"/>
  <c r="EF32" i="116" s="1"/>
  <c r="AR32" i="116"/>
  <c r="BT32" i="116"/>
  <c r="E33" i="116"/>
  <c r="AG33" i="116"/>
  <c r="BT34" i="116"/>
  <c r="AR34" i="116"/>
  <c r="AG35" i="116"/>
  <c r="E35" i="116"/>
  <c r="BT36" i="116"/>
  <c r="AR36" i="116"/>
  <c r="AG37" i="116"/>
  <c r="E37" i="116"/>
  <c r="F38" i="116"/>
  <c r="X38" i="116"/>
  <c r="W37" i="116"/>
  <c r="AT38" i="116"/>
  <c r="BU37" i="116"/>
  <c r="BB38" i="116"/>
  <c r="BA37" i="116"/>
  <c r="DS31" i="116"/>
  <c r="CQ31" i="116"/>
  <c r="DI31" i="116"/>
  <c r="DS32" i="116"/>
  <c r="CQ32" i="116"/>
  <c r="CQ33" i="116"/>
  <c r="DS33" i="116"/>
  <c r="DS34" i="116"/>
  <c r="CQ34" i="116"/>
  <c r="CQ35" i="116"/>
  <c r="DS35" i="116"/>
  <c r="DS36" i="116"/>
  <c r="CQ36" i="116"/>
  <c r="CQ37" i="116"/>
  <c r="DS37" i="116"/>
  <c r="CR38" i="116"/>
  <c r="DI37" i="116"/>
  <c r="DI38" i="116" s="1"/>
  <c r="DJ38" i="116"/>
  <c r="FS31" i="116"/>
  <c r="EY31" i="116"/>
  <c r="FS37" i="116"/>
  <c r="ER38" i="116"/>
  <c r="EY37" i="116"/>
  <c r="EZ38" i="116"/>
  <c r="AA45" i="115"/>
  <c r="AA36" i="115" s="1"/>
  <c r="Z36" i="115" s="1"/>
  <c r="W66" i="115"/>
  <c r="BX77" i="115"/>
  <c r="BX71" i="115" s="1"/>
  <c r="I77" i="115"/>
  <c r="I71" i="115" s="1"/>
  <c r="O71" i="115" s="1"/>
  <c r="J77" i="115"/>
  <c r="H88" i="115"/>
  <c r="K86" i="115"/>
  <c r="N99" i="115"/>
  <c r="W102" i="115"/>
  <c r="AZ97" i="115"/>
  <c r="AZ90" i="115" s="1"/>
  <c r="N44" i="116"/>
  <c r="W44" i="116"/>
  <c r="W48" i="116"/>
  <c r="BA44" i="116"/>
  <c r="Z107" i="115"/>
  <c r="Z160" i="115" s="1"/>
  <c r="T111" i="115"/>
  <c r="T164" i="115" s="1"/>
  <c r="CZ44" i="116"/>
  <c r="DI44" i="116"/>
  <c r="CZ48" i="116"/>
  <c r="DI48" i="116"/>
  <c r="EY44" i="116"/>
  <c r="BV107" i="115"/>
  <c r="BV160" i="115" s="1"/>
  <c r="BP111" i="115"/>
  <c r="BP164" i="115" s="1"/>
  <c r="N32" i="116"/>
  <c r="BJ32" i="116"/>
  <c r="N34" i="116"/>
  <c r="BJ34" i="116"/>
  <c r="BA35" i="116"/>
  <c r="N36" i="116"/>
  <c r="BJ36" i="116"/>
  <c r="BL38" i="116"/>
  <c r="DB38" i="116"/>
  <c r="BZ149" i="115"/>
  <c r="EY35" i="116"/>
  <c r="FS36" i="116"/>
  <c r="EY36" i="116"/>
  <c r="FJ38" i="116"/>
  <c r="S118" i="115"/>
  <c r="S171" i="115" s="1"/>
  <c r="AQ55" i="116" s="1"/>
  <c r="D171" i="115"/>
  <c r="D55" i="116" s="1"/>
  <c r="M55" i="116" s="1"/>
  <c r="V55" i="116" s="1"/>
  <c r="AE55" i="116" s="1"/>
  <c r="O46" i="119" s="1"/>
  <c r="E191" i="115"/>
  <c r="E157" i="115"/>
  <c r="O31" i="115"/>
  <c r="F209" i="115"/>
  <c r="H157" i="115"/>
  <c r="H191" i="115"/>
  <c r="H34" i="115"/>
  <c r="H215" i="115"/>
  <c r="K191" i="115"/>
  <c r="K157" i="115"/>
  <c r="K34" i="115"/>
  <c r="K215" i="115"/>
  <c r="O191" i="115"/>
  <c r="O157" i="115"/>
  <c r="N32" i="115"/>
  <c r="O211" i="115"/>
  <c r="P157" i="115"/>
  <c r="P191" i="115"/>
  <c r="T190" i="115"/>
  <c r="T156" i="115"/>
  <c r="Z190" i="115"/>
  <c r="Z156" i="115"/>
  <c r="W191" i="115"/>
  <c r="W157" i="115"/>
  <c r="AE31" i="115"/>
  <c r="AE25" i="115" s="1"/>
  <c r="V209" i="115"/>
  <c r="Y25" i="115"/>
  <c r="Y209" i="115"/>
  <c r="AE34" i="115"/>
  <c r="AK34" i="115" s="1"/>
  <c r="V214" i="115"/>
  <c r="W34" i="115"/>
  <c r="W215" i="115"/>
  <c r="AD190" i="115"/>
  <c r="AJ190" i="115" s="1"/>
  <c r="AD156" i="115"/>
  <c r="AD157" i="115"/>
  <c r="AD191" i="115"/>
  <c r="AC32" i="115"/>
  <c r="AD211" i="115"/>
  <c r="AU190" i="115"/>
  <c r="AU156" i="115"/>
  <c r="BA26" i="115"/>
  <c r="BB190" i="115"/>
  <c r="BB156" i="115"/>
  <c r="AR191" i="115"/>
  <c r="AR157" i="115"/>
  <c r="AX191" i="115"/>
  <c r="AX157" i="115"/>
  <c r="BC191" i="115"/>
  <c r="BC157" i="115"/>
  <c r="BA28" i="115"/>
  <c r="BB192" i="115"/>
  <c r="BA30" i="115"/>
  <c r="BA208" i="115" s="1"/>
  <c r="BB208" i="115"/>
  <c r="BB31" i="115"/>
  <c r="AS209" i="115"/>
  <c r="BC31" i="115"/>
  <c r="AW209" i="115"/>
  <c r="AW219" i="115" s="1"/>
  <c r="AZ25" i="115"/>
  <c r="AZ209" i="115"/>
  <c r="BA32" i="115"/>
  <c r="BB211" i="115"/>
  <c r="AU34" i="115"/>
  <c r="AU215" i="115"/>
  <c r="BP190" i="115"/>
  <c r="BP156" i="115"/>
  <c r="BV190" i="115"/>
  <c r="BV156" i="115"/>
  <c r="CA190" i="115"/>
  <c r="CA156" i="115"/>
  <c r="BS191" i="115"/>
  <c r="BS157" i="115"/>
  <c r="BZ191" i="115"/>
  <c r="BZ157" i="115"/>
  <c r="BV34" i="115"/>
  <c r="BV215" i="115"/>
  <c r="K61" i="115"/>
  <c r="K210" i="115"/>
  <c r="N54" i="115"/>
  <c r="N198" i="115" s="1"/>
  <c r="O198" i="115"/>
  <c r="N58" i="115"/>
  <c r="N202" i="115" s="1"/>
  <c r="O202" i="115"/>
  <c r="N60" i="115"/>
  <c r="O204" i="115"/>
  <c r="AK62" i="115"/>
  <c r="BI62" i="115" s="1"/>
  <c r="P210" i="115"/>
  <c r="AK210" i="115" s="1"/>
  <c r="BI210" i="115" s="1"/>
  <c r="CG210" i="115" s="1"/>
  <c r="AK64" i="115"/>
  <c r="BI64" i="115" s="1"/>
  <c r="P212" i="115"/>
  <c r="AK212" i="115" s="1"/>
  <c r="BI212" i="115" s="1"/>
  <c r="CG212" i="115" s="1"/>
  <c r="AC50" i="115"/>
  <c r="AC195" i="115" s="1"/>
  <c r="AD195" i="115"/>
  <c r="AJ195" i="115" s="1"/>
  <c r="BH195" i="115" s="1"/>
  <c r="CF195" i="115" s="1"/>
  <c r="AC52" i="115"/>
  <c r="AC196" i="115" s="1"/>
  <c r="AD196" i="115"/>
  <c r="AJ196" i="115" s="1"/>
  <c r="BH196" i="115" s="1"/>
  <c r="CF196" i="115" s="1"/>
  <c r="AC54" i="115"/>
  <c r="AC198" i="115" s="1"/>
  <c r="AD198" i="115"/>
  <c r="AC56" i="115"/>
  <c r="AC200" i="115" s="1"/>
  <c r="AD200" i="115"/>
  <c r="AJ200" i="115" s="1"/>
  <c r="BH200" i="115" s="1"/>
  <c r="CF200" i="115" s="1"/>
  <c r="AC58" i="115"/>
  <c r="AC202" i="115" s="1"/>
  <c r="AI202" i="115" s="1"/>
  <c r="AD202" i="115"/>
  <c r="AJ202" i="115" s="1"/>
  <c r="BH202" i="115" s="1"/>
  <c r="CF202" i="115" s="1"/>
  <c r="AC60" i="115"/>
  <c r="AD204" i="115"/>
  <c r="AJ204" i="115" s="1"/>
  <c r="BH204" i="115" s="1"/>
  <c r="CF204" i="115" s="1"/>
  <c r="AC68" i="115"/>
  <c r="AC216" i="115" s="1"/>
  <c r="AD216" i="115"/>
  <c r="AJ216" i="115" s="1"/>
  <c r="BH216" i="115" s="1"/>
  <c r="CF216" i="115" s="1"/>
  <c r="AC70" i="115"/>
  <c r="AD218" i="115"/>
  <c r="AJ218" i="115" s="1"/>
  <c r="BH218" i="115" s="1"/>
  <c r="CF218" i="115" s="1"/>
  <c r="O205" i="115"/>
  <c r="O158" i="115"/>
  <c r="AJ84" i="115"/>
  <c r="O207" i="115"/>
  <c r="AJ207" i="115" s="1"/>
  <c r="T205" i="115"/>
  <c r="T158" i="115"/>
  <c r="Z205" i="115"/>
  <c r="Z158" i="115"/>
  <c r="AE205" i="115"/>
  <c r="AK205" i="115" s="1"/>
  <c r="AE158" i="115"/>
  <c r="AR205" i="115"/>
  <c r="AR158" i="115"/>
  <c r="AX205" i="115"/>
  <c r="AX158" i="115"/>
  <c r="BC205" i="115"/>
  <c r="BC158" i="115"/>
  <c r="BA84" i="115"/>
  <c r="BA207" i="115" s="1"/>
  <c r="BB207" i="115"/>
  <c r="BP205" i="115"/>
  <c r="BP158" i="115"/>
  <c r="BV205" i="115"/>
  <c r="BV158" i="115"/>
  <c r="CA205" i="115"/>
  <c r="CA158" i="115"/>
  <c r="E205" i="115"/>
  <c r="E158" i="115"/>
  <c r="K205" i="115"/>
  <c r="K158" i="115"/>
  <c r="O107" i="115"/>
  <c r="O160" i="115" s="1"/>
  <c r="F160" i="115"/>
  <c r="F44" i="116" s="1"/>
  <c r="O111" i="115"/>
  <c r="O164" i="115" s="1"/>
  <c r="F164" i="115"/>
  <c r="F48" i="116" s="1"/>
  <c r="H111" i="115"/>
  <c r="H164" i="115" s="1"/>
  <c r="I164" i="115"/>
  <c r="O48" i="116" s="1"/>
  <c r="N48" i="116" s="1"/>
  <c r="BT48" i="116"/>
  <c r="AC112" i="115"/>
  <c r="AC165" i="115" s="1"/>
  <c r="AD165" i="115"/>
  <c r="AC116" i="115"/>
  <c r="AC169" i="115" s="1"/>
  <c r="AD169" i="115"/>
  <c r="AC119" i="115"/>
  <c r="AC172" i="115" s="1"/>
  <c r="AD172" i="115"/>
  <c r="BB107" i="115"/>
  <c r="BB160" i="115" s="1"/>
  <c r="AS160" i="115"/>
  <c r="CR44" i="116" s="1"/>
  <c r="BC111" i="115"/>
  <c r="BC164" i="115" s="1"/>
  <c r="AT164" i="115"/>
  <c r="CS48" i="116" s="1"/>
  <c r="DT48" i="116" s="1"/>
  <c r="FR48" i="116"/>
  <c r="BY112" i="115"/>
  <c r="BY165" i="115" s="1"/>
  <c r="BZ165" i="115"/>
  <c r="BY116" i="115"/>
  <c r="BY169" i="115" s="1"/>
  <c r="BZ169" i="115"/>
  <c r="AH31" i="116"/>
  <c r="N31" i="116"/>
  <c r="AR31" i="116"/>
  <c r="BT31" i="116"/>
  <c r="BJ31" i="116"/>
  <c r="AG32" i="116"/>
  <c r="E32" i="116"/>
  <c r="BT33" i="116"/>
  <c r="AR33" i="116"/>
  <c r="E34" i="116"/>
  <c r="AG34" i="116"/>
  <c r="AR35" i="116"/>
  <c r="BT35" i="116"/>
  <c r="AG36" i="116"/>
  <c r="E36" i="116"/>
  <c r="G38" i="116"/>
  <c r="AH37" i="116"/>
  <c r="O38" i="116"/>
  <c r="N37" i="116"/>
  <c r="AS38" i="116"/>
  <c r="BT37" i="116"/>
  <c r="AR37" i="116"/>
  <c r="BK38" i="116"/>
  <c r="BJ37" i="116"/>
  <c r="BJ38" i="116" s="1"/>
  <c r="DT31" i="116"/>
  <c r="CZ31" i="116"/>
  <c r="DT37" i="116"/>
  <c r="CS38" i="116"/>
  <c r="CZ37" i="116"/>
  <c r="DA38" i="116"/>
  <c r="FR31" i="116"/>
  <c r="EP31" i="116"/>
  <c r="FH31" i="116"/>
  <c r="EP32" i="116"/>
  <c r="FR32" i="116"/>
  <c r="FR33" i="116"/>
  <c r="EP33" i="116"/>
  <c r="FR34" i="116"/>
  <c r="EP34" i="116"/>
  <c r="EP35" i="116"/>
  <c r="FR35" i="116"/>
  <c r="EP36" i="116"/>
  <c r="FR36" i="116"/>
  <c r="FR37" i="116"/>
  <c r="EP37" i="116"/>
  <c r="EQ38" i="116"/>
  <c r="FH37" i="116"/>
  <c r="FH38" i="116" s="1"/>
  <c r="FI38" i="116"/>
  <c r="BA19" i="115"/>
  <c r="BA20" i="115"/>
  <c r="BY19" i="115"/>
  <c r="BV24" i="115"/>
  <c r="W104" i="115"/>
  <c r="AC100" i="115"/>
  <c r="O149" i="115"/>
  <c r="P150" i="115"/>
  <c r="Y38" i="116"/>
  <c r="BC38" i="116"/>
  <c r="AK150" i="115"/>
  <c r="BB147" i="115"/>
  <c r="BB148" i="115"/>
  <c r="CZ33" i="116"/>
  <c r="CZ36" i="116"/>
  <c r="DK38" i="116"/>
  <c r="FH32" i="116"/>
  <c r="FA38" i="116"/>
  <c r="E40" i="116"/>
  <c r="AG40" i="116"/>
  <c r="AR41" i="116"/>
  <c r="BT41" i="116"/>
  <c r="AG42" i="116"/>
  <c r="E42" i="116"/>
  <c r="E45" i="116"/>
  <c r="AG45" i="116"/>
  <c r="BT46" i="116"/>
  <c r="AR46" i="116"/>
  <c r="BS46" i="116" s="1"/>
  <c r="AG47" i="116"/>
  <c r="E47" i="116"/>
  <c r="AG49" i="116"/>
  <c r="E49" i="116"/>
  <c r="AR50" i="116"/>
  <c r="BT50" i="116"/>
  <c r="AG51" i="116"/>
  <c r="E51" i="116"/>
  <c r="AR52" i="116"/>
  <c r="BT52" i="116"/>
  <c r="AG53" i="116"/>
  <c r="E53" i="116"/>
  <c r="AR54" i="116"/>
  <c r="BT54" i="116"/>
  <c r="AG55" i="116"/>
  <c r="E55" i="116"/>
  <c r="AR56" i="116"/>
  <c r="BT56" i="116"/>
  <c r="DS40" i="116"/>
  <c r="CQ40" i="116"/>
  <c r="CQ41" i="116"/>
  <c r="DS41" i="116"/>
  <c r="DS42" i="116"/>
  <c r="CQ42" i="116"/>
  <c r="DR42" i="116" s="1"/>
  <c r="CQ45" i="116"/>
  <c r="DR45" i="116" s="1"/>
  <c r="DS45" i="116"/>
  <c r="DS46" i="116"/>
  <c r="CQ46" i="116"/>
  <c r="DR46" i="116" s="1"/>
  <c r="DS47" i="116"/>
  <c r="CQ47" i="116"/>
  <c r="DR47" i="116" s="1"/>
  <c r="CQ49" i="116"/>
  <c r="DR49" i="116" s="1"/>
  <c r="DS49" i="116"/>
  <c r="CQ50" i="116"/>
  <c r="DS50" i="116"/>
  <c r="DS51" i="116"/>
  <c r="CQ51" i="116"/>
  <c r="DS52" i="116"/>
  <c r="CQ52" i="116"/>
  <c r="CQ53" i="116"/>
  <c r="DS53" i="116"/>
  <c r="DS54" i="116"/>
  <c r="CQ54" i="116"/>
  <c r="DR54" i="116" s="1"/>
  <c r="DS55" i="116"/>
  <c r="CQ55" i="116"/>
  <c r="DR55" i="116" s="1"/>
  <c r="CQ56" i="116"/>
  <c r="DS56" i="116"/>
  <c r="N41" i="116"/>
  <c r="N46" i="116"/>
  <c r="DI40" i="116"/>
  <c r="DI41" i="116"/>
  <c r="G219" i="115"/>
  <c r="M219" i="115"/>
  <c r="U219" i="115"/>
  <c r="Y219" i="115"/>
  <c r="AA219" i="115"/>
  <c r="AS219" i="115"/>
  <c r="BT40" i="116"/>
  <c r="AR40" i="116"/>
  <c r="E41" i="116"/>
  <c r="AG41" i="116"/>
  <c r="CG42" i="116"/>
  <c r="EF42" i="116" s="1"/>
  <c r="AR42" i="116"/>
  <c r="BS42" i="116" s="1"/>
  <c r="BT42" i="116"/>
  <c r="AR45" i="116"/>
  <c r="BT45" i="116"/>
  <c r="AG46" i="116"/>
  <c r="CF46" i="116" s="1"/>
  <c r="E46" i="116"/>
  <c r="CG47" i="116"/>
  <c r="BT47" i="116"/>
  <c r="AR47" i="116"/>
  <c r="AR49" i="116"/>
  <c r="BT49" i="116"/>
  <c r="AG50" i="116"/>
  <c r="E50" i="116"/>
  <c r="BT51" i="116"/>
  <c r="AR51" i="116"/>
  <c r="E52" i="116"/>
  <c r="AG52" i="116"/>
  <c r="BT53" i="116"/>
  <c r="AR53" i="116"/>
  <c r="AG54" i="116"/>
  <c r="E54" i="116"/>
  <c r="CG55" i="116"/>
  <c r="EF55" i="116" s="1"/>
  <c r="GE55" i="116" s="1"/>
  <c r="BT55" i="116"/>
  <c r="AR55" i="116"/>
  <c r="AG56" i="116"/>
  <c r="E56" i="116"/>
  <c r="AF56" i="116" s="1"/>
  <c r="FR40" i="116"/>
  <c r="EP40" i="116"/>
  <c r="EP41" i="116"/>
  <c r="FR41" i="116"/>
  <c r="FR42" i="116"/>
  <c r="EP42" i="116"/>
  <c r="FQ42" i="116" s="1"/>
  <c r="EP45" i="116"/>
  <c r="FQ45" i="116" s="1"/>
  <c r="FR45" i="116"/>
  <c r="FR46" i="116"/>
  <c r="EP46" i="116"/>
  <c r="FR47" i="116"/>
  <c r="EP47" i="116"/>
  <c r="FQ47" i="116" s="1"/>
  <c r="EP49" i="116"/>
  <c r="FQ49" i="116" s="1"/>
  <c r="FR49" i="116"/>
  <c r="FR50" i="116"/>
  <c r="EP50" i="116"/>
  <c r="FQ50" i="116" s="1"/>
  <c r="FR51" i="116"/>
  <c r="EP51" i="116"/>
  <c r="FQ51" i="116" s="1"/>
  <c r="EP52" i="116"/>
  <c r="FR52" i="116"/>
  <c r="EP53" i="116"/>
  <c r="FR53" i="116"/>
  <c r="EP54" i="116"/>
  <c r="FQ54" i="116" s="1"/>
  <c r="FR54" i="116"/>
  <c r="FR55" i="116"/>
  <c r="EP55" i="116"/>
  <c r="FR56" i="116"/>
  <c r="EP56" i="116"/>
  <c r="FQ56" i="116" s="1"/>
  <c r="N40" i="116"/>
  <c r="BJ40" i="116"/>
  <c r="BA41" i="116"/>
  <c r="N45" i="116"/>
  <c r="BJ45" i="116"/>
  <c r="N47" i="116"/>
  <c r="N49" i="116"/>
  <c r="BJ49" i="116"/>
  <c r="BA50" i="116"/>
  <c r="AH51" i="116"/>
  <c r="N51" i="116"/>
  <c r="BJ51" i="116"/>
  <c r="BA52" i="116"/>
  <c r="AH53" i="116"/>
  <c r="N53" i="116"/>
  <c r="BJ53" i="116"/>
  <c r="BA54" i="116"/>
  <c r="N55" i="116"/>
  <c r="BJ55" i="116"/>
  <c r="BA56" i="116"/>
  <c r="CZ51" i="116"/>
  <c r="CZ52" i="116"/>
  <c r="CZ56" i="116"/>
  <c r="FH40" i="116"/>
  <c r="FH41" i="116"/>
  <c r="FH46" i="116"/>
  <c r="FS52" i="116"/>
  <c r="FH52" i="116"/>
  <c r="FH53" i="116"/>
  <c r="FH55" i="116"/>
  <c r="J219" i="115"/>
  <c r="V219" i="115"/>
  <c r="X219" i="115"/>
  <c r="AB219" i="115"/>
  <c r="AT219" i="115"/>
  <c r="AZ219" i="115"/>
  <c r="BU219" i="115"/>
  <c r="BW219" i="115"/>
  <c r="BR219" i="115"/>
  <c r="BX219" i="115"/>
  <c r="DX66" i="116"/>
  <c r="DX68" i="116"/>
  <c r="EA68" i="116"/>
  <c r="GB72" i="114"/>
  <c r="EE45" i="114"/>
  <c r="GD43" i="114"/>
  <c r="GD68" i="114"/>
  <c r="EE56" i="114"/>
  <c r="GD50" i="114"/>
  <c r="GD58" i="114"/>
  <c r="EE61" i="114"/>
  <c r="EF45" i="114"/>
  <c r="EF47" i="116"/>
  <c r="GE41" i="116"/>
  <c r="GE50" i="116"/>
  <c r="AI217" i="113"/>
  <c r="AL217" i="113" s="1"/>
  <c r="CB217" i="113"/>
  <c r="H31" i="113"/>
  <c r="K31" i="113"/>
  <c r="N33" i="113"/>
  <c r="N34" i="113"/>
  <c r="N42" i="113"/>
  <c r="P41" i="113"/>
  <c r="AK41" i="113" s="1"/>
  <c r="BI41" i="113" s="1"/>
  <c r="CG41" i="113" s="1"/>
  <c r="AC25" i="113"/>
  <c r="AK25" i="113"/>
  <c r="BI25" i="113" s="1"/>
  <c r="AK26" i="113"/>
  <c r="AK27" i="113"/>
  <c r="BI27" i="113" s="1"/>
  <c r="AK28" i="113"/>
  <c r="AC29" i="113"/>
  <c r="AK29" i="113"/>
  <c r="AD32" i="113"/>
  <c r="AJ33" i="113"/>
  <c r="AJ34" i="113"/>
  <c r="BH34" i="113" s="1"/>
  <c r="CF34" i="113" s="1"/>
  <c r="AJ35" i="113"/>
  <c r="AJ230" i="113" s="1"/>
  <c r="AJ36" i="113"/>
  <c r="BH36" i="113" s="1"/>
  <c r="CF36" i="113" s="1"/>
  <c r="AJ37" i="113"/>
  <c r="AJ38" i="113"/>
  <c r="BH38" i="113" s="1"/>
  <c r="CF38" i="113" s="1"/>
  <c r="AJ39" i="113"/>
  <c r="BH39" i="113" s="1"/>
  <c r="AJ40" i="113"/>
  <c r="W41" i="113"/>
  <c r="Z41" i="113"/>
  <c r="AC42" i="113"/>
  <c r="AK42" i="113"/>
  <c r="BI42" i="113" s="1"/>
  <c r="CG42" i="113" s="1"/>
  <c r="AK43" i="113"/>
  <c r="AK44" i="113"/>
  <c r="BI44" i="113" s="1"/>
  <c r="AJ46" i="113"/>
  <c r="AJ47" i="113"/>
  <c r="BC94" i="113"/>
  <c r="AX125" i="113"/>
  <c r="AJ26" i="113"/>
  <c r="BH26" i="113" s="1"/>
  <c r="CF26" i="113" s="1"/>
  <c r="AJ27" i="113"/>
  <c r="BH27" i="113" s="1"/>
  <c r="CF27" i="113" s="1"/>
  <c r="AJ28" i="113"/>
  <c r="BH28" i="113" s="1"/>
  <c r="CF28" i="113" s="1"/>
  <c r="W32" i="113"/>
  <c r="Z32" i="113"/>
  <c r="AK33" i="113"/>
  <c r="BI33" i="113" s="1"/>
  <c r="CG33" i="113" s="1"/>
  <c r="AI34" i="113"/>
  <c r="BG34" i="113" s="1"/>
  <c r="AK34" i="113"/>
  <c r="AI38" i="113"/>
  <c r="AI39" i="113"/>
  <c r="BG39" i="113" s="1"/>
  <c r="AK39" i="113"/>
  <c r="AK40" i="113"/>
  <c r="AJ43" i="113"/>
  <c r="AJ44" i="113"/>
  <c r="BH44" i="113" s="1"/>
  <c r="CF44" i="113" s="1"/>
  <c r="AK46" i="113"/>
  <c r="AK47" i="113"/>
  <c r="BY25" i="113"/>
  <c r="BY27" i="113"/>
  <c r="BY29" i="113"/>
  <c r="BP31" i="113"/>
  <c r="BV31" i="113"/>
  <c r="CA31" i="113"/>
  <c r="BP41" i="113"/>
  <c r="BS41" i="113"/>
  <c r="BV45" i="113"/>
  <c r="BZ45" i="113"/>
  <c r="H57" i="113"/>
  <c r="O56" i="113"/>
  <c r="AK50" i="113"/>
  <c r="AK190" i="113" s="1"/>
  <c r="AK52" i="113"/>
  <c r="BI52" i="113" s="1"/>
  <c r="CG52" i="113" s="1"/>
  <c r="CJ52" i="113" s="1"/>
  <c r="AK54" i="113"/>
  <c r="AD56" i="113"/>
  <c r="Z57" i="113"/>
  <c r="AK58" i="113"/>
  <c r="W60" i="113"/>
  <c r="AC59" i="113"/>
  <c r="AI59" i="113" s="1"/>
  <c r="AK61" i="113"/>
  <c r="BI61" i="113" s="1"/>
  <c r="CG61" i="113" s="1"/>
  <c r="CJ61" i="113" s="1"/>
  <c r="AC62" i="113"/>
  <c r="AI62" i="113" s="1"/>
  <c r="AK63" i="113"/>
  <c r="BI63" i="113" s="1"/>
  <c r="CG63" i="113" s="1"/>
  <c r="CJ63" i="113" s="1"/>
  <c r="AC64" i="113"/>
  <c r="AK65" i="113"/>
  <c r="AK67" i="113"/>
  <c r="AK69" i="113"/>
  <c r="AK71" i="113"/>
  <c r="AK73" i="113"/>
  <c r="AK236" i="113" s="1"/>
  <c r="AK75" i="113"/>
  <c r="AK237" i="113" s="1"/>
  <c r="AK77" i="113"/>
  <c r="AK246" i="113" s="1"/>
  <c r="AK79" i="113"/>
  <c r="AK248" i="113" s="1"/>
  <c r="AK81" i="113"/>
  <c r="AK234" i="113" s="1"/>
  <c r="AK83" i="113"/>
  <c r="Z84" i="113"/>
  <c r="AK85" i="113"/>
  <c r="BI85" i="113" s="1"/>
  <c r="CG85" i="113" s="1"/>
  <c r="CJ85" i="113" s="1"/>
  <c r="AC86" i="113"/>
  <c r="AI86" i="113" s="1"/>
  <c r="AK87" i="113"/>
  <c r="AC88" i="113"/>
  <c r="AI88" i="113" s="1"/>
  <c r="AK91" i="113"/>
  <c r="BI91" i="113" s="1"/>
  <c r="CG91" i="113" s="1"/>
  <c r="CJ91" i="113" s="1"/>
  <c r="AK93" i="113"/>
  <c r="BA54" i="113"/>
  <c r="BC56" i="113"/>
  <c r="AR57" i="113"/>
  <c r="BA58" i="113"/>
  <c r="AR60" i="113"/>
  <c r="AX60" i="113"/>
  <c r="BC60" i="113"/>
  <c r="BA61" i="113"/>
  <c r="BA63" i="113"/>
  <c r="BA65" i="113"/>
  <c r="AR84" i="113"/>
  <c r="AZ66" i="113"/>
  <c r="AX48" i="113" s="1"/>
  <c r="BA85" i="113"/>
  <c r="BA87" i="113"/>
  <c r="BV57" i="113"/>
  <c r="BS60" i="113"/>
  <c r="BZ60" i="113"/>
  <c r="BV84" i="113"/>
  <c r="N112" i="113"/>
  <c r="O114" i="113"/>
  <c r="N114" i="113" s="1"/>
  <c r="H100" i="113"/>
  <c r="M101" i="113"/>
  <c r="M94" i="113" s="1"/>
  <c r="K114" i="113"/>
  <c r="K101" i="113" s="1"/>
  <c r="N107" i="113"/>
  <c r="N241" i="113" s="1"/>
  <c r="N108" i="113"/>
  <c r="N242" i="113" s="1"/>
  <c r="AK95" i="113"/>
  <c r="AC96" i="113"/>
  <c r="AK97" i="113"/>
  <c r="BI97" i="113" s="1"/>
  <c r="CG97" i="113" s="1"/>
  <c r="AC98" i="113"/>
  <c r="T100" i="113"/>
  <c r="Z100" i="113"/>
  <c r="AE100" i="113"/>
  <c r="V101" i="113"/>
  <c r="V94" i="113" s="1"/>
  <c r="AE94" i="113" s="1"/>
  <c r="AK94" i="113" s="1"/>
  <c r="AK103" i="113"/>
  <c r="AK105" i="113"/>
  <c r="AK107" i="113"/>
  <c r="AK241" i="113" s="1"/>
  <c r="AK109" i="113"/>
  <c r="AK243" i="113" s="1"/>
  <c r="AK111" i="113"/>
  <c r="AD112" i="113"/>
  <c r="AC112" i="113" s="1"/>
  <c r="AI112" i="113" s="1"/>
  <c r="AC113" i="113"/>
  <c r="AI113" i="113" s="1"/>
  <c r="AE114" i="113"/>
  <c r="AK114" i="113" s="1"/>
  <c r="AK115" i="113"/>
  <c r="BI115" i="113" s="1"/>
  <c r="AK117" i="113"/>
  <c r="BA102" i="113"/>
  <c r="BA104" i="113"/>
  <c r="BA106" i="113"/>
  <c r="BA108" i="113"/>
  <c r="BA242" i="113" s="1"/>
  <c r="BA110" i="113"/>
  <c r="AU101" i="113"/>
  <c r="BB114" i="113"/>
  <c r="BC114" i="113"/>
  <c r="BA115" i="113"/>
  <c r="BA117" i="113"/>
  <c r="BR101" i="113"/>
  <c r="BR94" i="113" s="1"/>
  <c r="CA94" i="113" s="1"/>
  <c r="BZ112" i="113"/>
  <c r="BS101" i="113"/>
  <c r="BY113" i="113"/>
  <c r="CA114" i="113"/>
  <c r="BY117" i="113"/>
  <c r="P118" i="113"/>
  <c r="P125" i="113"/>
  <c r="P132" i="113"/>
  <c r="P134" i="113"/>
  <c r="O138" i="113"/>
  <c r="H134" i="113"/>
  <c r="K134" i="113"/>
  <c r="N129" i="113"/>
  <c r="N135" i="113"/>
  <c r="N256" i="113" s="1"/>
  <c r="N141" i="113"/>
  <c r="N202" i="113" s="1"/>
  <c r="N142" i="113"/>
  <c r="N203" i="113" s="1"/>
  <c r="N147" i="113"/>
  <c r="N208" i="113" s="1"/>
  <c r="N148" i="113"/>
  <c r="N209" i="113" s="1"/>
  <c r="W124" i="113"/>
  <c r="V125" i="113"/>
  <c r="V118" i="113" s="1"/>
  <c r="Z132" i="113"/>
  <c r="Z138" i="113"/>
  <c r="Z199" i="113" s="1"/>
  <c r="AY118" i="113"/>
  <c r="AX118" i="113" s="1"/>
  <c r="AS125" i="113"/>
  <c r="AR125" i="113" s="1"/>
  <c r="BA126" i="113"/>
  <c r="BA128" i="113"/>
  <c r="BA130" i="113"/>
  <c r="AX134" i="113"/>
  <c r="BA136" i="113"/>
  <c r="AX144" i="113"/>
  <c r="AX205" i="113" s="1"/>
  <c r="BA146" i="113"/>
  <c r="BA207" i="113" s="1"/>
  <c r="BA148" i="113"/>
  <c r="BA209" i="113" s="1"/>
  <c r="BA150" i="113"/>
  <c r="BA211" i="113" s="1"/>
  <c r="BA152" i="113"/>
  <c r="BA213" i="113" s="1"/>
  <c r="BR118" i="113"/>
  <c r="BY120" i="113"/>
  <c r="BY122" i="113"/>
  <c r="BQ125" i="113"/>
  <c r="BZ125" i="113" s="1"/>
  <c r="BY125" i="113" s="1"/>
  <c r="BW125" i="113"/>
  <c r="BY127" i="113"/>
  <c r="BY129" i="113"/>
  <c r="BY131" i="113"/>
  <c r="CA132" i="113"/>
  <c r="BY135" i="113"/>
  <c r="BY137" i="113"/>
  <c r="CA138" i="113"/>
  <c r="CA199" i="113" s="1"/>
  <c r="BY140" i="113"/>
  <c r="BY201" i="113" s="1"/>
  <c r="BY142" i="113"/>
  <c r="BY203" i="113" s="1"/>
  <c r="AI158" i="113"/>
  <c r="AL158" i="113" s="1"/>
  <c r="BD159" i="113"/>
  <c r="BR32" i="113"/>
  <c r="BU32" i="113"/>
  <c r="P48" i="113"/>
  <c r="P57" i="113"/>
  <c r="N57" i="113" s="1"/>
  <c r="P66" i="113"/>
  <c r="N55" i="113"/>
  <c r="P56" i="113"/>
  <c r="P60" i="113"/>
  <c r="N65" i="113"/>
  <c r="N68" i="113"/>
  <c r="N69" i="113"/>
  <c r="N76" i="113"/>
  <c r="N245" i="113" s="1"/>
  <c r="N77" i="113"/>
  <c r="N246" i="113" s="1"/>
  <c r="N85" i="113"/>
  <c r="N92" i="113"/>
  <c r="AK49" i="113"/>
  <c r="BI49" i="113" s="1"/>
  <c r="CG49" i="113" s="1"/>
  <c r="CJ49" i="113" s="1"/>
  <c r="AK51" i="113"/>
  <c r="AK53" i="113"/>
  <c r="BI53" i="113" s="1"/>
  <c r="CG53" i="113" s="1"/>
  <c r="CJ53" i="113" s="1"/>
  <c r="AK62" i="113"/>
  <c r="AK64" i="113"/>
  <c r="BI64" i="113" s="1"/>
  <c r="CG64" i="113" s="1"/>
  <c r="AK68" i="113"/>
  <c r="BI68" i="113" s="1"/>
  <c r="CG68" i="113" s="1"/>
  <c r="CJ68" i="113" s="1"/>
  <c r="AK70" i="113"/>
  <c r="BI70" i="113" s="1"/>
  <c r="CG70" i="113" s="1"/>
  <c r="CJ70" i="113" s="1"/>
  <c r="AK72" i="113"/>
  <c r="AK238" i="113" s="1"/>
  <c r="AK74" i="113"/>
  <c r="AK76" i="113"/>
  <c r="AK245" i="113" s="1"/>
  <c r="AK78" i="113"/>
  <c r="AK247" i="113" s="1"/>
  <c r="AK80" i="113"/>
  <c r="AK249" i="113" s="1"/>
  <c r="AI81" i="113"/>
  <c r="AI234" i="113" s="1"/>
  <c r="AK82" i="113"/>
  <c r="AK86" i="113"/>
  <c r="AK88" i="113"/>
  <c r="BI88" i="113" s="1"/>
  <c r="CG88" i="113" s="1"/>
  <c r="CJ88" i="113" s="1"/>
  <c r="AK90" i="113"/>
  <c r="BI90" i="113" s="1"/>
  <c r="CG90" i="113" s="1"/>
  <c r="CJ90" i="113" s="1"/>
  <c r="AK92" i="113"/>
  <c r="P101" i="113"/>
  <c r="Z101" i="113"/>
  <c r="AK102" i="113"/>
  <c r="AK104" i="113"/>
  <c r="AK106" i="113"/>
  <c r="AK108" i="113"/>
  <c r="AK242" i="113" s="1"/>
  <c r="AK110" i="113"/>
  <c r="BI110" i="113" s="1"/>
  <c r="CG110" i="113" s="1"/>
  <c r="AK113" i="113"/>
  <c r="AD114" i="113"/>
  <c r="AI115" i="113"/>
  <c r="BG115" i="113" s="1"/>
  <c r="AK116" i="113"/>
  <c r="BI116" i="113" s="1"/>
  <c r="CG116" i="113" s="1"/>
  <c r="BB94" i="113"/>
  <c r="BV101" i="113"/>
  <c r="AB125" i="113"/>
  <c r="AB118" i="113" s="1"/>
  <c r="BH25" i="113"/>
  <c r="CF25" i="113" s="1"/>
  <c r="BI34" i="113"/>
  <c r="BI39" i="113"/>
  <c r="BI40" i="113"/>
  <c r="CG40" i="113" s="1"/>
  <c r="BH42" i="113"/>
  <c r="CF42" i="113" s="1"/>
  <c r="BH43" i="113"/>
  <c r="BI47" i="113"/>
  <c r="BI51" i="113"/>
  <c r="CG51" i="113" s="1"/>
  <c r="CJ51" i="113" s="1"/>
  <c r="BI62" i="113"/>
  <c r="BI72" i="113"/>
  <c r="BI238" i="113" s="1"/>
  <c r="BI74" i="113"/>
  <c r="CG74" i="113" s="1"/>
  <c r="CJ74" i="113" s="1"/>
  <c r="BI82" i="113"/>
  <c r="BI86" i="113"/>
  <c r="CG86" i="113" s="1"/>
  <c r="CJ86" i="113" s="1"/>
  <c r="BI92" i="113"/>
  <c r="AI33" i="113"/>
  <c r="N89" i="113"/>
  <c r="AK84" i="113"/>
  <c r="BI26" i="113"/>
  <c r="CG26" i="113" s="1"/>
  <c r="BI28" i="113"/>
  <c r="CG28" i="113" s="1"/>
  <c r="BI29" i="113"/>
  <c r="BH33" i="113"/>
  <c r="CF33" i="113" s="1"/>
  <c r="BH35" i="113"/>
  <c r="BH37" i="113"/>
  <c r="CF37" i="113" s="1"/>
  <c r="BH40" i="113"/>
  <c r="BI43" i="113"/>
  <c r="BH46" i="113"/>
  <c r="BH47" i="113"/>
  <c r="CF47" i="113" s="1"/>
  <c r="BI54" i="113"/>
  <c r="CG54" i="113" s="1"/>
  <c r="CJ54" i="113" s="1"/>
  <c r="BI58" i="113"/>
  <c r="CG58" i="113" s="1"/>
  <c r="CJ58" i="113" s="1"/>
  <c r="BI65" i="113"/>
  <c r="CG65" i="113" s="1"/>
  <c r="CJ65" i="113" s="1"/>
  <c r="BI67" i="113"/>
  <c r="CG67" i="113" s="1"/>
  <c r="CJ67" i="113" s="1"/>
  <c r="BI69" i="113"/>
  <c r="BI71" i="113"/>
  <c r="CG71" i="113" s="1"/>
  <c r="CJ71" i="113" s="1"/>
  <c r="BI73" i="113"/>
  <c r="BI236" i="113" s="1"/>
  <c r="BI75" i="113"/>
  <c r="BI77" i="113"/>
  <c r="BI246" i="113" s="1"/>
  <c r="BI79" i="113"/>
  <c r="BI81" i="113"/>
  <c r="BI234" i="113" s="1"/>
  <c r="BI83" i="113"/>
  <c r="BI87" i="113"/>
  <c r="CG87" i="113" s="1"/>
  <c r="CJ87" i="113" s="1"/>
  <c r="AK89" i="113"/>
  <c r="BY50" i="113"/>
  <c r="BY190" i="113" s="1"/>
  <c r="BY52" i="113"/>
  <c r="BY54" i="113"/>
  <c r="CA56" i="113"/>
  <c r="BY58" i="113"/>
  <c r="BY61" i="113"/>
  <c r="BY63" i="113"/>
  <c r="BY65" i="113"/>
  <c r="BY68" i="113"/>
  <c r="BY70" i="113"/>
  <c r="BY72" i="113"/>
  <c r="BY238" i="113" s="1"/>
  <c r="BY74" i="113"/>
  <c r="BY76" i="113"/>
  <c r="BY245" i="113" s="1"/>
  <c r="BY78" i="113"/>
  <c r="BY247" i="113" s="1"/>
  <c r="BY80" i="113"/>
  <c r="BY249" i="113" s="1"/>
  <c r="BY82" i="113"/>
  <c r="BY85" i="113"/>
  <c r="BY87" i="113"/>
  <c r="BY90" i="113"/>
  <c r="BY92" i="113"/>
  <c r="BY257" i="113" s="1"/>
  <c r="BI98" i="113"/>
  <c r="CG98" i="113" s="1"/>
  <c r="BI102" i="113"/>
  <c r="BI104" i="113"/>
  <c r="CG104" i="113" s="1"/>
  <c r="BI106" i="113"/>
  <c r="CG106" i="113" s="1"/>
  <c r="BI113" i="113"/>
  <c r="CG113" i="113" s="1"/>
  <c r="E32" i="113"/>
  <c r="H41" i="113"/>
  <c r="K45" i="113"/>
  <c r="N25" i="113"/>
  <c r="N26" i="113"/>
  <c r="N30" i="113"/>
  <c r="N36" i="113"/>
  <c r="AI36" i="113" s="1"/>
  <c r="N40" i="113"/>
  <c r="O41" i="113"/>
  <c r="N44" i="113"/>
  <c r="AI44" i="113" s="1"/>
  <c r="N47" i="113"/>
  <c r="AI47" i="113" s="1"/>
  <c r="T31" i="113"/>
  <c r="Z31" i="113"/>
  <c r="AD31" i="113"/>
  <c r="T32" i="113"/>
  <c r="T41" i="113"/>
  <c r="T45" i="113"/>
  <c r="AR31" i="113"/>
  <c r="AX31" i="113"/>
  <c r="BB31" i="113"/>
  <c r="AR32" i="113"/>
  <c r="AR41" i="113"/>
  <c r="AR45" i="113"/>
  <c r="BY26" i="113"/>
  <c r="BY28" i="113"/>
  <c r="BS31" i="113"/>
  <c r="BZ31" i="113"/>
  <c r="BW32" i="113"/>
  <c r="BY34" i="113"/>
  <c r="BY36" i="113"/>
  <c r="BY38" i="113"/>
  <c r="BY40" i="113"/>
  <c r="BZ41" i="113"/>
  <c r="BZ32" i="113" s="1"/>
  <c r="BY43" i="113"/>
  <c r="BS45" i="113"/>
  <c r="CA45" i="113"/>
  <c r="BY45" i="113" s="1"/>
  <c r="BY46" i="113"/>
  <c r="AJ30" i="113"/>
  <c r="E66" i="113"/>
  <c r="E84" i="113"/>
  <c r="K57" i="113"/>
  <c r="K89" i="113"/>
  <c r="N52" i="113"/>
  <c r="N63" i="113"/>
  <c r="N67" i="113"/>
  <c r="AI67" i="113" s="1"/>
  <c r="N71" i="113"/>
  <c r="N75" i="113"/>
  <c r="N79" i="113"/>
  <c r="N83" i="113"/>
  <c r="N87" i="113"/>
  <c r="N91" i="113"/>
  <c r="AC50" i="113"/>
  <c r="AC52" i="113"/>
  <c r="AI52" i="113" s="1"/>
  <c r="AC54" i="113"/>
  <c r="AE56" i="113"/>
  <c r="AD57" i="113"/>
  <c r="AC58" i="113"/>
  <c r="AC61" i="113"/>
  <c r="AI61" i="113" s="1"/>
  <c r="AC63" i="113"/>
  <c r="AC65" i="113"/>
  <c r="AI65" i="113" s="1"/>
  <c r="V66" i="113"/>
  <c r="AA66" i="113"/>
  <c r="AA48" i="113" s="1"/>
  <c r="AC68" i="113"/>
  <c r="AC70" i="113"/>
  <c r="AC72" i="113"/>
  <c r="AC74" i="113"/>
  <c r="AI74" i="113" s="1"/>
  <c r="AC76" i="113"/>
  <c r="AC245" i="113" s="1"/>
  <c r="AC78" i="113"/>
  <c r="AC80" i="113"/>
  <c r="AC82" i="113"/>
  <c r="AI82" i="113" s="1"/>
  <c r="AD84" i="113"/>
  <c r="AJ84" i="113" s="1"/>
  <c r="AC85" i="113"/>
  <c r="AC87" i="113"/>
  <c r="AD89" i="113"/>
  <c r="AJ89" i="113" s="1"/>
  <c r="AC90" i="113"/>
  <c r="AI90" i="113" s="1"/>
  <c r="AC92" i="113"/>
  <c r="BA49" i="113"/>
  <c r="BA51" i="113"/>
  <c r="BA53" i="113"/>
  <c r="BB56" i="113"/>
  <c r="BC57" i="113"/>
  <c r="BA59" i="113"/>
  <c r="BA62" i="113"/>
  <c r="BG62" i="113" s="1"/>
  <c r="BA64" i="113"/>
  <c r="AS66" i="113"/>
  <c r="BA67" i="113"/>
  <c r="BA69" i="113"/>
  <c r="BA71" i="113"/>
  <c r="BA73" i="113"/>
  <c r="BA75" i="113"/>
  <c r="BA237" i="113" s="1"/>
  <c r="BA77" i="113"/>
  <c r="BA79" i="113"/>
  <c r="BA248" i="113" s="1"/>
  <c r="BA81" i="113"/>
  <c r="BA83" i="113"/>
  <c r="BC84" i="113"/>
  <c r="BA86" i="113"/>
  <c r="BA88" i="113"/>
  <c r="BC89" i="113"/>
  <c r="BA91" i="113"/>
  <c r="BA258" i="113" s="1"/>
  <c r="BA93" i="113"/>
  <c r="BZ57" i="113"/>
  <c r="CG62" i="113"/>
  <c r="CJ62" i="113" s="1"/>
  <c r="BR66" i="113"/>
  <c r="BP66" i="113" s="1"/>
  <c r="BW66" i="113"/>
  <c r="CG69" i="113"/>
  <c r="CJ69" i="113" s="1"/>
  <c r="BZ84" i="113"/>
  <c r="BY84" i="113" s="1"/>
  <c r="BZ89" i="113"/>
  <c r="BY89" i="113" s="1"/>
  <c r="AK55" i="113"/>
  <c r="AK59" i="113"/>
  <c r="AJ68" i="113"/>
  <c r="AJ70" i="113"/>
  <c r="AJ232" i="113" s="1"/>
  <c r="AJ72" i="113"/>
  <c r="AJ238" i="113" s="1"/>
  <c r="AJ74" i="113"/>
  <c r="AJ76" i="113"/>
  <c r="AJ245" i="113" s="1"/>
  <c r="AJ78" i="113"/>
  <c r="AJ247" i="113" s="1"/>
  <c r="AJ80" i="113"/>
  <c r="AJ249" i="113" s="1"/>
  <c r="AJ82" i="113"/>
  <c r="AJ86" i="113"/>
  <c r="AJ88" i="113"/>
  <c r="AJ90" i="113"/>
  <c r="AJ92" i="113"/>
  <c r="BB60" i="113"/>
  <c r="AI103" i="113"/>
  <c r="AI111" i="113"/>
  <c r="AK112" i="113"/>
  <c r="AJ114" i="113"/>
  <c r="CG102" i="113"/>
  <c r="N134" i="113"/>
  <c r="J153" i="113"/>
  <c r="M153" i="113"/>
  <c r="Y153" i="113"/>
  <c r="AB153" i="113"/>
  <c r="BY49" i="113"/>
  <c r="BY51" i="113"/>
  <c r="BY53" i="113"/>
  <c r="BZ56" i="113"/>
  <c r="BY59" i="113"/>
  <c r="BY62" i="113"/>
  <c r="BY64" i="113"/>
  <c r="BY67" i="113"/>
  <c r="BY69" i="113"/>
  <c r="BY71" i="113"/>
  <c r="BY73" i="113"/>
  <c r="BY236" i="113" s="1"/>
  <c r="BY75" i="113"/>
  <c r="BY237" i="113" s="1"/>
  <c r="BY77" i="113"/>
  <c r="BY246" i="113" s="1"/>
  <c r="BY79" i="113"/>
  <c r="BY248" i="113" s="1"/>
  <c r="BY81" i="113"/>
  <c r="BY234" i="113" s="1"/>
  <c r="BY83" i="113"/>
  <c r="BY86" i="113"/>
  <c r="BY88" i="113"/>
  <c r="BY91" i="113"/>
  <c r="BY93" i="113"/>
  <c r="BY259" i="113" s="1"/>
  <c r="BI95" i="113"/>
  <c r="CG95" i="113" s="1"/>
  <c r="BI103" i="113"/>
  <c r="CG103" i="113" s="1"/>
  <c r="BI111" i="113"/>
  <c r="CG111" i="113" s="1"/>
  <c r="BI114" i="113"/>
  <c r="CG114" i="113" s="1"/>
  <c r="BI117" i="113"/>
  <c r="W31" i="113"/>
  <c r="AE31" i="113"/>
  <c r="AU31" i="113"/>
  <c r="BC31" i="113"/>
  <c r="AK30" i="113"/>
  <c r="E89" i="113"/>
  <c r="BC48" i="113"/>
  <c r="BB57" i="113"/>
  <c r="BC66" i="113"/>
  <c r="BB84" i="113"/>
  <c r="BB89" i="113"/>
  <c r="CG72" i="113"/>
  <c r="CG82" i="113"/>
  <c r="CJ82" i="113" s="1"/>
  <c r="CG92" i="113"/>
  <c r="AJ49" i="113"/>
  <c r="AJ50" i="113"/>
  <c r="AJ190" i="113" s="1"/>
  <c r="AJ51" i="113"/>
  <c r="AJ52" i="113"/>
  <c r="AJ53" i="113"/>
  <c r="AJ54" i="113"/>
  <c r="AJ55" i="113"/>
  <c r="AJ58" i="113"/>
  <c r="AJ59" i="113"/>
  <c r="AJ61" i="113"/>
  <c r="AJ62" i="113"/>
  <c r="AJ63" i="113"/>
  <c r="AJ64" i="113"/>
  <c r="AJ65" i="113"/>
  <c r="O60" i="113"/>
  <c r="AD60" i="113"/>
  <c r="AJ67" i="113"/>
  <c r="AJ69" i="113"/>
  <c r="AJ71" i="113"/>
  <c r="AJ73" i="113"/>
  <c r="AJ236" i="113" s="1"/>
  <c r="AJ75" i="113"/>
  <c r="AJ237" i="113" s="1"/>
  <c r="AJ77" i="113"/>
  <c r="AJ246" i="113" s="1"/>
  <c r="AJ79" i="113"/>
  <c r="AJ248" i="113" s="1"/>
  <c r="AJ81" i="113"/>
  <c r="AJ234" i="113" s="1"/>
  <c r="AJ83" i="113"/>
  <c r="AJ85" i="113"/>
  <c r="AJ87" i="113"/>
  <c r="AJ91" i="113"/>
  <c r="AJ93" i="113"/>
  <c r="CA60" i="113"/>
  <c r="AZ153" i="113"/>
  <c r="AC120" i="113"/>
  <c r="AJ120" i="113"/>
  <c r="AC122" i="113"/>
  <c r="AJ122" i="113"/>
  <c r="AE124" i="113"/>
  <c r="AK123" i="113"/>
  <c r="AC126" i="113"/>
  <c r="AJ126" i="113"/>
  <c r="AC128" i="113"/>
  <c r="AJ128" i="113"/>
  <c r="AC130" i="113"/>
  <c r="AJ130" i="113"/>
  <c r="AC133" i="113"/>
  <c r="AJ133" i="113"/>
  <c r="AC136" i="113"/>
  <c r="AI136" i="113" s="1"/>
  <c r="AJ136" i="113"/>
  <c r="AC139" i="113"/>
  <c r="AJ139" i="113"/>
  <c r="AJ200" i="113" s="1"/>
  <c r="AC141" i="113"/>
  <c r="AJ141" i="113"/>
  <c r="AJ202" i="113" s="1"/>
  <c r="AC143" i="113"/>
  <c r="AJ143" i="113"/>
  <c r="AJ204" i="113" s="1"/>
  <c r="AC146" i="113"/>
  <c r="AC207" i="113" s="1"/>
  <c r="AJ146" i="113"/>
  <c r="AJ207" i="113" s="1"/>
  <c r="AC148" i="113"/>
  <c r="AJ148" i="113"/>
  <c r="AJ209" i="113" s="1"/>
  <c r="AC150" i="113"/>
  <c r="AC211" i="113" s="1"/>
  <c r="AJ150" i="113"/>
  <c r="AJ211" i="113" s="1"/>
  <c r="AC152" i="113"/>
  <c r="AJ152" i="113"/>
  <c r="AJ213" i="113" s="1"/>
  <c r="H101" i="113"/>
  <c r="N96" i="113"/>
  <c r="N116" i="113"/>
  <c r="N257" i="113" s="1"/>
  <c r="AD94" i="113"/>
  <c r="AC94" i="113" s="1"/>
  <c r="AC95" i="113"/>
  <c r="AI95" i="113" s="1"/>
  <c r="AC97" i="113"/>
  <c r="W100" i="113"/>
  <c r="AD100" i="113"/>
  <c r="AE101" i="113"/>
  <c r="AD101" i="113"/>
  <c r="AC102" i="113"/>
  <c r="AC104" i="113"/>
  <c r="AC106" i="113"/>
  <c r="AC108" i="113"/>
  <c r="AC110" i="113"/>
  <c r="AC116" i="113"/>
  <c r="AX94" i="113"/>
  <c r="AR100" i="113"/>
  <c r="AX100" i="113"/>
  <c r="BB100" i="113"/>
  <c r="BB112" i="113"/>
  <c r="BC112" i="113"/>
  <c r="BZ94" i="113"/>
  <c r="BY95" i="113"/>
  <c r="BY97" i="113"/>
  <c r="BS100" i="113"/>
  <c r="BZ100" i="113"/>
  <c r="BZ101" i="113"/>
  <c r="BY102" i="113"/>
  <c r="BY104" i="113"/>
  <c r="BY106" i="113"/>
  <c r="BY108" i="113"/>
  <c r="BY242" i="113" s="1"/>
  <c r="BY110" i="113"/>
  <c r="AK99" i="113"/>
  <c r="AK100" i="113" s="1"/>
  <c r="E132" i="113"/>
  <c r="E134" i="113"/>
  <c r="E138" i="113"/>
  <c r="E199" i="113" s="1"/>
  <c r="E144" i="113"/>
  <c r="E205" i="113" s="1"/>
  <c r="I118" i="113"/>
  <c r="H124" i="113"/>
  <c r="K132" i="113"/>
  <c r="K138" i="113"/>
  <c r="K199" i="113" s="1"/>
  <c r="N119" i="113"/>
  <c r="N123" i="113"/>
  <c r="N146" i="113"/>
  <c r="N207" i="113" s="1"/>
  <c r="N150" i="113"/>
  <c r="N211" i="113" s="1"/>
  <c r="N151" i="113"/>
  <c r="N212" i="113" s="1"/>
  <c r="AA118" i="113"/>
  <c r="AK119" i="113"/>
  <c r="AK121" i="113"/>
  <c r="T124" i="113"/>
  <c r="Z124" i="113"/>
  <c r="U125" i="113"/>
  <c r="AK127" i="113"/>
  <c r="AK129" i="113"/>
  <c r="AK131" i="113"/>
  <c r="AD132" i="113"/>
  <c r="AE134" i="113"/>
  <c r="AK134" i="113" s="1"/>
  <c r="AK135" i="113"/>
  <c r="AK137" i="113"/>
  <c r="AD138" i="113"/>
  <c r="AC138" i="113" s="1"/>
  <c r="AK140" i="113"/>
  <c r="AK201" i="113" s="1"/>
  <c r="AK142" i="113"/>
  <c r="AK203" i="113" s="1"/>
  <c r="AE144" i="113"/>
  <c r="AK145" i="113"/>
  <c r="AK206" i="113" s="1"/>
  <c r="AK147" i="113"/>
  <c r="AK208" i="113" s="1"/>
  <c r="AK149" i="113"/>
  <c r="AK210" i="113" s="1"/>
  <c r="AK151" i="113"/>
  <c r="AK212" i="113" s="1"/>
  <c r="BA119" i="113"/>
  <c r="BA121" i="113"/>
  <c r="AU124" i="113"/>
  <c r="BB124" i="113"/>
  <c r="BC125" i="113"/>
  <c r="BA127" i="113"/>
  <c r="BA129" i="113"/>
  <c r="BA131" i="113"/>
  <c r="BC132" i="113"/>
  <c r="BB134" i="113"/>
  <c r="BA134" i="113" s="1"/>
  <c r="BA135" i="113"/>
  <c r="BA137" i="113"/>
  <c r="BC138" i="113"/>
  <c r="BC199" i="113" s="1"/>
  <c r="BA140" i="113"/>
  <c r="BA201" i="113" s="1"/>
  <c r="BA142" i="113"/>
  <c r="BA203" i="113" s="1"/>
  <c r="BB144" i="113"/>
  <c r="BA145" i="113"/>
  <c r="BA206" i="113" s="1"/>
  <c r="BA147" i="113"/>
  <c r="BA208" i="113" s="1"/>
  <c r="BA149" i="113"/>
  <c r="BA210" i="113" s="1"/>
  <c r="BA151" i="113"/>
  <c r="BA212" i="113" s="1"/>
  <c r="AC119" i="113"/>
  <c r="AJ119" i="113"/>
  <c r="AC121" i="113"/>
  <c r="AI121" i="113" s="1"/>
  <c r="AJ121" i="113"/>
  <c r="AD124" i="113"/>
  <c r="AJ123" i="113"/>
  <c r="AC127" i="113"/>
  <c r="AJ127" i="113"/>
  <c r="AC129" i="113"/>
  <c r="AJ129" i="113"/>
  <c r="AC131" i="113"/>
  <c r="AJ131" i="113"/>
  <c r="AC135" i="113"/>
  <c r="AJ135" i="113"/>
  <c r="AC137" i="113"/>
  <c r="AJ137" i="113"/>
  <c r="AC140" i="113"/>
  <c r="AJ140" i="113"/>
  <c r="AJ201" i="113" s="1"/>
  <c r="AC142" i="113"/>
  <c r="AJ142" i="113"/>
  <c r="AJ203" i="113" s="1"/>
  <c r="AC145" i="113"/>
  <c r="AJ145" i="113"/>
  <c r="AJ206" i="113" s="1"/>
  <c r="AC147" i="113"/>
  <c r="AJ147" i="113"/>
  <c r="AJ208" i="113" s="1"/>
  <c r="AC149" i="113"/>
  <c r="AJ149" i="113"/>
  <c r="AJ210" i="113" s="1"/>
  <c r="AC151" i="113"/>
  <c r="AJ151" i="113"/>
  <c r="AJ212" i="113" s="1"/>
  <c r="N102" i="113"/>
  <c r="N106" i="113"/>
  <c r="N110" i="113"/>
  <c r="AU100" i="113"/>
  <c r="BC100" i="113"/>
  <c r="BC101" i="113"/>
  <c r="CA100" i="113"/>
  <c r="BZ114" i="113"/>
  <c r="BY115" i="113"/>
  <c r="AJ95" i="113"/>
  <c r="AJ96" i="113"/>
  <c r="AJ97" i="113"/>
  <c r="AJ98" i="113"/>
  <c r="AJ99" i="113"/>
  <c r="AJ102" i="113"/>
  <c r="AJ103" i="113"/>
  <c r="AJ104" i="113"/>
  <c r="AJ105" i="113"/>
  <c r="AJ106" i="113"/>
  <c r="AJ107" i="113"/>
  <c r="AJ241" i="113" s="1"/>
  <c r="AJ108" i="113"/>
  <c r="AJ242" i="113" s="1"/>
  <c r="AJ109" i="113"/>
  <c r="AJ243" i="113" s="1"/>
  <c r="AJ110" i="113"/>
  <c r="AJ111" i="113"/>
  <c r="AJ113" i="113"/>
  <c r="AJ115" i="113"/>
  <c r="AJ116" i="113"/>
  <c r="AJ117" i="113"/>
  <c r="K124" i="113"/>
  <c r="K125" i="113"/>
  <c r="AK120" i="113"/>
  <c r="AK122" i="113"/>
  <c r="AE125" i="113"/>
  <c r="AK125" i="113" s="1"/>
  <c r="AK126" i="113"/>
  <c r="AK128" i="113"/>
  <c r="AK130" i="113"/>
  <c r="AK133" i="113"/>
  <c r="AD134" i="113"/>
  <c r="AK136" i="113"/>
  <c r="AK139" i="113"/>
  <c r="AK200" i="113" s="1"/>
  <c r="AK141" i="113"/>
  <c r="AK202" i="113" s="1"/>
  <c r="AK143" i="113"/>
  <c r="AK204" i="113" s="1"/>
  <c r="AD144" i="113"/>
  <c r="AD205" i="113" s="1"/>
  <c r="AK146" i="113"/>
  <c r="AK207" i="113" s="1"/>
  <c r="AK148" i="113"/>
  <c r="AK209" i="113" s="1"/>
  <c r="AK150" i="113"/>
  <c r="AK211" i="113" s="1"/>
  <c r="AK152" i="113"/>
  <c r="AK213" i="113" s="1"/>
  <c r="AW153" i="113"/>
  <c r="BB132" i="113"/>
  <c r="BA132" i="113" s="1"/>
  <c r="BB138" i="113"/>
  <c r="BB199" i="113" s="1"/>
  <c r="BX153" i="113"/>
  <c r="BY119" i="113"/>
  <c r="BY121" i="113"/>
  <c r="BS124" i="113"/>
  <c r="BZ124" i="113"/>
  <c r="BZ134" i="113"/>
  <c r="BZ144" i="113"/>
  <c r="BZ205" i="113" s="1"/>
  <c r="BY145" i="113"/>
  <c r="BY206" i="113" s="1"/>
  <c r="BY147" i="113"/>
  <c r="BY208" i="113" s="1"/>
  <c r="BY149" i="113"/>
  <c r="BY210" i="113" s="1"/>
  <c r="BY151" i="113"/>
  <c r="BY212" i="113" s="1"/>
  <c r="BP124" i="113"/>
  <c r="BV124" i="113"/>
  <c r="CA124" i="113"/>
  <c r="BY126" i="113"/>
  <c r="BY130" i="113"/>
  <c r="BZ132" i="113"/>
  <c r="BY136" i="113"/>
  <c r="BZ138" i="113"/>
  <c r="BZ199" i="113" s="1"/>
  <c r="AI159" i="113"/>
  <c r="BG159" i="113" s="1"/>
  <c r="BJ159" i="113" s="1"/>
  <c r="CB159" i="113"/>
  <c r="CB158" i="113"/>
  <c r="BS118" i="113"/>
  <c r="CA118" i="113"/>
  <c r="BY123" i="113"/>
  <c r="BS132" i="113"/>
  <c r="BS134" i="113"/>
  <c r="BS138" i="113"/>
  <c r="BS199" i="113" s="1"/>
  <c r="BS144" i="113"/>
  <c r="BS205" i="113" s="1"/>
  <c r="BC118" i="113"/>
  <c r="BA123" i="113"/>
  <c r="BA124" i="113" s="1"/>
  <c r="AU132" i="113"/>
  <c r="AU134" i="113"/>
  <c r="AU138" i="113"/>
  <c r="AU199" i="113" s="1"/>
  <c r="AU144" i="113"/>
  <c r="AU205" i="113" s="1"/>
  <c r="AE118" i="113"/>
  <c r="AC123" i="113"/>
  <c r="W132" i="113"/>
  <c r="W134" i="113"/>
  <c r="W138" i="113"/>
  <c r="W199" i="113" s="1"/>
  <c r="W144" i="113"/>
  <c r="W205" i="113" s="1"/>
  <c r="K118" i="113"/>
  <c r="BY112" i="113"/>
  <c r="BY114" i="113"/>
  <c r="BS94" i="113"/>
  <c r="BY99" i="113"/>
  <c r="AC114" i="113"/>
  <c r="W94" i="113"/>
  <c r="AC99" i="113"/>
  <c r="O100" i="113"/>
  <c r="K94" i="113"/>
  <c r="E94" i="113"/>
  <c r="BS48" i="113"/>
  <c r="BY55" i="113"/>
  <c r="BS57" i="113"/>
  <c r="BS66" i="113"/>
  <c r="BS84" i="113"/>
  <c r="BS89" i="113"/>
  <c r="BA55" i="113"/>
  <c r="AU57" i="113"/>
  <c r="AU66" i="113"/>
  <c r="AU84" i="113"/>
  <c r="AU89" i="113"/>
  <c r="W48" i="113"/>
  <c r="AC55" i="113"/>
  <c r="W57" i="113"/>
  <c r="W66" i="113"/>
  <c r="W84" i="113"/>
  <c r="W89" i="113"/>
  <c r="L66" i="113"/>
  <c r="L48" i="113" s="1"/>
  <c r="I66" i="113"/>
  <c r="BY30" i="113"/>
  <c r="O45" i="113"/>
  <c r="L32" i="113"/>
  <c r="L194" i="113" s="1"/>
  <c r="I32" i="113"/>
  <c r="I194" i="113" s="1"/>
  <c r="E24" i="113"/>
  <c r="BX25" i="115"/>
  <c r="N70" i="115"/>
  <c r="AI70" i="115" s="1"/>
  <c r="AC47" i="115"/>
  <c r="AC67" i="115"/>
  <c r="AC69" i="115"/>
  <c r="AC217" i="115" s="1"/>
  <c r="AR66" i="115"/>
  <c r="AX66" i="115"/>
  <c r="BA68" i="115"/>
  <c r="BA216" i="115" s="1"/>
  <c r="BA70" i="115"/>
  <c r="BY47" i="115"/>
  <c r="BY49" i="115"/>
  <c r="BY194" i="115" s="1"/>
  <c r="BY51" i="115"/>
  <c r="BY53" i="115"/>
  <c r="BY197" i="115" s="1"/>
  <c r="BY55" i="115"/>
  <c r="BY199" i="115" s="1"/>
  <c r="BY57" i="115"/>
  <c r="BY201" i="115" s="1"/>
  <c r="BY59" i="115"/>
  <c r="BY203" i="115" s="1"/>
  <c r="E102" i="115"/>
  <c r="H96" i="115"/>
  <c r="N94" i="115"/>
  <c r="N98" i="115"/>
  <c r="T102" i="115"/>
  <c r="T104" i="115"/>
  <c r="AE104" i="115"/>
  <c r="AK104" i="115" s="1"/>
  <c r="BA91" i="115"/>
  <c r="BA95" i="115"/>
  <c r="BA98" i="115"/>
  <c r="BR97" i="115"/>
  <c r="BR90" i="115" s="1"/>
  <c r="BU97" i="115"/>
  <c r="BU90" i="115" s="1"/>
  <c r="BX97" i="115"/>
  <c r="BX90" i="115" s="1"/>
  <c r="BS104" i="115"/>
  <c r="BY91" i="115"/>
  <c r="BY92" i="115"/>
  <c r="H107" i="115"/>
  <c r="H160" i="115" s="1"/>
  <c r="N109" i="115"/>
  <c r="N162" i="115" s="1"/>
  <c r="N112" i="115"/>
  <c r="N165" i="115" s="1"/>
  <c r="AC108" i="115"/>
  <c r="AC161" i="115" s="1"/>
  <c r="AK112" i="115"/>
  <c r="AK165" i="115" s="1"/>
  <c r="AK115" i="115"/>
  <c r="AK168" i="115" s="1"/>
  <c r="AK119" i="115"/>
  <c r="AK172" i="115" s="1"/>
  <c r="BA110" i="115"/>
  <c r="BA163" i="115" s="1"/>
  <c r="BA112" i="115"/>
  <c r="BA165" i="115" s="1"/>
  <c r="BA113" i="115"/>
  <c r="BA166" i="115" s="1"/>
  <c r="BY108" i="115"/>
  <c r="BY161" i="115" s="1"/>
  <c r="AF176" i="115"/>
  <c r="BD176" i="115" s="1"/>
  <c r="AI178" i="115"/>
  <c r="AL178" i="115" s="1"/>
  <c r="AI179" i="115"/>
  <c r="AL179" i="115" s="1"/>
  <c r="B118" i="115"/>
  <c r="CB179" i="115"/>
  <c r="CB178" i="115"/>
  <c r="BG179" i="115"/>
  <c r="AC176" i="115"/>
  <c r="BA176" i="115"/>
  <c r="BY176" i="115"/>
  <c r="BG126" i="115"/>
  <c r="CB126" i="115"/>
  <c r="CB125" i="115"/>
  <c r="P24" i="115"/>
  <c r="G25" i="115"/>
  <c r="AV25" i="115"/>
  <c r="AU25" i="115" s="1"/>
  <c r="BY27" i="115"/>
  <c r="AI54" i="115"/>
  <c r="BG54" i="115" s="1"/>
  <c r="AE61" i="115"/>
  <c r="AC62" i="115"/>
  <c r="AC210" i="115" s="1"/>
  <c r="AC64" i="115"/>
  <c r="AC212" i="115" s="1"/>
  <c r="X45" i="115"/>
  <c r="W45" i="115" s="1"/>
  <c r="BA37" i="115"/>
  <c r="BA39" i="115"/>
  <c r="BA41" i="115"/>
  <c r="BA43" i="115"/>
  <c r="AY45" i="115"/>
  <c r="AX45" i="115" s="1"/>
  <c r="AR61" i="115"/>
  <c r="AX61" i="115"/>
  <c r="AU61" i="115"/>
  <c r="BA63" i="115"/>
  <c r="BA65" i="115"/>
  <c r="AW45" i="115"/>
  <c r="AW36" i="115" s="1"/>
  <c r="AU66" i="115"/>
  <c r="BA67" i="115"/>
  <c r="BA69" i="115"/>
  <c r="BA217" i="115" s="1"/>
  <c r="BQ45" i="115"/>
  <c r="BP45" i="115" s="1"/>
  <c r="BW45" i="115"/>
  <c r="BP61" i="115"/>
  <c r="BV61" i="115"/>
  <c r="BS61" i="115"/>
  <c r="BY63" i="115"/>
  <c r="BY65" i="115"/>
  <c r="AK79" i="115"/>
  <c r="AK81" i="115"/>
  <c r="AK158" i="115" s="1"/>
  <c r="AT71" i="115"/>
  <c r="AR71" i="115" s="1"/>
  <c r="BY72" i="115"/>
  <c r="BS75" i="115"/>
  <c r="BY74" i="115"/>
  <c r="BQ77" i="115"/>
  <c r="BQ71" i="115" s="1"/>
  <c r="BY87" i="115"/>
  <c r="BU77" i="115"/>
  <c r="BU71" i="115" s="1"/>
  <c r="M97" i="115"/>
  <c r="M90" i="115" s="1"/>
  <c r="N103" i="115"/>
  <c r="AC92" i="115"/>
  <c r="AC94" i="115"/>
  <c r="AC95" i="115"/>
  <c r="AC99" i="115"/>
  <c r="AK103" i="115"/>
  <c r="BI103" i="115" s="1"/>
  <c r="AK105" i="115"/>
  <c r="AK106" i="115"/>
  <c r="BI106" i="115" s="1"/>
  <c r="CG106" i="115" s="1"/>
  <c r="CJ106" i="115" s="1"/>
  <c r="AW97" i="115"/>
  <c r="AW90" i="115" s="1"/>
  <c r="AX104" i="115"/>
  <c r="BA103" i="115"/>
  <c r="BA105" i="115"/>
  <c r="BA106" i="115"/>
  <c r="BS96" i="115"/>
  <c r="BP96" i="115"/>
  <c r="BV96" i="115"/>
  <c r="BS102" i="115"/>
  <c r="BY100" i="115"/>
  <c r="O121" i="115"/>
  <c r="N108" i="115"/>
  <c r="N115" i="115"/>
  <c r="N168" i="115" s="1"/>
  <c r="N116" i="115"/>
  <c r="AD111" i="115"/>
  <c r="AD164" i="115" s="1"/>
  <c r="AK108" i="115"/>
  <c r="AK161" i="115" s="1"/>
  <c r="AK109" i="115"/>
  <c r="AK162" i="115" s="1"/>
  <c r="AK110" i="115"/>
  <c r="AK163" i="115" s="1"/>
  <c r="AJ114" i="115"/>
  <c r="AJ167" i="115" s="1"/>
  <c r="AC115" i="115"/>
  <c r="AC168" i="115" s="1"/>
  <c r="AK116" i="115"/>
  <c r="AK169" i="115" s="1"/>
  <c r="AK117" i="115"/>
  <c r="AK170" i="115" s="1"/>
  <c r="AK118" i="115"/>
  <c r="AK171" i="115" s="1"/>
  <c r="AX111" i="115"/>
  <c r="AX164" i="115" s="1"/>
  <c r="BA108" i="115"/>
  <c r="BA161" i="115" s="1"/>
  <c r="BA109" i="115"/>
  <c r="BA162" i="115" s="1"/>
  <c r="BA116" i="115"/>
  <c r="BA169" i="115" s="1"/>
  <c r="BA117" i="115"/>
  <c r="BA170" i="115" s="1"/>
  <c r="BZ111" i="115"/>
  <c r="BZ164" i="115" s="1"/>
  <c r="BY115" i="115"/>
  <c r="BY168" i="115" s="1"/>
  <c r="AI125" i="115"/>
  <c r="AL125" i="115" s="1"/>
  <c r="AJ18" i="115"/>
  <c r="BH18" i="115" s="1"/>
  <c r="AJ19" i="115"/>
  <c r="AJ20" i="115"/>
  <c r="BH20" i="115" s="1"/>
  <c r="AJ21" i="115"/>
  <c r="BH21" i="115" s="1"/>
  <c r="AJ22" i="115"/>
  <c r="BH22" i="115" s="1"/>
  <c r="AJ23" i="115"/>
  <c r="BH23" i="115" s="1"/>
  <c r="CA24" i="115"/>
  <c r="N35" i="115"/>
  <c r="AK27" i="115"/>
  <c r="AC28" i="115"/>
  <c r="AK29" i="115"/>
  <c r="BI29" i="115" s="1"/>
  <c r="AK32" i="115"/>
  <c r="AK33" i="115"/>
  <c r="BI33" i="115" s="1"/>
  <c r="CG33" i="115" s="1"/>
  <c r="CJ33" i="115" s="1"/>
  <c r="AK35" i="115"/>
  <c r="BI35" i="115" s="1"/>
  <c r="BA27" i="115"/>
  <c r="BA29" i="115"/>
  <c r="BS31" i="115"/>
  <c r="BS209" i="115" s="1"/>
  <c r="BP31" i="115"/>
  <c r="N50" i="115"/>
  <c r="N195" i="115" s="1"/>
  <c r="N52" i="115"/>
  <c r="N196" i="115" s="1"/>
  <c r="N53" i="115"/>
  <c r="N197" i="115" s="1"/>
  <c r="AC38" i="115"/>
  <c r="AC150" i="115" s="1"/>
  <c r="AC40" i="115"/>
  <c r="AC42" i="115"/>
  <c r="AC49" i="115"/>
  <c r="AC194" i="115" s="1"/>
  <c r="AC51" i="115"/>
  <c r="AC53" i="115"/>
  <c r="AC197" i="115" s="1"/>
  <c r="AC55" i="115"/>
  <c r="AC199" i="115" s="1"/>
  <c r="AC57" i="115"/>
  <c r="AC201" i="115" s="1"/>
  <c r="AI201" i="115" s="1"/>
  <c r="AC59" i="115"/>
  <c r="AC203" i="115" s="1"/>
  <c r="AE121" i="115"/>
  <c r="AJ110" i="115"/>
  <c r="AJ163" i="115" s="1"/>
  <c r="AK113" i="115"/>
  <c r="AK166" i="115" s="1"/>
  <c r="AK114" i="115"/>
  <c r="AK167" i="115" s="1"/>
  <c r="AJ118" i="115"/>
  <c r="AJ171" i="115" s="1"/>
  <c r="BT17" i="115"/>
  <c r="AI58" i="115"/>
  <c r="BG58" i="115" s="1"/>
  <c r="BB104" i="115"/>
  <c r="AR104" i="115"/>
  <c r="BI118" i="115"/>
  <c r="BI171" i="115" s="1"/>
  <c r="BY111" i="115"/>
  <c r="BY164" i="115" s="1"/>
  <c r="BY121" i="115"/>
  <c r="N18" i="115"/>
  <c r="N19" i="115"/>
  <c r="N21" i="115"/>
  <c r="N22" i="115"/>
  <c r="N23" i="115"/>
  <c r="AC18" i="115"/>
  <c r="AK19" i="115"/>
  <c r="BI19" i="115" s="1"/>
  <c r="AK21" i="115"/>
  <c r="AK22" i="115"/>
  <c r="AK23" i="115"/>
  <c r="BI23" i="115" s="1"/>
  <c r="BY23" i="115"/>
  <c r="BS24" i="115"/>
  <c r="AD31" i="115"/>
  <c r="T31" i="115"/>
  <c r="Z31" i="115"/>
  <c r="W31" i="115"/>
  <c r="AJ26" i="115"/>
  <c r="BH26" i="115" s="1"/>
  <c r="CF26" i="115" s="1"/>
  <c r="AC27" i="115"/>
  <c r="AJ28" i="115"/>
  <c r="BH28" i="115" s="1"/>
  <c r="CF28" i="115" s="1"/>
  <c r="CI28" i="115" s="1"/>
  <c r="AC29" i="115"/>
  <c r="AJ30" i="115"/>
  <c r="BH30" i="115" s="1"/>
  <c r="CF30" i="115" s="1"/>
  <c r="AJ32" i="115"/>
  <c r="BH32" i="115" s="1"/>
  <c r="CF32" i="115" s="1"/>
  <c r="CI32" i="115" s="1"/>
  <c r="AC33" i="115"/>
  <c r="AC35" i="115"/>
  <c r="AS25" i="115"/>
  <c r="AR25" i="115" s="1"/>
  <c r="AR31" i="115"/>
  <c r="AX31" i="115"/>
  <c r="BA33" i="115"/>
  <c r="BA213" i="115" s="1"/>
  <c r="AT25" i="115"/>
  <c r="BY26" i="115"/>
  <c r="BY28" i="115"/>
  <c r="BY30" i="115"/>
  <c r="BY208" i="115" s="1"/>
  <c r="CA31" i="115"/>
  <c r="CA34" i="115"/>
  <c r="CA214" i="115" s="1"/>
  <c r="N37" i="115"/>
  <c r="N38" i="115"/>
  <c r="N150" i="115" s="1"/>
  <c r="N39" i="115"/>
  <c r="N40" i="115"/>
  <c r="N42" i="115"/>
  <c r="N43" i="115"/>
  <c r="AJ38" i="115"/>
  <c r="O61" i="115"/>
  <c r="H61" i="115"/>
  <c r="H66" i="115"/>
  <c r="AJ47" i="115"/>
  <c r="BH47" i="115" s="1"/>
  <c r="CF47" i="115" s="1"/>
  <c r="AJ50" i="115"/>
  <c r="BH50" i="115" s="1"/>
  <c r="CF50" i="115" s="1"/>
  <c r="AJ54" i="115"/>
  <c r="BH54" i="115" s="1"/>
  <c r="CF54" i="115" s="1"/>
  <c r="AJ59" i="115"/>
  <c r="BH59" i="115" s="1"/>
  <c r="N48" i="115"/>
  <c r="N49" i="115"/>
  <c r="N194" i="115" s="1"/>
  <c r="N56" i="115"/>
  <c r="N57" i="115"/>
  <c r="N201" i="115" s="1"/>
  <c r="N64" i="115"/>
  <c r="N212" i="115" s="1"/>
  <c r="N65" i="115"/>
  <c r="N68" i="115"/>
  <c r="N216" i="115" s="1"/>
  <c r="N69" i="115"/>
  <c r="AC37" i="115"/>
  <c r="AC39" i="115"/>
  <c r="AC41" i="115"/>
  <c r="AC43" i="115"/>
  <c r="U45" i="115"/>
  <c r="U36" i="115" s="1"/>
  <c r="AK46" i="115"/>
  <c r="BI46" i="115" s="1"/>
  <c r="CG46" i="115" s="1"/>
  <c r="AK47" i="115"/>
  <c r="BI47" i="115" s="1"/>
  <c r="CG47" i="115" s="1"/>
  <c r="AK50" i="115"/>
  <c r="BI50" i="115" s="1"/>
  <c r="AK51" i="115"/>
  <c r="BI51" i="115" s="1"/>
  <c r="AK54" i="115"/>
  <c r="BI54" i="115" s="1"/>
  <c r="AK55" i="115"/>
  <c r="BI55" i="115" s="1"/>
  <c r="CG55" i="115" s="1"/>
  <c r="AK58" i="115"/>
  <c r="BI58" i="115" s="1"/>
  <c r="AK59" i="115"/>
  <c r="BI59" i="115" s="1"/>
  <c r="CG59" i="115" s="1"/>
  <c r="T61" i="115"/>
  <c r="Z61" i="115"/>
  <c r="AC63" i="115"/>
  <c r="AC65" i="115"/>
  <c r="V45" i="115"/>
  <c r="V36" i="115" s="1"/>
  <c r="BA38" i="115"/>
  <c r="BA150" i="115" s="1"/>
  <c r="BA40" i="115"/>
  <c r="BA42" i="115"/>
  <c r="BB61" i="115"/>
  <c r="BC61" i="115"/>
  <c r="BA62" i="115"/>
  <c r="BA210" i="115" s="1"/>
  <c r="BA64" i="115"/>
  <c r="BA212" i="115" s="1"/>
  <c r="AV45" i="115"/>
  <c r="AV36" i="115" s="1"/>
  <c r="BY37" i="115"/>
  <c r="BY39" i="115"/>
  <c r="BY41" i="115"/>
  <c r="BS44" i="115"/>
  <c r="BZ44" i="115"/>
  <c r="BZ66" i="115"/>
  <c r="BX45" i="115"/>
  <c r="BX36" i="115" s="1"/>
  <c r="BS66" i="115"/>
  <c r="BY67" i="115"/>
  <c r="BY69" i="115"/>
  <c r="BY217" i="115" s="1"/>
  <c r="AK73" i="115"/>
  <c r="BI73" i="115" s="1"/>
  <c r="AK76" i="115"/>
  <c r="BI76" i="115" s="1"/>
  <c r="CG76" i="115" s="1"/>
  <c r="AK78" i="115"/>
  <c r="BI78" i="115" s="1"/>
  <c r="AK80" i="115"/>
  <c r="BI80" i="115" s="1"/>
  <c r="AK82" i="115"/>
  <c r="AK84" i="115"/>
  <c r="BI84" i="115" s="1"/>
  <c r="CG84" i="115" s="1"/>
  <c r="CJ84" i="115" s="1"/>
  <c r="AC73" i="115"/>
  <c r="T75" i="115"/>
  <c r="Z75" i="115"/>
  <c r="AC76" i="115"/>
  <c r="W77" i="115"/>
  <c r="AC78" i="115"/>
  <c r="AC80" i="115"/>
  <c r="AC82" i="115"/>
  <c r="AC84" i="115"/>
  <c r="AC207" i="115" s="1"/>
  <c r="T77" i="115"/>
  <c r="Z77" i="115"/>
  <c r="BY79" i="115"/>
  <c r="BY81" i="115"/>
  <c r="BY83" i="115"/>
  <c r="BY206" i="115" s="1"/>
  <c r="BY85" i="115"/>
  <c r="BZ88" i="115"/>
  <c r="BY88" i="115" s="1"/>
  <c r="BY89" i="115"/>
  <c r="P102" i="115"/>
  <c r="P104" i="115"/>
  <c r="N104" i="115" s="1"/>
  <c r="H102" i="115"/>
  <c r="J97" i="115"/>
  <c r="J90" i="115" s="1"/>
  <c r="K104" i="115"/>
  <c r="N92" i="115"/>
  <c r="AI92" i="115" s="1"/>
  <c r="N93" i="115"/>
  <c r="N101" i="115"/>
  <c r="P107" i="115"/>
  <c r="P160" i="115" s="1"/>
  <c r="P111" i="115"/>
  <c r="BI114" i="115"/>
  <c r="BI167" i="115" s="1"/>
  <c r="BH118" i="115"/>
  <c r="I25" i="115"/>
  <c r="H25" i="115" s="1"/>
  <c r="L25" i="115"/>
  <c r="AD34" i="115"/>
  <c r="AD25" i="115" s="1"/>
  <c r="AD17" i="115" s="1"/>
  <c r="AK26" i="115"/>
  <c r="AK28" i="115"/>
  <c r="BI28" i="115" s="1"/>
  <c r="CG28" i="115" s="1"/>
  <c r="CJ28" i="115" s="1"/>
  <c r="AK30" i="115"/>
  <c r="BI30" i="115" s="1"/>
  <c r="P44" i="115"/>
  <c r="AI52" i="115"/>
  <c r="BG52" i="115" s="1"/>
  <c r="AI60" i="115"/>
  <c r="BG60" i="115" s="1"/>
  <c r="AI38" i="115"/>
  <c r="AI62" i="115"/>
  <c r="AK68" i="115"/>
  <c r="BI68" i="115" s="1"/>
  <c r="CG68" i="115" s="1"/>
  <c r="AK69" i="115"/>
  <c r="BI69" i="115" s="1"/>
  <c r="AT45" i="115"/>
  <c r="AT36" i="115" s="1"/>
  <c r="AR36" i="115" s="1"/>
  <c r="T71" i="115"/>
  <c r="AJ98" i="115"/>
  <c r="BH98" i="115" s="1"/>
  <c r="AK100" i="115"/>
  <c r="BI100" i="115" s="1"/>
  <c r="CG100" i="115" s="1"/>
  <c r="CJ100" i="115" s="1"/>
  <c r="AK101" i="115"/>
  <c r="E107" i="115"/>
  <c r="E160" i="115" s="1"/>
  <c r="E111" i="115"/>
  <c r="E164" i="115" s="1"/>
  <c r="N105" i="115"/>
  <c r="N106" i="115"/>
  <c r="W96" i="115"/>
  <c r="T96" i="115"/>
  <c r="Z96" i="115"/>
  <c r="W97" i="115"/>
  <c r="AE102" i="115"/>
  <c r="AK102" i="115" s="1"/>
  <c r="AC91" i="115"/>
  <c r="AK92" i="115"/>
  <c r="BI92" i="115" s="1"/>
  <c r="AK93" i="115"/>
  <c r="BI93" i="115" s="1"/>
  <c r="CG93" i="115" s="1"/>
  <c r="AK94" i="115"/>
  <c r="AK99" i="115"/>
  <c r="AJ100" i="115"/>
  <c r="BH100" i="115" s="1"/>
  <c r="CF100" i="115" s="1"/>
  <c r="CI100" i="115" s="1"/>
  <c r="AC103" i="115"/>
  <c r="AJ106" i="115"/>
  <c r="BH106" i="115" s="1"/>
  <c r="AR96" i="115"/>
  <c r="AX96" i="115"/>
  <c r="AR102" i="115"/>
  <c r="AU102" i="115"/>
  <c r="AT97" i="115"/>
  <c r="AR97" i="115" s="1"/>
  <c r="BA93" i="115"/>
  <c r="BA94" i="115"/>
  <c r="BA101" i="115"/>
  <c r="BP102" i="115"/>
  <c r="CA90" i="115"/>
  <c r="BP104" i="115"/>
  <c r="BP214" i="115" s="1"/>
  <c r="BY95" i="115"/>
  <c r="N110" i="115"/>
  <c r="N163" i="115" s="1"/>
  <c r="N114" i="115"/>
  <c r="N167" i="115" s="1"/>
  <c r="N118" i="115"/>
  <c r="N171" i="115" s="1"/>
  <c r="W111" i="115"/>
  <c r="W164" i="115" s="1"/>
  <c r="Z111" i="115"/>
  <c r="Z164" i="115" s="1"/>
  <c r="AC109" i="115"/>
  <c r="AC110" i="115"/>
  <c r="AC163" i="115" s="1"/>
  <c r="AC113" i="115"/>
  <c r="AC114" i="115"/>
  <c r="AC167" i="115" s="1"/>
  <c r="AC117" i="115"/>
  <c r="AC118" i="115"/>
  <c r="AC171" i="115" s="1"/>
  <c r="AJ109" i="115"/>
  <c r="AJ162" i="115" s="1"/>
  <c r="AJ113" i="115"/>
  <c r="AJ166" i="115" s="1"/>
  <c r="AJ115" i="115"/>
  <c r="AJ168" i="115" s="1"/>
  <c r="AJ117" i="115"/>
  <c r="AJ170" i="115" s="1"/>
  <c r="AJ119" i="115"/>
  <c r="AJ172" i="115" s="1"/>
  <c r="AU111" i="115"/>
  <c r="AU164" i="115" s="1"/>
  <c r="BA115" i="115"/>
  <c r="BA168" i="115" s="1"/>
  <c r="BA119" i="115"/>
  <c r="BA172" i="115" s="1"/>
  <c r="BP107" i="115"/>
  <c r="BP160" i="115" s="1"/>
  <c r="BS111" i="115"/>
  <c r="BS164" i="115" s="1"/>
  <c r="BV111" i="115"/>
  <c r="BV164" i="115" s="1"/>
  <c r="CA107" i="115"/>
  <c r="BY109" i="115"/>
  <c r="BY162" i="115" s="1"/>
  <c r="BY110" i="115"/>
  <c r="BY163" i="115" s="1"/>
  <c r="BY113" i="115"/>
  <c r="BY166" i="115" s="1"/>
  <c r="BY114" i="115"/>
  <c r="BY167" i="115" s="1"/>
  <c r="BY117" i="115"/>
  <c r="BY170" i="115" s="1"/>
  <c r="BY118" i="115"/>
  <c r="BY171" i="115" s="1"/>
  <c r="AJ108" i="115"/>
  <c r="AJ161" i="115" s="1"/>
  <c r="AJ112" i="115"/>
  <c r="AJ165" i="115" s="1"/>
  <c r="AJ116" i="115"/>
  <c r="AJ169" i="115" s="1"/>
  <c r="BC107" i="115"/>
  <c r="BY119" i="115"/>
  <c r="BY172" i="115" s="1"/>
  <c r="BS107" i="115"/>
  <c r="BS160" i="115" s="1"/>
  <c r="AR107" i="115"/>
  <c r="AR160" i="115" s="1"/>
  <c r="AX107" i="115"/>
  <c r="AX160" i="115" s="1"/>
  <c r="AD107" i="115"/>
  <c r="AD160" i="115" s="1"/>
  <c r="W107" i="115"/>
  <c r="W160" i="115" s="1"/>
  <c r="BI21" i="115"/>
  <c r="BI22" i="115"/>
  <c r="AX25" i="115"/>
  <c r="AY17" i="115"/>
  <c r="BH19" i="115"/>
  <c r="BI32" i="115"/>
  <c r="CG21" i="115"/>
  <c r="Z45" i="115"/>
  <c r="BQ36" i="115"/>
  <c r="BP36" i="115" s="1"/>
  <c r="AC22" i="115"/>
  <c r="AC20" i="115"/>
  <c r="AC149" i="115" s="1"/>
  <c r="AK18" i="115"/>
  <c r="AK20" i="115"/>
  <c r="BA22" i="115"/>
  <c r="BS17" i="115"/>
  <c r="W24" i="115"/>
  <c r="AX24" i="115"/>
  <c r="BY18" i="115"/>
  <c r="BY21" i="115"/>
  <c r="BY151" i="115" s="1"/>
  <c r="BY22" i="115"/>
  <c r="BZ24" i="115"/>
  <c r="H31" i="115"/>
  <c r="J25" i="115"/>
  <c r="K31" i="115"/>
  <c r="M25" i="115"/>
  <c r="K25" i="115" s="1"/>
  <c r="N27" i="115"/>
  <c r="N29" i="115"/>
  <c r="AA25" i="115"/>
  <c r="X25" i="115"/>
  <c r="AB25" i="115"/>
  <c r="AC26" i="115"/>
  <c r="AC30" i="115"/>
  <c r="AJ27" i="115"/>
  <c r="AJ29" i="115"/>
  <c r="AJ33" i="115"/>
  <c r="AJ35" i="115"/>
  <c r="BB34" i="115"/>
  <c r="BC34" i="115"/>
  <c r="BP25" i="115"/>
  <c r="BY29" i="115"/>
  <c r="CG29" i="115"/>
  <c r="CJ29" i="115" s="1"/>
  <c r="BZ31" i="115"/>
  <c r="BY33" i="115"/>
  <c r="CG35" i="115"/>
  <c r="CJ35" i="115" s="1"/>
  <c r="O44" i="115"/>
  <c r="AJ40" i="115"/>
  <c r="N61" i="115"/>
  <c r="I45" i="115"/>
  <c r="I36" i="115" s="1"/>
  <c r="H36" i="115" s="1"/>
  <c r="Z71" i="115"/>
  <c r="BB71" i="115"/>
  <c r="CA25" i="115"/>
  <c r="CA17" i="115" s="1"/>
  <c r="BY32" i="115"/>
  <c r="P66" i="115"/>
  <c r="G45" i="115"/>
  <c r="F25" i="115"/>
  <c r="F17" i="115" s="1"/>
  <c r="O34" i="115"/>
  <c r="V25" i="115"/>
  <c r="BV25" i="115"/>
  <c r="BI39" i="115"/>
  <c r="CG39" i="115" s="1"/>
  <c r="BH42" i="115"/>
  <c r="CF42" i="115" s="1"/>
  <c r="AX71" i="115"/>
  <c r="CA86" i="115"/>
  <c r="BR77" i="115"/>
  <c r="BR155" i="115" s="1"/>
  <c r="BI101" i="115"/>
  <c r="CG101" i="115" s="1"/>
  <c r="CJ101" i="115" s="1"/>
  <c r="BI105" i="115"/>
  <c r="CG105" i="115" s="1"/>
  <c r="CJ105" i="115" s="1"/>
  <c r="AT90" i="115"/>
  <c r="BC90" i="115" s="1"/>
  <c r="BZ34" i="115"/>
  <c r="BZ25" i="115" s="1"/>
  <c r="H44" i="115"/>
  <c r="K44" i="115"/>
  <c r="AJ37" i="115"/>
  <c r="BH37" i="115" s="1"/>
  <c r="AJ39" i="115"/>
  <c r="BH39" i="115" s="1"/>
  <c r="CF39" i="115" s="1"/>
  <c r="AJ41" i="115"/>
  <c r="BH41" i="115" s="1"/>
  <c r="CF41" i="115" s="1"/>
  <c r="AJ43" i="115"/>
  <c r="BH43" i="115" s="1"/>
  <c r="F45" i="115"/>
  <c r="L45" i="115"/>
  <c r="K45" i="115" s="1"/>
  <c r="K66" i="115"/>
  <c r="AJ48" i="115"/>
  <c r="BH48" i="115" s="1"/>
  <c r="CF48" i="115" s="1"/>
  <c r="AJ49" i="115"/>
  <c r="BH49" i="115" s="1"/>
  <c r="AJ52" i="115"/>
  <c r="BH52" i="115" s="1"/>
  <c r="CF52" i="115" s="1"/>
  <c r="AJ53" i="115"/>
  <c r="BH53" i="115" s="1"/>
  <c r="CF53" i="115" s="1"/>
  <c r="AJ56" i="115"/>
  <c r="BH56" i="115" s="1"/>
  <c r="CF56" i="115" s="1"/>
  <c r="AJ57" i="115"/>
  <c r="BH57" i="115" s="1"/>
  <c r="CF57" i="115" s="1"/>
  <c r="AJ60" i="115"/>
  <c r="BH60" i="115" s="1"/>
  <c r="CF60" i="115" s="1"/>
  <c r="AJ64" i="115"/>
  <c r="BH64" i="115" s="1"/>
  <c r="CF64" i="115" s="1"/>
  <c r="AJ65" i="115"/>
  <c r="BH65" i="115" s="1"/>
  <c r="CF65" i="115" s="1"/>
  <c r="E77" i="115"/>
  <c r="E86" i="115"/>
  <c r="E88" i="115"/>
  <c r="E71" i="115"/>
  <c r="N47" i="115"/>
  <c r="N51" i="115"/>
  <c r="N55" i="115"/>
  <c r="N199" i="115" s="1"/>
  <c r="N59" i="115"/>
  <c r="N203" i="115" s="1"/>
  <c r="N63" i="115"/>
  <c r="AI63" i="115" s="1"/>
  <c r="O66" i="115"/>
  <c r="N67" i="115"/>
  <c r="AI67" i="115" s="1"/>
  <c r="BG67" i="115" s="1"/>
  <c r="W44" i="115"/>
  <c r="AE44" i="115"/>
  <c r="AD66" i="115"/>
  <c r="AE66" i="115"/>
  <c r="AU44" i="115"/>
  <c r="BC44" i="115"/>
  <c r="BB66" i="115"/>
  <c r="BC66" i="115"/>
  <c r="BW36" i="115"/>
  <c r="BY38" i="115"/>
  <c r="BY40" i="115"/>
  <c r="BY42" i="115"/>
  <c r="BP44" i="115"/>
  <c r="BV44" i="115"/>
  <c r="CA44" i="115"/>
  <c r="BT45" i="115"/>
  <c r="BY46" i="115"/>
  <c r="BY48" i="115"/>
  <c r="BY50" i="115"/>
  <c r="BY195" i="115" s="1"/>
  <c r="BY52" i="115"/>
  <c r="BY54" i="115"/>
  <c r="BY198" i="115" s="1"/>
  <c r="BY56" i="115"/>
  <c r="BY200" i="115" s="1"/>
  <c r="BY58" i="115"/>
  <c r="BY202" i="115" s="1"/>
  <c r="BY60" i="115"/>
  <c r="CA61" i="115"/>
  <c r="BZ61" i="115"/>
  <c r="BY62" i="115"/>
  <c r="BY210" i="115" s="1"/>
  <c r="BY64" i="115"/>
  <c r="BY212" i="115" s="1"/>
  <c r="BY68" i="115"/>
  <c r="BY216" i="115" s="1"/>
  <c r="BY70" i="115"/>
  <c r="AK72" i="115"/>
  <c r="BI72" i="115" s="1"/>
  <c r="AK74" i="115"/>
  <c r="BI74" i="115" s="1"/>
  <c r="AJ78" i="115"/>
  <c r="BH78" i="115" s="1"/>
  <c r="AJ80" i="115"/>
  <c r="BH80" i="115" s="1"/>
  <c r="N81" i="115"/>
  <c r="N82" i="115"/>
  <c r="AK83" i="115"/>
  <c r="BI83" i="115" s="1"/>
  <c r="AK85" i="115"/>
  <c r="BI85" i="115" s="1"/>
  <c r="O88" i="115"/>
  <c r="AK89" i="115"/>
  <c r="BI89" i="115" s="1"/>
  <c r="AC72" i="115"/>
  <c r="W75" i="115"/>
  <c r="AC74" i="115"/>
  <c r="AD75" i="115"/>
  <c r="AC75" i="115" s="1"/>
  <c r="AC79" i="115"/>
  <c r="AC81" i="115"/>
  <c r="AC83" i="115"/>
  <c r="AC206" i="115" s="1"/>
  <c r="AC85" i="115"/>
  <c r="AE86" i="115"/>
  <c r="AD86" i="115"/>
  <c r="AC87" i="115"/>
  <c r="AE88" i="115"/>
  <c r="AD88" i="115"/>
  <c r="AC89" i="115"/>
  <c r="AI89" i="115" s="1"/>
  <c r="AJ83" i="115"/>
  <c r="BH83" i="115" s="1"/>
  <c r="CF83" i="115" s="1"/>
  <c r="CI83" i="115" s="1"/>
  <c r="BA72" i="115"/>
  <c r="AU75" i="115"/>
  <c r="BA74" i="115"/>
  <c r="BB75" i="115"/>
  <c r="BA75" i="115" s="1"/>
  <c r="BA79" i="115"/>
  <c r="BA81" i="115"/>
  <c r="BP77" i="115"/>
  <c r="BV77" i="115"/>
  <c r="BZ86" i="115"/>
  <c r="BY86" i="115" s="1"/>
  <c r="BT77" i="115"/>
  <c r="BI91" i="115"/>
  <c r="CG91" i="115" s="1"/>
  <c r="BI102" i="115"/>
  <c r="BI99" i="115"/>
  <c r="T44" i="115"/>
  <c r="Z44" i="115"/>
  <c r="AD44" i="115"/>
  <c r="AE45" i="115"/>
  <c r="AE36" i="115" s="1"/>
  <c r="AK61" i="115"/>
  <c r="BI61" i="115" s="1"/>
  <c r="AR44" i="115"/>
  <c r="AX44" i="115"/>
  <c r="BB44" i="115"/>
  <c r="CA45" i="115"/>
  <c r="CA36" i="115" s="1"/>
  <c r="O86" i="115"/>
  <c r="AE71" i="115"/>
  <c r="AE77" i="115"/>
  <c r="AD77" i="115"/>
  <c r="BC71" i="115"/>
  <c r="BB77" i="115"/>
  <c r="BA77" i="115" s="1"/>
  <c r="BZ75" i="115"/>
  <c r="BY75" i="115" s="1"/>
  <c r="G90" i="115"/>
  <c r="P88" i="115"/>
  <c r="E97" i="115"/>
  <c r="O102" i="115"/>
  <c r="N102" i="115" s="1"/>
  <c r="AD102" i="115"/>
  <c r="AJ92" i="115"/>
  <c r="AJ94" i="115"/>
  <c r="AJ99" i="115"/>
  <c r="AJ101" i="115"/>
  <c r="AJ103" i="115"/>
  <c r="AJ105" i="115"/>
  <c r="BB102" i="115"/>
  <c r="BA102" i="115" s="1"/>
  <c r="BC104" i="115"/>
  <c r="BA104" i="115" s="1"/>
  <c r="CA102" i="115"/>
  <c r="BZ104" i="115"/>
  <c r="BA83" i="115"/>
  <c r="BA206" i="115" s="1"/>
  <c r="BA85" i="115"/>
  <c r="BA204" i="115" s="1"/>
  <c r="BC86" i="115"/>
  <c r="BB86" i="115"/>
  <c r="BA87" i="115"/>
  <c r="BC88" i="115"/>
  <c r="BB88" i="115"/>
  <c r="BA89" i="115"/>
  <c r="BY73" i="115"/>
  <c r="BP75" i="115"/>
  <c r="BV75" i="115"/>
  <c r="BY76" i="115"/>
  <c r="BY78" i="115"/>
  <c r="BY80" i="115"/>
  <c r="BY82" i="115"/>
  <c r="BY84" i="115"/>
  <c r="BY207" i="115" s="1"/>
  <c r="H75" i="115"/>
  <c r="K75" i="115"/>
  <c r="E104" i="115"/>
  <c r="H104" i="115"/>
  <c r="K96" i="115"/>
  <c r="K102" i="115"/>
  <c r="N91" i="115"/>
  <c r="AI91" i="115" s="1"/>
  <c r="N95" i="115"/>
  <c r="N100" i="115"/>
  <c r="AI100" i="115" s="1"/>
  <c r="Z102" i="115"/>
  <c r="Z104" i="115"/>
  <c r="AC93" i="115"/>
  <c r="AC98" i="115"/>
  <c r="AI98" i="115" s="1"/>
  <c r="AC101" i="115"/>
  <c r="AD104" i="115"/>
  <c r="AC105" i="115"/>
  <c r="AC106" i="115"/>
  <c r="AJ91" i="115"/>
  <c r="AJ93" i="115"/>
  <c r="AJ95" i="115"/>
  <c r="AS90" i="115"/>
  <c r="AU96" i="115"/>
  <c r="AV97" i="115"/>
  <c r="AY97" i="115"/>
  <c r="AU104" i="115"/>
  <c r="BA92" i="115"/>
  <c r="BA100" i="115"/>
  <c r="BV102" i="115"/>
  <c r="BV104" i="115"/>
  <c r="BY94" i="115"/>
  <c r="BY98" i="115"/>
  <c r="BY99" i="115"/>
  <c r="BZ102" i="115"/>
  <c r="BY103" i="115"/>
  <c r="BY106" i="115"/>
  <c r="R118" i="115"/>
  <c r="AH118" i="115"/>
  <c r="S119" i="115"/>
  <c r="BT90" i="115"/>
  <c r="BS90" i="115" s="1"/>
  <c r="BQ97" i="115"/>
  <c r="BW97" i="115"/>
  <c r="X90" i="115"/>
  <c r="W90" i="115" s="1"/>
  <c r="U97" i="115"/>
  <c r="AA97" i="115"/>
  <c r="O96" i="115"/>
  <c r="L97" i="115"/>
  <c r="I97" i="115"/>
  <c r="K77" i="115"/>
  <c r="N73" i="115"/>
  <c r="N74" i="115"/>
  <c r="N78" i="115"/>
  <c r="AI78" i="115" s="1"/>
  <c r="BG78" i="115" s="1"/>
  <c r="N85" i="115"/>
  <c r="P86" i="115"/>
  <c r="AK86" i="115" s="1"/>
  <c r="BI86" i="115" s="1"/>
  <c r="BI82" i="115"/>
  <c r="CF87" i="115"/>
  <c r="CI87" i="115" s="1"/>
  <c r="H77" i="115"/>
  <c r="BI79" i="115"/>
  <c r="BI81" i="115"/>
  <c r="BI158" i="115" s="1"/>
  <c r="BH82" i="115"/>
  <c r="BH84" i="115"/>
  <c r="CG80" i="115"/>
  <c r="CJ80" i="115" s="1"/>
  <c r="J71" i="115"/>
  <c r="P71" i="115" s="1"/>
  <c r="P77" i="115"/>
  <c r="N72" i="115"/>
  <c r="N76" i="115"/>
  <c r="N79" i="115"/>
  <c r="AI79" i="115" s="1"/>
  <c r="N80" i="115"/>
  <c r="N83" i="115"/>
  <c r="N84" i="115"/>
  <c r="N87" i="115"/>
  <c r="AI87" i="115" s="1"/>
  <c r="AJ73" i="115"/>
  <c r="BH74" i="115"/>
  <c r="AJ81" i="115"/>
  <c r="AJ158" i="115" s="1"/>
  <c r="AJ85" i="115"/>
  <c r="AJ89" i="115"/>
  <c r="AU71" i="115"/>
  <c r="W71" i="115"/>
  <c r="BY66" i="115"/>
  <c r="BY43" i="115"/>
  <c r="BS45" i="115"/>
  <c r="AR45" i="115"/>
  <c r="CG40" i="115"/>
  <c r="CF43" i="115"/>
  <c r="CF37" i="115"/>
  <c r="CG38" i="115"/>
  <c r="CG150" i="115" s="1"/>
  <c r="AI55" i="115"/>
  <c r="BG55" i="115" s="1"/>
  <c r="CF49" i="115"/>
  <c r="CG50" i="115"/>
  <c r="CG51" i="115"/>
  <c r="CG54" i="115"/>
  <c r="CG58" i="115"/>
  <c r="CG62" i="115"/>
  <c r="CG63" i="115"/>
  <c r="CG48" i="115"/>
  <c r="CG52" i="115"/>
  <c r="CG53" i="115"/>
  <c r="CG56" i="115"/>
  <c r="CF58" i="115"/>
  <c r="CF59" i="115"/>
  <c r="CG60" i="115"/>
  <c r="CG64" i="115"/>
  <c r="CG65" i="115"/>
  <c r="CG69" i="115"/>
  <c r="CF70" i="115"/>
  <c r="F36" i="115"/>
  <c r="BY31" i="115"/>
  <c r="BC25" i="115"/>
  <c r="W25" i="115"/>
  <c r="AA17" i="115"/>
  <c r="U17" i="115"/>
  <c r="P25" i="115"/>
  <c r="L17" i="115"/>
  <c r="I17" i="115"/>
  <c r="BA21" i="115"/>
  <c r="BC24" i="115"/>
  <c r="BB24" i="115"/>
  <c r="BA23" i="115"/>
  <c r="AC19" i="115"/>
  <c r="AC21" i="115"/>
  <c r="AC23" i="115"/>
  <c r="O24" i="115"/>
  <c r="CE126" i="115" l="1"/>
  <c r="CH126" i="115" s="1"/>
  <c r="BJ126" i="115"/>
  <c r="CE220" i="113"/>
  <c r="CH220" i="113" s="1"/>
  <c r="BJ220" i="113"/>
  <c r="BG63" i="115"/>
  <c r="AY36" i="115"/>
  <c r="AX36" i="115" s="1"/>
  <c r="DI48" i="114"/>
  <c r="AF54" i="116"/>
  <c r="AF50" i="116"/>
  <c r="BS47" i="116"/>
  <c r="N38" i="116"/>
  <c r="W38" i="116"/>
  <c r="EF35" i="116"/>
  <c r="GE35" i="116" s="1"/>
  <c r="AF52" i="116"/>
  <c r="CG49" i="116"/>
  <c r="EF49" i="116" s="1"/>
  <c r="GE49" i="116" s="1"/>
  <c r="DR50" i="116"/>
  <c r="AR48" i="116"/>
  <c r="AI47" i="115"/>
  <c r="BG47" i="115" s="1"/>
  <c r="AI65" i="115"/>
  <c r="BG65" i="115" s="1"/>
  <c r="AI210" i="115"/>
  <c r="BI205" i="115"/>
  <c r="AI216" i="115"/>
  <c r="AI198" i="115"/>
  <c r="BG198" i="115" s="1"/>
  <c r="AI195" i="115"/>
  <c r="CG190" i="115"/>
  <c r="BA31" i="115"/>
  <c r="AJ191" i="115"/>
  <c r="AK31" i="115"/>
  <c r="BI31" i="115" s="1"/>
  <c r="CG31" i="115" s="1"/>
  <c r="Z154" i="115"/>
  <c r="GE52" i="116"/>
  <c r="AC88" i="115"/>
  <c r="CE198" i="115"/>
  <c r="AK107" i="115"/>
  <c r="AK160" i="115" s="1"/>
  <c r="AI37" i="115"/>
  <c r="AC31" i="115"/>
  <c r="AK191" i="115"/>
  <c r="EF33" i="116"/>
  <c r="GE33" i="116" s="1"/>
  <c r="AI46" i="115"/>
  <c r="BG46" i="115" s="1"/>
  <c r="CE46" i="115" s="1"/>
  <c r="CH46" i="115" s="1"/>
  <c r="BI213" i="115"/>
  <c r="CG213" i="115" s="1"/>
  <c r="CE58" i="115"/>
  <c r="CH58" i="115" s="1"/>
  <c r="AI106" i="115"/>
  <c r="AC34" i="115"/>
  <c r="BI119" i="115"/>
  <c r="AI53" i="115"/>
  <c r="BG53" i="115" s="1"/>
  <c r="CE53" i="115" s="1"/>
  <c r="CH53" i="115" s="1"/>
  <c r="BG210" i="115"/>
  <c r="CE210" i="115" s="1"/>
  <c r="AI99" i="115"/>
  <c r="BG99" i="115" s="1"/>
  <c r="AF42" i="116"/>
  <c r="CE42" i="116" s="1"/>
  <c r="ED42" i="116" s="1"/>
  <c r="GC42" i="116" s="1"/>
  <c r="BH190" i="115"/>
  <c r="CF190" i="115" s="1"/>
  <c r="AK190" i="115"/>
  <c r="BI190" i="115" s="1"/>
  <c r="AJ193" i="115"/>
  <c r="BH193" i="115" s="1"/>
  <c r="CF193" i="115" s="1"/>
  <c r="CF215" i="115"/>
  <c r="AK193" i="115"/>
  <c r="CE54" i="115"/>
  <c r="CH54" i="115" s="1"/>
  <c r="AJ44" i="115"/>
  <c r="AI76" i="115"/>
  <c r="AI82" i="115"/>
  <c r="BG82" i="115" s="1"/>
  <c r="CE82" i="115" s="1"/>
  <c r="AK24" i="115"/>
  <c r="AI119" i="115"/>
  <c r="AI172" i="115" s="1"/>
  <c r="N107" i="115"/>
  <c r="N160" i="115" s="1"/>
  <c r="BI109" i="115"/>
  <c r="AI199" i="115"/>
  <c r="BG199" i="115" s="1"/>
  <c r="CE199" i="115" s="1"/>
  <c r="AI212" i="115"/>
  <c r="BG212" i="115" s="1"/>
  <c r="CE212" i="115" s="1"/>
  <c r="BG216" i="115"/>
  <c r="CE216" i="115" s="1"/>
  <c r="EP48" i="116"/>
  <c r="FQ48" i="116" s="1"/>
  <c r="N31" i="115"/>
  <c r="BU38" i="116"/>
  <c r="AJ205" i="115"/>
  <c r="BH205" i="115" s="1"/>
  <c r="CF205" i="115" s="1"/>
  <c r="BI191" i="115"/>
  <c r="CG191" i="115" s="1"/>
  <c r="BH208" i="115"/>
  <c r="CF208" i="115" s="1"/>
  <c r="AI194" i="115"/>
  <c r="BG194" i="115" s="1"/>
  <c r="BG195" i="115"/>
  <c r="CE195" i="115" s="1"/>
  <c r="AK149" i="115"/>
  <c r="AK96" i="115"/>
  <c r="AI197" i="115"/>
  <c r="BG197" i="115" s="1"/>
  <c r="CE197" i="115" s="1"/>
  <c r="CE194" i="115"/>
  <c r="AN55" i="116"/>
  <c r="BU44" i="116"/>
  <c r="CG44" i="116" s="1"/>
  <c r="EF44" i="116" s="1"/>
  <c r="CG205" i="115"/>
  <c r="AI196" i="115"/>
  <c r="BG196" i="115" s="1"/>
  <c r="AJ211" i="115"/>
  <c r="CG36" i="116"/>
  <c r="EF36" i="116" s="1"/>
  <c r="GE36" i="116" s="1"/>
  <c r="BG202" i="115"/>
  <c r="CE202" i="115" s="1"/>
  <c r="BY34" i="115"/>
  <c r="AK77" i="115"/>
  <c r="AI74" i="115"/>
  <c r="BG74" i="115" s="1"/>
  <c r="CG118" i="115"/>
  <c r="AI41" i="115"/>
  <c r="BG41" i="115" s="1"/>
  <c r="CE41" i="115" s="1"/>
  <c r="AX209" i="115"/>
  <c r="AI203" i="115"/>
  <c r="BG203" i="115" s="1"/>
  <c r="CE203" i="115" s="1"/>
  <c r="BG70" i="115"/>
  <c r="CE70" i="115" s="1"/>
  <c r="CH70" i="115" s="1"/>
  <c r="AF41" i="116"/>
  <c r="BH207" i="115"/>
  <c r="CF207" i="115" s="1"/>
  <c r="AJ198" i="115"/>
  <c r="BH198" i="115" s="1"/>
  <c r="CF198" i="115" s="1"/>
  <c r="BH211" i="115"/>
  <c r="CF211" i="115" s="1"/>
  <c r="BH191" i="115"/>
  <c r="CF191" i="115" s="1"/>
  <c r="CG218" i="115"/>
  <c r="AC61" i="115"/>
  <c r="AI61" i="115" s="1"/>
  <c r="AJ192" i="115"/>
  <c r="BH192" i="115" s="1"/>
  <c r="CF192" i="115" s="1"/>
  <c r="BG201" i="115"/>
  <c r="CE201" i="115" s="1"/>
  <c r="EF40" i="116"/>
  <c r="GE40" i="116" s="1"/>
  <c r="BI215" i="115"/>
  <c r="CG215" i="115" s="1"/>
  <c r="BI193" i="115"/>
  <c r="CG193" i="115" s="1"/>
  <c r="AK211" i="115"/>
  <c r="BI211" i="115" s="1"/>
  <c r="CG211" i="115" s="1"/>
  <c r="AI87" i="113"/>
  <c r="AI64" i="113"/>
  <c r="AC41" i="113"/>
  <c r="AK118" i="113"/>
  <c r="AJ132" i="113"/>
  <c r="AI130" i="113"/>
  <c r="N41" i="113"/>
  <c r="AI41" i="113" s="1"/>
  <c r="N251" i="113"/>
  <c r="N132" i="113"/>
  <c r="N232" i="113"/>
  <c r="BS255" i="113"/>
  <c r="BZ193" i="113"/>
  <c r="AI114" i="113"/>
  <c r="BA89" i="113"/>
  <c r="BV255" i="113"/>
  <c r="BZ250" i="113"/>
  <c r="BZ260" i="113" s="1"/>
  <c r="W250" i="113"/>
  <c r="H250" i="113"/>
  <c r="BB193" i="113"/>
  <c r="W193" i="113"/>
  <c r="N235" i="113"/>
  <c r="BY186" i="113"/>
  <c r="BY252" i="113"/>
  <c r="BG38" i="113"/>
  <c r="CE38" i="113" s="1"/>
  <c r="P32" i="113"/>
  <c r="BI107" i="113"/>
  <c r="BY239" i="113"/>
  <c r="BI108" i="113"/>
  <c r="AI93" i="113"/>
  <c r="AI143" i="113"/>
  <c r="AI204" i="113" s="1"/>
  <c r="AC204" i="113"/>
  <c r="AI105" i="113"/>
  <c r="BG105" i="113" s="1"/>
  <c r="CE105" i="113" s="1"/>
  <c r="BC255" i="113"/>
  <c r="DR53" i="116"/>
  <c r="AU36" i="115"/>
  <c r="AW120" i="115"/>
  <c r="AW122" i="115" s="1"/>
  <c r="AV219" i="115"/>
  <c r="BA147" i="115"/>
  <c r="AV17" i="115"/>
  <c r="AU17" i="115" s="1"/>
  <c r="BB25" i="115"/>
  <c r="BB17" i="115" s="1"/>
  <c r="BB45" i="115"/>
  <c r="BB36" i="115" s="1"/>
  <c r="BC153" i="113"/>
  <c r="AU193" i="113"/>
  <c r="AU125" i="113"/>
  <c r="BB125" i="113"/>
  <c r="BA125" i="113" s="1"/>
  <c r="BA111" i="115"/>
  <c r="BA164" i="115" s="1"/>
  <c r="BA101" i="113"/>
  <c r="BA56" i="113"/>
  <c r="AS118" i="113"/>
  <c r="BB118" i="113" s="1"/>
  <c r="BA118" i="113" s="1"/>
  <c r="BA31" i="113"/>
  <c r="AR193" i="113"/>
  <c r="BB66" i="113"/>
  <c r="BA66" i="113" s="1"/>
  <c r="AS48" i="113"/>
  <c r="AR48" i="113" s="1"/>
  <c r="AR154" i="115"/>
  <c r="BA44" i="115"/>
  <c r="BG37" i="115"/>
  <c r="CE37" i="115" s="1"/>
  <c r="BI113" i="115"/>
  <c r="CG113" i="115" s="1"/>
  <c r="AI68" i="115"/>
  <c r="BG68" i="115" s="1"/>
  <c r="CE68" i="115" s="1"/>
  <c r="CH68" i="115" s="1"/>
  <c r="BS48" i="116"/>
  <c r="W24" i="113"/>
  <c r="AI72" i="115"/>
  <c r="AI73" i="115"/>
  <c r="BG73" i="115" s="1"/>
  <c r="CE73" i="115" s="1"/>
  <c r="X155" i="115"/>
  <c r="X159" i="115" s="1"/>
  <c r="BB43" i="116" s="1"/>
  <c r="X36" i="115"/>
  <c r="W36" i="115" s="1"/>
  <c r="W209" i="115"/>
  <c r="BA38" i="116"/>
  <c r="AI94" i="115"/>
  <c r="BG94" i="115" s="1"/>
  <c r="W155" i="115"/>
  <c r="W173" i="115" s="1"/>
  <c r="W125" i="113"/>
  <c r="X118" i="113"/>
  <c r="W118" i="113" s="1"/>
  <c r="W153" i="113" s="1"/>
  <c r="AJ121" i="115"/>
  <c r="AI48" i="115"/>
  <c r="BG48" i="115" s="1"/>
  <c r="CE179" i="115"/>
  <c r="CH179" i="115" s="1"/>
  <c r="BJ179" i="115"/>
  <c r="AD45" i="115"/>
  <c r="AD36" i="115" s="1"/>
  <c r="AC36" i="115" s="1"/>
  <c r="AK44" i="115"/>
  <c r="BI117" i="115"/>
  <c r="BI170" i="115" s="1"/>
  <c r="BI112" i="115"/>
  <c r="CG112" i="115" s="1"/>
  <c r="BI44" i="115"/>
  <c r="AC111" i="115"/>
  <c r="AC164" i="115" s="1"/>
  <c r="AJ71" i="115"/>
  <c r="BH71" i="115" s="1"/>
  <c r="AC71" i="115"/>
  <c r="T154" i="115"/>
  <c r="AC148" i="115"/>
  <c r="AJ31" i="115"/>
  <c r="BH31" i="115" s="1"/>
  <c r="CF31" i="115" s="1"/>
  <c r="AJ61" i="115"/>
  <c r="BH61" i="115" s="1"/>
  <c r="CF61" i="115" s="1"/>
  <c r="CF36" i="116"/>
  <c r="EE36" i="116" s="1"/>
  <c r="GD36" i="116" s="1"/>
  <c r="AC151" i="115"/>
  <c r="AJ66" i="115"/>
  <c r="BH66" i="115" s="1"/>
  <c r="CF66" i="115" s="1"/>
  <c r="AR38" i="116"/>
  <c r="CF32" i="116"/>
  <c r="EE32" i="116" s="1"/>
  <c r="GD32" i="116" s="1"/>
  <c r="AC231" i="113"/>
  <c r="T193" i="113"/>
  <c r="AI49" i="113"/>
  <c r="AI69" i="113"/>
  <c r="AD66" i="113"/>
  <c r="T250" i="113"/>
  <c r="AC89" i="113"/>
  <c r="AI89" i="113" s="1"/>
  <c r="BG89" i="113" s="1"/>
  <c r="CE89" i="113" s="1"/>
  <c r="AD193" i="113"/>
  <c r="U194" i="113"/>
  <c r="U198" i="113" s="1"/>
  <c r="AS53" i="114" s="1"/>
  <c r="T66" i="113"/>
  <c r="AI58" i="113"/>
  <c r="AI60" i="113" s="1"/>
  <c r="AK132" i="113"/>
  <c r="AC244" i="113"/>
  <c r="BC194" i="113"/>
  <c r="BC198" i="113" s="1"/>
  <c r="AI109" i="113"/>
  <c r="AI254" i="113"/>
  <c r="AK253" i="113"/>
  <c r="BZ255" i="113"/>
  <c r="BB250" i="113"/>
  <c r="AC239" i="113"/>
  <c r="AC233" i="113"/>
  <c r="BV250" i="113"/>
  <c r="BV260" i="113" s="1"/>
  <c r="AE193" i="113"/>
  <c r="AE32" i="113"/>
  <c r="AE24" i="113" s="1"/>
  <c r="AC45" i="113"/>
  <c r="N45" i="113"/>
  <c r="BA84" i="113"/>
  <c r="BG53" i="113"/>
  <c r="CE53" i="113" s="1"/>
  <c r="AC196" i="113"/>
  <c r="BI80" i="113"/>
  <c r="AI73" i="113"/>
  <c r="AI236" i="113" s="1"/>
  <c r="BA256" i="113"/>
  <c r="BG113" i="113"/>
  <c r="CE113" i="113" s="1"/>
  <c r="CH113" i="113" s="1"/>
  <c r="AI98" i="113"/>
  <c r="BG98" i="113" s="1"/>
  <c r="CE98" i="113" s="1"/>
  <c r="BY191" i="113"/>
  <c r="AK244" i="113"/>
  <c r="AI35" i="113"/>
  <c r="AI230" i="113" s="1"/>
  <c r="N252" i="113"/>
  <c r="E250" i="113"/>
  <c r="CA255" i="113"/>
  <c r="AU250" i="113"/>
  <c r="AU260" i="113" s="1"/>
  <c r="BP250" i="113"/>
  <c r="BP260" i="113" s="1"/>
  <c r="BB255" i="113"/>
  <c r="BY258" i="113"/>
  <c r="AR255" i="113"/>
  <c r="AK138" i="113"/>
  <c r="AK199" i="113" s="1"/>
  <c r="BY94" i="113"/>
  <c r="AJ112" i="113"/>
  <c r="BH112" i="113" s="1"/>
  <c r="AJ257" i="113"/>
  <c r="AK101" i="113"/>
  <c r="BI101" i="113" s="1"/>
  <c r="CG77" i="113"/>
  <c r="CJ77" i="113" s="1"/>
  <c r="BI50" i="113"/>
  <c r="BI190" i="113" s="1"/>
  <c r="AK45" i="113"/>
  <c r="BI76" i="113"/>
  <c r="BA94" i="113"/>
  <c r="AI77" i="113"/>
  <c r="AI246" i="113" s="1"/>
  <c r="AK259" i="113"/>
  <c r="N254" i="113"/>
  <c r="P250" i="113"/>
  <c r="AE255" i="113"/>
  <c r="AC195" i="113"/>
  <c r="N60" i="113"/>
  <c r="E255" i="113"/>
  <c r="E260" i="113" s="1"/>
  <c r="Z255" i="113"/>
  <c r="Z260" i="113" s="1"/>
  <c r="CS69" i="114"/>
  <c r="CS74" i="114" s="1"/>
  <c r="CQ48" i="114"/>
  <c r="CB176" i="115"/>
  <c r="BG178" i="115"/>
  <c r="BG217" i="113"/>
  <c r="BJ217" i="113" s="1"/>
  <c r="CG48" i="116"/>
  <c r="EF48" i="116" s="1"/>
  <c r="GE48" i="116" s="1"/>
  <c r="BI115" i="115"/>
  <c r="BI168" i="115" s="1"/>
  <c r="AI112" i="115"/>
  <c r="N144" i="113"/>
  <c r="N205" i="113" s="1"/>
  <c r="AI235" i="113"/>
  <c r="L36" i="115"/>
  <c r="K36" i="115" s="1"/>
  <c r="AI93" i="115"/>
  <c r="BG93" i="115" s="1"/>
  <c r="AI126" i="113"/>
  <c r="BG126" i="113" s="1"/>
  <c r="CE126" i="113" s="1"/>
  <c r="O66" i="113"/>
  <c r="N66" i="113" s="1"/>
  <c r="N191" i="113"/>
  <c r="O193" i="113"/>
  <c r="AJ111" i="115"/>
  <c r="AJ164" i="115" s="1"/>
  <c r="BG158" i="113"/>
  <c r="CE158" i="113" s="1"/>
  <c r="AI103" i="115"/>
  <c r="BG103" i="115" s="1"/>
  <c r="CE103" i="115" s="1"/>
  <c r="H255" i="113"/>
  <c r="AJ252" i="113"/>
  <c r="O154" i="115"/>
  <c r="AI51" i="115"/>
  <c r="BG51" i="115" s="1"/>
  <c r="CE51" i="115" s="1"/>
  <c r="CH51" i="115" s="1"/>
  <c r="AI42" i="115"/>
  <c r="BG42" i="115" s="1"/>
  <c r="CE42" i="115" s="1"/>
  <c r="AI32" i="115"/>
  <c r="BG32" i="115" s="1"/>
  <c r="CE32" i="115" s="1"/>
  <c r="AJ24" i="115"/>
  <c r="H45" i="115"/>
  <c r="O94" i="113"/>
  <c r="N94" i="113" s="1"/>
  <c r="AI94" i="113" s="1"/>
  <c r="AI51" i="113"/>
  <c r="BG51" i="113" s="1"/>
  <c r="CE51" i="113" s="1"/>
  <c r="F219" i="115"/>
  <c r="CA250" i="113"/>
  <c r="BS260" i="113"/>
  <c r="CA260" i="113"/>
  <c r="AE250" i="113"/>
  <c r="AE260" i="113" s="1"/>
  <c r="BG64" i="113"/>
  <c r="CE64" i="113" s="1"/>
  <c r="AC251" i="113"/>
  <c r="BC214" i="113"/>
  <c r="X198" i="113"/>
  <c r="BB53" i="114" s="1"/>
  <c r="BB49" i="114"/>
  <c r="X214" i="113"/>
  <c r="P24" i="113"/>
  <c r="P194" i="113"/>
  <c r="P198" i="113" s="1"/>
  <c r="I198" i="113"/>
  <c r="O53" i="114" s="1"/>
  <c r="O49" i="114"/>
  <c r="I214" i="113"/>
  <c r="AC199" i="113"/>
  <c r="BA144" i="113"/>
  <c r="BA205" i="113" s="1"/>
  <c r="BB205" i="113"/>
  <c r="AJ138" i="113"/>
  <c r="AJ199" i="113" s="1"/>
  <c r="AD199" i="113"/>
  <c r="AJ259" i="113"/>
  <c r="CJ72" i="113"/>
  <c r="CG238" i="113"/>
  <c r="CJ238" i="113" s="1"/>
  <c r="CG107" i="113"/>
  <c r="CG241" i="113" s="1"/>
  <c r="BI241" i="113"/>
  <c r="P153" i="113"/>
  <c r="CG246" i="113"/>
  <c r="CJ246" i="113" s="1"/>
  <c r="BG81" i="113"/>
  <c r="BG234" i="113" s="1"/>
  <c r="BA234" i="113"/>
  <c r="BG77" i="113"/>
  <c r="BG246" i="113" s="1"/>
  <c r="BA246" i="113"/>
  <c r="BA236" i="113"/>
  <c r="AI80" i="113"/>
  <c r="AI249" i="113" s="1"/>
  <c r="AC249" i="113"/>
  <c r="AI72" i="113"/>
  <c r="AI238" i="113" s="1"/>
  <c r="AC238" i="113"/>
  <c r="CE46" i="113"/>
  <c r="BY256" i="113"/>
  <c r="BY255" i="113" s="1"/>
  <c r="BY233" i="113"/>
  <c r="CE34" i="113"/>
  <c r="BY229" i="113"/>
  <c r="BY196" i="113"/>
  <c r="BY189" i="113"/>
  <c r="CG43" i="113"/>
  <c r="CG253" i="113" s="1"/>
  <c r="BI253" i="113"/>
  <c r="CG47" i="113"/>
  <c r="CE39" i="113"/>
  <c r="BU24" i="113"/>
  <c r="BU194" i="113"/>
  <c r="N138" i="113"/>
  <c r="N199" i="113" s="1"/>
  <c r="O199" i="113"/>
  <c r="AK240" i="113"/>
  <c r="AK197" i="113"/>
  <c r="AK256" i="113"/>
  <c r="AJ256" i="113"/>
  <c r="AC252" i="113"/>
  <c r="AJ244" i="113"/>
  <c r="AI29" i="113"/>
  <c r="BG29" i="113" s="1"/>
  <c r="CE29" i="113" s="1"/>
  <c r="AC191" i="113"/>
  <c r="AK188" i="113"/>
  <c r="AK186" i="113"/>
  <c r="GK72" i="114"/>
  <c r="AF58" i="118"/>
  <c r="CF41" i="114"/>
  <c r="EE41" i="114" s="1"/>
  <c r="GD41" i="114" s="1"/>
  <c r="DS54" i="114"/>
  <c r="CQ54" i="114"/>
  <c r="BT60" i="114"/>
  <c r="AR60" i="114"/>
  <c r="N54" i="114"/>
  <c r="AG54" i="114"/>
  <c r="AH54" i="114"/>
  <c r="E54" i="114"/>
  <c r="BY254" i="113"/>
  <c r="BA253" i="113"/>
  <c r="BA41" i="113"/>
  <c r="BG41" i="113" s="1"/>
  <c r="BB32" i="113"/>
  <c r="BA244" i="113"/>
  <c r="BA233" i="113"/>
  <c r="BA229" i="113"/>
  <c r="BA196" i="113"/>
  <c r="AX32" i="113"/>
  <c r="AY194" i="113"/>
  <c r="AA24" i="113"/>
  <c r="Z24" i="113" s="1"/>
  <c r="AA194" i="113"/>
  <c r="AC192" i="113"/>
  <c r="AC189" i="113"/>
  <c r="K255" i="113"/>
  <c r="K260" i="113" s="1"/>
  <c r="G153" i="113"/>
  <c r="BC121" i="115"/>
  <c r="BA121" i="115" s="1"/>
  <c r="AE90" i="115"/>
  <c r="BT48" i="114"/>
  <c r="CF47" i="114"/>
  <c r="EE47" i="114" s="1"/>
  <c r="GD47" i="114" s="1"/>
  <c r="CQ60" i="114"/>
  <c r="F118" i="113"/>
  <c r="O125" i="113"/>
  <c r="N125" i="113" s="1"/>
  <c r="BA240" i="113"/>
  <c r="BA197" i="113"/>
  <c r="BA257" i="113"/>
  <c r="AX250" i="113"/>
  <c r="BY228" i="113"/>
  <c r="BY195" i="113"/>
  <c r="BA254" i="113"/>
  <c r="BA252" i="113"/>
  <c r="BA235" i="113"/>
  <c r="AW198" i="113"/>
  <c r="DB53" i="114" s="1"/>
  <c r="DB49" i="114"/>
  <c r="DB69" i="114" s="1"/>
  <c r="DB74" i="114" s="1"/>
  <c r="AW214" i="113"/>
  <c r="BA191" i="113"/>
  <c r="AB198" i="113"/>
  <c r="BL53" i="114" s="1"/>
  <c r="BL49" i="114"/>
  <c r="AB214" i="113"/>
  <c r="Y198" i="113"/>
  <c r="BC53" i="114" s="1"/>
  <c r="BC49" i="114"/>
  <c r="BC69" i="114" s="1"/>
  <c r="BC74" i="114" s="1"/>
  <c r="Y214" i="113"/>
  <c r="V194" i="113"/>
  <c r="AK232" i="113"/>
  <c r="AC229" i="113"/>
  <c r="AC228" i="113"/>
  <c r="W260" i="113"/>
  <c r="AC188" i="113"/>
  <c r="M198" i="113"/>
  <c r="Y53" i="114" s="1"/>
  <c r="Y49" i="114"/>
  <c r="Y69" i="114" s="1"/>
  <c r="Y74" i="114" s="1"/>
  <c r="M214" i="113"/>
  <c r="J198" i="113"/>
  <c r="P53" i="114" s="1"/>
  <c r="P49" i="114"/>
  <c r="P69" i="114" s="1"/>
  <c r="P74" i="114" s="1"/>
  <c r="J214" i="113"/>
  <c r="BT194" i="113"/>
  <c r="AC153" i="115"/>
  <c r="BA151" i="115"/>
  <c r="X17" i="115"/>
  <c r="W17" i="115" s="1"/>
  <c r="T45" i="115"/>
  <c r="AI59" i="115"/>
  <c r="BG59" i="115" s="1"/>
  <c r="CE59" i="115" s="1"/>
  <c r="CH59" i="115" s="1"/>
  <c r="BH44" i="115"/>
  <c r="AK75" i="115"/>
  <c r="AI80" i="115"/>
  <c r="BG80" i="115" s="1"/>
  <c r="H71" i="115"/>
  <c r="AI105" i="115"/>
  <c r="BG105" i="115" s="1"/>
  <c r="AI101" i="115"/>
  <c r="BG101" i="115" s="1"/>
  <c r="AI95" i="115"/>
  <c r="BG95" i="115" s="1"/>
  <c r="CA97" i="115"/>
  <c r="AE97" i="115"/>
  <c r="AE155" i="115" s="1"/>
  <c r="P90" i="115"/>
  <c r="AK90" i="115" s="1"/>
  <c r="BI90" i="115" s="1"/>
  <c r="O77" i="115"/>
  <c r="N77" i="115" s="1"/>
  <c r="BC45" i="115"/>
  <c r="BC36" i="115" s="1"/>
  <c r="BA36" i="115" s="1"/>
  <c r="BI94" i="115"/>
  <c r="CG94" i="115" s="1"/>
  <c r="CG96" i="115" s="1"/>
  <c r="BY149" i="115"/>
  <c r="BV36" i="115"/>
  <c r="BC97" i="115"/>
  <c r="BI20" i="115"/>
  <c r="BI149" i="115" s="1"/>
  <c r="AC44" i="115"/>
  <c r="H209" i="115"/>
  <c r="BY147" i="115"/>
  <c r="BA152" i="115"/>
  <c r="AK147" i="115"/>
  <c r="AC152" i="115"/>
  <c r="AI64" i="115"/>
  <c r="BG64" i="115" s="1"/>
  <c r="CE64" i="115" s="1"/>
  <c r="CH64" i="115" s="1"/>
  <c r="BH110" i="115"/>
  <c r="BH163" i="115" s="1"/>
  <c r="AU45" i="115"/>
  <c r="N213" i="115"/>
  <c r="BI110" i="115"/>
  <c r="CG110" i="115" s="1"/>
  <c r="CG163" i="115" s="1"/>
  <c r="BI108" i="115"/>
  <c r="CG108" i="115" s="1"/>
  <c r="CG161" i="115" s="1"/>
  <c r="BS25" i="115"/>
  <c r="L198" i="113"/>
  <c r="X53" i="114" s="1"/>
  <c r="X49" i="114"/>
  <c r="L214" i="113"/>
  <c r="BY192" i="113"/>
  <c r="AC84" i="113"/>
  <c r="AI84" i="113" s="1"/>
  <c r="AC132" i="113"/>
  <c r="AI132" i="113" s="1"/>
  <c r="BS125" i="113"/>
  <c r="BY138" i="113"/>
  <c r="BY199" i="113" s="1"/>
  <c r="AK124" i="113"/>
  <c r="E125" i="113"/>
  <c r="CE115" i="113"/>
  <c r="CH115" i="113" s="1"/>
  <c r="O101" i="113"/>
  <c r="N101" i="113" s="1"/>
  <c r="AI151" i="113"/>
  <c r="AI212" i="113" s="1"/>
  <c r="AC212" i="113"/>
  <c r="AI149" i="113"/>
  <c r="AI210" i="113" s="1"/>
  <c r="AC210" i="113"/>
  <c r="AI147" i="113"/>
  <c r="AI208" i="113" s="1"/>
  <c r="AC208" i="113"/>
  <c r="AI145" i="113"/>
  <c r="AI206" i="113" s="1"/>
  <c r="AC206" i="113"/>
  <c r="AI142" i="113"/>
  <c r="AI203" i="113" s="1"/>
  <c r="AC203" i="113"/>
  <c r="AI140" i="113"/>
  <c r="AI201" i="113" s="1"/>
  <c r="AC201" i="113"/>
  <c r="AI137" i="113"/>
  <c r="AI259" i="113" s="1"/>
  <c r="AI135" i="113"/>
  <c r="BG135" i="113" s="1"/>
  <c r="AI131" i="113"/>
  <c r="AI127" i="113"/>
  <c r="AI119" i="113"/>
  <c r="BG119" i="113" s="1"/>
  <c r="CE119" i="113" s="1"/>
  <c r="AK144" i="113"/>
  <c r="AK205" i="113" s="1"/>
  <c r="AE205" i="113"/>
  <c r="N192" i="113"/>
  <c r="CA101" i="113"/>
  <c r="BY101" i="113" s="1"/>
  <c r="AI116" i="113"/>
  <c r="BG116" i="113" s="1"/>
  <c r="AI108" i="113"/>
  <c r="AI242" i="113" s="1"/>
  <c r="AC242" i="113"/>
  <c r="AI104" i="113"/>
  <c r="BG104" i="113" s="1"/>
  <c r="AC101" i="113"/>
  <c r="AI97" i="113"/>
  <c r="AJ94" i="113"/>
  <c r="BH94" i="113" s="1"/>
  <c r="CF94" i="113" s="1"/>
  <c r="AI96" i="113"/>
  <c r="BG96" i="113" s="1"/>
  <c r="AI152" i="113"/>
  <c r="AI213" i="113" s="1"/>
  <c r="AC213" i="113"/>
  <c r="AI148" i="113"/>
  <c r="AI209" i="113" s="1"/>
  <c r="AC209" i="113"/>
  <c r="AI141" i="113"/>
  <c r="AI202" i="113" s="1"/>
  <c r="AC202" i="113"/>
  <c r="AI139" i="113"/>
  <c r="AI200" i="113" s="1"/>
  <c r="AC200" i="113"/>
  <c r="AI133" i="113"/>
  <c r="AI128" i="113"/>
  <c r="BG128" i="113" s="1"/>
  <c r="AI122" i="113"/>
  <c r="BG122" i="113" s="1"/>
  <c r="AI120" i="113"/>
  <c r="BG120" i="113" s="1"/>
  <c r="AV153" i="113"/>
  <c r="AJ258" i="113"/>
  <c r="CJ92" i="113"/>
  <c r="CG257" i="113"/>
  <c r="CG50" i="113"/>
  <c r="BA57" i="113"/>
  <c r="AK192" i="113"/>
  <c r="BS32" i="113"/>
  <c r="BS194" i="113" s="1"/>
  <c r="BS198" i="113" s="1"/>
  <c r="AC31" i="113"/>
  <c r="BI109" i="113"/>
  <c r="BI105" i="113"/>
  <c r="AI107" i="113"/>
  <c r="AI241" i="113" s="1"/>
  <c r="AJ254" i="113"/>
  <c r="CG81" i="113"/>
  <c r="CG73" i="113"/>
  <c r="BZ66" i="113"/>
  <c r="BZ194" i="113" s="1"/>
  <c r="BG93" i="113"/>
  <c r="CE93" i="113" s="1"/>
  <c r="BA259" i="113"/>
  <c r="BG86" i="113"/>
  <c r="BA239" i="113"/>
  <c r="BA60" i="113"/>
  <c r="AI92" i="113"/>
  <c r="BG92" i="113" s="1"/>
  <c r="CE92" i="113" s="1"/>
  <c r="AC257" i="113"/>
  <c r="AI78" i="113"/>
  <c r="AI247" i="113" s="1"/>
  <c r="AC247" i="113"/>
  <c r="AI70" i="113"/>
  <c r="AI232" i="113" s="1"/>
  <c r="AI54" i="113"/>
  <c r="BG54" i="113" s="1"/>
  <c r="CE54" i="113" s="1"/>
  <c r="AI50" i="113"/>
  <c r="AI190" i="113" s="1"/>
  <c r="AC190" i="113"/>
  <c r="AI71" i="113"/>
  <c r="BG71" i="113" s="1"/>
  <c r="CE71" i="113" s="1"/>
  <c r="CF46" i="113"/>
  <c r="CF43" i="113"/>
  <c r="CF40" i="113"/>
  <c r="BY253" i="113"/>
  <c r="BY244" i="113"/>
  <c r="BY231" i="113"/>
  <c r="BW194" i="113"/>
  <c r="BY187" i="113"/>
  <c r="AI40" i="113"/>
  <c r="N244" i="113"/>
  <c r="AI30" i="113"/>
  <c r="BG30" i="113" s="1"/>
  <c r="CE30" i="113" s="1"/>
  <c r="X153" i="113"/>
  <c r="BY251" i="113"/>
  <c r="BI93" i="113"/>
  <c r="CG83" i="113"/>
  <c r="CG79" i="113"/>
  <c r="BI248" i="113"/>
  <c r="CG75" i="113"/>
  <c r="BI237" i="113"/>
  <c r="CG44" i="113"/>
  <c r="CG254" i="113" s="1"/>
  <c r="BI254" i="113"/>
  <c r="CF39" i="113"/>
  <c r="AK57" i="113"/>
  <c r="BI57" i="113" s="1"/>
  <c r="CG34" i="113"/>
  <c r="BI257" i="113"/>
  <c r="BI78" i="113"/>
  <c r="BI46" i="113"/>
  <c r="CG39" i="113"/>
  <c r="CG235" i="113" s="1"/>
  <c r="BI235" i="113"/>
  <c r="BI37" i="113"/>
  <c r="BI35" i="113"/>
  <c r="AK257" i="113"/>
  <c r="BR24" i="113"/>
  <c r="BP24" i="113" s="1"/>
  <c r="BR194" i="113"/>
  <c r="BA251" i="113"/>
  <c r="AK239" i="113"/>
  <c r="BY188" i="113"/>
  <c r="AK258" i="113"/>
  <c r="AI256" i="113"/>
  <c r="AJ253" i="113"/>
  <c r="AK235" i="113"/>
  <c r="AK229" i="113"/>
  <c r="AK196" i="113"/>
  <c r="AK228" i="113"/>
  <c r="AK195" i="113"/>
  <c r="W194" i="113"/>
  <c r="AJ188" i="113"/>
  <c r="AY24" i="113"/>
  <c r="AK254" i="113"/>
  <c r="AK252" i="113"/>
  <c r="AJ235" i="113"/>
  <c r="AK191" i="113"/>
  <c r="AK189" i="113"/>
  <c r="AK187" i="113"/>
  <c r="AC186" i="113"/>
  <c r="BS49" i="116"/>
  <c r="EP38" i="116"/>
  <c r="CG31" i="116"/>
  <c r="EF31" i="116" s="1"/>
  <c r="AI28" i="113"/>
  <c r="BG28" i="113" s="1"/>
  <c r="CE28" i="113" s="1"/>
  <c r="N188" i="113"/>
  <c r="BA48" i="114"/>
  <c r="FR54" i="114"/>
  <c r="EP54" i="114"/>
  <c r="FQ54" i="114" s="1"/>
  <c r="BY240" i="113"/>
  <c r="BY197" i="113"/>
  <c r="AD250" i="113"/>
  <c r="AX255" i="113"/>
  <c r="BA232" i="113"/>
  <c r="BA231" i="113"/>
  <c r="BA228" i="113"/>
  <c r="BA195" i="113"/>
  <c r="AU32" i="113"/>
  <c r="AV194" i="113"/>
  <c r="BA192" i="113"/>
  <c r="BA189" i="113"/>
  <c r="BA187" i="113"/>
  <c r="AD255" i="113"/>
  <c r="T255" i="113"/>
  <c r="T260" i="113" s="1"/>
  <c r="AI43" i="113"/>
  <c r="AC253" i="113"/>
  <c r="AC187" i="113"/>
  <c r="H260" i="113"/>
  <c r="G194" i="113"/>
  <c r="P121" i="115"/>
  <c r="AK121" i="115" s="1"/>
  <c r="AT214" i="113"/>
  <c r="EP60" i="114"/>
  <c r="FQ60" i="114" s="1"/>
  <c r="AC240" i="113"/>
  <c r="AC197" i="113"/>
  <c r="BC250" i="113"/>
  <c r="BC260" i="113" s="1"/>
  <c r="AR250" i="113"/>
  <c r="AR260" i="113" s="1"/>
  <c r="AC259" i="113"/>
  <c r="BY235" i="113"/>
  <c r="BY232" i="113"/>
  <c r="BQ194" i="113"/>
  <c r="AZ194" i="113"/>
  <c r="BA188" i="113"/>
  <c r="BA186" i="113"/>
  <c r="AC258" i="113"/>
  <c r="AC256" i="113"/>
  <c r="AC254" i="113"/>
  <c r="AC235" i="113"/>
  <c r="AK233" i="113"/>
  <c r="AC232" i="113"/>
  <c r="AK231" i="113"/>
  <c r="P255" i="113"/>
  <c r="N253" i="113"/>
  <c r="F153" i="113"/>
  <c r="AS194" i="113"/>
  <c r="AJ251" i="113"/>
  <c r="AK251" i="113"/>
  <c r="O250" i="113"/>
  <c r="O260" i="113" s="1"/>
  <c r="CG251" i="113"/>
  <c r="BI251" i="113"/>
  <c r="BI116" i="115"/>
  <c r="CG114" i="115"/>
  <c r="CG167" i="115" s="1"/>
  <c r="CJ167" i="115" s="1"/>
  <c r="AI115" i="115"/>
  <c r="AI168" i="115" s="1"/>
  <c r="BH114" i="115"/>
  <c r="AI50" i="115"/>
  <c r="BG50" i="115" s="1"/>
  <c r="CE50" i="115" s="1"/>
  <c r="CH50" i="115" s="1"/>
  <c r="G60" i="114"/>
  <c r="E60" i="114" s="1"/>
  <c r="AF60" i="114" s="1"/>
  <c r="G214" i="113"/>
  <c r="AG60" i="114"/>
  <c r="CG25" i="113"/>
  <c r="CG186" i="113" s="1"/>
  <c r="BI186" i="113"/>
  <c r="CG29" i="113"/>
  <c r="P193" i="113"/>
  <c r="AI63" i="113"/>
  <c r="BG63" i="113" s="1"/>
  <c r="AJ231" i="113"/>
  <c r="AJ192" i="113"/>
  <c r="AI76" i="113"/>
  <c r="AI245" i="113" s="1"/>
  <c r="AJ239" i="113"/>
  <c r="AJ186" i="113"/>
  <c r="N231" i="113"/>
  <c r="AI91" i="113"/>
  <c r="AI258" i="113" s="1"/>
  <c r="N258" i="113"/>
  <c r="N255" i="113" s="1"/>
  <c r="AI85" i="113"/>
  <c r="AI251" i="113" s="1"/>
  <c r="BG35" i="113"/>
  <c r="CF35" i="113"/>
  <c r="CF230" i="113" s="1"/>
  <c r="BH230" i="113"/>
  <c r="AI75" i="113"/>
  <c r="AI237" i="113" s="1"/>
  <c r="N237" i="113"/>
  <c r="AI79" i="113"/>
  <c r="AI248" i="113" s="1"/>
  <c r="N248" i="113"/>
  <c r="AI83" i="113"/>
  <c r="AI239" i="113" s="1"/>
  <c r="N239" i="113"/>
  <c r="AI68" i="113"/>
  <c r="AI229" i="113" s="1"/>
  <c r="AJ229" i="113"/>
  <c r="AJ196" i="113"/>
  <c r="N229" i="113"/>
  <c r="N196" i="113"/>
  <c r="N228" i="113"/>
  <c r="N195" i="113"/>
  <c r="AJ228" i="113"/>
  <c r="AJ195" i="113"/>
  <c r="AI197" i="113"/>
  <c r="AJ240" i="113"/>
  <c r="AJ197" i="113"/>
  <c r="AJ189" i="113"/>
  <c r="AI129" i="113"/>
  <c r="BG129" i="113" s="1"/>
  <c r="AJ233" i="113"/>
  <c r="N233" i="113"/>
  <c r="AJ191" i="113"/>
  <c r="AJ187" i="113"/>
  <c r="AI27" i="113"/>
  <c r="AI25" i="113"/>
  <c r="N186" i="113"/>
  <c r="F198" i="113"/>
  <c r="F53" i="114" s="1"/>
  <c r="F49" i="114"/>
  <c r="F69" i="114" s="1"/>
  <c r="AF46" i="114"/>
  <c r="E48" i="114"/>
  <c r="AG48" i="114"/>
  <c r="CF46" i="114"/>
  <c r="AI26" i="113"/>
  <c r="N187" i="113"/>
  <c r="CF42" i="114"/>
  <c r="F120" i="115"/>
  <c r="F122" i="115" s="1"/>
  <c r="N149" i="115"/>
  <c r="BA215" i="115"/>
  <c r="AX214" i="115"/>
  <c r="EE46" i="116"/>
  <c r="GD46" i="116" s="1"/>
  <c r="DR40" i="116"/>
  <c r="CQ38" i="116"/>
  <c r="BW155" i="115"/>
  <c r="AU209" i="115"/>
  <c r="AR214" i="115"/>
  <c r="FQ53" i="116"/>
  <c r="FQ41" i="116"/>
  <c r="BR173" i="115"/>
  <c r="BR175" i="115" s="1"/>
  <c r="ER39" i="116"/>
  <c r="BR159" i="115"/>
  <c r="ER43" i="116" s="1"/>
  <c r="BW173" i="115"/>
  <c r="BW175" i="115" s="1"/>
  <c r="FI39" i="116"/>
  <c r="BW159" i="115"/>
  <c r="FI43" i="116" s="1"/>
  <c r="BA24" i="115"/>
  <c r="BA153" i="115"/>
  <c r="P17" i="115"/>
  <c r="AI84" i="115"/>
  <c r="BG84" i="115" s="1"/>
  <c r="N207" i="115"/>
  <c r="AI207" i="115" s="1"/>
  <c r="BG207" i="115" s="1"/>
  <c r="CE207" i="115" s="1"/>
  <c r="AH119" i="115"/>
  <c r="AQ119" i="115" s="1"/>
  <c r="S172" i="115"/>
  <c r="AQ56" i="116" s="1"/>
  <c r="Q118" i="115"/>
  <c r="Q171" i="115" s="1"/>
  <c r="R171" i="115"/>
  <c r="AP55" i="116" s="1"/>
  <c r="BA205" i="115"/>
  <c r="BA158" i="115"/>
  <c r="N205" i="115"/>
  <c r="N158" i="115"/>
  <c r="V17" i="115"/>
  <c r="V120" i="115" s="1"/>
  <c r="V122" i="115" s="1"/>
  <c r="V155" i="115"/>
  <c r="E25" i="115"/>
  <c r="F155" i="115"/>
  <c r="BY213" i="115"/>
  <c r="AI30" i="115"/>
  <c r="BG30" i="115" s="1"/>
  <c r="AC208" i="115"/>
  <c r="AI208" i="115" s="1"/>
  <c r="BG208" i="115" s="1"/>
  <c r="CE208" i="115" s="1"/>
  <c r="AB17" i="115"/>
  <c r="AB120" i="115" s="1"/>
  <c r="AB122" i="115" s="1"/>
  <c r="AB155" i="115"/>
  <c r="AI27" i="115"/>
  <c r="AI157" i="115" s="1"/>
  <c r="N157" i="115"/>
  <c r="N191" i="115"/>
  <c r="CF23" i="115"/>
  <c r="CF18" i="115"/>
  <c r="CF147" i="115" s="1"/>
  <c r="BH147" i="115"/>
  <c r="AI31" i="115"/>
  <c r="BG31" i="115" s="1"/>
  <c r="CF20" i="115"/>
  <c r="BA107" i="115"/>
  <c r="BA160" i="115" s="1"/>
  <c r="BC160" i="115"/>
  <c r="BY107" i="115"/>
  <c r="BY160" i="115" s="1"/>
  <c r="CA160" i="115"/>
  <c r="CG119" i="115"/>
  <c r="BI172" i="115"/>
  <c r="BI26" i="115"/>
  <c r="AK156" i="115"/>
  <c r="AK111" i="115"/>
  <c r="AK164" i="115" s="1"/>
  <c r="P164" i="115"/>
  <c r="BY205" i="115"/>
  <c r="BY158" i="115"/>
  <c r="AI56" i="115"/>
  <c r="BG56" i="115" s="1"/>
  <c r="CE56" i="115" s="1"/>
  <c r="CH56" i="115" s="1"/>
  <c r="N200" i="115"/>
  <c r="AI200" i="115" s="1"/>
  <c r="BG200" i="115" s="1"/>
  <c r="CE200" i="115" s="1"/>
  <c r="BH38" i="115"/>
  <c r="AJ150" i="115"/>
  <c r="AT17" i="115"/>
  <c r="AT120" i="115" s="1"/>
  <c r="AT155" i="115"/>
  <c r="AS17" i="115"/>
  <c r="AR17" i="115" s="1"/>
  <c r="AS155" i="115"/>
  <c r="AI33" i="115"/>
  <c r="BG33" i="115" s="1"/>
  <c r="CE33" i="115" s="1"/>
  <c r="AC213" i="115"/>
  <c r="AI213" i="115" s="1"/>
  <c r="BG213" i="115" s="1"/>
  <c r="AI28" i="115"/>
  <c r="BG28" i="115" s="1"/>
  <c r="CE28" i="115" s="1"/>
  <c r="AC192" i="115"/>
  <c r="BY191" i="115"/>
  <c r="BY157" i="115"/>
  <c r="BX17" i="115"/>
  <c r="BX155" i="115"/>
  <c r="CG51" i="116"/>
  <c r="CF52" i="116"/>
  <c r="EE52" i="116" s="1"/>
  <c r="GD52" i="116" s="1"/>
  <c r="CF41" i="116"/>
  <c r="EE41" i="116" s="1"/>
  <c r="GD41" i="116" s="1"/>
  <c r="CF55" i="116"/>
  <c r="EE55" i="116" s="1"/>
  <c r="CF49" i="116"/>
  <c r="EE49" i="116" s="1"/>
  <c r="GD49" i="116" s="1"/>
  <c r="DS44" i="116"/>
  <c r="CQ44" i="116"/>
  <c r="DR44" i="116" s="1"/>
  <c r="E48" i="116"/>
  <c r="AF48" i="116" s="1"/>
  <c r="AG48" i="116"/>
  <c r="CF48" i="116" s="1"/>
  <c r="AG44" i="116"/>
  <c r="E44" i="116"/>
  <c r="AF44" i="116" s="1"/>
  <c r="BA190" i="115"/>
  <c r="BA156" i="115"/>
  <c r="Y17" i="115"/>
  <c r="Y120" i="115" s="1"/>
  <c r="Y122" i="115" s="1"/>
  <c r="Y155" i="115"/>
  <c r="AZ55" i="116"/>
  <c r="BI55" i="116" s="1"/>
  <c r="AG38" i="116"/>
  <c r="CF37" i="116"/>
  <c r="CF35" i="116"/>
  <c r="EE35" i="116" s="1"/>
  <c r="GD35" i="116" s="1"/>
  <c r="EP44" i="116"/>
  <c r="FQ44" i="116" s="1"/>
  <c r="FR44" i="116"/>
  <c r="DS48" i="116"/>
  <c r="CQ48" i="116"/>
  <c r="DR48" i="116" s="1"/>
  <c r="BT44" i="116"/>
  <c r="AR44" i="116"/>
  <c r="BS44" i="116" s="1"/>
  <c r="N190" i="115"/>
  <c r="N156" i="115"/>
  <c r="BZ214" i="115"/>
  <c r="BC214" i="115"/>
  <c r="AA155" i="115"/>
  <c r="K209" i="115"/>
  <c r="K219" i="115" s="1"/>
  <c r="BI153" i="115"/>
  <c r="BI151" i="115"/>
  <c r="L155" i="115"/>
  <c r="CA209" i="115"/>
  <c r="BY192" i="115"/>
  <c r="AJ156" i="115"/>
  <c r="Z209" i="115"/>
  <c r="AD209" i="115"/>
  <c r="BY153" i="115"/>
  <c r="AK152" i="115"/>
  <c r="AK148" i="115"/>
  <c r="N153" i="115"/>
  <c r="N151" i="115"/>
  <c r="N147" i="115"/>
  <c r="BP209" i="115"/>
  <c r="BA193" i="115"/>
  <c r="N215" i="115"/>
  <c r="AJ153" i="115"/>
  <c r="AJ151" i="115"/>
  <c r="AJ148" i="115"/>
  <c r="N218" i="115"/>
  <c r="FQ55" i="116"/>
  <c r="FQ46" i="116"/>
  <c r="FQ40" i="116"/>
  <c r="BS55" i="116"/>
  <c r="BS53" i="116"/>
  <c r="BS51" i="116"/>
  <c r="AF46" i="116"/>
  <c r="CE46" i="116" s="1"/>
  <c r="ED46" i="116" s="1"/>
  <c r="BS40" i="116"/>
  <c r="DR56" i="116"/>
  <c r="DR41" i="116"/>
  <c r="BS56" i="116"/>
  <c r="CE56" i="116" s="1"/>
  <c r="BS54" i="116"/>
  <c r="CE54" i="116" s="1"/>
  <c r="ED54" i="116" s="1"/>
  <c r="GC54" i="116" s="1"/>
  <c r="CF53" i="116"/>
  <c r="EE53" i="116" s="1"/>
  <c r="GD53" i="116" s="1"/>
  <c r="BS52" i="116"/>
  <c r="CE52" i="116" s="1"/>
  <c r="CF51" i="116"/>
  <c r="EE51" i="116" s="1"/>
  <c r="GD51" i="116" s="1"/>
  <c r="BS50" i="116"/>
  <c r="CE50" i="116" s="1"/>
  <c r="ED50" i="116" s="1"/>
  <c r="GC50" i="116" s="1"/>
  <c r="CF47" i="116"/>
  <c r="EE47" i="116" s="1"/>
  <c r="GD47" i="116" s="1"/>
  <c r="AF45" i="116"/>
  <c r="CF42" i="116"/>
  <c r="EE42" i="116" s="1"/>
  <c r="GD42" i="116" s="1"/>
  <c r="BS41" i="116"/>
  <c r="AF40" i="116"/>
  <c r="BA149" i="115"/>
  <c r="FR38" i="116"/>
  <c r="AC211" i="115"/>
  <c r="W214" i="115"/>
  <c r="W219" i="115" s="1"/>
  <c r="AE214" i="115"/>
  <c r="AE209" i="115"/>
  <c r="N211" i="115"/>
  <c r="K214" i="115"/>
  <c r="H214" i="115"/>
  <c r="H219" i="115" s="1"/>
  <c r="O209" i="115"/>
  <c r="P214" i="115"/>
  <c r="P219" i="115" s="1"/>
  <c r="P209" i="115"/>
  <c r="BC17" i="115"/>
  <c r="AI83" i="115"/>
  <c r="BG83" i="115" s="1"/>
  <c r="N206" i="115"/>
  <c r="AI206" i="115" s="1"/>
  <c r="BG206" i="115" s="1"/>
  <c r="CE206" i="115" s="1"/>
  <c r="AN118" i="115"/>
  <c r="AH171" i="115"/>
  <c r="AN171" i="115" s="1"/>
  <c r="AC205" i="115"/>
  <c r="AI205" i="115" s="1"/>
  <c r="AC158" i="115"/>
  <c r="BY218" i="115"/>
  <c r="CE60" i="115"/>
  <c r="CH60" i="115" s="1"/>
  <c r="BY204" i="115"/>
  <c r="CE52" i="115"/>
  <c r="CH52" i="115" s="1"/>
  <c r="BY196" i="115"/>
  <c r="CE196" i="115" s="1"/>
  <c r="BY150" i="115"/>
  <c r="CI26" i="115"/>
  <c r="BY211" i="115"/>
  <c r="AI26" i="115"/>
  <c r="AI156" i="115" s="1"/>
  <c r="AC156" i="115"/>
  <c r="AC190" i="115"/>
  <c r="AI29" i="115"/>
  <c r="BG29" i="115" s="1"/>
  <c r="CE29" i="115" s="1"/>
  <c r="N193" i="115"/>
  <c r="M17" i="115"/>
  <c r="M120" i="115" s="1"/>
  <c r="M122" i="115" s="1"/>
  <c r="M155" i="115"/>
  <c r="J17" i="115"/>
  <c r="J155" i="115"/>
  <c r="BY24" i="115"/>
  <c r="BY152" i="115"/>
  <c r="CF22" i="115"/>
  <c r="CF19" i="115"/>
  <c r="AE17" i="115"/>
  <c r="AC17" i="115" s="1"/>
  <c r="AI117" i="115"/>
  <c r="AI170" i="115" s="1"/>
  <c r="AC170" i="115"/>
  <c r="AI113" i="115"/>
  <c r="AI166" i="115" s="1"/>
  <c r="AC166" i="115"/>
  <c r="AI109" i="115"/>
  <c r="AI162" i="115" s="1"/>
  <c r="AC162" i="115"/>
  <c r="BG38" i="115"/>
  <c r="BG150" i="115" s="1"/>
  <c r="AI150" i="115"/>
  <c r="CF118" i="115"/>
  <c r="BH171" i="115"/>
  <c r="CJ118" i="115"/>
  <c r="CG171" i="115"/>
  <c r="CJ171" i="115" s="1"/>
  <c r="AI69" i="115"/>
  <c r="BG69" i="115" s="1"/>
  <c r="CE69" i="115" s="1"/>
  <c r="CH69" i="115" s="1"/>
  <c r="N217" i="115"/>
  <c r="AI217" i="115" s="1"/>
  <c r="BG217" i="115" s="1"/>
  <c r="CE217" i="115" s="1"/>
  <c r="BY190" i="115"/>
  <c r="BY156" i="115"/>
  <c r="AC191" i="115"/>
  <c r="AC157" i="115"/>
  <c r="BI163" i="115"/>
  <c r="BA191" i="115"/>
  <c r="BA157" i="115"/>
  <c r="BI27" i="115"/>
  <c r="AK157" i="115"/>
  <c r="AI116" i="115"/>
  <c r="AI169" i="115" s="1"/>
  <c r="N169" i="115"/>
  <c r="AI108" i="115"/>
  <c r="AI161" i="115" s="1"/>
  <c r="N161" i="115"/>
  <c r="G17" i="115"/>
  <c r="G155" i="115"/>
  <c r="CG53" i="116"/>
  <c r="CF56" i="116"/>
  <c r="EE56" i="116" s="1"/>
  <c r="GD56" i="116" s="1"/>
  <c r="DT38" i="116"/>
  <c r="BT38" i="116"/>
  <c r="CG37" i="116"/>
  <c r="AH38" i="116"/>
  <c r="CF34" i="116"/>
  <c r="EE34" i="116" s="1"/>
  <c r="GD34" i="116" s="1"/>
  <c r="BP219" i="115"/>
  <c r="AZ17" i="115"/>
  <c r="AZ155" i="115"/>
  <c r="FS38" i="116"/>
  <c r="BQ17" i="115"/>
  <c r="BP17" i="115" s="1"/>
  <c r="BQ155" i="115"/>
  <c r="U55" i="116"/>
  <c r="K55" i="116"/>
  <c r="H17" i="115"/>
  <c r="AS120" i="115"/>
  <c r="AS122" i="115" s="1"/>
  <c r="CG61" i="115"/>
  <c r="AC66" i="115"/>
  <c r="AR155" i="115"/>
  <c r="O214" i="115"/>
  <c r="BZ209" i="115"/>
  <c r="BZ219" i="115" s="1"/>
  <c r="BY193" i="115"/>
  <c r="BB214" i="115"/>
  <c r="AJ157" i="115"/>
  <c r="CF21" i="115"/>
  <c r="BH156" i="115"/>
  <c r="BI152" i="115"/>
  <c r="BI148" i="115"/>
  <c r="AD214" i="115"/>
  <c r="AJ214" i="115" s="1"/>
  <c r="I155" i="115"/>
  <c r="AR209" i="115"/>
  <c r="AC215" i="115"/>
  <c r="AI215" i="115" s="1"/>
  <c r="AC193" i="115"/>
  <c r="AI193" i="115" s="1"/>
  <c r="T209" i="115"/>
  <c r="AK153" i="115"/>
  <c r="AK151" i="115"/>
  <c r="AC147" i="115"/>
  <c r="N152" i="115"/>
  <c r="N148" i="115"/>
  <c r="AJ152" i="115"/>
  <c r="AJ149" i="115"/>
  <c r="AJ147" i="115"/>
  <c r="AV155" i="115"/>
  <c r="BA218" i="115"/>
  <c r="FQ52" i="116"/>
  <c r="BS45" i="116"/>
  <c r="DR52" i="116"/>
  <c r="DR51" i="116"/>
  <c r="AF55" i="116"/>
  <c r="CF54" i="116"/>
  <c r="EE54" i="116" s="1"/>
  <c r="GD54" i="116" s="1"/>
  <c r="AF53" i="116"/>
  <c r="AF51" i="116"/>
  <c r="CF50" i="116"/>
  <c r="EE50" i="116" s="1"/>
  <c r="GD50" i="116" s="1"/>
  <c r="AF49" i="116"/>
  <c r="AF47" i="116"/>
  <c r="CE47" i="116" s="1"/>
  <c r="ED47" i="116" s="1"/>
  <c r="CF45" i="116"/>
  <c r="EE45" i="116" s="1"/>
  <c r="GD45" i="116" s="1"/>
  <c r="CF40" i="116"/>
  <c r="EE40" i="116" s="1"/>
  <c r="GD40" i="116" s="1"/>
  <c r="BU155" i="115"/>
  <c r="AW155" i="115"/>
  <c r="BY148" i="115"/>
  <c r="BA148" i="115"/>
  <c r="CZ38" i="116"/>
  <c r="AC218" i="115"/>
  <c r="AI218" i="115" s="1"/>
  <c r="BG218" i="115" s="1"/>
  <c r="AC204" i="115"/>
  <c r="N204" i="115"/>
  <c r="BV214" i="115"/>
  <c r="AU214" i="115"/>
  <c r="BA211" i="115"/>
  <c r="BC209" i="115"/>
  <c r="BB209" i="115"/>
  <c r="BA192" i="115"/>
  <c r="U155" i="115"/>
  <c r="EY38" i="116"/>
  <c r="DS38" i="116"/>
  <c r="E38" i="116"/>
  <c r="CF33" i="116"/>
  <c r="EE33" i="116" s="1"/>
  <c r="GD33" i="116" s="1"/>
  <c r="CF31" i="116"/>
  <c r="EE31" i="116" s="1"/>
  <c r="GD31" i="116" s="1"/>
  <c r="BY215" i="115"/>
  <c r="BS214" i="115"/>
  <c r="BS219" i="115" s="1"/>
  <c r="BV209" i="115"/>
  <c r="BV219" i="115" s="1"/>
  <c r="BT155" i="115"/>
  <c r="AY155" i="115"/>
  <c r="Z214" i="115"/>
  <c r="T214" i="115"/>
  <c r="N192" i="115"/>
  <c r="AE56" i="116"/>
  <c r="O47" i="119" s="1"/>
  <c r="B55" i="116"/>
  <c r="EJ66" i="116"/>
  <c r="EJ68" i="116"/>
  <c r="GE45" i="114"/>
  <c r="GD45" i="114"/>
  <c r="GD61" i="114"/>
  <c r="GD56" i="114"/>
  <c r="GD52" i="114"/>
  <c r="GD55" i="114"/>
  <c r="GE32" i="116"/>
  <c r="GE46" i="116"/>
  <c r="GE47" i="116"/>
  <c r="AL159" i="113"/>
  <c r="BV125" i="113"/>
  <c r="BW118" i="113"/>
  <c r="BV118" i="113" s="1"/>
  <c r="AC32" i="113"/>
  <c r="AD24" i="113"/>
  <c r="AJ41" i="113"/>
  <c r="BP32" i="113"/>
  <c r="BA114" i="113"/>
  <c r="BG114" i="113" s="1"/>
  <c r="CE114" i="113" s="1"/>
  <c r="AX66" i="113"/>
  <c r="BP94" i="113"/>
  <c r="T94" i="113"/>
  <c r="AI42" i="113"/>
  <c r="BG42" i="113" s="1"/>
  <c r="CE42" i="113" s="1"/>
  <c r="CE159" i="113"/>
  <c r="CH159" i="113" s="1"/>
  <c r="BP125" i="113"/>
  <c r="BQ118" i="113"/>
  <c r="BA138" i="113"/>
  <c r="AI146" i="113"/>
  <c r="AI207" i="113" s="1"/>
  <c r="Z125" i="113"/>
  <c r="BG83" i="113"/>
  <c r="CE83" i="113" s="1"/>
  <c r="BG67" i="113"/>
  <c r="CE67" i="113" s="1"/>
  <c r="BG44" i="113"/>
  <c r="BG40" i="113"/>
  <c r="BG47" i="113"/>
  <c r="BG36" i="113"/>
  <c r="CE36" i="113" s="1"/>
  <c r="AC56" i="113"/>
  <c r="AI55" i="113"/>
  <c r="BY100" i="113"/>
  <c r="BY124" i="113"/>
  <c r="BY144" i="113"/>
  <c r="BY205" i="113" s="1"/>
  <c r="BI150" i="113"/>
  <c r="BI211" i="113" s="1"/>
  <c r="BG140" i="113"/>
  <c r="BG201" i="113" s="1"/>
  <c r="BY31" i="113"/>
  <c r="AC100" i="113"/>
  <c r="AI99" i="113"/>
  <c r="BI118" i="113"/>
  <c r="CG118" i="113" s="1"/>
  <c r="BG132" i="113"/>
  <c r="BY134" i="113"/>
  <c r="BI152" i="113"/>
  <c r="BI213" i="113" s="1"/>
  <c r="BI148" i="113"/>
  <c r="BI209" i="113" s="1"/>
  <c r="AC144" i="113"/>
  <c r="AJ144" i="113"/>
  <c r="AJ205" i="113" s="1"/>
  <c r="BI141" i="113"/>
  <c r="BI202" i="113" s="1"/>
  <c r="AC134" i="113"/>
  <c r="AI134" i="113" s="1"/>
  <c r="AJ134" i="113"/>
  <c r="BI132" i="113"/>
  <c r="BI128" i="113"/>
  <c r="BI231" i="113" s="1"/>
  <c r="BI125" i="113"/>
  <c r="BI120" i="113"/>
  <c r="BI188" i="113" s="1"/>
  <c r="BH116" i="113"/>
  <c r="BH113" i="113"/>
  <c r="BH110" i="113"/>
  <c r="BH108" i="113"/>
  <c r="BH242" i="113" s="1"/>
  <c r="BH106" i="113"/>
  <c r="BH104" i="113"/>
  <c r="BH102" i="113"/>
  <c r="BH98" i="113"/>
  <c r="BH96" i="113"/>
  <c r="BH151" i="113"/>
  <c r="BH212" i="113" s="1"/>
  <c r="BH149" i="113"/>
  <c r="BH210" i="113" s="1"/>
  <c r="BH147" i="113"/>
  <c r="BH208" i="113" s="1"/>
  <c r="BH145" i="113"/>
  <c r="BH206" i="113" s="1"/>
  <c r="BH142" i="113"/>
  <c r="BH203" i="113" s="1"/>
  <c r="BH140" i="113"/>
  <c r="BH201" i="113" s="1"/>
  <c r="BH137" i="113"/>
  <c r="BH135" i="113"/>
  <c r="BH131" i="113"/>
  <c r="BH129" i="113"/>
  <c r="BH127" i="113"/>
  <c r="BH123" i="113"/>
  <c r="AJ124" i="113"/>
  <c r="BH121" i="113"/>
  <c r="BH119" i="113"/>
  <c r="AR118" i="113"/>
  <c r="BI149" i="113"/>
  <c r="BI210" i="113" s="1"/>
  <c r="BI145" i="113"/>
  <c r="BI206" i="113" s="1"/>
  <c r="BI142" i="113"/>
  <c r="BI203" i="113" s="1"/>
  <c r="BI135" i="113"/>
  <c r="BH132" i="113"/>
  <c r="CF132" i="113" s="1"/>
  <c r="BI129" i="113"/>
  <c r="BI233" i="113" s="1"/>
  <c r="T125" i="113"/>
  <c r="U118" i="113"/>
  <c r="BI119" i="113"/>
  <c r="BI187" i="113" s="1"/>
  <c r="BI99" i="113"/>
  <c r="BG95" i="113"/>
  <c r="CE95" i="113" s="1"/>
  <c r="BH152" i="113"/>
  <c r="BH213" i="113" s="1"/>
  <c r="BH150" i="113"/>
  <c r="BH211" i="113" s="1"/>
  <c r="BH148" i="113"/>
  <c r="BH209" i="113" s="1"/>
  <c r="BH146" i="113"/>
  <c r="BH207" i="113" s="1"/>
  <c r="BH143" i="113"/>
  <c r="BH204" i="113" s="1"/>
  <c r="BH141" i="113"/>
  <c r="BH202" i="113" s="1"/>
  <c r="BH139" i="113"/>
  <c r="BH200" i="113" s="1"/>
  <c r="BH136" i="113"/>
  <c r="BH133" i="113"/>
  <c r="BH130" i="113"/>
  <c r="BH128" i="113"/>
  <c r="BH126" i="113"/>
  <c r="BI123" i="113"/>
  <c r="BH122" i="113"/>
  <c r="BH120" i="113"/>
  <c r="BH91" i="113"/>
  <c r="BH85" i="113"/>
  <c r="BH81" i="113"/>
  <c r="BH234" i="113" s="1"/>
  <c r="BH77" i="113"/>
  <c r="BH246" i="113" s="1"/>
  <c r="BH73" i="113"/>
  <c r="BH236" i="113" s="1"/>
  <c r="BH69" i="113"/>
  <c r="BH65" i="113"/>
  <c r="BH63" i="113"/>
  <c r="BH61" i="113"/>
  <c r="BH58" i="113"/>
  <c r="BH54" i="113"/>
  <c r="BH52" i="113"/>
  <c r="BH50" i="113"/>
  <c r="BH190" i="113" s="1"/>
  <c r="BY60" i="113"/>
  <c r="BH114" i="113"/>
  <c r="CF114" i="113" s="1"/>
  <c r="BG111" i="113"/>
  <c r="BG103" i="113"/>
  <c r="BH90" i="113"/>
  <c r="BH86" i="113"/>
  <c r="BH80" i="113"/>
  <c r="BH249" i="113" s="1"/>
  <c r="BH76" i="113"/>
  <c r="BH245" i="113" s="1"/>
  <c r="BH72" i="113"/>
  <c r="BH238" i="113" s="1"/>
  <c r="BH68" i="113"/>
  <c r="BG59" i="113"/>
  <c r="CE59" i="113" s="1"/>
  <c r="CA66" i="113"/>
  <c r="BY57" i="113"/>
  <c r="BH89" i="113"/>
  <c r="CF89" i="113" s="1"/>
  <c r="BG85" i="113"/>
  <c r="BG82" i="113"/>
  <c r="CE82" i="113" s="1"/>
  <c r="BG74" i="113"/>
  <c r="CE74" i="113" s="1"/>
  <c r="BG70" i="113"/>
  <c r="Z66" i="113"/>
  <c r="Z194" i="113" s="1"/>
  <c r="Z198" i="113" s="1"/>
  <c r="BG65" i="113"/>
  <c r="CE65" i="113" s="1"/>
  <c r="BG61" i="113"/>
  <c r="CE61" i="113" s="1"/>
  <c r="AC57" i="113"/>
  <c r="AI57" i="113" s="1"/>
  <c r="AJ57" i="113"/>
  <c r="BY41" i="113"/>
  <c r="BV32" i="113"/>
  <c r="BW24" i="113"/>
  <c r="BI89" i="113"/>
  <c r="BI84" i="113"/>
  <c r="O32" i="113"/>
  <c r="O24" i="113" s="1"/>
  <c r="BY132" i="113"/>
  <c r="BA112" i="113"/>
  <c r="BG112" i="113" s="1"/>
  <c r="CE112" i="113" s="1"/>
  <c r="AI110" i="113"/>
  <c r="AI106" i="113"/>
  <c r="AI102" i="113"/>
  <c r="CE86" i="113"/>
  <c r="CE81" i="113"/>
  <c r="CE234" i="113" s="1"/>
  <c r="CE62" i="113"/>
  <c r="AD125" i="113"/>
  <c r="AC60" i="113"/>
  <c r="CG27" i="113"/>
  <c r="AK32" i="113"/>
  <c r="BY56" i="113"/>
  <c r="AC124" i="113"/>
  <c r="AI123" i="113"/>
  <c r="BI146" i="113"/>
  <c r="BI207" i="113" s="1"/>
  <c r="BI143" i="113"/>
  <c r="BI204" i="113" s="1"/>
  <c r="BI139" i="113"/>
  <c r="BI200" i="113" s="1"/>
  <c r="BI136" i="113"/>
  <c r="BI258" i="113" s="1"/>
  <c r="BI133" i="113"/>
  <c r="BI252" i="113" s="1"/>
  <c r="BI130" i="113"/>
  <c r="BI244" i="113" s="1"/>
  <c r="BI126" i="113"/>
  <c r="BI195" i="113" s="1"/>
  <c r="BI122" i="113"/>
  <c r="BI191" i="113" s="1"/>
  <c r="BH117" i="113"/>
  <c r="BH115" i="113"/>
  <c r="BH111" i="113"/>
  <c r="BH109" i="113"/>
  <c r="BH243" i="113" s="1"/>
  <c r="BH107" i="113"/>
  <c r="BH241" i="113" s="1"/>
  <c r="BH105" i="113"/>
  <c r="BH103" i="113"/>
  <c r="AJ100" i="113"/>
  <c r="BH99" i="113"/>
  <c r="BH97" i="113"/>
  <c r="BH95" i="113"/>
  <c r="BG142" i="113"/>
  <c r="BG203" i="113" s="1"/>
  <c r="BG131" i="113"/>
  <c r="BG127" i="113"/>
  <c r="BG121" i="113"/>
  <c r="CE121" i="113" s="1"/>
  <c r="BI151" i="113"/>
  <c r="BI212" i="113" s="1"/>
  <c r="BI147" i="113"/>
  <c r="BI208" i="113" s="1"/>
  <c r="BI140" i="113"/>
  <c r="BI201" i="113" s="1"/>
  <c r="BI137" i="113"/>
  <c r="BI134" i="113"/>
  <c r="BI131" i="113"/>
  <c r="BI239" i="113" s="1"/>
  <c r="BI127" i="113"/>
  <c r="BI196" i="113" s="1"/>
  <c r="BI121" i="113"/>
  <c r="BI189" i="113" s="1"/>
  <c r="AA153" i="113"/>
  <c r="Z118" i="113"/>
  <c r="H118" i="113"/>
  <c r="BG108" i="113"/>
  <c r="BG97" i="113"/>
  <c r="BG152" i="113"/>
  <c r="BG213" i="113" s="1"/>
  <c r="BG143" i="113"/>
  <c r="BG204" i="113" s="1"/>
  <c r="BG141" i="113"/>
  <c r="BG202" i="113" s="1"/>
  <c r="BG139" i="113"/>
  <c r="BG200" i="113" s="1"/>
  <c r="BG136" i="113"/>
  <c r="BG133" i="113"/>
  <c r="BG130" i="113"/>
  <c r="CE130" i="113" s="1"/>
  <c r="CH130" i="113" s="1"/>
  <c r="BH93" i="113"/>
  <c r="BH87" i="113"/>
  <c r="BH253" i="113" s="1"/>
  <c r="BH83" i="113"/>
  <c r="BH79" i="113"/>
  <c r="BH248" i="113" s="1"/>
  <c r="BH75" i="113"/>
  <c r="BH237" i="113" s="1"/>
  <c r="BH71" i="113"/>
  <c r="BH67" i="113"/>
  <c r="BH64" i="113"/>
  <c r="BH62" i="113"/>
  <c r="BH59" i="113"/>
  <c r="AJ60" i="113"/>
  <c r="BH55" i="113"/>
  <c r="AJ56" i="113"/>
  <c r="BH53" i="113"/>
  <c r="BH51" i="113"/>
  <c r="BH49" i="113"/>
  <c r="BI30" i="113"/>
  <c r="AK31" i="113"/>
  <c r="BG117" i="113"/>
  <c r="BI112" i="113"/>
  <c r="BI94" i="113"/>
  <c r="BH92" i="113"/>
  <c r="BH88" i="113"/>
  <c r="BH254" i="113" s="1"/>
  <c r="BH82" i="113"/>
  <c r="BH78" i="113"/>
  <c r="BH247" i="113" s="1"/>
  <c r="BH74" i="113"/>
  <c r="BH235" i="113" s="1"/>
  <c r="BH70" i="113"/>
  <c r="BH232" i="113" s="1"/>
  <c r="BI59" i="113"/>
  <c r="AK60" i="113"/>
  <c r="BI55" i="113"/>
  <c r="AK56" i="113"/>
  <c r="BV66" i="113"/>
  <c r="AR66" i="113"/>
  <c r="AR194" i="113" s="1"/>
  <c r="BG90" i="113"/>
  <c r="BG256" i="113" s="1"/>
  <c r="BG87" i="113"/>
  <c r="BH84" i="113"/>
  <c r="CF84" i="113" s="1"/>
  <c r="BG76" i="113"/>
  <c r="BG245" i="113" s="1"/>
  <c r="BG72" i="113"/>
  <c r="BG238" i="113" s="1"/>
  <c r="AE66" i="113"/>
  <c r="BG52" i="113"/>
  <c r="BH30" i="113"/>
  <c r="AJ31" i="113"/>
  <c r="CA32" i="113"/>
  <c r="BG88" i="113"/>
  <c r="BG49" i="113"/>
  <c r="BG26" i="113"/>
  <c r="BI45" i="113"/>
  <c r="CG45" i="113" s="1"/>
  <c r="BH41" i="113"/>
  <c r="CF41" i="113" s="1"/>
  <c r="BG37" i="113"/>
  <c r="BG33" i="113"/>
  <c r="AI150" i="113"/>
  <c r="AI211" i="113" s="1"/>
  <c r="CG117" i="113"/>
  <c r="CG115" i="113"/>
  <c r="BZ24" i="113"/>
  <c r="AJ45" i="113"/>
  <c r="AI156" i="113"/>
  <c r="AU153" i="113"/>
  <c r="K66" i="113"/>
  <c r="K48" i="113"/>
  <c r="H66" i="113"/>
  <c r="K32" i="113"/>
  <c r="L24" i="113"/>
  <c r="H32" i="113"/>
  <c r="I24" i="113"/>
  <c r="H24" i="113" s="1"/>
  <c r="AK174" i="115"/>
  <c r="AJ174" i="115"/>
  <c r="BG89" i="115"/>
  <c r="CE89" i="115" s="1"/>
  <c r="CE48" i="115"/>
  <c r="CH48" i="115" s="1"/>
  <c r="BS97" i="115"/>
  <c r="BS155" i="115" s="1"/>
  <c r="BB97" i="115"/>
  <c r="BA88" i="115"/>
  <c r="BA86" i="115"/>
  <c r="BG108" i="115"/>
  <c r="AI176" i="115"/>
  <c r="AL176" i="115" s="1"/>
  <c r="AI123" i="115"/>
  <c r="BG123" i="115" s="1"/>
  <c r="CE123" i="115" s="1"/>
  <c r="BG92" i="115"/>
  <c r="CE92" i="115" s="1"/>
  <c r="AJ86" i="115"/>
  <c r="BH86" i="115" s="1"/>
  <c r="CF86" i="115" s="1"/>
  <c r="J120" i="115"/>
  <c r="J122" i="115" s="1"/>
  <c r="AI114" i="115"/>
  <c r="N111" i="115"/>
  <c r="N164" i="115" s="1"/>
  <c r="BA61" i="115"/>
  <c r="AI57" i="115"/>
  <c r="BG57" i="115" s="1"/>
  <c r="CE57" i="115" s="1"/>
  <c r="CH57" i="115" s="1"/>
  <c r="AI49" i="115"/>
  <c r="BG49" i="115" s="1"/>
  <c r="AI40" i="115"/>
  <c r="BG40" i="115" s="1"/>
  <c r="CE40" i="115" s="1"/>
  <c r="AI35" i="115"/>
  <c r="BG35" i="115" s="1"/>
  <c r="CE35" i="115" s="1"/>
  <c r="AC121" i="115"/>
  <c r="BV45" i="115"/>
  <c r="BG125" i="115"/>
  <c r="CE125" i="115" s="1"/>
  <c r="K17" i="115"/>
  <c r="AC107" i="115"/>
  <c r="AJ107" i="115"/>
  <c r="AJ160" i="115" s="1"/>
  <c r="BH112" i="115"/>
  <c r="BH165" i="115" s="1"/>
  <c r="BH117" i="115"/>
  <c r="BH170" i="115" s="1"/>
  <c r="BH113" i="115"/>
  <c r="BH166" i="115" s="1"/>
  <c r="BH121" i="115"/>
  <c r="E17" i="115"/>
  <c r="BY44" i="115"/>
  <c r="AC77" i="115"/>
  <c r="AI85" i="115"/>
  <c r="BG85" i="115" s="1"/>
  <c r="CE85" i="115" s="1"/>
  <c r="BZ97" i="115"/>
  <c r="AK88" i="115"/>
  <c r="BI88" i="115" s="1"/>
  <c r="CG88" i="115" s="1"/>
  <c r="AC86" i="115"/>
  <c r="N88" i="115"/>
  <c r="AI88" i="115" s="1"/>
  <c r="BG88" i="115" s="1"/>
  <c r="AI81" i="115"/>
  <c r="BY61" i="115"/>
  <c r="BA66" i="115"/>
  <c r="N66" i="115"/>
  <c r="AI118" i="115"/>
  <c r="AI171" i="115" s="1"/>
  <c r="AI110" i="115"/>
  <c r="AI163" i="115" s="1"/>
  <c r="BG62" i="115"/>
  <c r="CE62" i="115" s="1"/>
  <c r="CH62" i="115" s="1"/>
  <c r="T36" i="115"/>
  <c r="AI39" i="115"/>
  <c r="BG39" i="115" s="1"/>
  <c r="CE39" i="115" s="1"/>
  <c r="T17" i="115"/>
  <c r="BH116" i="115"/>
  <c r="BH169" i="115" s="1"/>
  <c r="BH108" i="115"/>
  <c r="BH161" i="115" s="1"/>
  <c r="BH119" i="115"/>
  <c r="BH172" i="115" s="1"/>
  <c r="BH115" i="115"/>
  <c r="BH168" i="115" s="1"/>
  <c r="BH109" i="115"/>
  <c r="BH162" i="115" s="1"/>
  <c r="BG109" i="115"/>
  <c r="BG162" i="115" s="1"/>
  <c r="BG119" i="115"/>
  <c r="BI107" i="115"/>
  <c r="E90" i="115"/>
  <c r="X120" i="115"/>
  <c r="P97" i="115"/>
  <c r="AI43" i="115"/>
  <c r="BG43" i="115" s="1"/>
  <c r="CE43" i="115" s="1"/>
  <c r="BG100" i="115"/>
  <c r="BG91" i="115"/>
  <c r="AX97" i="115"/>
  <c r="AX155" i="115" s="1"/>
  <c r="AY90" i="115"/>
  <c r="AX90" i="115" s="1"/>
  <c r="BH95" i="115"/>
  <c r="BH153" i="115" s="1"/>
  <c r="BH91" i="115"/>
  <c r="BH148" i="115" s="1"/>
  <c r="BH103" i="115"/>
  <c r="BH99" i="115"/>
  <c r="BH92" i="115"/>
  <c r="CF106" i="115"/>
  <c r="CI106" i="115" s="1"/>
  <c r="CG99" i="115"/>
  <c r="CJ99" i="115" s="1"/>
  <c r="CG92" i="115"/>
  <c r="BI104" i="115"/>
  <c r="BZ45" i="115"/>
  <c r="BT36" i="115"/>
  <c r="E45" i="115"/>
  <c r="O45" i="115"/>
  <c r="G36" i="115"/>
  <c r="G120" i="115" s="1"/>
  <c r="P45" i="115"/>
  <c r="BH33" i="115"/>
  <c r="BH27" i="115"/>
  <c r="BI18" i="115"/>
  <c r="BI147" i="115" s="1"/>
  <c r="CG30" i="115"/>
  <c r="CJ30" i="115" s="1"/>
  <c r="AC25" i="115"/>
  <c r="BH24" i="115"/>
  <c r="BI24" i="115"/>
  <c r="CG23" i="115"/>
  <c r="CG22" i="115"/>
  <c r="CG19" i="115"/>
  <c r="CG148" i="115" s="1"/>
  <c r="AK71" i="115"/>
  <c r="BI71" i="115" s="1"/>
  <c r="N86" i="115"/>
  <c r="N209" i="115" s="1"/>
  <c r="O97" i="115"/>
  <c r="AD97" i="115"/>
  <c r="AD155" i="115" s="1"/>
  <c r="CE99" i="115"/>
  <c r="CE94" i="115"/>
  <c r="CG102" i="115"/>
  <c r="AK66" i="115"/>
  <c r="BA71" i="115"/>
  <c r="BA34" i="115"/>
  <c r="T25" i="115"/>
  <c r="CG32" i="115"/>
  <c r="CJ32" i="115" s="1"/>
  <c r="AK25" i="115"/>
  <c r="BY97" i="115"/>
  <c r="BY102" i="115"/>
  <c r="AV90" i="115"/>
  <c r="AU90" i="115" s="1"/>
  <c r="AU97" i="115"/>
  <c r="AR90" i="115"/>
  <c r="BH93" i="115"/>
  <c r="BH151" i="115" s="1"/>
  <c r="BG106" i="115"/>
  <c r="CE106" i="115" s="1"/>
  <c r="CH106" i="115" s="1"/>
  <c r="AJ104" i="115"/>
  <c r="AC104" i="115"/>
  <c r="AI104" i="115" s="1"/>
  <c r="BG98" i="115"/>
  <c r="CE98" i="115" s="1"/>
  <c r="BY104" i="115"/>
  <c r="BY214" i="115" s="1"/>
  <c r="BH105" i="115"/>
  <c r="BH101" i="115"/>
  <c r="AJ96" i="115"/>
  <c r="BH94" i="115"/>
  <c r="AJ102" i="115"/>
  <c r="AC102" i="115"/>
  <c r="AI102" i="115" s="1"/>
  <c r="BZ77" i="115"/>
  <c r="BT71" i="115"/>
  <c r="CG103" i="115"/>
  <c r="CJ103" i="115" s="1"/>
  <c r="CF98" i="115"/>
  <c r="CI98" i="115" s="1"/>
  <c r="CA77" i="115"/>
  <c r="BR71" i="115"/>
  <c r="BR120" i="115" s="1"/>
  <c r="N34" i="115"/>
  <c r="O25" i="115"/>
  <c r="BH40" i="115"/>
  <c r="BH35" i="115"/>
  <c r="BH29" i="115"/>
  <c r="BI34" i="115"/>
  <c r="CG98" i="115"/>
  <c r="CJ98" i="115" s="1"/>
  <c r="AJ88" i="115"/>
  <c r="Z25" i="115"/>
  <c r="AI34" i="115"/>
  <c r="AJ34" i="115"/>
  <c r="AQ118" i="115"/>
  <c r="AG118" i="115"/>
  <c r="BP97" i="115"/>
  <c r="BP155" i="115" s="1"/>
  <c r="BQ90" i="115"/>
  <c r="BQ120" i="115" s="1"/>
  <c r="BV97" i="115"/>
  <c r="BW90" i="115"/>
  <c r="BV90" i="115" s="1"/>
  <c r="T97" i="115"/>
  <c r="U90" i="115"/>
  <c r="U120" i="115" s="1"/>
  <c r="Z97" i="115"/>
  <c r="AA90" i="115"/>
  <c r="Z90" i="115" s="1"/>
  <c r="K97" i="115"/>
  <c r="K155" i="115" s="1"/>
  <c r="L90" i="115"/>
  <c r="K90" i="115" s="1"/>
  <c r="H97" i="115"/>
  <c r="I90" i="115"/>
  <c r="I120" i="115" s="1"/>
  <c r="CG73" i="115"/>
  <c r="BH89" i="115"/>
  <c r="CF74" i="115"/>
  <c r="BH73" i="115"/>
  <c r="BG87" i="115"/>
  <c r="BG79" i="115"/>
  <c r="BG72" i="115"/>
  <c r="CG89" i="115"/>
  <c r="CJ89" i="115" s="1"/>
  <c r="CG87" i="115"/>
  <c r="CJ87" i="115" s="1"/>
  <c r="CG86" i="115"/>
  <c r="CG81" i="115"/>
  <c r="CG79" i="115"/>
  <c r="CJ79" i="115" s="1"/>
  <c r="CG78" i="115"/>
  <c r="CJ78" i="115" s="1"/>
  <c r="CE78" i="115"/>
  <c r="CG74" i="115"/>
  <c r="BI75" i="115"/>
  <c r="CF80" i="115"/>
  <c r="CI80" i="115" s="1"/>
  <c r="CF78" i="115"/>
  <c r="CI78" i="115" s="1"/>
  <c r="CF76" i="115"/>
  <c r="BH85" i="115"/>
  <c r="BG76" i="115"/>
  <c r="BI77" i="115"/>
  <c r="CF84" i="115"/>
  <c r="CI84" i="115" s="1"/>
  <c r="CF82" i="115"/>
  <c r="CI82" i="115" s="1"/>
  <c r="CF72" i="115"/>
  <c r="CG85" i="115"/>
  <c r="CJ85" i="115" s="1"/>
  <c r="CG83" i="115"/>
  <c r="CJ83" i="115" s="1"/>
  <c r="CG82" i="115"/>
  <c r="CJ82" i="115" s="1"/>
  <c r="CG72" i="115"/>
  <c r="CG151" i="115" s="1"/>
  <c r="AJ75" i="115"/>
  <c r="N71" i="115"/>
  <c r="BH81" i="115"/>
  <c r="BH158" i="115" s="1"/>
  <c r="CG44" i="115"/>
  <c r="CF44" i="115"/>
  <c r="CE67" i="115"/>
  <c r="CH67" i="115" s="1"/>
  <c r="CE63" i="115"/>
  <c r="CE55" i="115"/>
  <c r="CE47" i="115"/>
  <c r="CH47" i="115" s="1"/>
  <c r="CE65" i="115"/>
  <c r="CH65" i="115" s="1"/>
  <c r="CE49" i="115"/>
  <c r="CH49" i="115" s="1"/>
  <c r="BY25" i="115"/>
  <c r="BZ17" i="115"/>
  <c r="BY17" i="115" s="1"/>
  <c r="AX219" i="115" l="1"/>
  <c r="BA25" i="115"/>
  <c r="CE217" i="113"/>
  <c r="CH217" i="113" s="1"/>
  <c r="H155" i="115"/>
  <c r="N214" i="115"/>
  <c r="AK97" i="115"/>
  <c r="BI97" i="115" s="1"/>
  <c r="CG97" i="115" s="1"/>
  <c r="AI204" i="115"/>
  <c r="BG204" i="115" s="1"/>
  <c r="CE204" i="115" s="1"/>
  <c r="AE219" i="115"/>
  <c r="AK219" i="115" s="1"/>
  <c r="BI219" i="115" s="1"/>
  <c r="GC46" i="116"/>
  <c r="CE213" i="115"/>
  <c r="CJ114" i="115"/>
  <c r="BG215" i="115"/>
  <c r="CE215" i="115" s="1"/>
  <c r="AU219" i="115"/>
  <c r="CF110" i="115"/>
  <c r="CF163" i="115" s="1"/>
  <c r="BI161" i="115"/>
  <c r="BC219" i="115"/>
  <c r="BI121" i="115"/>
  <c r="CG121" i="115" s="1"/>
  <c r="CE51" i="116"/>
  <c r="ED51" i="116" s="1"/>
  <c r="GC51" i="116" s="1"/>
  <c r="AK214" i="115"/>
  <c r="BI214" i="115" s="1"/>
  <c r="CG214" i="115" s="1"/>
  <c r="CE218" i="115"/>
  <c r="BC155" i="115"/>
  <c r="BC173" i="115" s="1"/>
  <c r="BA45" i="115"/>
  <c r="BG113" i="115"/>
  <c r="AI191" i="115"/>
  <c r="BG191" i="115" s="1"/>
  <c r="CE191" i="115" s="1"/>
  <c r="AI211" i="115"/>
  <c r="BG211" i="115" s="1"/>
  <c r="CE211" i="115" s="1"/>
  <c r="CE41" i="116"/>
  <c r="ED41" i="116" s="1"/>
  <c r="GC41" i="116" s="1"/>
  <c r="AI192" i="115"/>
  <c r="BG192" i="115" s="1"/>
  <c r="CE192" i="115" s="1"/>
  <c r="AK17" i="115"/>
  <c r="BI17" i="115" s="1"/>
  <c r="BH149" i="115"/>
  <c r="CA155" i="115"/>
  <c r="CA173" i="115" s="1"/>
  <c r="BG26" i="115"/>
  <c r="BG156" i="115" s="1"/>
  <c r="BA97" i="115"/>
  <c r="CE53" i="116"/>
  <c r="ED53" i="116" s="1"/>
  <c r="GC53" i="116" s="1"/>
  <c r="AI190" i="115"/>
  <c r="BG190" i="115" s="1"/>
  <c r="CE190" i="115" s="1"/>
  <c r="AK209" i="115"/>
  <c r="BI209" i="115" s="1"/>
  <c r="BG193" i="115"/>
  <c r="CE193" i="115" s="1"/>
  <c r="AJ209" i="115"/>
  <c r="BH209" i="115" s="1"/>
  <c r="CF209" i="115" s="1"/>
  <c r="CA219" i="115"/>
  <c r="CG209" i="115"/>
  <c r="BG205" i="115"/>
  <c r="CE205" i="115" s="1"/>
  <c r="BI162" i="115"/>
  <c r="CG109" i="115"/>
  <c r="CG162" i="115" s="1"/>
  <c r="AI240" i="113"/>
  <c r="BY193" i="113"/>
  <c r="AI45" i="113"/>
  <c r="BG45" i="113" s="1"/>
  <c r="CE45" i="113" s="1"/>
  <c r="BG50" i="113"/>
  <c r="CE50" i="113" s="1"/>
  <c r="CE190" i="113" s="1"/>
  <c r="BG78" i="113"/>
  <c r="N250" i="113"/>
  <c r="BG94" i="113"/>
  <c r="CE94" i="113" s="1"/>
  <c r="P214" i="113"/>
  <c r="P260" i="113"/>
  <c r="BG73" i="113"/>
  <c r="BG236" i="113" s="1"/>
  <c r="BI242" i="113"/>
  <c r="CG108" i="113"/>
  <c r="CG242" i="113" s="1"/>
  <c r="AJ66" i="113"/>
  <c r="W53" i="114"/>
  <c r="BI166" i="115"/>
  <c r="BG75" i="115"/>
  <c r="BA250" i="113"/>
  <c r="AU194" i="113"/>
  <c r="AU198" i="113" s="1"/>
  <c r="BI165" i="115"/>
  <c r="BG84" i="113"/>
  <c r="CE84" i="113" s="1"/>
  <c r="BB260" i="113"/>
  <c r="CE73" i="113"/>
  <c r="CE236" i="113" s="1"/>
  <c r="BA209" i="115"/>
  <c r="CF24" i="115"/>
  <c r="AR219" i="115"/>
  <c r="BG61" i="115"/>
  <c r="CE61" i="115" s="1"/>
  <c r="BA17" i="115"/>
  <c r="BB219" i="115"/>
  <c r="BH214" i="115"/>
  <c r="CF214" i="115" s="1"/>
  <c r="CE48" i="116"/>
  <c r="AI66" i="115"/>
  <c r="BG66" i="115" s="1"/>
  <c r="CE66" i="115" s="1"/>
  <c r="Z219" i="115"/>
  <c r="BG116" i="115"/>
  <c r="CE116" i="115" s="1"/>
  <c r="CG115" i="115"/>
  <c r="CJ115" i="115" s="1"/>
  <c r="BG145" i="113"/>
  <c r="BG206" i="113" s="1"/>
  <c r="BB39" i="116"/>
  <c r="X173" i="115"/>
  <c r="X175" i="115" s="1"/>
  <c r="AI71" i="115"/>
  <c r="BG71" i="115" s="1"/>
  <c r="W159" i="115"/>
  <c r="BH152" i="115"/>
  <c r="BH154" i="115" s="1"/>
  <c r="CE178" i="115"/>
  <c r="CH178" i="115" s="1"/>
  <c r="BJ178" i="115"/>
  <c r="AC45" i="115"/>
  <c r="AI231" i="113"/>
  <c r="BG69" i="113"/>
  <c r="CE69" i="113" s="1"/>
  <c r="AC24" i="113"/>
  <c r="BG117" i="115"/>
  <c r="BG170" i="115" s="1"/>
  <c r="AD194" i="113"/>
  <c r="AD214" i="113" s="1"/>
  <c r="CG117" i="115"/>
  <c r="CG170" i="115" s="1"/>
  <c r="AI77" i="115"/>
  <c r="BG77" i="115" s="1"/>
  <c r="BG149" i="113"/>
  <c r="BG210" i="113" s="1"/>
  <c r="AK24" i="113"/>
  <c r="BI24" i="113" s="1"/>
  <c r="BH186" i="113"/>
  <c r="BG58" i="113"/>
  <c r="BG191" i="113" s="1"/>
  <c r="T194" i="113"/>
  <c r="T214" i="113" s="1"/>
  <c r="AS49" i="114"/>
  <c r="AS69" i="114" s="1"/>
  <c r="AD260" i="113"/>
  <c r="AC250" i="113"/>
  <c r="U214" i="113"/>
  <c r="BG68" i="113"/>
  <c r="BG229" i="113" s="1"/>
  <c r="AC193" i="113"/>
  <c r="N193" i="113"/>
  <c r="BI245" i="113"/>
  <c r="CG76" i="113"/>
  <c r="AI243" i="113"/>
  <c r="BG109" i="113"/>
  <c r="BG80" i="113"/>
  <c r="BG249" i="113" s="1"/>
  <c r="CE77" i="113"/>
  <c r="CE246" i="113" s="1"/>
  <c r="AI228" i="113"/>
  <c r="BH188" i="113"/>
  <c r="BI138" i="113"/>
  <c r="BI199" i="113" s="1"/>
  <c r="AI101" i="113"/>
  <c r="BG101" i="113" s="1"/>
  <c r="CE101" i="113" s="1"/>
  <c r="BA255" i="113"/>
  <c r="BH138" i="113"/>
  <c r="AX194" i="113"/>
  <c r="AX198" i="113" s="1"/>
  <c r="BI249" i="113"/>
  <c r="CG80" i="113"/>
  <c r="BH244" i="113"/>
  <c r="BG107" i="113"/>
  <c r="BG241" i="113" s="1"/>
  <c r="BG137" i="113"/>
  <c r="BG151" i="113"/>
  <c r="BG212" i="113" s="1"/>
  <c r="BY66" i="113"/>
  <c r="BY250" i="113"/>
  <c r="BY260" i="113" s="1"/>
  <c r="AF54" i="114"/>
  <c r="AI165" i="115"/>
  <c r="BG112" i="115"/>
  <c r="BG146" i="113"/>
  <c r="BG207" i="113" s="1"/>
  <c r="CE132" i="113"/>
  <c r="K194" i="113"/>
  <c r="K198" i="113" s="1"/>
  <c r="BG197" i="113"/>
  <c r="AI138" i="113"/>
  <c r="AI199" i="113" s="1"/>
  <c r="BG235" i="113"/>
  <c r="AJ250" i="113"/>
  <c r="BH111" i="115"/>
  <c r="BH164" i="115" s="1"/>
  <c r="BG148" i="113"/>
  <c r="BG209" i="113" s="1"/>
  <c r="BG147" i="113"/>
  <c r="BG231" i="113"/>
  <c r="BH256" i="113"/>
  <c r="AI196" i="113"/>
  <c r="H194" i="113"/>
  <c r="H198" i="113" s="1"/>
  <c r="BH157" i="115"/>
  <c r="BG240" i="113"/>
  <c r="AJ193" i="113"/>
  <c r="AX260" i="113"/>
  <c r="AR198" i="113"/>
  <c r="AR214" i="113"/>
  <c r="BZ198" i="113"/>
  <c r="BZ214" i="113"/>
  <c r="BG187" i="113"/>
  <c r="BY32" i="113"/>
  <c r="CA194" i="113"/>
  <c r="BI192" i="113"/>
  <c r="BI193" i="113" s="1"/>
  <c r="CE108" i="113"/>
  <c r="BG242" i="113"/>
  <c r="AI195" i="113"/>
  <c r="AZ198" i="113"/>
  <c r="DK53" i="114" s="1"/>
  <c r="DT53" i="114" s="1"/>
  <c r="DK49" i="114"/>
  <c r="DK69" i="114" s="1"/>
  <c r="DK74" i="114" s="1"/>
  <c r="DT74" i="114" s="1"/>
  <c r="AZ214" i="113"/>
  <c r="BR198" i="113"/>
  <c r="ER53" i="114" s="1"/>
  <c r="ER49" i="114"/>
  <c r="BR214" i="113"/>
  <c r="BI232" i="113"/>
  <c r="CG37" i="113"/>
  <c r="CG232" i="113" s="1"/>
  <c r="CG46" i="113"/>
  <c r="BI256" i="113"/>
  <c r="CJ75" i="113"/>
  <c r="CG237" i="113"/>
  <c r="CJ237" i="113" s="1"/>
  <c r="CJ79" i="113"/>
  <c r="CG248" i="113"/>
  <c r="CJ248" i="113" s="1"/>
  <c r="CJ83" i="113"/>
  <c r="AI244" i="113"/>
  <c r="CJ81" i="113"/>
  <c r="CG234" i="113"/>
  <c r="CJ234" i="113" s="1"/>
  <c r="BI243" i="113"/>
  <c r="CG109" i="113"/>
  <c r="CG243" i="113" s="1"/>
  <c r="AC154" i="115"/>
  <c r="E118" i="113"/>
  <c r="O118" i="113"/>
  <c r="N118" i="113" s="1"/>
  <c r="BS214" i="113"/>
  <c r="CF54" i="114"/>
  <c r="EE54" i="114" s="1"/>
  <c r="GD54" i="114" s="1"/>
  <c r="AK255" i="113"/>
  <c r="BU198" i="113"/>
  <c r="FA53" i="114" s="1"/>
  <c r="FA49" i="114"/>
  <c r="FA69" i="114" s="1"/>
  <c r="FA74" i="114" s="1"/>
  <c r="BU214" i="113"/>
  <c r="BI228" i="113"/>
  <c r="BI229" i="113"/>
  <c r="N49" i="114"/>
  <c r="O69" i="114"/>
  <c r="BA49" i="114"/>
  <c r="BB69" i="114"/>
  <c r="CG20" i="115"/>
  <c r="CG149" i="115" s="1"/>
  <c r="BG27" i="115"/>
  <c r="AU155" i="115"/>
  <c r="AU173" i="115" s="1"/>
  <c r="N97" i="115"/>
  <c r="P155" i="115"/>
  <c r="P173" i="115" s="1"/>
  <c r="BI96" i="115"/>
  <c r="CE109" i="115"/>
  <c r="CE162" i="115" s="1"/>
  <c r="BG115" i="115"/>
  <c r="BG168" i="115" s="1"/>
  <c r="Z17" i="115"/>
  <c r="BI111" i="115"/>
  <c r="BI164" i="115" s="1"/>
  <c r="AE120" i="115"/>
  <c r="AE122" i="115" s="1"/>
  <c r="CE40" i="113"/>
  <c r="AJ101" i="113"/>
  <c r="BH101" i="113" s="1"/>
  <c r="CG101" i="113"/>
  <c r="AK66" i="113"/>
  <c r="AK194" i="113" s="1"/>
  <c r="AK214" i="113" s="1"/>
  <c r="AE194" i="113"/>
  <c r="BH239" i="113"/>
  <c r="BH259" i="113"/>
  <c r="BG252" i="113"/>
  <c r="BG257" i="113"/>
  <c r="BI144" i="113"/>
  <c r="BI205" i="113" s="1"/>
  <c r="AI192" i="113"/>
  <c r="AI233" i="113"/>
  <c r="O194" i="113"/>
  <c r="O198" i="113" s="1"/>
  <c r="BV194" i="113"/>
  <c r="BH258" i="113"/>
  <c r="BH257" i="113"/>
  <c r="AI144" i="113"/>
  <c r="AI205" i="113" s="1"/>
  <c r="AC205" i="113"/>
  <c r="BG79" i="113"/>
  <c r="BG75" i="113"/>
  <c r="CE75" i="113" s="1"/>
  <c r="CE237" i="113" s="1"/>
  <c r="BA199" i="113"/>
  <c r="BP194" i="113"/>
  <c r="CE49" i="116"/>
  <c r="ED49" i="116" s="1"/>
  <c r="GC49" i="116" s="1"/>
  <c r="AD219" i="115"/>
  <c r="BA154" i="115"/>
  <c r="AI187" i="113"/>
  <c r="AI186" i="113"/>
  <c r="AI191" i="113"/>
  <c r="AI189" i="113"/>
  <c r="AJ255" i="113"/>
  <c r="AK193" i="113"/>
  <c r="AS198" i="113"/>
  <c r="CR53" i="114" s="1"/>
  <c r="CR49" i="114"/>
  <c r="AS214" i="113"/>
  <c r="AC255" i="113"/>
  <c r="BQ198" i="113"/>
  <c r="EQ53" i="114" s="1"/>
  <c r="EQ49" i="114"/>
  <c r="BQ214" i="113"/>
  <c r="G198" i="113"/>
  <c r="G53" i="114" s="1"/>
  <c r="AH53" i="114" s="1"/>
  <c r="G49" i="114"/>
  <c r="AH49" i="114" s="1"/>
  <c r="Z214" i="113"/>
  <c r="AI253" i="113"/>
  <c r="BG43" i="113"/>
  <c r="AV198" i="113"/>
  <c r="DA53" i="114" s="1"/>
  <c r="CZ53" i="114" s="1"/>
  <c r="DA49" i="114"/>
  <c r="AV214" i="113"/>
  <c r="AX24" i="113"/>
  <c r="AX153" i="113" s="1"/>
  <c r="AX160" i="113" s="1"/>
  <c r="AY153" i="113"/>
  <c r="W198" i="113"/>
  <c r="W214" i="113"/>
  <c r="CG35" i="113"/>
  <c r="CG230" i="113" s="1"/>
  <c r="BI230" i="113"/>
  <c r="BI247" i="113"/>
  <c r="CG78" i="113"/>
  <c r="CG93" i="113"/>
  <c r="BI259" i="113"/>
  <c r="BW198" i="113"/>
  <c r="FI53" i="114" s="1"/>
  <c r="FI49" i="114"/>
  <c r="FI69" i="114" s="1"/>
  <c r="BW214" i="113"/>
  <c r="BG259" i="113"/>
  <c r="CJ73" i="113"/>
  <c r="CG236" i="113"/>
  <c r="CJ236" i="113" s="1"/>
  <c r="BI240" i="113"/>
  <c r="BI197" i="113"/>
  <c r="CG105" i="113"/>
  <c r="CJ50" i="113"/>
  <c r="CG190" i="113"/>
  <c r="CJ190" i="113" s="1"/>
  <c r="AI252" i="113"/>
  <c r="AI250" i="113" s="1"/>
  <c r="AI257" i="113"/>
  <c r="AI255" i="113" s="1"/>
  <c r="W49" i="114"/>
  <c r="X69" i="114"/>
  <c r="N121" i="115"/>
  <c r="AI121" i="115" s="1"/>
  <c r="BG121" i="115" s="1"/>
  <c r="CE121" i="115" s="1"/>
  <c r="AJ77" i="115"/>
  <c r="BH77" i="115" s="1"/>
  <c r="CF77" i="115" s="1"/>
  <c r="BT198" i="113"/>
  <c r="EZ53" i="114" s="1"/>
  <c r="EZ49" i="114"/>
  <c r="BT214" i="113"/>
  <c r="V198" i="113"/>
  <c r="AT53" i="114" s="1"/>
  <c r="AR53" i="114" s="1"/>
  <c r="AT49" i="114"/>
  <c r="AT69" i="114" s="1"/>
  <c r="AT74" i="114" s="1"/>
  <c r="V214" i="113"/>
  <c r="BA193" i="113"/>
  <c r="AA198" i="113"/>
  <c r="BK53" i="114" s="1"/>
  <c r="BT53" i="114" s="1"/>
  <c r="BK49" i="114"/>
  <c r="BK69" i="114" s="1"/>
  <c r="BK74" i="114" s="1"/>
  <c r="AA214" i="113"/>
  <c r="AY198" i="113"/>
  <c r="DJ53" i="114" s="1"/>
  <c r="DJ49" i="114"/>
  <c r="AY214" i="113"/>
  <c r="BB194" i="113"/>
  <c r="BA32" i="113"/>
  <c r="BA194" i="113" s="1"/>
  <c r="BA198" i="113" s="1"/>
  <c r="BB24" i="113"/>
  <c r="BA24" i="113" s="1"/>
  <c r="BU153" i="113"/>
  <c r="BS24" i="113"/>
  <c r="BS153" i="113" s="1"/>
  <c r="CH39" i="113"/>
  <c r="CE235" i="113"/>
  <c r="N53" i="114"/>
  <c r="BA53" i="114"/>
  <c r="K214" i="113"/>
  <c r="AK250" i="113"/>
  <c r="BI250" i="113"/>
  <c r="BH251" i="113"/>
  <c r="BI169" i="115"/>
  <c r="CG116" i="115"/>
  <c r="BH167" i="115"/>
  <c r="CF114" i="115"/>
  <c r="CE74" i="115"/>
  <c r="AH60" i="114"/>
  <c r="CF60" i="114"/>
  <c r="BG25" i="113"/>
  <c r="CE25" i="113" s="1"/>
  <c r="BG91" i="113"/>
  <c r="CE91" i="113" s="1"/>
  <c r="CE189" i="113"/>
  <c r="BG239" i="113"/>
  <c r="BG186" i="113"/>
  <c r="BH231" i="113"/>
  <c r="N260" i="113"/>
  <c r="BH252" i="113"/>
  <c r="BH192" i="113"/>
  <c r="CE70" i="113"/>
  <c r="BG232" i="113"/>
  <c r="BH189" i="113"/>
  <c r="CE35" i="113"/>
  <c r="BG230" i="113"/>
  <c r="CE85" i="113"/>
  <c r="CE251" i="113" s="1"/>
  <c r="BG251" i="113"/>
  <c r="BH233" i="113"/>
  <c r="BG237" i="113"/>
  <c r="BG190" i="113"/>
  <c r="CE88" i="113"/>
  <c r="BG254" i="113"/>
  <c r="BH187" i="113"/>
  <c r="BH191" i="113"/>
  <c r="BH229" i="113"/>
  <c r="BH196" i="113"/>
  <c r="CH126" i="113"/>
  <c r="BH228" i="113"/>
  <c r="BH195" i="113"/>
  <c r="CE78" i="113"/>
  <c r="CE247" i="113" s="1"/>
  <c r="BG247" i="113"/>
  <c r="BH240" i="113"/>
  <c r="BH197" i="113"/>
  <c r="CH105" i="113"/>
  <c r="CE240" i="113"/>
  <c r="CE197" i="113"/>
  <c r="BG189" i="113"/>
  <c r="AI188" i="113"/>
  <c r="BG27" i="113"/>
  <c r="AG49" i="114"/>
  <c r="AG53" i="114"/>
  <c r="EE46" i="114"/>
  <c r="CF48" i="114"/>
  <c r="EE42" i="114"/>
  <c r="Z155" i="115"/>
  <c r="Z173" i="115" s="1"/>
  <c r="BY209" i="115"/>
  <c r="BV155" i="115"/>
  <c r="BV173" i="115" s="1"/>
  <c r="AC214" i="115"/>
  <c r="AI214" i="115" s="1"/>
  <c r="O219" i="115"/>
  <c r="ED48" i="116"/>
  <c r="GC48" i="116" s="1"/>
  <c r="T155" i="115"/>
  <c r="T159" i="115" s="1"/>
  <c r="CG152" i="115"/>
  <c r="BZ155" i="115"/>
  <c r="BZ173" i="115" s="1"/>
  <c r="AC209" i="115"/>
  <c r="AI209" i="115" s="1"/>
  <c r="CE38" i="115"/>
  <c r="CE150" i="115" s="1"/>
  <c r="H173" i="115"/>
  <c r="H159" i="115"/>
  <c r="K173" i="115"/>
  <c r="K159" i="115"/>
  <c r="BP173" i="115"/>
  <c r="BP159" i="115"/>
  <c r="AD173" i="115"/>
  <c r="AD159" i="115"/>
  <c r="BZ159" i="115"/>
  <c r="P159" i="115"/>
  <c r="AX173" i="115"/>
  <c r="AX159" i="115"/>
  <c r="BV159" i="115"/>
  <c r="BS173" i="115"/>
  <c r="BS159" i="115"/>
  <c r="ED56" i="116"/>
  <c r="BO118" i="115"/>
  <c r="BO171" i="115" s="1"/>
  <c r="EO55" i="116" s="1"/>
  <c r="AQ171" i="115"/>
  <c r="CP55" i="116" s="1"/>
  <c r="CJ81" i="115"/>
  <c r="CG158" i="115"/>
  <c r="CJ158" i="115" s="1"/>
  <c r="BO119" i="115"/>
  <c r="BO172" i="115" s="1"/>
  <c r="EO56" i="116" s="1"/>
  <c r="AQ172" i="115"/>
  <c r="CP56" i="116" s="1"/>
  <c r="AJ25" i="115"/>
  <c r="BH25" i="115" s="1"/>
  <c r="O155" i="115"/>
  <c r="CE119" i="115"/>
  <c r="CE172" i="115" s="1"/>
  <c r="BG172" i="115"/>
  <c r="CE113" i="115"/>
  <c r="BG166" i="115"/>
  <c r="CG168" i="115"/>
  <c r="CJ168" i="115" s="1"/>
  <c r="AI107" i="115"/>
  <c r="AI160" i="115" s="1"/>
  <c r="AC160" i="115"/>
  <c r="BG114" i="115"/>
  <c r="AI167" i="115"/>
  <c r="CE108" i="115"/>
  <c r="CE161" i="115" s="1"/>
  <c r="BG161" i="115"/>
  <c r="AN56" i="116"/>
  <c r="AY173" i="115"/>
  <c r="AY175" i="115" s="1"/>
  <c r="DJ39" i="116"/>
  <c r="AY159" i="115"/>
  <c r="DJ43" i="116" s="1"/>
  <c r="BT173" i="115"/>
  <c r="BT175" i="115" s="1"/>
  <c r="EZ39" i="116"/>
  <c r="BT159" i="115"/>
  <c r="EZ43" i="116" s="1"/>
  <c r="BU173" i="115"/>
  <c r="BU175" i="115" s="1"/>
  <c r="FA39" i="116"/>
  <c r="FA57" i="116" s="1"/>
  <c r="FA62" i="116" s="1"/>
  <c r="BU159" i="115"/>
  <c r="FA43" i="116" s="1"/>
  <c r="CE55" i="116"/>
  <c r="AV173" i="115"/>
  <c r="AV175" i="115" s="1"/>
  <c r="DA39" i="116"/>
  <c r="AV159" i="115"/>
  <c r="DA43" i="116" s="1"/>
  <c r="AK154" i="115"/>
  <c r="BI154" i="115"/>
  <c r="AR173" i="115"/>
  <c r="AR159" i="115"/>
  <c r="T55" i="116"/>
  <c r="AC55" i="116" s="1"/>
  <c r="M46" i="119" s="1"/>
  <c r="AD55" i="116"/>
  <c r="N46" i="119" s="1"/>
  <c r="AZ120" i="115"/>
  <c r="AZ122" i="115" s="1"/>
  <c r="AX17" i="115"/>
  <c r="EF37" i="116"/>
  <c r="CG38" i="116"/>
  <c r="EF53" i="116"/>
  <c r="BI157" i="115"/>
  <c r="CG27" i="115"/>
  <c r="CJ113" i="115"/>
  <c r="CG166" i="115"/>
  <c r="CJ166" i="115" s="1"/>
  <c r="CI118" i="115"/>
  <c r="CF171" i="115"/>
  <c r="CI171" i="115" s="1"/>
  <c r="CE40" i="116"/>
  <c r="ED40" i="116" s="1"/>
  <c r="GC40" i="116" s="1"/>
  <c r="AJ154" i="115"/>
  <c r="L173" i="115"/>
  <c r="L175" i="115" s="1"/>
  <c r="X39" i="116"/>
  <c r="L159" i="115"/>
  <c r="X43" i="116" s="1"/>
  <c r="AA173" i="115"/>
  <c r="AA175" i="115" s="1"/>
  <c r="BK39" i="116"/>
  <c r="AA159" i="115"/>
  <c r="BK43" i="116" s="1"/>
  <c r="CF38" i="116"/>
  <c r="EE37" i="116"/>
  <c r="Y173" i="115"/>
  <c r="Y175" i="115" s="1"/>
  <c r="BC39" i="116"/>
  <c r="BC57" i="116" s="1"/>
  <c r="BC62" i="116" s="1"/>
  <c r="Y159" i="115"/>
  <c r="BC43" i="116" s="1"/>
  <c r="BA43" i="116" s="1"/>
  <c r="CE44" i="116"/>
  <c r="ED44" i="116" s="1"/>
  <c r="GC44" i="116" s="1"/>
  <c r="BX173" i="115"/>
  <c r="BX175" i="115" s="1"/>
  <c r="FJ39" i="116"/>
  <c r="FJ57" i="116" s="1"/>
  <c r="FJ62" i="116" s="1"/>
  <c r="BX159" i="115"/>
  <c r="FJ43" i="116" s="1"/>
  <c r="AS173" i="115"/>
  <c r="AS175" i="115" s="1"/>
  <c r="CR39" i="116"/>
  <c r="AS159" i="115"/>
  <c r="CR43" i="116" s="1"/>
  <c r="AT173" i="115"/>
  <c r="AT175" i="115" s="1"/>
  <c r="CS39" i="116"/>
  <c r="AT159" i="115"/>
  <c r="CS43" i="116" s="1"/>
  <c r="AN119" i="115"/>
  <c r="AH172" i="115"/>
  <c r="AN172" i="115" s="1"/>
  <c r="FI57" i="116"/>
  <c r="FI62" i="116" s="1"/>
  <c r="BG157" i="115"/>
  <c r="BB90" i="115"/>
  <c r="BA90" i="115" s="1"/>
  <c r="BA214" i="115"/>
  <c r="CG153" i="115"/>
  <c r="AI111" i="115"/>
  <c r="AI164" i="115" s="1"/>
  <c r="BG176" i="115"/>
  <c r="ED52" i="116"/>
  <c r="GC52" i="116" s="1"/>
  <c r="BB155" i="115"/>
  <c r="BY219" i="115"/>
  <c r="CF156" i="115"/>
  <c r="N154" i="115"/>
  <c r="BR55" i="116"/>
  <c r="R46" i="119" s="1"/>
  <c r="EE48" i="116"/>
  <c r="GD48" i="116" s="1"/>
  <c r="E155" i="115"/>
  <c r="AM118" i="115"/>
  <c r="AG171" i="115"/>
  <c r="AM171" i="115" s="1"/>
  <c r="CG107" i="115"/>
  <c r="CG160" i="115" s="1"/>
  <c r="BI160" i="115"/>
  <c r="BG81" i="115"/>
  <c r="AI158" i="115"/>
  <c r="U173" i="115"/>
  <c r="U175" i="115" s="1"/>
  <c r="AS39" i="116"/>
  <c r="U159" i="115"/>
  <c r="AS43" i="116" s="1"/>
  <c r="GE31" i="116"/>
  <c r="AW173" i="115"/>
  <c r="AW175" i="115" s="1"/>
  <c r="DB39" i="116"/>
  <c r="DB57" i="116" s="1"/>
  <c r="DB62" i="116" s="1"/>
  <c r="AW159" i="115"/>
  <c r="DB43" i="116" s="1"/>
  <c r="I173" i="115"/>
  <c r="I175" i="115" s="1"/>
  <c r="O39" i="116"/>
  <c r="I159" i="115"/>
  <c r="O43" i="116" s="1"/>
  <c r="BQ173" i="115"/>
  <c r="BQ175" i="115" s="1"/>
  <c r="EQ39" i="116"/>
  <c r="BQ159" i="115"/>
  <c r="EQ43" i="116" s="1"/>
  <c r="AZ173" i="115"/>
  <c r="AZ175" i="115" s="1"/>
  <c r="DK39" i="116"/>
  <c r="DK57" i="116" s="1"/>
  <c r="DK62" i="116" s="1"/>
  <c r="AZ159" i="115"/>
  <c r="DK43" i="116" s="1"/>
  <c r="G173" i="115"/>
  <c r="G175" i="115" s="1"/>
  <c r="G39" i="116"/>
  <c r="G159" i="115"/>
  <c r="G43" i="116" s="1"/>
  <c r="AE173" i="115"/>
  <c r="AE159" i="115"/>
  <c r="J173" i="115"/>
  <c r="J175" i="115" s="1"/>
  <c r="P39" i="116"/>
  <c r="P57" i="116" s="1"/>
  <c r="P62" i="116" s="1"/>
  <c r="J159" i="115"/>
  <c r="P43" i="116" s="1"/>
  <c r="M173" i="115"/>
  <c r="M175" i="115" s="1"/>
  <c r="Y39" i="116"/>
  <c r="Y57" i="116" s="1"/>
  <c r="Y62" i="116" s="1"/>
  <c r="M159" i="115"/>
  <c r="Y43" i="116" s="1"/>
  <c r="CF44" i="116"/>
  <c r="GD55" i="116"/>
  <c r="EF51" i="116"/>
  <c r="BX120" i="115"/>
  <c r="BX122" i="115" s="1"/>
  <c r="BV17" i="115"/>
  <c r="CF38" i="115"/>
  <c r="CF150" i="115" s="1"/>
  <c r="BH150" i="115"/>
  <c r="CJ112" i="115"/>
  <c r="CG165" i="115"/>
  <c r="CJ165" i="115" s="1"/>
  <c r="CG26" i="115"/>
  <c r="BI156" i="115"/>
  <c r="CJ119" i="115"/>
  <c r="CG172" i="115"/>
  <c r="CJ172" i="115" s="1"/>
  <c r="AB173" i="115"/>
  <c r="AB175" i="115" s="1"/>
  <c r="BL39" i="116"/>
  <c r="BL57" i="116" s="1"/>
  <c r="BL62" i="116" s="1"/>
  <c r="AB159" i="115"/>
  <c r="BL43" i="116" s="1"/>
  <c r="F173" i="115"/>
  <c r="F175" i="115" s="1"/>
  <c r="F39" i="116"/>
  <c r="F159" i="115"/>
  <c r="F43" i="116" s="1"/>
  <c r="V173" i="115"/>
  <c r="V175" i="115" s="1"/>
  <c r="AT39" i="116"/>
  <c r="V159" i="115"/>
  <c r="AT43" i="116" s="1"/>
  <c r="AY55" i="116"/>
  <c r="AO55" i="116"/>
  <c r="AZ56" i="116"/>
  <c r="BI56" i="116" s="1"/>
  <c r="GE44" i="116"/>
  <c r="FS39" i="116"/>
  <c r="ER57" i="116"/>
  <c r="CE45" i="116"/>
  <c r="BY154" i="115"/>
  <c r="N219" i="115"/>
  <c r="T219" i="115"/>
  <c r="FH43" i="116"/>
  <c r="FN68" i="116"/>
  <c r="GC47" i="116"/>
  <c r="AC66" i="113"/>
  <c r="AI66" i="113" s="1"/>
  <c r="BG66" i="113" s="1"/>
  <c r="BP118" i="113"/>
  <c r="BQ153" i="113"/>
  <c r="BZ118" i="113"/>
  <c r="BY118" i="113" s="1"/>
  <c r="K24" i="113"/>
  <c r="K153" i="113" s="1"/>
  <c r="L153" i="113"/>
  <c r="AU160" i="113"/>
  <c r="BH31" i="113"/>
  <c r="CF30" i="113"/>
  <c r="AE48" i="113"/>
  <c r="AK48" i="113" s="1"/>
  <c r="V153" i="113"/>
  <c r="T48" i="113"/>
  <c r="BI60" i="113"/>
  <c r="CG59" i="113"/>
  <c r="CF74" i="113"/>
  <c r="CI74" i="113" s="1"/>
  <c r="CF82" i="113"/>
  <c r="CI82" i="113" s="1"/>
  <c r="CF92" i="113"/>
  <c r="CI92" i="113" s="1"/>
  <c r="CG94" i="113"/>
  <c r="CG112" i="113"/>
  <c r="CF51" i="113"/>
  <c r="BH60" i="113"/>
  <c r="CF59" i="113"/>
  <c r="CF62" i="113"/>
  <c r="CI62" i="113" s="1"/>
  <c r="CF117" i="113"/>
  <c r="H48" i="113"/>
  <c r="H153" i="113" s="1"/>
  <c r="O48" i="113"/>
  <c r="N48" i="113" s="1"/>
  <c r="W160" i="113"/>
  <c r="CE33" i="113"/>
  <c r="CE37" i="113"/>
  <c r="CH37" i="113" s="1"/>
  <c r="CG57" i="113"/>
  <c r="CA24" i="113"/>
  <c r="BI66" i="113"/>
  <c r="CG55" i="113"/>
  <c r="BI56" i="113"/>
  <c r="BH66" i="113"/>
  <c r="BH56" i="113"/>
  <c r="CF55" i="113"/>
  <c r="CF67" i="113"/>
  <c r="CF71" i="113"/>
  <c r="CI71" i="113" s="1"/>
  <c r="CF75" i="113"/>
  <c r="CF237" i="113" s="1"/>
  <c r="CF79" i="113"/>
  <c r="CF83" i="113"/>
  <c r="CF87" i="113"/>
  <c r="CI87" i="113" s="1"/>
  <c r="CF93" i="113"/>
  <c r="CE120" i="113"/>
  <c r="CE122" i="113"/>
  <c r="CE128" i="113"/>
  <c r="CE133" i="113"/>
  <c r="CE139" i="113"/>
  <c r="CE200" i="113" s="1"/>
  <c r="CE141" i="113"/>
  <c r="CE202" i="113" s="1"/>
  <c r="CE143" i="113"/>
  <c r="CE204" i="113" s="1"/>
  <c r="CE152" i="113"/>
  <c r="CE213" i="113" s="1"/>
  <c r="CE116" i="113"/>
  <c r="CG121" i="113"/>
  <c r="CG189" i="113" s="1"/>
  <c r="CG127" i="113"/>
  <c r="CG229" i="113" s="1"/>
  <c r="CG131" i="113"/>
  <c r="CG239" i="113" s="1"/>
  <c r="CG134" i="113"/>
  <c r="CG137" i="113"/>
  <c r="CG140" i="113"/>
  <c r="CG201" i="113" s="1"/>
  <c r="CG147" i="113"/>
  <c r="CG208" i="113" s="1"/>
  <c r="CG151" i="113"/>
  <c r="CE127" i="113"/>
  <c r="CE129" i="113"/>
  <c r="CE131" i="113"/>
  <c r="CH131" i="113" s="1"/>
  <c r="CE135" i="113"/>
  <c r="CH135" i="113" s="1"/>
  <c r="CE137" i="113"/>
  <c r="CH137" i="113" s="1"/>
  <c r="CE142" i="113"/>
  <c r="CE203" i="113" s="1"/>
  <c r="CF95" i="113"/>
  <c r="CF97" i="113"/>
  <c r="BH100" i="113"/>
  <c r="CF99" i="113"/>
  <c r="BG106" i="113"/>
  <c r="BG233" i="113" s="1"/>
  <c r="BG57" i="113"/>
  <c r="CE57" i="113" s="1"/>
  <c r="CF68" i="113"/>
  <c r="CF72" i="113"/>
  <c r="CF238" i="113" s="1"/>
  <c r="CF76" i="113"/>
  <c r="CF80" i="113"/>
  <c r="CF86" i="113"/>
  <c r="CI86" i="113" s="1"/>
  <c r="CF90" i="113"/>
  <c r="CI90" i="113" s="1"/>
  <c r="CE103" i="113"/>
  <c r="CH103" i="113" s="1"/>
  <c r="CE111" i="113"/>
  <c r="CH111" i="113" s="1"/>
  <c r="CF69" i="113"/>
  <c r="CI69" i="113" s="1"/>
  <c r="CF73" i="113"/>
  <c r="CF77" i="113"/>
  <c r="CF81" i="113"/>
  <c r="CF85" i="113"/>
  <c r="CF91" i="113"/>
  <c r="CF112" i="113"/>
  <c r="BI124" i="113"/>
  <c r="CG123" i="113"/>
  <c r="CG99" i="113"/>
  <c r="BI100" i="113"/>
  <c r="CG119" i="113"/>
  <c r="CG187" i="113" s="1"/>
  <c r="U153" i="113"/>
  <c r="T118" i="113"/>
  <c r="AD118" i="113"/>
  <c r="CG129" i="113"/>
  <c r="CG233" i="113" s="1"/>
  <c r="CG135" i="113"/>
  <c r="CG142" i="113"/>
  <c r="CG203" i="113" s="1"/>
  <c r="CG145" i="113"/>
  <c r="CG206" i="113" s="1"/>
  <c r="CG149" i="113"/>
  <c r="CG210" i="113" s="1"/>
  <c r="BH124" i="113"/>
  <c r="CF123" i="113"/>
  <c r="CF127" i="113"/>
  <c r="CF129" i="113"/>
  <c r="CF131" i="113"/>
  <c r="CF135" i="113"/>
  <c r="CF137" i="113"/>
  <c r="CF140" i="113"/>
  <c r="CF201" i="113" s="1"/>
  <c r="CF142" i="113"/>
  <c r="CF203" i="113" s="1"/>
  <c r="CF145" i="113"/>
  <c r="CF206" i="113" s="1"/>
  <c r="CF147" i="113"/>
  <c r="CF208" i="113" s="1"/>
  <c r="CF149" i="113"/>
  <c r="CF210" i="113" s="1"/>
  <c r="CF151" i="113"/>
  <c r="BG134" i="113"/>
  <c r="CE134" i="113" s="1"/>
  <c r="CE47" i="113"/>
  <c r="I153" i="113"/>
  <c r="BB48" i="113"/>
  <c r="BA48" i="113" s="1"/>
  <c r="CE87" i="113"/>
  <c r="CE26" i="113"/>
  <c r="CE49" i="113"/>
  <c r="CE97" i="113"/>
  <c r="CE104" i="113"/>
  <c r="CH104" i="113" s="1"/>
  <c r="CE136" i="113"/>
  <c r="CH136" i="113" s="1"/>
  <c r="CE151" i="113"/>
  <c r="CE41" i="113"/>
  <c r="CG66" i="113"/>
  <c r="CJ66" i="113" s="1"/>
  <c r="AR153" i="113"/>
  <c r="N24" i="113"/>
  <c r="AJ24" i="113"/>
  <c r="BS160" i="113"/>
  <c r="BH45" i="113"/>
  <c r="BG150" i="113"/>
  <c r="BG211" i="113" s="1"/>
  <c r="BV48" i="113"/>
  <c r="BZ48" i="113"/>
  <c r="CF70" i="113"/>
  <c r="CF232" i="113" s="1"/>
  <c r="CF78" i="113"/>
  <c r="CF247" i="113" s="1"/>
  <c r="CF88" i="113"/>
  <c r="CE107" i="113"/>
  <c r="CE117" i="113"/>
  <c r="CH117" i="113" s="1"/>
  <c r="BI31" i="113"/>
  <c r="CG30" i="113"/>
  <c r="CF49" i="113"/>
  <c r="CF53" i="113"/>
  <c r="CF64" i="113"/>
  <c r="CF103" i="113"/>
  <c r="CF105" i="113"/>
  <c r="CF107" i="113"/>
  <c r="CF241" i="113" s="1"/>
  <c r="CF109" i="113"/>
  <c r="CF243" i="113" s="1"/>
  <c r="CF111" i="113"/>
  <c r="CF115" i="113"/>
  <c r="CG122" i="113"/>
  <c r="CG191" i="113" s="1"/>
  <c r="CG126" i="113"/>
  <c r="CG130" i="113"/>
  <c r="CG244" i="113" s="1"/>
  <c r="CG133" i="113"/>
  <c r="CG252" i="113" s="1"/>
  <c r="CG136" i="113"/>
  <c r="CG258" i="113" s="1"/>
  <c r="CG139" i="113"/>
  <c r="CG200" i="113" s="1"/>
  <c r="CG143" i="113"/>
  <c r="CG204" i="113" s="1"/>
  <c r="CG146" i="113"/>
  <c r="CG207" i="113" s="1"/>
  <c r="BG123" i="113"/>
  <c r="BI32" i="113"/>
  <c r="AJ125" i="113"/>
  <c r="AC125" i="113"/>
  <c r="AI125" i="113" s="1"/>
  <c r="BG102" i="113"/>
  <c r="BG228" i="113" s="1"/>
  <c r="BG110" i="113"/>
  <c r="BG244" i="113" s="1"/>
  <c r="N32" i="113"/>
  <c r="AJ32" i="113"/>
  <c r="CG84" i="113"/>
  <c r="CG89" i="113"/>
  <c r="BV24" i="113"/>
  <c r="BW153" i="113"/>
  <c r="BH57" i="113"/>
  <c r="Z48" i="113"/>
  <c r="Z153" i="113" s="1"/>
  <c r="AD48" i="113"/>
  <c r="CA48" i="113"/>
  <c r="BP48" i="113"/>
  <c r="BR153" i="113"/>
  <c r="CF50" i="113"/>
  <c r="CF190" i="113" s="1"/>
  <c r="CF52" i="113"/>
  <c r="CF54" i="113"/>
  <c r="CF58" i="113"/>
  <c r="CF61" i="113"/>
  <c r="CF63" i="113"/>
  <c r="CF65" i="113"/>
  <c r="CF120" i="113"/>
  <c r="CF122" i="113"/>
  <c r="CF126" i="113"/>
  <c r="CF128" i="113"/>
  <c r="CF130" i="113"/>
  <c r="CF133" i="113"/>
  <c r="CF136" i="113"/>
  <c r="CF139" i="113"/>
  <c r="CF200" i="113" s="1"/>
  <c r="CF141" i="113"/>
  <c r="CF202" i="113" s="1"/>
  <c r="CF143" i="113"/>
  <c r="CF204" i="113" s="1"/>
  <c r="CF146" i="113"/>
  <c r="CF207" i="113" s="1"/>
  <c r="CF148" i="113"/>
  <c r="CF209" i="113" s="1"/>
  <c r="CF150" i="113"/>
  <c r="CF211" i="113" s="1"/>
  <c r="CF152" i="113"/>
  <c r="CF213" i="113" s="1"/>
  <c r="CF119" i="113"/>
  <c r="CF121" i="113"/>
  <c r="CF96" i="113"/>
  <c r="CF98" i="113"/>
  <c r="CF102" i="113"/>
  <c r="CF104" i="113"/>
  <c r="CF106" i="113"/>
  <c r="CF108" i="113"/>
  <c r="CF242" i="113" s="1"/>
  <c r="CF110" i="113"/>
  <c r="CF113" i="113"/>
  <c r="CF116" i="113"/>
  <c r="CG120" i="113"/>
  <c r="CG188" i="113" s="1"/>
  <c r="CG125" i="113"/>
  <c r="CG128" i="113"/>
  <c r="CG231" i="113" s="1"/>
  <c r="CG132" i="113"/>
  <c r="BH134" i="113"/>
  <c r="CG138" i="113"/>
  <c r="CG199" i="113" s="1"/>
  <c r="CG141" i="113"/>
  <c r="CG202" i="113" s="1"/>
  <c r="BH144" i="113"/>
  <c r="BH205" i="113" s="1"/>
  <c r="CG148" i="113"/>
  <c r="CG209" i="113" s="1"/>
  <c r="CG152" i="113"/>
  <c r="BG99" i="113"/>
  <c r="CE140" i="113"/>
  <c r="CE201" i="113" s="1"/>
  <c r="CG150" i="113"/>
  <c r="CG211" i="113" s="1"/>
  <c r="BG55" i="113"/>
  <c r="CE44" i="113"/>
  <c r="CE96" i="113"/>
  <c r="CE52" i="113"/>
  <c r="CE63" i="113"/>
  <c r="CE72" i="113"/>
  <c r="CE238" i="113" s="1"/>
  <c r="CE76" i="113"/>
  <c r="CE245" i="113" s="1"/>
  <c r="CE90" i="113"/>
  <c r="CE256" i="113" s="1"/>
  <c r="AS153" i="113"/>
  <c r="AL156" i="113"/>
  <c r="BG156" i="113"/>
  <c r="BI174" i="115"/>
  <c r="BH174" i="115"/>
  <c r="AV120" i="115"/>
  <c r="AU120" i="115" s="1"/>
  <c r="AU127" i="115" s="1"/>
  <c r="I122" i="115"/>
  <c r="H120" i="115"/>
  <c r="H127" i="115" s="1"/>
  <c r="U122" i="115"/>
  <c r="T120" i="115"/>
  <c r="T127" i="115" s="1"/>
  <c r="BQ122" i="115"/>
  <c r="BP120" i="115"/>
  <c r="BP127" i="115" s="1"/>
  <c r="P120" i="115"/>
  <c r="P122" i="115" s="1"/>
  <c r="G122" i="115"/>
  <c r="X122" i="115"/>
  <c r="W120" i="115"/>
  <c r="W127" i="115" s="1"/>
  <c r="CF109" i="115"/>
  <c r="CF162" i="115" s="1"/>
  <c r="CF119" i="115"/>
  <c r="CF172" i="115" s="1"/>
  <c r="AT122" i="115"/>
  <c r="BR122" i="115"/>
  <c r="CA120" i="115"/>
  <c r="BS36" i="115"/>
  <c r="BT120" i="115"/>
  <c r="CF108" i="115"/>
  <c r="CF161" i="115" s="1"/>
  <c r="CF116" i="115"/>
  <c r="BG118" i="115"/>
  <c r="BG171" i="115" s="1"/>
  <c r="CF112" i="115"/>
  <c r="BH107" i="115"/>
  <c r="BH160" i="115" s="1"/>
  <c r="AI86" i="115"/>
  <c r="BG86" i="115" s="1"/>
  <c r="E36" i="115"/>
  <c r="BW120" i="115"/>
  <c r="AA120" i="115"/>
  <c r="L120" i="115"/>
  <c r="AY120" i="115"/>
  <c r="CF115" i="115"/>
  <c r="BG110" i="115"/>
  <c r="BG163" i="115" s="1"/>
  <c r="CF121" i="115"/>
  <c r="CF113" i="115"/>
  <c r="CF117" i="115"/>
  <c r="CF170" i="115" s="1"/>
  <c r="E120" i="115"/>
  <c r="E127" i="115" s="1"/>
  <c r="AR120" i="115"/>
  <c r="AR127" i="115" s="1"/>
  <c r="BG34" i="115"/>
  <c r="CF29" i="115"/>
  <c r="CI29" i="115" s="1"/>
  <c r="CF35" i="115"/>
  <c r="CI35" i="115" s="1"/>
  <c r="CE95" i="115"/>
  <c r="CF94" i="115"/>
  <c r="CF105" i="115"/>
  <c r="CI105" i="115" s="1"/>
  <c r="BG104" i="115"/>
  <c r="H90" i="115"/>
  <c r="O90" i="115"/>
  <c r="N90" i="115" s="1"/>
  <c r="T90" i="115"/>
  <c r="AD90" i="115"/>
  <c r="BP90" i="115"/>
  <c r="BZ90" i="115"/>
  <c r="BH34" i="115"/>
  <c r="N25" i="115"/>
  <c r="AI25" i="115" s="1"/>
  <c r="O17" i="115"/>
  <c r="CA71" i="115"/>
  <c r="CG71" i="115" s="1"/>
  <c r="BP71" i="115"/>
  <c r="BZ71" i="115"/>
  <c r="BS71" i="115"/>
  <c r="BG102" i="115"/>
  <c r="CE102" i="115" s="1"/>
  <c r="BH104" i="115"/>
  <c r="CF93" i="115"/>
  <c r="CF151" i="115" s="1"/>
  <c r="CG24" i="115"/>
  <c r="P36" i="115"/>
  <c r="AK36" i="115" s="1"/>
  <c r="AK45" i="115"/>
  <c r="AK155" i="115" s="1"/>
  <c r="N45" i="115"/>
  <c r="O36" i="115"/>
  <c r="AJ45" i="115"/>
  <c r="CG104" i="115"/>
  <c r="CF99" i="115"/>
  <c r="CI99" i="115" s="1"/>
  <c r="CF103" i="115"/>
  <c r="CE91" i="115"/>
  <c r="BF118" i="115"/>
  <c r="CE31" i="115"/>
  <c r="BH88" i="115"/>
  <c r="CG34" i="115"/>
  <c r="CE27" i="115"/>
  <c r="CE30" i="115"/>
  <c r="CF40" i="115"/>
  <c r="CG90" i="115"/>
  <c r="BH102" i="115"/>
  <c r="CF101" i="115"/>
  <c r="CI101" i="115" s="1"/>
  <c r="BI25" i="115"/>
  <c r="BI66" i="115"/>
  <c r="AC97" i="115"/>
  <c r="AJ97" i="115"/>
  <c r="CG18" i="115"/>
  <c r="CG147" i="115" s="1"/>
  <c r="CE26" i="115"/>
  <c r="CE156" i="115" s="1"/>
  <c r="CF27" i="115"/>
  <c r="CF33" i="115"/>
  <c r="CI33" i="115" s="1"/>
  <c r="BZ36" i="115"/>
  <c r="BY36" i="115" s="1"/>
  <c r="BY45" i="115"/>
  <c r="CF92" i="115"/>
  <c r="CE93" i="115"/>
  <c r="CE101" i="115"/>
  <c r="CE105" i="115"/>
  <c r="CF91" i="115"/>
  <c r="CF148" i="115" s="1"/>
  <c r="BH96" i="115"/>
  <c r="CF95" i="115"/>
  <c r="CF153" i="115" s="1"/>
  <c r="CE100" i="115"/>
  <c r="BY77" i="115"/>
  <c r="AP118" i="115"/>
  <c r="AF118" i="115"/>
  <c r="AL118" i="115" s="1"/>
  <c r="BF119" i="115"/>
  <c r="CF81" i="115"/>
  <c r="CF158" i="115" s="1"/>
  <c r="CG77" i="115"/>
  <c r="CE76" i="115"/>
  <c r="CE80" i="115"/>
  <c r="CE84" i="115"/>
  <c r="CE88" i="115"/>
  <c r="CF71" i="115"/>
  <c r="CF85" i="115"/>
  <c r="CI85" i="115" s="1"/>
  <c r="CE72" i="115"/>
  <c r="CE79" i="115"/>
  <c r="CE83" i="115"/>
  <c r="CE87" i="115"/>
  <c r="CF73" i="115"/>
  <c r="CF75" i="115" s="1"/>
  <c r="CG75" i="115"/>
  <c r="CF89" i="115"/>
  <c r="CI89" i="115" s="1"/>
  <c r="BH75" i="115"/>
  <c r="CG17" i="115"/>
  <c r="BA155" i="115" l="1"/>
  <c r="BA159" i="115" s="1"/>
  <c r="AX214" i="113"/>
  <c r="AX221" i="113" s="1"/>
  <c r="CE156" i="113"/>
  <c r="CH156" i="113" s="1"/>
  <c r="BJ156" i="113"/>
  <c r="CA159" i="115"/>
  <c r="CG219" i="115"/>
  <c r="AI45" i="115"/>
  <c r="BG45" i="115" s="1"/>
  <c r="CE115" i="115"/>
  <c r="CE168" i="115" s="1"/>
  <c r="CH168" i="115" s="1"/>
  <c r="BA39" i="116"/>
  <c r="BA57" i="116" s="1"/>
  <c r="BA70" i="116" s="1"/>
  <c r="BC159" i="115"/>
  <c r="BY71" i="115"/>
  <c r="CE71" i="115" s="1"/>
  <c r="BG214" i="115"/>
  <c r="CE214" i="115" s="1"/>
  <c r="AJ219" i="115"/>
  <c r="BH219" i="115" s="1"/>
  <c r="CF219" i="115" s="1"/>
  <c r="BG209" i="115"/>
  <c r="CE209" i="115" s="1"/>
  <c r="FH39" i="116"/>
  <c r="FH57" i="116" s="1"/>
  <c r="FH70" i="116" s="1"/>
  <c r="E53" i="114"/>
  <c r="T198" i="113"/>
  <c r="G69" i="114"/>
  <c r="G74" i="114" s="1"/>
  <c r="AH74" i="114" s="1"/>
  <c r="E49" i="114"/>
  <c r="AF49" i="114" s="1"/>
  <c r="EY53" i="114"/>
  <c r="BA219" i="115"/>
  <c r="AU159" i="115"/>
  <c r="AV122" i="115"/>
  <c r="CE80" i="113"/>
  <c r="CE249" i="113" s="1"/>
  <c r="BA260" i="113"/>
  <c r="AU214" i="113"/>
  <c r="AU221" i="113" s="1"/>
  <c r="CE58" i="113"/>
  <c r="CE191" i="113" s="1"/>
  <c r="BG169" i="115"/>
  <c r="CG111" i="115"/>
  <c r="CG164" i="115" s="1"/>
  <c r="CF256" i="113"/>
  <c r="Z159" i="115"/>
  <c r="BG196" i="113"/>
  <c r="BB57" i="116"/>
  <c r="BB62" i="116" s="1"/>
  <c r="CE77" i="115"/>
  <c r="CE145" i="113"/>
  <c r="CH145" i="113" s="1"/>
  <c r="CE149" i="113"/>
  <c r="CH149" i="113" s="1"/>
  <c r="AD198" i="113"/>
  <c r="T173" i="115"/>
  <c r="CE117" i="115"/>
  <c r="CH117" i="115" s="1"/>
  <c r="AI24" i="113"/>
  <c r="BG24" i="113" s="1"/>
  <c r="CE176" i="115"/>
  <c r="CH176" i="115" s="1"/>
  <c r="BJ176" i="115"/>
  <c r="CF111" i="115"/>
  <c r="CF164" i="115" s="1"/>
  <c r="AC219" i="115"/>
  <c r="AI219" i="115" s="1"/>
  <c r="CE146" i="113"/>
  <c r="CE207" i="113" s="1"/>
  <c r="CG24" i="113"/>
  <c r="BG60" i="113"/>
  <c r="AC260" i="113"/>
  <c r="CE68" i="113"/>
  <c r="CE229" i="113" s="1"/>
  <c r="BG243" i="113"/>
  <c r="CE109" i="113"/>
  <c r="BP153" i="113"/>
  <c r="CE66" i="113"/>
  <c r="BY194" i="113"/>
  <c r="CJ80" i="113"/>
  <c r="CG249" i="113"/>
  <c r="CJ249" i="113" s="1"/>
  <c r="CG196" i="113"/>
  <c r="CJ76" i="113"/>
  <c r="CG245" i="113"/>
  <c r="CJ245" i="113" s="1"/>
  <c r="BH199" i="113"/>
  <c r="CF138" i="113"/>
  <c r="CF199" i="113" s="1"/>
  <c r="CG192" i="113"/>
  <c r="BG144" i="113"/>
  <c r="CE144" i="113" s="1"/>
  <c r="CE205" i="113" s="1"/>
  <c r="DI53" i="114"/>
  <c r="CE112" i="115"/>
  <c r="BG165" i="115"/>
  <c r="CE148" i="113"/>
  <c r="CE209" i="113" s="1"/>
  <c r="CH209" i="113" s="1"/>
  <c r="BH250" i="113"/>
  <c r="BG138" i="113"/>
  <c r="CE138" i="113" s="1"/>
  <c r="CE199" i="113" s="1"/>
  <c r="BG107" i="115"/>
  <c r="BG160" i="115" s="1"/>
  <c r="AJ260" i="113"/>
  <c r="BG111" i="115"/>
  <c r="BG164" i="115" s="1"/>
  <c r="CG144" i="113"/>
  <c r="CG205" i="113" s="1"/>
  <c r="BG208" i="113"/>
  <c r="CE147" i="113"/>
  <c r="CE208" i="113" s="1"/>
  <c r="BH193" i="113"/>
  <c r="CE187" i="113"/>
  <c r="BG258" i="113"/>
  <c r="BG255" i="113" s="1"/>
  <c r="BH255" i="113"/>
  <c r="O214" i="113"/>
  <c r="H214" i="113"/>
  <c r="H221" i="113" s="1"/>
  <c r="CE258" i="113"/>
  <c r="AF53" i="114"/>
  <c r="AI193" i="113"/>
  <c r="AI97" i="115"/>
  <c r="AI155" i="115" s="1"/>
  <c r="AI159" i="115" s="1"/>
  <c r="CF53" i="114"/>
  <c r="AK198" i="113"/>
  <c r="AI260" i="113"/>
  <c r="CF252" i="113"/>
  <c r="CH151" i="113"/>
  <c r="CE212" i="113"/>
  <c r="CI151" i="113"/>
  <c r="CF212" i="113"/>
  <c r="CI212" i="113" s="1"/>
  <c r="CI77" i="113"/>
  <c r="CF246" i="113"/>
  <c r="CI246" i="113" s="1"/>
  <c r="CJ151" i="113"/>
  <c r="CG212" i="113"/>
  <c r="CJ212" i="113" s="1"/>
  <c r="BG195" i="113"/>
  <c r="EY49" i="114"/>
  <c r="EZ69" i="114"/>
  <c r="X74" i="114"/>
  <c r="W74" i="114" s="1"/>
  <c r="W69" i="114"/>
  <c r="W82" i="114" s="1"/>
  <c r="CG240" i="113"/>
  <c r="CG197" i="113"/>
  <c r="CJ93" i="113"/>
  <c r="CG259" i="113"/>
  <c r="CJ78" i="113"/>
  <c r="CG247" i="113"/>
  <c r="CJ247" i="113" s="1"/>
  <c r="W221" i="113"/>
  <c r="CZ49" i="114"/>
  <c r="DA69" i="114"/>
  <c r="BG253" i="113"/>
  <c r="CE43" i="113"/>
  <c r="CE253" i="113" s="1"/>
  <c r="Z221" i="113"/>
  <c r="FR53" i="114"/>
  <c r="EP53" i="114"/>
  <c r="FQ53" i="114" s="1"/>
  <c r="BA214" i="113"/>
  <c r="DS53" i="114"/>
  <c r="CQ53" i="114"/>
  <c r="BV198" i="113"/>
  <c r="BV214" i="113"/>
  <c r="AE198" i="113"/>
  <c r="AE214" i="113"/>
  <c r="AR49" i="114"/>
  <c r="BB74" i="114"/>
  <c r="BA74" i="114" s="1"/>
  <c r="BA69" i="114"/>
  <c r="BA82" i="114" s="1"/>
  <c r="BS221" i="113"/>
  <c r="CF235" i="113"/>
  <c r="CG256" i="113"/>
  <c r="FS49" i="114"/>
  <c r="FS69" i="114" s="1"/>
  <c r="ER69" i="114"/>
  <c r="ER74" i="114" s="1"/>
  <c r="FS74" i="114" s="1"/>
  <c r="AC194" i="113"/>
  <c r="CH108" i="113"/>
  <c r="CE242" i="113"/>
  <c r="CA198" i="113"/>
  <c r="CA214" i="113"/>
  <c r="T221" i="113"/>
  <c r="BC120" i="115"/>
  <c r="BC122" i="115" s="1"/>
  <c r="CJ152" i="113"/>
  <c r="CG213" i="113"/>
  <c r="CJ213" i="113" s="1"/>
  <c r="CF257" i="113"/>
  <c r="CF188" i="113"/>
  <c r="AJ194" i="113"/>
  <c r="AJ198" i="113" s="1"/>
  <c r="BI194" i="113"/>
  <c r="CG228" i="113"/>
  <c r="CG195" i="113"/>
  <c r="CF192" i="113"/>
  <c r="CI81" i="113"/>
  <c r="CF234" i="113"/>
  <c r="CI234" i="113" s="1"/>
  <c r="CI73" i="113"/>
  <c r="CF236" i="113"/>
  <c r="CI236" i="113" s="1"/>
  <c r="CI80" i="113"/>
  <c r="CF249" i="113"/>
  <c r="CI249" i="113" s="1"/>
  <c r="BA62" i="116"/>
  <c r="FS43" i="116"/>
  <c r="CE254" i="113"/>
  <c r="CE232" i="113"/>
  <c r="CG250" i="113"/>
  <c r="K221" i="113"/>
  <c r="BB198" i="113"/>
  <c r="BB214" i="113"/>
  <c r="DI49" i="114"/>
  <c r="DJ69" i="114"/>
  <c r="CF244" i="113"/>
  <c r="FI74" i="114"/>
  <c r="FH74" i="114" s="1"/>
  <c r="FH69" i="114"/>
  <c r="FH82" i="114" s="1"/>
  <c r="FR49" i="114"/>
  <c r="FR69" i="114" s="1"/>
  <c r="EP49" i="114"/>
  <c r="EQ69" i="114"/>
  <c r="DT49" i="114"/>
  <c r="DT69" i="114" s="1"/>
  <c r="DS49" i="114"/>
  <c r="DS69" i="114" s="1"/>
  <c r="CQ49" i="114"/>
  <c r="CR69" i="114"/>
  <c r="BP198" i="113"/>
  <c r="BP214" i="113"/>
  <c r="BG248" i="113"/>
  <c r="CE79" i="113"/>
  <c r="CE248" i="113" s="1"/>
  <c r="CE259" i="113"/>
  <c r="AS74" i="114"/>
  <c r="AR69" i="114"/>
  <c r="AR82" i="114" s="1"/>
  <c r="BT49" i="114"/>
  <c r="BT69" i="114" s="1"/>
  <c r="O74" i="114"/>
  <c r="N74" i="114" s="1"/>
  <c r="N69" i="114"/>
  <c r="N82" i="114" s="1"/>
  <c r="CF253" i="113"/>
  <c r="BI255" i="113"/>
  <c r="FS53" i="114"/>
  <c r="AR221" i="113"/>
  <c r="BG250" i="113"/>
  <c r="BI260" i="113"/>
  <c r="AK260" i="113"/>
  <c r="CG169" i="115"/>
  <c r="CJ169" i="115" s="1"/>
  <c r="CJ116" i="115"/>
  <c r="CF167" i="115"/>
  <c r="CI167" i="115" s="1"/>
  <c r="CI114" i="115"/>
  <c r="AH69" i="114"/>
  <c r="CE210" i="113"/>
  <c r="CH210" i="113" s="1"/>
  <c r="CH148" i="113"/>
  <c r="EE60" i="114"/>
  <c r="CE206" i="113"/>
  <c r="CG193" i="113"/>
  <c r="CF186" i="113"/>
  <c r="CF231" i="113"/>
  <c r="BG192" i="113"/>
  <c r="BG193" i="113" s="1"/>
  <c r="CH107" i="113"/>
  <c r="CE241" i="113"/>
  <c r="CF189" i="113"/>
  <c r="CH116" i="113"/>
  <c r="CE257" i="113"/>
  <c r="CI76" i="113"/>
  <c r="CF245" i="113"/>
  <c r="CI245" i="113" s="1"/>
  <c r="CF233" i="113"/>
  <c r="CE239" i="113"/>
  <c r="CF191" i="113"/>
  <c r="CF187" i="113"/>
  <c r="CE186" i="113"/>
  <c r="CI91" i="113"/>
  <c r="CF258" i="113"/>
  <c r="CH35" i="113"/>
  <c r="CE230" i="113"/>
  <c r="CI85" i="113"/>
  <c r="CF251" i="113"/>
  <c r="CI79" i="113"/>
  <c r="CF248" i="113"/>
  <c r="CI248" i="113" s="1"/>
  <c r="CI93" i="113"/>
  <c r="CF259" i="113"/>
  <c r="CI83" i="113"/>
  <c r="CF239" i="113"/>
  <c r="CI88" i="113"/>
  <c r="CF254" i="113"/>
  <c r="CH127" i="113"/>
  <c r="CE196" i="113"/>
  <c r="CF229" i="113"/>
  <c r="CF196" i="113"/>
  <c r="CF228" i="113"/>
  <c r="CF195" i="113"/>
  <c r="CH128" i="113"/>
  <c r="CE231" i="113"/>
  <c r="CF240" i="113"/>
  <c r="CF197" i="113"/>
  <c r="CH133" i="113"/>
  <c r="CE252" i="113"/>
  <c r="BG188" i="113"/>
  <c r="CE27" i="113"/>
  <c r="CE188" i="113" s="1"/>
  <c r="F74" i="114"/>
  <c r="E69" i="114"/>
  <c r="E82" i="114" s="1"/>
  <c r="AG69" i="114"/>
  <c r="AI32" i="113"/>
  <c r="AI194" i="113" s="1"/>
  <c r="N194" i="113"/>
  <c r="GD46" i="114"/>
  <c r="EE48" i="114"/>
  <c r="GD42" i="114"/>
  <c r="AP171" i="115"/>
  <c r="CO55" i="116" s="1"/>
  <c r="CN55" i="116" s="1"/>
  <c r="BY155" i="115"/>
  <c r="BY173" i="115" s="1"/>
  <c r="CF149" i="115"/>
  <c r="AK173" i="115"/>
  <c r="AK159" i="115"/>
  <c r="CI112" i="115"/>
  <c r="CF165" i="115"/>
  <c r="CI165" i="115" s="1"/>
  <c r="CI116" i="115"/>
  <c r="CF169" i="115"/>
  <c r="CI169" i="115" s="1"/>
  <c r="BL119" i="115"/>
  <c r="BF172" i="115"/>
  <c r="BL172" i="115" s="1"/>
  <c r="CX55" i="116"/>
  <c r="CI27" i="115"/>
  <c r="CF157" i="115"/>
  <c r="BL118" i="115"/>
  <c r="BF171" i="115"/>
  <c r="BL171" i="115" s="1"/>
  <c r="CI113" i="115"/>
  <c r="CF166" i="115"/>
  <c r="CI166" i="115" s="1"/>
  <c r="CI115" i="115"/>
  <c r="CF168" i="115"/>
  <c r="CI168" i="115" s="1"/>
  <c r="ER62" i="116"/>
  <c r="FS62" i="116" s="1"/>
  <c r="FS57" i="116"/>
  <c r="AG39" i="116"/>
  <c r="E39" i="116"/>
  <c r="F57" i="116"/>
  <c r="CJ26" i="115"/>
  <c r="CG156" i="115"/>
  <c r="GE51" i="116"/>
  <c r="AH39" i="116"/>
  <c r="G57" i="116"/>
  <c r="FR39" i="116"/>
  <c r="EP39" i="116"/>
  <c r="EQ57" i="116"/>
  <c r="BT43" i="116"/>
  <c r="AR43" i="116"/>
  <c r="CH116" i="115"/>
  <c r="CE169" i="115"/>
  <c r="CH169" i="115" s="1"/>
  <c r="BG158" i="115"/>
  <c r="CE81" i="115"/>
  <c r="CE158" i="115" s="1"/>
  <c r="BB173" i="115"/>
  <c r="BB159" i="115"/>
  <c r="CG154" i="115"/>
  <c r="CQ39" i="116"/>
  <c r="DS39" i="116"/>
  <c r="CR57" i="116"/>
  <c r="EE38" i="116"/>
  <c r="GD37" i="116"/>
  <c r="GD38" i="116" s="1"/>
  <c r="W39" i="116"/>
  <c r="W57" i="116" s="1"/>
  <c r="W70" i="116" s="1"/>
  <c r="X57" i="116"/>
  <c r="X62" i="116" s="1"/>
  <c r="W62" i="116" s="1"/>
  <c r="CJ27" i="115"/>
  <c r="CG157" i="115"/>
  <c r="AM55" i="116"/>
  <c r="DI39" i="116"/>
  <c r="DI57" i="116" s="1"/>
  <c r="DI70" i="116" s="1"/>
  <c r="DJ57" i="116"/>
  <c r="DJ62" i="116" s="1"/>
  <c r="DI62" i="116" s="1"/>
  <c r="O173" i="115"/>
  <c r="O159" i="115"/>
  <c r="CY56" i="116"/>
  <c r="DH56" i="116" s="1"/>
  <c r="CY55" i="116"/>
  <c r="DH55" i="116" s="1"/>
  <c r="GC56" i="116"/>
  <c r="BR56" i="116"/>
  <c r="R47" i="119" s="1"/>
  <c r="BU43" i="116"/>
  <c r="N43" i="116"/>
  <c r="FH62" i="116"/>
  <c r="DT43" i="116"/>
  <c r="BJ43" i="116"/>
  <c r="CZ43" i="116"/>
  <c r="AL55" i="116"/>
  <c r="EY43" i="116"/>
  <c r="CH115" i="115"/>
  <c r="ED45" i="116"/>
  <c r="BH55" i="116"/>
  <c r="AX55" i="116"/>
  <c r="BU39" i="116"/>
  <c r="AT57" i="116"/>
  <c r="E43" i="116"/>
  <c r="AG43" i="116"/>
  <c r="EE44" i="116"/>
  <c r="FR43" i="116"/>
  <c r="EP43" i="116"/>
  <c r="N39" i="116"/>
  <c r="N57" i="116" s="1"/>
  <c r="N70" i="116" s="1"/>
  <c r="O57" i="116"/>
  <c r="O62" i="116" s="1"/>
  <c r="N62" i="116" s="1"/>
  <c r="BT39" i="116"/>
  <c r="AR39" i="116"/>
  <c r="AS57" i="116"/>
  <c r="E173" i="115"/>
  <c r="E159" i="115"/>
  <c r="CA55" i="116"/>
  <c r="CD55" i="116"/>
  <c r="U46" i="119" s="1"/>
  <c r="DT39" i="116"/>
  <c r="CS57" i="116"/>
  <c r="DS43" i="116"/>
  <c r="CQ43" i="116"/>
  <c r="BJ39" i="116"/>
  <c r="BJ57" i="116" s="1"/>
  <c r="BJ70" i="116" s="1"/>
  <c r="BK57" i="116"/>
  <c r="BK62" i="116" s="1"/>
  <c r="BJ62" i="116" s="1"/>
  <c r="GE53" i="116"/>
  <c r="GE37" i="116"/>
  <c r="GE38" i="116" s="1"/>
  <c r="EF38" i="116"/>
  <c r="CZ39" i="116"/>
  <c r="CZ57" i="116" s="1"/>
  <c r="CZ70" i="116" s="1"/>
  <c r="DA57" i="116"/>
  <c r="DA62" i="116" s="1"/>
  <c r="CZ62" i="116" s="1"/>
  <c r="ED55" i="116"/>
  <c r="EY39" i="116"/>
  <c r="EY57" i="116" s="1"/>
  <c r="EY70" i="116" s="1"/>
  <c r="EZ57" i="116"/>
  <c r="EZ62" i="116" s="1"/>
  <c r="EY62" i="116" s="1"/>
  <c r="CE114" i="115"/>
  <c r="BG167" i="115"/>
  <c r="CH113" i="115"/>
  <c r="CE166" i="115"/>
  <c r="EX56" i="116"/>
  <c r="FG56" i="116" s="1"/>
  <c r="EX55" i="116"/>
  <c r="FG55" i="116" s="1"/>
  <c r="CE157" i="115"/>
  <c r="N155" i="115"/>
  <c r="AH43" i="116"/>
  <c r="CF152" i="115"/>
  <c r="AC155" i="115"/>
  <c r="W43" i="116"/>
  <c r="DI43" i="116"/>
  <c r="AJ155" i="115"/>
  <c r="FW66" i="116"/>
  <c r="FW68" i="116"/>
  <c r="FZ68" i="116"/>
  <c r="Z160" i="113"/>
  <c r="CF134" i="113"/>
  <c r="AJ48" i="113"/>
  <c r="AC48" i="113"/>
  <c r="AI48" i="113" s="1"/>
  <c r="BZ153" i="113"/>
  <c r="CE110" i="113"/>
  <c r="CH110" i="113" s="1"/>
  <c r="CE102" i="113"/>
  <c r="CH102" i="113" s="1"/>
  <c r="CE123" i="113"/>
  <c r="BB153" i="113"/>
  <c r="CE55" i="113"/>
  <c r="CE99" i="113"/>
  <c r="CA153" i="113"/>
  <c r="CF57" i="113"/>
  <c r="BH125" i="113"/>
  <c r="BY48" i="113"/>
  <c r="CE150" i="113"/>
  <c r="CF45" i="113"/>
  <c r="BH24" i="113"/>
  <c r="CF124" i="113"/>
  <c r="CE106" i="113"/>
  <c r="CE233" i="113" s="1"/>
  <c r="CF100" i="113"/>
  <c r="CF66" i="113"/>
  <c r="CJ59" i="113"/>
  <c r="CG60" i="113"/>
  <c r="AE153" i="113"/>
  <c r="CF31" i="113"/>
  <c r="K160" i="113"/>
  <c r="BV153" i="113"/>
  <c r="T153" i="113"/>
  <c r="CG32" i="113"/>
  <c r="CG194" i="113" s="1"/>
  <c r="BY24" i="113"/>
  <c r="CF144" i="113"/>
  <c r="CF205" i="113" s="1"/>
  <c r="BP160" i="113"/>
  <c r="BH32" i="113"/>
  <c r="BH194" i="113" s="1"/>
  <c r="BG125" i="113"/>
  <c r="CG31" i="113"/>
  <c r="AR160" i="113"/>
  <c r="H160" i="113"/>
  <c r="O153" i="113"/>
  <c r="AC118" i="113"/>
  <c r="AI118" i="113" s="1"/>
  <c r="AJ118" i="113"/>
  <c r="AD153" i="113"/>
  <c r="CG100" i="113"/>
  <c r="CG124" i="113"/>
  <c r="CF56" i="113"/>
  <c r="CJ55" i="113"/>
  <c r="CG56" i="113"/>
  <c r="CF101" i="113"/>
  <c r="CF60" i="113"/>
  <c r="BI48" i="113"/>
  <c r="CG48" i="113" s="1"/>
  <c r="CG174" i="115"/>
  <c r="CF174" i="115"/>
  <c r="AK120" i="115"/>
  <c r="AK122" i="115" s="1"/>
  <c r="AX120" i="115"/>
  <c r="AX127" i="115" s="1"/>
  <c r="AY122" i="115"/>
  <c r="AA122" i="115"/>
  <c r="Z120" i="115"/>
  <c r="Z127" i="115" s="1"/>
  <c r="BW122" i="115"/>
  <c r="BV120" i="115"/>
  <c r="BV127" i="115" s="1"/>
  <c r="BS120" i="115"/>
  <c r="BS127" i="115" s="1"/>
  <c r="BT122" i="115"/>
  <c r="CA122" i="115"/>
  <c r="CE110" i="115"/>
  <c r="CE163" i="115" s="1"/>
  <c r="L122" i="115"/>
  <c r="K120" i="115"/>
  <c r="K127" i="115" s="1"/>
  <c r="CF107" i="115"/>
  <c r="CF160" i="115" s="1"/>
  <c r="CE118" i="115"/>
  <c r="CE171" i="115" s="1"/>
  <c r="BB120" i="115"/>
  <c r="BZ120" i="115"/>
  <c r="AD120" i="115"/>
  <c r="O120" i="115"/>
  <c r="CF25" i="115"/>
  <c r="CE86" i="115"/>
  <c r="CG66" i="115"/>
  <c r="CG25" i="115"/>
  <c r="CF102" i="115"/>
  <c r="N36" i="115"/>
  <c r="AI36" i="115" s="1"/>
  <c r="AJ36" i="115"/>
  <c r="BI45" i="115"/>
  <c r="BI155" i="115" s="1"/>
  <c r="AJ17" i="115"/>
  <c r="N17" i="115"/>
  <c r="BY90" i="115"/>
  <c r="BH97" i="115"/>
  <c r="BG25" i="115"/>
  <c r="BH45" i="115"/>
  <c r="BI36" i="115"/>
  <c r="CF104" i="115"/>
  <c r="CF34" i="115"/>
  <c r="CE34" i="115"/>
  <c r="CE104" i="115"/>
  <c r="CF96" i="115"/>
  <c r="CF88" i="115"/>
  <c r="AC90" i="115"/>
  <c r="AI90" i="115" s="1"/>
  <c r="AJ90" i="115"/>
  <c r="AO118" i="115"/>
  <c r="BN118" i="115"/>
  <c r="BE118" i="115"/>
  <c r="BE171" i="115" s="1"/>
  <c r="BK171" i="115" s="1"/>
  <c r="BA173" i="115" l="1"/>
  <c r="CE107" i="115"/>
  <c r="CE160" i="115" s="1"/>
  <c r="BY159" i="115"/>
  <c r="BG219" i="115"/>
  <c r="CE219" i="115" s="1"/>
  <c r="CE170" i="115"/>
  <c r="CH146" i="113"/>
  <c r="CE111" i="115"/>
  <c r="CE164" i="115" s="1"/>
  <c r="BG205" i="113"/>
  <c r="BG32" i="113"/>
  <c r="BG194" i="113" s="1"/>
  <c r="BG199" i="113"/>
  <c r="FQ49" i="114"/>
  <c r="EE53" i="114"/>
  <c r="GD53" i="114" s="1"/>
  <c r="CE243" i="113"/>
  <c r="CH109" i="113"/>
  <c r="BY198" i="113"/>
  <c r="BY214" i="113"/>
  <c r="BY221" i="113" s="1"/>
  <c r="CH112" i="115"/>
  <c r="CE165" i="115"/>
  <c r="BH260" i="113"/>
  <c r="BG97" i="115"/>
  <c r="BG155" i="115" s="1"/>
  <c r="CE255" i="113"/>
  <c r="BH155" i="115"/>
  <c r="BH173" i="115" s="1"/>
  <c r="BI120" i="115"/>
  <c r="BI122" i="115" s="1"/>
  <c r="FQ69" i="114"/>
  <c r="FQ82" i="114" s="1"/>
  <c r="AJ214" i="113"/>
  <c r="BG260" i="113"/>
  <c r="CG198" i="113"/>
  <c r="CG214" i="113"/>
  <c r="BT74" i="114"/>
  <c r="AR74" i="114"/>
  <c r="DJ74" i="114"/>
  <c r="DI74" i="114" s="1"/>
  <c r="DI69" i="114"/>
  <c r="DI82" i="114" s="1"/>
  <c r="CZ69" i="114"/>
  <c r="CZ82" i="114" s="1"/>
  <c r="DA74" i="114"/>
  <c r="CE228" i="113"/>
  <c r="CG43" i="116"/>
  <c r="EF43" i="116" s="1"/>
  <c r="CF49" i="114"/>
  <c r="CF69" i="114" s="1"/>
  <c r="CE250" i="113"/>
  <c r="BP221" i="113"/>
  <c r="CR74" i="114"/>
  <c r="CQ74" i="114" s="1"/>
  <c r="CQ69" i="114"/>
  <c r="CQ82" i="114" s="1"/>
  <c r="DR69" i="114"/>
  <c r="DR82" i="114" s="1"/>
  <c r="EP69" i="114"/>
  <c r="EP82" i="114" s="1"/>
  <c r="EQ74" i="114"/>
  <c r="BI198" i="113"/>
  <c r="BI214" i="113"/>
  <c r="AC198" i="113"/>
  <c r="AC214" i="113"/>
  <c r="CG255" i="113"/>
  <c r="CE244" i="113"/>
  <c r="BV221" i="113"/>
  <c r="BA221" i="113"/>
  <c r="EZ74" i="114"/>
  <c r="EY74" i="114" s="1"/>
  <c r="EY69" i="114"/>
  <c r="EY82" i="114" s="1"/>
  <c r="CE195" i="113"/>
  <c r="CF250" i="113"/>
  <c r="AF69" i="114"/>
  <c r="AF82" i="114" s="1"/>
  <c r="CH150" i="113"/>
  <c r="CE211" i="113"/>
  <c r="GD60" i="114"/>
  <c r="CF193" i="113"/>
  <c r="CE192" i="113"/>
  <c r="CE193" i="113" s="1"/>
  <c r="CF255" i="113"/>
  <c r="BH198" i="113"/>
  <c r="BH214" i="113"/>
  <c r="AI198" i="113"/>
  <c r="AI214" i="113"/>
  <c r="E74" i="114"/>
  <c r="AF74" i="114" s="1"/>
  <c r="AG74" i="114"/>
  <c r="N198" i="113"/>
  <c r="N214" i="113"/>
  <c r="N221" i="113" s="1"/>
  <c r="GD48" i="114"/>
  <c r="BS43" i="116"/>
  <c r="BI173" i="115"/>
  <c r="BI159" i="115"/>
  <c r="AJ173" i="115"/>
  <c r="AJ159" i="115"/>
  <c r="BS39" i="116"/>
  <c r="AR57" i="116"/>
  <c r="AR70" i="116" s="1"/>
  <c r="BM118" i="115"/>
  <c r="BN171" i="115"/>
  <c r="EN55" i="116" s="1"/>
  <c r="AC173" i="115"/>
  <c r="AC159" i="115"/>
  <c r="N173" i="115"/>
  <c r="N159" i="115"/>
  <c r="GC55" i="116"/>
  <c r="CS62" i="116"/>
  <c r="DT62" i="116" s="1"/>
  <c r="DT57" i="116"/>
  <c r="CM55" i="116"/>
  <c r="AS62" i="116"/>
  <c r="BT57" i="116"/>
  <c r="GD44" i="116"/>
  <c r="BQ55" i="116"/>
  <c r="Q46" i="119" s="1"/>
  <c r="BG55" i="116"/>
  <c r="BP55" i="116" s="1"/>
  <c r="P46" i="119" s="1"/>
  <c r="GC45" i="116"/>
  <c r="CA56" i="116"/>
  <c r="CD56" i="116"/>
  <c r="U47" i="119" s="1"/>
  <c r="CR62" i="116"/>
  <c r="DS57" i="116"/>
  <c r="DR39" i="116"/>
  <c r="CQ57" i="116"/>
  <c r="CQ70" i="116" s="1"/>
  <c r="FQ39" i="116"/>
  <c r="EP57" i="116"/>
  <c r="EP70" i="116" s="1"/>
  <c r="G62" i="116"/>
  <c r="AH62" i="116" s="1"/>
  <c r="AH57" i="116"/>
  <c r="F62" i="116"/>
  <c r="AG57" i="116"/>
  <c r="CF39" i="116"/>
  <c r="DG55" i="116"/>
  <c r="CW55" i="116"/>
  <c r="AK175" i="115"/>
  <c r="FP55" i="116"/>
  <c r="FP56" i="116"/>
  <c r="DR43" i="116"/>
  <c r="AF43" i="116"/>
  <c r="DQ55" i="116"/>
  <c r="DQ56" i="116"/>
  <c r="CF154" i="115"/>
  <c r="CH114" i="115"/>
  <c r="CE167" i="115"/>
  <c r="CH167" i="115" s="1"/>
  <c r="CF43" i="116"/>
  <c r="AT62" i="116"/>
  <c r="BU62" i="116" s="1"/>
  <c r="BU57" i="116"/>
  <c r="EQ62" i="116"/>
  <c r="FR57" i="116"/>
  <c r="CG39" i="116"/>
  <c r="AF39" i="116"/>
  <c r="E57" i="116"/>
  <c r="E70" i="116" s="1"/>
  <c r="FQ43" i="116"/>
  <c r="GI68" i="116"/>
  <c r="BG118" i="113"/>
  <c r="BG48" i="113"/>
  <c r="BH118" i="113"/>
  <c r="N153" i="113"/>
  <c r="N160" i="113" s="1"/>
  <c r="CE125" i="113"/>
  <c r="CF32" i="113"/>
  <c r="BV160" i="113"/>
  <c r="AK153" i="113"/>
  <c r="CF125" i="113"/>
  <c r="BA153" i="113"/>
  <c r="BH48" i="113"/>
  <c r="CE24" i="113"/>
  <c r="AJ153" i="113"/>
  <c r="AC153" i="113"/>
  <c r="T160" i="113"/>
  <c r="CF24" i="113"/>
  <c r="BY153" i="113"/>
  <c r="AJ120" i="115"/>
  <c r="AD122" i="115"/>
  <c r="AC120" i="115"/>
  <c r="AC127" i="115" s="1"/>
  <c r="BB122" i="115"/>
  <c r="BA120" i="115"/>
  <c r="BD118" i="115"/>
  <c r="BJ118" i="115" s="1"/>
  <c r="BK118" i="115"/>
  <c r="N120" i="115"/>
  <c r="O122" i="115"/>
  <c r="BZ122" i="115"/>
  <c r="BY120" i="115"/>
  <c r="BY127" i="115" s="1"/>
  <c r="BG90" i="115"/>
  <c r="CE90" i="115" s="1"/>
  <c r="CF97" i="115"/>
  <c r="BH36" i="115"/>
  <c r="BH90" i="115"/>
  <c r="CG36" i="115"/>
  <c r="CE25" i="115"/>
  <c r="BH17" i="115"/>
  <c r="BG36" i="115"/>
  <c r="D106" i="115"/>
  <c r="C106" i="115"/>
  <c r="D105" i="115"/>
  <c r="C105" i="115"/>
  <c r="D103" i="115"/>
  <c r="D101" i="115"/>
  <c r="C101" i="115"/>
  <c r="D100" i="115"/>
  <c r="C100" i="115"/>
  <c r="D99" i="115"/>
  <c r="C99" i="115"/>
  <c r="D98" i="115"/>
  <c r="C98" i="115"/>
  <c r="D89" i="115"/>
  <c r="C89" i="115"/>
  <c r="D88" i="115"/>
  <c r="C88" i="115"/>
  <c r="D87" i="115"/>
  <c r="C87" i="115"/>
  <c r="D86" i="115"/>
  <c r="C86" i="115"/>
  <c r="D85" i="115"/>
  <c r="C85" i="115"/>
  <c r="D84" i="115"/>
  <c r="C84" i="115"/>
  <c r="D83" i="115"/>
  <c r="C83" i="115"/>
  <c r="D82" i="115"/>
  <c r="C82" i="115"/>
  <c r="D81" i="115"/>
  <c r="D80" i="115"/>
  <c r="C80" i="115"/>
  <c r="D79" i="115"/>
  <c r="C79" i="115"/>
  <c r="D78" i="115"/>
  <c r="C78" i="115"/>
  <c r="D35" i="115"/>
  <c r="C35" i="115"/>
  <c r="D33" i="115"/>
  <c r="C33" i="115"/>
  <c r="D32" i="115"/>
  <c r="C32" i="115"/>
  <c r="D30" i="115"/>
  <c r="D29" i="115"/>
  <c r="C29" i="115"/>
  <c r="D28" i="115"/>
  <c r="C28" i="115"/>
  <c r="D27" i="115"/>
  <c r="C27" i="115"/>
  <c r="D26" i="115"/>
  <c r="C26" i="115"/>
  <c r="AI18" i="115"/>
  <c r="CB118" i="115"/>
  <c r="CH118" i="115" s="1"/>
  <c r="CC103" i="115"/>
  <c r="CB101" i="115"/>
  <c r="CH101" i="115" s="1"/>
  <c r="CB103" i="115"/>
  <c r="CH103" i="115" s="1"/>
  <c r="CD97" i="115"/>
  <c r="CJ97" i="115" s="1"/>
  <c r="CD95" i="115"/>
  <c r="CD94" i="115"/>
  <c r="CD93" i="115"/>
  <c r="CD92" i="115"/>
  <c r="CC92" i="115"/>
  <c r="CD91" i="115"/>
  <c r="CD104" i="115"/>
  <c r="CJ104" i="115" s="1"/>
  <c r="CC104" i="115"/>
  <c r="CI104" i="115" s="1"/>
  <c r="CD102" i="115"/>
  <c r="CJ102" i="115" s="1"/>
  <c r="CC102" i="115"/>
  <c r="CI102" i="115" s="1"/>
  <c r="CB105" i="115"/>
  <c r="CH105" i="115" s="1"/>
  <c r="CB100" i="115"/>
  <c r="CH100" i="115" s="1"/>
  <c r="CB99" i="115"/>
  <c r="CH99" i="115" s="1"/>
  <c r="CB98" i="115"/>
  <c r="CH98" i="115" s="1"/>
  <c r="CC81" i="115"/>
  <c r="CD77" i="115"/>
  <c r="CJ77" i="115" s="1"/>
  <c r="CD76" i="115"/>
  <c r="CD74" i="115"/>
  <c r="CD73" i="115"/>
  <c r="CD72" i="115"/>
  <c r="CD88" i="115"/>
  <c r="CJ88" i="115" s="1"/>
  <c r="CC88" i="115"/>
  <c r="CI88" i="115" s="1"/>
  <c r="CD86" i="115"/>
  <c r="CJ86" i="115" s="1"/>
  <c r="CC86" i="115"/>
  <c r="CB89" i="115"/>
  <c r="CH89" i="115" s="1"/>
  <c r="CB87" i="115"/>
  <c r="CH87" i="115" s="1"/>
  <c r="CB85" i="115"/>
  <c r="CH85" i="115" s="1"/>
  <c r="CB84" i="115"/>
  <c r="CH84" i="115" s="1"/>
  <c r="CB83" i="115"/>
  <c r="CH83" i="115" s="1"/>
  <c r="CB82" i="115"/>
  <c r="CH82" i="115" s="1"/>
  <c r="CB80" i="115"/>
  <c r="CH80" i="115" s="1"/>
  <c r="CB79" i="115"/>
  <c r="CH79" i="115" s="1"/>
  <c r="CB78" i="115"/>
  <c r="CH78" i="115" s="1"/>
  <c r="CB63" i="115"/>
  <c r="CH63" i="115" s="1"/>
  <c r="CD55" i="115"/>
  <c r="CE32" i="113" l="1"/>
  <c r="CE194" i="113" s="1"/>
  <c r="CE97" i="115"/>
  <c r="BG214" i="113"/>
  <c r="EE49" i="114"/>
  <c r="EE69" i="114" s="1"/>
  <c r="CG120" i="115"/>
  <c r="CG122" i="115" s="1"/>
  <c r="BH159" i="115"/>
  <c r="CE260" i="113"/>
  <c r="BG198" i="113"/>
  <c r="DZ56" i="116"/>
  <c r="X47" i="119"/>
  <c r="FY56" i="116"/>
  <c r="AD47" i="119"/>
  <c r="CG260" i="113"/>
  <c r="DZ55" i="116"/>
  <c r="X46" i="119"/>
  <c r="FY55" i="116"/>
  <c r="AD46" i="119"/>
  <c r="CF74" i="114"/>
  <c r="AC221" i="113"/>
  <c r="AI221" i="113" s="1"/>
  <c r="BG221" i="113" s="1"/>
  <c r="EP74" i="114"/>
  <c r="FQ74" i="114" s="1"/>
  <c r="FR74" i="114"/>
  <c r="DS74" i="114"/>
  <c r="CZ74" i="114"/>
  <c r="DR74" i="114" s="1"/>
  <c r="CF260" i="113"/>
  <c r="CF194" i="113"/>
  <c r="CF198" i="113" s="1"/>
  <c r="CE198" i="113"/>
  <c r="CE214" i="113"/>
  <c r="D208" i="115"/>
  <c r="C206" i="115"/>
  <c r="C207" i="115"/>
  <c r="CB92" i="115"/>
  <c r="CH92" i="115" s="1"/>
  <c r="EC55" i="116"/>
  <c r="AA46" i="119" s="1"/>
  <c r="D206" i="115"/>
  <c r="D207" i="115"/>
  <c r="BY55" i="116"/>
  <c r="CB55" i="116"/>
  <c r="S46" i="119" s="1"/>
  <c r="S32" i="115"/>
  <c r="S33" i="115"/>
  <c r="CB81" i="115"/>
  <c r="CH81" i="115" s="1"/>
  <c r="CC158" i="115"/>
  <c r="CI158" i="115" s="1"/>
  <c r="BG18" i="115"/>
  <c r="BG147" i="115" s="1"/>
  <c r="AI147" i="115"/>
  <c r="S28" i="115"/>
  <c r="D205" i="115"/>
  <c r="D158" i="115"/>
  <c r="D42" i="116" s="1"/>
  <c r="CE39" i="116"/>
  <c r="EP62" i="116"/>
  <c r="FQ62" i="116" s="1"/>
  <c r="FR62" i="116"/>
  <c r="EE43" i="116"/>
  <c r="GE43" i="116"/>
  <c r="CE43" i="116"/>
  <c r="BG159" i="115"/>
  <c r="DF55" i="116"/>
  <c r="DO55" i="116" s="1"/>
  <c r="DP55" i="116"/>
  <c r="EE39" i="116"/>
  <c r="AG62" i="116"/>
  <c r="E62" i="116"/>
  <c r="AF62" i="116" s="1"/>
  <c r="CG62" i="116"/>
  <c r="CQ62" i="116"/>
  <c r="DR62" i="116" s="1"/>
  <c r="DS62" i="116"/>
  <c r="BZ55" i="116"/>
  <c r="CC55" i="116"/>
  <c r="T46" i="119" s="1"/>
  <c r="AR62" i="116"/>
  <c r="BS62" i="116" s="1"/>
  <c r="BT62" i="116"/>
  <c r="BH175" i="115"/>
  <c r="R26" i="115"/>
  <c r="AG26" i="115" s="1"/>
  <c r="S35" i="115"/>
  <c r="EF39" i="116"/>
  <c r="CF57" i="116"/>
  <c r="EC56" i="116"/>
  <c r="AA47" i="119" s="1"/>
  <c r="CM56" i="116"/>
  <c r="EL55" i="116"/>
  <c r="EW55" i="116"/>
  <c r="EM55" i="116"/>
  <c r="AJ175" i="115"/>
  <c r="BI175" i="115"/>
  <c r="CG57" i="116"/>
  <c r="BH153" i="113"/>
  <c r="BA160" i="113"/>
  <c r="BI153" i="113"/>
  <c r="CE118" i="113"/>
  <c r="BY160" i="113"/>
  <c r="AI153" i="113"/>
  <c r="AC160" i="113"/>
  <c r="AI160" i="113" s="1"/>
  <c r="CF48" i="113"/>
  <c r="CF118" i="113"/>
  <c r="CE48" i="113"/>
  <c r="D77" i="115"/>
  <c r="B100" i="115"/>
  <c r="BA122" i="115"/>
  <c r="BA127" i="115"/>
  <c r="D31" i="115"/>
  <c r="N122" i="115"/>
  <c r="N127" i="115"/>
  <c r="AI127" i="115" s="1"/>
  <c r="AI120" i="115"/>
  <c r="AC122" i="115"/>
  <c r="AJ122" i="115"/>
  <c r="BH120" i="115"/>
  <c r="BY122" i="115"/>
  <c r="D72" i="115"/>
  <c r="CJ72" i="115"/>
  <c r="CJ74" i="115"/>
  <c r="D76" i="115"/>
  <c r="CJ76" i="115"/>
  <c r="D55" i="115"/>
  <c r="CJ55" i="115"/>
  <c r="CB86" i="115"/>
  <c r="CH86" i="115" s="1"/>
  <c r="CI86" i="115"/>
  <c r="C81" i="115"/>
  <c r="B81" i="115" s="1"/>
  <c r="CI81" i="115"/>
  <c r="C92" i="115"/>
  <c r="CI92" i="115"/>
  <c r="C103" i="115"/>
  <c r="CI103" i="115"/>
  <c r="R78" i="115"/>
  <c r="AG78" i="115" s="1"/>
  <c r="R79" i="115"/>
  <c r="AG79" i="115" s="1"/>
  <c r="B80" i="115"/>
  <c r="R80" i="115"/>
  <c r="S81" i="115"/>
  <c r="S82" i="115"/>
  <c r="S84" i="115"/>
  <c r="S207" i="115" s="1"/>
  <c r="AH207" i="115" s="1"/>
  <c r="S85" i="115"/>
  <c r="AH85" i="115" s="1"/>
  <c r="S87" i="115"/>
  <c r="AH87" i="115" s="1"/>
  <c r="S89" i="115"/>
  <c r="AH89" i="115" s="1"/>
  <c r="R100" i="115"/>
  <c r="AG100" i="115" s="1"/>
  <c r="R101" i="115"/>
  <c r="AG101" i="115" s="1"/>
  <c r="CE36" i="115"/>
  <c r="CF90" i="115"/>
  <c r="B29" i="115"/>
  <c r="D73" i="115"/>
  <c r="CJ73" i="115"/>
  <c r="D91" i="115"/>
  <c r="CJ91" i="115"/>
  <c r="D92" i="115"/>
  <c r="CJ92" i="115"/>
  <c r="D93" i="115"/>
  <c r="CJ93" i="115"/>
  <c r="D94" i="115"/>
  <c r="CJ94" i="115"/>
  <c r="D95" i="115"/>
  <c r="CJ95" i="115"/>
  <c r="S78" i="115"/>
  <c r="AH78" i="115" s="1"/>
  <c r="S79" i="115"/>
  <c r="S80" i="115"/>
  <c r="AH80" i="115" s="1"/>
  <c r="R82" i="115"/>
  <c r="AG82" i="115" s="1"/>
  <c r="R83" i="115"/>
  <c r="B84" i="115"/>
  <c r="R84" i="115"/>
  <c r="R85" i="115"/>
  <c r="AG85" i="115" s="1"/>
  <c r="R87" i="115"/>
  <c r="AG87" i="115" s="1"/>
  <c r="R89" i="115"/>
  <c r="AG89" i="115" s="1"/>
  <c r="R98" i="115"/>
  <c r="AG98" i="115" s="1"/>
  <c r="B99" i="115"/>
  <c r="R99" i="115"/>
  <c r="AG99" i="115" s="1"/>
  <c r="R105" i="115"/>
  <c r="AG105" i="115" s="1"/>
  <c r="R106" i="115"/>
  <c r="CF17" i="115"/>
  <c r="CF36" i="115"/>
  <c r="S106" i="115"/>
  <c r="AH106" i="115" s="1"/>
  <c r="AN106" i="115" s="1"/>
  <c r="D104" i="115"/>
  <c r="S105" i="115"/>
  <c r="AH105" i="115" s="1"/>
  <c r="AN105" i="115" s="1"/>
  <c r="B105" i="115"/>
  <c r="D102" i="115"/>
  <c r="S103" i="115"/>
  <c r="S101" i="115"/>
  <c r="S100" i="115"/>
  <c r="AH100" i="115" s="1"/>
  <c r="AN100" i="115" s="1"/>
  <c r="S99" i="115"/>
  <c r="AH99" i="115" s="1"/>
  <c r="AN99" i="115" s="1"/>
  <c r="S98" i="115"/>
  <c r="AH98" i="115" s="1"/>
  <c r="AN98" i="115" s="1"/>
  <c r="B98" i="115"/>
  <c r="S83" i="115"/>
  <c r="CB88" i="115"/>
  <c r="CH88" i="115" s="1"/>
  <c r="CD96" i="115"/>
  <c r="CJ96" i="115" s="1"/>
  <c r="CB102" i="115"/>
  <c r="CH102" i="115" s="1"/>
  <c r="CB104" i="115"/>
  <c r="CH104" i="115" s="1"/>
  <c r="D34" i="115"/>
  <c r="B28" i="115"/>
  <c r="B33" i="115"/>
  <c r="B35" i="115"/>
  <c r="B78" i="115"/>
  <c r="B79" i="115"/>
  <c r="B82" i="115"/>
  <c r="B83" i="115"/>
  <c r="AH35" i="115"/>
  <c r="S27" i="115"/>
  <c r="R29" i="115"/>
  <c r="C34" i="115"/>
  <c r="B26" i="115"/>
  <c r="B27" i="115"/>
  <c r="B32" i="115"/>
  <c r="S26" i="115"/>
  <c r="R27" i="115"/>
  <c r="R28" i="115"/>
  <c r="AG28" i="115" s="1"/>
  <c r="S29" i="115"/>
  <c r="S30" i="115"/>
  <c r="R32" i="115"/>
  <c r="R33" i="115"/>
  <c r="R35" i="115"/>
  <c r="B85" i="115"/>
  <c r="B87" i="115"/>
  <c r="B89" i="115"/>
  <c r="B101" i="115"/>
  <c r="B106" i="115"/>
  <c r="CD75" i="115"/>
  <c r="CJ75" i="115" s="1"/>
  <c r="AH32" i="115"/>
  <c r="D74" i="115"/>
  <c r="C104" i="115"/>
  <c r="B88" i="115"/>
  <c r="B86" i="115"/>
  <c r="C31" i="115"/>
  <c r="CD41" i="115"/>
  <c r="CD40" i="115"/>
  <c r="CC40" i="115"/>
  <c r="CD38" i="115"/>
  <c r="CD150" i="115" s="1"/>
  <c r="CJ150" i="115" s="1"/>
  <c r="CD34" i="115"/>
  <c r="CJ34" i="115" s="1"/>
  <c r="CE221" i="113" l="1"/>
  <c r="BJ221" i="113"/>
  <c r="C77" i="115"/>
  <c r="GD49" i="114"/>
  <c r="GD69" i="114" s="1"/>
  <c r="EE74" i="114"/>
  <c r="GD74" i="114" s="1"/>
  <c r="DY55" i="116"/>
  <c r="W46" i="119"/>
  <c r="D97" i="115"/>
  <c r="D90" i="115" s="1"/>
  <c r="GB55" i="116"/>
  <c r="DX55" i="116"/>
  <c r="V46" i="119"/>
  <c r="CF214" i="113"/>
  <c r="D71" i="115"/>
  <c r="B103" i="115"/>
  <c r="D199" i="115"/>
  <c r="Q26" i="115"/>
  <c r="AH79" i="115"/>
  <c r="AF79" i="115" s="1"/>
  <c r="AL79" i="115" s="1"/>
  <c r="AH84" i="115"/>
  <c r="AQ84" i="115" s="1"/>
  <c r="AH82" i="115"/>
  <c r="AF82" i="115" s="1"/>
  <c r="AL82" i="115" s="1"/>
  <c r="AH81" i="115"/>
  <c r="AH158" i="115" s="1"/>
  <c r="AN158" i="115" s="1"/>
  <c r="AG80" i="115"/>
  <c r="AF80" i="115" s="1"/>
  <c r="AL80" i="115" s="1"/>
  <c r="AH27" i="115"/>
  <c r="AQ27" i="115" s="1"/>
  <c r="Q33" i="115"/>
  <c r="AH30" i="115"/>
  <c r="S208" i="115"/>
  <c r="AH208" i="115" s="1"/>
  <c r="Q28" i="115"/>
  <c r="AH26" i="115"/>
  <c r="AQ26" i="115" s="1"/>
  <c r="AG29" i="115"/>
  <c r="AH83" i="115"/>
  <c r="AN83" i="115" s="1"/>
  <c r="S206" i="115"/>
  <c r="AH206" i="115" s="1"/>
  <c r="AG84" i="115"/>
  <c r="AP84" i="115" s="1"/>
  <c r="R207" i="115"/>
  <c r="AG207" i="115" s="1"/>
  <c r="AG83" i="115"/>
  <c r="AM83" i="115" s="1"/>
  <c r="R206" i="115"/>
  <c r="AG206" i="115" s="1"/>
  <c r="AN207" i="115"/>
  <c r="S205" i="115"/>
  <c r="AH205" i="115" s="1"/>
  <c r="S158" i="115"/>
  <c r="AQ42" i="116" s="1"/>
  <c r="C158" i="115"/>
  <c r="C42" i="116" s="1"/>
  <c r="C205" i="115"/>
  <c r="EF57" i="116"/>
  <c r="GE57" i="116" s="1"/>
  <c r="EF62" i="116"/>
  <c r="GE62" i="116" s="1"/>
  <c r="CF62" i="116"/>
  <c r="GD39" i="116"/>
  <c r="ED39" i="116"/>
  <c r="M42" i="116"/>
  <c r="V42" i="116" s="1"/>
  <c r="Q35" i="115"/>
  <c r="AH29" i="115"/>
  <c r="FF55" i="116"/>
  <c r="EV55" i="116"/>
  <c r="EL56" i="116"/>
  <c r="GB56" i="116"/>
  <c r="EE57" i="116"/>
  <c r="GE39" i="116"/>
  <c r="S34" i="115"/>
  <c r="AH34" i="115" s="1"/>
  <c r="AN34" i="115" s="1"/>
  <c r="CL55" i="116"/>
  <c r="EB55" i="116"/>
  <c r="Z46" i="119" s="1"/>
  <c r="ED43" i="116"/>
  <c r="GD43" i="116"/>
  <c r="AH28" i="115"/>
  <c r="AH33" i="115"/>
  <c r="S31" i="115"/>
  <c r="EA55" i="116"/>
  <c r="Y46" i="119" s="1"/>
  <c r="CK55" i="116"/>
  <c r="CF153" i="113"/>
  <c r="BG153" i="113"/>
  <c r="CG153" i="113"/>
  <c r="BG160" i="113"/>
  <c r="AG35" i="115"/>
  <c r="AM35" i="115" s="1"/>
  <c r="B92" i="115"/>
  <c r="D25" i="115"/>
  <c r="AG33" i="115"/>
  <c r="AM33" i="115" s="1"/>
  <c r="Q27" i="115"/>
  <c r="BG127" i="115"/>
  <c r="BH122" i="115"/>
  <c r="CF120" i="115"/>
  <c r="BG120" i="115"/>
  <c r="AI122" i="115"/>
  <c r="Q101" i="115"/>
  <c r="AP82" i="115"/>
  <c r="BE82" i="115" s="1"/>
  <c r="AM82" i="115"/>
  <c r="AQ78" i="115"/>
  <c r="BO78" i="115" s="1"/>
  <c r="AN78" i="115"/>
  <c r="AQ85" i="115"/>
  <c r="BO85" i="115" s="1"/>
  <c r="AN85" i="115"/>
  <c r="AP79" i="115"/>
  <c r="BE79" i="115" s="1"/>
  <c r="AM79" i="115"/>
  <c r="AP83" i="115"/>
  <c r="AQ80" i="115"/>
  <c r="BO80" i="115" s="1"/>
  <c r="AN80" i="115"/>
  <c r="AP78" i="115"/>
  <c r="BE78" i="115" s="1"/>
  <c r="AF78" i="115"/>
  <c r="AL78" i="115" s="1"/>
  <c r="AM78" i="115"/>
  <c r="C40" i="115"/>
  <c r="CI40" i="115"/>
  <c r="AN29" i="115"/>
  <c r="AQ35" i="115"/>
  <c r="AN35" i="115"/>
  <c r="AP99" i="115"/>
  <c r="BN99" i="115" s="1"/>
  <c r="AM99" i="115"/>
  <c r="AF89" i="115"/>
  <c r="AL89" i="115" s="1"/>
  <c r="AP89" i="115"/>
  <c r="BE89" i="115" s="1"/>
  <c r="AM89" i="115"/>
  <c r="CJ38" i="115"/>
  <c r="CJ40" i="115"/>
  <c r="D41" i="115"/>
  <c r="CJ41" i="115"/>
  <c r="S74" i="115"/>
  <c r="AH74" i="115" s="1"/>
  <c r="AQ32" i="115"/>
  <c r="AN32" i="115"/>
  <c r="AM28" i="115"/>
  <c r="AQ30" i="115"/>
  <c r="AN30" i="115"/>
  <c r="AN26" i="115"/>
  <c r="R104" i="115"/>
  <c r="Q89" i="115"/>
  <c r="R88" i="115"/>
  <c r="Q87" i="115"/>
  <c r="R86" i="115"/>
  <c r="Q85" i="115"/>
  <c r="Q84" i="115"/>
  <c r="Q207" i="115" s="1"/>
  <c r="S95" i="115"/>
  <c r="AH95" i="115" s="1"/>
  <c r="S93" i="115"/>
  <c r="AH93" i="115" s="1"/>
  <c r="S91" i="115"/>
  <c r="S88" i="115"/>
  <c r="S86" i="115"/>
  <c r="S77" i="115" s="1"/>
  <c r="Q80" i="115"/>
  <c r="R81" i="115"/>
  <c r="S55" i="115"/>
  <c r="S72" i="115"/>
  <c r="AH72" i="115" s="1"/>
  <c r="AG104" i="115"/>
  <c r="D96" i="115"/>
  <c r="C102" i="115"/>
  <c r="AH101" i="115"/>
  <c r="AN101" i="115" s="1"/>
  <c r="AG106" i="115"/>
  <c r="AF106" i="115" s="1"/>
  <c r="AL106" i="115" s="1"/>
  <c r="AM26" i="115"/>
  <c r="AP29" i="115"/>
  <c r="AM29" i="115"/>
  <c r="AP105" i="115"/>
  <c r="BE105" i="115" s="1"/>
  <c r="BK105" i="115" s="1"/>
  <c r="AM105" i="115"/>
  <c r="AP98" i="115"/>
  <c r="BN98" i="115" s="1"/>
  <c r="AM98" i="115"/>
  <c r="AF87" i="115"/>
  <c r="AL87" i="115" s="1"/>
  <c r="AP87" i="115"/>
  <c r="BE87" i="115" s="1"/>
  <c r="AM87" i="115"/>
  <c r="AF85" i="115"/>
  <c r="AL85" i="115" s="1"/>
  <c r="AP85" i="115"/>
  <c r="BE85" i="115" s="1"/>
  <c r="AM85" i="115"/>
  <c r="Q82" i="115"/>
  <c r="AN79" i="115"/>
  <c r="S94" i="115"/>
  <c r="AH94" i="115" s="1"/>
  <c r="S92" i="115"/>
  <c r="AH92" i="115" s="1"/>
  <c r="S73" i="115"/>
  <c r="AP101" i="115"/>
  <c r="BN101" i="115" s="1"/>
  <c r="AM101" i="115"/>
  <c r="AP100" i="115"/>
  <c r="BN100" i="115" s="1"/>
  <c r="AM100" i="115"/>
  <c r="AQ89" i="115"/>
  <c r="BF89" i="115" s="1"/>
  <c r="BL89" i="115" s="1"/>
  <c r="AN89" i="115"/>
  <c r="AQ87" i="115"/>
  <c r="BF87" i="115" s="1"/>
  <c r="BL87" i="115" s="1"/>
  <c r="AN87" i="115"/>
  <c r="AN82" i="115"/>
  <c r="AQ81" i="115"/>
  <c r="AN81" i="115"/>
  <c r="AP80" i="115"/>
  <c r="Q79" i="115"/>
  <c r="Q78" i="115"/>
  <c r="R103" i="115"/>
  <c r="AG103" i="115" s="1"/>
  <c r="R92" i="115"/>
  <c r="AG92" i="115" s="1"/>
  <c r="S76" i="115"/>
  <c r="AH76" i="115" s="1"/>
  <c r="Q106" i="115"/>
  <c r="AQ106" i="115"/>
  <c r="S104" i="115"/>
  <c r="AH104" i="115" s="1"/>
  <c r="AN104" i="115" s="1"/>
  <c r="Q105" i="115"/>
  <c r="AQ105" i="115"/>
  <c r="AF105" i="115"/>
  <c r="AL105" i="115" s="1"/>
  <c r="S102" i="115"/>
  <c r="AH102" i="115" s="1"/>
  <c r="AN102" i="115" s="1"/>
  <c r="AH103" i="115"/>
  <c r="AN103" i="115" s="1"/>
  <c r="AQ101" i="115"/>
  <c r="BF101" i="115" s="1"/>
  <c r="Q100" i="115"/>
  <c r="AQ100" i="115"/>
  <c r="BF100" i="115" s="1"/>
  <c r="AF100" i="115"/>
  <c r="AL100" i="115" s="1"/>
  <c r="Q99" i="115"/>
  <c r="AQ99" i="115"/>
  <c r="AF99" i="115"/>
  <c r="AL99" i="115" s="1"/>
  <c r="AQ98" i="115"/>
  <c r="BF98" i="115" s="1"/>
  <c r="AF98" i="115"/>
  <c r="AL98" i="115" s="1"/>
  <c r="Q98" i="115"/>
  <c r="AF83" i="115"/>
  <c r="AL83" i="115" s="1"/>
  <c r="Q83" i="115"/>
  <c r="Q206" i="115" s="1"/>
  <c r="R34" i="115"/>
  <c r="AG34" i="115" s="1"/>
  <c r="AQ29" i="115"/>
  <c r="AF29" i="115"/>
  <c r="AL29" i="115" s="1"/>
  <c r="AF35" i="115"/>
  <c r="AL35" i="115" s="1"/>
  <c r="AF26" i="115"/>
  <c r="AL26" i="115" s="1"/>
  <c r="AP26" i="115"/>
  <c r="AF33" i="115"/>
  <c r="AL33" i="115" s="1"/>
  <c r="Q32" i="115"/>
  <c r="R31" i="115"/>
  <c r="D38" i="115"/>
  <c r="CB40" i="115"/>
  <c r="CH40" i="115" s="1"/>
  <c r="D40" i="115"/>
  <c r="D75" i="115"/>
  <c r="AF28" i="115"/>
  <c r="AL28" i="115" s="1"/>
  <c r="AP28" i="115"/>
  <c r="B34" i="115"/>
  <c r="AG32" i="115"/>
  <c r="Q29" i="115"/>
  <c r="AG31" i="115"/>
  <c r="S25" i="115"/>
  <c r="AG27" i="115"/>
  <c r="B104" i="115"/>
  <c r="B77" i="115"/>
  <c r="B31" i="115"/>
  <c r="CB35" i="115"/>
  <c r="CB33" i="115"/>
  <c r="CB32" i="115"/>
  <c r="CC34" i="115"/>
  <c r="CI34" i="115" s="1"/>
  <c r="CD31" i="115"/>
  <c r="CJ31" i="115" s="1"/>
  <c r="CC31" i="115"/>
  <c r="CB29" i="115"/>
  <c r="CB28" i="115"/>
  <c r="CB27" i="115"/>
  <c r="CB26" i="115"/>
  <c r="CD25" i="115"/>
  <c r="CD23" i="115"/>
  <c r="CD22" i="115"/>
  <c r="CD21" i="115"/>
  <c r="CD20" i="115"/>
  <c r="CC20" i="115"/>
  <c r="CD19" i="115"/>
  <c r="CD18" i="115"/>
  <c r="CE160" i="113" l="1"/>
  <c r="BJ160" i="113"/>
  <c r="CE127" i="115"/>
  <c r="AF84" i="115"/>
  <c r="AL84" i="115" s="1"/>
  <c r="AN84" i="115"/>
  <c r="AN27" i="115"/>
  <c r="AP33" i="115"/>
  <c r="BE33" i="115" s="1"/>
  <c r="BK33" i="115" s="1"/>
  <c r="AP35" i="115"/>
  <c r="AP34" i="115" s="1"/>
  <c r="AQ83" i="115"/>
  <c r="BF83" i="115" s="1"/>
  <c r="AM80" i="115"/>
  <c r="AQ82" i="115"/>
  <c r="BO82" i="115" s="1"/>
  <c r="AQ79" i="115"/>
  <c r="BO79" i="115" s="1"/>
  <c r="AM84" i="115"/>
  <c r="GK56" i="116"/>
  <c r="AG47" i="119"/>
  <c r="GK55" i="116"/>
  <c r="AG46" i="119"/>
  <c r="D150" i="115"/>
  <c r="D34" i="116" s="1"/>
  <c r="M34" i="116" s="1"/>
  <c r="CJ18" i="115"/>
  <c r="CJ20" i="115"/>
  <c r="CD149" i="115"/>
  <c r="CJ149" i="115" s="1"/>
  <c r="CJ21" i="115"/>
  <c r="CD151" i="115"/>
  <c r="CJ151" i="115" s="1"/>
  <c r="CJ23" i="115"/>
  <c r="BE28" i="115"/>
  <c r="AQ206" i="115"/>
  <c r="BF206" i="115" s="1"/>
  <c r="BL206" i="115" s="1"/>
  <c r="CI20" i="115"/>
  <c r="CC149" i="115"/>
  <c r="CI149" i="115" s="1"/>
  <c r="CJ25" i="115"/>
  <c r="AH25" i="115"/>
  <c r="Q34" i="115"/>
  <c r="BE29" i="115"/>
  <c r="BF26" i="115"/>
  <c r="BO30" i="115"/>
  <c r="BO208" i="115" s="1"/>
  <c r="AQ208" i="115"/>
  <c r="BF208" i="115" s="1"/>
  <c r="BL208" i="115" s="1"/>
  <c r="BF35" i="115"/>
  <c r="BL35" i="115" s="1"/>
  <c r="BN83" i="115"/>
  <c r="BN206" i="115" s="1"/>
  <c r="AP206" i="115"/>
  <c r="BE206" i="115" s="1"/>
  <c r="BK206" i="115" s="1"/>
  <c r="BF27" i="115"/>
  <c r="GC43" i="116"/>
  <c r="EK55" i="116"/>
  <c r="GC39" i="116"/>
  <c r="AN205" i="115"/>
  <c r="AN208" i="115"/>
  <c r="AE42" i="116"/>
  <c r="O33" i="119" s="1"/>
  <c r="CJ19" i="115"/>
  <c r="CJ22" i="115"/>
  <c r="Q31" i="115"/>
  <c r="BE26" i="115"/>
  <c r="BK26" i="115" s="1"/>
  <c r="BO81" i="115"/>
  <c r="AQ205" i="115"/>
  <c r="BF205" i="115" s="1"/>
  <c r="BL205" i="115" s="1"/>
  <c r="AQ158" i="115"/>
  <c r="CP42" i="116" s="1"/>
  <c r="BO84" i="115"/>
  <c r="BO207" i="115" s="1"/>
  <c r="AQ207" i="115"/>
  <c r="BF207" i="115" s="1"/>
  <c r="BL207" i="115" s="1"/>
  <c r="BE84" i="115"/>
  <c r="BK84" i="115" s="1"/>
  <c r="AP207" i="115"/>
  <c r="AH55" i="115"/>
  <c r="AQ55" i="115" s="1"/>
  <c r="S199" i="115"/>
  <c r="AH199" i="115" s="1"/>
  <c r="AG81" i="115"/>
  <c r="AG158" i="115" s="1"/>
  <c r="AM158" i="115" s="1"/>
  <c r="R205" i="115"/>
  <c r="AG205" i="115" s="1"/>
  <c r="R158" i="115"/>
  <c r="AP42" i="116" s="1"/>
  <c r="BF32" i="115"/>
  <c r="BL32" i="115" s="1"/>
  <c r="EJ55" i="116"/>
  <c r="AH31" i="115"/>
  <c r="AN31" i="115" s="1"/>
  <c r="AN33" i="115"/>
  <c r="AQ33" i="115"/>
  <c r="AQ28" i="115"/>
  <c r="AO28" i="115" s="1"/>
  <c r="AN28" i="115"/>
  <c r="GD57" i="116"/>
  <c r="FO55" i="116"/>
  <c r="FE55" i="116"/>
  <c r="FN55" i="116" s="1"/>
  <c r="AB46" i="119" s="1"/>
  <c r="EE62" i="116"/>
  <c r="GD62" i="116" s="1"/>
  <c r="L42" i="116"/>
  <c r="B42" i="116"/>
  <c r="AZ42" i="116"/>
  <c r="BI42" i="116" s="1"/>
  <c r="AM206" i="115"/>
  <c r="BE207" i="115"/>
  <c r="BK207" i="115" s="1"/>
  <c r="AM207" i="115"/>
  <c r="AN206" i="115"/>
  <c r="CE153" i="113"/>
  <c r="BE100" i="115"/>
  <c r="BK100" i="115" s="1"/>
  <c r="BE98" i="115"/>
  <c r="BK98" i="115" s="1"/>
  <c r="BE99" i="115"/>
  <c r="BK99" i="115" s="1"/>
  <c r="CF122" i="115"/>
  <c r="AF101" i="115"/>
  <c r="AL101" i="115" s="1"/>
  <c r="Q103" i="115"/>
  <c r="BF30" i="115"/>
  <c r="BL30" i="115" s="1"/>
  <c r="BE83" i="115"/>
  <c r="BK83" i="115" s="1"/>
  <c r="BF85" i="115"/>
  <c r="BL85" i="115" s="1"/>
  <c r="BG122" i="115"/>
  <c r="CE120" i="115"/>
  <c r="BL100" i="115"/>
  <c r="BK29" i="115"/>
  <c r="AN74" i="115"/>
  <c r="AQ74" i="115"/>
  <c r="BF74" i="115" s="1"/>
  <c r="BK28" i="115"/>
  <c r="BL101" i="115"/>
  <c r="AN76" i="115"/>
  <c r="AQ76" i="115"/>
  <c r="BO76" i="115" s="1"/>
  <c r="AN94" i="115"/>
  <c r="AQ94" i="115"/>
  <c r="BO94" i="115" s="1"/>
  <c r="AH96" i="115"/>
  <c r="AN96" i="115" s="1"/>
  <c r="AN95" i="115"/>
  <c r="AQ95" i="115"/>
  <c r="BF95" i="115" s="1"/>
  <c r="BK82" i="115"/>
  <c r="AM27" i="115"/>
  <c r="AM32" i="115"/>
  <c r="AM103" i="115"/>
  <c r="AP103" i="115"/>
  <c r="BN80" i="115"/>
  <c r="BM80" i="115" s="1"/>
  <c r="AO80" i="115"/>
  <c r="AN92" i="115"/>
  <c r="AQ92" i="115"/>
  <c r="BO92" i="115" s="1"/>
  <c r="AM31" i="115"/>
  <c r="AF34" i="115"/>
  <c r="AL34" i="115" s="1"/>
  <c r="AM34" i="115"/>
  <c r="S40" i="115"/>
  <c r="S38" i="115"/>
  <c r="Q92" i="115"/>
  <c r="R102" i="115"/>
  <c r="Q102" i="115" s="1"/>
  <c r="BO87" i="115"/>
  <c r="AQ86" i="115"/>
  <c r="AO85" i="115"/>
  <c r="BN85" i="115"/>
  <c r="AO87" i="115"/>
  <c r="BN87" i="115"/>
  <c r="AP86" i="115"/>
  <c r="AM104" i="115"/>
  <c r="AH86" i="115"/>
  <c r="AH88" i="115"/>
  <c r="Q86" i="115"/>
  <c r="AG86" i="115"/>
  <c r="AQ31" i="115"/>
  <c r="BO32" i="115"/>
  <c r="S41" i="115"/>
  <c r="AH41" i="115" s="1"/>
  <c r="AO89" i="115"/>
  <c r="BN89" i="115"/>
  <c r="AP88" i="115"/>
  <c r="AQ34" i="115"/>
  <c r="BO35" i="115"/>
  <c r="R40" i="115"/>
  <c r="AG40" i="115" s="1"/>
  <c r="BN78" i="115"/>
  <c r="AO78" i="115"/>
  <c r="BO27" i="115"/>
  <c r="AO79" i="115"/>
  <c r="BN79" i="115"/>
  <c r="BN29" i="115"/>
  <c r="BO26" i="115"/>
  <c r="S97" i="115"/>
  <c r="S90" i="115" s="1"/>
  <c r="BF81" i="115"/>
  <c r="BF84" i="115"/>
  <c r="BL84" i="115" s="1"/>
  <c r="BE101" i="115"/>
  <c r="BK101" i="115" s="1"/>
  <c r="AH73" i="115"/>
  <c r="AH91" i="115"/>
  <c r="BF29" i="115"/>
  <c r="BL29" i="115" s="1"/>
  <c r="BF80" i="115"/>
  <c r="BL80" i="115" s="1"/>
  <c r="BF78" i="115"/>
  <c r="BL78" i="115" s="1"/>
  <c r="CB31" i="115"/>
  <c r="CI31" i="115"/>
  <c r="AN25" i="115"/>
  <c r="BL98" i="115"/>
  <c r="AF92" i="115"/>
  <c r="AL92" i="115" s="1"/>
  <c r="AM92" i="115"/>
  <c r="AP92" i="115"/>
  <c r="BE92" i="115" s="1"/>
  <c r="BO89" i="115"/>
  <c r="BO88" i="115" s="1"/>
  <c r="AQ88" i="115"/>
  <c r="BN84" i="115"/>
  <c r="AO84" i="115"/>
  <c r="BK85" i="115"/>
  <c r="BD87" i="115"/>
  <c r="BJ87" i="115" s="1"/>
  <c r="BK87" i="115"/>
  <c r="BN105" i="115"/>
  <c r="AP106" i="115"/>
  <c r="AO106" i="115" s="1"/>
  <c r="AM106" i="115"/>
  <c r="B102" i="115"/>
  <c r="C97" i="115"/>
  <c r="AN72" i="115"/>
  <c r="AQ72" i="115"/>
  <c r="AN55" i="115"/>
  <c r="Q81" i="115"/>
  <c r="AN93" i="115"/>
  <c r="AQ93" i="115"/>
  <c r="BO93" i="115" s="1"/>
  <c r="S96" i="115"/>
  <c r="Q88" i="115"/>
  <c r="R77" i="115"/>
  <c r="AG88" i="115"/>
  <c r="BD89" i="115"/>
  <c r="BJ89" i="115" s="1"/>
  <c r="BK89" i="115"/>
  <c r="BK78" i="115"/>
  <c r="BK79" i="115"/>
  <c r="BN82" i="115"/>
  <c r="BE80" i="115"/>
  <c r="S75" i="115"/>
  <c r="BO106" i="115"/>
  <c r="BF106" i="115"/>
  <c r="Q104" i="115"/>
  <c r="BF105" i="115"/>
  <c r="BO105" i="115"/>
  <c r="AQ104" i="115"/>
  <c r="BF104" i="115" s="1"/>
  <c r="AO105" i="115"/>
  <c r="AF104" i="115"/>
  <c r="AL104" i="115" s="1"/>
  <c r="AQ103" i="115"/>
  <c r="AF103" i="115"/>
  <c r="AL103" i="115" s="1"/>
  <c r="BO101" i="115"/>
  <c r="AO101" i="115"/>
  <c r="BO100" i="115"/>
  <c r="AO100" i="115"/>
  <c r="BO99" i="115"/>
  <c r="BM99" i="115" s="1"/>
  <c r="AO99" i="115"/>
  <c r="BF99" i="115"/>
  <c r="BO98" i="115"/>
  <c r="AO98" i="115"/>
  <c r="AO83" i="115"/>
  <c r="S71" i="115"/>
  <c r="AH77" i="115"/>
  <c r="AN77" i="115" s="1"/>
  <c r="AO29" i="115"/>
  <c r="B40" i="115"/>
  <c r="C20" i="115"/>
  <c r="AF27" i="115"/>
  <c r="AL27" i="115" s="1"/>
  <c r="AP27" i="115"/>
  <c r="BN26" i="115"/>
  <c r="AO26" i="115"/>
  <c r="BN35" i="115"/>
  <c r="D18" i="115"/>
  <c r="D19" i="115"/>
  <c r="CB20" i="115"/>
  <c r="D20" i="115"/>
  <c r="D21" i="115"/>
  <c r="D22" i="115"/>
  <c r="D23" i="115"/>
  <c r="AF32" i="115"/>
  <c r="AL32" i="115" s="1"/>
  <c r="AP32" i="115"/>
  <c r="BN28" i="115"/>
  <c r="BN33" i="115"/>
  <c r="BO29" i="115"/>
  <c r="CD24" i="115"/>
  <c r="CJ24" i="115" s="1"/>
  <c r="CB34" i="115"/>
  <c r="BD98" i="115" l="1"/>
  <c r="BJ98" i="115" s="1"/>
  <c r="BR42" i="116"/>
  <c r="AO35" i="115"/>
  <c r="CD207" i="115"/>
  <c r="CJ207" i="115" s="1"/>
  <c r="BE35" i="115"/>
  <c r="BK35" i="115" s="1"/>
  <c r="BF79" i="115"/>
  <c r="BL79" i="115" s="1"/>
  <c r="BD83" i="115"/>
  <c r="BJ83" i="115" s="1"/>
  <c r="BL83" i="115"/>
  <c r="V34" i="116"/>
  <c r="AE34" i="116" s="1"/>
  <c r="CA42" i="116"/>
  <c r="R33" i="119"/>
  <c r="FX55" i="116"/>
  <c r="AC46" i="119"/>
  <c r="AO33" i="115"/>
  <c r="BO83" i="115"/>
  <c r="BO206" i="115" s="1"/>
  <c r="AO82" i="115"/>
  <c r="BD35" i="115"/>
  <c r="BJ35" i="115" s="1"/>
  <c r="AM81" i="115"/>
  <c r="BF82" i="115"/>
  <c r="BL82" i="115" s="1"/>
  <c r="C149" i="115"/>
  <c r="C33" i="116" s="1"/>
  <c r="L33" i="116" s="1"/>
  <c r="D149" i="115"/>
  <c r="D33" i="116" s="1"/>
  <c r="M33" i="116" s="1"/>
  <c r="V33" i="116" s="1"/>
  <c r="BE106" i="115"/>
  <c r="BK106" i="115" s="1"/>
  <c r="Q77" i="115"/>
  <c r="AG102" i="115"/>
  <c r="AM102" i="115" s="1"/>
  <c r="R97" i="115"/>
  <c r="AF31" i="115"/>
  <c r="AL31" i="115" s="1"/>
  <c r="BD26" i="115"/>
  <c r="BJ26" i="115" s="1"/>
  <c r="AP81" i="115"/>
  <c r="AP205" i="115" s="1"/>
  <c r="BE205" i="115" s="1"/>
  <c r="BK205" i="115" s="1"/>
  <c r="AF81" i="115"/>
  <c r="AL81" i="115" s="1"/>
  <c r="BD100" i="115"/>
  <c r="BJ100" i="115" s="1"/>
  <c r="CC206" i="115"/>
  <c r="CI206" i="115" s="1"/>
  <c r="CD208" i="115"/>
  <c r="CJ208" i="115" s="1"/>
  <c r="D151" i="115"/>
  <c r="D35" i="116" s="1"/>
  <c r="M35" i="116" s="1"/>
  <c r="V35" i="116" s="1"/>
  <c r="BF103" i="115"/>
  <c r="BL103" i="115" s="1"/>
  <c r="FW55" i="116"/>
  <c r="FZ55" i="116"/>
  <c r="BE32" i="115"/>
  <c r="BD32" i="115" s="1"/>
  <c r="BJ32" i="115" s="1"/>
  <c r="BE27" i="115"/>
  <c r="BD27" i="115" s="1"/>
  <c r="BJ27" i="115" s="1"/>
  <c r="B33" i="116"/>
  <c r="Q205" i="115"/>
  <c r="Q158" i="115"/>
  <c r="BO55" i="115"/>
  <c r="BO199" i="115" s="1"/>
  <c r="AQ199" i="115"/>
  <c r="BF199" i="115" s="1"/>
  <c r="BL199" i="115" s="1"/>
  <c r="BM84" i="115"/>
  <c r="BN207" i="115"/>
  <c r="CC207" i="115" s="1"/>
  <c r="CI207" i="115" s="1"/>
  <c r="BO34" i="115"/>
  <c r="BF31" i="115"/>
  <c r="BL31" i="115" s="1"/>
  <c r="BF33" i="115"/>
  <c r="BO33" i="115"/>
  <c r="BM33" i="115" s="1"/>
  <c r="AY42" i="116"/>
  <c r="AO42" i="116"/>
  <c r="CY42" i="116"/>
  <c r="DH42" i="116" s="1"/>
  <c r="BO205" i="115"/>
  <c r="CD205" i="115" s="1"/>
  <c r="CJ205" i="115" s="1"/>
  <c r="BO158" i="115"/>
  <c r="EO42" i="116" s="1"/>
  <c r="BL26" i="115"/>
  <c r="CD206" i="115"/>
  <c r="CJ206" i="115" s="1"/>
  <c r="GA55" i="116"/>
  <c r="BE34" i="115"/>
  <c r="BM26" i="115"/>
  <c r="BL81" i="115"/>
  <c r="BF158" i="115"/>
  <c r="BL158" i="115" s="1"/>
  <c r="AQ25" i="115"/>
  <c r="AH38" i="115"/>
  <c r="AH150" i="115" s="1"/>
  <c r="AN150" i="115" s="1"/>
  <c r="S150" i="115"/>
  <c r="AQ34" i="116" s="1"/>
  <c r="K42" i="116"/>
  <c r="U42" i="116"/>
  <c r="BF28" i="115"/>
  <c r="BO28" i="115"/>
  <c r="AM205" i="115"/>
  <c r="AN199" i="115"/>
  <c r="AN42" i="116"/>
  <c r="CD42" i="116"/>
  <c r="U33" i="119" s="1"/>
  <c r="BL27" i="115"/>
  <c r="BD78" i="115"/>
  <c r="BJ78" i="115" s="1"/>
  <c r="BD85" i="115"/>
  <c r="BJ85" i="115" s="1"/>
  <c r="AQ77" i="115"/>
  <c r="BD82" i="115"/>
  <c r="BJ82" i="115" s="1"/>
  <c r="Q97" i="115"/>
  <c r="AH97" i="115"/>
  <c r="AN97" i="115" s="1"/>
  <c r="CE122" i="115"/>
  <c r="AM40" i="115"/>
  <c r="AP40" i="115"/>
  <c r="BK32" i="115"/>
  <c r="BL106" i="115"/>
  <c r="BK92" i="115"/>
  <c r="AN91" i="115"/>
  <c r="AQ91" i="115"/>
  <c r="BD99" i="115"/>
  <c r="BJ99" i="115" s="1"/>
  <c r="BL99" i="115"/>
  <c r="BM82" i="115"/>
  <c r="BE88" i="115"/>
  <c r="AF88" i="115"/>
  <c r="AL88" i="115" s="1"/>
  <c r="AM88" i="115"/>
  <c r="AG77" i="115"/>
  <c r="AF77" i="115" s="1"/>
  <c r="AL77" i="115" s="1"/>
  <c r="BO72" i="115"/>
  <c r="BN106" i="115"/>
  <c r="BN92" i="115"/>
  <c r="AO92" i="115"/>
  <c r="AN73" i="115"/>
  <c r="AQ73" i="115"/>
  <c r="BM78" i="115"/>
  <c r="AO88" i="115"/>
  <c r="BE86" i="115"/>
  <c r="AF86" i="115"/>
  <c r="AL86" i="115" s="1"/>
  <c r="AM86" i="115"/>
  <c r="BF88" i="115"/>
  <c r="BL88" i="115" s="1"/>
  <c r="AN88" i="115"/>
  <c r="BF86" i="115"/>
  <c r="BL86" i="115" s="1"/>
  <c r="AN86" i="115"/>
  <c r="BO86" i="115"/>
  <c r="BO77" i="115" s="1"/>
  <c r="BN103" i="115"/>
  <c r="AP102" i="115"/>
  <c r="BO95" i="115"/>
  <c r="AQ96" i="115"/>
  <c r="BO74" i="115"/>
  <c r="BF55" i="115"/>
  <c r="BL55" i="115" s="1"/>
  <c r="AO34" i="115"/>
  <c r="BF93" i="115"/>
  <c r="BL93" i="115" s="1"/>
  <c r="BF72" i="115"/>
  <c r="BL72" i="115" s="1"/>
  <c r="AP104" i="115"/>
  <c r="AO86" i="115"/>
  <c r="AH40" i="115"/>
  <c r="AF40" i="115" s="1"/>
  <c r="AL40" i="115" s="1"/>
  <c r="BF92" i="115"/>
  <c r="BL92" i="115" s="1"/>
  <c r="BE103" i="115"/>
  <c r="BK103" i="115" s="1"/>
  <c r="BF94" i="115"/>
  <c r="BL94" i="115" s="1"/>
  <c r="AH75" i="115"/>
  <c r="AN75" i="115" s="1"/>
  <c r="BD29" i="115"/>
  <c r="BJ29" i="115" s="1"/>
  <c r="BD84" i="115"/>
  <c r="BJ84" i="115" s="1"/>
  <c r="BL104" i="115"/>
  <c r="BD105" i="115"/>
  <c r="BJ105" i="115" s="1"/>
  <c r="BL105" i="115"/>
  <c r="BD80" i="115"/>
  <c r="BJ80" i="115" s="1"/>
  <c r="BK80" i="115"/>
  <c r="AG97" i="115"/>
  <c r="AF97" i="115" s="1"/>
  <c r="AL97" i="115" s="1"/>
  <c r="B97" i="115"/>
  <c r="BM79" i="115"/>
  <c r="Q40" i="115"/>
  <c r="BF34" i="115"/>
  <c r="BL34" i="115" s="1"/>
  <c r="BM89" i="115"/>
  <c r="BN88" i="115"/>
  <c r="AN41" i="115"/>
  <c r="AQ41" i="115"/>
  <c r="BO41" i="115" s="1"/>
  <c r="BM87" i="115"/>
  <c r="BN86" i="115"/>
  <c r="BM85" i="115"/>
  <c r="BK34" i="115"/>
  <c r="BF96" i="115"/>
  <c r="BL96" i="115" s="1"/>
  <c r="BL95" i="115"/>
  <c r="BL74" i="115"/>
  <c r="BF76" i="115"/>
  <c r="BL76" i="115" s="1"/>
  <c r="BD101" i="115"/>
  <c r="BJ101" i="115" s="1"/>
  <c r="BM105" i="115"/>
  <c r="BO104" i="115"/>
  <c r="BO103" i="115"/>
  <c r="AQ102" i="115"/>
  <c r="AO103" i="115"/>
  <c r="AH90" i="115"/>
  <c r="BM101" i="115"/>
  <c r="BM100" i="115"/>
  <c r="BM98" i="115"/>
  <c r="BF77" i="115"/>
  <c r="BM83" i="115"/>
  <c r="AH71" i="115"/>
  <c r="AN71" i="115" s="1"/>
  <c r="BN32" i="115"/>
  <c r="AO32" i="115"/>
  <c r="AP31" i="115"/>
  <c r="S22" i="115"/>
  <c r="S20" i="115"/>
  <c r="S18" i="115"/>
  <c r="D17" i="115"/>
  <c r="BM35" i="115"/>
  <c r="BN34" i="115"/>
  <c r="BN27" i="115"/>
  <c r="AO27" i="115"/>
  <c r="B20" i="115"/>
  <c r="R20" i="115"/>
  <c r="R149" i="115" s="1"/>
  <c r="AP33" i="116" s="1"/>
  <c r="S23" i="115"/>
  <c r="D24" i="115"/>
  <c r="S21" i="115"/>
  <c r="S19" i="115"/>
  <c r="BM29" i="115"/>
  <c r="D152" i="113"/>
  <c r="D151" i="113"/>
  <c r="D212" i="113" s="1"/>
  <c r="D67" i="114" s="1"/>
  <c r="C151" i="113"/>
  <c r="C212" i="113" s="1"/>
  <c r="C67" i="114" s="1"/>
  <c r="CB147" i="113"/>
  <c r="CD143" i="113"/>
  <c r="CD204" i="113" s="1"/>
  <c r="CJ204" i="113" s="1"/>
  <c r="CB129" i="113"/>
  <c r="CH129" i="113" s="1"/>
  <c r="CD121" i="113"/>
  <c r="CJ121" i="113" s="1"/>
  <c r="CD120" i="113"/>
  <c r="CD119" i="113"/>
  <c r="CJ119" i="113" s="1"/>
  <c r="CB106" i="113"/>
  <c r="CH106" i="113" s="1"/>
  <c r="D93" i="113"/>
  <c r="C93" i="113"/>
  <c r="D92" i="113"/>
  <c r="C92" i="113"/>
  <c r="D91" i="113"/>
  <c r="C91" i="113"/>
  <c r="D90" i="113"/>
  <c r="C90" i="113"/>
  <c r="B90" i="113" s="1"/>
  <c r="D88" i="113"/>
  <c r="C88" i="113"/>
  <c r="R88" i="113" s="1"/>
  <c r="D87" i="113"/>
  <c r="C87" i="113"/>
  <c r="R87" i="113" s="1"/>
  <c r="D86" i="113"/>
  <c r="S86" i="113" s="1"/>
  <c r="AH86" i="113" s="1"/>
  <c r="AN86" i="113" s="1"/>
  <c r="C86" i="113"/>
  <c r="D85" i="113"/>
  <c r="C85" i="113"/>
  <c r="D83" i="113"/>
  <c r="C83" i="113"/>
  <c r="D82" i="113"/>
  <c r="C82" i="113"/>
  <c r="R82" i="113" s="1"/>
  <c r="AG82" i="113" s="1"/>
  <c r="AM82" i="113" s="1"/>
  <c r="D81" i="113"/>
  <c r="C81" i="113"/>
  <c r="C234" i="113" s="1"/>
  <c r="D80" i="113"/>
  <c r="C80" i="113"/>
  <c r="D79" i="113"/>
  <c r="D248" i="113" s="1"/>
  <c r="C79" i="113"/>
  <c r="D78" i="113"/>
  <c r="D247" i="113" s="1"/>
  <c r="D77" i="113"/>
  <c r="C77" i="113"/>
  <c r="C246" i="113" s="1"/>
  <c r="D76" i="113"/>
  <c r="C76" i="113"/>
  <c r="D75" i="113"/>
  <c r="D237" i="113" s="1"/>
  <c r="D74" i="113"/>
  <c r="S74" i="113" s="1"/>
  <c r="AH74" i="113" s="1"/>
  <c r="AN74" i="113" s="1"/>
  <c r="C74" i="113"/>
  <c r="D73" i="113"/>
  <c r="D236" i="113" s="1"/>
  <c r="C73" i="113"/>
  <c r="C236" i="113" s="1"/>
  <c r="D72" i="113"/>
  <c r="D238" i="113" s="1"/>
  <c r="D71" i="113"/>
  <c r="C71" i="113"/>
  <c r="D70" i="113"/>
  <c r="D69" i="113"/>
  <c r="S69" i="113" s="1"/>
  <c r="D68" i="113"/>
  <c r="D67" i="113"/>
  <c r="S67" i="113" s="1"/>
  <c r="CC78" i="113"/>
  <c r="CC247" i="113" s="1"/>
  <c r="CI247" i="113" s="1"/>
  <c r="AO81" i="115" l="1"/>
  <c r="BE102" i="115"/>
  <c r="BK102" i="115" s="1"/>
  <c r="BE81" i="115"/>
  <c r="BE158" i="115" s="1"/>
  <c r="BK158" i="115" s="1"/>
  <c r="AQ38" i="115"/>
  <c r="BO38" i="115" s="1"/>
  <c r="BO150" i="115" s="1"/>
  <c r="EO34" i="116" s="1"/>
  <c r="AP158" i="115"/>
  <c r="CO42" i="116" s="1"/>
  <c r="AN38" i="115"/>
  <c r="AP77" i="115"/>
  <c r="BO25" i="115"/>
  <c r="BO31" i="115"/>
  <c r="BD106" i="115"/>
  <c r="BJ106" i="115" s="1"/>
  <c r="BD79" i="115"/>
  <c r="BJ79" i="115" s="1"/>
  <c r="O25" i="119"/>
  <c r="AN34" i="116"/>
  <c r="S76" i="113"/>
  <c r="S245" i="113" s="1"/>
  <c r="D245" i="113"/>
  <c r="S77" i="113"/>
  <c r="D246" i="113"/>
  <c r="R79" i="113"/>
  <c r="R248" i="113" s="1"/>
  <c r="C248" i="113"/>
  <c r="R80" i="113"/>
  <c r="R249" i="113" s="1"/>
  <c r="C249" i="113"/>
  <c r="R83" i="113"/>
  <c r="AG83" i="113" s="1"/>
  <c r="M67" i="114"/>
  <c r="V67" i="114" s="1"/>
  <c r="GI55" i="116"/>
  <c r="AE46" i="119"/>
  <c r="R76" i="113"/>
  <c r="R245" i="113" s="1"/>
  <c r="C245" i="113"/>
  <c r="S80" i="113"/>
  <c r="S249" i="113" s="1"/>
  <c r="D249" i="113"/>
  <c r="S81" i="113"/>
  <c r="D234" i="113"/>
  <c r="S83" i="113"/>
  <c r="S85" i="113"/>
  <c r="CH147" i="113"/>
  <c r="CB208" i="113"/>
  <c r="CH208" i="113" s="1"/>
  <c r="L67" i="114"/>
  <c r="B67" i="114"/>
  <c r="S152" i="113"/>
  <c r="S213" i="113" s="1"/>
  <c r="AQ68" i="114" s="1"/>
  <c r="D213" i="113"/>
  <c r="D68" i="114" s="1"/>
  <c r="BN81" i="115"/>
  <c r="BN158" i="115" s="1"/>
  <c r="EN42" i="116" s="1"/>
  <c r="AF102" i="115"/>
  <c r="AL102" i="115" s="1"/>
  <c r="BK27" i="115"/>
  <c r="GJ55" i="116"/>
  <c r="AF46" i="119"/>
  <c r="AQ71" i="115"/>
  <c r="AQ75" i="115"/>
  <c r="DQ42" i="116"/>
  <c r="BM28" i="115"/>
  <c r="AH21" i="115"/>
  <c r="S151" i="115"/>
  <c r="AQ35" i="116" s="1"/>
  <c r="AY33" i="116"/>
  <c r="AH18" i="115"/>
  <c r="AQ18" i="115" s="1"/>
  <c r="AH19" i="115"/>
  <c r="AH20" i="115"/>
  <c r="S149" i="115"/>
  <c r="AQ33" i="116" s="1"/>
  <c r="BE31" i="115"/>
  <c r="BK31" i="115" s="1"/>
  <c r="BL28" i="115"/>
  <c r="BD28" i="115"/>
  <c r="BJ28" i="115" s="1"/>
  <c r="AZ34" i="116"/>
  <c r="BI34" i="116" s="1"/>
  <c r="AE33" i="116"/>
  <c r="O24" i="119" s="1"/>
  <c r="CD199" i="115"/>
  <c r="CJ199" i="115" s="1"/>
  <c r="AE35" i="116"/>
  <c r="O26" i="119" s="1"/>
  <c r="AH23" i="115"/>
  <c r="AQ23" i="115" s="1"/>
  <c r="AH22" i="115"/>
  <c r="AQ22" i="115" s="1"/>
  <c r="EC42" i="116"/>
  <c r="AA33" i="119" s="1"/>
  <c r="CM42" i="116"/>
  <c r="T42" i="116"/>
  <c r="AC42" i="116" s="1"/>
  <c r="M33" i="119" s="1"/>
  <c r="AD42" i="116"/>
  <c r="N33" i="119" s="1"/>
  <c r="CN42" i="116"/>
  <c r="CX42" i="116"/>
  <c r="BF25" i="115"/>
  <c r="EX42" i="116"/>
  <c r="FG42" i="116" s="1"/>
  <c r="BH42" i="116"/>
  <c r="BG42" i="116" s="1"/>
  <c r="AX42" i="116"/>
  <c r="BL33" i="115"/>
  <c r="BD33" i="115"/>
  <c r="BJ33" i="115" s="1"/>
  <c r="K33" i="116"/>
  <c r="U33" i="116"/>
  <c r="B82" i="113"/>
  <c r="C78" i="113"/>
  <c r="C247" i="113" s="1"/>
  <c r="CI78" i="113"/>
  <c r="CJ120" i="113"/>
  <c r="D143" i="113"/>
  <c r="CJ143" i="113"/>
  <c r="Q80" i="113"/>
  <c r="Q249" i="113" s="1"/>
  <c r="B87" i="113"/>
  <c r="BF41" i="115"/>
  <c r="BL41" i="115" s="1"/>
  <c r="BN104" i="115"/>
  <c r="Q20" i="115"/>
  <c r="Q149" i="115" s="1"/>
  <c r="BD34" i="115"/>
  <c r="BJ34" i="115" s="1"/>
  <c r="BM106" i="115"/>
  <c r="BM86" i="115"/>
  <c r="AP97" i="115"/>
  <c r="BE97" i="115" s="1"/>
  <c r="BK97" i="115" s="1"/>
  <c r="BE104" i="115"/>
  <c r="BL77" i="115"/>
  <c r="AN90" i="115"/>
  <c r="BD81" i="115"/>
  <c r="BJ81" i="115" s="1"/>
  <c r="BK81" i="115"/>
  <c r="AM97" i="115"/>
  <c r="BN102" i="115"/>
  <c r="BD86" i="115"/>
  <c r="BJ86" i="115" s="1"/>
  <c r="BK86" i="115"/>
  <c r="BO73" i="115"/>
  <c r="BO75" i="115" s="1"/>
  <c r="BE77" i="115"/>
  <c r="BK77" i="115" s="1"/>
  <c r="AM77" i="115"/>
  <c r="BO91" i="115"/>
  <c r="AO77" i="115"/>
  <c r="AO104" i="115"/>
  <c r="BF73" i="115"/>
  <c r="BF91" i="115"/>
  <c r="BL91" i="115" s="1"/>
  <c r="BD92" i="115"/>
  <c r="BJ92" i="115" s="1"/>
  <c r="BD103" i="115"/>
  <c r="BJ103" i="115" s="1"/>
  <c r="BM88" i="115"/>
  <c r="AN40" i="115"/>
  <c r="AQ40" i="115"/>
  <c r="BO96" i="115"/>
  <c r="BM92" i="115"/>
  <c r="BD88" i="115"/>
  <c r="BJ88" i="115" s="1"/>
  <c r="BK88" i="115"/>
  <c r="BN40" i="115"/>
  <c r="AO40" i="115"/>
  <c r="BE40" i="115"/>
  <c r="AO102" i="115"/>
  <c r="BF102" i="115"/>
  <c r="AQ97" i="115"/>
  <c r="BO102" i="115"/>
  <c r="BM103" i="115"/>
  <c r="BF71" i="115"/>
  <c r="AG20" i="115"/>
  <c r="AF20" i="115" s="1"/>
  <c r="AQ19" i="115"/>
  <c r="AQ21" i="115"/>
  <c r="AH24" i="115"/>
  <c r="AN24" i="115" s="1"/>
  <c r="BM34" i="115"/>
  <c r="AQ20" i="115"/>
  <c r="BM27" i="115"/>
  <c r="AO31" i="115"/>
  <c r="BM32" i="115"/>
  <c r="BN31" i="115"/>
  <c r="S24" i="115"/>
  <c r="S17" i="115"/>
  <c r="AH17" i="115" s="1"/>
  <c r="AN17" i="115" s="1"/>
  <c r="R78" i="113"/>
  <c r="R247" i="113" s="1"/>
  <c r="AQ86" i="113"/>
  <c r="BO86" i="113" s="1"/>
  <c r="AQ74" i="113"/>
  <c r="BO74" i="113" s="1"/>
  <c r="AP82" i="113"/>
  <c r="BE82" i="113" s="1"/>
  <c r="BK82" i="113" s="1"/>
  <c r="B73" i="113"/>
  <c r="B77" i="113"/>
  <c r="B79" i="113"/>
  <c r="B83" i="113"/>
  <c r="B88" i="113"/>
  <c r="B91" i="113"/>
  <c r="S71" i="113"/>
  <c r="AH71" i="113" s="1"/>
  <c r="AN71" i="113" s="1"/>
  <c r="S90" i="113"/>
  <c r="R92" i="113"/>
  <c r="R93" i="113"/>
  <c r="AG87" i="113"/>
  <c r="AM87" i="113" s="1"/>
  <c r="AH90" i="113"/>
  <c r="AN90" i="113" s="1"/>
  <c r="B71" i="113"/>
  <c r="B76" i="113"/>
  <c r="B80" i="113"/>
  <c r="B85" i="113"/>
  <c r="C84" i="113"/>
  <c r="D89" i="113"/>
  <c r="B92" i="113"/>
  <c r="S68" i="113"/>
  <c r="S70" i="113"/>
  <c r="AH70" i="113" s="1"/>
  <c r="AN70" i="113" s="1"/>
  <c r="S72" i="113"/>
  <c r="S73" i="113"/>
  <c r="S75" i="113"/>
  <c r="R77" i="113"/>
  <c r="S78" i="113"/>
  <c r="S247" i="113" s="1"/>
  <c r="S79" i="113"/>
  <c r="S248" i="113" s="1"/>
  <c r="R81" i="113"/>
  <c r="S82" i="113"/>
  <c r="R85" i="113"/>
  <c r="AG85" i="113" s="1"/>
  <c r="AM85" i="113" s="1"/>
  <c r="R86" i="113"/>
  <c r="Q86" i="113" s="1"/>
  <c r="S87" i="113"/>
  <c r="Q87" i="113" s="1"/>
  <c r="S88" i="113"/>
  <c r="AH88" i="113" s="1"/>
  <c r="AN88" i="113" s="1"/>
  <c r="R90" i="113"/>
  <c r="AG90" i="113" s="1"/>
  <c r="AM90" i="113" s="1"/>
  <c r="R91" i="113"/>
  <c r="S92" i="113"/>
  <c r="S93" i="113"/>
  <c r="AH67" i="113"/>
  <c r="AN67" i="113" s="1"/>
  <c r="AH69" i="113"/>
  <c r="AN69" i="113" s="1"/>
  <c r="AG79" i="113"/>
  <c r="AH80" i="113"/>
  <c r="AH85" i="113"/>
  <c r="AH92" i="113"/>
  <c r="B81" i="113"/>
  <c r="B86" i="113"/>
  <c r="B93" i="113"/>
  <c r="D84" i="113"/>
  <c r="R73" i="113"/>
  <c r="R236" i="113" s="1"/>
  <c r="S91" i="113"/>
  <c r="AH91" i="113" s="1"/>
  <c r="AN91" i="113" s="1"/>
  <c r="AG76" i="113"/>
  <c r="AG80" i="113"/>
  <c r="AH83" i="113"/>
  <c r="AG88" i="113"/>
  <c r="AM88" i="113" s="1"/>
  <c r="B151" i="113"/>
  <c r="B212" i="113" s="1"/>
  <c r="S151" i="113"/>
  <c r="R151" i="113"/>
  <c r="R212" i="113" s="1"/>
  <c r="AP67" i="114" s="1"/>
  <c r="B74" i="113"/>
  <c r="R74" i="113"/>
  <c r="Q74" i="113" s="1"/>
  <c r="R71" i="113"/>
  <c r="D120" i="113"/>
  <c r="D121" i="113"/>
  <c r="D119" i="113"/>
  <c r="C89" i="113"/>
  <c r="AQ150" i="115" l="1"/>
  <c r="CP34" i="116" s="1"/>
  <c r="AQ149" i="115"/>
  <c r="CP33" i="116" s="1"/>
  <c r="BF38" i="115"/>
  <c r="BM81" i="115"/>
  <c r="BD31" i="115"/>
  <c r="BJ31" i="115" s="1"/>
  <c r="BN205" i="115"/>
  <c r="CC205" i="115" s="1"/>
  <c r="CI205" i="115" s="1"/>
  <c r="Q79" i="113"/>
  <c r="Q248" i="113" s="1"/>
  <c r="S143" i="113"/>
  <c r="D204" i="113"/>
  <c r="D59" i="114" s="1"/>
  <c r="AE67" i="114"/>
  <c r="AN67" i="114" s="1"/>
  <c r="AY67" i="114"/>
  <c r="AH151" i="113"/>
  <c r="S212" i="113"/>
  <c r="AQ67" i="114" s="1"/>
  <c r="AO67" i="114" s="1"/>
  <c r="AM80" i="113"/>
  <c r="AG249" i="113"/>
  <c r="AM249" i="113" s="1"/>
  <c r="AM83" i="113"/>
  <c r="AM79" i="113"/>
  <c r="AG248" i="113"/>
  <c r="AM248" i="113" s="1"/>
  <c r="AH93" i="113"/>
  <c r="Q77" i="113"/>
  <c r="Q246" i="113" s="1"/>
  <c r="R246" i="113"/>
  <c r="AH73" i="113"/>
  <c r="AQ73" i="113" s="1"/>
  <c r="S236" i="113"/>
  <c r="AG92" i="113"/>
  <c r="AZ68" i="114"/>
  <c r="BI68" i="114" s="1"/>
  <c r="N53" i="118"/>
  <c r="AH77" i="113"/>
  <c r="S246" i="113"/>
  <c r="AH152" i="113"/>
  <c r="AQ152" i="113" s="1"/>
  <c r="AN83" i="113"/>
  <c r="AM76" i="113"/>
  <c r="AG245" i="113"/>
  <c r="AM245" i="113" s="1"/>
  <c r="Q83" i="113"/>
  <c r="AN92" i="113"/>
  <c r="AN85" i="113"/>
  <c r="AN80" i="113"/>
  <c r="AH249" i="113"/>
  <c r="AN249" i="113" s="1"/>
  <c r="AH76" i="113"/>
  <c r="Q81" i="113"/>
  <c r="Q234" i="113" s="1"/>
  <c r="R234" i="113"/>
  <c r="AH75" i="113"/>
  <c r="S237" i="113"/>
  <c r="AH72" i="113"/>
  <c r="S238" i="113"/>
  <c r="AG93" i="113"/>
  <c r="AP93" i="113" s="1"/>
  <c r="B78" i="113"/>
  <c r="BN77" i="115"/>
  <c r="BM77" i="115" s="1"/>
  <c r="Q76" i="113"/>
  <c r="Q245" i="113" s="1"/>
  <c r="DZ42" i="116"/>
  <c r="X33" i="119"/>
  <c r="M68" i="114"/>
  <c r="V68" i="114" s="1"/>
  <c r="U67" i="114"/>
  <c r="K67" i="114"/>
  <c r="AH81" i="113"/>
  <c r="S234" i="113"/>
  <c r="BO71" i="115"/>
  <c r="BN97" i="115"/>
  <c r="BM104" i="115"/>
  <c r="BP42" i="116"/>
  <c r="CB42" i="116" s="1"/>
  <c r="S33" i="119" s="1"/>
  <c r="FP42" i="116"/>
  <c r="BM31" i="115"/>
  <c r="AM20" i="115"/>
  <c r="AG149" i="115"/>
  <c r="AM149" i="115" s="1"/>
  <c r="BF18" i="115"/>
  <c r="BO21" i="115"/>
  <c r="BO151" i="115" s="1"/>
  <c r="EO35" i="116" s="1"/>
  <c r="AQ151" i="115"/>
  <c r="CP35" i="116" s="1"/>
  <c r="BL38" i="115"/>
  <c r="BF150" i="115"/>
  <c r="BL150" i="115" s="1"/>
  <c r="BL25" i="115"/>
  <c r="DG42" i="116"/>
  <c r="CW42" i="116"/>
  <c r="AM42" i="116"/>
  <c r="AN22" i="115"/>
  <c r="EX34" i="116"/>
  <c r="FG34" i="116" s="1"/>
  <c r="EW42" i="116"/>
  <c r="EM42" i="116"/>
  <c r="AZ33" i="116"/>
  <c r="BI33" i="116" s="1"/>
  <c r="AN18" i="115"/>
  <c r="AZ35" i="116"/>
  <c r="BI35" i="116" s="1"/>
  <c r="AP20" i="115"/>
  <c r="BN20" i="115" s="1"/>
  <c r="BN149" i="115" s="1"/>
  <c r="EN33" i="116" s="1"/>
  <c r="BR34" i="116"/>
  <c r="R25" i="119" s="1"/>
  <c r="AO33" i="116"/>
  <c r="CY33" i="116"/>
  <c r="DH33" i="116" s="1"/>
  <c r="BO22" i="115"/>
  <c r="T33" i="116"/>
  <c r="AD33" i="116"/>
  <c r="N24" i="119" s="1"/>
  <c r="AL42" i="116"/>
  <c r="GB42" i="116"/>
  <c r="EL42" i="116"/>
  <c r="AN23" i="115"/>
  <c r="AN35" i="116"/>
  <c r="AN33" i="116"/>
  <c r="CY34" i="116"/>
  <c r="DH34" i="116" s="1"/>
  <c r="AN20" i="115"/>
  <c r="AH149" i="115"/>
  <c r="AN149" i="115" s="1"/>
  <c r="AN19" i="115"/>
  <c r="BH33" i="116"/>
  <c r="AN21" i="115"/>
  <c r="AH151" i="115"/>
  <c r="AN151" i="115" s="1"/>
  <c r="BQ42" i="116"/>
  <c r="Q73" i="113"/>
  <c r="Q236" i="113" s="1"/>
  <c r="AG77" i="113"/>
  <c r="Q151" i="113"/>
  <c r="Q212" i="113" s="1"/>
  <c r="AH87" i="113"/>
  <c r="AN87" i="113" s="1"/>
  <c r="BL71" i="115"/>
  <c r="BD102" i="115"/>
  <c r="BJ102" i="115" s="1"/>
  <c r="BL102" i="115"/>
  <c r="BO40" i="115"/>
  <c r="BM40" i="115" s="1"/>
  <c r="BL73" i="115"/>
  <c r="BF75" i="115"/>
  <c r="BL75" i="115" s="1"/>
  <c r="BK104" i="115"/>
  <c r="BD104" i="115"/>
  <c r="BJ104" i="115" s="1"/>
  <c r="BF40" i="115"/>
  <c r="BL40" i="115" s="1"/>
  <c r="BD77" i="115"/>
  <c r="BJ77" i="115" s="1"/>
  <c r="BK40" i="115"/>
  <c r="BM102" i="115"/>
  <c r="BO97" i="115"/>
  <c r="BF97" i="115"/>
  <c r="AO97" i="115"/>
  <c r="AQ90" i="115"/>
  <c r="BO20" i="115"/>
  <c r="BO19" i="115"/>
  <c r="BO23" i="115"/>
  <c r="AQ24" i="115"/>
  <c r="BF20" i="115"/>
  <c r="BF23" i="115"/>
  <c r="BF21" i="115"/>
  <c r="BF22" i="115"/>
  <c r="BF19" i="115"/>
  <c r="BO18" i="115"/>
  <c r="AQ17" i="115"/>
  <c r="AQ70" i="113"/>
  <c r="BF70" i="113" s="1"/>
  <c r="BL70" i="113" s="1"/>
  <c r="AP83" i="113"/>
  <c r="AF83" i="113"/>
  <c r="B89" i="113"/>
  <c r="AF88" i="113"/>
  <c r="AL88" i="113" s="1"/>
  <c r="AP88" i="113"/>
  <c r="BE88" i="113" s="1"/>
  <c r="BK88" i="113" s="1"/>
  <c r="AP80" i="113"/>
  <c r="AP249" i="113" s="1"/>
  <c r="AF80" i="113"/>
  <c r="AF90" i="113"/>
  <c r="AL90" i="113" s="1"/>
  <c r="AP90" i="113"/>
  <c r="BE90" i="113" s="1"/>
  <c r="BK90" i="113" s="1"/>
  <c r="AQ85" i="113"/>
  <c r="AP79" i="113"/>
  <c r="AQ76" i="113"/>
  <c r="AQ67" i="113"/>
  <c r="BF67" i="113" s="1"/>
  <c r="BL67" i="113" s="1"/>
  <c r="Q90" i="113"/>
  <c r="R89" i="113"/>
  <c r="Q85" i="113"/>
  <c r="R84" i="113"/>
  <c r="D66" i="113"/>
  <c r="AP92" i="113"/>
  <c r="AP87" i="113"/>
  <c r="BE87" i="113" s="1"/>
  <c r="AG151" i="113"/>
  <c r="AG73" i="113"/>
  <c r="AH82" i="113"/>
  <c r="AN82" i="113" s="1"/>
  <c r="Q82" i="113"/>
  <c r="AH79" i="113"/>
  <c r="AH68" i="113"/>
  <c r="AN68" i="113" s="1"/>
  <c r="Q92" i="113"/>
  <c r="Q88" i="113"/>
  <c r="AG86" i="113"/>
  <c r="AM86" i="113" s="1"/>
  <c r="AG81" i="113"/>
  <c r="BF74" i="113"/>
  <c r="BL74" i="113" s="1"/>
  <c r="BF86" i="113"/>
  <c r="BL86" i="113" s="1"/>
  <c r="AG78" i="113"/>
  <c r="AQ83" i="113"/>
  <c r="AF76" i="113"/>
  <c r="AP76" i="113"/>
  <c r="AP245" i="113" s="1"/>
  <c r="AQ92" i="113"/>
  <c r="AQ88" i="113"/>
  <c r="BO88" i="113" s="1"/>
  <c r="AQ80" i="113"/>
  <c r="AQ249" i="113" s="1"/>
  <c r="AP77" i="113"/>
  <c r="AP246" i="113" s="1"/>
  <c r="AF77" i="113"/>
  <c r="AQ75" i="113"/>
  <c r="AQ69" i="113"/>
  <c r="BF69" i="113" s="1"/>
  <c r="BL69" i="113" s="1"/>
  <c r="Q91" i="113"/>
  <c r="AG91" i="113"/>
  <c r="AM91" i="113" s="1"/>
  <c r="AQ72" i="113"/>
  <c r="B84" i="113"/>
  <c r="AG84" i="113"/>
  <c r="AM84" i="113" s="1"/>
  <c r="AQ90" i="113"/>
  <c r="AP85" i="113"/>
  <c r="BE85" i="113" s="1"/>
  <c r="AF85" i="113"/>
  <c r="AL85" i="113" s="1"/>
  <c r="AQ91" i="113"/>
  <c r="BO91" i="113" s="1"/>
  <c r="AQ71" i="113"/>
  <c r="BF71" i="113" s="1"/>
  <c r="BL71" i="113" s="1"/>
  <c r="BN82" i="113"/>
  <c r="AH78" i="113"/>
  <c r="Q93" i="113"/>
  <c r="S89" i="113"/>
  <c r="S84" i="113"/>
  <c r="AH84" i="113" s="1"/>
  <c r="AN84" i="113" s="1"/>
  <c r="Q78" i="113"/>
  <c r="Q247" i="113" s="1"/>
  <c r="AG74" i="113"/>
  <c r="AM74" i="113" s="1"/>
  <c r="Q71" i="113"/>
  <c r="AG71" i="113"/>
  <c r="AM71" i="113" s="1"/>
  <c r="S119" i="113"/>
  <c r="AH119" i="113" s="1"/>
  <c r="AN119" i="113" s="1"/>
  <c r="S120" i="113"/>
  <c r="AH120" i="113" s="1"/>
  <c r="S121" i="113"/>
  <c r="AH121" i="113" s="1"/>
  <c r="AN121" i="113" s="1"/>
  <c r="BE20" i="115" l="1"/>
  <c r="AO20" i="115"/>
  <c r="AF87" i="113"/>
  <c r="AL87" i="113" s="1"/>
  <c r="BF91" i="113"/>
  <c r="BL91" i="113" s="1"/>
  <c r="M59" i="114"/>
  <c r="V59" i="114" s="1"/>
  <c r="AH143" i="113"/>
  <c r="S204" i="113"/>
  <c r="AQ59" i="114" s="1"/>
  <c r="AF74" i="113"/>
  <c r="AL74" i="113" s="1"/>
  <c r="AN78" i="113"/>
  <c r="AH247" i="113"/>
  <c r="AN247" i="113" s="1"/>
  <c r="BO72" i="113"/>
  <c r="BO238" i="113" s="1"/>
  <c r="AQ238" i="113"/>
  <c r="AL77" i="113"/>
  <c r="AF246" i="113"/>
  <c r="AL76" i="113"/>
  <c r="AF245" i="113"/>
  <c r="AM78" i="113"/>
  <c r="AG247" i="113"/>
  <c r="AM247" i="113" s="1"/>
  <c r="AN79" i="113"/>
  <c r="AH248" i="113"/>
  <c r="AN248" i="113" s="1"/>
  <c r="AM73" i="113"/>
  <c r="AG236" i="113"/>
  <c r="AM236" i="113" s="1"/>
  <c r="BE92" i="113"/>
  <c r="BO73" i="113"/>
  <c r="BO236" i="113" s="1"/>
  <c r="AQ236" i="113"/>
  <c r="BE79" i="113"/>
  <c r="AP248" i="113"/>
  <c r="AL80" i="113"/>
  <c r="AF249" i="113"/>
  <c r="BF152" i="113"/>
  <c r="AQ213" i="113"/>
  <c r="CP68" i="114" s="1"/>
  <c r="AL83" i="113"/>
  <c r="BE93" i="113"/>
  <c r="BY42" i="116"/>
  <c r="P33" i="119"/>
  <c r="AN81" i="113"/>
  <c r="AH234" i="113"/>
  <c r="AN234" i="113" s="1"/>
  <c r="AQ81" i="113"/>
  <c r="T67" i="114"/>
  <c r="AC67" i="114" s="1"/>
  <c r="AD67" i="114"/>
  <c r="AM93" i="113"/>
  <c r="AM92" i="113"/>
  <c r="AN73" i="113"/>
  <c r="AH236" i="113"/>
  <c r="AN236" i="113" s="1"/>
  <c r="AN93" i="113"/>
  <c r="AN151" i="113"/>
  <c r="AH212" i="113"/>
  <c r="AN212" i="113" s="1"/>
  <c r="AQ87" i="113"/>
  <c r="BF87" i="113" s="1"/>
  <c r="BL87" i="113" s="1"/>
  <c r="AQ93" i="113"/>
  <c r="BF93" i="113" s="1"/>
  <c r="BO75" i="113"/>
  <c r="BO237" i="113" s="1"/>
  <c r="AQ237" i="113"/>
  <c r="BF83" i="113"/>
  <c r="AQ151" i="113"/>
  <c r="AQ212" i="113" s="1"/>
  <c r="CP67" i="114" s="1"/>
  <c r="BF81" i="113"/>
  <c r="AM81" i="113"/>
  <c r="AG234" i="113"/>
  <c r="AM234" i="113" s="1"/>
  <c r="AM151" i="113"/>
  <c r="AG212" i="113"/>
  <c r="AM212" i="113" s="1"/>
  <c r="AF92" i="113"/>
  <c r="BF76" i="113"/>
  <c r="AQ245" i="113"/>
  <c r="BF85" i="113"/>
  <c r="BE80" i="113"/>
  <c r="BE83" i="113"/>
  <c r="AF93" i="113"/>
  <c r="AM77" i="113"/>
  <c r="AG246" i="113"/>
  <c r="AM246" i="113" s="1"/>
  <c r="BZ42" i="116"/>
  <c r="Q33" i="119"/>
  <c r="AX33" i="116"/>
  <c r="GK42" i="116"/>
  <c r="AG33" i="119"/>
  <c r="DQ33" i="116"/>
  <c r="FP34" i="116"/>
  <c r="FY42" i="116"/>
  <c r="AD33" i="119"/>
  <c r="AE68" i="114"/>
  <c r="AN72" i="113"/>
  <c r="AH238" i="113"/>
  <c r="AN238" i="113" s="1"/>
  <c r="AN75" i="113"/>
  <c r="AH237" i="113"/>
  <c r="AN237" i="113" s="1"/>
  <c r="AN76" i="113"/>
  <c r="AH245" i="113"/>
  <c r="AN245" i="113" s="1"/>
  <c r="AN152" i="113"/>
  <c r="AH213" i="113"/>
  <c r="AN213" i="113" s="1"/>
  <c r="AN77" i="113"/>
  <c r="AH246" i="113"/>
  <c r="AN246" i="113" s="1"/>
  <c r="AQ77" i="113"/>
  <c r="BR68" i="114"/>
  <c r="Q54" i="118" s="1"/>
  <c r="AZ67" i="114"/>
  <c r="BI67" i="114" s="1"/>
  <c r="BH67" i="114"/>
  <c r="AP149" i="115"/>
  <c r="CO33" i="116" s="1"/>
  <c r="CX33" i="116" s="1"/>
  <c r="BL22" i="115"/>
  <c r="BK20" i="115"/>
  <c r="BE149" i="115"/>
  <c r="BK149" i="115" s="1"/>
  <c r="EW33" i="116"/>
  <c r="BL19" i="115"/>
  <c r="BL23" i="115"/>
  <c r="BO24" i="115"/>
  <c r="BG33" i="116"/>
  <c r="BQ33" i="116"/>
  <c r="CA34" i="116"/>
  <c r="CD34" i="116"/>
  <c r="U25" i="119" s="1"/>
  <c r="EV42" i="116"/>
  <c r="FF42" i="116"/>
  <c r="EX35" i="116"/>
  <c r="FG35" i="116" s="1"/>
  <c r="BL18" i="115"/>
  <c r="BO149" i="115"/>
  <c r="EO33" i="116" s="1"/>
  <c r="EM33" i="116" s="1"/>
  <c r="DQ34" i="116"/>
  <c r="BR35" i="116"/>
  <c r="R26" i="119" s="1"/>
  <c r="BR33" i="116"/>
  <c r="R24" i="119" s="1"/>
  <c r="CC42" i="116"/>
  <c r="T33" i="119" s="1"/>
  <c r="BL21" i="115"/>
  <c r="BF151" i="115"/>
  <c r="BL151" i="115" s="1"/>
  <c r="BL20" i="115"/>
  <c r="BF149" i="115"/>
  <c r="BL149" i="115" s="1"/>
  <c r="CK42" i="116"/>
  <c r="AM33" i="116"/>
  <c r="DF42" i="116"/>
  <c r="DO42" i="116" s="1"/>
  <c r="DP42" i="116"/>
  <c r="CY35" i="116"/>
  <c r="DH35" i="116" s="1"/>
  <c r="AP74" i="113"/>
  <c r="BE74" i="113" s="1"/>
  <c r="BK74" i="113" s="1"/>
  <c r="BF75" i="113"/>
  <c r="BD85" i="113"/>
  <c r="BJ85" i="113" s="1"/>
  <c r="BK85" i="113"/>
  <c r="BD83" i="113"/>
  <c r="BK83" i="113"/>
  <c r="BF72" i="113"/>
  <c r="AF151" i="113"/>
  <c r="BF73" i="113"/>
  <c r="AN120" i="113"/>
  <c r="BD87" i="113"/>
  <c r="BJ87" i="113" s="1"/>
  <c r="BK87" i="113"/>
  <c r="BM20" i="115"/>
  <c r="BD97" i="115"/>
  <c r="BJ97" i="115" s="1"/>
  <c r="BL97" i="115"/>
  <c r="BD40" i="115"/>
  <c r="BJ40" i="115" s="1"/>
  <c r="BF90" i="115"/>
  <c r="BM97" i="115"/>
  <c r="BO90" i="115"/>
  <c r="BO17" i="115"/>
  <c r="BD20" i="115"/>
  <c r="BF24" i="115"/>
  <c r="BL24" i="115" s="1"/>
  <c r="BF17" i="115"/>
  <c r="BL17" i="115" s="1"/>
  <c r="BO90" i="113"/>
  <c r="BN77" i="113"/>
  <c r="BO80" i="113"/>
  <c r="BO249" i="113" s="1"/>
  <c r="BO92" i="113"/>
  <c r="BN76" i="113"/>
  <c r="BN245" i="113" s="1"/>
  <c r="AO76" i="113"/>
  <c r="AO245" i="113" s="1"/>
  <c r="AP81" i="113"/>
  <c r="AP234" i="113" s="1"/>
  <c r="AF81" i="113"/>
  <c r="AQ68" i="113"/>
  <c r="BF68" i="113" s="1"/>
  <c r="BL68" i="113" s="1"/>
  <c r="AQ78" i="113"/>
  <c r="AQ247" i="113" s="1"/>
  <c r="BO71" i="113"/>
  <c r="BO87" i="113"/>
  <c r="AP91" i="113"/>
  <c r="BE91" i="113" s="1"/>
  <c r="AF91" i="113"/>
  <c r="AL91" i="113" s="1"/>
  <c r="BO69" i="113"/>
  <c r="BO83" i="113"/>
  <c r="AF78" i="113"/>
  <c r="AP78" i="113"/>
  <c r="AP86" i="113"/>
  <c r="AF86" i="113"/>
  <c r="AL86" i="113" s="1"/>
  <c r="AQ79" i="113"/>
  <c r="AQ248" i="113" s="1"/>
  <c r="AQ82" i="113"/>
  <c r="BF82" i="113"/>
  <c r="AF82" i="113"/>
  <c r="AL82" i="113" s="1"/>
  <c r="AP73" i="113"/>
  <c r="AP236" i="113" s="1"/>
  <c r="AF73" i="113"/>
  <c r="AP151" i="113"/>
  <c r="AP212" i="113" s="1"/>
  <c r="CO67" i="114" s="1"/>
  <c r="BO67" i="113"/>
  <c r="BO76" i="113"/>
  <c r="BO245" i="113" s="1"/>
  <c r="BN79" i="113"/>
  <c r="BN248" i="113" s="1"/>
  <c r="BN80" i="113"/>
  <c r="BN249" i="113" s="1"/>
  <c r="AO80" i="113"/>
  <c r="AO249" i="113" s="1"/>
  <c r="S66" i="113"/>
  <c r="AH66" i="113" s="1"/>
  <c r="AN66" i="113" s="1"/>
  <c r="BF90" i="113"/>
  <c r="BE77" i="113"/>
  <c r="BE246" i="113" s="1"/>
  <c r="BK246" i="113" s="1"/>
  <c r="BF80" i="113"/>
  <c r="BF88" i="113"/>
  <c r="BF92" i="113"/>
  <c r="BE76" i="113"/>
  <c r="BE245" i="113" s="1"/>
  <c r="BK245" i="113" s="1"/>
  <c r="BF151" i="113"/>
  <c r="AH89" i="113"/>
  <c r="AN89" i="113" s="1"/>
  <c r="Q84" i="113"/>
  <c r="Q89" i="113"/>
  <c r="AF79" i="113"/>
  <c r="AG89" i="113"/>
  <c r="AM89" i="113" s="1"/>
  <c r="BN85" i="113"/>
  <c r="AO85" i="113"/>
  <c r="AF84" i="113"/>
  <c r="AL84" i="113" s="1"/>
  <c r="BO151" i="113"/>
  <c r="BO212" i="113" s="1"/>
  <c r="EO67" i="114" s="1"/>
  <c r="BN87" i="113"/>
  <c r="AO87" i="113"/>
  <c r="AO92" i="113"/>
  <c r="BN92" i="113"/>
  <c r="AQ84" i="113"/>
  <c r="BO85" i="113"/>
  <c r="BN90" i="113"/>
  <c r="BM90" i="113" s="1"/>
  <c r="AO90" i="113"/>
  <c r="AP89" i="113"/>
  <c r="AO88" i="113"/>
  <c r="BN88" i="113"/>
  <c r="BM88" i="113" s="1"/>
  <c r="BO152" i="113"/>
  <c r="BO213" i="113" s="1"/>
  <c r="EO68" i="114" s="1"/>
  <c r="AO83" i="113"/>
  <c r="BN83" i="113"/>
  <c r="BO70" i="113"/>
  <c r="AO93" i="113"/>
  <c r="BN93" i="113"/>
  <c r="BN74" i="113"/>
  <c r="AO74" i="113"/>
  <c r="AF71" i="113"/>
  <c r="AL71" i="113" s="1"/>
  <c r="AP71" i="113"/>
  <c r="AQ121" i="113"/>
  <c r="BO121" i="113" s="1"/>
  <c r="AQ120" i="113"/>
  <c r="BF120" i="113" s="1"/>
  <c r="AQ119" i="113"/>
  <c r="BO119" i="113" s="1"/>
  <c r="CN33" i="116" l="1"/>
  <c r="FP35" i="116"/>
  <c r="BE73" i="113"/>
  <c r="BE236" i="113" s="1"/>
  <c r="BK236" i="113" s="1"/>
  <c r="AQ89" i="113"/>
  <c r="BF78" i="113"/>
  <c r="BL78" i="113" s="1"/>
  <c r="AN143" i="113"/>
  <c r="AH204" i="113"/>
  <c r="AN204" i="113" s="1"/>
  <c r="AQ143" i="113"/>
  <c r="AE59" i="114"/>
  <c r="AZ59" i="114"/>
  <c r="BI59" i="114" s="1"/>
  <c r="BD74" i="113"/>
  <c r="BJ74" i="113" s="1"/>
  <c r="BO84" i="113"/>
  <c r="BM92" i="113"/>
  <c r="EX67" i="114"/>
  <c r="FG67" i="114" s="1"/>
  <c r="AL79" i="113"/>
  <c r="AF248" i="113"/>
  <c r="BL151" i="113"/>
  <c r="BF212" i="113"/>
  <c r="BL212" i="113" s="1"/>
  <c r="BL92" i="113"/>
  <c r="BL80" i="113"/>
  <c r="BF249" i="113"/>
  <c r="BL249" i="113" s="1"/>
  <c r="BL93" i="113"/>
  <c r="AL73" i="113"/>
  <c r="AF236" i="113"/>
  <c r="AL78" i="113"/>
  <c r="AF247" i="113"/>
  <c r="BF247" i="113"/>
  <c r="BL247" i="113" s="1"/>
  <c r="BN246" i="113"/>
  <c r="AL151" i="113"/>
  <c r="AF212" i="113"/>
  <c r="BL72" i="113"/>
  <c r="BF238" i="113"/>
  <c r="BL238" i="113" s="1"/>
  <c r="BJ83" i="113"/>
  <c r="BL75" i="113"/>
  <c r="BF237" i="113"/>
  <c r="BL237" i="113" s="1"/>
  <c r="DX42" i="116"/>
  <c r="V33" i="119"/>
  <c r="FY35" i="116"/>
  <c r="AD26" i="119"/>
  <c r="BG67" i="114"/>
  <c r="BQ67" i="114"/>
  <c r="BO77" i="113"/>
  <c r="BO246" i="113" s="1"/>
  <c r="AQ246" i="113"/>
  <c r="BF77" i="113"/>
  <c r="BD77" i="113" s="1"/>
  <c r="DZ33" i="116"/>
  <c r="X24" i="119"/>
  <c r="BK80" i="113"/>
  <c r="BE249" i="113"/>
  <c r="BK249" i="113" s="1"/>
  <c r="BL85" i="113"/>
  <c r="BL76" i="113"/>
  <c r="BF245" i="113"/>
  <c r="BL245" i="113" s="1"/>
  <c r="BL81" i="113"/>
  <c r="BF234" i="113"/>
  <c r="BL234" i="113" s="1"/>
  <c r="BO93" i="113"/>
  <c r="M53" i="118"/>
  <c r="AM67" i="114"/>
  <c r="CC67" i="114"/>
  <c r="BO81" i="113"/>
  <c r="BO234" i="113" s="1"/>
  <c r="AQ234" i="113"/>
  <c r="BK93" i="113"/>
  <c r="BL152" i="113"/>
  <c r="BF213" i="113"/>
  <c r="BL213" i="113" s="1"/>
  <c r="BK79" i="113"/>
  <c r="BE248" i="113"/>
  <c r="BK248" i="113" s="1"/>
  <c r="BK92" i="113"/>
  <c r="EX68" i="114"/>
  <c r="FG68" i="114" s="1"/>
  <c r="AO89" i="113"/>
  <c r="BM87" i="113"/>
  <c r="CX67" i="114"/>
  <c r="CN67" i="114"/>
  <c r="BE78" i="113"/>
  <c r="BE247" i="113" s="1"/>
  <c r="BK247" i="113" s="1"/>
  <c r="AP247" i="113"/>
  <c r="AL81" i="113"/>
  <c r="AF234" i="113"/>
  <c r="AO77" i="113"/>
  <c r="AO246" i="113" s="1"/>
  <c r="BL73" i="113"/>
  <c r="BF236" i="113"/>
  <c r="BL236" i="113" s="1"/>
  <c r="DY42" i="116"/>
  <c r="W33" i="119"/>
  <c r="DZ34" i="116"/>
  <c r="X25" i="119"/>
  <c r="BZ33" i="116"/>
  <c r="Q24" i="119"/>
  <c r="AX67" i="114"/>
  <c r="BR67" i="114"/>
  <c r="N54" i="118"/>
  <c r="CD68" i="114"/>
  <c r="AN68" i="114"/>
  <c r="FY34" i="116"/>
  <c r="AD25" i="119"/>
  <c r="AL93" i="113"/>
  <c r="AL92" i="113"/>
  <c r="CY67" i="114"/>
  <c r="DH67" i="114" s="1"/>
  <c r="BL83" i="113"/>
  <c r="AL67" i="114"/>
  <c r="L53" i="118"/>
  <c r="CY68" i="114"/>
  <c r="DH68" i="114" s="1"/>
  <c r="EA42" i="116"/>
  <c r="Y33" i="119" s="1"/>
  <c r="DQ35" i="116"/>
  <c r="CC33" i="116"/>
  <c r="T24" i="119" s="1"/>
  <c r="DG33" i="116"/>
  <c r="CW33" i="116"/>
  <c r="FE42" i="116"/>
  <c r="FN42" i="116" s="1"/>
  <c r="FO42" i="116"/>
  <c r="EC34" i="116"/>
  <c r="AA25" i="119" s="1"/>
  <c r="CM34" i="116"/>
  <c r="EJ42" i="116"/>
  <c r="CL42" i="116"/>
  <c r="EB42" i="116"/>
  <c r="Z33" i="119" s="1"/>
  <c r="CA33" i="116"/>
  <c r="CD33" i="116"/>
  <c r="U24" i="119" s="1"/>
  <c r="CA35" i="116"/>
  <c r="CD35" i="116"/>
  <c r="U26" i="119" s="1"/>
  <c r="EX33" i="116"/>
  <c r="FG33" i="116" s="1"/>
  <c r="FF33" i="116"/>
  <c r="BD80" i="113"/>
  <c r="BM80" i="113"/>
  <c r="BM249" i="113" s="1"/>
  <c r="BL120" i="113"/>
  <c r="BK78" i="113"/>
  <c r="BM76" i="113"/>
  <c r="BM245" i="113" s="1"/>
  <c r="BD92" i="113"/>
  <c r="BD76" i="113"/>
  <c r="BK76" i="113"/>
  <c r="BD88" i="113"/>
  <c r="BJ88" i="113" s="1"/>
  <c r="BL88" i="113"/>
  <c r="BK77" i="113"/>
  <c r="BD90" i="113"/>
  <c r="BJ90" i="113" s="1"/>
  <c r="BL90" i="113"/>
  <c r="BD73" i="113"/>
  <c r="BK73" i="113"/>
  <c r="BD82" i="113"/>
  <c r="BJ82" i="113" s="1"/>
  <c r="BL82" i="113"/>
  <c r="BD91" i="113"/>
  <c r="BJ91" i="113" s="1"/>
  <c r="BK91" i="113"/>
  <c r="BD93" i="113"/>
  <c r="BL90" i="115"/>
  <c r="BN151" i="113"/>
  <c r="BN212" i="113" s="1"/>
  <c r="EN67" i="114" s="1"/>
  <c r="BO79" i="113"/>
  <c r="BO248" i="113" s="1"/>
  <c r="AO86" i="113"/>
  <c r="BN86" i="113"/>
  <c r="BM86" i="113" s="1"/>
  <c r="AO81" i="113"/>
  <c r="AO234" i="113" s="1"/>
  <c r="BN81" i="113"/>
  <c r="BM85" i="113"/>
  <c r="AO73" i="113"/>
  <c r="AO236" i="113" s="1"/>
  <c r="BN73" i="113"/>
  <c r="BO82" i="113"/>
  <c r="BM82" i="113" s="1"/>
  <c r="AO82" i="113"/>
  <c r="AO91" i="113"/>
  <c r="BN91" i="113"/>
  <c r="BO78" i="113"/>
  <c r="BO247" i="113" s="1"/>
  <c r="BO68" i="113"/>
  <c r="BF119" i="113"/>
  <c r="BL119" i="113" s="1"/>
  <c r="BF121" i="113"/>
  <c r="BL121" i="113" s="1"/>
  <c r="BM83" i="113"/>
  <c r="AO151" i="113"/>
  <c r="AO212" i="113" s="1"/>
  <c r="AP84" i="113"/>
  <c r="BF89" i="113"/>
  <c r="BL89" i="113" s="1"/>
  <c r="AO79" i="113"/>
  <c r="AO248" i="113" s="1"/>
  <c r="BE151" i="113"/>
  <c r="BE212" i="113" s="1"/>
  <c r="BK212" i="113" s="1"/>
  <c r="BF79" i="113"/>
  <c r="BF248" i="113" s="1"/>
  <c r="BL248" i="113" s="1"/>
  <c r="BE86" i="113"/>
  <c r="BE81" i="113"/>
  <c r="BE234" i="113" s="1"/>
  <c r="BK234" i="113" s="1"/>
  <c r="BO89" i="113"/>
  <c r="BF84" i="113"/>
  <c r="BL84" i="113" s="1"/>
  <c r="BE89" i="113"/>
  <c r="BK89" i="113" s="1"/>
  <c r="AF89" i="113"/>
  <c r="AL89" i="113" s="1"/>
  <c r="BN78" i="113"/>
  <c r="BN247" i="113" s="1"/>
  <c r="AO78" i="113"/>
  <c r="AO247" i="113" s="1"/>
  <c r="AQ66" i="113"/>
  <c r="BF66" i="113" s="1"/>
  <c r="BL66" i="113" s="1"/>
  <c r="BM74" i="113"/>
  <c r="AO71" i="113"/>
  <c r="BN71" i="113"/>
  <c r="BM71" i="113" s="1"/>
  <c r="BE71" i="113"/>
  <c r="BO120" i="113"/>
  <c r="CL33" i="116" l="1"/>
  <c r="BR59" i="114"/>
  <c r="CA59" i="114" s="1"/>
  <c r="BF143" i="113"/>
  <c r="AQ204" i="113"/>
  <c r="CP59" i="114" s="1"/>
  <c r="BO143" i="113"/>
  <c r="BO204" i="113" s="1"/>
  <c r="EO59" i="114" s="1"/>
  <c r="CD59" i="114"/>
  <c r="AN59" i="114"/>
  <c r="DQ67" i="114"/>
  <c r="DZ67" i="114" s="1"/>
  <c r="DQ68" i="114"/>
  <c r="DZ68" i="114" s="1"/>
  <c r="BM73" i="113"/>
  <c r="BM236" i="113" s="1"/>
  <c r="BN236" i="113"/>
  <c r="BM81" i="113"/>
  <c r="BM234" i="113" s="1"/>
  <c r="BN234" i="113"/>
  <c r="BJ92" i="113"/>
  <c r="BJ80" i="113"/>
  <c r="BD249" i="113"/>
  <c r="FW42" i="116"/>
  <c r="AB33" i="119"/>
  <c r="T54" i="118"/>
  <c r="Q53" i="118"/>
  <c r="CD67" i="114"/>
  <c r="S53" i="118"/>
  <c r="CL67" i="114"/>
  <c r="BZ67" i="114"/>
  <c r="P53" i="118"/>
  <c r="EM67" i="114"/>
  <c r="EW67" i="114"/>
  <c r="BJ93" i="113"/>
  <c r="BJ73" i="113"/>
  <c r="BD236" i="113"/>
  <c r="BJ77" i="113"/>
  <c r="BD246" i="113"/>
  <c r="BJ76" i="113"/>
  <c r="BD245" i="113"/>
  <c r="BD78" i="113"/>
  <c r="FE33" i="116"/>
  <c r="FX42" i="116"/>
  <c r="AC33" i="119"/>
  <c r="DZ35" i="116"/>
  <c r="X26" i="119"/>
  <c r="DG67" i="114"/>
  <c r="CW67" i="114"/>
  <c r="FP68" i="114"/>
  <c r="BM93" i="113"/>
  <c r="BL77" i="113"/>
  <c r="BF246" i="113"/>
  <c r="BL246" i="113" s="1"/>
  <c r="BM77" i="113"/>
  <c r="BM246" i="113" s="1"/>
  <c r="FP67" i="114"/>
  <c r="EV33" i="116"/>
  <c r="FP33" i="116"/>
  <c r="EC35" i="116"/>
  <c r="AA26" i="119" s="1"/>
  <c r="CM35" i="116"/>
  <c r="DF33" i="116"/>
  <c r="DP33" i="116"/>
  <c r="W24" i="119" s="1"/>
  <c r="FZ42" i="116"/>
  <c r="FO33" i="116"/>
  <c r="EC33" i="116"/>
  <c r="AA24" i="119" s="1"/>
  <c r="CM33" i="116"/>
  <c r="GA42" i="116"/>
  <c r="EK42" i="116"/>
  <c r="GB34" i="116"/>
  <c r="EL34" i="116"/>
  <c r="BD71" i="113"/>
  <c r="BJ71" i="113" s="1"/>
  <c r="BK71" i="113"/>
  <c r="BD151" i="113"/>
  <c r="BK151" i="113"/>
  <c r="BM78" i="113"/>
  <c r="BM247" i="113" s="1"/>
  <c r="BD81" i="113"/>
  <c r="BK81" i="113"/>
  <c r="BD86" i="113"/>
  <c r="BJ86" i="113" s="1"/>
  <c r="BK86" i="113"/>
  <c r="BD79" i="113"/>
  <c r="BL79" i="113"/>
  <c r="BO66" i="113"/>
  <c r="AO84" i="113"/>
  <c r="BE84" i="113"/>
  <c r="BM91" i="113"/>
  <c r="BN89" i="113"/>
  <c r="BM151" i="113"/>
  <c r="BM212" i="113" s="1"/>
  <c r="BD89" i="113"/>
  <c r="BJ89" i="113" s="1"/>
  <c r="BM79" i="113"/>
  <c r="BM248" i="113" s="1"/>
  <c r="BN84" i="113"/>
  <c r="BM84" i="113" s="1"/>
  <c r="W53" i="118" l="1"/>
  <c r="CM59" i="114"/>
  <c r="EX59" i="114"/>
  <c r="FG59" i="114" s="1"/>
  <c r="FP59" i="114"/>
  <c r="FY59" i="114" s="1"/>
  <c r="CY59" i="114"/>
  <c r="DH59" i="114" s="1"/>
  <c r="BL143" i="113"/>
  <c r="BF204" i="113"/>
  <c r="BL204" i="113" s="1"/>
  <c r="EC68" i="114"/>
  <c r="W54" i="118"/>
  <c r="GK34" i="116"/>
  <c r="AG25" i="119"/>
  <c r="FX33" i="116"/>
  <c r="AC24" i="119"/>
  <c r="FY33" i="116"/>
  <c r="AD24" i="119"/>
  <c r="FY67" i="114"/>
  <c r="AC53" i="118"/>
  <c r="T53" i="118"/>
  <c r="EC67" i="114"/>
  <c r="Z54" i="118"/>
  <c r="GB68" i="114"/>
  <c r="AF54" i="118" s="1"/>
  <c r="BJ79" i="113"/>
  <c r="BD248" i="113"/>
  <c r="BJ81" i="113"/>
  <c r="BD234" i="113"/>
  <c r="BJ151" i="113"/>
  <c r="BD212" i="113"/>
  <c r="GJ42" i="116"/>
  <c r="AF33" i="119"/>
  <c r="GI42" i="116"/>
  <c r="AE33" i="119"/>
  <c r="FY68" i="114"/>
  <c r="AC54" i="118"/>
  <c r="DF67" i="114"/>
  <c r="DP67" i="114"/>
  <c r="BJ78" i="113"/>
  <c r="BD247" i="113"/>
  <c r="EV67" i="114"/>
  <c r="FF67" i="114"/>
  <c r="DY33" i="116"/>
  <c r="EB33" i="116"/>
  <c r="Z24" i="119" s="1"/>
  <c r="GB33" i="116"/>
  <c r="EL33" i="116"/>
  <c r="GB35" i="116"/>
  <c r="EL35" i="116"/>
  <c r="BD84" i="113"/>
  <c r="BJ84" i="113" s="1"/>
  <c r="BK84" i="113"/>
  <c r="BM89" i="113"/>
  <c r="DQ59" i="114" l="1"/>
  <c r="DZ59" i="114" s="1"/>
  <c r="EC59" i="114"/>
  <c r="GK35" i="116"/>
  <c r="G4" i="122"/>
  <c r="AG26" i="119"/>
  <c r="GK33" i="116"/>
  <c r="AG24" i="119"/>
  <c r="FE67" i="114"/>
  <c r="FN67" i="114" s="1"/>
  <c r="AA53" i="118" s="1"/>
  <c r="FO67" i="114"/>
  <c r="DY67" i="114"/>
  <c r="V53" i="118"/>
  <c r="EB67" i="114"/>
  <c r="GB67" i="114"/>
  <c r="AF53" i="118" s="1"/>
  <c r="Z53" i="118"/>
  <c r="GA33" i="116"/>
  <c r="EK33" i="116"/>
  <c r="CD84" i="113"/>
  <c r="CJ84" i="113" s="1"/>
  <c r="CC84" i="113"/>
  <c r="CI84" i="113" s="1"/>
  <c r="CD89" i="113"/>
  <c r="CJ89" i="113" s="1"/>
  <c r="CC89" i="113"/>
  <c r="CI89" i="113" s="1"/>
  <c r="CB93" i="113"/>
  <c r="CB92" i="113"/>
  <c r="CB91" i="113"/>
  <c r="CH91" i="113" s="1"/>
  <c r="CB90" i="113"/>
  <c r="CH90" i="113" s="1"/>
  <c r="CB88" i="113"/>
  <c r="CH88" i="113" s="1"/>
  <c r="CB87" i="113"/>
  <c r="CH87" i="113" s="1"/>
  <c r="CB86" i="113"/>
  <c r="CH86" i="113" s="1"/>
  <c r="CB85" i="113"/>
  <c r="CB83" i="113"/>
  <c r="CB82" i="113"/>
  <c r="CH82" i="113" s="1"/>
  <c r="CB81" i="113"/>
  <c r="CB80" i="113"/>
  <c r="CB79" i="113"/>
  <c r="CB78" i="113"/>
  <c r="CB77" i="113"/>
  <c r="CB73" i="113"/>
  <c r="GB59" i="114" l="1"/>
  <c r="GK59" i="114" s="1"/>
  <c r="EL59" i="114"/>
  <c r="CH77" i="113"/>
  <c r="CB246" i="113"/>
  <c r="CH79" i="113"/>
  <c r="CB248" i="113"/>
  <c r="CH81" i="113"/>
  <c r="CB234" i="113"/>
  <c r="CH83" i="113"/>
  <c r="CB239" i="113"/>
  <c r="CH93" i="113"/>
  <c r="CB259" i="113"/>
  <c r="Y53" i="118"/>
  <c r="GA67" i="114"/>
  <c r="EK67" i="114"/>
  <c r="G5" i="122"/>
  <c r="G8" i="122"/>
  <c r="CH73" i="113"/>
  <c r="CB236" i="113"/>
  <c r="CH78" i="113"/>
  <c r="CB247" i="113"/>
  <c r="CH80" i="113"/>
  <c r="CB249" i="113"/>
  <c r="CH85" i="113"/>
  <c r="CH92" i="113"/>
  <c r="CB257" i="113"/>
  <c r="GJ33" i="116"/>
  <c r="AF24" i="119"/>
  <c r="FX67" i="114"/>
  <c r="AB53" i="118"/>
  <c r="CB89" i="113"/>
  <c r="CH89" i="113" s="1"/>
  <c r="CB84" i="113"/>
  <c r="CH84" i="113" s="1"/>
  <c r="CB76" i="113"/>
  <c r="CB74" i="113"/>
  <c r="CB71" i="113"/>
  <c r="CH71" i="113" s="1"/>
  <c r="S65" i="113"/>
  <c r="S64" i="113"/>
  <c r="S251" i="113" s="1"/>
  <c r="D65" i="113"/>
  <c r="D64" i="113" s="1"/>
  <c r="D251" i="113" s="1"/>
  <c r="D63" i="113"/>
  <c r="D62" i="113"/>
  <c r="C62" i="113"/>
  <c r="D61" i="113"/>
  <c r="D59" i="113"/>
  <c r="D58" i="113"/>
  <c r="S58" i="113" s="1"/>
  <c r="CD64" i="113"/>
  <c r="CD60" i="113"/>
  <c r="CJ60" i="113" s="1"/>
  <c r="CB62" i="113"/>
  <c r="CH62" i="113" s="1"/>
  <c r="CD56" i="113"/>
  <c r="CJ56" i="113" s="1"/>
  <c r="CC53" i="113"/>
  <c r="D55" i="113"/>
  <c r="D54" i="113"/>
  <c r="S54" i="113" s="1"/>
  <c r="D53" i="113"/>
  <c r="D52" i="113"/>
  <c r="S52" i="113" s="1"/>
  <c r="CC52" i="113"/>
  <c r="CI52" i="113" s="1"/>
  <c r="D51" i="113"/>
  <c r="S51" i="113" s="1"/>
  <c r="D50" i="113"/>
  <c r="D190" i="113" s="1"/>
  <c r="D45" i="114" s="1"/>
  <c r="D49" i="113"/>
  <c r="D56" i="113" l="1"/>
  <c r="B62" i="113"/>
  <c r="CH74" i="113"/>
  <c r="CB235" i="113"/>
  <c r="M45" i="114"/>
  <c r="V45" i="114" s="1"/>
  <c r="CJ64" i="113"/>
  <c r="CD251" i="113"/>
  <c r="CH76" i="113"/>
  <c r="CB245" i="113"/>
  <c r="G9" i="122"/>
  <c r="G13" i="122" s="1"/>
  <c r="G6" i="122"/>
  <c r="GJ67" i="114"/>
  <c r="AE53" i="118"/>
  <c r="CB52" i="113"/>
  <c r="CH52" i="113" s="1"/>
  <c r="C53" i="113"/>
  <c r="B53" i="113" s="1"/>
  <c r="CI53" i="113"/>
  <c r="CD57" i="113"/>
  <c r="CJ57" i="113" s="1"/>
  <c r="AH64" i="113"/>
  <c r="S61" i="113"/>
  <c r="AH61" i="113" s="1"/>
  <c r="AN61" i="113" s="1"/>
  <c r="R62" i="113"/>
  <c r="AG62" i="113" s="1"/>
  <c r="AM62" i="113" s="1"/>
  <c r="AH51" i="113"/>
  <c r="AN51" i="113" s="1"/>
  <c r="AH52" i="113"/>
  <c r="AN52" i="113" s="1"/>
  <c r="S49" i="113"/>
  <c r="S50" i="113"/>
  <c r="S53" i="113"/>
  <c r="AH53" i="113" s="1"/>
  <c r="AN53" i="113" s="1"/>
  <c r="S55" i="113"/>
  <c r="S56" i="113" s="1"/>
  <c r="AH58" i="113"/>
  <c r="AN58" i="113" s="1"/>
  <c r="AH65" i="113"/>
  <c r="AN65" i="113" s="1"/>
  <c r="AH54" i="113"/>
  <c r="AN54" i="113" s="1"/>
  <c r="S62" i="113"/>
  <c r="AH62" i="113" s="1"/>
  <c r="CB53" i="113"/>
  <c r="CH53" i="113" s="1"/>
  <c r="C52" i="113"/>
  <c r="CB69" i="113"/>
  <c r="CH69" i="113" s="1"/>
  <c r="C69" i="113"/>
  <c r="S63" i="113"/>
  <c r="AH63" i="113" s="1"/>
  <c r="AN63" i="113" s="1"/>
  <c r="AQ61" i="113"/>
  <c r="BO61" i="113" s="1"/>
  <c r="D60" i="113"/>
  <c r="D57" i="113"/>
  <c r="S59" i="113"/>
  <c r="AH59" i="113" s="1"/>
  <c r="AN59" i="113" s="1"/>
  <c r="AT44" i="5"/>
  <c r="AT43" i="5"/>
  <c r="AT42" i="5"/>
  <c r="AT41" i="5"/>
  <c r="AT36" i="5"/>
  <c r="AT35" i="5"/>
  <c r="AT34" i="5"/>
  <c r="AT32" i="5"/>
  <c r="AT31" i="5"/>
  <c r="AT25" i="5"/>
  <c r="AT24" i="5"/>
  <c r="AT22" i="5"/>
  <c r="AT21" i="5"/>
  <c r="AT20" i="5"/>
  <c r="AT19" i="5"/>
  <c r="AT16" i="5"/>
  <c r="CC28" i="113"/>
  <c r="CD27" i="113"/>
  <c r="CC27" i="113"/>
  <c r="AQ65" i="113" l="1"/>
  <c r="CI27" i="113"/>
  <c r="AH50" i="113"/>
  <c r="S190" i="113"/>
  <c r="AQ45" i="114" s="1"/>
  <c r="AN64" i="113"/>
  <c r="AH251" i="113"/>
  <c r="G10" i="122"/>
  <c r="G14" i="122" s="1"/>
  <c r="G18" i="122" s="1"/>
  <c r="G7" i="122"/>
  <c r="CJ27" i="113"/>
  <c r="AQ58" i="113"/>
  <c r="BF58" i="113" s="1"/>
  <c r="BL58" i="113" s="1"/>
  <c r="Q62" i="113"/>
  <c r="G15" i="122"/>
  <c r="G19" i="122" s="1"/>
  <c r="CJ251" i="113"/>
  <c r="AE45" i="114"/>
  <c r="G11" i="122"/>
  <c r="AH55" i="113"/>
  <c r="AN55" i="113" s="1"/>
  <c r="CB27" i="113"/>
  <c r="R53" i="113"/>
  <c r="Q53" i="113" s="1"/>
  <c r="BF61" i="113"/>
  <c r="BL61" i="113" s="1"/>
  <c r="CD48" i="113"/>
  <c r="CJ48" i="113" s="1"/>
  <c r="C28" i="113"/>
  <c r="CI28" i="113"/>
  <c r="AQ62" i="113"/>
  <c r="BO62" i="113" s="1"/>
  <c r="AN62" i="113"/>
  <c r="AQ54" i="113"/>
  <c r="BF54" i="113" s="1"/>
  <c r="BL54" i="113" s="1"/>
  <c r="AH56" i="113"/>
  <c r="AN56" i="113" s="1"/>
  <c r="AQ55" i="113"/>
  <c r="BF55" i="113" s="1"/>
  <c r="AQ52" i="113"/>
  <c r="BF52" i="113" s="1"/>
  <c r="BL52" i="113" s="1"/>
  <c r="AQ51" i="113"/>
  <c r="BF51" i="113" s="1"/>
  <c r="BL51" i="113" s="1"/>
  <c r="AH49" i="113"/>
  <c r="AN49" i="113" s="1"/>
  <c r="D48" i="113"/>
  <c r="AQ53" i="113"/>
  <c r="BO53" i="113" s="1"/>
  <c r="R52" i="113"/>
  <c r="Q52" i="113" s="1"/>
  <c r="B52" i="113"/>
  <c r="B69" i="113"/>
  <c r="R69" i="113"/>
  <c r="Q69" i="113" s="1"/>
  <c r="BO65" i="113"/>
  <c r="BO64" i="113" s="1"/>
  <c r="BO251" i="113" s="1"/>
  <c r="AQ64" i="113"/>
  <c r="AQ251" i="113" s="1"/>
  <c r="BF65" i="113"/>
  <c r="BL65" i="113" s="1"/>
  <c r="AQ63" i="113"/>
  <c r="BO63" i="113" s="1"/>
  <c r="S57" i="113"/>
  <c r="S48" i="113" s="1"/>
  <c r="AH48" i="113" s="1"/>
  <c r="AN48" i="113" s="1"/>
  <c r="BF62" i="113"/>
  <c r="BL62" i="113" s="1"/>
  <c r="AF62" i="113"/>
  <c r="AL62" i="113" s="1"/>
  <c r="AP62" i="113"/>
  <c r="AQ59" i="113"/>
  <c r="BO59" i="113" s="1"/>
  <c r="AH60" i="113"/>
  <c r="AN60" i="113" s="1"/>
  <c r="S60" i="113"/>
  <c r="BO58" i="113"/>
  <c r="AQ60" i="113"/>
  <c r="AH57" i="113"/>
  <c r="AN57" i="113" s="1"/>
  <c r="D27" i="113"/>
  <c r="C27" i="113"/>
  <c r="G12" i="122" l="1"/>
  <c r="G16" i="122"/>
  <c r="AG53" i="113"/>
  <c r="AM53" i="113" s="1"/>
  <c r="BF53" i="113"/>
  <c r="BL53" i="113" s="1"/>
  <c r="CH27" i="113"/>
  <c r="G20" i="122"/>
  <c r="G21" i="122" s="1"/>
  <c r="AN50" i="113"/>
  <c r="AH190" i="113"/>
  <c r="AN190" i="113" s="1"/>
  <c r="R28" i="113"/>
  <c r="BF63" i="113"/>
  <c r="BL63" i="113" s="1"/>
  <c r="AQ50" i="113"/>
  <c r="N32" i="118"/>
  <c r="AN45" i="114"/>
  <c r="AN251" i="113"/>
  <c r="AZ45" i="114"/>
  <c r="BI45" i="114" s="1"/>
  <c r="BF56" i="113"/>
  <c r="BL56" i="113" s="1"/>
  <c r="BL55" i="113"/>
  <c r="BF64" i="113"/>
  <c r="AQ49" i="113"/>
  <c r="BO54" i="113"/>
  <c r="BE62" i="113"/>
  <c r="AG52" i="113"/>
  <c r="AM52" i="113" s="1"/>
  <c r="BO51" i="113"/>
  <c r="BO52" i="113"/>
  <c r="AQ56" i="113"/>
  <c r="BO55" i="113"/>
  <c r="AG69" i="113"/>
  <c r="AM69" i="113" s="1"/>
  <c r="AP52" i="113"/>
  <c r="AO62" i="113"/>
  <c r="BN62" i="113"/>
  <c r="BM62" i="113" s="1"/>
  <c r="AQ57" i="113"/>
  <c r="BF59" i="113"/>
  <c r="BO60" i="113"/>
  <c r="BO57" i="113"/>
  <c r="AF53" i="113"/>
  <c r="AL53" i="113" s="1"/>
  <c r="AP53" i="113"/>
  <c r="BE53" i="113" s="1"/>
  <c r="B27" i="113"/>
  <c r="R27" i="113"/>
  <c r="S27" i="113"/>
  <c r="G17" i="122" l="1"/>
  <c r="G22" i="122" s="1"/>
  <c r="AQ48" i="113"/>
  <c r="BF48" i="113" s="1"/>
  <c r="BL48" i="113" s="1"/>
  <c r="AF52" i="113"/>
  <c r="AL52" i="113" s="1"/>
  <c r="AF69" i="113"/>
  <c r="AL69" i="113" s="1"/>
  <c r="AG27" i="113"/>
  <c r="AP27" i="113" s="1"/>
  <c r="BL64" i="113"/>
  <c r="BF251" i="113"/>
  <c r="BF50" i="113"/>
  <c r="AQ190" i="113"/>
  <c r="CP45" i="114" s="1"/>
  <c r="BF57" i="113"/>
  <c r="BL57" i="113" s="1"/>
  <c r="BO50" i="113"/>
  <c r="BO190" i="113" s="1"/>
  <c r="EO45" i="114" s="1"/>
  <c r="BR45" i="114"/>
  <c r="AG28" i="113"/>
  <c r="AP69" i="113"/>
  <c r="BN69" i="113" s="1"/>
  <c r="BM69" i="113" s="1"/>
  <c r="BD53" i="113"/>
  <c r="BJ53" i="113" s="1"/>
  <c r="BK53" i="113"/>
  <c r="BF60" i="113"/>
  <c r="BL60" i="113" s="1"/>
  <c r="BL59" i="113"/>
  <c r="BD62" i="113"/>
  <c r="BJ62" i="113" s="1"/>
  <c r="BK62" i="113"/>
  <c r="BO56" i="113"/>
  <c r="BO49" i="113"/>
  <c r="BF49" i="113"/>
  <c r="AO52" i="113"/>
  <c r="BN52" i="113"/>
  <c r="BM52" i="113" s="1"/>
  <c r="AO69" i="113"/>
  <c r="BE52" i="113"/>
  <c r="AO53" i="113"/>
  <c r="BN53" i="113"/>
  <c r="BM53" i="113" s="1"/>
  <c r="AH27" i="113"/>
  <c r="Q27" i="113"/>
  <c r="GJ25" i="116"/>
  <c r="GK24" i="116"/>
  <c r="GK23" i="116"/>
  <c r="FY26" i="116"/>
  <c r="FX25" i="116"/>
  <c r="FY24" i="116"/>
  <c r="FY23" i="116"/>
  <c r="FV20" i="116"/>
  <c r="FU19" i="116"/>
  <c r="FV18" i="116"/>
  <c r="FV17" i="116"/>
  <c r="FS20" i="116"/>
  <c r="FR20" i="116"/>
  <c r="FS19" i="116"/>
  <c r="FR19" i="116"/>
  <c r="FS18" i="116"/>
  <c r="FR18" i="116"/>
  <c r="FS17" i="116"/>
  <c r="FR17" i="116"/>
  <c r="FP20" i="116"/>
  <c r="FO19" i="116"/>
  <c r="FP18" i="116"/>
  <c r="FP17" i="116"/>
  <c r="FJ21" i="116"/>
  <c r="FJ63" i="116" s="1"/>
  <c r="FJ64" i="116" s="1"/>
  <c r="FI21" i="116"/>
  <c r="FI63" i="116" s="1"/>
  <c r="FH20" i="116"/>
  <c r="FH19" i="116"/>
  <c r="FH18" i="116"/>
  <c r="FH17" i="116"/>
  <c r="FA21" i="116"/>
  <c r="FA63" i="116" s="1"/>
  <c r="FA64" i="116" s="1"/>
  <c r="EZ21" i="116"/>
  <c r="EZ63" i="116" s="1"/>
  <c r="EY20" i="116"/>
  <c r="EY19" i="116"/>
  <c r="EY18" i="116"/>
  <c r="EY17" i="116"/>
  <c r="FV19" i="116"/>
  <c r="FU20" i="116"/>
  <c r="FU18" i="116"/>
  <c r="FU17" i="116"/>
  <c r="ER21" i="116"/>
  <c r="EQ21" i="116"/>
  <c r="EP20" i="116"/>
  <c r="EP19" i="116"/>
  <c r="EP18" i="116"/>
  <c r="EP17" i="116"/>
  <c r="EK25" i="116"/>
  <c r="EL24" i="116"/>
  <c r="EL23" i="116"/>
  <c r="DZ26" i="116"/>
  <c r="DY25" i="116"/>
  <c r="DZ24" i="116"/>
  <c r="DZ23" i="116"/>
  <c r="DW20" i="116"/>
  <c r="DV19" i="116"/>
  <c r="DW18" i="116"/>
  <c r="DW17" i="116"/>
  <c r="DT20" i="116"/>
  <c r="DS20" i="116"/>
  <c r="DT19" i="116"/>
  <c r="DS19" i="116"/>
  <c r="DT18" i="116"/>
  <c r="DS18" i="116"/>
  <c r="DT17" i="116"/>
  <c r="DS17" i="116"/>
  <c r="DQ20" i="116"/>
  <c r="DP19" i="116"/>
  <c r="DQ18" i="116"/>
  <c r="DQ17" i="116"/>
  <c r="DK21" i="116"/>
  <c r="DK63" i="116" s="1"/>
  <c r="DK64" i="116" s="1"/>
  <c r="DJ21" i="116"/>
  <c r="DJ63" i="116" s="1"/>
  <c r="DI20" i="116"/>
  <c r="DI19" i="116"/>
  <c r="DI18" i="116"/>
  <c r="DI17" i="116"/>
  <c r="DB21" i="116"/>
  <c r="DB63" i="116" s="1"/>
  <c r="DB64" i="116" s="1"/>
  <c r="DA21" i="116"/>
  <c r="DA63" i="116" s="1"/>
  <c r="CZ20" i="116"/>
  <c r="CZ19" i="116"/>
  <c r="CZ18" i="116"/>
  <c r="CZ17" i="116"/>
  <c r="DW19" i="116"/>
  <c r="DV20" i="116"/>
  <c r="DV18" i="116"/>
  <c r="DV17" i="116"/>
  <c r="CS21" i="116"/>
  <c r="CR21" i="116"/>
  <c r="CQ20" i="116"/>
  <c r="CQ19" i="116"/>
  <c r="CQ18" i="116"/>
  <c r="CQ17" i="116"/>
  <c r="CM26" i="116"/>
  <c r="CL25" i="116"/>
  <c r="CM24" i="116"/>
  <c r="CM23" i="116"/>
  <c r="CA26" i="116"/>
  <c r="BZ25" i="116"/>
  <c r="CA24" i="116"/>
  <c r="CA23" i="116"/>
  <c r="BX20" i="116"/>
  <c r="BW19" i="116"/>
  <c r="BX18" i="116"/>
  <c r="BX17" i="116"/>
  <c r="BU20" i="116"/>
  <c r="BT20" i="116"/>
  <c r="BU19" i="116"/>
  <c r="BT19" i="116"/>
  <c r="BU18" i="116"/>
  <c r="BT18" i="116"/>
  <c r="BU17" i="116"/>
  <c r="BT17" i="116"/>
  <c r="BR20" i="116"/>
  <c r="BQ19" i="116"/>
  <c r="BR18" i="116"/>
  <c r="BR17" i="116"/>
  <c r="BL21" i="116"/>
  <c r="BL63" i="116" s="1"/>
  <c r="BL64" i="116" s="1"/>
  <c r="BK21" i="116"/>
  <c r="BK63" i="116" s="1"/>
  <c r="BJ20" i="116"/>
  <c r="BJ19" i="116"/>
  <c r="BJ18" i="116"/>
  <c r="BJ17" i="116"/>
  <c r="BC21" i="116"/>
  <c r="BC63" i="116" s="1"/>
  <c r="BC64" i="116" s="1"/>
  <c r="BB21" i="116"/>
  <c r="BB63" i="116" s="1"/>
  <c r="BA20" i="116"/>
  <c r="BA19" i="116"/>
  <c r="BA18" i="116"/>
  <c r="BA17" i="116"/>
  <c r="BW20" i="116"/>
  <c r="BW18" i="116"/>
  <c r="BW17" i="116"/>
  <c r="AT21" i="116"/>
  <c r="AS21" i="116"/>
  <c r="AR20" i="116"/>
  <c r="AR19" i="116"/>
  <c r="AR18" i="116"/>
  <c r="AR17" i="116"/>
  <c r="AN26" i="116"/>
  <c r="AM25" i="116"/>
  <c r="AN24" i="116"/>
  <c r="AN23" i="116"/>
  <c r="AK20" i="116"/>
  <c r="AJ19" i="116"/>
  <c r="CI19" i="116" s="1"/>
  <c r="EH19" i="116" s="1"/>
  <c r="GG19" i="116" s="1"/>
  <c r="AK18" i="116"/>
  <c r="AK17" i="116"/>
  <c r="CJ17" i="116" s="1"/>
  <c r="EI17" i="116" s="1"/>
  <c r="GH17" i="116" s="1"/>
  <c r="AH20" i="116"/>
  <c r="AG20" i="116"/>
  <c r="CF20" i="116" s="1"/>
  <c r="AH19" i="116"/>
  <c r="AG19" i="116"/>
  <c r="CF19" i="116" s="1"/>
  <c r="AH18" i="116"/>
  <c r="AG18" i="116"/>
  <c r="AH17" i="116"/>
  <c r="AG17" i="116"/>
  <c r="AE20" i="116"/>
  <c r="AD19" i="116"/>
  <c r="CC19" i="116" s="1"/>
  <c r="EB19" i="116" s="1"/>
  <c r="GA19" i="116" s="1"/>
  <c r="AE18" i="116"/>
  <c r="AE17" i="116"/>
  <c r="CD17" i="116" s="1"/>
  <c r="EC17" i="116" s="1"/>
  <c r="GB17" i="116" s="1"/>
  <c r="Y21" i="116"/>
  <c r="Y63" i="116" s="1"/>
  <c r="Y64" i="116" s="1"/>
  <c r="X21" i="116"/>
  <c r="X63" i="116" s="1"/>
  <c r="W20" i="116"/>
  <c r="W19" i="116"/>
  <c r="W18" i="116"/>
  <c r="W17" i="116"/>
  <c r="P21" i="116"/>
  <c r="P63" i="116" s="1"/>
  <c r="P64" i="116" s="1"/>
  <c r="O21" i="116"/>
  <c r="O63" i="116" s="1"/>
  <c r="N20" i="116"/>
  <c r="N19" i="116"/>
  <c r="N18" i="116"/>
  <c r="N17" i="116"/>
  <c r="H26" i="116"/>
  <c r="H25" i="116"/>
  <c r="H24" i="116"/>
  <c r="AJ20" i="116"/>
  <c r="AK19" i="116"/>
  <c r="AJ18" i="116"/>
  <c r="G21" i="116"/>
  <c r="F21" i="116"/>
  <c r="E20" i="116"/>
  <c r="E19" i="116"/>
  <c r="E18" i="116"/>
  <c r="E17" i="116"/>
  <c r="C11" i="116"/>
  <c r="FH30" i="114"/>
  <c r="FH29" i="114"/>
  <c r="FI28" i="114"/>
  <c r="FH28" i="114" s="1"/>
  <c r="FH27" i="114"/>
  <c r="FH26" i="114"/>
  <c r="FH25" i="114"/>
  <c r="FH24" i="114"/>
  <c r="GJ36" i="114"/>
  <c r="GK35" i="114"/>
  <c r="GK34" i="114"/>
  <c r="GK33" i="114"/>
  <c r="FX36" i="114"/>
  <c r="FY35" i="114"/>
  <c r="FY34" i="114"/>
  <c r="FY33" i="114"/>
  <c r="FV25" i="114"/>
  <c r="FV24" i="114"/>
  <c r="FS25" i="114"/>
  <c r="FR25" i="114"/>
  <c r="FS24" i="114"/>
  <c r="FR24" i="114"/>
  <c r="FP25" i="114"/>
  <c r="FP24" i="114"/>
  <c r="FV30" i="114"/>
  <c r="FV29" i="114"/>
  <c r="FV28" i="114"/>
  <c r="FU27" i="114"/>
  <c r="FV26" i="114"/>
  <c r="FS30" i="114"/>
  <c r="FR30" i="114"/>
  <c r="FS29" i="114"/>
  <c r="FR29" i="114"/>
  <c r="FS28" i="114"/>
  <c r="FS27" i="114"/>
  <c r="FR27" i="114"/>
  <c r="FS26" i="114"/>
  <c r="FR26" i="114"/>
  <c r="FP30" i="114"/>
  <c r="FP29" i="114"/>
  <c r="FP28" i="114"/>
  <c r="FO27" i="114"/>
  <c r="FP26" i="114"/>
  <c r="FJ31" i="114"/>
  <c r="FJ75" i="114" s="1"/>
  <c r="FJ76" i="114" s="1"/>
  <c r="FA31" i="114"/>
  <c r="FA75" i="114" s="1"/>
  <c r="FA76" i="114" s="1"/>
  <c r="EY30" i="114"/>
  <c r="EY29" i="114"/>
  <c r="EZ28" i="114"/>
  <c r="EZ31" i="114" s="1"/>
  <c r="EZ75" i="114" s="1"/>
  <c r="EY27" i="114"/>
  <c r="EY26" i="114"/>
  <c r="EY25" i="114"/>
  <c r="EY24" i="114"/>
  <c r="FU30" i="114"/>
  <c r="FU26" i="114"/>
  <c r="FU25" i="114"/>
  <c r="FU24" i="114"/>
  <c r="ER31" i="114"/>
  <c r="ER75" i="114" s="1"/>
  <c r="EP30" i="114"/>
  <c r="EP29" i="114"/>
  <c r="EQ28" i="114"/>
  <c r="EQ31" i="114" s="1"/>
  <c r="EQ75" i="114" s="1"/>
  <c r="EP27" i="114"/>
  <c r="EP26" i="114"/>
  <c r="EP25" i="114"/>
  <c r="EP24" i="114"/>
  <c r="EL35" i="114"/>
  <c r="EL34" i="114"/>
  <c r="EL33" i="114"/>
  <c r="DZ35" i="114"/>
  <c r="DZ34" i="114"/>
  <c r="DZ33" i="114"/>
  <c r="DW30" i="114"/>
  <c r="DW29" i="114"/>
  <c r="DW28" i="114"/>
  <c r="DV27" i="114"/>
  <c r="DW26" i="114"/>
  <c r="DW25" i="114"/>
  <c r="DW24" i="114"/>
  <c r="DT30" i="114"/>
  <c r="DS30" i="114"/>
  <c r="DT29" i="114"/>
  <c r="DS29" i="114"/>
  <c r="DT28" i="114"/>
  <c r="DT27" i="114"/>
  <c r="DS27" i="114"/>
  <c r="DT26" i="114"/>
  <c r="DS26" i="114"/>
  <c r="DT25" i="114"/>
  <c r="DS25" i="114"/>
  <c r="DT24" i="114"/>
  <c r="DS24" i="114"/>
  <c r="DQ30" i="114"/>
  <c r="DQ29" i="114"/>
  <c r="DZ29" i="114" s="1"/>
  <c r="DQ28" i="114"/>
  <c r="DP27" i="114"/>
  <c r="DQ26" i="114"/>
  <c r="DQ25" i="114"/>
  <c r="DQ24" i="114"/>
  <c r="DK31" i="114"/>
  <c r="DK75" i="114" s="1"/>
  <c r="DK76" i="114" s="1"/>
  <c r="DI30" i="114"/>
  <c r="DI29" i="114"/>
  <c r="DJ28" i="114"/>
  <c r="DI27" i="114"/>
  <c r="DI26" i="114"/>
  <c r="DI25" i="114"/>
  <c r="DI24" i="114"/>
  <c r="DB31" i="114"/>
  <c r="DB75" i="114" s="1"/>
  <c r="DB76" i="114" s="1"/>
  <c r="CZ30" i="114"/>
  <c r="CZ29" i="114"/>
  <c r="DA28" i="114"/>
  <c r="DA31" i="114" s="1"/>
  <c r="DA75" i="114" s="1"/>
  <c r="CZ27" i="114"/>
  <c r="CZ26" i="114"/>
  <c r="CZ25" i="114"/>
  <c r="CZ24" i="114"/>
  <c r="DV30" i="114"/>
  <c r="DV29" i="114"/>
  <c r="DW27" i="114"/>
  <c r="DV24" i="114"/>
  <c r="CS31" i="114"/>
  <c r="CQ30" i="114"/>
  <c r="CQ29" i="114"/>
  <c r="CR28" i="114"/>
  <c r="CR31" i="114" s="1"/>
  <c r="CR75" i="114" s="1"/>
  <c r="CQ27" i="114"/>
  <c r="CQ26" i="114"/>
  <c r="CQ25" i="114"/>
  <c r="CQ24" i="114"/>
  <c r="CM35" i="114"/>
  <c r="CM34" i="114"/>
  <c r="CM33" i="114"/>
  <c r="CA35" i="114"/>
  <c r="CA34" i="114"/>
  <c r="CA33" i="114"/>
  <c r="BX30" i="114"/>
  <c r="BV30" i="114"/>
  <c r="BX29" i="114"/>
  <c r="BV29" i="114"/>
  <c r="BX28" i="114"/>
  <c r="BW27" i="114"/>
  <c r="BV27" i="114"/>
  <c r="BX26" i="114"/>
  <c r="BV26" i="114"/>
  <c r="BX25" i="114"/>
  <c r="BV25" i="114"/>
  <c r="BX24" i="114"/>
  <c r="BV24" i="114"/>
  <c r="BU30" i="114"/>
  <c r="BT30" i="114"/>
  <c r="BU29" i="114"/>
  <c r="BT29" i="114"/>
  <c r="BU28" i="114"/>
  <c r="BU27" i="114"/>
  <c r="BT27" i="114"/>
  <c r="BU26" i="114"/>
  <c r="BT26" i="114"/>
  <c r="BU25" i="114"/>
  <c r="BT25" i="114"/>
  <c r="BU24" i="114"/>
  <c r="BT24" i="114"/>
  <c r="BR30" i="114"/>
  <c r="BR29" i="114"/>
  <c r="BR28" i="114"/>
  <c r="BQ27" i="114"/>
  <c r="BR26" i="114"/>
  <c r="BR25" i="114"/>
  <c r="BR24" i="114"/>
  <c r="BL31" i="114"/>
  <c r="BJ30" i="114"/>
  <c r="BJ29" i="114"/>
  <c r="BK28" i="114"/>
  <c r="BK31" i="114" s="1"/>
  <c r="BK75" i="114" s="1"/>
  <c r="BJ27" i="114"/>
  <c r="BJ26" i="114"/>
  <c r="BJ25" i="114"/>
  <c r="BJ24" i="114"/>
  <c r="BC31" i="114"/>
  <c r="BC75" i="114" s="1"/>
  <c r="BC76" i="114" s="1"/>
  <c r="BA30" i="114"/>
  <c r="BA29" i="114"/>
  <c r="BB28" i="114"/>
  <c r="BB31" i="114" s="1"/>
  <c r="BA31" i="114" s="1"/>
  <c r="BA27" i="114"/>
  <c r="BA26" i="114"/>
  <c r="BA25" i="114"/>
  <c r="BA24" i="114"/>
  <c r="BW30" i="114"/>
  <c r="BW29" i="114"/>
  <c r="BW26" i="114"/>
  <c r="BW25" i="114"/>
  <c r="BW24" i="114"/>
  <c r="AT31" i="114"/>
  <c r="AT75" i="114" s="1"/>
  <c r="AR30" i="114"/>
  <c r="AR29" i="114"/>
  <c r="AS28" i="114"/>
  <c r="AS31" i="114" s="1"/>
  <c r="AR27" i="114"/>
  <c r="AR26" i="114"/>
  <c r="AR25" i="114"/>
  <c r="AR24" i="114"/>
  <c r="AN35" i="114"/>
  <c r="AN34" i="114"/>
  <c r="AN33" i="114"/>
  <c r="AK30" i="114"/>
  <c r="AK29" i="114"/>
  <c r="CJ29" i="114" s="1"/>
  <c r="EI29" i="114" s="1"/>
  <c r="GH29" i="114" s="1"/>
  <c r="AI29" i="114"/>
  <c r="AK28" i="114"/>
  <c r="CJ28" i="114" s="1"/>
  <c r="EI28" i="114" s="1"/>
  <c r="AJ27" i="114"/>
  <c r="CI27" i="114" s="1"/>
  <c r="EH27" i="114" s="1"/>
  <c r="AI27" i="114"/>
  <c r="AK26" i="114"/>
  <c r="CJ26" i="114" s="1"/>
  <c r="AI26" i="114"/>
  <c r="AK25" i="114"/>
  <c r="CJ25" i="114" s="1"/>
  <c r="EI25" i="114" s="1"/>
  <c r="GH25" i="114" s="1"/>
  <c r="AI25" i="114"/>
  <c r="AK24" i="114"/>
  <c r="CJ24" i="114" s="1"/>
  <c r="AI24" i="114"/>
  <c r="AH30" i="114"/>
  <c r="CG30" i="114" s="1"/>
  <c r="AG30" i="114"/>
  <c r="AH29" i="114"/>
  <c r="CG29" i="114" s="1"/>
  <c r="AG29" i="114"/>
  <c r="CF29" i="114" s="1"/>
  <c r="AH28" i="114"/>
  <c r="CG28" i="114" s="1"/>
  <c r="AH27" i="114"/>
  <c r="AG27" i="114"/>
  <c r="CF27" i="114" s="1"/>
  <c r="AH26" i="114"/>
  <c r="AG26" i="114"/>
  <c r="AH25" i="114"/>
  <c r="CG25" i="114" s="1"/>
  <c r="AG25" i="114"/>
  <c r="AH24" i="114"/>
  <c r="CG24" i="114" s="1"/>
  <c r="AG24" i="114"/>
  <c r="AE30" i="114"/>
  <c r="CD30" i="114" s="1"/>
  <c r="AE29" i="114"/>
  <c r="CD29" i="114" s="1"/>
  <c r="EC29" i="114" s="1"/>
  <c r="AE28" i="114"/>
  <c r="CD28" i="114" s="1"/>
  <c r="EC28" i="114" s="1"/>
  <c r="GB28" i="114" s="1"/>
  <c r="AE26" i="114"/>
  <c r="AE25" i="114"/>
  <c r="AE24" i="114"/>
  <c r="AD27" i="114"/>
  <c r="CC27" i="114" s="1"/>
  <c r="EB27" i="114" s="1"/>
  <c r="Y31" i="114"/>
  <c r="Y75" i="114" s="1"/>
  <c r="Y76" i="114" s="1"/>
  <c r="P31" i="114"/>
  <c r="P75" i="114" s="1"/>
  <c r="P76" i="114" s="1"/>
  <c r="G31" i="114"/>
  <c r="W30" i="114"/>
  <c r="W29" i="114"/>
  <c r="X28" i="114"/>
  <c r="X31" i="114" s="1"/>
  <c r="W27" i="114"/>
  <c r="W26" i="114"/>
  <c r="W25" i="114"/>
  <c r="W24" i="114"/>
  <c r="N30" i="114"/>
  <c r="N29" i="114"/>
  <c r="O28" i="114"/>
  <c r="O31" i="114" s="1"/>
  <c r="N27" i="114"/>
  <c r="N26" i="114"/>
  <c r="N25" i="114"/>
  <c r="N24" i="114"/>
  <c r="AK27" i="114"/>
  <c r="AJ26" i="114"/>
  <c r="AJ25" i="114"/>
  <c r="I33" i="114"/>
  <c r="J36" i="114"/>
  <c r="H36" i="114"/>
  <c r="H34" i="114"/>
  <c r="H33" i="114"/>
  <c r="CZ21" i="116" l="1"/>
  <c r="EE29" i="114"/>
  <c r="GD29" i="114" s="1"/>
  <c r="CF17" i="116"/>
  <c r="CG27" i="114"/>
  <c r="EF27" i="114" s="1"/>
  <c r="GE27" i="114" s="1"/>
  <c r="BJ21" i="116"/>
  <c r="BB75" i="114"/>
  <c r="CF18" i="116"/>
  <c r="EE18" i="116" s="1"/>
  <c r="CF25" i="114"/>
  <c r="EE25" i="114" s="1"/>
  <c r="GD25" i="114" s="1"/>
  <c r="CD25" i="114"/>
  <c r="EC25" i="114" s="1"/>
  <c r="GB25" i="114" s="1"/>
  <c r="EC30" i="114"/>
  <c r="GB30" i="114" s="1"/>
  <c r="GH28" i="114"/>
  <c r="CA45" i="114"/>
  <c r="Q32" i="118"/>
  <c r="CD45" i="114"/>
  <c r="CY45" i="114"/>
  <c r="DH45" i="114" s="1"/>
  <c r="BL251" i="113"/>
  <c r="CD24" i="114"/>
  <c r="EC24" i="114" s="1"/>
  <c r="GB24" i="114" s="1"/>
  <c r="CD26" i="114"/>
  <c r="EC26" i="114" s="1"/>
  <c r="GB26" i="114" s="1"/>
  <c r="GB29" i="114"/>
  <c r="EI24" i="114"/>
  <c r="GH24" i="114" s="1"/>
  <c r="EI26" i="114"/>
  <c r="GH26" i="114" s="1"/>
  <c r="GG27" i="114"/>
  <c r="CJ30" i="114"/>
  <c r="BS24" i="114"/>
  <c r="BS26" i="114"/>
  <c r="BS30" i="114"/>
  <c r="DZ25" i="114"/>
  <c r="FI31" i="114"/>
  <c r="FI75" i="114" s="1"/>
  <c r="FI76" i="114" s="1"/>
  <c r="W21" i="116"/>
  <c r="CD18" i="116"/>
  <c r="EC18" i="116" s="1"/>
  <c r="GB18" i="116" s="1"/>
  <c r="CD20" i="116"/>
  <c r="EC20" i="116" s="1"/>
  <c r="GB20" i="116" s="1"/>
  <c r="GB26" i="116" s="1"/>
  <c r="CG17" i="116"/>
  <c r="CG18" i="116"/>
  <c r="CM18" i="116" s="1"/>
  <c r="CG19" i="116"/>
  <c r="EF19" i="116" s="1"/>
  <c r="CG20" i="116"/>
  <c r="EF20" i="116" s="1"/>
  <c r="CJ18" i="116"/>
  <c r="EI18" i="116" s="1"/>
  <c r="GH18" i="116" s="1"/>
  <c r="CJ20" i="116"/>
  <c r="EI20" i="116" s="1"/>
  <c r="GH20" i="116" s="1"/>
  <c r="BA21" i="116"/>
  <c r="BE27" i="113"/>
  <c r="BE69" i="113"/>
  <c r="BD69" i="113" s="1"/>
  <c r="BJ69" i="113" s="1"/>
  <c r="AP28" i="113"/>
  <c r="BE28" i="113" s="1"/>
  <c r="AM28" i="113"/>
  <c r="EX45" i="114"/>
  <c r="FG45" i="114" s="1"/>
  <c r="BL50" i="113"/>
  <c r="BF190" i="113"/>
  <c r="BL190" i="113" s="1"/>
  <c r="AM27" i="113"/>
  <c r="EI30" i="114"/>
  <c r="GH30" i="114" s="1"/>
  <c r="AH21" i="116"/>
  <c r="CG21" i="116" s="1"/>
  <c r="G63" i="116"/>
  <c r="W63" i="116"/>
  <c r="X64" i="116"/>
  <c r="AA63" i="116"/>
  <c r="BU21" i="116"/>
  <c r="AT63" i="116"/>
  <c r="BA63" i="116"/>
  <c r="BB64" i="116"/>
  <c r="BF63" i="116"/>
  <c r="BF64" i="116" s="1"/>
  <c r="BF65" i="116" s="1"/>
  <c r="BO63" i="116"/>
  <c r="BO64" i="116" s="1"/>
  <c r="BO65" i="116" s="1"/>
  <c r="DT21" i="116"/>
  <c r="CS63" i="116"/>
  <c r="DW21" i="116"/>
  <c r="CV63" i="116"/>
  <c r="DE63" i="116"/>
  <c r="DE64" i="116" s="1"/>
  <c r="DE65" i="116" s="1"/>
  <c r="DN63" i="116"/>
  <c r="DN64" i="116" s="1"/>
  <c r="DN65" i="116" s="1"/>
  <c r="FR21" i="116"/>
  <c r="EQ63" i="116"/>
  <c r="ET63" i="116"/>
  <c r="FD63" i="116"/>
  <c r="FD64" i="116" s="1"/>
  <c r="FD65" i="116" s="1"/>
  <c r="FM63" i="116"/>
  <c r="FM64" i="116" s="1"/>
  <c r="FM65" i="116" s="1"/>
  <c r="CA17" i="116"/>
  <c r="CA18" i="116"/>
  <c r="CA20" i="116"/>
  <c r="DZ17" i="116"/>
  <c r="DZ18" i="116"/>
  <c r="DZ20" i="116"/>
  <c r="FY17" i="116"/>
  <c r="FY18" i="116"/>
  <c r="FY20" i="116"/>
  <c r="N63" i="116"/>
  <c r="O64" i="116"/>
  <c r="BT21" i="116"/>
  <c r="AS63" i="116"/>
  <c r="BJ63" i="116"/>
  <c r="BK64" i="116"/>
  <c r="BN63" i="116"/>
  <c r="DS21" i="116"/>
  <c r="CR63" i="116"/>
  <c r="CZ63" i="116"/>
  <c r="DA64" i="116"/>
  <c r="DD63" i="116"/>
  <c r="DI63" i="116"/>
  <c r="DJ64" i="116"/>
  <c r="DM63" i="116"/>
  <c r="FS21" i="116"/>
  <c r="ER63" i="116"/>
  <c r="EU63" i="116"/>
  <c r="EY63" i="116"/>
  <c r="EZ64" i="116"/>
  <c r="FH63" i="116"/>
  <c r="FI64" i="116"/>
  <c r="FL63" i="116"/>
  <c r="BZ19" i="116"/>
  <c r="DY19" i="116"/>
  <c r="FX19" i="116"/>
  <c r="E21" i="116"/>
  <c r="F63" i="116"/>
  <c r="AG63" i="116" s="1"/>
  <c r="BZ27" i="114"/>
  <c r="EY75" i="114"/>
  <c r="EZ76" i="114"/>
  <c r="W31" i="114"/>
  <c r="X75" i="114"/>
  <c r="AH31" i="114"/>
  <c r="G75" i="114"/>
  <c r="AS75" i="114"/>
  <c r="BK76" i="114"/>
  <c r="CR76" i="114"/>
  <c r="EP75" i="114"/>
  <c r="EQ76" i="114"/>
  <c r="AN26" i="114"/>
  <c r="BA28" i="114"/>
  <c r="BS29" i="114"/>
  <c r="CA24" i="114"/>
  <c r="CA25" i="114"/>
  <c r="CA26" i="114"/>
  <c r="CF30" i="114"/>
  <c r="EE30" i="114" s="1"/>
  <c r="GD30" i="114" s="1"/>
  <c r="BU31" i="114"/>
  <c r="DV25" i="114"/>
  <c r="DS28" i="114"/>
  <c r="DZ24" i="114"/>
  <c r="DZ26" i="114"/>
  <c r="FU28" i="114"/>
  <c r="EY28" i="114"/>
  <c r="FY28" i="114"/>
  <c r="FY30" i="114"/>
  <c r="FY24" i="114"/>
  <c r="N31" i="114"/>
  <c r="O75" i="114"/>
  <c r="AT76" i="114"/>
  <c r="DT31" i="114"/>
  <c r="CS75" i="114"/>
  <c r="CQ75" i="114" s="1"/>
  <c r="CZ75" i="114"/>
  <c r="DA76" i="114"/>
  <c r="FS75" i="114"/>
  <c r="ER76" i="114"/>
  <c r="BS25" i="114"/>
  <c r="BS27" i="114"/>
  <c r="CF24" i="114"/>
  <c r="EE24" i="114" s="1"/>
  <c r="CF26" i="114"/>
  <c r="EE26" i="114" s="1"/>
  <c r="GD26" i="114" s="1"/>
  <c r="CA28" i="114"/>
  <c r="CA29" i="114"/>
  <c r="CA30" i="114"/>
  <c r="BX27" i="114"/>
  <c r="CJ27" i="114" s="1"/>
  <c r="DY27" i="114"/>
  <c r="DZ28" i="114"/>
  <c r="DZ30" i="114"/>
  <c r="FY26" i="114"/>
  <c r="FV27" i="114"/>
  <c r="EF25" i="114"/>
  <c r="CI26" i="114"/>
  <c r="EE27" i="114"/>
  <c r="EK27" i="114" s="1"/>
  <c r="CL27" i="114"/>
  <c r="EF28" i="114"/>
  <c r="CM28" i="114"/>
  <c r="CM29" i="114"/>
  <c r="EF29" i="114"/>
  <c r="EF30" i="114"/>
  <c r="CM30" i="114"/>
  <c r="DV28" i="114"/>
  <c r="CI25" i="114"/>
  <c r="EF24" i="114"/>
  <c r="J31" i="114"/>
  <c r="AJ29" i="114"/>
  <c r="CI29" i="114" s="1"/>
  <c r="EH29" i="114" s="1"/>
  <c r="AN24" i="114"/>
  <c r="AN28" i="114"/>
  <c r="AN30" i="114"/>
  <c r="I34" i="114"/>
  <c r="AJ24" i="114"/>
  <c r="AN25" i="114"/>
  <c r="AM27" i="114"/>
  <c r="AN29" i="114"/>
  <c r="BW28" i="114"/>
  <c r="BJ28" i="114"/>
  <c r="CG26" i="114"/>
  <c r="DI28" i="114"/>
  <c r="DJ31" i="114"/>
  <c r="FR28" i="114"/>
  <c r="FU29" i="114"/>
  <c r="GD24" i="114"/>
  <c r="BT28" i="114"/>
  <c r="GA27" i="114"/>
  <c r="FY29" i="114"/>
  <c r="FV31" i="114"/>
  <c r="FY25" i="114"/>
  <c r="EE17" i="116"/>
  <c r="EE19" i="116"/>
  <c r="CL19" i="116"/>
  <c r="EE20" i="116"/>
  <c r="CI18" i="116"/>
  <c r="CI20" i="116"/>
  <c r="EF17" i="116"/>
  <c r="CM17" i="116"/>
  <c r="EF18" i="116"/>
  <c r="CM20" i="116"/>
  <c r="J21" i="116"/>
  <c r="I24" i="116"/>
  <c r="J25" i="116"/>
  <c r="I26" i="116"/>
  <c r="AG21" i="116"/>
  <c r="AN17" i="116"/>
  <c r="AN18" i="116"/>
  <c r="AN20" i="116"/>
  <c r="AW63" i="116"/>
  <c r="BX19" i="116"/>
  <c r="CU63" i="116"/>
  <c r="FU21" i="116"/>
  <c r="AM19" i="116"/>
  <c r="AV63" i="116"/>
  <c r="FV21" i="116"/>
  <c r="BO48" i="113"/>
  <c r="AF27" i="113"/>
  <c r="AN27" i="113"/>
  <c r="BK69" i="113"/>
  <c r="BD52" i="113"/>
  <c r="BJ52" i="113" s="1"/>
  <c r="BK52" i="113"/>
  <c r="BL49" i="113"/>
  <c r="BN27" i="113"/>
  <c r="AQ27" i="113"/>
  <c r="FH21" i="116"/>
  <c r="EY21" i="116"/>
  <c r="EP21" i="116"/>
  <c r="DI21" i="116"/>
  <c r="CQ21" i="116"/>
  <c r="AR21" i="116"/>
  <c r="N21" i="116"/>
  <c r="FR31" i="114"/>
  <c r="FX27" i="114"/>
  <c r="FS31" i="114"/>
  <c r="FH31" i="114"/>
  <c r="EY31" i="114"/>
  <c r="EP31" i="114"/>
  <c r="EP28" i="114"/>
  <c r="CZ31" i="114"/>
  <c r="CZ28" i="114"/>
  <c r="CQ31" i="114"/>
  <c r="CQ28" i="114"/>
  <c r="BJ31" i="114"/>
  <c r="AR31" i="114"/>
  <c r="AR28" i="114"/>
  <c r="W28" i="114"/>
  <c r="N28" i="114"/>
  <c r="FH75" i="114" l="1"/>
  <c r="BS28" i="114"/>
  <c r="BA75" i="114"/>
  <c r="BB76" i="114"/>
  <c r="BA76" i="114" s="1"/>
  <c r="BT31" i="114"/>
  <c r="FR75" i="114"/>
  <c r="CM25" i="114"/>
  <c r="BK28" i="113"/>
  <c r="AO27" i="113"/>
  <c r="AL27" i="113"/>
  <c r="CM24" i="114"/>
  <c r="FP45" i="114"/>
  <c r="BN28" i="113"/>
  <c r="BK27" i="113"/>
  <c r="DQ45" i="114"/>
  <c r="EC45" i="114" s="1"/>
  <c r="T32" i="118"/>
  <c r="CM45" i="114"/>
  <c r="G76" i="114"/>
  <c r="AH76" i="114" s="1"/>
  <c r="AH75" i="114"/>
  <c r="BE63" i="116"/>
  <c r="BW63" i="116" s="1"/>
  <c r="CT63" i="116"/>
  <c r="DV63" i="116"/>
  <c r="CU64" i="116"/>
  <c r="BX63" i="116"/>
  <c r="AW64" i="116"/>
  <c r="AU63" i="116"/>
  <c r="AV64" i="116"/>
  <c r="FC63" i="116"/>
  <c r="FU63" i="116" s="1"/>
  <c r="AB63" i="116"/>
  <c r="AB64" i="116" s="1"/>
  <c r="AB65" i="116" s="1"/>
  <c r="FK63" i="116"/>
  <c r="FL64" i="116"/>
  <c r="FH64" i="116"/>
  <c r="EY64" i="116"/>
  <c r="FV63" i="116"/>
  <c r="EU64" i="116"/>
  <c r="FS63" i="116"/>
  <c r="ER64" i="116"/>
  <c r="DL63" i="116"/>
  <c r="DM64" i="116"/>
  <c r="DI64" i="116"/>
  <c r="DC63" i="116"/>
  <c r="DD64" i="116"/>
  <c r="CZ64" i="116"/>
  <c r="CQ63" i="116"/>
  <c r="DR63" i="116" s="1"/>
  <c r="DS63" i="116"/>
  <c r="CR64" i="116"/>
  <c r="BM63" i="116"/>
  <c r="BN64" i="116"/>
  <c r="BJ64" i="116"/>
  <c r="AR63" i="116"/>
  <c r="BS63" i="116" s="1"/>
  <c r="BT63" i="116"/>
  <c r="AS64" i="116"/>
  <c r="Q63" i="116"/>
  <c r="N64" i="116"/>
  <c r="ES63" i="116"/>
  <c r="ET64" i="116"/>
  <c r="EP63" i="116"/>
  <c r="FQ63" i="116" s="1"/>
  <c r="FR63" i="116"/>
  <c r="EQ64" i="116"/>
  <c r="FR64" i="116" s="1"/>
  <c r="DW63" i="116"/>
  <c r="CV64" i="116"/>
  <c r="DT63" i="116"/>
  <c r="CS64" i="116"/>
  <c r="BA64" i="116"/>
  <c r="BU63" i="116"/>
  <c r="AT64" i="116"/>
  <c r="Z63" i="116"/>
  <c r="AA64" i="116"/>
  <c r="W64" i="116"/>
  <c r="AH63" i="116"/>
  <c r="G64" i="116"/>
  <c r="E63" i="116"/>
  <c r="AF63" i="116" s="1"/>
  <c r="F64" i="116"/>
  <c r="AG64" i="116" s="1"/>
  <c r="FQ75" i="114"/>
  <c r="DS31" i="114"/>
  <c r="DJ75" i="114"/>
  <c r="FU75" i="114"/>
  <c r="FV75" i="114"/>
  <c r="BX31" i="114"/>
  <c r="BS31" i="114"/>
  <c r="GD27" i="114"/>
  <c r="GJ27" i="114" s="1"/>
  <c r="CG31" i="114"/>
  <c r="EF31" i="114" s="1"/>
  <c r="GE31" i="114" s="1"/>
  <c r="Z75" i="114"/>
  <c r="DW75" i="114"/>
  <c r="FS76" i="114"/>
  <c r="CZ76" i="114"/>
  <c r="DT75" i="114"/>
  <c r="CS76" i="114"/>
  <c r="CQ76" i="114" s="1"/>
  <c r="Z76" i="114"/>
  <c r="O76" i="114"/>
  <c r="N75" i="114"/>
  <c r="FH76" i="114"/>
  <c r="FR76" i="114"/>
  <c r="EP76" i="114"/>
  <c r="BT75" i="114"/>
  <c r="AR75" i="114"/>
  <c r="AS76" i="114"/>
  <c r="W75" i="114"/>
  <c r="X76" i="114"/>
  <c r="EY76" i="114"/>
  <c r="DW31" i="114"/>
  <c r="AK31" i="114"/>
  <c r="GE29" i="114"/>
  <c r="GK29" i="114" s="1"/>
  <c r="EL29" i="114"/>
  <c r="GE25" i="114"/>
  <c r="GK25" i="114" s="1"/>
  <c r="EL25" i="114"/>
  <c r="FU31" i="114"/>
  <c r="EF26" i="114"/>
  <c r="CM26" i="114"/>
  <c r="CI24" i="114"/>
  <c r="GE24" i="114"/>
  <c r="GK24" i="114" s="1"/>
  <c r="EL24" i="114"/>
  <c r="EI27" i="114"/>
  <c r="EL30" i="114"/>
  <c r="GE30" i="114"/>
  <c r="GK30" i="114" s="1"/>
  <c r="EL28" i="114"/>
  <c r="GE28" i="114"/>
  <c r="GK28" i="114" s="1"/>
  <c r="DI31" i="114"/>
  <c r="GG29" i="114"/>
  <c r="BW31" i="114"/>
  <c r="EH25" i="114"/>
  <c r="BW21" i="116"/>
  <c r="DV21" i="116"/>
  <c r="BX21" i="116"/>
  <c r="CF21" i="116"/>
  <c r="GE20" i="116"/>
  <c r="GK20" i="116" s="1"/>
  <c r="EL20" i="116"/>
  <c r="GE19" i="116"/>
  <c r="GE18" i="116"/>
  <c r="GK18" i="116" s="1"/>
  <c r="EL18" i="116"/>
  <c r="GE17" i="116"/>
  <c r="GK17" i="116" s="1"/>
  <c r="EL17" i="116"/>
  <c r="EH20" i="116"/>
  <c r="EH18" i="116"/>
  <c r="EF21" i="116"/>
  <c r="AK21" i="116"/>
  <c r="J22" i="116"/>
  <c r="GD20" i="116"/>
  <c r="EK19" i="116"/>
  <c r="GD19" i="116"/>
  <c r="GJ19" i="116" s="1"/>
  <c r="GD18" i="116"/>
  <c r="GD17" i="116"/>
  <c r="CJ19" i="116"/>
  <c r="BF27" i="113"/>
  <c r="BO27" i="113"/>
  <c r="GB45" i="114" l="1"/>
  <c r="Z32" i="118"/>
  <c r="EL45" i="114"/>
  <c r="FY45" i="114"/>
  <c r="AC32" i="118"/>
  <c r="DZ45" i="114"/>
  <c r="W32" i="118"/>
  <c r="CJ21" i="116"/>
  <c r="EI21" i="116" s="1"/>
  <c r="GH21" i="116" s="1"/>
  <c r="FT75" i="114"/>
  <c r="AH64" i="116"/>
  <c r="AA65" i="116"/>
  <c r="Z64" i="116"/>
  <c r="BU64" i="116"/>
  <c r="DT64" i="116"/>
  <c r="CT64" i="116"/>
  <c r="CV65" i="116"/>
  <c r="DW64" i="116"/>
  <c r="DW65" i="116" s="1"/>
  <c r="EP64" i="116"/>
  <c r="CF63" i="116"/>
  <c r="BM64" i="116"/>
  <c r="BN65" i="116"/>
  <c r="CQ64" i="116"/>
  <c r="DR64" i="116" s="1"/>
  <c r="DS64" i="116"/>
  <c r="FK64" i="116"/>
  <c r="FL65" i="116"/>
  <c r="FB63" i="116"/>
  <c r="FT63" i="116" s="1"/>
  <c r="FC64" i="116"/>
  <c r="FU64" i="116" s="1"/>
  <c r="FU65" i="116" s="1"/>
  <c r="AU64" i="116"/>
  <c r="AV65" i="116"/>
  <c r="AW65" i="116"/>
  <c r="BX64" i="116"/>
  <c r="BX65" i="116" s="1"/>
  <c r="CU65" i="116"/>
  <c r="DV64" i="116"/>
  <c r="DV65" i="116" s="1"/>
  <c r="DU63" i="116"/>
  <c r="CE63" i="116"/>
  <c r="CG63" i="116"/>
  <c r="ET65" i="116"/>
  <c r="ES64" i="116"/>
  <c r="Q64" i="116"/>
  <c r="BT64" i="116"/>
  <c r="AR64" i="116"/>
  <c r="DD65" i="116"/>
  <c r="DC64" i="116"/>
  <c r="DL64" i="116"/>
  <c r="DM65" i="116"/>
  <c r="FS64" i="116"/>
  <c r="FV64" i="116"/>
  <c r="FV65" i="116" s="1"/>
  <c r="EU65" i="116"/>
  <c r="BD63" i="116"/>
  <c r="BV63" i="116" s="1"/>
  <c r="BE64" i="116"/>
  <c r="BW64" i="116" s="1"/>
  <c r="BW65" i="116" s="1"/>
  <c r="E64" i="116"/>
  <c r="AF64" i="116" s="1"/>
  <c r="W76" i="114"/>
  <c r="BT76" i="114"/>
  <c r="AR76" i="114"/>
  <c r="FQ76" i="114"/>
  <c r="DT76" i="114"/>
  <c r="BX75" i="114"/>
  <c r="FV76" i="114"/>
  <c r="FU76" i="114"/>
  <c r="N76" i="114"/>
  <c r="BW75" i="114"/>
  <c r="DW76" i="114"/>
  <c r="DI75" i="114"/>
  <c r="DR75" i="114" s="1"/>
  <c r="DJ76" i="114"/>
  <c r="DS75" i="114"/>
  <c r="GG25" i="114"/>
  <c r="EH24" i="114"/>
  <c r="GE26" i="114"/>
  <c r="GK26" i="114" s="1"/>
  <c r="EL26" i="114"/>
  <c r="GH27" i="114"/>
  <c r="CJ31" i="114"/>
  <c r="BV31" i="114"/>
  <c r="EI19" i="116"/>
  <c r="GG18" i="116"/>
  <c r="GG20" i="116"/>
  <c r="GE21" i="116"/>
  <c r="EE21" i="116"/>
  <c r="BM27" i="113"/>
  <c r="BD27" i="113"/>
  <c r="BL27" i="113"/>
  <c r="BJ27" i="113" l="1"/>
  <c r="AF32" i="118"/>
  <c r="GK45" i="114"/>
  <c r="DU64" i="116"/>
  <c r="BD64" i="116"/>
  <c r="BE65" i="116"/>
  <c r="EF63" i="116"/>
  <c r="ED63" i="116"/>
  <c r="FC65" i="116"/>
  <c r="FB64" i="116"/>
  <c r="FT64" i="116" s="1"/>
  <c r="EE63" i="116"/>
  <c r="FQ64" i="116"/>
  <c r="BS64" i="116"/>
  <c r="BV64" i="116"/>
  <c r="BV70" i="116" s="1"/>
  <c r="CG64" i="116"/>
  <c r="BV75" i="114"/>
  <c r="FT76" i="114"/>
  <c r="DI76" i="114"/>
  <c r="DS76" i="114"/>
  <c r="BW76" i="114"/>
  <c r="BX76" i="114"/>
  <c r="EI31" i="114"/>
  <c r="GG24" i="114"/>
  <c r="GD21" i="116"/>
  <c r="GH19" i="116"/>
  <c r="EF64" i="116" l="1"/>
  <c r="GD63" i="116"/>
  <c r="GC63" i="116"/>
  <c r="GE63" i="116"/>
  <c r="BV76" i="114"/>
  <c r="DR76" i="114"/>
  <c r="GH31" i="114"/>
  <c r="E30" i="114"/>
  <c r="AF30" i="114" s="1"/>
  <c r="E29" i="114"/>
  <c r="AF29" i="114" s="1"/>
  <c r="E26" i="114"/>
  <c r="AF26" i="114" s="1"/>
  <c r="E24" i="114"/>
  <c r="AF24" i="114" s="1"/>
  <c r="FV12" i="116"/>
  <c r="FV26" i="116" s="1"/>
  <c r="FU12" i="116"/>
  <c r="FU26" i="116" s="1"/>
  <c r="FT12" i="116"/>
  <c r="FV11" i="116"/>
  <c r="FV25" i="116" s="1"/>
  <c r="FU11" i="116"/>
  <c r="FT11" i="116"/>
  <c r="FV10" i="116"/>
  <c r="FU10" i="116"/>
  <c r="FT10" i="116"/>
  <c r="FV9" i="116"/>
  <c r="FV22" i="116" s="1"/>
  <c r="FU9" i="116"/>
  <c r="FU22" i="116" s="1"/>
  <c r="FV8" i="116"/>
  <c r="FU8" i="116"/>
  <c r="FT8" i="116"/>
  <c r="DW12" i="116"/>
  <c r="DV12" i="116"/>
  <c r="DV26" i="116" s="1"/>
  <c r="DU12" i="116"/>
  <c r="DW11" i="116"/>
  <c r="DW25" i="116" s="1"/>
  <c r="DV11" i="116"/>
  <c r="DU11" i="116"/>
  <c r="DW10" i="116"/>
  <c r="DV10" i="116"/>
  <c r="DU10" i="116"/>
  <c r="DW9" i="116"/>
  <c r="DW22" i="116" s="1"/>
  <c r="DV9" i="116"/>
  <c r="DV22" i="116" s="1"/>
  <c r="DW8" i="116"/>
  <c r="DV8" i="116"/>
  <c r="DU8" i="116"/>
  <c r="BX12" i="116"/>
  <c r="BW12" i="116"/>
  <c r="BW26" i="116" s="1"/>
  <c r="BV12" i="116"/>
  <c r="BX11" i="116"/>
  <c r="BW11" i="116"/>
  <c r="BV11" i="116"/>
  <c r="BX10" i="116"/>
  <c r="BW10" i="116"/>
  <c r="BV10" i="116"/>
  <c r="BX9" i="116"/>
  <c r="BX22" i="116" s="1"/>
  <c r="BW9" i="116"/>
  <c r="BW22" i="116" s="1"/>
  <c r="BX8" i="116"/>
  <c r="BW8" i="116"/>
  <c r="BV8" i="116"/>
  <c r="AK12" i="116"/>
  <c r="AJ12" i="116"/>
  <c r="AJ26" i="116" s="1"/>
  <c r="AI12" i="116"/>
  <c r="AK11" i="116"/>
  <c r="AK25" i="116" s="1"/>
  <c r="AJ11" i="116"/>
  <c r="AI11" i="116"/>
  <c r="AK10" i="116"/>
  <c r="AJ10" i="116"/>
  <c r="AI10" i="116"/>
  <c r="AK9" i="116"/>
  <c r="AK22" i="116" s="1"/>
  <c r="AJ9" i="116"/>
  <c r="AK8" i="116"/>
  <c r="AJ8" i="116"/>
  <c r="AI8" i="116"/>
  <c r="FJ12" i="116"/>
  <c r="FI12" i="116"/>
  <c r="FI26" i="116" s="1"/>
  <c r="FJ11" i="116"/>
  <c r="FJ25" i="116" s="1"/>
  <c r="FI11" i="116"/>
  <c r="FJ10" i="116"/>
  <c r="FI10" i="116"/>
  <c r="FJ9" i="116"/>
  <c r="FI9" i="116"/>
  <c r="C50" i="117" s="1"/>
  <c r="F50" i="117" s="1"/>
  <c r="FJ8" i="116"/>
  <c r="FI8" i="116"/>
  <c r="FA12" i="116"/>
  <c r="EZ12" i="116"/>
  <c r="FA11" i="116"/>
  <c r="FA25" i="116" s="1"/>
  <c r="EZ11" i="116"/>
  <c r="FA10" i="116"/>
  <c r="EZ10" i="116"/>
  <c r="FA9" i="116"/>
  <c r="C66" i="117" s="1"/>
  <c r="F66" i="117" s="1"/>
  <c r="EZ9" i="116"/>
  <c r="C49" i="117" s="1"/>
  <c r="F49" i="117" s="1"/>
  <c r="FA8" i="116"/>
  <c r="EZ8" i="116"/>
  <c r="ER12" i="116"/>
  <c r="EQ12" i="116"/>
  <c r="EQ26" i="116" s="1"/>
  <c r="ER11" i="116"/>
  <c r="EQ11" i="116"/>
  <c r="FR11" i="116" s="1"/>
  <c r="ER10" i="116"/>
  <c r="EQ10" i="116"/>
  <c r="ER9" i="116"/>
  <c r="EQ9" i="116"/>
  <c r="ER8" i="116"/>
  <c r="EQ8" i="116"/>
  <c r="FR8" i="116" s="1"/>
  <c r="DK12" i="116"/>
  <c r="DJ12" i="116"/>
  <c r="DK11" i="116"/>
  <c r="DK25" i="116" s="1"/>
  <c r="DJ11" i="116"/>
  <c r="DK10" i="116"/>
  <c r="DJ10" i="116"/>
  <c r="DK9" i="116"/>
  <c r="C64" i="117" s="1"/>
  <c r="F64" i="117" s="1"/>
  <c r="DJ9" i="116"/>
  <c r="C47" i="117" s="1"/>
  <c r="F47" i="117" s="1"/>
  <c r="DK8" i="116"/>
  <c r="DJ8" i="116"/>
  <c r="DB12" i="116"/>
  <c r="DA12" i="116"/>
  <c r="DA26" i="116" s="1"/>
  <c r="DB11" i="116"/>
  <c r="DB25" i="116" s="1"/>
  <c r="DA11" i="116"/>
  <c r="DB10" i="116"/>
  <c r="DA10" i="116"/>
  <c r="DB9" i="116"/>
  <c r="DA9" i="116"/>
  <c r="C46" i="117" s="1"/>
  <c r="F46" i="117" s="1"/>
  <c r="DB8" i="116"/>
  <c r="DA8" i="116"/>
  <c r="CS12" i="116"/>
  <c r="CR12" i="116"/>
  <c r="CS11" i="116"/>
  <c r="CR11" i="116"/>
  <c r="CS10" i="116"/>
  <c r="CR10" i="116"/>
  <c r="CS9" i="116"/>
  <c r="CR9" i="116"/>
  <c r="CS8" i="116"/>
  <c r="CR8" i="116"/>
  <c r="BL12" i="116"/>
  <c r="BK12" i="116"/>
  <c r="BL11" i="116"/>
  <c r="BL25" i="116" s="1"/>
  <c r="BK11" i="116"/>
  <c r="BL10" i="116"/>
  <c r="BK10" i="116"/>
  <c r="BL9" i="116"/>
  <c r="C61" i="117" s="1"/>
  <c r="F61" i="117" s="1"/>
  <c r="BK9" i="116"/>
  <c r="BL8" i="116"/>
  <c r="BK8" i="116"/>
  <c r="BC12" i="116"/>
  <c r="BB12" i="116"/>
  <c r="BC11" i="116"/>
  <c r="BC25" i="116" s="1"/>
  <c r="BB11" i="116"/>
  <c r="BC10" i="116"/>
  <c r="BB10" i="116"/>
  <c r="BC9" i="116"/>
  <c r="C60" i="117" s="1"/>
  <c r="F60" i="117" s="1"/>
  <c r="BB9" i="116"/>
  <c r="BC8" i="116"/>
  <c r="BB8" i="116"/>
  <c r="AT12" i="116"/>
  <c r="BU12" i="116" s="1"/>
  <c r="AS12" i="116"/>
  <c r="AT11" i="116"/>
  <c r="AS11" i="116"/>
  <c r="BT11" i="116" s="1"/>
  <c r="AT10" i="116"/>
  <c r="BU10" i="116" s="1"/>
  <c r="AS10" i="116"/>
  <c r="AT9" i="116"/>
  <c r="AS9" i="116"/>
  <c r="AT8" i="116"/>
  <c r="AS8" i="116"/>
  <c r="Y12" i="116"/>
  <c r="X12" i="116"/>
  <c r="Y11" i="116"/>
  <c r="Y25" i="116" s="1"/>
  <c r="X11" i="116"/>
  <c r="Y10" i="116"/>
  <c r="X10" i="116"/>
  <c r="Y9" i="116"/>
  <c r="C58" i="117" s="1"/>
  <c r="F58" i="117" s="1"/>
  <c r="X9" i="116"/>
  <c r="C41" i="117" s="1"/>
  <c r="F41" i="117" s="1"/>
  <c r="Y8" i="116"/>
  <c r="X8" i="116"/>
  <c r="P12" i="116"/>
  <c r="O12" i="116"/>
  <c r="O26" i="116" s="1"/>
  <c r="P11" i="116"/>
  <c r="O11" i="116"/>
  <c r="P10" i="116"/>
  <c r="O10" i="116"/>
  <c r="P9" i="116"/>
  <c r="O9" i="116"/>
  <c r="C40" i="117" s="1"/>
  <c r="F40" i="117" s="1"/>
  <c r="P8" i="116"/>
  <c r="O8" i="116"/>
  <c r="G12" i="116"/>
  <c r="F12" i="116"/>
  <c r="F26" i="116" s="1"/>
  <c r="G11" i="116"/>
  <c r="F11" i="116"/>
  <c r="G10" i="116"/>
  <c r="F10" i="116"/>
  <c r="G9" i="116"/>
  <c r="F9" i="116"/>
  <c r="G8" i="116"/>
  <c r="F8" i="116"/>
  <c r="FG12" i="116"/>
  <c r="FF11" i="116"/>
  <c r="FG10" i="116"/>
  <c r="EX12" i="116"/>
  <c r="EW11" i="116"/>
  <c r="EX10" i="116"/>
  <c r="EO12" i="116"/>
  <c r="EN11" i="116"/>
  <c r="FO11" i="116" s="1"/>
  <c r="AC17" i="119" s="1"/>
  <c r="EO10" i="116"/>
  <c r="DH12" i="116"/>
  <c r="DG11" i="116"/>
  <c r="DH10" i="116"/>
  <c r="CY12" i="116"/>
  <c r="CX11" i="116"/>
  <c r="CY10" i="116"/>
  <c r="CP12" i="116"/>
  <c r="CO11" i="116"/>
  <c r="DP11" i="116" s="1"/>
  <c r="W17" i="119" s="1"/>
  <c r="CP10" i="116"/>
  <c r="BI12" i="116"/>
  <c r="BH11" i="116"/>
  <c r="BI10" i="116"/>
  <c r="AZ12" i="116"/>
  <c r="AY11" i="116"/>
  <c r="AZ10" i="116"/>
  <c r="AQ12" i="116"/>
  <c r="AP11" i="116"/>
  <c r="AQ10" i="116"/>
  <c r="V12" i="116"/>
  <c r="U11" i="116"/>
  <c r="V10" i="116"/>
  <c r="M12" i="116"/>
  <c r="L11" i="116"/>
  <c r="M10" i="116"/>
  <c r="D12" i="116"/>
  <c r="D10" i="116"/>
  <c r="CA12" i="115"/>
  <c r="CA142" i="115" s="1"/>
  <c r="BZ12" i="115"/>
  <c r="BV12" i="115"/>
  <c r="BV142" i="115" s="1"/>
  <c r="BS12" i="115"/>
  <c r="BS142" i="115" s="1"/>
  <c r="BP12" i="115"/>
  <c r="BP142" i="115" s="1"/>
  <c r="BO12" i="115"/>
  <c r="BO142" i="115" s="1"/>
  <c r="BC12" i="115"/>
  <c r="BC142" i="115" s="1"/>
  <c r="BB12" i="115"/>
  <c r="BB142" i="115" s="1"/>
  <c r="AX12" i="115"/>
  <c r="AX142" i="115" s="1"/>
  <c r="AU12" i="115"/>
  <c r="AU142" i="115" s="1"/>
  <c r="AR12" i="115"/>
  <c r="AR142" i="115" s="1"/>
  <c r="AQ12" i="115"/>
  <c r="AQ142" i="115" s="1"/>
  <c r="AE12" i="115"/>
  <c r="AE142" i="115" s="1"/>
  <c r="AD12" i="115"/>
  <c r="AD142" i="115" s="1"/>
  <c r="Z12" i="115"/>
  <c r="Z142" i="115" s="1"/>
  <c r="W12" i="115"/>
  <c r="W142" i="115" s="1"/>
  <c r="T12" i="115"/>
  <c r="T142" i="115" s="1"/>
  <c r="S12" i="115"/>
  <c r="S142" i="115" s="1"/>
  <c r="P12" i="115"/>
  <c r="O12" i="115"/>
  <c r="K12" i="115"/>
  <c r="H12" i="115"/>
  <c r="H142" i="115" s="1"/>
  <c r="E12" i="115"/>
  <c r="D12" i="115"/>
  <c r="CA11" i="115"/>
  <c r="CA141" i="115" s="1"/>
  <c r="BZ11" i="115"/>
  <c r="BZ141" i="115" s="1"/>
  <c r="BV11" i="115"/>
  <c r="BV141" i="115" s="1"/>
  <c r="BS11" i="115"/>
  <c r="BS141" i="115" s="1"/>
  <c r="BP11" i="115"/>
  <c r="BP141" i="115" s="1"/>
  <c r="BN11" i="115"/>
  <c r="BN141" i="115" s="1"/>
  <c r="BC11" i="115"/>
  <c r="BC141" i="115" s="1"/>
  <c r="BB11" i="115"/>
  <c r="BB141" i="115" s="1"/>
  <c r="AX11" i="115"/>
  <c r="AX141" i="115" s="1"/>
  <c r="AU11" i="115"/>
  <c r="AU141" i="115" s="1"/>
  <c r="AR11" i="115"/>
  <c r="AR141" i="115" s="1"/>
  <c r="AP11" i="115"/>
  <c r="AP141" i="115" s="1"/>
  <c r="AE11" i="115"/>
  <c r="AE141" i="115" s="1"/>
  <c r="AD11" i="115"/>
  <c r="AD141" i="115" s="1"/>
  <c r="Z11" i="115"/>
  <c r="Z141" i="115" s="1"/>
  <c r="W11" i="115"/>
  <c r="W141" i="115" s="1"/>
  <c r="T11" i="115"/>
  <c r="T141" i="115" s="1"/>
  <c r="R11" i="115"/>
  <c r="R141" i="115" s="1"/>
  <c r="P11" i="115"/>
  <c r="O11" i="115"/>
  <c r="O141" i="115" s="1"/>
  <c r="K11" i="115"/>
  <c r="H11" i="115"/>
  <c r="H141" i="115" s="1"/>
  <c r="E11" i="115"/>
  <c r="C11" i="115"/>
  <c r="C141" i="115" s="1"/>
  <c r="CA10" i="115"/>
  <c r="CA140" i="115" s="1"/>
  <c r="BZ10" i="115"/>
  <c r="BZ140" i="115" s="1"/>
  <c r="BV10" i="115"/>
  <c r="BV140" i="115" s="1"/>
  <c r="BS10" i="115"/>
  <c r="BS140" i="115" s="1"/>
  <c r="BP10" i="115"/>
  <c r="BP140" i="115" s="1"/>
  <c r="BO10" i="115"/>
  <c r="BO140" i="115" s="1"/>
  <c r="BC10" i="115"/>
  <c r="BC140" i="115" s="1"/>
  <c r="BB10" i="115"/>
  <c r="BB140" i="115" s="1"/>
  <c r="AX10" i="115"/>
  <c r="AX140" i="115" s="1"/>
  <c r="AU10" i="115"/>
  <c r="AU140" i="115" s="1"/>
  <c r="AR10" i="115"/>
  <c r="AR140" i="115" s="1"/>
  <c r="AQ10" i="115"/>
  <c r="AQ140" i="115" s="1"/>
  <c r="AE10" i="115"/>
  <c r="AE140" i="115" s="1"/>
  <c r="AD10" i="115"/>
  <c r="AD140" i="115" s="1"/>
  <c r="Z10" i="115"/>
  <c r="Z140" i="115" s="1"/>
  <c r="W10" i="115"/>
  <c r="W140" i="115" s="1"/>
  <c r="T10" i="115"/>
  <c r="T140" i="115" s="1"/>
  <c r="S10" i="115"/>
  <c r="S140" i="115" s="1"/>
  <c r="P10" i="115"/>
  <c r="O10" i="115"/>
  <c r="O140" i="115" s="1"/>
  <c r="K10" i="115"/>
  <c r="H10" i="115"/>
  <c r="H140" i="115" s="1"/>
  <c r="E10" i="115"/>
  <c r="D10" i="115"/>
  <c r="CA9" i="115"/>
  <c r="CA139" i="115" s="1"/>
  <c r="CA174" i="115" s="1"/>
  <c r="CA175" i="115" s="1"/>
  <c r="BZ9" i="115"/>
  <c r="BZ139" i="115" s="1"/>
  <c r="BZ174" i="115" s="1"/>
  <c r="BZ175" i="115" s="1"/>
  <c r="BV9" i="115"/>
  <c r="BS9" i="115"/>
  <c r="BP9" i="115"/>
  <c r="BC9" i="115"/>
  <c r="BC139" i="115" s="1"/>
  <c r="BC174" i="115" s="1"/>
  <c r="BC175" i="115" s="1"/>
  <c r="BB9" i="115"/>
  <c r="BB139" i="115" s="1"/>
  <c r="BB174" i="115" s="1"/>
  <c r="BB175" i="115" s="1"/>
  <c r="AX9" i="115"/>
  <c r="AU9" i="115"/>
  <c r="AR9" i="115"/>
  <c r="AE9" i="115"/>
  <c r="AE139" i="115" s="1"/>
  <c r="AE174" i="115" s="1"/>
  <c r="AE175" i="115" s="1"/>
  <c r="AD9" i="115"/>
  <c r="AD139" i="115" s="1"/>
  <c r="AD174" i="115" s="1"/>
  <c r="AD175" i="115" s="1"/>
  <c r="Z9" i="115"/>
  <c r="W9" i="115"/>
  <c r="T9" i="115"/>
  <c r="P9" i="115"/>
  <c r="P139" i="115" s="1"/>
  <c r="P174" i="115" s="1"/>
  <c r="P175" i="115" s="1"/>
  <c r="O9" i="115"/>
  <c r="O139" i="115" s="1"/>
  <c r="O174" i="115" s="1"/>
  <c r="O175" i="115" s="1"/>
  <c r="K9" i="115"/>
  <c r="K121" i="115" s="1"/>
  <c r="K122" i="115" s="1"/>
  <c r="H9" i="115"/>
  <c r="E9" i="115"/>
  <c r="CA8" i="115"/>
  <c r="BZ8" i="115"/>
  <c r="BV8" i="115"/>
  <c r="BS8" i="115"/>
  <c r="BP8" i="115"/>
  <c r="BC8" i="115"/>
  <c r="BB8" i="115"/>
  <c r="AX8" i="115"/>
  <c r="AU8" i="115"/>
  <c r="AR8" i="115"/>
  <c r="AE8" i="115"/>
  <c r="AD8" i="115"/>
  <c r="Z8" i="115"/>
  <c r="W8" i="115"/>
  <c r="T8" i="115"/>
  <c r="P8" i="115"/>
  <c r="O8" i="115"/>
  <c r="K8" i="115"/>
  <c r="H8" i="115"/>
  <c r="E8" i="115"/>
  <c r="BR10" i="116" l="1"/>
  <c r="R16" i="119" s="1"/>
  <c r="BU8" i="116"/>
  <c r="AH10" i="115"/>
  <c r="BF10" i="115" s="1"/>
  <c r="D140" i="115"/>
  <c r="AK10" i="115"/>
  <c r="BI10" i="115" s="1"/>
  <c r="P140" i="115"/>
  <c r="AK11" i="115"/>
  <c r="BI11" i="115" s="1"/>
  <c r="P141" i="115"/>
  <c r="AK12" i="115"/>
  <c r="BI12" i="115" s="1"/>
  <c r="P142" i="115"/>
  <c r="F58" i="116"/>
  <c r="F65" i="116" s="1"/>
  <c r="C39" i="117"/>
  <c r="AS58" i="116"/>
  <c r="AS65" i="116" s="1"/>
  <c r="C42" i="117"/>
  <c r="F42" i="117" s="1"/>
  <c r="BB58" i="116"/>
  <c r="BB59" i="116" s="1"/>
  <c r="C43" i="117"/>
  <c r="F43" i="117" s="1"/>
  <c r="BK58" i="116"/>
  <c r="BK59" i="116" s="1"/>
  <c r="C44" i="117"/>
  <c r="F44" i="117" s="1"/>
  <c r="CR58" i="116"/>
  <c r="CR65" i="116" s="1"/>
  <c r="C45" i="117"/>
  <c r="F45" i="117" s="1"/>
  <c r="EQ58" i="116"/>
  <c r="EQ65" i="116" s="1"/>
  <c r="C48" i="117"/>
  <c r="F48" i="117" s="1"/>
  <c r="CZ11" i="116"/>
  <c r="CZ25" i="116" s="1"/>
  <c r="FH11" i="116"/>
  <c r="FH25" i="116" s="1"/>
  <c r="AH12" i="115"/>
  <c r="BF12" i="115" s="1"/>
  <c r="D142" i="115"/>
  <c r="AJ12" i="115"/>
  <c r="BH12" i="115" s="1"/>
  <c r="CF12" i="115" s="1"/>
  <c r="O142" i="115"/>
  <c r="BY12" i="115"/>
  <c r="BY142" i="115" s="1"/>
  <c r="BZ142" i="115"/>
  <c r="G58" i="116"/>
  <c r="G65" i="116" s="1"/>
  <c r="C56" i="117"/>
  <c r="P58" i="116"/>
  <c r="P59" i="116" s="1"/>
  <c r="C57" i="117"/>
  <c r="F57" i="117" s="1"/>
  <c r="AT58" i="116"/>
  <c r="AT65" i="116" s="1"/>
  <c r="C59" i="117"/>
  <c r="F59" i="117" s="1"/>
  <c r="CS58" i="116"/>
  <c r="CS65" i="116" s="1"/>
  <c r="C62" i="117"/>
  <c r="F62" i="117" s="1"/>
  <c r="DB58" i="116"/>
  <c r="DB59" i="116" s="1"/>
  <c r="C63" i="117"/>
  <c r="F63" i="117" s="1"/>
  <c r="ER58" i="116"/>
  <c r="ER65" i="116" s="1"/>
  <c r="C65" i="117"/>
  <c r="F65" i="117" s="1"/>
  <c r="FJ58" i="116"/>
  <c r="FJ59" i="116" s="1"/>
  <c r="C67" i="117"/>
  <c r="F67" i="117" s="1"/>
  <c r="AH140" i="115"/>
  <c r="AG141" i="115"/>
  <c r="AH142" i="115"/>
  <c r="GE64" i="116"/>
  <c r="BK65" i="116"/>
  <c r="F59" i="116"/>
  <c r="O22" i="116"/>
  <c r="O58" i="116"/>
  <c r="X22" i="116"/>
  <c r="X58" i="116"/>
  <c r="DA22" i="116"/>
  <c r="DA58" i="116"/>
  <c r="DJ22" i="116"/>
  <c r="DJ58" i="116"/>
  <c r="EZ22" i="116"/>
  <c r="EZ58" i="116"/>
  <c r="E8" i="116"/>
  <c r="FH8" i="116"/>
  <c r="CI8" i="116"/>
  <c r="EH8" i="116" s="1"/>
  <c r="GG8" i="116" s="1"/>
  <c r="G59" i="116"/>
  <c r="Y22" i="116"/>
  <c r="Y58" i="116"/>
  <c r="BC22" i="116"/>
  <c r="BC58" i="116"/>
  <c r="BL22" i="116"/>
  <c r="BL58" i="116"/>
  <c r="DK22" i="116"/>
  <c r="DK58" i="116"/>
  <c r="FA22" i="116"/>
  <c r="FA58" i="116"/>
  <c r="FI22" i="116"/>
  <c r="FI58" i="116"/>
  <c r="AJ24" i="116"/>
  <c r="BW24" i="116"/>
  <c r="BW23" i="116"/>
  <c r="CJ11" i="116"/>
  <c r="CJ25" i="116" s="1"/>
  <c r="BX25" i="116"/>
  <c r="DV24" i="116"/>
  <c r="DV23" i="116"/>
  <c r="FU23" i="116"/>
  <c r="FU24" i="116"/>
  <c r="CH11" i="116"/>
  <c r="BQ11" i="116"/>
  <c r="Q17" i="119" s="1"/>
  <c r="AE10" i="116"/>
  <c r="O16" i="119" s="1"/>
  <c r="CJ9" i="116"/>
  <c r="CJ22" i="116" s="1"/>
  <c r="BV121" i="115"/>
  <c r="BV122" i="115" s="1"/>
  <c r="BV139" i="115"/>
  <c r="BV174" i="115" s="1"/>
  <c r="BV175" i="115" s="1"/>
  <c r="BS121" i="115"/>
  <c r="BS122" i="115" s="1"/>
  <c r="BS139" i="115"/>
  <c r="BS174" i="115" s="1"/>
  <c r="BS175" i="115" s="1"/>
  <c r="BP121" i="115"/>
  <c r="BP122" i="115" s="1"/>
  <c r="BP139" i="115"/>
  <c r="BP174" i="115" s="1"/>
  <c r="BP175" i="115" s="1"/>
  <c r="AX121" i="115"/>
  <c r="AX122" i="115" s="1"/>
  <c r="AX139" i="115"/>
  <c r="AX174" i="115" s="1"/>
  <c r="AX175" i="115" s="1"/>
  <c r="AU121" i="115"/>
  <c r="AU122" i="115" s="1"/>
  <c r="AU139" i="115"/>
  <c r="AU174" i="115" s="1"/>
  <c r="AU175" i="115" s="1"/>
  <c r="AR121" i="115"/>
  <c r="AR122" i="115" s="1"/>
  <c r="AR139" i="115"/>
  <c r="AR174" i="115" s="1"/>
  <c r="AR175" i="115" s="1"/>
  <c r="Z121" i="115"/>
  <c r="Z122" i="115" s="1"/>
  <c r="Z139" i="115"/>
  <c r="Z174" i="115" s="1"/>
  <c r="Z175" i="115" s="1"/>
  <c r="W121" i="115"/>
  <c r="W122" i="115" s="1"/>
  <c r="W139" i="115"/>
  <c r="W174" i="115" s="1"/>
  <c r="W175" i="115" s="1"/>
  <c r="T121" i="115"/>
  <c r="T122" i="115" s="1"/>
  <c r="T139" i="115"/>
  <c r="T174" i="115" s="1"/>
  <c r="T175" i="115" s="1"/>
  <c r="H121" i="115"/>
  <c r="H122" i="115" s="1"/>
  <c r="H139" i="115"/>
  <c r="H174" i="115" s="1"/>
  <c r="H175" i="115" s="1"/>
  <c r="AK8" i="115"/>
  <c r="BI8" i="115" s="1"/>
  <c r="CG8" i="115" s="1"/>
  <c r="AC8" i="115"/>
  <c r="BY8" i="115"/>
  <c r="AK9" i="115"/>
  <c r="BI9" i="115" s="1"/>
  <c r="AC9" i="115"/>
  <c r="AC139" i="115" s="1"/>
  <c r="AC174" i="115" s="1"/>
  <c r="AC175" i="115" s="1"/>
  <c r="BY9" i="115"/>
  <c r="BY139" i="115" s="1"/>
  <c r="BY174" i="115" s="1"/>
  <c r="BY175" i="115" s="1"/>
  <c r="AC10" i="115"/>
  <c r="AC140" i="115" s="1"/>
  <c r="BA10" i="115"/>
  <c r="BA140" i="115" s="1"/>
  <c r="BY10" i="115"/>
  <c r="BY140" i="115" s="1"/>
  <c r="BA11" i="115"/>
  <c r="BA141" i="115" s="1"/>
  <c r="BY11" i="115"/>
  <c r="BY141" i="115" s="1"/>
  <c r="BA12" i="115"/>
  <c r="BA142" i="115" s="1"/>
  <c r="N12" i="116"/>
  <c r="N26" i="116" s="1"/>
  <c r="N8" i="116"/>
  <c r="N10" i="116"/>
  <c r="N23" i="116" s="1"/>
  <c r="CQ9" i="116"/>
  <c r="N8" i="115"/>
  <c r="EY9" i="116"/>
  <c r="AJ9" i="115"/>
  <c r="BH9" i="115" s="1"/>
  <c r="CF9" i="115" s="1"/>
  <c r="CZ8" i="116"/>
  <c r="BA9" i="115"/>
  <c r="BA139" i="115" s="1"/>
  <c r="BA174" i="115" s="1"/>
  <c r="BA175" i="115" s="1"/>
  <c r="AC11" i="115"/>
  <c r="AC141" i="115" s="1"/>
  <c r="N12" i="115"/>
  <c r="N142" i="115" s="1"/>
  <c r="AH8" i="116"/>
  <c r="CG8" i="116" s="1"/>
  <c r="AH10" i="116"/>
  <c r="CG10" i="116" s="1"/>
  <c r="AH12" i="116"/>
  <c r="CG12" i="116" s="1"/>
  <c r="W8" i="116"/>
  <c r="W11" i="116"/>
  <c r="W25" i="116" s="1"/>
  <c r="AR8" i="116"/>
  <c r="BA8" i="116"/>
  <c r="BA11" i="116"/>
  <c r="BA25" i="116" s="1"/>
  <c r="BJ8" i="116"/>
  <c r="BJ11" i="116"/>
  <c r="BJ25" i="116" s="1"/>
  <c r="DT8" i="116"/>
  <c r="DT10" i="116"/>
  <c r="DT12" i="116"/>
  <c r="DI8" i="116"/>
  <c r="DI11" i="116"/>
  <c r="DI25" i="116" s="1"/>
  <c r="EP8" i="116"/>
  <c r="E9" i="116"/>
  <c r="F22" i="116"/>
  <c r="AG10" i="116"/>
  <c r="F24" i="116"/>
  <c r="F23" i="116"/>
  <c r="AG12" i="116"/>
  <c r="O24" i="116"/>
  <c r="O23" i="116"/>
  <c r="BU9" i="116"/>
  <c r="AT22" i="116"/>
  <c r="BU11" i="116"/>
  <c r="BS11" i="116" s="1"/>
  <c r="AT25" i="116"/>
  <c r="DS9" i="116"/>
  <c r="DS22" i="116" s="1"/>
  <c r="CR22" i="116"/>
  <c r="CQ10" i="116"/>
  <c r="CR23" i="116"/>
  <c r="CR24" i="116"/>
  <c r="CQ12" i="116"/>
  <c r="CQ26" i="116" s="1"/>
  <c r="CR26" i="116"/>
  <c r="DA24" i="116"/>
  <c r="DA23" i="116"/>
  <c r="FS9" i="116"/>
  <c r="FS22" i="116" s="1"/>
  <c r="ER22" i="116"/>
  <c r="FS11" i="116"/>
  <c r="FS25" i="116" s="1"/>
  <c r="ER25" i="116"/>
  <c r="EY10" i="116"/>
  <c r="EZ24" i="116"/>
  <c r="EZ23" i="116"/>
  <c r="EY12" i="116"/>
  <c r="EY26" i="116" s="1"/>
  <c r="EZ26" i="116"/>
  <c r="FI24" i="116"/>
  <c r="FI23" i="116"/>
  <c r="BA8" i="115"/>
  <c r="AJ10" i="115"/>
  <c r="BH10" i="115" s="1"/>
  <c r="CF10" i="115" s="1"/>
  <c r="AJ11" i="115"/>
  <c r="AI11" i="115" s="1"/>
  <c r="AC12" i="115"/>
  <c r="AC142" i="115" s="1"/>
  <c r="AG8" i="116"/>
  <c r="E12" i="116"/>
  <c r="E26" i="116" s="1"/>
  <c r="E11" i="116"/>
  <c r="E25" i="116" s="1"/>
  <c r="W9" i="116"/>
  <c r="DS8" i="116"/>
  <c r="DS11" i="116"/>
  <c r="DI9" i="116"/>
  <c r="EP11" i="116"/>
  <c r="EP25" i="116" s="1"/>
  <c r="FS8" i="116"/>
  <c r="FQ8" i="116" s="1"/>
  <c r="FS10" i="116"/>
  <c r="FS12" i="116"/>
  <c r="EY8" i="116"/>
  <c r="EY11" i="116"/>
  <c r="EY25" i="116" s="1"/>
  <c r="AH9" i="116"/>
  <c r="AH22" i="116" s="1"/>
  <c r="G22" i="116"/>
  <c r="AH11" i="116"/>
  <c r="AH25" i="116" s="1"/>
  <c r="G25" i="116"/>
  <c r="N9" i="116"/>
  <c r="P22" i="116"/>
  <c r="N11" i="116"/>
  <c r="N25" i="116" s="1"/>
  <c r="P25" i="116"/>
  <c r="W10" i="116"/>
  <c r="X24" i="116"/>
  <c r="X23" i="116"/>
  <c r="W12" i="116"/>
  <c r="W26" i="116" s="1"/>
  <c r="X26" i="116"/>
  <c r="BT9" i="116"/>
  <c r="BT22" i="116" s="1"/>
  <c r="AS22" i="116"/>
  <c r="AR10" i="116"/>
  <c r="AS23" i="116"/>
  <c r="AS24" i="116"/>
  <c r="AR12" i="116"/>
  <c r="AR26" i="116" s="1"/>
  <c r="AS26" i="116"/>
  <c r="BA9" i="116"/>
  <c r="BB22" i="116"/>
  <c r="BA10" i="116"/>
  <c r="BB24" i="116"/>
  <c r="BB23" i="116"/>
  <c r="BA12" i="116"/>
  <c r="BA26" i="116" s="1"/>
  <c r="BB26" i="116"/>
  <c r="BJ9" i="116"/>
  <c r="BK22" i="116"/>
  <c r="BJ10" i="116"/>
  <c r="BK24" i="116"/>
  <c r="BK23" i="116"/>
  <c r="BJ12" i="116"/>
  <c r="BJ26" i="116" s="1"/>
  <c r="BK26" i="116"/>
  <c r="DT9" i="116"/>
  <c r="DT22" i="116" s="1"/>
  <c r="CS22" i="116"/>
  <c r="DT11" i="116"/>
  <c r="DT25" i="116" s="1"/>
  <c r="CS25" i="116"/>
  <c r="CZ9" i="116"/>
  <c r="DB22" i="116"/>
  <c r="DI10" i="116"/>
  <c r="DJ23" i="116"/>
  <c r="DJ24" i="116"/>
  <c r="DI12" i="116"/>
  <c r="DI26" i="116" s="1"/>
  <c r="DJ26" i="116"/>
  <c r="FR9" i="116"/>
  <c r="FR22" i="116" s="1"/>
  <c r="EQ22" i="116"/>
  <c r="EQ23" i="116"/>
  <c r="EQ24" i="116"/>
  <c r="FH9" i="116"/>
  <c r="FJ22" i="116"/>
  <c r="AE12" i="116"/>
  <c r="O18" i="119" s="1"/>
  <c r="BR12" i="116"/>
  <c r="R18" i="119" s="1"/>
  <c r="DQ10" i="116"/>
  <c r="X16" i="119" s="1"/>
  <c r="DQ12" i="116"/>
  <c r="X18" i="119" s="1"/>
  <c r="FP10" i="116"/>
  <c r="AD16" i="119" s="1"/>
  <c r="FP12" i="116"/>
  <c r="E10" i="116"/>
  <c r="AR9" i="116"/>
  <c r="AR11" i="116"/>
  <c r="AR25" i="116" s="1"/>
  <c r="CQ8" i="116"/>
  <c r="CQ11" i="116"/>
  <c r="CQ25" i="116" s="1"/>
  <c r="CZ10" i="116"/>
  <c r="CZ12" i="116"/>
  <c r="CZ26" i="116" s="1"/>
  <c r="EP9" i="116"/>
  <c r="EP10" i="116"/>
  <c r="EP12" i="116"/>
  <c r="EP26" i="116" s="1"/>
  <c r="FH10" i="116"/>
  <c r="FH12" i="116"/>
  <c r="FH26" i="116" s="1"/>
  <c r="AG9" i="116"/>
  <c r="AG11" i="116"/>
  <c r="BT8" i="116"/>
  <c r="CH8" i="116"/>
  <c r="EG8" i="116" s="1"/>
  <c r="GF8" i="116" s="1"/>
  <c r="CJ8" i="116"/>
  <c r="EI8" i="116" s="1"/>
  <c r="GH8" i="116" s="1"/>
  <c r="CI9" i="116"/>
  <c r="BT10" i="116"/>
  <c r="BS10" i="116" s="1"/>
  <c r="CH10" i="116"/>
  <c r="EG10" i="116" s="1"/>
  <c r="GF10" i="116" s="1"/>
  <c r="CJ10" i="116"/>
  <c r="EI10" i="116" s="1"/>
  <c r="GH10" i="116" s="1"/>
  <c r="CI11" i="116"/>
  <c r="EH11" i="116" s="1"/>
  <c r="GG11" i="116" s="1"/>
  <c r="BT12" i="116"/>
  <c r="BS12" i="116" s="1"/>
  <c r="CH12" i="116"/>
  <c r="EG12" i="116" s="1"/>
  <c r="GF12" i="116" s="1"/>
  <c r="CJ12" i="116"/>
  <c r="EI12" i="116" s="1"/>
  <c r="EI9" i="116"/>
  <c r="EI22" i="116" s="1"/>
  <c r="EG11" i="116"/>
  <c r="GF11" i="116" s="1"/>
  <c r="GH9" i="116"/>
  <c r="GH22" i="116" s="1"/>
  <c r="FR10" i="116"/>
  <c r="FR12" i="116"/>
  <c r="FR26" i="116" s="1"/>
  <c r="CI10" i="116"/>
  <c r="EH10" i="116" s="1"/>
  <c r="CI12" i="116"/>
  <c r="DS10" i="116"/>
  <c r="DS12" i="116"/>
  <c r="F28" i="114"/>
  <c r="E27" i="114"/>
  <c r="AF27" i="114" s="1"/>
  <c r="CD10" i="116"/>
  <c r="AN10" i="116"/>
  <c r="AD11" i="116"/>
  <c r="FX11" i="116"/>
  <c r="DZ10" i="116"/>
  <c r="DY11" i="116"/>
  <c r="CA10" i="116"/>
  <c r="BZ11" i="116"/>
  <c r="AG11" i="115"/>
  <c r="N9" i="115"/>
  <c r="N139" i="115" s="1"/>
  <c r="N174" i="115" s="1"/>
  <c r="N175" i="115" s="1"/>
  <c r="N10" i="115"/>
  <c r="N140" i="115" s="1"/>
  <c r="N11" i="115"/>
  <c r="N141" i="115" s="1"/>
  <c r="AJ8" i="115"/>
  <c r="AN12" i="115" l="1"/>
  <c r="EQ59" i="116"/>
  <c r="DR8" i="116"/>
  <c r="AS59" i="116"/>
  <c r="DB65" i="116"/>
  <c r="AI8" i="115"/>
  <c r="BB65" i="116"/>
  <c r="AI12" i="115"/>
  <c r="BH11" i="115"/>
  <c r="CF11" i="115" s="1"/>
  <c r="AI9" i="115"/>
  <c r="AM11" i="115"/>
  <c r="AN10" i="115"/>
  <c r="AI10" i="115"/>
  <c r="AF9" i="116"/>
  <c r="EC10" i="116"/>
  <c r="AA16" i="119" s="1"/>
  <c r="U16" i="119"/>
  <c r="CA12" i="116"/>
  <c r="FY10" i="116"/>
  <c r="N17" i="119"/>
  <c r="CD12" i="116"/>
  <c r="FY12" i="116"/>
  <c r="AD18" i="119"/>
  <c r="CS59" i="116"/>
  <c r="CR59" i="116"/>
  <c r="BT58" i="116"/>
  <c r="BT65" i="116" s="1"/>
  <c r="FJ65" i="116"/>
  <c r="P65" i="116"/>
  <c r="EI11" i="116"/>
  <c r="EF10" i="116"/>
  <c r="EL10" i="116" s="1"/>
  <c r="BF142" i="115"/>
  <c r="AN142" i="115"/>
  <c r="BE141" i="115"/>
  <c r="AM141" i="115"/>
  <c r="C68" i="117"/>
  <c r="F56" i="117"/>
  <c r="DR11" i="116"/>
  <c r="DR9" i="116"/>
  <c r="N24" i="116"/>
  <c r="ER59" i="116"/>
  <c r="AT59" i="116"/>
  <c r="AH58" i="116"/>
  <c r="AH65" i="116" s="1"/>
  <c r="BF140" i="115"/>
  <c r="AN140" i="115"/>
  <c r="C51" i="117"/>
  <c r="F39" i="117"/>
  <c r="DK59" i="116"/>
  <c r="DK65" i="116"/>
  <c r="Y59" i="116"/>
  <c r="Y65" i="116"/>
  <c r="DJ59" i="116"/>
  <c r="DJ65" i="116"/>
  <c r="DA59" i="116"/>
  <c r="DA65" i="116"/>
  <c r="FI59" i="116"/>
  <c r="FI65" i="116"/>
  <c r="FA59" i="116"/>
  <c r="FA65" i="116"/>
  <c r="BL59" i="116"/>
  <c r="BL65" i="116"/>
  <c r="BC59" i="116"/>
  <c r="BC65" i="116"/>
  <c r="EZ59" i="116"/>
  <c r="EZ65" i="116"/>
  <c r="X59" i="116"/>
  <c r="X65" i="116"/>
  <c r="O59" i="116"/>
  <c r="O65" i="116"/>
  <c r="DZ12" i="116"/>
  <c r="FQ11" i="116"/>
  <c r="AN12" i="116"/>
  <c r="BS9" i="116"/>
  <c r="DT58" i="116"/>
  <c r="FS58" i="116"/>
  <c r="BU58" i="116"/>
  <c r="FQ9" i="116"/>
  <c r="FQ10" i="116"/>
  <c r="AF11" i="116"/>
  <c r="AG28" i="114"/>
  <c r="CF28" i="114" s="1"/>
  <c r="EE28" i="114" s="1"/>
  <c r="GD28" i="114" s="1"/>
  <c r="F31" i="114"/>
  <c r="F75" i="114" s="1"/>
  <c r="AG75" i="114" s="1"/>
  <c r="GH12" i="116"/>
  <c r="GH26" i="116" s="1"/>
  <c r="EI26" i="116"/>
  <c r="CI24" i="116"/>
  <c r="FH22" i="116"/>
  <c r="FH58" i="116"/>
  <c r="BJ22" i="116"/>
  <c r="BJ58" i="116"/>
  <c r="DI22" i="116"/>
  <c r="DI58" i="116"/>
  <c r="W22" i="116"/>
  <c r="W58" i="116"/>
  <c r="E22" i="116"/>
  <c r="E58" i="116"/>
  <c r="EY22" i="116"/>
  <c r="EY58" i="116"/>
  <c r="CQ22" i="116"/>
  <c r="CQ58" i="116"/>
  <c r="BT59" i="116"/>
  <c r="FR58" i="116"/>
  <c r="FR65" i="116" s="1"/>
  <c r="DS58" i="116"/>
  <c r="DS65" i="116" s="1"/>
  <c r="AG58" i="116"/>
  <c r="EH12" i="116"/>
  <c r="CI26" i="116"/>
  <c r="GH11" i="116"/>
  <c r="GH25" i="116" s="1"/>
  <c r="EI25" i="116"/>
  <c r="GG10" i="116"/>
  <c r="EH24" i="116"/>
  <c r="EP22" i="116"/>
  <c r="EP58" i="116"/>
  <c r="AR22" i="116"/>
  <c r="AR58" i="116"/>
  <c r="CZ22" i="116"/>
  <c r="CZ58" i="116"/>
  <c r="BA22" i="116"/>
  <c r="BA58" i="116"/>
  <c r="N22" i="116"/>
  <c r="N58" i="116"/>
  <c r="AH59" i="116"/>
  <c r="EH9" i="116"/>
  <c r="CM12" i="116"/>
  <c r="EF12" i="116"/>
  <c r="GE12" i="116" s="1"/>
  <c r="EF8" i="116"/>
  <c r="GE8" i="116" s="1"/>
  <c r="CM10" i="116"/>
  <c r="AF8" i="116"/>
  <c r="BL12" i="115"/>
  <c r="CG12" i="115"/>
  <c r="CJ12" i="115" s="1"/>
  <c r="CG11" i="115"/>
  <c r="BL10" i="115"/>
  <c r="CG10" i="115"/>
  <c r="CJ10" i="115" s="1"/>
  <c r="CG9" i="115"/>
  <c r="CF12" i="116"/>
  <c r="EE12" i="116" s="1"/>
  <c r="BT26" i="116"/>
  <c r="CF10" i="116"/>
  <c r="BT24" i="116"/>
  <c r="BT23" i="116"/>
  <c r="CF9" i="116"/>
  <c r="AG22" i="116"/>
  <c r="FH24" i="116"/>
  <c r="FH23" i="116"/>
  <c r="EP24" i="116"/>
  <c r="EP23" i="116"/>
  <c r="E24" i="116"/>
  <c r="E23" i="116"/>
  <c r="BJ24" i="116"/>
  <c r="BJ23" i="116"/>
  <c r="AR24" i="116"/>
  <c r="AR23" i="116"/>
  <c r="CQ24" i="116"/>
  <c r="CQ23" i="116"/>
  <c r="CG11" i="116"/>
  <c r="BU25" i="116"/>
  <c r="CG9" i="116"/>
  <c r="BU22" i="116"/>
  <c r="AF12" i="116"/>
  <c r="AG26" i="116"/>
  <c r="CI11" i="115"/>
  <c r="DS26" i="116"/>
  <c r="DS24" i="116"/>
  <c r="DS23" i="116"/>
  <c r="FR23" i="116"/>
  <c r="FR24" i="116"/>
  <c r="CZ24" i="116"/>
  <c r="CZ23" i="116"/>
  <c r="DI24" i="116"/>
  <c r="DI23" i="116"/>
  <c r="BA24" i="116"/>
  <c r="BA23" i="116"/>
  <c r="W24" i="116"/>
  <c r="W23" i="116"/>
  <c r="EY24" i="116"/>
  <c r="EY23" i="116"/>
  <c r="AF10" i="116"/>
  <c r="AG24" i="116"/>
  <c r="AG23" i="116"/>
  <c r="CF8" i="116"/>
  <c r="BS8" i="116"/>
  <c r="CF11" i="116"/>
  <c r="DR12" i="116"/>
  <c r="DR10" i="116"/>
  <c r="FQ12" i="116"/>
  <c r="E28" i="114"/>
  <c r="AF28" i="114" s="1"/>
  <c r="AM11" i="116"/>
  <c r="CC11" i="116"/>
  <c r="T17" i="119" s="1"/>
  <c r="BE11" i="115"/>
  <c r="BK11" i="115" s="1"/>
  <c r="BG9" i="115"/>
  <c r="BG12" i="115"/>
  <c r="BG10" i="115"/>
  <c r="BH8" i="115"/>
  <c r="CF8" i="115" s="1"/>
  <c r="BG11" i="115" l="1"/>
  <c r="GE10" i="116"/>
  <c r="GK10" i="116" s="1"/>
  <c r="CF22" i="116"/>
  <c r="CE9" i="116"/>
  <c r="EC12" i="116"/>
  <c r="U18" i="119"/>
  <c r="F51" i="117"/>
  <c r="D51" i="117" s="1"/>
  <c r="BK141" i="115"/>
  <c r="CC141" i="115"/>
  <c r="CI141" i="115" s="1"/>
  <c r="BL142" i="115"/>
  <c r="CD142" i="115"/>
  <c r="CJ142" i="115" s="1"/>
  <c r="BL140" i="115"/>
  <c r="CD140" i="115"/>
  <c r="CJ140" i="115" s="1"/>
  <c r="F68" i="117"/>
  <c r="D68" i="117" s="1"/>
  <c r="N59" i="116"/>
  <c r="N65" i="116"/>
  <c r="BA59" i="116"/>
  <c r="BA65" i="116"/>
  <c r="CZ59" i="116"/>
  <c r="CZ65" i="116"/>
  <c r="AR59" i="116"/>
  <c r="AR65" i="116"/>
  <c r="EP59" i="116"/>
  <c r="EP65" i="116"/>
  <c r="FS65" i="116"/>
  <c r="CQ59" i="116"/>
  <c r="CQ65" i="116"/>
  <c r="EY59" i="116"/>
  <c r="EY65" i="116"/>
  <c r="E59" i="116"/>
  <c r="E65" i="116"/>
  <c r="W59" i="116"/>
  <c r="W65" i="116"/>
  <c r="DI59" i="116"/>
  <c r="DI65" i="116"/>
  <c r="BJ59" i="116"/>
  <c r="BJ65" i="116"/>
  <c r="FH59" i="116"/>
  <c r="FH65" i="116"/>
  <c r="CG58" i="116"/>
  <c r="CG65" i="116" s="1"/>
  <c r="BU65" i="116"/>
  <c r="DT65" i="116"/>
  <c r="FS59" i="116"/>
  <c r="DT59" i="116"/>
  <c r="BU59" i="116"/>
  <c r="EE9" i="116"/>
  <c r="EE22" i="116" s="1"/>
  <c r="E75" i="114"/>
  <c r="AF75" i="114" s="1"/>
  <c r="F76" i="114"/>
  <c r="AG76" i="114" s="1"/>
  <c r="E31" i="114"/>
  <c r="AF31" i="114" s="1"/>
  <c r="AG31" i="114"/>
  <c r="CF31" i="114" s="1"/>
  <c r="EE31" i="114" s="1"/>
  <c r="GD31" i="114" s="1"/>
  <c r="CF58" i="116"/>
  <c r="AG59" i="116"/>
  <c r="FR59" i="116"/>
  <c r="GG24" i="116"/>
  <c r="GG12" i="116"/>
  <c r="GG26" i="116" s="1"/>
  <c r="EH26" i="116"/>
  <c r="DS59" i="116"/>
  <c r="GG9" i="116"/>
  <c r="CE9" i="115"/>
  <c r="EF26" i="116"/>
  <c r="EL12" i="116"/>
  <c r="CE11" i="115"/>
  <c r="CE10" i="115"/>
  <c r="ED12" i="116"/>
  <c r="EE26" i="116"/>
  <c r="GD12" i="116"/>
  <c r="GD26" i="116" s="1"/>
  <c r="CF24" i="116"/>
  <c r="CF23" i="116"/>
  <c r="CE10" i="116"/>
  <c r="CE8" i="115"/>
  <c r="D115" i="115"/>
  <c r="D113" i="115"/>
  <c r="C114" i="115"/>
  <c r="C112" i="115"/>
  <c r="D114" i="115"/>
  <c r="D112" i="115"/>
  <c r="C115" i="115"/>
  <c r="C113" i="115"/>
  <c r="CG22" i="116"/>
  <c r="EF9" i="116"/>
  <c r="CG25" i="116"/>
  <c r="EF11" i="116"/>
  <c r="EE10" i="116"/>
  <c r="CE12" i="115"/>
  <c r="GK12" i="116"/>
  <c r="GE26" i="116"/>
  <c r="GK26" i="116" s="1"/>
  <c r="CF26" i="116"/>
  <c r="CE12" i="116"/>
  <c r="CE11" i="116"/>
  <c r="EE11" i="116"/>
  <c r="EE8" i="116"/>
  <c r="CE8" i="116"/>
  <c r="E25" i="114"/>
  <c r="AF25" i="114" s="1"/>
  <c r="CL11" i="116"/>
  <c r="EB11" i="116"/>
  <c r="Z17" i="119" s="1"/>
  <c r="BG8" i="115"/>
  <c r="EC26" i="116" l="1"/>
  <c r="EL26" i="116" s="1"/>
  <c r="AA18" i="119"/>
  <c r="EF58" i="116"/>
  <c r="EF65" i="116" s="1"/>
  <c r="C166" i="115"/>
  <c r="C50" i="116" s="1"/>
  <c r="L50" i="116" s="1"/>
  <c r="D165" i="115"/>
  <c r="D49" i="116" s="1"/>
  <c r="M49" i="116" s="1"/>
  <c r="V49" i="116" s="1"/>
  <c r="C165" i="115"/>
  <c r="C49" i="116" s="1"/>
  <c r="L49" i="116" s="1"/>
  <c r="D166" i="115"/>
  <c r="D50" i="116" s="1"/>
  <c r="M50" i="116" s="1"/>
  <c r="V50" i="116" s="1"/>
  <c r="C168" i="115"/>
  <c r="C52" i="116" s="1"/>
  <c r="L52" i="116" s="1"/>
  <c r="D167" i="115"/>
  <c r="D51" i="116" s="1"/>
  <c r="M51" i="116" s="1"/>
  <c r="V51" i="116" s="1"/>
  <c r="AE51" i="116" s="1"/>
  <c r="C167" i="115"/>
  <c r="C51" i="116" s="1"/>
  <c r="B51" i="116" s="1"/>
  <c r="D168" i="115"/>
  <c r="D52" i="116" s="1"/>
  <c r="M52" i="116" s="1"/>
  <c r="V52" i="116" s="1"/>
  <c r="AE52" i="116" s="1"/>
  <c r="O43" i="119" s="1"/>
  <c r="B50" i="116"/>
  <c r="B49" i="116"/>
  <c r="CG59" i="116"/>
  <c r="GD9" i="116"/>
  <c r="GD22" i="116" s="1"/>
  <c r="GC12" i="116"/>
  <c r="ED9" i="116"/>
  <c r="E76" i="114"/>
  <c r="EE58" i="116"/>
  <c r="CF59" i="116"/>
  <c r="R113" i="115"/>
  <c r="R112" i="115"/>
  <c r="R115" i="115"/>
  <c r="R114" i="115"/>
  <c r="S112" i="115"/>
  <c r="S165" i="115" s="1"/>
  <c r="AQ49" i="116" s="1"/>
  <c r="S113" i="115"/>
  <c r="S114" i="115"/>
  <c r="S167" i="115" s="1"/>
  <c r="AQ51" i="116" s="1"/>
  <c r="S115" i="115"/>
  <c r="C116" i="115"/>
  <c r="D116" i="115"/>
  <c r="ED10" i="116"/>
  <c r="EE23" i="116"/>
  <c r="EE24" i="116"/>
  <c r="GD10" i="116"/>
  <c r="GE9" i="116"/>
  <c r="EF22" i="116"/>
  <c r="B115" i="115"/>
  <c r="B114" i="115"/>
  <c r="GE11" i="116"/>
  <c r="EF25" i="116"/>
  <c r="B113" i="115"/>
  <c r="B112" i="115"/>
  <c r="GD11" i="116"/>
  <c r="ED11" i="116"/>
  <c r="GD8" i="116"/>
  <c r="ED8" i="116"/>
  <c r="EK11" i="116"/>
  <c r="B52" i="116" l="1"/>
  <c r="AN52" i="116"/>
  <c r="EF59" i="116"/>
  <c r="GC9" i="116"/>
  <c r="GE58" i="116"/>
  <c r="GE65" i="116" s="1"/>
  <c r="L51" i="116"/>
  <c r="K51" i="116" s="1"/>
  <c r="AN51" i="116"/>
  <c r="O42" i="119"/>
  <c r="AF76" i="114"/>
  <c r="B168" i="115"/>
  <c r="D169" i="115"/>
  <c r="D53" i="116" s="1"/>
  <c r="C169" i="115"/>
  <c r="C53" i="116" s="1"/>
  <c r="B53" i="116" s="1"/>
  <c r="AE50" i="116"/>
  <c r="O41" i="119" s="1"/>
  <c r="B167" i="115"/>
  <c r="M53" i="116"/>
  <c r="V53" i="116" s="1"/>
  <c r="Q115" i="115"/>
  <c r="Q168" i="115" s="1"/>
  <c r="S168" i="115"/>
  <c r="AQ52" i="116" s="1"/>
  <c r="AH113" i="115"/>
  <c r="AQ113" i="115" s="1"/>
  <c r="S166" i="115"/>
  <c r="AQ50" i="116" s="1"/>
  <c r="AG114" i="115"/>
  <c r="R167" i="115"/>
  <c r="AP51" i="116" s="1"/>
  <c r="AG112" i="115"/>
  <c r="R165" i="115"/>
  <c r="AP49" i="116" s="1"/>
  <c r="U52" i="116"/>
  <c r="K52" i="116"/>
  <c r="U49" i="116"/>
  <c r="K49" i="116"/>
  <c r="AE49" i="116"/>
  <c r="O40" i="119" s="1"/>
  <c r="AZ51" i="116"/>
  <c r="BI51" i="116" s="1"/>
  <c r="AZ49" i="116"/>
  <c r="BI49" i="116" s="1"/>
  <c r="AG115" i="115"/>
  <c r="R168" i="115"/>
  <c r="AP52" i="116" s="1"/>
  <c r="AG113" i="115"/>
  <c r="AF113" i="115" s="1"/>
  <c r="AL113" i="115" s="1"/>
  <c r="R166" i="115"/>
  <c r="AP50" i="116" s="1"/>
  <c r="K50" i="116"/>
  <c r="U50" i="116"/>
  <c r="T50" i="116" s="1"/>
  <c r="AC50" i="116" s="1"/>
  <c r="M41" i="119" s="1"/>
  <c r="AG65" i="116"/>
  <c r="CF64" i="116"/>
  <c r="GD58" i="116"/>
  <c r="EE59" i="116"/>
  <c r="Q112" i="115"/>
  <c r="Q165" i="115" s="1"/>
  <c r="Q114" i="115"/>
  <c r="Q167" i="115" s="1"/>
  <c r="AH112" i="115"/>
  <c r="Q113" i="115"/>
  <c r="Q166" i="115" s="1"/>
  <c r="AP115" i="115"/>
  <c r="AP113" i="115"/>
  <c r="R116" i="115"/>
  <c r="AP114" i="115"/>
  <c r="AP112" i="115"/>
  <c r="AQ112" i="115"/>
  <c r="AQ165" i="115" s="1"/>
  <c r="CP49" i="116" s="1"/>
  <c r="AH114" i="115"/>
  <c r="AH115" i="115"/>
  <c r="S116" i="115"/>
  <c r="S169" i="115" s="1"/>
  <c r="AQ53" i="116" s="1"/>
  <c r="B116" i="115"/>
  <c r="GE22" i="116"/>
  <c r="GE25" i="116"/>
  <c r="GD23" i="116"/>
  <c r="GD24" i="116"/>
  <c r="GC10" i="116"/>
  <c r="GC8" i="116"/>
  <c r="GJ11" i="116"/>
  <c r="GC11" i="116"/>
  <c r="FV19" i="114"/>
  <c r="FU19" i="114"/>
  <c r="FV18" i="114"/>
  <c r="FU18" i="114"/>
  <c r="FU17" i="114" s="1"/>
  <c r="FV16" i="114"/>
  <c r="FV36" i="114" s="1"/>
  <c r="FU16" i="114"/>
  <c r="FV15" i="114"/>
  <c r="FU15" i="114"/>
  <c r="FV9" i="114"/>
  <c r="FU9" i="114"/>
  <c r="FV8" i="114"/>
  <c r="FU8" i="114"/>
  <c r="FU11" i="114" s="1"/>
  <c r="FJ19" i="114"/>
  <c r="FI19" i="114"/>
  <c r="FJ18" i="114"/>
  <c r="FJ17" i="114" s="1"/>
  <c r="FI18" i="114"/>
  <c r="FJ16" i="114"/>
  <c r="FI16" i="114"/>
  <c r="FJ15" i="114"/>
  <c r="FI15" i="114"/>
  <c r="FJ9" i="114"/>
  <c r="FI9" i="114"/>
  <c r="FJ8" i="114"/>
  <c r="FJ10" i="114" s="1"/>
  <c r="FI8" i="114"/>
  <c r="FA19" i="114"/>
  <c r="EZ19" i="114"/>
  <c r="FA18" i="114"/>
  <c r="FA17" i="114" s="1"/>
  <c r="EZ18" i="114"/>
  <c r="FA16" i="114"/>
  <c r="EZ16" i="114"/>
  <c r="FA15" i="114"/>
  <c r="EZ15" i="114"/>
  <c r="FA9" i="114"/>
  <c r="EZ9" i="114"/>
  <c r="FA8" i="114"/>
  <c r="EZ8" i="114"/>
  <c r="ER19" i="114"/>
  <c r="EQ19" i="114"/>
  <c r="ER18" i="114"/>
  <c r="EQ18" i="114"/>
  <c r="ER16" i="114"/>
  <c r="EQ16" i="114"/>
  <c r="ER15" i="114"/>
  <c r="EQ15" i="114"/>
  <c r="ER9" i="114"/>
  <c r="EQ9" i="114"/>
  <c r="ER8" i="114"/>
  <c r="EQ8" i="114"/>
  <c r="DW19" i="114"/>
  <c r="DV19" i="114"/>
  <c r="DU19" i="114"/>
  <c r="DW18" i="114"/>
  <c r="DV18" i="114"/>
  <c r="DU18" i="114"/>
  <c r="DW16" i="114"/>
  <c r="DW36" i="114" s="1"/>
  <c r="DV16" i="114"/>
  <c r="DU16" i="114"/>
  <c r="DW15" i="114"/>
  <c r="DV15" i="114"/>
  <c r="DU15" i="114"/>
  <c r="DW9" i="114"/>
  <c r="DV9" i="114"/>
  <c r="DU9" i="114"/>
  <c r="DW8" i="114"/>
  <c r="DV8" i="114"/>
  <c r="DU8" i="114"/>
  <c r="DK19" i="114"/>
  <c r="DJ19" i="114"/>
  <c r="DK18" i="114"/>
  <c r="DJ18" i="114"/>
  <c r="DK16" i="114"/>
  <c r="DJ16" i="114"/>
  <c r="DK15" i="114"/>
  <c r="DJ15" i="114"/>
  <c r="DK9" i="114"/>
  <c r="DJ9" i="114"/>
  <c r="DK8" i="114"/>
  <c r="DJ8" i="114"/>
  <c r="DB19" i="114"/>
  <c r="DA19" i="114"/>
  <c r="DB18" i="114"/>
  <c r="DA18" i="114"/>
  <c r="DB16" i="114"/>
  <c r="DA16" i="114"/>
  <c r="DB15" i="114"/>
  <c r="DA15" i="114"/>
  <c r="DB9" i="114"/>
  <c r="DA9" i="114"/>
  <c r="DB8" i="114"/>
  <c r="DA8" i="114"/>
  <c r="CS19" i="114"/>
  <c r="CR19" i="114"/>
  <c r="CS18" i="114"/>
  <c r="CR18" i="114"/>
  <c r="CS16" i="114"/>
  <c r="CR16" i="114"/>
  <c r="CS15" i="114"/>
  <c r="CR15" i="114"/>
  <c r="CS9" i="114"/>
  <c r="CR9" i="114"/>
  <c r="CS8" i="114"/>
  <c r="CR8" i="114"/>
  <c r="BX19" i="114"/>
  <c r="BW19" i="114"/>
  <c r="BX18" i="114"/>
  <c r="BW18" i="114"/>
  <c r="BX16" i="114"/>
  <c r="BW16" i="114"/>
  <c r="BX15" i="114"/>
  <c r="BW15" i="114"/>
  <c r="BX9" i="114"/>
  <c r="BW9" i="114"/>
  <c r="BX8" i="114"/>
  <c r="BX11" i="114" s="1"/>
  <c r="BW8" i="114"/>
  <c r="BL19" i="114"/>
  <c r="BK19" i="114"/>
  <c r="BL18" i="114"/>
  <c r="BK18" i="114"/>
  <c r="BL16" i="114"/>
  <c r="BK16" i="114"/>
  <c r="BL15" i="114"/>
  <c r="BK15" i="114"/>
  <c r="BL9" i="114"/>
  <c r="BK9" i="114"/>
  <c r="BL8" i="114"/>
  <c r="BK8" i="114"/>
  <c r="BC19" i="114"/>
  <c r="BB19" i="114"/>
  <c r="BC18" i="114"/>
  <c r="BC17" i="114" s="1"/>
  <c r="BB18" i="114"/>
  <c r="BC16" i="114"/>
  <c r="BB16" i="114"/>
  <c r="BC15" i="114"/>
  <c r="BC14" i="114" s="1"/>
  <c r="C26" i="117" s="1"/>
  <c r="F26" i="117" s="1"/>
  <c r="BB15" i="114"/>
  <c r="BC9" i="114"/>
  <c r="BB9" i="114"/>
  <c r="BC8" i="114"/>
  <c r="BB8" i="114"/>
  <c r="AT16" i="114"/>
  <c r="AS16" i="114"/>
  <c r="AT15" i="114"/>
  <c r="AS15" i="114"/>
  <c r="AT19" i="114"/>
  <c r="AS19" i="114"/>
  <c r="AT18" i="114"/>
  <c r="AS18" i="114"/>
  <c r="AT9" i="114"/>
  <c r="AS9" i="114"/>
  <c r="X8" i="114"/>
  <c r="AT8" i="114"/>
  <c r="AS8" i="114"/>
  <c r="AK19" i="114"/>
  <c r="AJ19" i="114"/>
  <c r="CI19" i="114" s="1"/>
  <c r="AK18" i="114"/>
  <c r="AK17" i="114" s="1"/>
  <c r="AJ18" i="114"/>
  <c r="AK16" i="114"/>
  <c r="AJ16" i="114"/>
  <c r="AK15" i="114"/>
  <c r="AJ15" i="114"/>
  <c r="AK9" i="114"/>
  <c r="AJ9" i="114"/>
  <c r="J17" i="114"/>
  <c r="J14" i="114" s="1"/>
  <c r="J8" i="114" s="1"/>
  <c r="I17" i="114"/>
  <c r="Y19" i="114"/>
  <c r="X19" i="114"/>
  <c r="Y18" i="114"/>
  <c r="X18" i="114"/>
  <c r="Y16" i="114"/>
  <c r="X16" i="114"/>
  <c r="Y15" i="114"/>
  <c r="X15" i="114"/>
  <c r="Y17" i="114"/>
  <c r="Y9" i="114"/>
  <c r="X9" i="114"/>
  <c r="Y8" i="114"/>
  <c r="P19" i="114"/>
  <c r="O19" i="114"/>
  <c r="P18" i="114"/>
  <c r="O18" i="114"/>
  <c r="P16" i="114"/>
  <c r="O16" i="114"/>
  <c r="P15" i="114"/>
  <c r="O15" i="114"/>
  <c r="P9" i="114"/>
  <c r="O9" i="114"/>
  <c r="P8" i="114"/>
  <c r="O8" i="114"/>
  <c r="G19" i="114"/>
  <c r="F19" i="114"/>
  <c r="G18" i="114"/>
  <c r="F18" i="114"/>
  <c r="G16" i="114"/>
  <c r="F16" i="114"/>
  <c r="G15" i="114"/>
  <c r="F15" i="114"/>
  <c r="G9" i="114"/>
  <c r="F9" i="114"/>
  <c r="G8" i="114"/>
  <c r="F8" i="114"/>
  <c r="EZ10" i="114"/>
  <c r="H10" i="114"/>
  <c r="L53" i="116" l="1"/>
  <c r="AF112" i="115"/>
  <c r="AL112" i="115" s="1"/>
  <c r="U51" i="116"/>
  <c r="DJ10" i="114"/>
  <c r="ER17" i="114"/>
  <c r="FA10" i="114"/>
  <c r="EH19" i="114"/>
  <c r="GG19" i="114" s="1"/>
  <c r="FU35" i="114"/>
  <c r="DA17" i="114"/>
  <c r="DJ17" i="114"/>
  <c r="DJ14" i="114" s="1"/>
  <c r="EQ17" i="114"/>
  <c r="EQ35" i="114" s="1"/>
  <c r="EZ11" i="114"/>
  <c r="CI18" i="114"/>
  <c r="FU14" i="114"/>
  <c r="FU12" i="114" s="1"/>
  <c r="FU13" i="114" s="1"/>
  <c r="FV17" i="114"/>
  <c r="EQ10" i="114"/>
  <c r="ER10" i="114"/>
  <c r="FI10" i="114"/>
  <c r="DK17" i="114"/>
  <c r="DK14" i="114" s="1"/>
  <c r="AS17" i="114"/>
  <c r="AS14" i="114" s="1"/>
  <c r="C8" i="117" s="1"/>
  <c r="F8" i="117" s="1"/>
  <c r="BB11" i="114"/>
  <c r="BB17" i="114"/>
  <c r="CR17" i="114"/>
  <c r="CR14" i="114" s="1"/>
  <c r="DA10" i="114"/>
  <c r="FI17" i="114"/>
  <c r="FI35" i="114" s="1"/>
  <c r="CS17" i="114"/>
  <c r="CR10" i="114"/>
  <c r="BK17" i="114"/>
  <c r="BK14" i="114" s="1"/>
  <c r="BL17" i="114"/>
  <c r="BK11" i="114"/>
  <c r="BB14" i="114"/>
  <c r="C9" i="117" s="1"/>
  <c r="F9" i="117" s="1"/>
  <c r="AS10" i="114"/>
  <c r="Y14" i="114"/>
  <c r="C24" i="117" s="1"/>
  <c r="F24" i="117" s="1"/>
  <c r="AT17" i="114"/>
  <c r="AT14" i="114" s="1"/>
  <c r="C25" i="117" s="1"/>
  <c r="F25" i="117" s="1"/>
  <c r="BC11" i="114"/>
  <c r="BC12" i="114" s="1"/>
  <c r="BC13" i="114" s="1"/>
  <c r="CS14" i="114"/>
  <c r="C28" i="117" s="1"/>
  <c r="F28" i="117" s="1"/>
  <c r="DB11" i="114"/>
  <c r="FA14" i="114"/>
  <c r="C32" i="117" s="1"/>
  <c r="F32" i="117" s="1"/>
  <c r="X17" i="114"/>
  <c r="BL14" i="114"/>
  <c r="C27" i="117" s="1"/>
  <c r="F27" i="117" s="1"/>
  <c r="CS11" i="114"/>
  <c r="CS12" i="114" s="1"/>
  <c r="CS13" i="114" s="1"/>
  <c r="DB17" i="114"/>
  <c r="DB14" i="114" s="1"/>
  <c r="C29" i="117" s="1"/>
  <c r="F29" i="117" s="1"/>
  <c r="DK11" i="114"/>
  <c r="EZ17" i="114"/>
  <c r="EZ14" i="114" s="1"/>
  <c r="C15" i="117" s="1"/>
  <c r="F15" i="117" s="1"/>
  <c r="FI11" i="114"/>
  <c r="FJ14" i="114"/>
  <c r="C33" i="117" s="1"/>
  <c r="F33" i="117" s="1"/>
  <c r="ER14" i="114"/>
  <c r="C31" i="117" s="1"/>
  <c r="F31" i="117" s="1"/>
  <c r="G17" i="114"/>
  <c r="BL11" i="114"/>
  <c r="DA14" i="114"/>
  <c r="C12" i="117" s="1"/>
  <c r="F12" i="117" s="1"/>
  <c r="FI14" i="114"/>
  <c r="C16" i="117" s="1"/>
  <c r="F16" i="117" s="1"/>
  <c r="FV14" i="114"/>
  <c r="BL10" i="114"/>
  <c r="DB12" i="114"/>
  <c r="DB13" i="114" s="1"/>
  <c r="AJ17" i="114"/>
  <c r="BC10" i="114"/>
  <c r="CS10" i="114"/>
  <c r="DB10" i="114"/>
  <c r="DK10" i="114"/>
  <c r="ER11" i="114"/>
  <c r="FA11" i="114"/>
  <c r="FJ11" i="114"/>
  <c r="FJ12" i="114" s="1"/>
  <c r="FJ13" i="114" s="1"/>
  <c r="FV11" i="114"/>
  <c r="FV12" i="114" s="1"/>
  <c r="FV13" i="114" s="1"/>
  <c r="X11" i="114"/>
  <c r="BW17" i="114"/>
  <c r="DA11" i="114"/>
  <c r="DA12" i="114" s="1"/>
  <c r="DA13" i="114" s="1"/>
  <c r="DJ11" i="114"/>
  <c r="X14" i="114"/>
  <c r="C7" i="117" s="1"/>
  <c r="F7" i="117" s="1"/>
  <c r="Y11" i="114"/>
  <c r="X10" i="114"/>
  <c r="Y10" i="114"/>
  <c r="GE59" i="116"/>
  <c r="O11" i="114"/>
  <c r="N18" i="114"/>
  <c r="P17" i="114"/>
  <c r="DW17" i="114"/>
  <c r="AN50" i="116"/>
  <c r="G14" i="114"/>
  <c r="C22" i="117" s="1"/>
  <c r="F22" i="117" s="1"/>
  <c r="F17" i="114"/>
  <c r="F14" i="114" s="1"/>
  <c r="G11" i="114"/>
  <c r="G10" i="114"/>
  <c r="F11" i="114"/>
  <c r="BX17" i="114"/>
  <c r="BX14" i="114" s="1"/>
  <c r="BW35" i="114"/>
  <c r="CI9" i="114"/>
  <c r="BW11" i="114"/>
  <c r="BW14" i="114"/>
  <c r="BW32" i="114" s="1"/>
  <c r="CJ9" i="114"/>
  <c r="CJ15" i="114"/>
  <c r="CJ18" i="114"/>
  <c r="CJ17" i="114" s="1"/>
  <c r="CJ19" i="114"/>
  <c r="EI19" i="114" s="1"/>
  <c r="GH19" i="114" s="1"/>
  <c r="I14" i="114"/>
  <c r="I8" i="114"/>
  <c r="J10" i="114"/>
  <c r="AK8" i="114"/>
  <c r="J11" i="114"/>
  <c r="J12" i="114" s="1"/>
  <c r="J13" i="114" s="1"/>
  <c r="AK14" i="114"/>
  <c r="AK70" i="114" s="1"/>
  <c r="AJ14" i="114"/>
  <c r="AJ70" i="114" s="1"/>
  <c r="DV11" i="114"/>
  <c r="BR49" i="116"/>
  <c r="CD49" i="116" s="1"/>
  <c r="U40" i="119" s="1"/>
  <c r="BR51" i="116"/>
  <c r="R42" i="119" s="1"/>
  <c r="B169" i="115"/>
  <c r="AL50" i="116"/>
  <c r="AN115" i="115"/>
  <c r="AH168" i="115"/>
  <c r="AN168" i="115" s="1"/>
  <c r="CY49" i="116"/>
  <c r="DH49" i="116" s="1"/>
  <c r="BE112" i="115"/>
  <c r="AP165" i="115"/>
  <c r="CO49" i="116" s="1"/>
  <c r="AG116" i="115"/>
  <c r="R169" i="115"/>
  <c r="AP53" i="116" s="1"/>
  <c r="BN115" i="115"/>
  <c r="BN168" i="115" s="1"/>
  <c r="EN52" i="116" s="1"/>
  <c r="AP168" i="115"/>
  <c r="CO52" i="116" s="1"/>
  <c r="AM113" i="115"/>
  <c r="AG166" i="115"/>
  <c r="AM166" i="115" s="1"/>
  <c r="AM115" i="115"/>
  <c r="AG168" i="115"/>
  <c r="AM168" i="115" s="1"/>
  <c r="AN49" i="116"/>
  <c r="AD49" i="116"/>
  <c r="N40" i="119" s="1"/>
  <c r="T49" i="116"/>
  <c r="AC49" i="116" s="1"/>
  <c r="M40" i="119" s="1"/>
  <c r="AD52" i="116"/>
  <c r="N43" i="119" s="1"/>
  <c r="T52" i="116"/>
  <c r="AC52" i="116" s="1"/>
  <c r="M43" i="119" s="1"/>
  <c r="AM112" i="115"/>
  <c r="AG165" i="115"/>
  <c r="AM165" i="115" s="1"/>
  <c r="AM114" i="115"/>
  <c r="AG167" i="115"/>
  <c r="AM167" i="115" s="1"/>
  <c r="AN113" i="115"/>
  <c r="AH166" i="115"/>
  <c r="AN166" i="115" s="1"/>
  <c r="AE53" i="116"/>
  <c r="O44" i="119" s="1"/>
  <c r="AD50" i="116"/>
  <c r="N41" i="119" s="1"/>
  <c r="AZ53" i="116"/>
  <c r="BI53" i="116" s="1"/>
  <c r="AN114" i="115"/>
  <c r="AH167" i="115"/>
  <c r="AN167" i="115" s="1"/>
  <c r="BF113" i="115"/>
  <c r="AQ166" i="115"/>
  <c r="CP50" i="116" s="1"/>
  <c r="BE114" i="115"/>
  <c r="AP167" i="115"/>
  <c r="CO51" i="116" s="1"/>
  <c r="BE113" i="115"/>
  <c r="BD113" i="115" s="1"/>
  <c r="BJ113" i="115" s="1"/>
  <c r="AP166" i="115"/>
  <c r="CO50" i="116" s="1"/>
  <c r="AN112" i="115"/>
  <c r="AH165" i="115"/>
  <c r="AN165" i="115" s="1"/>
  <c r="AY50" i="116"/>
  <c r="AO50" i="116"/>
  <c r="AO52" i="116"/>
  <c r="AY52" i="116"/>
  <c r="CD51" i="116"/>
  <c r="U42" i="119" s="1"/>
  <c r="T51" i="116"/>
  <c r="AC51" i="116" s="1"/>
  <c r="M42" i="119" s="1"/>
  <c r="AD51" i="116"/>
  <c r="N42" i="119" s="1"/>
  <c r="AO49" i="116"/>
  <c r="AY49" i="116"/>
  <c r="AY51" i="116"/>
  <c r="AO51" i="116"/>
  <c r="AZ50" i="116"/>
  <c r="BI50" i="116" s="1"/>
  <c r="AZ52" i="116"/>
  <c r="BI52" i="116" s="1"/>
  <c r="U53" i="116"/>
  <c r="K53" i="116"/>
  <c r="CF65" i="116"/>
  <c r="EE64" i="116"/>
  <c r="DV17" i="114"/>
  <c r="DV14" i="114" s="1"/>
  <c r="DV70" i="114" s="1"/>
  <c r="F35" i="114"/>
  <c r="AT11" i="114"/>
  <c r="I70" i="114"/>
  <c r="CI15" i="114"/>
  <c r="EH15" i="114" s="1"/>
  <c r="AJ34" i="114"/>
  <c r="AJ33" i="114"/>
  <c r="CI16" i="114"/>
  <c r="BW70" i="114"/>
  <c r="BW77" i="114" s="1"/>
  <c r="BW34" i="114"/>
  <c r="BW33" i="114"/>
  <c r="FV70" i="114"/>
  <c r="FV32" i="114"/>
  <c r="DU17" i="114"/>
  <c r="DU14" i="114" s="1"/>
  <c r="J70" i="114"/>
  <c r="J32" i="114"/>
  <c r="AK32" i="114"/>
  <c r="CJ16" i="114"/>
  <c r="AI36" i="114"/>
  <c r="AK36" i="114"/>
  <c r="BX36" i="114"/>
  <c r="BV36" i="114"/>
  <c r="DV33" i="114"/>
  <c r="DV34" i="114"/>
  <c r="FU33" i="114"/>
  <c r="FU34" i="114"/>
  <c r="DU10" i="114"/>
  <c r="DW10" i="114"/>
  <c r="Y32" i="114"/>
  <c r="AS32" i="114"/>
  <c r="AS70" i="114"/>
  <c r="AS77" i="114" s="1"/>
  <c r="BC32" i="114"/>
  <c r="BC70" i="114"/>
  <c r="CS32" i="114"/>
  <c r="FI70" i="114"/>
  <c r="FI77" i="114" s="1"/>
  <c r="GD59" i="116"/>
  <c r="Q116" i="115"/>
  <c r="Q169" i="115" s="1"/>
  <c r="AP116" i="115"/>
  <c r="BE115" i="115"/>
  <c r="BN112" i="115"/>
  <c r="BN165" i="115" s="1"/>
  <c r="EN49" i="116" s="1"/>
  <c r="BN114" i="115"/>
  <c r="BN167" i="115" s="1"/>
  <c r="EN51" i="116" s="1"/>
  <c r="BN113" i="115"/>
  <c r="BN166" i="115" s="1"/>
  <c r="EN50" i="116" s="1"/>
  <c r="BO112" i="115"/>
  <c r="BO165" i="115" s="1"/>
  <c r="EO49" i="116" s="1"/>
  <c r="AO112" i="115"/>
  <c r="BF112" i="115"/>
  <c r="BF165" i="115" s="1"/>
  <c r="BL165" i="115" s="1"/>
  <c r="BO113" i="115"/>
  <c r="BO166" i="115" s="1"/>
  <c r="EO50" i="116" s="1"/>
  <c r="AO113" i="115"/>
  <c r="AQ114" i="115"/>
  <c r="AF114" i="115"/>
  <c r="AQ115" i="115"/>
  <c r="AF115" i="115"/>
  <c r="AH116" i="115"/>
  <c r="AS11" i="114"/>
  <c r="AS12" i="114" s="1"/>
  <c r="AS13" i="114" s="1"/>
  <c r="F34" i="114"/>
  <c r="F33" i="114"/>
  <c r="O34" i="114"/>
  <c r="O33" i="114"/>
  <c r="X33" i="114"/>
  <c r="X34" i="114"/>
  <c r="AT36" i="114"/>
  <c r="AR36" i="114"/>
  <c r="BB34" i="114"/>
  <c r="BB33" i="114"/>
  <c r="BK33" i="114"/>
  <c r="BK34" i="114"/>
  <c r="CR34" i="114"/>
  <c r="CR33" i="114"/>
  <c r="DA34" i="114"/>
  <c r="DA33" i="114"/>
  <c r="DJ34" i="114"/>
  <c r="DJ33" i="114"/>
  <c r="ER36" i="114"/>
  <c r="EP36" i="114"/>
  <c r="FA36" i="114"/>
  <c r="EY36" i="114"/>
  <c r="FH36" i="114"/>
  <c r="FJ36" i="114"/>
  <c r="X35" i="114"/>
  <c r="BB35" i="114"/>
  <c r="BK35" i="114"/>
  <c r="CR35" i="114"/>
  <c r="DA35" i="114"/>
  <c r="DJ35" i="114"/>
  <c r="E36" i="114"/>
  <c r="G36" i="114"/>
  <c r="P36" i="114"/>
  <c r="N36" i="114"/>
  <c r="Y36" i="114"/>
  <c r="W36" i="114"/>
  <c r="AS33" i="114"/>
  <c r="AS34" i="114"/>
  <c r="BA36" i="114"/>
  <c r="BC36" i="114"/>
  <c r="BL36" i="114"/>
  <c r="BJ36" i="114"/>
  <c r="CS36" i="114"/>
  <c r="CQ36" i="114"/>
  <c r="DB36" i="114"/>
  <c r="CZ36" i="114"/>
  <c r="DK36" i="114"/>
  <c r="DI36" i="114"/>
  <c r="EQ34" i="114"/>
  <c r="EQ33" i="114"/>
  <c r="EZ34" i="114"/>
  <c r="EZ33" i="114"/>
  <c r="FI34" i="114"/>
  <c r="FI33" i="114"/>
  <c r="P10" i="114"/>
  <c r="P14" i="114"/>
  <c r="C23" i="117" s="1"/>
  <c r="F23" i="117" s="1"/>
  <c r="AS35" i="114"/>
  <c r="EI9" i="114"/>
  <c r="EI15" i="114"/>
  <c r="EH9" i="114"/>
  <c r="EH18" i="114"/>
  <c r="CI17" i="114"/>
  <c r="N9" i="114"/>
  <c r="N15" i="114"/>
  <c r="N16" i="114"/>
  <c r="N19" i="114"/>
  <c r="AT10" i="114"/>
  <c r="BB10" i="114"/>
  <c r="BK10" i="114"/>
  <c r="BW10" i="114"/>
  <c r="CR11" i="114"/>
  <c r="DW14" i="114"/>
  <c r="FV10" i="114"/>
  <c r="F10" i="114"/>
  <c r="BX10" i="114"/>
  <c r="EQ11" i="114"/>
  <c r="FU10" i="114"/>
  <c r="DV10" i="114"/>
  <c r="DU11" i="114"/>
  <c r="DW11" i="114"/>
  <c r="O10" i="114"/>
  <c r="P11" i="114"/>
  <c r="N8" i="114"/>
  <c r="O17" i="114"/>
  <c r="O35" i="114" s="1"/>
  <c r="FA12" i="114" l="1"/>
  <c r="FA13" i="114" s="1"/>
  <c r="EQ14" i="114"/>
  <c r="C14" i="117" s="1"/>
  <c r="F14" i="117" s="1"/>
  <c r="FJ70" i="114"/>
  <c r="FJ71" i="114" s="1"/>
  <c r="DB32" i="114"/>
  <c r="FJ32" i="114"/>
  <c r="C13" i="117"/>
  <c r="F13" i="117" s="1"/>
  <c r="DJ12" i="114"/>
  <c r="DJ13" i="114" s="1"/>
  <c r="DJ32" i="114"/>
  <c r="DJ70" i="114"/>
  <c r="DJ77" i="114" s="1"/>
  <c r="EZ70" i="114"/>
  <c r="EZ77" i="114" s="1"/>
  <c r="BL70" i="114"/>
  <c r="EZ12" i="114"/>
  <c r="EZ13" i="114" s="1"/>
  <c r="EZ32" i="114"/>
  <c r="BL32" i="114"/>
  <c r="FU32" i="114"/>
  <c r="Y12" i="114"/>
  <c r="Y13" i="114" s="1"/>
  <c r="EI18" i="114"/>
  <c r="EI17" i="114" s="1"/>
  <c r="EZ35" i="114"/>
  <c r="Y70" i="114"/>
  <c r="Y77" i="114" s="1"/>
  <c r="ER70" i="114"/>
  <c r="ER77" i="114" s="1"/>
  <c r="FU70" i="114"/>
  <c r="FU77" i="114" s="1"/>
  <c r="C30" i="117"/>
  <c r="F30" i="117" s="1"/>
  <c r="DK12" i="114"/>
  <c r="DK13" i="114" s="1"/>
  <c r="DK32" i="114"/>
  <c r="DK70" i="114"/>
  <c r="DK71" i="114" s="1"/>
  <c r="CJ14" i="114"/>
  <c r="FI12" i="114"/>
  <c r="FI13" i="114" s="1"/>
  <c r="C11" i="117"/>
  <c r="F11" i="117" s="1"/>
  <c r="CR32" i="114"/>
  <c r="EQ70" i="114"/>
  <c r="EQ77" i="114" s="1"/>
  <c r="BB70" i="114"/>
  <c r="BB77" i="114" s="1"/>
  <c r="EQ32" i="114"/>
  <c r="EQ12" i="114"/>
  <c r="EQ13" i="114" s="1"/>
  <c r="DA70" i="114"/>
  <c r="DA77" i="114" s="1"/>
  <c r="DA32" i="114"/>
  <c r="DB70" i="114"/>
  <c r="DB77" i="114" s="1"/>
  <c r="CS70" i="114"/>
  <c r="CS71" i="114" s="1"/>
  <c r="CR12" i="114"/>
  <c r="CR13" i="114" s="1"/>
  <c r="CR70" i="114"/>
  <c r="CR77" i="114" s="1"/>
  <c r="C10" i="117"/>
  <c r="F10" i="117" s="1"/>
  <c r="BK70" i="114"/>
  <c r="BK77" i="114" s="1"/>
  <c r="BK32" i="114"/>
  <c r="BK12" i="114"/>
  <c r="BK13" i="114" s="1"/>
  <c r="BL12" i="114"/>
  <c r="BL13" i="114" s="1"/>
  <c r="BB32" i="114"/>
  <c r="BB12" i="114"/>
  <c r="BB13" i="114" s="1"/>
  <c r="AT70" i="114"/>
  <c r="AT77" i="114" s="1"/>
  <c r="AT32" i="114"/>
  <c r="AT12" i="114"/>
  <c r="AT13" i="114" s="1"/>
  <c r="FI32" i="114"/>
  <c r="ER32" i="114"/>
  <c r="ER12" i="114"/>
  <c r="ER13" i="114" s="1"/>
  <c r="FA70" i="114"/>
  <c r="FA71" i="114" s="1"/>
  <c r="FA32" i="114"/>
  <c r="G70" i="114"/>
  <c r="G77" i="114" s="1"/>
  <c r="G32" i="114"/>
  <c r="G12" i="114"/>
  <c r="G13" i="114" s="1"/>
  <c r="X70" i="114"/>
  <c r="X77" i="114" s="1"/>
  <c r="X12" i="114"/>
  <c r="X13" i="114" s="1"/>
  <c r="X32" i="114"/>
  <c r="P12" i="114"/>
  <c r="P13" i="114" s="1"/>
  <c r="BX12" i="114"/>
  <c r="BX13" i="114" s="1"/>
  <c r="BX70" i="114"/>
  <c r="BX71" i="114" s="1"/>
  <c r="BX32" i="114"/>
  <c r="BR52" i="116"/>
  <c r="R43" i="119" s="1"/>
  <c r="BR50" i="116"/>
  <c r="R41" i="119" s="1"/>
  <c r="CA51" i="116"/>
  <c r="CA49" i="116"/>
  <c r="R40" i="119"/>
  <c r="C5" i="117"/>
  <c r="F5" i="117" s="1"/>
  <c r="F70" i="114"/>
  <c r="F77" i="114" s="1"/>
  <c r="F32" i="114"/>
  <c r="F12" i="114"/>
  <c r="F13" i="114" s="1"/>
  <c r="BW12" i="114"/>
  <c r="BW13" i="114" s="1"/>
  <c r="CI14" i="114"/>
  <c r="CI70" i="114" s="1"/>
  <c r="CJ8" i="114"/>
  <c r="AK10" i="114"/>
  <c r="AK11" i="114"/>
  <c r="AK12" i="114" s="1"/>
  <c r="AK13" i="114" s="1"/>
  <c r="AJ8" i="114"/>
  <c r="I11" i="114"/>
  <c r="I12" i="114" s="1"/>
  <c r="I13" i="114" s="1"/>
  <c r="I10" i="114"/>
  <c r="F34" i="117"/>
  <c r="DQ49" i="116"/>
  <c r="AL115" i="115"/>
  <c r="AF168" i="115"/>
  <c r="AL168" i="115" s="1"/>
  <c r="AL114" i="115"/>
  <c r="AF167" i="115"/>
  <c r="AL167" i="115" s="1"/>
  <c r="EX49" i="116"/>
  <c r="FG49" i="116" s="1"/>
  <c r="EM50" i="116"/>
  <c r="EW50" i="116"/>
  <c r="EW49" i="116"/>
  <c r="EM49" i="116"/>
  <c r="BN116" i="115"/>
  <c r="BN169" i="115" s="1"/>
  <c r="EN53" i="116" s="1"/>
  <c r="AP169" i="115"/>
  <c r="CO53" i="116" s="1"/>
  <c r="T53" i="116"/>
  <c r="AC53" i="116" s="1"/>
  <c r="M44" i="119" s="1"/>
  <c r="AD53" i="116"/>
  <c r="N44" i="119" s="1"/>
  <c r="AM51" i="116"/>
  <c r="CM51" i="116"/>
  <c r="CN50" i="116"/>
  <c r="CX50" i="116"/>
  <c r="CX51" i="116"/>
  <c r="CY50" i="116"/>
  <c r="DH50" i="116" s="1"/>
  <c r="AN53" i="116"/>
  <c r="AL52" i="116"/>
  <c r="AL49" i="116"/>
  <c r="CM49" i="116"/>
  <c r="EW52" i="116"/>
  <c r="AM116" i="115"/>
  <c r="AG169" i="115"/>
  <c r="AM169" i="115" s="1"/>
  <c r="BK112" i="115"/>
  <c r="BE165" i="115"/>
  <c r="BK165" i="115" s="1"/>
  <c r="BR53" i="116"/>
  <c r="AN116" i="115"/>
  <c r="AH169" i="115"/>
  <c r="AN169" i="115" s="1"/>
  <c r="BF115" i="115"/>
  <c r="BF168" i="115" s="1"/>
  <c r="BL168" i="115" s="1"/>
  <c r="AQ168" i="115"/>
  <c r="CP52" i="116" s="1"/>
  <c r="CN52" i="116" s="1"/>
  <c r="BF114" i="115"/>
  <c r="BF167" i="115" s="1"/>
  <c r="BL167" i="115" s="1"/>
  <c r="AQ167" i="115"/>
  <c r="CP51" i="116" s="1"/>
  <c r="EX50" i="116"/>
  <c r="FG50" i="116" s="1"/>
  <c r="EW51" i="116"/>
  <c r="BK115" i="115"/>
  <c r="BE168" i="115"/>
  <c r="BK168" i="115" s="1"/>
  <c r="CA52" i="116"/>
  <c r="CD52" i="116"/>
  <c r="U43" i="119" s="1"/>
  <c r="CD50" i="116"/>
  <c r="U41" i="119" s="1"/>
  <c r="BH51" i="116"/>
  <c r="AX51" i="116"/>
  <c r="AX49" i="116"/>
  <c r="BH49" i="116"/>
  <c r="BG49" i="116" s="1"/>
  <c r="AL51" i="116"/>
  <c r="AX52" i="116"/>
  <c r="BH52" i="116"/>
  <c r="BG52" i="116" s="1"/>
  <c r="BH50" i="116"/>
  <c r="BG50" i="116" s="1"/>
  <c r="AX50" i="116"/>
  <c r="BK113" i="115"/>
  <c r="BE166" i="115"/>
  <c r="BK166" i="115" s="1"/>
  <c r="BK114" i="115"/>
  <c r="BE167" i="115"/>
  <c r="BK167" i="115" s="1"/>
  <c r="BL113" i="115"/>
  <c r="BF166" i="115"/>
  <c r="BL166" i="115" s="1"/>
  <c r="AM50" i="116"/>
  <c r="AM52" i="116"/>
  <c r="AM49" i="116"/>
  <c r="CX52" i="116"/>
  <c r="AO53" i="116"/>
  <c r="AY53" i="116"/>
  <c r="CX49" i="116"/>
  <c r="CN49" i="116"/>
  <c r="GD64" i="116"/>
  <c r="EE65" i="116"/>
  <c r="BX77" i="114"/>
  <c r="FV71" i="114"/>
  <c r="FV77" i="114"/>
  <c r="DW12" i="114"/>
  <c r="DW13" i="114" s="1"/>
  <c r="DV12" i="114"/>
  <c r="DV13" i="114" s="1"/>
  <c r="BC71" i="114"/>
  <c r="BC77" i="114"/>
  <c r="FJ77" i="114"/>
  <c r="ER71" i="114"/>
  <c r="DV71" i="114"/>
  <c r="DW70" i="114"/>
  <c r="DW32" i="114"/>
  <c r="EH34" i="114"/>
  <c r="EH33" i="114"/>
  <c r="EI16" i="114"/>
  <c r="CJ36" i="114"/>
  <c r="CI34" i="114"/>
  <c r="CI33" i="114"/>
  <c r="AI70" i="114"/>
  <c r="Z70" i="114"/>
  <c r="H70" i="114"/>
  <c r="DU12" i="114"/>
  <c r="DU13" i="114" s="1"/>
  <c r="CJ70" i="114"/>
  <c r="CJ32" i="114"/>
  <c r="BW71" i="114"/>
  <c r="EH16" i="114"/>
  <c r="GG16" i="114" s="1"/>
  <c r="P32" i="114"/>
  <c r="P70" i="114"/>
  <c r="P77" i="114" s="1"/>
  <c r="FI71" i="114"/>
  <c r="EZ71" i="114"/>
  <c r="EQ71" i="114"/>
  <c r="AS71" i="114"/>
  <c r="CZ70" i="114"/>
  <c r="N10" i="114"/>
  <c r="BE116" i="115"/>
  <c r="BD114" i="115"/>
  <c r="BL114" i="115"/>
  <c r="BL115" i="115"/>
  <c r="BD112" i="115"/>
  <c r="BJ112" i="115" s="1"/>
  <c r="BL112" i="115"/>
  <c r="BM113" i="115"/>
  <c r="BM112" i="115"/>
  <c r="BO114" i="115"/>
  <c r="AO114" i="115"/>
  <c r="BO115" i="115"/>
  <c r="AO115" i="115"/>
  <c r="AF116" i="115"/>
  <c r="AQ116" i="115"/>
  <c r="N34" i="114"/>
  <c r="N33" i="114"/>
  <c r="GG18" i="114"/>
  <c r="GG17" i="114" s="1"/>
  <c r="EH17" i="114"/>
  <c r="GG15" i="114"/>
  <c r="GG9" i="114"/>
  <c r="GH15" i="114"/>
  <c r="GH9" i="114"/>
  <c r="N11" i="114"/>
  <c r="N17" i="114"/>
  <c r="N35" i="114" s="1"/>
  <c r="O14" i="114"/>
  <c r="C6" i="117" s="1"/>
  <c r="DK77" i="114" l="1"/>
  <c r="DJ71" i="114"/>
  <c r="C34" i="117"/>
  <c r="BD115" i="115"/>
  <c r="BP50" i="116"/>
  <c r="P41" i="119" s="1"/>
  <c r="FH70" i="114"/>
  <c r="Y71" i="114"/>
  <c r="DB71" i="114"/>
  <c r="E70" i="114"/>
  <c r="E71" i="114" s="1"/>
  <c r="GH18" i="114"/>
  <c r="GH17" i="114" s="1"/>
  <c r="BJ70" i="114"/>
  <c r="FU71" i="114"/>
  <c r="FT70" i="114"/>
  <c r="FT71" i="114" s="1"/>
  <c r="BV70" i="114"/>
  <c r="BK71" i="114"/>
  <c r="DI70" i="114"/>
  <c r="DI77" i="114" s="1"/>
  <c r="G71" i="114"/>
  <c r="FA77" i="114"/>
  <c r="BB71" i="114"/>
  <c r="BA70" i="114"/>
  <c r="BA71" i="114" s="1"/>
  <c r="EP70" i="114"/>
  <c r="EP77" i="114" s="1"/>
  <c r="AT71" i="114"/>
  <c r="DA71" i="114"/>
  <c r="CS77" i="114"/>
  <c r="CR71" i="114"/>
  <c r="CQ70" i="114"/>
  <c r="CQ71" i="114" s="1"/>
  <c r="AR70" i="114"/>
  <c r="AR77" i="114" s="1"/>
  <c r="EY70" i="114"/>
  <c r="EI14" i="114"/>
  <c r="EI70" i="114" s="1"/>
  <c r="W70" i="114"/>
  <c r="W77" i="114" s="1"/>
  <c r="X71" i="114"/>
  <c r="CA53" i="116"/>
  <c r="R44" i="119"/>
  <c r="DZ49" i="116"/>
  <c r="X40" i="119"/>
  <c r="EH14" i="114"/>
  <c r="EH70" i="114" s="1"/>
  <c r="CA50" i="116"/>
  <c r="F71" i="114"/>
  <c r="EI8" i="114"/>
  <c r="CJ11" i="114"/>
  <c r="CJ12" i="114" s="1"/>
  <c r="CJ13" i="114" s="1"/>
  <c r="CJ10" i="114"/>
  <c r="CI8" i="114"/>
  <c r="AJ11" i="114"/>
  <c r="AJ12" i="114" s="1"/>
  <c r="AJ13" i="114" s="1"/>
  <c r="AJ10" i="114"/>
  <c r="F6" i="117"/>
  <c r="C17" i="117"/>
  <c r="D34" i="117"/>
  <c r="AO168" i="115"/>
  <c r="AO167" i="115"/>
  <c r="BP49" i="116"/>
  <c r="P40" i="119" s="1"/>
  <c r="EC49" i="116"/>
  <c r="EL49" i="116" s="1"/>
  <c r="FP49" i="116"/>
  <c r="CD53" i="116"/>
  <c r="U44" i="119" s="1"/>
  <c r="BY50" i="116"/>
  <c r="CB50" i="116"/>
  <c r="S41" i="119" s="1"/>
  <c r="BY49" i="116"/>
  <c r="AL53" i="116"/>
  <c r="AL116" i="115"/>
  <c r="AF169" i="115"/>
  <c r="AL169" i="115" s="1"/>
  <c r="BM115" i="115"/>
  <c r="BM168" i="115" s="1"/>
  <c r="BO168" i="115"/>
  <c r="EO52" i="116" s="1"/>
  <c r="BM114" i="115"/>
  <c r="BM167" i="115" s="1"/>
  <c r="BO167" i="115"/>
  <c r="EO51" i="116" s="1"/>
  <c r="BJ115" i="115"/>
  <c r="BD168" i="115"/>
  <c r="BJ168" i="115" s="1"/>
  <c r="BJ114" i="115"/>
  <c r="BD167" i="115"/>
  <c r="BJ167" i="115" s="1"/>
  <c r="DG49" i="116"/>
  <c r="CW49" i="116"/>
  <c r="AX53" i="116"/>
  <c r="BH53" i="116"/>
  <c r="CM50" i="116"/>
  <c r="CM52" i="116"/>
  <c r="FF51" i="116"/>
  <c r="CY51" i="116"/>
  <c r="DH51" i="116" s="1"/>
  <c r="CY52" i="116"/>
  <c r="DH52" i="116" s="1"/>
  <c r="DG50" i="116"/>
  <c r="CW50" i="116"/>
  <c r="AM53" i="116"/>
  <c r="EW53" i="116"/>
  <c r="BP52" i="116"/>
  <c r="P43" i="119" s="1"/>
  <c r="FP50" i="116"/>
  <c r="DQ50" i="116"/>
  <c r="CN51" i="116"/>
  <c r="BQ50" i="116"/>
  <c r="Q41" i="119" s="1"/>
  <c r="BQ52" i="116"/>
  <c r="Q43" i="119" s="1"/>
  <c r="AQ169" i="115"/>
  <c r="CP53" i="116" s="1"/>
  <c r="CN53" i="116" s="1"/>
  <c r="BK116" i="115"/>
  <c r="BE169" i="115"/>
  <c r="BK169" i="115" s="1"/>
  <c r="DG52" i="116"/>
  <c r="BG51" i="116"/>
  <c r="BP51" i="116" s="1"/>
  <c r="P42" i="119" s="1"/>
  <c r="BQ51" i="116"/>
  <c r="Q42" i="119" s="1"/>
  <c r="FF52" i="116"/>
  <c r="CM53" i="116"/>
  <c r="DG51" i="116"/>
  <c r="CX53" i="116"/>
  <c r="FF49" i="116"/>
  <c r="EV49" i="116"/>
  <c r="EV50" i="116"/>
  <c r="FF50" i="116"/>
  <c r="FE50" i="116" s="1"/>
  <c r="BQ49" i="116"/>
  <c r="Q40" i="119" s="1"/>
  <c r="GD65" i="116"/>
  <c r="BV71" i="114"/>
  <c r="BV77" i="114"/>
  <c r="BA77" i="114"/>
  <c r="CZ71" i="114"/>
  <c r="CZ77" i="114"/>
  <c r="DI71" i="114"/>
  <c r="AR71" i="114"/>
  <c r="EY71" i="114"/>
  <c r="EY77" i="114"/>
  <c r="FH71" i="114"/>
  <c r="FH77" i="114"/>
  <c r="Z71" i="114"/>
  <c r="Z77" i="114"/>
  <c r="DW71" i="114"/>
  <c r="DW77" i="114"/>
  <c r="P71" i="114"/>
  <c r="GG14" i="114"/>
  <c r="GG70" i="114" s="1"/>
  <c r="GG34" i="114"/>
  <c r="GG33" i="114"/>
  <c r="GH16" i="114"/>
  <c r="GH36" i="114" s="1"/>
  <c r="EI36" i="114"/>
  <c r="CH70" i="114"/>
  <c r="DU70" i="114"/>
  <c r="DU71" i="114" s="1"/>
  <c r="O32" i="114"/>
  <c r="O70" i="114"/>
  <c r="O77" i="114" s="1"/>
  <c r="BO116" i="115"/>
  <c r="AO116" i="115"/>
  <c r="BF116" i="115"/>
  <c r="BF169" i="115" s="1"/>
  <c r="BL169" i="115" s="1"/>
  <c r="N14" i="114"/>
  <c r="N32" i="114" s="1"/>
  <c r="O12" i="114"/>
  <c r="CW51" i="116" l="1"/>
  <c r="E77" i="114"/>
  <c r="EP71" i="114"/>
  <c r="FT77" i="114"/>
  <c r="EI32" i="114"/>
  <c r="W71" i="114"/>
  <c r="CQ77" i="114"/>
  <c r="FY49" i="116"/>
  <c r="AD40" i="119"/>
  <c r="FN50" i="116"/>
  <c r="DF51" i="116"/>
  <c r="DO51" i="116" s="1"/>
  <c r="CW52" i="116"/>
  <c r="DZ50" i="116"/>
  <c r="X41" i="119"/>
  <c r="FY50" i="116"/>
  <c r="AD41" i="119"/>
  <c r="DQ52" i="116"/>
  <c r="DQ51" i="116"/>
  <c r="X42" i="119" s="1"/>
  <c r="CB49" i="116"/>
  <c r="S40" i="119" s="1"/>
  <c r="GB49" i="116"/>
  <c r="AA40" i="119"/>
  <c r="GH8" i="114"/>
  <c r="EI10" i="114"/>
  <c r="EI11" i="114"/>
  <c r="EI12" i="114" s="1"/>
  <c r="EI13" i="114" s="1"/>
  <c r="CI11" i="114"/>
  <c r="CI12" i="114" s="1"/>
  <c r="CI13" i="114" s="1"/>
  <c r="CI10" i="114"/>
  <c r="EH8" i="114"/>
  <c r="F17" i="117"/>
  <c r="D17" i="117" s="1"/>
  <c r="AO169" i="115"/>
  <c r="BM116" i="115"/>
  <c r="BM169" i="115" s="1"/>
  <c r="BO169" i="115"/>
  <c r="EO53" i="116" s="1"/>
  <c r="BZ49" i="116"/>
  <c r="CC49" i="116"/>
  <c r="T40" i="119" s="1"/>
  <c r="FE49" i="116"/>
  <c r="FN49" i="116" s="1"/>
  <c r="FO49" i="116"/>
  <c r="DG53" i="116"/>
  <c r="BZ51" i="116"/>
  <c r="CC51" i="116"/>
  <c r="T42" i="119" s="1"/>
  <c r="BZ52" i="116"/>
  <c r="CC52" i="116"/>
  <c r="T43" i="119" s="1"/>
  <c r="BY52" i="116"/>
  <c r="CB52" i="116"/>
  <c r="S43" i="119" s="1"/>
  <c r="DF50" i="116"/>
  <c r="DO50" i="116" s="1"/>
  <c r="DP50" i="116"/>
  <c r="FO51" i="116"/>
  <c r="BG53" i="116"/>
  <c r="BP53" i="116" s="1"/>
  <c r="P44" i="119" s="1"/>
  <c r="BQ53" i="116"/>
  <c r="Q44" i="119" s="1"/>
  <c r="EC52" i="116"/>
  <c r="AA43" i="119" s="1"/>
  <c r="DP51" i="116"/>
  <c r="BY51" i="116"/>
  <c r="CB51" i="116"/>
  <c r="S42" i="119" s="1"/>
  <c r="DP52" i="116"/>
  <c r="DF52" i="116"/>
  <c r="CY53" i="116"/>
  <c r="DH53" i="116" s="1"/>
  <c r="BZ50" i="116"/>
  <c r="CC50" i="116"/>
  <c r="T41" i="119" s="1"/>
  <c r="FF53" i="116"/>
  <c r="DZ51" i="116"/>
  <c r="EC51" i="116"/>
  <c r="AA42" i="119" s="1"/>
  <c r="DF49" i="116"/>
  <c r="DO49" i="116" s="1"/>
  <c r="DP49" i="116"/>
  <c r="EX51" i="116"/>
  <c r="EM51" i="116"/>
  <c r="EX52" i="116"/>
  <c r="EM52" i="116"/>
  <c r="CK50" i="116"/>
  <c r="EC50" i="116"/>
  <c r="AA41" i="119" s="1"/>
  <c r="FO50" i="116"/>
  <c r="FO52" i="116"/>
  <c r="GH14" i="114"/>
  <c r="GH70" i="114" s="1"/>
  <c r="N70" i="114"/>
  <c r="N77" i="114" s="1"/>
  <c r="O71" i="114"/>
  <c r="BD116" i="115"/>
  <c r="BL116" i="115"/>
  <c r="O13" i="114"/>
  <c r="N12" i="114"/>
  <c r="N13" i="114" s="1"/>
  <c r="EA49" i="116" l="1"/>
  <c r="Y40" i="119" s="1"/>
  <c r="DO52" i="116"/>
  <c r="DX52" i="116" s="1"/>
  <c r="DX51" i="116"/>
  <c r="V42" i="119"/>
  <c r="FX52" i="116"/>
  <c r="AC43" i="119"/>
  <c r="DX49" i="116"/>
  <c r="V40" i="119"/>
  <c r="FX51" i="116"/>
  <c r="AC42" i="119"/>
  <c r="DX50" i="116"/>
  <c r="V41" i="119"/>
  <c r="FX49" i="116"/>
  <c r="AC40" i="119"/>
  <c r="DZ52" i="116"/>
  <c r="X43" i="119"/>
  <c r="FX50" i="116"/>
  <c r="AC41" i="119"/>
  <c r="EA50" i="116"/>
  <c r="Y41" i="119" s="1"/>
  <c r="CK49" i="116"/>
  <c r="DY49" i="116"/>
  <c r="W40" i="119"/>
  <c r="DY52" i="116"/>
  <c r="W43" i="119"/>
  <c r="DY51" i="116"/>
  <c r="W42" i="119"/>
  <c r="DY50" i="116"/>
  <c r="W41" i="119"/>
  <c r="FW49" i="116"/>
  <c r="AB40" i="119"/>
  <c r="GK49" i="116"/>
  <c r="AG40" i="119"/>
  <c r="FW50" i="116"/>
  <c r="AB41" i="119"/>
  <c r="GH11" i="114"/>
  <c r="GH12" i="114" s="1"/>
  <c r="GH13" i="114" s="1"/>
  <c r="GH10" i="114"/>
  <c r="GG8" i="114"/>
  <c r="EH10" i="114"/>
  <c r="EH11" i="114"/>
  <c r="EH12" i="114" s="1"/>
  <c r="EH13" i="114" s="1"/>
  <c r="GH32" i="114"/>
  <c r="FG52" i="116"/>
  <c r="FE52" i="116" s="1"/>
  <c r="EV52" i="116"/>
  <c r="FZ50" i="116"/>
  <c r="FG51" i="116"/>
  <c r="EV51" i="116"/>
  <c r="EL51" i="116"/>
  <c r="EB50" i="116"/>
  <c r="Z41" i="119" s="1"/>
  <c r="CL50" i="116"/>
  <c r="EL52" i="116"/>
  <c r="BY53" i="116"/>
  <c r="CB53" i="116"/>
  <c r="S44" i="119" s="1"/>
  <c r="CK52" i="116"/>
  <c r="EA52" i="116"/>
  <c r="Y43" i="119" s="1"/>
  <c r="EB52" i="116"/>
  <c r="Z43" i="119" s="1"/>
  <c r="CL52" i="116"/>
  <c r="EB51" i="116"/>
  <c r="Z42" i="119" s="1"/>
  <c r="CL51" i="116"/>
  <c r="DF53" i="116"/>
  <c r="DP53" i="116"/>
  <c r="CL49" i="116"/>
  <c r="EB49" i="116"/>
  <c r="Z40" i="119" s="1"/>
  <c r="DQ53" i="116"/>
  <c r="X44" i="119" s="1"/>
  <c r="BJ116" i="115"/>
  <c r="BD169" i="115"/>
  <c r="BJ169" i="115" s="1"/>
  <c r="GB50" i="116"/>
  <c r="EL50" i="116"/>
  <c r="EJ49" i="116"/>
  <c r="FZ49" i="116"/>
  <c r="EA51" i="116"/>
  <c r="Y42" i="119" s="1"/>
  <c r="CK51" i="116"/>
  <c r="BZ53" i="116"/>
  <c r="CC53" i="116"/>
  <c r="T44" i="119" s="1"/>
  <c r="EX53" i="116"/>
  <c r="EM53" i="116"/>
  <c r="CW53" i="116"/>
  <c r="FO53" i="116"/>
  <c r="N71" i="114"/>
  <c r="GF70" i="114"/>
  <c r="FT19" i="114"/>
  <c r="FS19" i="114"/>
  <c r="FR19" i="114"/>
  <c r="FT18" i="114"/>
  <c r="FS18" i="114"/>
  <c r="FR18" i="114"/>
  <c r="FT16" i="114"/>
  <c r="FS16" i="114"/>
  <c r="FS36" i="114" s="1"/>
  <c r="FR16" i="114"/>
  <c r="FT15" i="114"/>
  <c r="FS15" i="114"/>
  <c r="FR15" i="114"/>
  <c r="FT9" i="114"/>
  <c r="FS9" i="114"/>
  <c r="FR9" i="114"/>
  <c r="FT8" i="114"/>
  <c r="FS8" i="114"/>
  <c r="FR8" i="114"/>
  <c r="FH19" i="114"/>
  <c r="FH18" i="114"/>
  <c r="FH17" i="114"/>
  <c r="FH16" i="114"/>
  <c r="FH15" i="114"/>
  <c r="FH14" i="114"/>
  <c r="FH32" i="114" s="1"/>
  <c r="FH12" i="114"/>
  <c r="FH11" i="114"/>
  <c r="FH9" i="114"/>
  <c r="FH8" i="114"/>
  <c r="EY19" i="114"/>
  <c r="EY18" i="114"/>
  <c r="EY17" i="114"/>
  <c r="EY16" i="114"/>
  <c r="EY15" i="114"/>
  <c r="EY14" i="114"/>
  <c r="EY32" i="114" s="1"/>
  <c r="EY12" i="114"/>
  <c r="EY11" i="114"/>
  <c r="EY9" i="114"/>
  <c r="EY8" i="114"/>
  <c r="EP19" i="114"/>
  <c r="EP18" i="114"/>
  <c r="EP17" i="114"/>
  <c r="EP16" i="114"/>
  <c r="EP15" i="114"/>
  <c r="EP14" i="114"/>
  <c r="EP32" i="114" s="1"/>
  <c r="EP12" i="114"/>
  <c r="EP11" i="114"/>
  <c r="EP9" i="114"/>
  <c r="EP8" i="114"/>
  <c r="DT19" i="114"/>
  <c r="DS19" i="114"/>
  <c r="DT18" i="114"/>
  <c r="DS18" i="114"/>
  <c r="DS17" i="114" s="1"/>
  <c r="DT16" i="114"/>
  <c r="DS16" i="114"/>
  <c r="DT15" i="114"/>
  <c r="DS15" i="114"/>
  <c r="DT9" i="114"/>
  <c r="DS9" i="114"/>
  <c r="DT8" i="114"/>
  <c r="DS8" i="114"/>
  <c r="DI19" i="114"/>
  <c r="DI18" i="114"/>
  <c r="DI17" i="114"/>
  <c r="DI16" i="114"/>
  <c r="DI15" i="114"/>
  <c r="DI14" i="114"/>
  <c r="DI32" i="114" s="1"/>
  <c r="DI12" i="114"/>
  <c r="DI11" i="114"/>
  <c r="DI9" i="114"/>
  <c r="DI8" i="114"/>
  <c r="DH19" i="114"/>
  <c r="DH18" i="114"/>
  <c r="CZ19" i="114"/>
  <c r="CZ18" i="114"/>
  <c r="CZ17" i="114"/>
  <c r="CZ16" i="114"/>
  <c r="CZ15" i="114"/>
  <c r="CZ14" i="114"/>
  <c r="CZ32" i="114" s="1"/>
  <c r="CZ12" i="114"/>
  <c r="CZ11" i="114"/>
  <c r="CZ9" i="114"/>
  <c r="CZ8" i="114"/>
  <c r="CQ19" i="114"/>
  <c r="CQ18" i="114"/>
  <c r="CQ17" i="114"/>
  <c r="CQ16" i="114"/>
  <c r="CQ15" i="114"/>
  <c r="CQ14" i="114"/>
  <c r="CQ32" i="114" s="1"/>
  <c r="CQ12" i="114"/>
  <c r="CQ11" i="114"/>
  <c r="CQ9" i="114"/>
  <c r="CQ8" i="114"/>
  <c r="BV19" i="114"/>
  <c r="BU19" i="114"/>
  <c r="BT19" i="114"/>
  <c r="BV18" i="114"/>
  <c r="BU18" i="114"/>
  <c r="BT18" i="114"/>
  <c r="BV16" i="114"/>
  <c r="BU16" i="114"/>
  <c r="BT16" i="114"/>
  <c r="BV15" i="114"/>
  <c r="BU15" i="114"/>
  <c r="BT15" i="114"/>
  <c r="BV9" i="114"/>
  <c r="BU9" i="114"/>
  <c r="BT9" i="114"/>
  <c r="BV8" i="114"/>
  <c r="BU8" i="114"/>
  <c r="BT8" i="114"/>
  <c r="BJ19" i="114"/>
  <c r="BJ18" i="114"/>
  <c r="BJ17" i="114"/>
  <c r="BJ16" i="114"/>
  <c r="BJ15" i="114"/>
  <c r="BJ14" i="114"/>
  <c r="BJ32" i="114" s="1"/>
  <c r="BJ12" i="114"/>
  <c r="BJ11" i="114"/>
  <c r="BJ9" i="114"/>
  <c r="BJ8" i="114"/>
  <c r="BA19" i="114"/>
  <c r="BA18" i="114"/>
  <c r="BA17" i="114"/>
  <c r="BA16" i="114"/>
  <c r="BA15" i="114"/>
  <c r="BA14" i="114"/>
  <c r="BA32" i="114" s="1"/>
  <c r="BA12" i="114"/>
  <c r="BA11" i="114"/>
  <c r="BA9" i="114"/>
  <c r="BA8" i="114"/>
  <c r="AR19" i="114"/>
  <c r="AR18" i="114"/>
  <c r="AR17" i="114"/>
  <c r="AR16" i="114"/>
  <c r="AR15" i="114"/>
  <c r="AR14" i="114"/>
  <c r="AR32" i="114" s="1"/>
  <c r="AR12" i="114"/>
  <c r="AR11" i="114"/>
  <c r="AR9" i="114"/>
  <c r="AR8" i="114"/>
  <c r="AH8" i="114"/>
  <c r="AG8" i="114"/>
  <c r="CF8" i="114" s="1"/>
  <c r="AH19" i="114"/>
  <c r="AG19" i="114"/>
  <c r="AH18" i="114"/>
  <c r="AG18" i="114"/>
  <c r="AH16" i="114"/>
  <c r="AG16" i="114"/>
  <c r="AH15" i="114"/>
  <c r="AG15" i="114"/>
  <c r="AH9" i="114"/>
  <c r="AG9" i="114"/>
  <c r="W19" i="114"/>
  <c r="W18" i="114"/>
  <c r="W17" i="114"/>
  <c r="W16" i="114"/>
  <c r="W15" i="114"/>
  <c r="W14" i="114"/>
  <c r="W32" i="114" s="1"/>
  <c r="W12" i="114"/>
  <c r="W11" i="114"/>
  <c r="W9" i="114"/>
  <c r="W8" i="114"/>
  <c r="H11" i="114"/>
  <c r="H17" i="114"/>
  <c r="H14" i="114" s="1"/>
  <c r="E19" i="114"/>
  <c r="E18" i="114"/>
  <c r="E17" i="114"/>
  <c r="E16" i="114"/>
  <c r="E15" i="114"/>
  <c r="E14" i="114"/>
  <c r="E32" i="114" s="1"/>
  <c r="E12" i="114"/>
  <c r="E11" i="114"/>
  <c r="E9" i="114"/>
  <c r="E8" i="114"/>
  <c r="GB19" i="114"/>
  <c r="V19" i="114" s="1"/>
  <c r="GB18" i="114"/>
  <c r="V18" i="114" s="1"/>
  <c r="GA19" i="114"/>
  <c r="U19" i="114" s="1"/>
  <c r="GA18" i="114"/>
  <c r="U18" i="114" s="1"/>
  <c r="GB15" i="114"/>
  <c r="V15" i="114" s="1"/>
  <c r="GB9" i="114"/>
  <c r="AZ9" i="114" s="1"/>
  <c r="V43" i="119" l="1"/>
  <c r="FP52" i="116"/>
  <c r="DS35" i="114"/>
  <c r="AH17" i="114"/>
  <c r="AG17" i="114"/>
  <c r="AG14" i="114" s="1"/>
  <c r="FX53" i="116"/>
  <c r="AC44" i="119"/>
  <c r="GI49" i="116"/>
  <c r="AE40" i="119"/>
  <c r="FY52" i="116"/>
  <c r="AD43" i="119"/>
  <c r="GI50" i="116"/>
  <c r="AE41" i="119"/>
  <c r="J66" i="114"/>
  <c r="J63" i="114"/>
  <c r="J61" i="114"/>
  <c r="J55" i="114"/>
  <c r="J52" i="114"/>
  <c r="J50" i="114"/>
  <c r="J46" i="114"/>
  <c r="J42" i="114"/>
  <c r="J41" i="114"/>
  <c r="J64" i="114"/>
  <c r="J62" i="114"/>
  <c r="J56" i="114"/>
  <c r="J53" i="114"/>
  <c r="J51" i="114"/>
  <c r="J47" i="114"/>
  <c r="J44" i="114"/>
  <c r="J67" i="114"/>
  <c r="J58" i="114"/>
  <c r="J68" i="114"/>
  <c r="J65" i="114"/>
  <c r="J57" i="114"/>
  <c r="BV17" i="114"/>
  <c r="BV14" i="114" s="1"/>
  <c r="BV32" i="114" s="1"/>
  <c r="DH17" i="114"/>
  <c r="FT11" i="114"/>
  <c r="FT17" i="114"/>
  <c r="FT14" i="114" s="1"/>
  <c r="GK50" i="116"/>
  <c r="AG41" i="119"/>
  <c r="DY53" i="116"/>
  <c r="W44" i="119"/>
  <c r="EJ50" i="116"/>
  <c r="GG11" i="114"/>
  <c r="GG12" i="114" s="1"/>
  <c r="GG13" i="114" s="1"/>
  <c r="GG10" i="114"/>
  <c r="FG53" i="116"/>
  <c r="EV53" i="116"/>
  <c r="CL53" i="116"/>
  <c r="EB53" i="116"/>
  <c r="Z44" i="119" s="1"/>
  <c r="EK51" i="116"/>
  <c r="GA51" i="116"/>
  <c r="EK52" i="116"/>
  <c r="GA52" i="116"/>
  <c r="DO53" i="116"/>
  <c r="GB52" i="116"/>
  <c r="FN52" i="116"/>
  <c r="EJ51" i="116"/>
  <c r="DZ53" i="116"/>
  <c r="EC53" i="116"/>
  <c r="AA44" i="119" s="1"/>
  <c r="GA49" i="116"/>
  <c r="EK49" i="116"/>
  <c r="EJ52" i="116"/>
  <c r="CK53" i="116"/>
  <c r="EK50" i="116"/>
  <c r="GA50" i="116"/>
  <c r="FE51" i="116"/>
  <c r="FN51" i="116" s="1"/>
  <c r="FP51" i="116"/>
  <c r="AD42" i="119" s="1"/>
  <c r="CG9" i="114"/>
  <c r="EF9" i="114" s="1"/>
  <c r="FS17" i="114"/>
  <c r="FS14" i="114" s="1"/>
  <c r="E35" i="114"/>
  <c r="W10" i="114"/>
  <c r="W35" i="114"/>
  <c r="CF9" i="114"/>
  <c r="CF19" i="114"/>
  <c r="EE19" i="114" s="1"/>
  <c r="BA35" i="114"/>
  <c r="BT17" i="114"/>
  <c r="BT35" i="114" s="1"/>
  <c r="BU17" i="114"/>
  <c r="BU14" i="114" s="1"/>
  <c r="CQ35" i="114"/>
  <c r="BV11" i="114"/>
  <c r="FR17" i="114"/>
  <c r="FR14" i="114" s="1"/>
  <c r="BV33" i="114"/>
  <c r="BV34" i="114"/>
  <c r="AQ9" i="114"/>
  <c r="AQ19" i="114"/>
  <c r="AY19" i="114"/>
  <c r="BI9" i="114"/>
  <c r="BI19" i="114"/>
  <c r="AP19" i="114"/>
  <c r="AZ19" i="114"/>
  <c r="BH19" i="114"/>
  <c r="CZ35" i="114"/>
  <c r="DI10" i="114"/>
  <c r="DI35" i="114"/>
  <c r="EP10" i="114"/>
  <c r="EP13" i="114"/>
  <c r="EP35" i="114"/>
  <c r="EY35" i="114"/>
  <c r="FH10" i="114"/>
  <c r="FH35" i="114"/>
  <c r="CF15" i="114"/>
  <c r="EE15" i="114" s="1"/>
  <c r="AG33" i="114"/>
  <c r="AG34" i="114"/>
  <c r="AR34" i="114"/>
  <c r="AR33" i="114"/>
  <c r="E34" i="114"/>
  <c r="E33" i="114"/>
  <c r="W34" i="114"/>
  <c r="W33" i="114"/>
  <c r="AH36" i="114"/>
  <c r="AF36" i="114"/>
  <c r="BA34" i="114"/>
  <c r="BA33" i="114"/>
  <c r="BT34" i="114"/>
  <c r="BT33" i="114"/>
  <c r="BS36" i="114"/>
  <c r="BU36" i="114"/>
  <c r="CQ33" i="114"/>
  <c r="CQ34" i="114"/>
  <c r="CZ33" i="114"/>
  <c r="CZ34" i="114"/>
  <c r="DI34" i="114"/>
  <c r="DI33" i="114"/>
  <c r="DT36" i="114"/>
  <c r="EP34" i="114"/>
  <c r="EP33" i="114"/>
  <c r="EY34" i="114"/>
  <c r="EY33" i="114"/>
  <c r="FH34" i="114"/>
  <c r="FH33" i="114"/>
  <c r="FR34" i="114"/>
  <c r="FR33" i="114"/>
  <c r="CG8" i="114"/>
  <c r="AR35" i="114"/>
  <c r="BJ35" i="114"/>
  <c r="CF16" i="114"/>
  <c r="EE16" i="114" s="1"/>
  <c r="AG35" i="114"/>
  <c r="BJ33" i="114"/>
  <c r="BJ34" i="114"/>
  <c r="DS34" i="114"/>
  <c r="DS33" i="114"/>
  <c r="V9" i="114"/>
  <c r="DT17" i="114"/>
  <c r="DR17" i="114" s="1"/>
  <c r="DR19" i="114"/>
  <c r="FQ15" i="114"/>
  <c r="FQ16" i="114"/>
  <c r="CG15" i="114"/>
  <c r="EF15" i="114" s="1"/>
  <c r="CG16" i="114"/>
  <c r="EF16" i="114" s="1"/>
  <c r="CG19" i="114"/>
  <c r="AR10" i="114"/>
  <c r="AP18" i="114"/>
  <c r="AP17" i="114" s="1"/>
  <c r="AQ15" i="114"/>
  <c r="AQ18" i="114"/>
  <c r="AY18" i="114"/>
  <c r="AZ15" i="114"/>
  <c r="AZ18" i="114"/>
  <c r="BH18" i="114"/>
  <c r="BI15" i="114"/>
  <c r="BI18" i="114"/>
  <c r="BJ10" i="114"/>
  <c r="CO18" i="114"/>
  <c r="CO19" i="114"/>
  <c r="CY9" i="114"/>
  <c r="CY15" i="114"/>
  <c r="CY18" i="114"/>
  <c r="CY19" i="114"/>
  <c r="DH9" i="114"/>
  <c r="DH15" i="114"/>
  <c r="DG19" i="114"/>
  <c r="DF19" i="114" s="1"/>
  <c r="EO9" i="114"/>
  <c r="EO15" i="114"/>
  <c r="EO18" i="114"/>
  <c r="EO19" i="114"/>
  <c r="EW18" i="114"/>
  <c r="EW19" i="114"/>
  <c r="FG9" i="114"/>
  <c r="FG15" i="114"/>
  <c r="FG18" i="114"/>
  <c r="FG19" i="114"/>
  <c r="FT10" i="114"/>
  <c r="DS10" i="114"/>
  <c r="DR15" i="114"/>
  <c r="DR18" i="114"/>
  <c r="BV10" i="114"/>
  <c r="CP9" i="114"/>
  <c r="CP15" i="114"/>
  <c r="CP18" i="114"/>
  <c r="CP19" i="114"/>
  <c r="CX18" i="114"/>
  <c r="CW18" i="114" s="1"/>
  <c r="CX19" i="114"/>
  <c r="DG18" i="114"/>
  <c r="EN18" i="114"/>
  <c r="EN19" i="114"/>
  <c r="EX9" i="114"/>
  <c r="EX15" i="114"/>
  <c r="EX18" i="114"/>
  <c r="EX19" i="114"/>
  <c r="FF18" i="114"/>
  <c r="FF19" i="114"/>
  <c r="FH13" i="114"/>
  <c r="EY13" i="114"/>
  <c r="EY10" i="114"/>
  <c r="FQ18" i="114"/>
  <c r="FQ19" i="114"/>
  <c r="FS11" i="114"/>
  <c r="FS10" i="114"/>
  <c r="FR11" i="114"/>
  <c r="FR10" i="114"/>
  <c r="DI13" i="114"/>
  <c r="DR16" i="114"/>
  <c r="CZ13" i="114"/>
  <c r="CZ10" i="114"/>
  <c r="CQ10" i="114"/>
  <c r="CQ13" i="114"/>
  <c r="DT11" i="114"/>
  <c r="DT10" i="114"/>
  <c r="DR8" i="114"/>
  <c r="BT14" i="114"/>
  <c r="BT70" i="114" s="1"/>
  <c r="BT77" i="114" s="1"/>
  <c r="BJ13" i="114"/>
  <c r="BA13" i="114"/>
  <c r="BA10" i="114"/>
  <c r="BU11" i="114"/>
  <c r="BU10" i="114"/>
  <c r="BT11" i="114"/>
  <c r="BT10" i="114"/>
  <c r="AR13" i="114"/>
  <c r="W13" i="114"/>
  <c r="CG18" i="114"/>
  <c r="CF18" i="114"/>
  <c r="AH10" i="114"/>
  <c r="AG10" i="114"/>
  <c r="FQ8" i="114"/>
  <c r="FQ9" i="114"/>
  <c r="DS11" i="114"/>
  <c r="DR9" i="114"/>
  <c r="DS14" i="114"/>
  <c r="BS8" i="114"/>
  <c r="BS9" i="114"/>
  <c r="BS15" i="114"/>
  <c r="BS16" i="114"/>
  <c r="BS18" i="114"/>
  <c r="BS19" i="114"/>
  <c r="T18" i="114"/>
  <c r="E10" i="114"/>
  <c r="H12" i="114"/>
  <c r="H13" i="114" s="1"/>
  <c r="AF17" i="114"/>
  <c r="AF19" i="114"/>
  <c r="M18" i="114"/>
  <c r="V17" i="114"/>
  <c r="C18" i="114"/>
  <c r="AF16" i="114"/>
  <c r="L18" i="114"/>
  <c r="D15" i="114"/>
  <c r="D19" i="114"/>
  <c r="M15" i="114"/>
  <c r="GA17" i="114"/>
  <c r="GB17" i="114"/>
  <c r="FZ19" i="114"/>
  <c r="C19" i="114"/>
  <c r="D9" i="114"/>
  <c r="D18" i="114"/>
  <c r="E13" i="114"/>
  <c r="L19" i="114"/>
  <c r="M9" i="114"/>
  <c r="M19" i="114"/>
  <c r="AF15" i="114"/>
  <c r="AF18" i="114"/>
  <c r="AH14" i="114"/>
  <c r="AF8" i="114"/>
  <c r="AG11" i="114"/>
  <c r="AF9" i="114"/>
  <c r="AH11" i="114"/>
  <c r="T19" i="114"/>
  <c r="U17" i="114"/>
  <c r="FZ18" i="114"/>
  <c r="FZ17" i="114" l="1"/>
  <c r="EN17" i="114"/>
  <c r="DQ19" i="114"/>
  <c r="DZ19" i="114" s="1"/>
  <c r="AY17" i="114"/>
  <c r="BH17" i="114"/>
  <c r="DT14" i="114"/>
  <c r="DT70" i="114" s="1"/>
  <c r="DT77" i="114" s="1"/>
  <c r="CE9" i="114"/>
  <c r="CE16" i="114"/>
  <c r="EE9" i="114"/>
  <c r="GD9" i="114" s="1"/>
  <c r="BS11" i="114"/>
  <c r="BG19" i="114"/>
  <c r="CE19" i="114"/>
  <c r="FW51" i="116"/>
  <c r="AB42" i="119"/>
  <c r="GJ49" i="116"/>
  <c r="AF40" i="119"/>
  <c r="GK52" i="116"/>
  <c r="AG43" i="119"/>
  <c r="GJ52" i="116"/>
  <c r="AF43" i="119"/>
  <c r="GJ51" i="116"/>
  <c r="AF42" i="119"/>
  <c r="I65" i="114"/>
  <c r="AJ65" i="114" s="1"/>
  <c r="CI65" i="114" s="1"/>
  <c r="EH65" i="114" s="1"/>
  <c r="GG65" i="114" s="1"/>
  <c r="AK65" i="114"/>
  <c r="CJ65" i="114" s="1"/>
  <c r="EI65" i="114" s="1"/>
  <c r="GH65" i="114" s="1"/>
  <c r="I58" i="114"/>
  <c r="AJ58" i="114" s="1"/>
  <c r="CI58" i="114" s="1"/>
  <c r="EH58" i="114" s="1"/>
  <c r="GG58" i="114" s="1"/>
  <c r="AK58" i="114"/>
  <c r="CJ58" i="114" s="1"/>
  <c r="EI58" i="114" s="1"/>
  <c r="GH58" i="114" s="1"/>
  <c r="I44" i="114"/>
  <c r="AJ44" i="114" s="1"/>
  <c r="CI44" i="114" s="1"/>
  <c r="EH44" i="114" s="1"/>
  <c r="GG44" i="114" s="1"/>
  <c r="AK44" i="114"/>
  <c r="CJ44" i="114" s="1"/>
  <c r="EI44" i="114" s="1"/>
  <c r="GH44" i="114" s="1"/>
  <c r="I51" i="114"/>
  <c r="AJ51" i="114" s="1"/>
  <c r="CI51" i="114" s="1"/>
  <c r="EH51" i="114" s="1"/>
  <c r="GG51" i="114" s="1"/>
  <c r="AK51" i="114"/>
  <c r="CJ51" i="114" s="1"/>
  <c r="EI51" i="114" s="1"/>
  <c r="GH51" i="114" s="1"/>
  <c r="I56" i="114"/>
  <c r="AJ56" i="114" s="1"/>
  <c r="CI56" i="114" s="1"/>
  <c r="EH56" i="114" s="1"/>
  <c r="GG56" i="114" s="1"/>
  <c r="AK56" i="114"/>
  <c r="CJ56" i="114" s="1"/>
  <c r="EI56" i="114" s="1"/>
  <c r="GH56" i="114" s="1"/>
  <c r="I64" i="114"/>
  <c r="AJ64" i="114" s="1"/>
  <c r="CI64" i="114" s="1"/>
  <c r="EH64" i="114" s="1"/>
  <c r="GG64" i="114" s="1"/>
  <c r="AK64" i="114"/>
  <c r="CJ64" i="114" s="1"/>
  <c r="EI64" i="114" s="1"/>
  <c r="GH64" i="114" s="1"/>
  <c r="I42" i="114"/>
  <c r="AJ42" i="114" s="1"/>
  <c r="CI42" i="114" s="1"/>
  <c r="EH42" i="114" s="1"/>
  <c r="GG42" i="114" s="1"/>
  <c r="AK42" i="114"/>
  <c r="CJ42" i="114" s="1"/>
  <c r="EI42" i="114" s="1"/>
  <c r="GH42" i="114" s="1"/>
  <c r="I50" i="114"/>
  <c r="J49" i="114"/>
  <c r="AK49" i="114" s="1"/>
  <c r="CJ49" i="114" s="1"/>
  <c r="EI49" i="114" s="1"/>
  <c r="GH49" i="114" s="1"/>
  <c r="AK50" i="114"/>
  <c r="CJ50" i="114" s="1"/>
  <c r="EI50" i="114" s="1"/>
  <c r="GH50" i="114" s="1"/>
  <c r="I55" i="114"/>
  <c r="J54" i="114"/>
  <c r="AK54" i="114" s="1"/>
  <c r="CJ54" i="114" s="1"/>
  <c r="EI54" i="114" s="1"/>
  <c r="GH54" i="114" s="1"/>
  <c r="AK55" i="114"/>
  <c r="CJ55" i="114" s="1"/>
  <c r="EI55" i="114" s="1"/>
  <c r="GH55" i="114" s="1"/>
  <c r="I63" i="114"/>
  <c r="AJ63" i="114" s="1"/>
  <c r="CI63" i="114" s="1"/>
  <c r="EH63" i="114" s="1"/>
  <c r="GG63" i="114" s="1"/>
  <c r="AK63" i="114"/>
  <c r="CJ63" i="114" s="1"/>
  <c r="EI63" i="114" s="1"/>
  <c r="GH63" i="114" s="1"/>
  <c r="CG11" i="114"/>
  <c r="FQ17" i="114"/>
  <c r="BI17" i="114"/>
  <c r="BG17" i="114" s="1"/>
  <c r="FR35" i="114"/>
  <c r="BV12" i="114"/>
  <c r="BV13" i="114" s="1"/>
  <c r="FT12" i="114"/>
  <c r="FT13" i="114" s="1"/>
  <c r="GJ50" i="116"/>
  <c r="AF41" i="119"/>
  <c r="FW52" i="116"/>
  <c r="AB43" i="119"/>
  <c r="DX53" i="116"/>
  <c r="V44" i="119"/>
  <c r="I57" i="114"/>
  <c r="AJ57" i="114" s="1"/>
  <c r="CI57" i="114" s="1"/>
  <c r="EH57" i="114" s="1"/>
  <c r="GG57" i="114" s="1"/>
  <c r="AK57" i="114"/>
  <c r="CJ57" i="114" s="1"/>
  <c r="EI57" i="114" s="1"/>
  <c r="GH57" i="114" s="1"/>
  <c r="I68" i="114"/>
  <c r="AJ68" i="114" s="1"/>
  <c r="CI68" i="114" s="1"/>
  <c r="EH68" i="114" s="1"/>
  <c r="GG68" i="114" s="1"/>
  <c r="AK68" i="114"/>
  <c r="CJ68" i="114" s="1"/>
  <c r="EI68" i="114" s="1"/>
  <c r="GH68" i="114" s="1"/>
  <c r="I67" i="114"/>
  <c r="AJ67" i="114" s="1"/>
  <c r="CI67" i="114" s="1"/>
  <c r="EH67" i="114" s="1"/>
  <c r="GG67" i="114" s="1"/>
  <c r="AK67" i="114"/>
  <c r="CJ67" i="114" s="1"/>
  <c r="EI67" i="114" s="1"/>
  <c r="GH67" i="114" s="1"/>
  <c r="I47" i="114"/>
  <c r="AK47" i="114"/>
  <c r="J48" i="114"/>
  <c r="I53" i="114"/>
  <c r="AJ53" i="114" s="1"/>
  <c r="CI53" i="114" s="1"/>
  <c r="EH53" i="114" s="1"/>
  <c r="GG53" i="114" s="1"/>
  <c r="AK53" i="114"/>
  <c r="CJ53" i="114" s="1"/>
  <c r="EI53" i="114" s="1"/>
  <c r="GH53" i="114" s="1"/>
  <c r="I62" i="114"/>
  <c r="AJ62" i="114" s="1"/>
  <c r="CI62" i="114" s="1"/>
  <c r="EH62" i="114" s="1"/>
  <c r="GG62" i="114" s="1"/>
  <c r="AK62" i="114"/>
  <c r="CJ62" i="114" s="1"/>
  <c r="EI62" i="114" s="1"/>
  <c r="GH62" i="114" s="1"/>
  <c r="I41" i="114"/>
  <c r="J69" i="114"/>
  <c r="AK41" i="114"/>
  <c r="I46" i="114"/>
  <c r="AJ46" i="114" s="1"/>
  <c r="CI46" i="114" s="1"/>
  <c r="EH46" i="114" s="1"/>
  <c r="GG46" i="114" s="1"/>
  <c r="AK46" i="114"/>
  <c r="CJ46" i="114" s="1"/>
  <c r="EI46" i="114" s="1"/>
  <c r="GH46" i="114" s="1"/>
  <c r="I52" i="114"/>
  <c r="AJ52" i="114" s="1"/>
  <c r="CI52" i="114" s="1"/>
  <c r="EH52" i="114" s="1"/>
  <c r="GG52" i="114" s="1"/>
  <c r="AK52" i="114"/>
  <c r="CJ52" i="114" s="1"/>
  <c r="EI52" i="114" s="1"/>
  <c r="GH52" i="114" s="1"/>
  <c r="I61" i="114"/>
  <c r="J60" i="114"/>
  <c r="AK60" i="114" s="1"/>
  <c r="CJ60" i="114" s="1"/>
  <c r="EI60" i="114" s="1"/>
  <c r="GH60" i="114" s="1"/>
  <c r="AK61" i="114"/>
  <c r="CJ61" i="114" s="1"/>
  <c r="EI61" i="114" s="1"/>
  <c r="GH61" i="114" s="1"/>
  <c r="I66" i="114"/>
  <c r="AJ66" i="114" s="1"/>
  <c r="CI66" i="114" s="1"/>
  <c r="EH66" i="114" s="1"/>
  <c r="GG66" i="114" s="1"/>
  <c r="AK66" i="114"/>
  <c r="CJ66" i="114" s="1"/>
  <c r="EI66" i="114" s="1"/>
  <c r="GH66" i="114" s="1"/>
  <c r="CX17" i="114"/>
  <c r="CE15" i="114"/>
  <c r="FE19" i="114"/>
  <c r="EA53" i="116"/>
  <c r="Y44" i="119" s="1"/>
  <c r="FY51" i="116"/>
  <c r="GB51" i="116"/>
  <c r="EL53" i="116"/>
  <c r="FP53" i="116"/>
  <c r="FE53" i="116"/>
  <c r="FN53" i="116" s="1"/>
  <c r="FZ52" i="116"/>
  <c r="FZ51" i="116"/>
  <c r="EK53" i="116"/>
  <c r="GA53" i="116"/>
  <c r="BS17" i="114"/>
  <c r="BS35" i="114" s="1"/>
  <c r="AZ17" i="114"/>
  <c r="BU12" i="114"/>
  <c r="BU13" i="114" s="1"/>
  <c r="K18" i="114"/>
  <c r="FG17" i="114"/>
  <c r="FR12" i="114"/>
  <c r="FR13" i="114" s="1"/>
  <c r="FQ14" i="114"/>
  <c r="AH32" i="114"/>
  <c r="AH70" i="114"/>
  <c r="AG32" i="114"/>
  <c r="AG70" i="114"/>
  <c r="DS32" i="114"/>
  <c r="DS70" i="114"/>
  <c r="DS77" i="114" s="1"/>
  <c r="BT71" i="114"/>
  <c r="FR32" i="114"/>
  <c r="FR70" i="114"/>
  <c r="FR77" i="114" s="1"/>
  <c r="FS32" i="114"/>
  <c r="FS70" i="114"/>
  <c r="FS77" i="114" s="1"/>
  <c r="BQ19" i="114"/>
  <c r="AO19" i="114"/>
  <c r="AX19" i="114"/>
  <c r="BR9" i="114"/>
  <c r="CA9" i="114" s="1"/>
  <c r="BU32" i="114"/>
  <c r="BU70" i="114"/>
  <c r="BR19" i="114"/>
  <c r="CA19" i="114" s="1"/>
  <c r="BT12" i="114"/>
  <c r="BT13" i="114" s="1"/>
  <c r="AF34" i="114"/>
  <c r="AF33" i="114"/>
  <c r="BS34" i="114"/>
  <c r="BS33" i="114"/>
  <c r="BS14" i="114"/>
  <c r="BS32" i="114" s="1"/>
  <c r="BT32" i="114"/>
  <c r="EF36" i="114"/>
  <c r="CF34" i="114"/>
  <c r="CF33" i="114"/>
  <c r="AF35" i="114"/>
  <c r="EE33" i="114"/>
  <c r="EE34" i="114"/>
  <c r="CG36" i="114"/>
  <c r="GD15" i="114"/>
  <c r="CF17" i="114"/>
  <c r="CF35" i="114" s="1"/>
  <c r="FQ11" i="114"/>
  <c r="FS12" i="114"/>
  <c r="FO18" i="114"/>
  <c r="EM18" i="114"/>
  <c r="DG17" i="114"/>
  <c r="DF18" i="114"/>
  <c r="CP17" i="114"/>
  <c r="DQ18" i="114"/>
  <c r="FP18" i="114"/>
  <c r="EO17" i="114"/>
  <c r="FP15" i="114"/>
  <c r="CN18" i="114"/>
  <c r="DP18" i="114"/>
  <c r="CO17" i="114"/>
  <c r="EF19" i="114"/>
  <c r="ED19" i="114" s="1"/>
  <c r="EX17" i="114"/>
  <c r="CW19" i="114"/>
  <c r="DQ15" i="114"/>
  <c r="EV19" i="114"/>
  <c r="CY17" i="114"/>
  <c r="CW17" i="114" s="1"/>
  <c r="BG18" i="114"/>
  <c r="AX18" i="114"/>
  <c r="BR15" i="114"/>
  <c r="ED16" i="114"/>
  <c r="GD16" i="114"/>
  <c r="GE15" i="114"/>
  <c r="GD19" i="114"/>
  <c r="GE16" i="114"/>
  <c r="FE18" i="114"/>
  <c r="FF17" i="114"/>
  <c r="EM19" i="114"/>
  <c r="FO19" i="114"/>
  <c r="DQ9" i="114"/>
  <c r="EV18" i="114"/>
  <c r="EW17" i="114"/>
  <c r="FP9" i="114"/>
  <c r="CN19" i="114"/>
  <c r="DP19" i="114"/>
  <c r="AQ17" i="114"/>
  <c r="BR18" i="114"/>
  <c r="BQ18" i="114"/>
  <c r="AO18" i="114"/>
  <c r="GE9" i="114"/>
  <c r="FP19" i="114"/>
  <c r="FY19" i="114" s="1"/>
  <c r="FQ10" i="114"/>
  <c r="DR10" i="114"/>
  <c r="BS10" i="114"/>
  <c r="AG12" i="114"/>
  <c r="CE8" i="114"/>
  <c r="EF18" i="114"/>
  <c r="CG17" i="114"/>
  <c r="CE18" i="114"/>
  <c r="EE18" i="114"/>
  <c r="ED15" i="114"/>
  <c r="AF10" i="114"/>
  <c r="AH12" i="114"/>
  <c r="AH13" i="114" s="1"/>
  <c r="CG10" i="114"/>
  <c r="EF8" i="114"/>
  <c r="CF11" i="114"/>
  <c r="CF10" i="114"/>
  <c r="EE8" i="114"/>
  <c r="EM17" i="114"/>
  <c r="DS12" i="114"/>
  <c r="DR11" i="114"/>
  <c r="AO17" i="114"/>
  <c r="T17" i="114"/>
  <c r="AD18" i="114"/>
  <c r="M17" i="114"/>
  <c r="AF14" i="114"/>
  <c r="AF32" i="114" s="1"/>
  <c r="K19" i="114"/>
  <c r="B19" i="114"/>
  <c r="AE19" i="114"/>
  <c r="AD19" i="114"/>
  <c r="CC19" i="114" s="1"/>
  <c r="C17" i="114"/>
  <c r="L17" i="114"/>
  <c r="AE18" i="114"/>
  <c r="D17" i="114"/>
  <c r="B18" i="114"/>
  <c r="AE9" i="114"/>
  <c r="AE15" i="114"/>
  <c r="CD15" i="114" s="1"/>
  <c r="EC15" i="114" s="1"/>
  <c r="EL15" i="114" s="1"/>
  <c r="AF11" i="114"/>
  <c r="DR14" i="114" l="1"/>
  <c r="DT12" i="114"/>
  <c r="DT13" i="114" s="1"/>
  <c r="DT32" i="114"/>
  <c r="DT71" i="114"/>
  <c r="ED9" i="114"/>
  <c r="BS12" i="114"/>
  <c r="BS13" i="114" s="1"/>
  <c r="CE10" i="114"/>
  <c r="FQ12" i="114"/>
  <c r="FQ13" i="114" s="1"/>
  <c r="AX17" i="114"/>
  <c r="GI52" i="116"/>
  <c r="AE43" i="119"/>
  <c r="FY53" i="116"/>
  <c r="AD44" i="119"/>
  <c r="GK51" i="116"/>
  <c r="AG42" i="119"/>
  <c r="I60" i="114"/>
  <c r="AJ60" i="114" s="1"/>
  <c r="CI60" i="114" s="1"/>
  <c r="EH60" i="114" s="1"/>
  <c r="GG60" i="114" s="1"/>
  <c r="AJ61" i="114"/>
  <c r="CI61" i="114" s="1"/>
  <c r="EH61" i="114" s="1"/>
  <c r="GG61" i="114" s="1"/>
  <c r="J74" i="114"/>
  <c r="J71" i="114"/>
  <c r="I48" i="114"/>
  <c r="AJ47" i="114"/>
  <c r="I49" i="114"/>
  <c r="AJ49" i="114" s="1"/>
  <c r="CI49" i="114" s="1"/>
  <c r="EH49" i="114" s="1"/>
  <c r="GG49" i="114" s="1"/>
  <c r="AJ50" i="114"/>
  <c r="CI50" i="114" s="1"/>
  <c r="EH50" i="114" s="1"/>
  <c r="GG50" i="114" s="1"/>
  <c r="FE17" i="114"/>
  <c r="GJ53" i="116"/>
  <c r="AF44" i="119"/>
  <c r="EJ53" i="116"/>
  <c r="GI51" i="116"/>
  <c r="AE42" i="119"/>
  <c r="FW53" i="116"/>
  <c r="AB44" i="119"/>
  <c r="CJ41" i="114"/>
  <c r="AK69" i="114"/>
  <c r="AK71" i="114" s="1"/>
  <c r="AJ41" i="114"/>
  <c r="CJ47" i="114"/>
  <c r="AK48" i="114"/>
  <c r="I54" i="114"/>
  <c r="AJ54" i="114" s="1"/>
  <c r="CI54" i="114" s="1"/>
  <c r="EH54" i="114" s="1"/>
  <c r="GG54" i="114" s="1"/>
  <c r="AJ55" i="114"/>
  <c r="CI55" i="114" s="1"/>
  <c r="EH55" i="114" s="1"/>
  <c r="GG55" i="114" s="1"/>
  <c r="FZ53" i="116"/>
  <c r="GB53" i="116"/>
  <c r="BS70" i="114"/>
  <c r="CF75" i="114"/>
  <c r="FS71" i="114"/>
  <c r="FQ70" i="114"/>
  <c r="FR71" i="114"/>
  <c r="BP19" i="114"/>
  <c r="BZ19" i="114"/>
  <c r="BY19" i="114" s="1"/>
  <c r="DR70" i="114"/>
  <c r="DS71" i="114"/>
  <c r="AF70" i="114"/>
  <c r="AG71" i="114"/>
  <c r="AH71" i="114"/>
  <c r="CF14" i="114"/>
  <c r="CF12" i="114" s="1"/>
  <c r="GE36" i="114"/>
  <c r="GD33" i="114"/>
  <c r="GD34" i="114"/>
  <c r="AM18" i="114"/>
  <c r="CC18" i="114"/>
  <c r="CD9" i="114"/>
  <c r="AC18" i="114"/>
  <c r="CD18" i="114"/>
  <c r="EB19" i="114"/>
  <c r="CL19" i="114"/>
  <c r="GD8" i="114"/>
  <c r="GD10" i="114" s="1"/>
  <c r="CE11" i="114"/>
  <c r="GD18" i="114"/>
  <c r="CG14" i="114"/>
  <c r="GK9" i="114"/>
  <c r="BP18" i="114"/>
  <c r="BQ17" i="114"/>
  <c r="BZ18" i="114"/>
  <c r="DZ9" i="114"/>
  <c r="FN19" i="114"/>
  <c r="FX19" i="114"/>
  <c r="FW19" i="114" s="1"/>
  <c r="GK15" i="114"/>
  <c r="GC16" i="114"/>
  <c r="CN17" i="114"/>
  <c r="FY15" i="114"/>
  <c r="DQ17" i="114"/>
  <c r="DZ17" i="114" s="1"/>
  <c r="DZ18" i="114"/>
  <c r="AN19" i="114"/>
  <c r="CD19" i="114"/>
  <c r="CB19" i="114" s="1"/>
  <c r="GE8" i="114"/>
  <c r="EF17" i="114"/>
  <c r="GE18" i="114"/>
  <c r="BR17" i="114"/>
  <c r="CA18" i="114"/>
  <c r="CA17" i="114" s="1"/>
  <c r="DO19" i="114"/>
  <c r="DY19" i="114"/>
  <c r="DX19" i="114" s="1"/>
  <c r="FY9" i="114"/>
  <c r="EV17" i="114"/>
  <c r="GJ19" i="114"/>
  <c r="GC9" i="114"/>
  <c r="CA15" i="114"/>
  <c r="DZ15" i="114"/>
  <c r="GE19" i="114"/>
  <c r="GK19" i="114" s="1"/>
  <c r="DO18" i="114"/>
  <c r="DY18" i="114"/>
  <c r="DP17" i="114"/>
  <c r="FP17" i="114"/>
  <c r="FY17" i="114" s="1"/>
  <c r="FY18" i="114"/>
  <c r="DF17" i="114"/>
  <c r="FN18" i="114"/>
  <c r="FO17" i="114"/>
  <c r="FX18" i="114"/>
  <c r="FS13" i="114"/>
  <c r="GC15" i="114"/>
  <c r="CM15" i="114"/>
  <c r="ED18" i="114"/>
  <c r="EE17" i="114"/>
  <c r="EE35" i="114" s="1"/>
  <c r="CE17" i="114"/>
  <c r="EF11" i="114"/>
  <c r="EF10" i="114"/>
  <c r="EE10" i="114"/>
  <c r="ED8" i="114"/>
  <c r="EE11" i="114"/>
  <c r="DS13" i="114"/>
  <c r="B17" i="114"/>
  <c r="AC19" i="114"/>
  <c r="AM19" i="114"/>
  <c r="AN15" i="114"/>
  <c r="AN9" i="114"/>
  <c r="AE17" i="114"/>
  <c r="AN18" i="114"/>
  <c r="K17" i="114"/>
  <c r="AD17" i="114"/>
  <c r="AG13" i="114"/>
  <c r="AF12" i="114"/>
  <c r="AF13" i="114" s="1"/>
  <c r="DR12" i="114" l="1"/>
  <c r="DR13" i="114" s="1"/>
  <c r="GK53" i="116"/>
  <c r="AG44" i="119"/>
  <c r="GI53" i="116"/>
  <c r="AE44" i="119"/>
  <c r="EI47" i="114"/>
  <c r="CJ48" i="114"/>
  <c r="I69" i="114"/>
  <c r="EI41" i="114"/>
  <c r="CJ69" i="114"/>
  <c r="CJ71" i="114" s="1"/>
  <c r="AK74" i="114"/>
  <c r="CJ74" i="114" s="1"/>
  <c r="EI74" i="114" s="1"/>
  <c r="GH74" i="114" s="1"/>
  <c r="J76" i="114"/>
  <c r="J75" i="114"/>
  <c r="AK75" i="114" s="1"/>
  <c r="CJ75" i="114" s="1"/>
  <c r="EI75" i="114" s="1"/>
  <c r="GH75" i="114" s="1"/>
  <c r="CE14" i="114"/>
  <c r="CI41" i="114"/>
  <c r="AJ69" i="114"/>
  <c r="CI47" i="114"/>
  <c r="AJ48" i="114"/>
  <c r="DX18" i="114"/>
  <c r="CF76" i="114"/>
  <c r="AG77" i="114"/>
  <c r="FQ71" i="114"/>
  <c r="FQ77" i="114"/>
  <c r="AH77" i="114"/>
  <c r="DR71" i="114"/>
  <c r="DR77" i="114"/>
  <c r="EE75" i="114"/>
  <c r="CF32" i="114"/>
  <c r="CF70" i="114"/>
  <c r="AF71" i="114"/>
  <c r="CG32" i="114"/>
  <c r="CG70" i="114"/>
  <c r="GC19" i="114"/>
  <c r="FN17" i="114"/>
  <c r="FX17" i="114"/>
  <c r="FW17" i="114" s="1"/>
  <c r="EF14" i="114"/>
  <c r="EF70" i="114" s="1"/>
  <c r="GE11" i="114"/>
  <c r="BY18" i="114"/>
  <c r="BZ17" i="114"/>
  <c r="BY17" i="114" s="1"/>
  <c r="CG12" i="114"/>
  <c r="CE12" i="114" s="1"/>
  <c r="CE13" i="114" s="1"/>
  <c r="GJ18" i="114"/>
  <c r="GC18" i="114"/>
  <c r="GD17" i="114"/>
  <c r="GD35" i="114" s="1"/>
  <c r="GD11" i="114"/>
  <c r="GC8" i="114"/>
  <c r="GC10" i="114" s="1"/>
  <c r="CB18" i="114"/>
  <c r="EC18" i="114"/>
  <c r="CD17" i="114"/>
  <c r="CM18" i="114"/>
  <c r="EC9" i="114"/>
  <c r="CM9" i="114"/>
  <c r="FW18" i="114"/>
  <c r="GI19" i="114"/>
  <c r="GE10" i="114"/>
  <c r="DY17" i="114"/>
  <c r="DX17" i="114" s="1"/>
  <c r="DO17" i="114"/>
  <c r="GK18" i="114"/>
  <c r="GE17" i="114"/>
  <c r="EC19" i="114"/>
  <c r="EL19" i="114" s="1"/>
  <c r="CM19" i="114"/>
  <c r="CK19" i="114" s="1"/>
  <c r="EK19" i="114"/>
  <c r="EB18" i="114"/>
  <c r="CC17" i="114"/>
  <c r="CL18" i="114"/>
  <c r="BP17" i="114"/>
  <c r="ED17" i="114"/>
  <c r="EE14" i="114"/>
  <c r="ED11" i="114"/>
  <c r="ED10" i="114"/>
  <c r="CF13" i="114"/>
  <c r="AN17" i="114"/>
  <c r="AL18" i="114"/>
  <c r="AL19" i="114"/>
  <c r="AM17" i="114"/>
  <c r="AC17" i="114"/>
  <c r="EJ19" i="114" l="1"/>
  <c r="AL17" i="114"/>
  <c r="AI69" i="114"/>
  <c r="AJ71" i="114"/>
  <c r="AK76" i="114"/>
  <c r="J77" i="114"/>
  <c r="I74" i="114"/>
  <c r="I71" i="114"/>
  <c r="GH47" i="114"/>
  <c r="GH48" i="114" s="1"/>
  <c r="EI48" i="114"/>
  <c r="EH47" i="114"/>
  <c r="CI48" i="114"/>
  <c r="CI69" i="114"/>
  <c r="EH41" i="114"/>
  <c r="GH41" i="114"/>
  <c r="EI69" i="114"/>
  <c r="EI71" i="114" s="1"/>
  <c r="CK18" i="114"/>
  <c r="GD75" i="114"/>
  <c r="EE76" i="114"/>
  <c r="CF77" i="114"/>
  <c r="EE32" i="114"/>
  <c r="EE70" i="114"/>
  <c r="CE70" i="114"/>
  <c r="CF71" i="114"/>
  <c r="EF12" i="114"/>
  <c r="EF13" i="114" s="1"/>
  <c r="EF32" i="114"/>
  <c r="CB17" i="114"/>
  <c r="CL17" i="114"/>
  <c r="ED14" i="114"/>
  <c r="EA18" i="114"/>
  <c r="EB17" i="114"/>
  <c r="EK18" i="114"/>
  <c r="GK17" i="114"/>
  <c r="GE14" i="114"/>
  <c r="GE70" i="114" s="1"/>
  <c r="EL9" i="114"/>
  <c r="EC17" i="114"/>
  <c r="EL18" i="114"/>
  <c r="GC11" i="114"/>
  <c r="EA19" i="114"/>
  <c r="CM17" i="114"/>
  <c r="GJ17" i="114"/>
  <c r="GC17" i="114"/>
  <c r="GD14" i="114"/>
  <c r="CG13" i="114"/>
  <c r="GI18" i="114"/>
  <c r="EE12" i="114"/>
  <c r="GI17" i="114" l="1"/>
  <c r="AI71" i="114"/>
  <c r="AI82" i="114"/>
  <c r="GE12" i="114"/>
  <c r="GE13" i="114" s="1"/>
  <c r="GG41" i="114"/>
  <c r="EH69" i="114"/>
  <c r="EH71" i="114" s="1"/>
  <c r="H74" i="114"/>
  <c r="AI74" i="114" s="1"/>
  <c r="CH74" i="114" s="1"/>
  <c r="EG74" i="114" s="1"/>
  <c r="GF74" i="114" s="1"/>
  <c r="AJ74" i="114"/>
  <c r="CI74" i="114" s="1"/>
  <c r="EH74" i="114" s="1"/>
  <c r="GG74" i="114" s="1"/>
  <c r="CJ76" i="114"/>
  <c r="AK77" i="114"/>
  <c r="GH69" i="114"/>
  <c r="GH71" i="114" s="1"/>
  <c r="CH69" i="114"/>
  <c r="CI71" i="114"/>
  <c r="EH48" i="114"/>
  <c r="GG47" i="114"/>
  <c r="GG48" i="114" s="1"/>
  <c r="GD76" i="114"/>
  <c r="EE77" i="114"/>
  <c r="GD32" i="114"/>
  <c r="GD70" i="114"/>
  <c r="EE71" i="114"/>
  <c r="GE32" i="114"/>
  <c r="GC14" i="114"/>
  <c r="EL17" i="114"/>
  <c r="EA17" i="114"/>
  <c r="EK17" i="114"/>
  <c r="GD12" i="114"/>
  <c r="ED12" i="114"/>
  <c r="ED13" i="114" s="1"/>
  <c r="EJ18" i="114"/>
  <c r="CK17" i="114"/>
  <c r="EE13" i="114"/>
  <c r="GG69" i="114" l="1"/>
  <c r="CH71" i="114"/>
  <c r="CH82" i="114"/>
  <c r="EI76" i="114"/>
  <c r="CJ77" i="114"/>
  <c r="GF69" i="114"/>
  <c r="GG71" i="114"/>
  <c r="GD77" i="114"/>
  <c r="GC70" i="114"/>
  <c r="GD71" i="114"/>
  <c r="GD13" i="114"/>
  <c r="GC12" i="114"/>
  <c r="GC13" i="114" s="1"/>
  <c r="EJ17" i="114"/>
  <c r="CA19" i="113"/>
  <c r="BZ19" i="113"/>
  <c r="BZ181" i="113" s="1"/>
  <c r="CA18" i="113"/>
  <c r="CA180" i="113" s="1"/>
  <c r="BZ18" i="113"/>
  <c r="CA16" i="113"/>
  <c r="CA178" i="113" s="1"/>
  <c r="BZ16" i="113"/>
  <c r="BZ178" i="113" s="1"/>
  <c r="CA15" i="113"/>
  <c r="CA177" i="113" s="1"/>
  <c r="BZ15" i="113"/>
  <c r="CA9" i="113"/>
  <c r="CA171" i="113" s="1"/>
  <c r="BZ9" i="113"/>
  <c r="BZ171" i="113" s="1"/>
  <c r="CA8" i="113"/>
  <c r="CA170" i="113" s="1"/>
  <c r="BZ8" i="113"/>
  <c r="BZ170" i="113" s="1"/>
  <c r="BV19" i="113"/>
  <c r="BV181" i="113" s="1"/>
  <c r="BS19" i="113"/>
  <c r="BS181" i="113" s="1"/>
  <c r="BP19" i="113"/>
  <c r="BP181" i="113" s="1"/>
  <c r="BV18" i="113"/>
  <c r="BV180" i="113" s="1"/>
  <c r="BS18" i="113"/>
  <c r="BS180" i="113" s="1"/>
  <c r="BP18" i="113"/>
  <c r="BP180" i="113" s="1"/>
  <c r="BX17" i="113"/>
  <c r="BW17" i="113"/>
  <c r="BU17" i="113"/>
  <c r="BT17" i="113"/>
  <c r="BT179" i="113" s="1"/>
  <c r="BR17" i="113"/>
  <c r="BQ17" i="113"/>
  <c r="BQ179" i="113" s="1"/>
  <c r="BV16" i="113"/>
  <c r="BV178" i="113" s="1"/>
  <c r="BS16" i="113"/>
  <c r="BS178" i="113" s="1"/>
  <c r="BP16" i="113"/>
  <c r="BP178" i="113" s="1"/>
  <c r="BV15" i="113"/>
  <c r="BV177" i="113" s="1"/>
  <c r="BS15" i="113"/>
  <c r="BS177" i="113" s="1"/>
  <c r="BP15" i="113"/>
  <c r="BP177" i="113" s="1"/>
  <c r="BX11" i="113"/>
  <c r="BX173" i="113" s="1"/>
  <c r="BW11" i="113"/>
  <c r="BU11" i="113"/>
  <c r="BU173" i="113" s="1"/>
  <c r="BT11" i="113"/>
  <c r="BT173" i="113" s="1"/>
  <c r="BR11" i="113"/>
  <c r="BQ11" i="113"/>
  <c r="BQ173" i="113" s="1"/>
  <c r="BX10" i="113"/>
  <c r="BW10" i="113"/>
  <c r="BU10" i="113"/>
  <c r="BT10" i="113"/>
  <c r="BR10" i="113"/>
  <c r="BQ10" i="113"/>
  <c r="BV9" i="113"/>
  <c r="BV171" i="113" s="1"/>
  <c r="BS9" i="113"/>
  <c r="BS171" i="113" s="1"/>
  <c r="BP9" i="113"/>
  <c r="BP171" i="113" s="1"/>
  <c r="BV8" i="113"/>
  <c r="BV170" i="113" s="1"/>
  <c r="BS8" i="113"/>
  <c r="BS170" i="113" s="1"/>
  <c r="BP8" i="113"/>
  <c r="BP170" i="113" s="1"/>
  <c r="BC19" i="113"/>
  <c r="BC181" i="113" s="1"/>
  <c r="BB19" i="113"/>
  <c r="BB181" i="113" s="1"/>
  <c r="BC18" i="113"/>
  <c r="BC180" i="113" s="1"/>
  <c r="BB18" i="113"/>
  <c r="BC16" i="113"/>
  <c r="BC178" i="113" s="1"/>
  <c r="BB16" i="113"/>
  <c r="BB178" i="113" s="1"/>
  <c r="BC15" i="113"/>
  <c r="BC177" i="113" s="1"/>
  <c r="BB15" i="113"/>
  <c r="BC9" i="113"/>
  <c r="BC171" i="113" s="1"/>
  <c r="BB9" i="113"/>
  <c r="BB171" i="113" s="1"/>
  <c r="BC8" i="113"/>
  <c r="BC170" i="113" s="1"/>
  <c r="BB8" i="113"/>
  <c r="BB170" i="113" s="1"/>
  <c r="BY19" i="113" l="1"/>
  <c r="BY181" i="113" s="1"/>
  <c r="GF71" i="114"/>
  <c r="GF82" i="114"/>
  <c r="GH76" i="114"/>
  <c r="GH77" i="114" s="1"/>
  <c r="EI77" i="114"/>
  <c r="BP172" i="113"/>
  <c r="BV172" i="113"/>
  <c r="BV17" i="113"/>
  <c r="BV179" i="113" s="1"/>
  <c r="BW179" i="113"/>
  <c r="BY15" i="113"/>
  <c r="BY177" i="113" s="1"/>
  <c r="BZ177" i="113"/>
  <c r="BY18" i="113"/>
  <c r="BY180" i="113" s="1"/>
  <c r="BZ180" i="113"/>
  <c r="CA17" i="113"/>
  <c r="CA179" i="113" s="1"/>
  <c r="CA181" i="113"/>
  <c r="BA15" i="113"/>
  <c r="BA177" i="113" s="1"/>
  <c r="BB177" i="113"/>
  <c r="BA18" i="113"/>
  <c r="BA180" i="113" s="1"/>
  <c r="BB180" i="113"/>
  <c r="BW173" i="113"/>
  <c r="BR14" i="113"/>
  <c r="BR179" i="113"/>
  <c r="BU14" i="113"/>
  <c r="BU176" i="113" s="1"/>
  <c r="BU215" i="113" s="1"/>
  <c r="BU216" i="113" s="1"/>
  <c r="BU179" i="113"/>
  <c r="BX14" i="113"/>
  <c r="BX179" i="113"/>
  <c r="BC172" i="113"/>
  <c r="BZ172" i="113"/>
  <c r="BB172" i="113"/>
  <c r="BS172" i="113"/>
  <c r="BW14" i="113"/>
  <c r="CA172" i="113"/>
  <c r="BR12" i="113"/>
  <c r="BR173" i="113"/>
  <c r="BU154" i="113"/>
  <c r="BU155" i="113" s="1"/>
  <c r="BU12" i="113"/>
  <c r="BP17" i="113"/>
  <c r="BP179" i="113" s="1"/>
  <c r="BS17" i="113"/>
  <c r="BS179" i="113" s="1"/>
  <c r="BA9" i="113"/>
  <c r="BA171" i="113" s="1"/>
  <c r="BC17" i="113"/>
  <c r="BC179" i="113" s="1"/>
  <c r="BS10" i="113"/>
  <c r="BP10" i="113"/>
  <c r="BV10" i="113"/>
  <c r="BX12" i="113"/>
  <c r="BQ14" i="113"/>
  <c r="BV14" i="113"/>
  <c r="BY9" i="113"/>
  <c r="BY171" i="113" s="1"/>
  <c r="BQ12" i="113"/>
  <c r="BP12" i="113" s="1"/>
  <c r="BA19" i="113"/>
  <c r="BA181" i="113" s="1"/>
  <c r="BV11" i="113"/>
  <c r="BV173" i="113" s="1"/>
  <c r="BB11" i="113"/>
  <c r="BB173" i="113" s="1"/>
  <c r="BC10" i="113"/>
  <c r="BA16" i="113"/>
  <c r="BA178" i="113" s="1"/>
  <c r="BP11" i="113"/>
  <c r="BP173" i="113" s="1"/>
  <c r="BZ11" i="113"/>
  <c r="BZ173" i="113" s="1"/>
  <c r="CA10" i="113"/>
  <c r="BY16" i="113"/>
  <c r="BY178" i="113" s="1"/>
  <c r="BZ10" i="113"/>
  <c r="CA11" i="113"/>
  <c r="BY8" i="113"/>
  <c r="BZ17" i="113"/>
  <c r="BZ179" i="113" s="1"/>
  <c r="BP14" i="113"/>
  <c r="BS11" i="113"/>
  <c r="BS173" i="113" s="1"/>
  <c r="BT14" i="113"/>
  <c r="BT176" i="113" s="1"/>
  <c r="BT215" i="113" s="1"/>
  <c r="BT216" i="113" s="1"/>
  <c r="BB10" i="113"/>
  <c r="BC11" i="113"/>
  <c r="BA8" i="113"/>
  <c r="BB17" i="113"/>
  <c r="BB179" i="113" s="1"/>
  <c r="AX19" i="113"/>
  <c r="AX181" i="113" s="1"/>
  <c r="AU19" i="113"/>
  <c r="AU181" i="113" s="1"/>
  <c r="AR19" i="113"/>
  <c r="AR181" i="113" s="1"/>
  <c r="AX18" i="113"/>
  <c r="AX180" i="113" s="1"/>
  <c r="AU18" i="113"/>
  <c r="AU180" i="113" s="1"/>
  <c r="AR18" i="113"/>
  <c r="AR180" i="113" s="1"/>
  <c r="AZ17" i="113"/>
  <c r="AZ179" i="113" s="1"/>
  <c r="AY17" i="113"/>
  <c r="AY179" i="113" s="1"/>
  <c r="AW17" i="113"/>
  <c r="AV17" i="113"/>
  <c r="AV179" i="113" s="1"/>
  <c r="AT17" i="113"/>
  <c r="AS17" i="113"/>
  <c r="AS179" i="113" s="1"/>
  <c r="AX16" i="113"/>
  <c r="AX178" i="113" s="1"/>
  <c r="AU16" i="113"/>
  <c r="AU178" i="113" s="1"/>
  <c r="AR16" i="113"/>
  <c r="AR178" i="113" s="1"/>
  <c r="AX15" i="113"/>
  <c r="AX177" i="113" s="1"/>
  <c r="AU15" i="113"/>
  <c r="AU177" i="113" s="1"/>
  <c r="AR15" i="113"/>
  <c r="AR177" i="113" s="1"/>
  <c r="AZ14" i="113"/>
  <c r="AZ11" i="113"/>
  <c r="AZ173" i="113" s="1"/>
  <c r="AY11" i="113"/>
  <c r="AY173" i="113" s="1"/>
  <c r="AW11" i="113"/>
  <c r="AW173" i="113" s="1"/>
  <c r="AV11" i="113"/>
  <c r="AV173" i="113" s="1"/>
  <c r="AT11" i="113"/>
  <c r="AT173" i="113" s="1"/>
  <c r="AS11" i="113"/>
  <c r="AS173" i="113" s="1"/>
  <c r="AZ10" i="113"/>
  <c r="AY10" i="113"/>
  <c r="AW10" i="113"/>
  <c r="AV10" i="113"/>
  <c r="AT10" i="113"/>
  <c r="AS10" i="113"/>
  <c r="AX9" i="113"/>
  <c r="AX171" i="113" s="1"/>
  <c r="AU9" i="113"/>
  <c r="AU171" i="113" s="1"/>
  <c r="AR9" i="113"/>
  <c r="AR171" i="113" s="1"/>
  <c r="AX8" i="113"/>
  <c r="AX170" i="113" s="1"/>
  <c r="AU8" i="113"/>
  <c r="AU170" i="113" s="1"/>
  <c r="AR8" i="113"/>
  <c r="AR170" i="113" s="1"/>
  <c r="Z19" i="113"/>
  <c r="Z181" i="113" s="1"/>
  <c r="W19" i="113"/>
  <c r="W181" i="113" s="1"/>
  <c r="T19" i="113"/>
  <c r="T181" i="113" s="1"/>
  <c r="Z18" i="113"/>
  <c r="Z180" i="113" s="1"/>
  <c r="W18" i="113"/>
  <c r="W180" i="113" s="1"/>
  <c r="T18" i="113"/>
  <c r="T180" i="113" s="1"/>
  <c r="AB17" i="113"/>
  <c r="AA17" i="113"/>
  <c r="AA179" i="113" s="1"/>
  <c r="Y17" i="113"/>
  <c r="X17" i="113"/>
  <c r="X179" i="113" s="1"/>
  <c r="V17" i="113"/>
  <c r="U17" i="113"/>
  <c r="Z16" i="113"/>
  <c r="Z178" i="113" s="1"/>
  <c r="W16" i="113"/>
  <c r="W178" i="113" s="1"/>
  <c r="T16" i="113"/>
  <c r="T178" i="113" s="1"/>
  <c r="Z15" i="113"/>
  <c r="Z177" i="113" s="1"/>
  <c r="W15" i="113"/>
  <c r="W177" i="113" s="1"/>
  <c r="T15" i="113"/>
  <c r="T177" i="113" s="1"/>
  <c r="U14" i="113"/>
  <c r="AB11" i="113"/>
  <c r="AA11" i="113"/>
  <c r="AA173" i="113" s="1"/>
  <c r="Y11" i="113"/>
  <c r="Y173" i="113" s="1"/>
  <c r="X11" i="113"/>
  <c r="X173" i="113" s="1"/>
  <c r="V11" i="113"/>
  <c r="U11" i="113"/>
  <c r="AB10" i="113"/>
  <c r="AA10" i="113"/>
  <c r="Y10" i="113"/>
  <c r="X10" i="113"/>
  <c r="V10" i="113"/>
  <c r="U10" i="113"/>
  <c r="Z9" i="113"/>
  <c r="Z171" i="113" s="1"/>
  <c r="W9" i="113"/>
  <c r="W171" i="113" s="1"/>
  <c r="T9" i="113"/>
  <c r="T171" i="113" s="1"/>
  <c r="Z8" i="113"/>
  <c r="Z170" i="113" s="1"/>
  <c r="W170" i="113"/>
  <c r="T8" i="113"/>
  <c r="T170" i="113" s="1"/>
  <c r="AE19" i="113"/>
  <c r="AE181" i="113" s="1"/>
  <c r="AD19" i="113"/>
  <c r="AD181" i="113" s="1"/>
  <c r="AE18" i="113"/>
  <c r="AD18" i="113"/>
  <c r="AD180" i="113" s="1"/>
  <c r="AE16" i="113"/>
  <c r="AE178" i="113" s="1"/>
  <c r="AD16" i="113"/>
  <c r="AD178" i="113" s="1"/>
  <c r="AE15" i="113"/>
  <c r="AE177" i="113" s="1"/>
  <c r="AD15" i="113"/>
  <c r="AD177" i="113" s="1"/>
  <c r="AE9" i="113"/>
  <c r="AE171" i="113" s="1"/>
  <c r="AD9" i="113"/>
  <c r="AD171" i="113" s="1"/>
  <c r="AE8" i="113"/>
  <c r="AE170" i="113" s="1"/>
  <c r="AD8" i="113"/>
  <c r="AD170" i="113" s="1"/>
  <c r="P16" i="113"/>
  <c r="O16" i="113"/>
  <c r="O178" i="113" s="1"/>
  <c r="P15" i="113"/>
  <c r="O15" i="113"/>
  <c r="O177" i="113" s="1"/>
  <c r="P19" i="113"/>
  <c r="O19" i="113"/>
  <c r="O181" i="113" s="1"/>
  <c r="P18" i="113"/>
  <c r="P180" i="113" s="1"/>
  <c r="O18" i="113"/>
  <c r="O180" i="113" s="1"/>
  <c r="P9" i="113"/>
  <c r="O9" i="113"/>
  <c r="O171" i="113" s="1"/>
  <c r="P8" i="113"/>
  <c r="O8" i="113"/>
  <c r="O170" i="113" s="1"/>
  <c r="P17" i="113"/>
  <c r="K19" i="113"/>
  <c r="K181" i="113" s="1"/>
  <c r="K18" i="113"/>
  <c r="K180" i="113" s="1"/>
  <c r="M17" i="113"/>
  <c r="M179" i="113" s="1"/>
  <c r="L17" i="113"/>
  <c r="K16" i="113"/>
  <c r="K178" i="113" s="1"/>
  <c r="K15" i="113"/>
  <c r="K177" i="113" s="1"/>
  <c r="M14" i="113"/>
  <c r="M11" i="113"/>
  <c r="M173" i="113" s="1"/>
  <c r="L11" i="113"/>
  <c r="L173" i="113" s="1"/>
  <c r="M10" i="113"/>
  <c r="L10" i="113"/>
  <c r="K9" i="113"/>
  <c r="K171" i="113" s="1"/>
  <c r="K8" i="113"/>
  <c r="H19" i="113"/>
  <c r="H181" i="113" s="1"/>
  <c r="H18" i="113"/>
  <c r="H180" i="113" s="1"/>
  <c r="J17" i="113"/>
  <c r="J179" i="113" s="1"/>
  <c r="I17" i="113"/>
  <c r="H16" i="113"/>
  <c r="H178" i="113" s="1"/>
  <c r="H15" i="113"/>
  <c r="H177" i="113" s="1"/>
  <c r="J14" i="113"/>
  <c r="J11" i="113"/>
  <c r="I11" i="113"/>
  <c r="I173" i="113" s="1"/>
  <c r="J10" i="113"/>
  <c r="I10" i="113"/>
  <c r="H9" i="113"/>
  <c r="H171" i="113" s="1"/>
  <c r="H8" i="113"/>
  <c r="H170" i="113" s="1"/>
  <c r="E15" i="113"/>
  <c r="E177" i="113" s="1"/>
  <c r="E16" i="113"/>
  <c r="E178" i="113" s="1"/>
  <c r="E19" i="113"/>
  <c r="E181" i="113" s="1"/>
  <c r="G17" i="113"/>
  <c r="G179" i="113" s="1"/>
  <c r="F17" i="113"/>
  <c r="F179" i="113" s="1"/>
  <c r="G14" i="113"/>
  <c r="F14" i="113"/>
  <c r="G10" i="113"/>
  <c r="E9" i="113"/>
  <c r="E171" i="113" s="1"/>
  <c r="G11" i="113"/>
  <c r="F11" i="113"/>
  <c r="F173" i="113" s="1"/>
  <c r="E18" i="113"/>
  <c r="E180" i="113" s="1"/>
  <c r="E8" i="113"/>
  <c r="E170" i="113" s="1"/>
  <c r="T11" i="113" l="1"/>
  <c r="T173" i="113" s="1"/>
  <c r="M12" i="113"/>
  <c r="M13" i="113" s="1"/>
  <c r="H172" i="113"/>
  <c r="AU172" i="113"/>
  <c r="BC14" i="113"/>
  <c r="BC176" i="113" s="1"/>
  <c r="BC215" i="113" s="1"/>
  <c r="BC216" i="113" s="1"/>
  <c r="CA14" i="113"/>
  <c r="CA176" i="113" s="1"/>
  <c r="CA215" i="113" s="1"/>
  <c r="CA216" i="113" s="1"/>
  <c r="N8" i="113"/>
  <c r="N170" i="113" s="1"/>
  <c r="F154" i="113"/>
  <c r="F155" i="113" s="1"/>
  <c r="F176" i="113"/>
  <c r="F215" i="113" s="1"/>
  <c r="F216" i="113" s="1"/>
  <c r="J154" i="113"/>
  <c r="J155" i="113" s="1"/>
  <c r="J176" i="113"/>
  <c r="J215" i="113" s="1"/>
  <c r="J216" i="113" s="1"/>
  <c r="M154" i="113"/>
  <c r="M155" i="113" s="1"/>
  <c r="M176" i="113"/>
  <c r="M215" i="113" s="1"/>
  <c r="M216" i="113" s="1"/>
  <c r="P14" i="113"/>
  <c r="P176" i="113" s="1"/>
  <c r="P215" i="113" s="1"/>
  <c r="P216" i="113" s="1"/>
  <c r="P179" i="113"/>
  <c r="AK8" i="113"/>
  <c r="AK170" i="113" s="1"/>
  <c r="P170" i="113"/>
  <c r="AK9" i="113"/>
  <c r="AK171" i="113" s="1"/>
  <c r="P171" i="113"/>
  <c r="AK19" i="113"/>
  <c r="AK181" i="113" s="1"/>
  <c r="P181" i="113"/>
  <c r="AK15" i="113"/>
  <c r="AK177" i="113" s="1"/>
  <c r="P177" i="113"/>
  <c r="AK16" i="113"/>
  <c r="AK178" i="113" s="1"/>
  <c r="P178" i="113"/>
  <c r="AE17" i="113"/>
  <c r="AE179" i="113" s="1"/>
  <c r="AE180" i="113"/>
  <c r="U12" i="113"/>
  <c r="U173" i="113"/>
  <c r="U154" i="113"/>
  <c r="U155" i="113" s="1"/>
  <c r="U176" i="113"/>
  <c r="U215" i="113" s="1"/>
  <c r="U216" i="113" s="1"/>
  <c r="V14" i="113"/>
  <c r="V12" i="113" s="1"/>
  <c r="V179" i="113"/>
  <c r="Y14" i="113"/>
  <c r="Y179" i="113"/>
  <c r="AB14" i="113"/>
  <c r="AB179" i="113"/>
  <c r="BC173" i="113"/>
  <c r="BP13" i="113"/>
  <c r="BP174" i="113"/>
  <c r="BP175" i="113" s="1"/>
  <c r="BP154" i="113"/>
  <c r="BP155" i="113" s="1"/>
  <c r="BP176" i="113"/>
  <c r="BP215" i="113" s="1"/>
  <c r="BP216" i="113" s="1"/>
  <c r="BY10" i="113"/>
  <c r="BY170" i="113"/>
  <c r="BY172" i="113" s="1"/>
  <c r="BQ154" i="113"/>
  <c r="BQ155" i="113" s="1"/>
  <c r="BQ176" i="113"/>
  <c r="BQ215" i="113" s="1"/>
  <c r="BQ216" i="113" s="1"/>
  <c r="BR13" i="113"/>
  <c r="BR174" i="113"/>
  <c r="BR175" i="113" s="1"/>
  <c r="BW154" i="113"/>
  <c r="BW155" i="113" s="1"/>
  <c r="BW176" i="113"/>
  <c r="BW215" i="113" s="1"/>
  <c r="BW216" i="113" s="1"/>
  <c r="BX154" i="113"/>
  <c r="BX155" i="113" s="1"/>
  <c r="BX176" i="113"/>
  <c r="BX215" i="113" s="1"/>
  <c r="BX216" i="113" s="1"/>
  <c r="BR154" i="113"/>
  <c r="BR176" i="113"/>
  <c r="BR215" i="113" s="1"/>
  <c r="BR216" i="113" s="1"/>
  <c r="E172" i="113"/>
  <c r="AE172" i="113"/>
  <c r="T172" i="113"/>
  <c r="Z172" i="113"/>
  <c r="AR172" i="113"/>
  <c r="AX172" i="113"/>
  <c r="BW12" i="113"/>
  <c r="G12" i="113"/>
  <c r="G173" i="113"/>
  <c r="G154" i="113"/>
  <c r="G176" i="113"/>
  <c r="G215" i="113" s="1"/>
  <c r="G216" i="113" s="1"/>
  <c r="J12" i="113"/>
  <c r="J173" i="113"/>
  <c r="H17" i="113"/>
  <c r="H179" i="113" s="1"/>
  <c r="I179" i="113"/>
  <c r="K10" i="113"/>
  <c r="K170" i="113"/>
  <c r="K172" i="113" s="1"/>
  <c r="M174" i="113"/>
  <c r="M175" i="113" s="1"/>
  <c r="K17" i="113"/>
  <c r="K179" i="113" s="1"/>
  <c r="L179" i="113"/>
  <c r="V173" i="113"/>
  <c r="AB12" i="113"/>
  <c r="AB173" i="113"/>
  <c r="T17" i="113"/>
  <c r="T179" i="113" s="1"/>
  <c r="U179" i="113"/>
  <c r="AZ154" i="113"/>
  <c r="AZ155" i="113" s="1"/>
  <c r="AZ176" i="113"/>
  <c r="AZ215" i="113" s="1"/>
  <c r="AZ216" i="113" s="1"/>
  <c r="AT14" i="113"/>
  <c r="AT12" i="113" s="1"/>
  <c r="AT179" i="113"/>
  <c r="AW14" i="113"/>
  <c r="AW12" i="113" s="1"/>
  <c r="AW179" i="113"/>
  <c r="BA10" i="113"/>
  <c r="BA170" i="113"/>
  <c r="BA172" i="113" s="1"/>
  <c r="CA173" i="113"/>
  <c r="BQ13" i="113"/>
  <c r="BQ174" i="113"/>
  <c r="BQ175" i="113" s="1"/>
  <c r="BV154" i="113"/>
  <c r="BV155" i="113" s="1"/>
  <c r="BV176" i="113"/>
  <c r="BV215" i="113" s="1"/>
  <c r="BV216" i="113" s="1"/>
  <c r="BX13" i="113"/>
  <c r="BX174" i="113"/>
  <c r="BX175" i="113" s="1"/>
  <c r="BU13" i="113"/>
  <c r="BU174" i="113"/>
  <c r="BU175" i="113" s="1"/>
  <c r="H11" i="113"/>
  <c r="H173" i="113" s="1"/>
  <c r="O172" i="113"/>
  <c r="AD172" i="113"/>
  <c r="W172" i="113"/>
  <c r="P154" i="113"/>
  <c r="P155" i="113" s="1"/>
  <c r="G155" i="113"/>
  <c r="BS14" i="113"/>
  <c r="BT154" i="113"/>
  <c r="P11" i="113"/>
  <c r="P173" i="113" s="1"/>
  <c r="AC8" i="113"/>
  <c r="AC170" i="113" s="1"/>
  <c r="AZ12" i="113"/>
  <c r="P10" i="113"/>
  <c r="N16" i="113"/>
  <c r="N178" i="113" s="1"/>
  <c r="AJ8" i="113"/>
  <c r="AJ170" i="113" s="1"/>
  <c r="N9" i="113"/>
  <c r="N171" i="113" s="1"/>
  <c r="AJ18" i="113"/>
  <c r="AJ180" i="113" s="1"/>
  <c r="AJ19" i="113"/>
  <c r="BH19" i="113" s="1"/>
  <c r="BH181" i="113" s="1"/>
  <c r="N15" i="113"/>
  <c r="N177" i="113" s="1"/>
  <c r="AJ16" i="113"/>
  <c r="Z17" i="113"/>
  <c r="Z179" i="113" s="1"/>
  <c r="AU17" i="113"/>
  <c r="AU179" i="113" s="1"/>
  <c r="AX17" i="113"/>
  <c r="AX179" i="113" s="1"/>
  <c r="Y12" i="113"/>
  <c r="AK11" i="113"/>
  <c r="AK173" i="113" s="1"/>
  <c r="BI15" i="113"/>
  <c r="E17" i="113"/>
  <c r="E179" i="113" s="1"/>
  <c r="H10" i="113"/>
  <c r="I14" i="113"/>
  <c r="I176" i="113" s="1"/>
  <c r="I215" i="113" s="1"/>
  <c r="I216" i="113" s="1"/>
  <c r="O10" i="113"/>
  <c r="O11" i="113"/>
  <c r="O173" i="113" s="1"/>
  <c r="O17" i="113"/>
  <c r="N17" i="113" s="1"/>
  <c r="N179" i="113" s="1"/>
  <c r="N19" i="113"/>
  <c r="N181" i="113" s="1"/>
  <c r="N18" i="113"/>
  <c r="N180" i="113" s="1"/>
  <c r="AC16" i="113"/>
  <c r="AC178" i="113" s="1"/>
  <c r="AC18" i="113"/>
  <c r="AC180" i="113" s="1"/>
  <c r="AC19" i="113"/>
  <c r="AC181" i="113" s="1"/>
  <c r="W10" i="113"/>
  <c r="T10" i="113"/>
  <c r="Z10" i="113"/>
  <c r="Z11" i="113"/>
  <c r="Z173" i="113" s="1"/>
  <c r="AA14" i="113"/>
  <c r="AA176" i="113" s="1"/>
  <c r="AA215" i="113" s="1"/>
  <c r="AA216" i="113" s="1"/>
  <c r="W17" i="113"/>
  <c r="W179" i="113" s="1"/>
  <c r="AK18" i="113"/>
  <c r="AR10" i="113"/>
  <c r="AX10" i="113"/>
  <c r="AU10" i="113"/>
  <c r="AV14" i="113"/>
  <c r="AR17" i="113"/>
  <c r="AR179" i="113" s="1"/>
  <c r="BA11" i="113"/>
  <c r="BA173" i="113" s="1"/>
  <c r="AJ9" i="113"/>
  <c r="AJ15" i="113"/>
  <c r="AJ177" i="113" s="1"/>
  <c r="BY11" i="113"/>
  <c r="BY173" i="113" s="1"/>
  <c r="BY17" i="113"/>
  <c r="BY179" i="113" s="1"/>
  <c r="BZ14" i="113"/>
  <c r="BZ176" i="113" s="1"/>
  <c r="BZ215" i="113" s="1"/>
  <c r="BZ216" i="113" s="1"/>
  <c r="BT12" i="113"/>
  <c r="BT174" i="113" s="1"/>
  <c r="BT175" i="113" s="1"/>
  <c r="BA17" i="113"/>
  <c r="BA179" i="113" s="1"/>
  <c r="BB14" i="113"/>
  <c r="BB176" i="113" s="1"/>
  <c r="BB215" i="113" s="1"/>
  <c r="BB216" i="113" s="1"/>
  <c r="AU11" i="113"/>
  <c r="AU173" i="113" s="1"/>
  <c r="AR11" i="113"/>
  <c r="AR173" i="113" s="1"/>
  <c r="AX11" i="113"/>
  <c r="AX173" i="113" s="1"/>
  <c r="AS14" i="113"/>
  <c r="AS176" i="113" s="1"/>
  <c r="AS215" i="113" s="1"/>
  <c r="AS216" i="113" s="1"/>
  <c r="AY14" i="113"/>
  <c r="AY176" i="113" s="1"/>
  <c r="AY215" i="113" s="1"/>
  <c r="AY216" i="113" s="1"/>
  <c r="AE10" i="113"/>
  <c r="AD17" i="113"/>
  <c r="AD11" i="113"/>
  <c r="AD173" i="113" s="1"/>
  <c r="AC15" i="113"/>
  <c r="AC177" i="113" s="1"/>
  <c r="AE14" i="113"/>
  <c r="AE176" i="113" s="1"/>
  <c r="AE215" i="113" s="1"/>
  <c r="AE216" i="113" s="1"/>
  <c r="W11" i="113"/>
  <c r="W173" i="113" s="1"/>
  <c r="X14" i="113"/>
  <c r="X176" i="113" s="1"/>
  <c r="X215" i="113" s="1"/>
  <c r="X216" i="113" s="1"/>
  <c r="AC9" i="113"/>
  <c r="AD10" i="113"/>
  <c r="AE11" i="113"/>
  <c r="K11" i="113"/>
  <c r="K173" i="113" s="1"/>
  <c r="L14" i="113"/>
  <c r="L176" i="113" s="1"/>
  <c r="L215" i="113" s="1"/>
  <c r="L216" i="113" s="1"/>
  <c r="E10" i="113"/>
  <c r="E14" i="113"/>
  <c r="E176" i="113" s="1"/>
  <c r="E215" i="113" s="1"/>
  <c r="F12" i="113"/>
  <c r="F174" i="113" s="1"/>
  <c r="F175" i="113" s="1"/>
  <c r="E11" i="113"/>
  <c r="E173" i="113" s="1"/>
  <c r="F10" i="113"/>
  <c r="AJ11" i="113" l="1"/>
  <c r="AJ173" i="113" s="1"/>
  <c r="BI19" i="113"/>
  <c r="BI181" i="113" s="1"/>
  <c r="BI16" i="113"/>
  <c r="BI178" i="113" s="1"/>
  <c r="T14" i="113"/>
  <c r="T154" i="113" s="1"/>
  <c r="T155" i="113" s="1"/>
  <c r="T12" i="113"/>
  <c r="T174" i="113" s="1"/>
  <c r="T175" i="113" s="1"/>
  <c r="BH18" i="113"/>
  <c r="BH180" i="113" s="1"/>
  <c r="BC12" i="113"/>
  <c r="BC174" i="113" s="1"/>
  <c r="BC175" i="113" s="1"/>
  <c r="N10" i="113"/>
  <c r="AK10" i="113"/>
  <c r="BI9" i="113"/>
  <c r="BI171" i="113" s="1"/>
  <c r="P12" i="113"/>
  <c r="P174" i="113" s="1"/>
  <c r="P175" i="113" s="1"/>
  <c r="AK172" i="113"/>
  <c r="P172" i="113"/>
  <c r="BH8" i="113"/>
  <c r="BH170" i="113" s="1"/>
  <c r="N172" i="113"/>
  <c r="CA12" i="113"/>
  <c r="CA174" i="113" s="1"/>
  <c r="CA175" i="113" s="1"/>
  <c r="N11" i="113"/>
  <c r="N173" i="113" s="1"/>
  <c r="BI8" i="113"/>
  <c r="BI170" i="113" s="1"/>
  <c r="BI172" i="113" s="1"/>
  <c r="AI11" i="113"/>
  <c r="AI173" i="113" s="1"/>
  <c r="T176" i="113"/>
  <c r="T215" i="113" s="1"/>
  <c r="T216" i="113" s="1"/>
  <c r="AC11" i="113"/>
  <c r="AC173" i="113" s="1"/>
  <c r="AE173" i="113"/>
  <c r="AC10" i="113"/>
  <c r="AC171" i="113"/>
  <c r="AC172" i="113" s="1"/>
  <c r="T13" i="113"/>
  <c r="AV154" i="113"/>
  <c r="AV155" i="113" s="1"/>
  <c r="AV176" i="113"/>
  <c r="AV215" i="113" s="1"/>
  <c r="AV216" i="113" s="1"/>
  <c r="AI18" i="113"/>
  <c r="AI180" i="113" s="1"/>
  <c r="AK180" i="113"/>
  <c r="O14" i="113"/>
  <c r="O12" i="113" s="1"/>
  <c r="O174" i="113" s="1"/>
  <c r="O175" i="113" s="1"/>
  <c r="O179" i="113"/>
  <c r="Y13" i="113"/>
  <c r="Y174" i="113"/>
  <c r="Y175" i="113" s="1"/>
  <c r="BH16" i="113"/>
  <c r="BH178" i="113" s="1"/>
  <c r="AJ178" i="113"/>
  <c r="AJ17" i="113"/>
  <c r="AJ179" i="113" s="1"/>
  <c r="AJ181" i="113"/>
  <c r="AZ13" i="113"/>
  <c r="AZ174" i="113"/>
  <c r="AZ175" i="113" s="1"/>
  <c r="BS154" i="113"/>
  <c r="BS155" i="113" s="1"/>
  <c r="BS176" i="113"/>
  <c r="BS215" i="113" s="1"/>
  <c r="BS216" i="113" s="1"/>
  <c r="BW13" i="113"/>
  <c r="BW174" i="113"/>
  <c r="BW175" i="113" s="1"/>
  <c r="BV12" i="113"/>
  <c r="BR155" i="113"/>
  <c r="CA154" i="113"/>
  <c r="CA155" i="113" s="1"/>
  <c r="BC13" i="113"/>
  <c r="AB154" i="113"/>
  <c r="AB155" i="113" s="1"/>
  <c r="AB176" i="113"/>
  <c r="AB215" i="113" s="1"/>
  <c r="AB216" i="113" s="1"/>
  <c r="Y154" i="113"/>
  <c r="Y155" i="113" s="1"/>
  <c r="Y176" i="113"/>
  <c r="Y215" i="113" s="1"/>
  <c r="Y216" i="113" s="1"/>
  <c r="V154" i="113"/>
  <c r="V176" i="113"/>
  <c r="V215" i="113" s="1"/>
  <c r="V216" i="113" s="1"/>
  <c r="U13" i="113"/>
  <c r="U174" i="113"/>
  <c r="AI8" i="113"/>
  <c r="AI170" i="113" s="1"/>
  <c r="AC17" i="113"/>
  <c r="AC179" i="113" s="1"/>
  <c r="AD179" i="113"/>
  <c r="AJ10" i="113"/>
  <c r="AJ171" i="113"/>
  <c r="AJ172" i="113" s="1"/>
  <c r="CG15" i="113"/>
  <c r="CG177" i="113" s="1"/>
  <c r="BI177" i="113"/>
  <c r="AT13" i="113"/>
  <c r="AT174" i="113"/>
  <c r="AT175" i="113" s="1"/>
  <c r="AW13" i="113"/>
  <c r="AW174" i="113"/>
  <c r="AW175" i="113" s="1"/>
  <c r="AW154" i="113"/>
  <c r="AW155" i="113" s="1"/>
  <c r="AW176" i="113"/>
  <c r="AW215" i="113" s="1"/>
  <c r="AW216" i="113" s="1"/>
  <c r="AT154" i="113"/>
  <c r="AT176" i="113"/>
  <c r="AT215" i="113" s="1"/>
  <c r="AT216" i="113" s="1"/>
  <c r="AB13" i="113"/>
  <c r="AB174" i="113"/>
  <c r="AB175" i="113" s="1"/>
  <c r="V13" i="113"/>
  <c r="V174" i="113"/>
  <c r="V175" i="113" s="1"/>
  <c r="J13" i="113"/>
  <c r="J174" i="113"/>
  <c r="J175" i="113" s="1"/>
  <c r="G13" i="113"/>
  <c r="G174" i="113"/>
  <c r="G175" i="113" s="1"/>
  <c r="U175" i="113"/>
  <c r="K14" i="113"/>
  <c r="L154" i="113"/>
  <c r="L155" i="113" s="1"/>
  <c r="W14" i="113"/>
  <c r="X154" i="113"/>
  <c r="AR14" i="113"/>
  <c r="AS154" i="113"/>
  <c r="AS155" i="113" s="1"/>
  <c r="Z14" i="113"/>
  <c r="AA154" i="113"/>
  <c r="AA155" i="113" s="1"/>
  <c r="AI16" i="113"/>
  <c r="AI178" i="113" s="1"/>
  <c r="AX14" i="113"/>
  <c r="AY154" i="113"/>
  <c r="AY155" i="113" s="1"/>
  <c r="H14" i="113"/>
  <c r="I154" i="113"/>
  <c r="BZ154" i="113"/>
  <c r="BT155" i="113"/>
  <c r="AD14" i="113"/>
  <c r="AD12" i="113" s="1"/>
  <c r="AD174" i="113" s="1"/>
  <c r="AD175" i="113" s="1"/>
  <c r="I12" i="113"/>
  <c r="I174" i="113" s="1"/>
  <c r="I175" i="113" s="1"/>
  <c r="AI19" i="113"/>
  <c r="AI181" i="113" s="1"/>
  <c r="AI15" i="113"/>
  <c r="AI177" i="113" s="1"/>
  <c r="BH15" i="113"/>
  <c r="BH177" i="113" s="1"/>
  <c r="AU14" i="113"/>
  <c r="AV12" i="113"/>
  <c r="AV174" i="113" s="1"/>
  <c r="AV175" i="113" s="1"/>
  <c r="BI18" i="113"/>
  <c r="AK17" i="113"/>
  <c r="AK179" i="113" s="1"/>
  <c r="BH17" i="113"/>
  <c r="BH179" i="113" s="1"/>
  <c r="AA12" i="113"/>
  <c r="AA174" i="113" s="1"/>
  <c r="AA175" i="113" s="1"/>
  <c r="AI9" i="113"/>
  <c r="BH9" i="113"/>
  <c r="BH171" i="113" s="1"/>
  <c r="BH172" i="113" s="1"/>
  <c r="CF19" i="113"/>
  <c r="CF181" i="113" s="1"/>
  <c r="CG16" i="113"/>
  <c r="CG178" i="113" s="1"/>
  <c r="BY14" i="113"/>
  <c r="BY176" i="113" s="1"/>
  <c r="BY215" i="113" s="1"/>
  <c r="BY216" i="113" s="1"/>
  <c r="BZ12" i="113"/>
  <c r="BZ174" i="113" s="1"/>
  <c r="BZ175" i="113" s="1"/>
  <c r="BT13" i="113"/>
  <c r="BS12" i="113"/>
  <c r="BA14" i="113"/>
  <c r="BA176" i="113" s="1"/>
  <c r="BA215" i="113" s="1"/>
  <c r="BA216" i="113" s="1"/>
  <c r="BB12" i="113"/>
  <c r="BB174" i="113" s="1"/>
  <c r="BB175" i="113" s="1"/>
  <c r="AY12" i="113"/>
  <c r="AY174" i="113" s="1"/>
  <c r="AY175" i="113" s="1"/>
  <c r="AS12" i="113"/>
  <c r="AS174" i="113" s="1"/>
  <c r="AS175" i="113" s="1"/>
  <c r="X12" i="113"/>
  <c r="X174" i="113" s="1"/>
  <c r="X175" i="113" s="1"/>
  <c r="AE12" i="113"/>
  <c r="L12" i="113"/>
  <c r="L174" i="113" s="1"/>
  <c r="L175" i="113" s="1"/>
  <c r="E12" i="113"/>
  <c r="F13" i="113"/>
  <c r="CG8" i="113" l="1"/>
  <c r="CG170" i="113" s="1"/>
  <c r="CA13" i="113"/>
  <c r="P13" i="113"/>
  <c r="CG9" i="113"/>
  <c r="CG171" i="113" s="1"/>
  <c r="CG19" i="113"/>
  <c r="CG181" i="113" s="1"/>
  <c r="BG19" i="113"/>
  <c r="BG181" i="113" s="1"/>
  <c r="CF18" i="113"/>
  <c r="CF180" i="113" s="1"/>
  <c r="BI11" i="113"/>
  <c r="BI173" i="113" s="1"/>
  <c r="BI10" i="113"/>
  <c r="CF8" i="113"/>
  <c r="CF170" i="113" s="1"/>
  <c r="BG8" i="113"/>
  <c r="BG170" i="113" s="1"/>
  <c r="BH11" i="113"/>
  <c r="BH173" i="113" s="1"/>
  <c r="CF16" i="113"/>
  <c r="CF178" i="113" s="1"/>
  <c r="AJ14" i="113"/>
  <c r="BG16" i="113"/>
  <c r="BG178" i="113" s="1"/>
  <c r="AE13" i="113"/>
  <c r="AE174" i="113"/>
  <c r="AE175" i="113" s="1"/>
  <c r="E13" i="113"/>
  <c r="E174" i="113"/>
  <c r="E175" i="113" s="1"/>
  <c r="BS13" i="113"/>
  <c r="BS174" i="113"/>
  <c r="BS175" i="113" s="1"/>
  <c r="AC14" i="113"/>
  <c r="AC176" i="113" s="1"/>
  <c r="AC215" i="113" s="1"/>
  <c r="AC216" i="113" s="1"/>
  <c r="AD176" i="113"/>
  <c r="AD215" i="113" s="1"/>
  <c r="AD216" i="113" s="1"/>
  <c r="Z154" i="113"/>
  <c r="Z155" i="113" s="1"/>
  <c r="Z176" i="113"/>
  <c r="Z215" i="113" s="1"/>
  <c r="Z216" i="113" s="1"/>
  <c r="BV13" i="113"/>
  <c r="BV174" i="113"/>
  <c r="BV175" i="113" s="1"/>
  <c r="N14" i="113"/>
  <c r="N176" i="113" s="1"/>
  <c r="N215" i="113" s="1"/>
  <c r="N216" i="113" s="1"/>
  <c r="O176" i="113"/>
  <c r="O215" i="113" s="1"/>
  <c r="O216" i="113" s="1"/>
  <c r="AI10" i="113"/>
  <c r="AI171" i="113"/>
  <c r="AI172" i="113" s="1"/>
  <c r="BG18" i="113"/>
  <c r="BG180" i="113" s="1"/>
  <c r="BI180" i="113"/>
  <c r="AU154" i="113"/>
  <c r="AU155" i="113" s="1"/>
  <c r="AU176" i="113"/>
  <c r="AU215" i="113" s="1"/>
  <c r="AU216" i="113" s="1"/>
  <c r="H154" i="113"/>
  <c r="H155" i="113" s="1"/>
  <c r="H176" i="113"/>
  <c r="H215" i="113" s="1"/>
  <c r="H216" i="113" s="1"/>
  <c r="AX154" i="113"/>
  <c r="AX155" i="113" s="1"/>
  <c r="AX176" i="113"/>
  <c r="AX215" i="113" s="1"/>
  <c r="AX216" i="113" s="1"/>
  <c r="AR154" i="113"/>
  <c r="AR155" i="113" s="1"/>
  <c r="AR176" i="113"/>
  <c r="AR215" i="113" s="1"/>
  <c r="AR216" i="113" s="1"/>
  <c r="W154" i="113"/>
  <c r="W155" i="113" s="1"/>
  <c r="W176" i="113"/>
  <c r="W215" i="113" s="1"/>
  <c r="W216" i="113" s="1"/>
  <c r="K154" i="113"/>
  <c r="K155" i="113" s="1"/>
  <c r="K176" i="113"/>
  <c r="K215" i="113" s="1"/>
  <c r="K216" i="113" s="1"/>
  <c r="BC154" i="113"/>
  <c r="BC155" i="113" s="1"/>
  <c r="AT155" i="113"/>
  <c r="V155" i="113"/>
  <c r="AE154" i="113"/>
  <c r="I155" i="113"/>
  <c r="O154" i="113"/>
  <c r="BB154" i="113"/>
  <c r="BY154" i="113"/>
  <c r="BZ155" i="113"/>
  <c r="AD154" i="113"/>
  <c r="X155" i="113"/>
  <c r="H12" i="113"/>
  <c r="I13" i="113"/>
  <c r="CF9" i="113"/>
  <c r="BH10" i="113"/>
  <c r="BG9" i="113"/>
  <c r="O13" i="113"/>
  <c r="N12" i="113"/>
  <c r="CG11" i="113"/>
  <c r="CG173" i="113" s="1"/>
  <c r="AV13" i="113"/>
  <c r="AU12" i="113"/>
  <c r="AA13" i="113"/>
  <c r="Z12" i="113"/>
  <c r="CF17" i="113"/>
  <c r="CF179" i="113" s="1"/>
  <c r="AK14" i="113"/>
  <c r="AK176" i="113" s="1"/>
  <c r="AK215" i="113" s="1"/>
  <c r="AI17" i="113"/>
  <c r="AI179" i="113" s="1"/>
  <c r="CG18" i="113"/>
  <c r="BI17" i="113"/>
  <c r="BG15" i="113"/>
  <c r="BG177" i="113" s="1"/>
  <c r="CF15" i="113"/>
  <c r="CF177" i="113" s="1"/>
  <c r="BH14" i="113"/>
  <c r="BH176" i="113" s="1"/>
  <c r="BH215" i="113" s="1"/>
  <c r="BZ13" i="113"/>
  <c r="BY12" i="113"/>
  <c r="BB13" i="113"/>
  <c r="BA12" i="113"/>
  <c r="AR12" i="113"/>
  <c r="AS13" i="113"/>
  <c r="AY13" i="113"/>
  <c r="AX12" i="113"/>
  <c r="X13" i="113"/>
  <c r="W12" i="113"/>
  <c r="AD13" i="113"/>
  <c r="AC12" i="113"/>
  <c r="AC13" i="113" s="1"/>
  <c r="L13" i="113"/>
  <c r="K12" i="113"/>
  <c r="CG10" i="113" l="1"/>
  <c r="CG172" i="113" s="1"/>
  <c r="CE19" i="113"/>
  <c r="CE181" i="113" s="1"/>
  <c r="CE8" i="113"/>
  <c r="CE170" i="113" s="1"/>
  <c r="CE16" i="113"/>
  <c r="CE178" i="113" s="1"/>
  <c r="BG11" i="113"/>
  <c r="BG173" i="113" s="1"/>
  <c r="AJ176" i="113"/>
  <c r="AJ215" i="113" s="1"/>
  <c r="AJ12" i="113"/>
  <c r="BH216" i="113"/>
  <c r="BH12" i="113"/>
  <c r="BH174" i="113" s="1"/>
  <c r="BH175" i="113" s="1"/>
  <c r="AK216" i="113"/>
  <c r="K13" i="113"/>
  <c r="K174" i="113"/>
  <c r="K175" i="113" s="1"/>
  <c r="W13" i="113"/>
  <c r="W174" i="113"/>
  <c r="W175" i="113" s="1"/>
  <c r="AX13" i="113"/>
  <c r="AX174" i="113"/>
  <c r="AX175" i="113" s="1"/>
  <c r="BA13" i="113"/>
  <c r="BA174" i="113"/>
  <c r="BA175" i="113" s="1"/>
  <c r="BY13" i="113"/>
  <c r="BY174" i="113"/>
  <c r="BY175" i="113" s="1"/>
  <c r="AR13" i="113"/>
  <c r="AR174" i="113"/>
  <c r="AR175" i="113" s="1"/>
  <c r="CE18" i="113"/>
  <c r="CE180" i="113" s="1"/>
  <c r="CG180" i="113"/>
  <c r="Z13" i="113"/>
  <c r="Z174" i="113"/>
  <c r="Z175" i="113" s="1"/>
  <c r="N13" i="113"/>
  <c r="N174" i="113"/>
  <c r="N175" i="113" s="1"/>
  <c r="BG10" i="113"/>
  <c r="BG171" i="113"/>
  <c r="CF11" i="113"/>
  <c r="CF173" i="113" s="1"/>
  <c r="CF171" i="113"/>
  <c r="AC174" i="113"/>
  <c r="AC175" i="113" s="1"/>
  <c r="BI14" i="113"/>
  <c r="BG14" i="113" s="1"/>
  <c r="BG176" i="113" s="1"/>
  <c r="BG215" i="113" s="1"/>
  <c r="BG216" i="113" s="1"/>
  <c r="BI179" i="113"/>
  <c r="AU13" i="113"/>
  <c r="AU174" i="113"/>
  <c r="AU175" i="113" s="1"/>
  <c r="H13" i="113"/>
  <c r="H174" i="113"/>
  <c r="H175" i="113" s="1"/>
  <c r="AE155" i="113"/>
  <c r="AK154" i="113"/>
  <c r="AJ154" i="113"/>
  <c r="AC154" i="113"/>
  <c r="AD155" i="113"/>
  <c r="BY155" i="113"/>
  <c r="BA154" i="113"/>
  <c r="BA155" i="113" s="1"/>
  <c r="BB155" i="113"/>
  <c r="N154" i="113"/>
  <c r="O155" i="113"/>
  <c r="BG17" i="113"/>
  <c r="BG179" i="113" s="1"/>
  <c r="CF14" i="113"/>
  <c r="CF176" i="113" s="1"/>
  <c r="CF215" i="113" s="1"/>
  <c r="CE15" i="113"/>
  <c r="CE177" i="113" s="1"/>
  <c r="CG17" i="113"/>
  <c r="CE17" i="113" s="1"/>
  <c r="CE179" i="113" s="1"/>
  <c r="AK12" i="113"/>
  <c r="AK174" i="113" s="1"/>
  <c r="AK175" i="113" s="1"/>
  <c r="AI14" i="113"/>
  <c r="AI176" i="113" s="1"/>
  <c r="AI215" i="113" s="1"/>
  <c r="AI216" i="113" s="1"/>
  <c r="CF10" i="113"/>
  <c r="CF172" i="113" s="1"/>
  <c r="CE9" i="113"/>
  <c r="CD19" i="113"/>
  <c r="CD18" i="113"/>
  <c r="CC19" i="113"/>
  <c r="AE24" i="118" s="1"/>
  <c r="CC18" i="113"/>
  <c r="CD15" i="113"/>
  <c r="CD9" i="113"/>
  <c r="CE11" i="113" l="1"/>
  <c r="CE173" i="113" s="1"/>
  <c r="CC180" i="113"/>
  <c r="AE23" i="118"/>
  <c r="CD180" i="113"/>
  <c r="AF23" i="118"/>
  <c r="AJ216" i="113"/>
  <c r="CD171" i="113"/>
  <c r="AF14" i="118"/>
  <c r="CD177" i="113"/>
  <c r="AF20" i="118"/>
  <c r="CD181" i="113"/>
  <c r="AF24" i="118"/>
  <c r="BH13" i="113"/>
  <c r="AJ174" i="113"/>
  <c r="AJ175" i="113" s="1"/>
  <c r="AJ13" i="113"/>
  <c r="CF216" i="113"/>
  <c r="CB19" i="113"/>
  <c r="AD24" i="118" s="1"/>
  <c r="CC181" i="113"/>
  <c r="BI176" i="113"/>
  <c r="BI215" i="113" s="1"/>
  <c r="BI12" i="113"/>
  <c r="CE10" i="113"/>
  <c r="CE172" i="113" s="1"/>
  <c r="CE171" i="113"/>
  <c r="CG14" i="113"/>
  <c r="CE14" i="113" s="1"/>
  <c r="CE176" i="113" s="1"/>
  <c r="CE215" i="113" s="1"/>
  <c r="CE216" i="113" s="1"/>
  <c r="CG179" i="113"/>
  <c r="AK155" i="113"/>
  <c r="BI154" i="113"/>
  <c r="AI154" i="113"/>
  <c r="AC155" i="113"/>
  <c r="CD17" i="113"/>
  <c r="BH154" i="113"/>
  <c r="AJ155" i="113"/>
  <c r="AQ9" i="113"/>
  <c r="BO9" i="113"/>
  <c r="S9" i="113"/>
  <c r="D9" i="113"/>
  <c r="CJ9" i="113"/>
  <c r="BN18" i="113"/>
  <c r="C18" i="113"/>
  <c r="AP18" i="113"/>
  <c r="R18" i="113"/>
  <c r="CI18" i="113"/>
  <c r="CI180" i="113" s="1"/>
  <c r="BO15" i="113"/>
  <c r="AQ15" i="113"/>
  <c r="D15" i="113"/>
  <c r="S15" i="113"/>
  <c r="CJ15" i="113"/>
  <c r="CJ177" i="113" s="1"/>
  <c r="BN19" i="113"/>
  <c r="AP19" i="113"/>
  <c r="R19" i="113"/>
  <c r="C19" i="113"/>
  <c r="CI19" i="113"/>
  <c r="CI181" i="113" s="1"/>
  <c r="AQ19" i="113"/>
  <c r="BO19" i="113"/>
  <c r="S19" i="113"/>
  <c r="D19" i="113"/>
  <c r="CJ19" i="113"/>
  <c r="CJ181" i="113" s="1"/>
  <c r="CB18" i="113"/>
  <c r="AD23" i="118" s="1"/>
  <c r="CF12" i="113"/>
  <c r="CF174" i="113" s="1"/>
  <c r="CF175" i="113" s="1"/>
  <c r="S18" i="113"/>
  <c r="BO18" i="113"/>
  <c r="AQ18" i="113"/>
  <c r="D18" i="113"/>
  <c r="AK13" i="113"/>
  <c r="AI12" i="113"/>
  <c r="CC17" i="113"/>
  <c r="AE22" i="118" s="1"/>
  <c r="CJ18" i="113"/>
  <c r="AQ180" i="113" l="1"/>
  <c r="W23" i="118"/>
  <c r="S180" i="113"/>
  <c r="Q23" i="118"/>
  <c r="D181" i="113"/>
  <c r="N24" i="118"/>
  <c r="BO181" i="113"/>
  <c r="AC24" i="118"/>
  <c r="R181" i="113"/>
  <c r="P24" i="118"/>
  <c r="BN181" i="113"/>
  <c r="AB24" i="118"/>
  <c r="D177" i="113"/>
  <c r="N20" i="118"/>
  <c r="BO177" i="113"/>
  <c r="AC20" i="118"/>
  <c r="R180" i="113"/>
  <c r="P23" i="118"/>
  <c r="C180" i="113"/>
  <c r="M23" i="118"/>
  <c r="D171" i="113"/>
  <c r="N14" i="118"/>
  <c r="BO171" i="113"/>
  <c r="AC14" i="118"/>
  <c r="CD179" i="113"/>
  <c r="AF22" i="118"/>
  <c r="D180" i="113"/>
  <c r="N23" i="118"/>
  <c r="BO180" i="113"/>
  <c r="AC23" i="118"/>
  <c r="S181" i="113"/>
  <c r="Q24" i="118"/>
  <c r="AQ181" i="113"/>
  <c r="W24" i="118"/>
  <c r="C181" i="113"/>
  <c r="M24" i="118"/>
  <c r="AP181" i="113"/>
  <c r="V24" i="118"/>
  <c r="S177" i="113"/>
  <c r="Q20" i="118"/>
  <c r="AQ177" i="113"/>
  <c r="W20" i="118"/>
  <c r="AP180" i="113"/>
  <c r="V23" i="118"/>
  <c r="BN180" i="113"/>
  <c r="AB23" i="118"/>
  <c r="S171" i="113"/>
  <c r="Q14" i="118"/>
  <c r="AQ171" i="113"/>
  <c r="W14" i="118"/>
  <c r="BI216" i="113"/>
  <c r="CJ17" i="113"/>
  <c r="CJ179" i="113" s="1"/>
  <c r="CJ180" i="113"/>
  <c r="AI13" i="113"/>
  <c r="AI174" i="113"/>
  <c r="AI175" i="113" s="1"/>
  <c r="CJ171" i="113"/>
  <c r="CG12" i="113"/>
  <c r="CG176" i="113"/>
  <c r="CG215" i="113" s="1"/>
  <c r="CB17" i="113"/>
  <c r="AD22" i="118" s="1"/>
  <c r="CC179" i="113"/>
  <c r="CG154" i="113"/>
  <c r="CG155" i="113" s="1"/>
  <c r="BI155" i="113"/>
  <c r="BI13" i="113"/>
  <c r="BI174" i="113"/>
  <c r="BI175" i="113" s="1"/>
  <c r="BG12" i="113"/>
  <c r="BG154" i="113"/>
  <c r="AQ17" i="113"/>
  <c r="S17" i="113"/>
  <c r="BH155" i="113"/>
  <c r="CF154" i="113"/>
  <c r="AH18" i="113"/>
  <c r="D17" i="113"/>
  <c r="N22" i="118" s="1"/>
  <c r="CE12" i="113"/>
  <c r="CF13" i="113"/>
  <c r="AH15" i="113"/>
  <c r="Q18" i="113"/>
  <c r="R17" i="113"/>
  <c r="P22" i="118" s="1"/>
  <c r="AG18" i="113"/>
  <c r="B18" i="113"/>
  <c r="L23" i="118" s="1"/>
  <c r="C17" i="113"/>
  <c r="M22" i="118" s="1"/>
  <c r="AH9" i="113"/>
  <c r="AH19" i="113"/>
  <c r="BO17" i="113"/>
  <c r="AC22" i="118" s="1"/>
  <c r="CH19" i="113"/>
  <c r="CH181" i="113" s="1"/>
  <c r="Q19" i="113"/>
  <c r="BM19" i="113"/>
  <c r="AA24" i="118" s="1"/>
  <c r="B19" i="113"/>
  <c r="L24" i="118" s="1"/>
  <c r="AG19" i="113"/>
  <c r="CI17" i="113"/>
  <c r="CH18" i="113"/>
  <c r="CH180" i="113" s="1"/>
  <c r="AO18" i="113"/>
  <c r="U23" i="118" s="1"/>
  <c r="AP17" i="113"/>
  <c r="V22" i="118" s="1"/>
  <c r="BN17" i="113"/>
  <c r="BM18" i="113"/>
  <c r="AA23" i="118" s="1"/>
  <c r="AO19" i="113"/>
  <c r="U24" i="118" s="1"/>
  <c r="FK48" i="116"/>
  <c r="ES48" i="116"/>
  <c r="DL48" i="116"/>
  <c r="DC48" i="116"/>
  <c r="CT48" i="116"/>
  <c r="BM48" i="116"/>
  <c r="BD48" i="116"/>
  <c r="AU48" i="116"/>
  <c r="Z48" i="116"/>
  <c r="Q48" i="116"/>
  <c r="FK44" i="116"/>
  <c r="FB44" i="116"/>
  <c r="ES44" i="116"/>
  <c r="DL44" i="116"/>
  <c r="DC44" i="116"/>
  <c r="CT44" i="116"/>
  <c r="BM44" i="116"/>
  <c r="BD44" i="116"/>
  <c r="AU44" i="116"/>
  <c r="BV44" i="116" s="1"/>
  <c r="Z44" i="116"/>
  <c r="Q44" i="116"/>
  <c r="H44" i="116"/>
  <c r="FK39" i="116"/>
  <c r="FK57" i="116" s="1"/>
  <c r="FB39" i="116"/>
  <c r="FB57" i="116" s="1"/>
  <c r="ES39" i="116"/>
  <c r="DL39" i="116"/>
  <c r="CT39" i="116"/>
  <c r="BM39" i="116"/>
  <c r="BD39" i="116"/>
  <c r="AU39" i="116"/>
  <c r="Z39" i="116"/>
  <c r="Q39" i="116"/>
  <c r="H39" i="116"/>
  <c r="FT37" i="116"/>
  <c r="FQ37" i="116"/>
  <c r="DU37" i="116"/>
  <c r="DR37" i="116"/>
  <c r="BV37" i="116"/>
  <c r="BS37" i="116"/>
  <c r="AI37" i="116"/>
  <c r="AF37" i="116"/>
  <c r="FT36" i="116"/>
  <c r="FQ36" i="116"/>
  <c r="DU36" i="116"/>
  <c r="DR36" i="116"/>
  <c r="BV36" i="116"/>
  <c r="BS36" i="116"/>
  <c r="AI36" i="116"/>
  <c r="AF36" i="116"/>
  <c r="FT35" i="116"/>
  <c r="FQ35" i="116"/>
  <c r="DU35" i="116"/>
  <c r="DR35" i="116"/>
  <c r="BV35" i="116"/>
  <c r="BS35" i="116"/>
  <c r="AI35" i="116"/>
  <c r="AF35" i="116"/>
  <c r="FT34" i="116"/>
  <c r="FQ34" i="116"/>
  <c r="DU34" i="116"/>
  <c r="DR34" i="116"/>
  <c r="BV34" i="116"/>
  <c r="BS34" i="116"/>
  <c r="AI34" i="116"/>
  <c r="AF34" i="116"/>
  <c r="FT33" i="116"/>
  <c r="FQ33" i="116"/>
  <c r="FN33" i="116"/>
  <c r="AB24" i="119" s="1"/>
  <c r="DU33" i="116"/>
  <c r="DR33" i="116"/>
  <c r="DO33" i="116"/>
  <c r="V24" i="119" s="1"/>
  <c r="BV33" i="116"/>
  <c r="BS33" i="116"/>
  <c r="BP33" i="116"/>
  <c r="P24" i="119" s="1"/>
  <c r="AI33" i="116"/>
  <c r="AF33" i="116"/>
  <c r="AC33" i="116"/>
  <c r="M24" i="119" s="1"/>
  <c r="FT32" i="116"/>
  <c r="FQ32" i="116"/>
  <c r="DU32" i="116"/>
  <c r="DR32" i="116"/>
  <c r="BV32" i="116"/>
  <c r="BS32" i="116"/>
  <c r="AI32" i="116"/>
  <c r="AF32" i="116"/>
  <c r="FT31" i="116"/>
  <c r="DU31" i="116"/>
  <c r="BV31" i="116"/>
  <c r="AI31" i="116"/>
  <c r="FT20" i="116"/>
  <c r="FQ20" i="116"/>
  <c r="DU20" i="116"/>
  <c r="DR20" i="116"/>
  <c r="BV20" i="116"/>
  <c r="BV26" i="116" s="1"/>
  <c r="BS20" i="116"/>
  <c r="BS26" i="116" s="1"/>
  <c r="AI20" i="116"/>
  <c r="AI26" i="116" s="1"/>
  <c r="AF20" i="116"/>
  <c r="AF26" i="116" s="1"/>
  <c r="FT19" i="116"/>
  <c r="FQ19" i="116"/>
  <c r="DU19" i="116"/>
  <c r="DR19" i="116"/>
  <c r="BV19" i="116"/>
  <c r="BV25" i="116" s="1"/>
  <c r="BS19" i="116"/>
  <c r="BS25" i="116" s="1"/>
  <c r="AI19" i="116"/>
  <c r="AI25" i="116" s="1"/>
  <c r="AF19" i="116"/>
  <c r="FT18" i="116"/>
  <c r="FQ18" i="116"/>
  <c r="DU18" i="116"/>
  <c r="DR18" i="116"/>
  <c r="BV18" i="116"/>
  <c r="BV24" i="116" s="1"/>
  <c r="BS18" i="116"/>
  <c r="BS24" i="116" s="1"/>
  <c r="AI18" i="116"/>
  <c r="AI24" i="116" s="1"/>
  <c r="AF18" i="116"/>
  <c r="AF24" i="116" s="1"/>
  <c r="FT17" i="116"/>
  <c r="FQ17" i="116"/>
  <c r="DU17" i="116"/>
  <c r="DR17" i="116"/>
  <c r="BV17" i="116"/>
  <c r="BV23" i="116" s="1"/>
  <c r="BS17" i="116"/>
  <c r="BS23" i="116" s="1"/>
  <c r="AF17" i="116"/>
  <c r="H9" i="116"/>
  <c r="K142" i="115"/>
  <c r="E142" i="115"/>
  <c r="K141" i="115"/>
  <c r="E141" i="115"/>
  <c r="K140" i="115"/>
  <c r="E140" i="115"/>
  <c r="BM171" i="115"/>
  <c r="AO171" i="115"/>
  <c r="BM166" i="115"/>
  <c r="AO166" i="115"/>
  <c r="B166" i="115"/>
  <c r="BM165" i="115"/>
  <c r="AO165" i="115"/>
  <c r="B165" i="115"/>
  <c r="E96" i="115"/>
  <c r="BM207" i="115"/>
  <c r="AO207" i="115"/>
  <c r="B207" i="115"/>
  <c r="BM206" i="115"/>
  <c r="AO206" i="115"/>
  <c r="B206" i="115"/>
  <c r="E75" i="115"/>
  <c r="E66" i="115"/>
  <c r="E61" i="115"/>
  <c r="E44" i="115"/>
  <c r="A44" i="115"/>
  <c r="A75" i="115" s="1"/>
  <c r="A96" i="115" s="1"/>
  <c r="E34" i="115"/>
  <c r="E214" i="115" s="1"/>
  <c r="E31" i="115"/>
  <c r="BP24" i="115"/>
  <c r="AU24" i="115"/>
  <c r="AR24" i="115"/>
  <c r="Z24" i="115"/>
  <c r="T24" i="115"/>
  <c r="K24" i="115"/>
  <c r="E24" i="115"/>
  <c r="AI72" i="114"/>
  <c r="CH72" i="114" s="1"/>
  <c r="EG72" i="114" s="1"/>
  <c r="GF72" i="114" s="1"/>
  <c r="AF72" i="114"/>
  <c r="DU68" i="114"/>
  <c r="DR68" i="114"/>
  <c r="BV68" i="114"/>
  <c r="CH68" i="114" s="1"/>
  <c r="DU67" i="114"/>
  <c r="DR67" i="114"/>
  <c r="DO67" i="114"/>
  <c r="U53" i="118" s="1"/>
  <c r="BV67" i="114"/>
  <c r="CH67" i="114" s="1"/>
  <c r="BP67" i="114"/>
  <c r="O53" i="118" s="1"/>
  <c r="DU66" i="114"/>
  <c r="DR66" i="114"/>
  <c r="BV66" i="114"/>
  <c r="CH66" i="114" s="1"/>
  <c r="DU65" i="114"/>
  <c r="BV65" i="114"/>
  <c r="CH65" i="114" s="1"/>
  <c r="DU64" i="114"/>
  <c r="BV64" i="114"/>
  <c r="CH64" i="114" s="1"/>
  <c r="DU63" i="114"/>
  <c r="BV63" i="114"/>
  <c r="CH63" i="114" s="1"/>
  <c r="DU62" i="114"/>
  <c r="DR62" i="114"/>
  <c r="BV62" i="114"/>
  <c r="DU61" i="114"/>
  <c r="DR61" i="114"/>
  <c r="BV61" i="114"/>
  <c r="CH61" i="114" s="1"/>
  <c r="H60" i="114"/>
  <c r="DU58" i="114"/>
  <c r="DR58" i="114"/>
  <c r="BV58" i="114"/>
  <c r="CH58" i="114" s="1"/>
  <c r="DU57" i="114"/>
  <c r="DR57" i="114"/>
  <c r="BV57" i="114"/>
  <c r="CH57" i="114" s="1"/>
  <c r="DU56" i="114"/>
  <c r="DR56" i="114"/>
  <c r="BV56" i="114"/>
  <c r="CH56" i="114" s="1"/>
  <c r="DU55" i="114"/>
  <c r="DR55" i="114"/>
  <c r="BV55" i="114"/>
  <c r="CH55" i="114" s="1"/>
  <c r="H54" i="114"/>
  <c r="DU53" i="114"/>
  <c r="BV53" i="114"/>
  <c r="CH53" i="114" s="1"/>
  <c r="DU52" i="114"/>
  <c r="DR52" i="114"/>
  <c r="BV52" i="114"/>
  <c r="CH52" i="114" s="1"/>
  <c r="DU51" i="114"/>
  <c r="DR51" i="114"/>
  <c r="BV51" i="114"/>
  <c r="CH51" i="114" s="1"/>
  <c r="DU50" i="114"/>
  <c r="DR50" i="114"/>
  <c r="BV50" i="114"/>
  <c r="CH50" i="114" s="1"/>
  <c r="H49" i="114"/>
  <c r="H69" i="114" s="1"/>
  <c r="FQ47" i="114"/>
  <c r="DU47" i="114"/>
  <c r="DR47" i="114"/>
  <c r="BV47" i="114"/>
  <c r="FQ46" i="114"/>
  <c r="DU46" i="114"/>
  <c r="DR46" i="114"/>
  <c r="BV46" i="114"/>
  <c r="CH46" i="114" s="1"/>
  <c r="FQ45" i="114"/>
  <c r="DU45" i="114"/>
  <c r="DR45" i="114"/>
  <c r="BV45" i="114"/>
  <c r="CH45" i="114" s="1"/>
  <c r="BS45" i="114"/>
  <c r="FQ44" i="114"/>
  <c r="DU44" i="114"/>
  <c r="DR44" i="114"/>
  <c r="BV44" i="114"/>
  <c r="CH44" i="114" s="1"/>
  <c r="FQ43" i="114"/>
  <c r="DU43" i="114"/>
  <c r="DR43" i="114"/>
  <c r="BV43" i="114"/>
  <c r="CH43" i="114" s="1"/>
  <c r="BS43" i="114"/>
  <c r="DU42" i="114"/>
  <c r="DR42" i="114"/>
  <c r="BV42" i="114"/>
  <c r="CH42" i="114" s="1"/>
  <c r="FT41" i="114"/>
  <c r="FH41" i="114"/>
  <c r="DU41" i="114"/>
  <c r="BV41" i="114"/>
  <c r="AI41" i="114"/>
  <c r="FT30" i="114"/>
  <c r="DU30" i="114"/>
  <c r="DR30" i="114"/>
  <c r="FT29" i="114"/>
  <c r="DU29" i="114"/>
  <c r="DR29" i="114"/>
  <c r="DR28" i="114"/>
  <c r="FT27" i="114"/>
  <c r="FT36" i="114" s="1"/>
  <c r="DU27" i="114"/>
  <c r="DU36" i="114" s="1"/>
  <c r="DR27" i="114"/>
  <c r="DR36" i="114" s="1"/>
  <c r="FT26" i="114"/>
  <c r="DR26" i="114"/>
  <c r="FT25" i="114"/>
  <c r="FT34" i="114" s="1"/>
  <c r="DU25" i="114"/>
  <c r="DU34" i="114" s="1"/>
  <c r="DR25" i="114"/>
  <c r="DR34" i="114" s="1"/>
  <c r="FT24" i="114"/>
  <c r="FT33" i="114" s="1"/>
  <c r="DU24" i="114"/>
  <c r="DU33" i="114" s="1"/>
  <c r="DR24" i="114"/>
  <c r="DR33" i="114" s="1"/>
  <c r="AI19" i="114"/>
  <c r="AI18" i="114"/>
  <c r="AI16" i="114"/>
  <c r="AI15" i="114"/>
  <c r="AI9" i="114"/>
  <c r="AI8" i="114"/>
  <c r="H71" i="114" l="1"/>
  <c r="H82" i="114"/>
  <c r="DR35" i="114"/>
  <c r="J54" i="116"/>
  <c r="J51" i="116"/>
  <c r="J49" i="116"/>
  <c r="J43" i="116"/>
  <c r="J40" i="116"/>
  <c r="J36" i="116"/>
  <c r="J34" i="116"/>
  <c r="J31" i="116"/>
  <c r="J50" i="116"/>
  <c r="J41" i="116"/>
  <c r="J35" i="116"/>
  <c r="J56" i="116"/>
  <c r="J53" i="116"/>
  <c r="J47" i="116"/>
  <c r="J33" i="116"/>
  <c r="J37" i="116"/>
  <c r="J52" i="116"/>
  <c r="J46" i="116"/>
  <c r="J32" i="116"/>
  <c r="J55" i="116"/>
  <c r="Q181" i="113"/>
  <c r="O24" i="118"/>
  <c r="AH171" i="113"/>
  <c r="T14" i="118"/>
  <c r="AH180" i="113"/>
  <c r="T23" i="118"/>
  <c r="S179" i="113"/>
  <c r="Q22" i="118"/>
  <c r="DC57" i="116"/>
  <c r="BN179" i="113"/>
  <c r="AB22" i="118"/>
  <c r="AG181" i="113"/>
  <c r="S24" i="118"/>
  <c r="AH181" i="113"/>
  <c r="T24" i="118"/>
  <c r="AG180" i="113"/>
  <c r="S23" i="118"/>
  <c r="Q180" i="113"/>
  <c r="O23" i="118"/>
  <c r="AH177" i="113"/>
  <c r="T20" i="118"/>
  <c r="AQ179" i="113"/>
  <c r="W22" i="118"/>
  <c r="E209" i="115"/>
  <c r="E219" i="115" s="1"/>
  <c r="CG216" i="113"/>
  <c r="FT48" i="116"/>
  <c r="FT44" i="116"/>
  <c r="DL57" i="116"/>
  <c r="BM57" i="116"/>
  <c r="BD57" i="116"/>
  <c r="BV48" i="116"/>
  <c r="Z57" i="116"/>
  <c r="Q57" i="116"/>
  <c r="EG50" i="114"/>
  <c r="GF50" i="114" s="1"/>
  <c r="EG46" i="114"/>
  <c r="GF46" i="114" s="1"/>
  <c r="EG44" i="114"/>
  <c r="GF44" i="114" s="1"/>
  <c r="EG42" i="114"/>
  <c r="GF42" i="114" s="1"/>
  <c r="EG43" i="114"/>
  <c r="GF43" i="114" s="1"/>
  <c r="EG45" i="114"/>
  <c r="GF45" i="114" s="1"/>
  <c r="EG52" i="114"/>
  <c r="GF52" i="114" s="1"/>
  <c r="EG53" i="114"/>
  <c r="GF53" i="114" s="1"/>
  <c r="EG55" i="114"/>
  <c r="GF55" i="114" s="1"/>
  <c r="EG57" i="114"/>
  <c r="GF57" i="114" s="1"/>
  <c r="EG58" i="114"/>
  <c r="GF58" i="114" s="1"/>
  <c r="EG61" i="114"/>
  <c r="GF61" i="114" s="1"/>
  <c r="EG64" i="114"/>
  <c r="GF64" i="114" s="1"/>
  <c r="EG65" i="114"/>
  <c r="GF65" i="114" s="1"/>
  <c r="EG66" i="114"/>
  <c r="GF66" i="114" s="1"/>
  <c r="AF123" i="115"/>
  <c r="AL123" i="115" s="1"/>
  <c r="BV48" i="114"/>
  <c r="AI49" i="114"/>
  <c r="AI60" i="114"/>
  <c r="DU60" i="114"/>
  <c r="EG68" i="114"/>
  <c r="GF68" i="114" s="1"/>
  <c r="AI54" i="114"/>
  <c r="CE72" i="114"/>
  <c r="AI11" i="114"/>
  <c r="EG51" i="114"/>
  <c r="GF51" i="114" s="1"/>
  <c r="EG56" i="114"/>
  <c r="GF56" i="114" s="1"/>
  <c r="EG63" i="114"/>
  <c r="GF63" i="114" s="1"/>
  <c r="EG67" i="114"/>
  <c r="GF67" i="114" s="1"/>
  <c r="AI34" i="114"/>
  <c r="AI33" i="114"/>
  <c r="BV28" i="114"/>
  <c r="BV35" i="114" s="1"/>
  <c r="FT28" i="114"/>
  <c r="FT35" i="114" s="1"/>
  <c r="AI17" i="114"/>
  <c r="AI14" i="114" s="1"/>
  <c r="CH41" i="114"/>
  <c r="EG41" i="114" s="1"/>
  <c r="GF41" i="114" s="1"/>
  <c r="DU48" i="114"/>
  <c r="FT49" i="114"/>
  <c r="FT54" i="114"/>
  <c r="FT60" i="114"/>
  <c r="Q58" i="116"/>
  <c r="Q65" i="116" s="1"/>
  <c r="AU58" i="116"/>
  <c r="AU65" i="116" s="1"/>
  <c r="BM58" i="116"/>
  <c r="BM65" i="116" s="1"/>
  <c r="DC58" i="116"/>
  <c r="DC65" i="116" s="1"/>
  <c r="ES58" i="116"/>
  <c r="ES65" i="116" s="1"/>
  <c r="FK58" i="116"/>
  <c r="FK65" i="116" s="1"/>
  <c r="AI39" i="116"/>
  <c r="H57" i="116"/>
  <c r="DU39" i="116"/>
  <c r="CT57" i="116"/>
  <c r="AI38" i="116"/>
  <c r="DU38" i="116"/>
  <c r="AI44" i="116"/>
  <c r="CH44" i="116" s="1"/>
  <c r="DU44" i="116"/>
  <c r="AI48" i="116"/>
  <c r="DU48" i="116"/>
  <c r="H58" i="116"/>
  <c r="Z58" i="116"/>
  <c r="BD58" i="116"/>
  <c r="CT58" i="116"/>
  <c r="CT65" i="116" s="1"/>
  <c r="DL58" i="116"/>
  <c r="DU58" i="116" s="1"/>
  <c r="DU65" i="116" s="1"/>
  <c r="FB58" i="116"/>
  <c r="CE17" i="116"/>
  <c r="CE23" i="116" s="1"/>
  <c r="AF23" i="116"/>
  <c r="CE19" i="116"/>
  <c r="CE25" i="116" s="1"/>
  <c r="AF25" i="116"/>
  <c r="BV39" i="116"/>
  <c r="AU57" i="116"/>
  <c r="FT39" i="116"/>
  <c r="ES57" i="116"/>
  <c r="BV38" i="116"/>
  <c r="FT38" i="116"/>
  <c r="Q59" i="116"/>
  <c r="DC59" i="116"/>
  <c r="FK59" i="116"/>
  <c r="FQ38" i="116"/>
  <c r="DR38" i="116"/>
  <c r="BS38" i="116"/>
  <c r="AF38" i="116"/>
  <c r="FQ48" i="114"/>
  <c r="DR48" i="114"/>
  <c r="AF48" i="114"/>
  <c r="CH17" i="113"/>
  <c r="CH179" i="113" s="1"/>
  <c r="CI179" i="113"/>
  <c r="B17" i="113"/>
  <c r="L22" i="118" s="1"/>
  <c r="C179" i="113"/>
  <c r="CE13" i="113"/>
  <c r="CE174" i="113"/>
  <c r="CE175" i="113" s="1"/>
  <c r="D179" i="113"/>
  <c r="BG13" i="113"/>
  <c r="BG174" i="113"/>
  <c r="BG175" i="113" s="1"/>
  <c r="CG13" i="113"/>
  <c r="CG174" i="113"/>
  <c r="CG175" i="113" s="1"/>
  <c r="AO17" i="113"/>
  <c r="U22" i="118" s="1"/>
  <c r="AP179" i="113"/>
  <c r="BO179" i="113"/>
  <c r="Q17" i="113"/>
  <c r="R179" i="113"/>
  <c r="CF155" i="113"/>
  <c r="CE154" i="113"/>
  <c r="N96" i="115"/>
  <c r="B171" i="115"/>
  <c r="BM17" i="113"/>
  <c r="AA22" i="118" s="1"/>
  <c r="BF19" i="113"/>
  <c r="Z24" i="118" s="1"/>
  <c r="AN19" i="113"/>
  <c r="AN181" i="113" s="1"/>
  <c r="BE18" i="113"/>
  <c r="AF18" i="113"/>
  <c r="R23" i="118" s="1"/>
  <c r="AG17" i="113"/>
  <c r="AM18" i="113"/>
  <c r="AM180" i="113" s="1"/>
  <c r="BF18" i="113"/>
  <c r="AH17" i="113"/>
  <c r="AN18" i="113"/>
  <c r="AN180" i="113" s="1"/>
  <c r="AF19" i="113"/>
  <c r="R24" i="118" s="1"/>
  <c r="BE19" i="113"/>
  <c r="AM19" i="113"/>
  <c r="BF9" i="113"/>
  <c r="AN9" i="113"/>
  <c r="BF15" i="113"/>
  <c r="Z20" i="118" s="1"/>
  <c r="AN15" i="113"/>
  <c r="AN177" i="113" s="1"/>
  <c r="BV58" i="116"/>
  <c r="BV65" i="116" s="1"/>
  <c r="BV9" i="116"/>
  <c r="FT9" i="116"/>
  <c r="CE18" i="116"/>
  <c r="AI9" i="116"/>
  <c r="DU9" i="116"/>
  <c r="AI10" i="114"/>
  <c r="CE25" i="114"/>
  <c r="CE34" i="114" s="1"/>
  <c r="FT58" i="116"/>
  <c r="FT65" i="116" s="1"/>
  <c r="CH31" i="116"/>
  <c r="EG31" i="116" s="1"/>
  <c r="GF31" i="116" s="1"/>
  <c r="CH32" i="116"/>
  <c r="EG32" i="116" s="1"/>
  <c r="GF32" i="116" s="1"/>
  <c r="CH33" i="116"/>
  <c r="EG33" i="116" s="1"/>
  <c r="GF33" i="116" s="1"/>
  <c r="CH34" i="116"/>
  <c r="EG34" i="116" s="1"/>
  <c r="GF34" i="116" s="1"/>
  <c r="CH35" i="116"/>
  <c r="EG35" i="116" s="1"/>
  <c r="GF35" i="116" s="1"/>
  <c r="CH36" i="116"/>
  <c r="EG36" i="116" s="1"/>
  <c r="GF36" i="116" s="1"/>
  <c r="BV21" i="116"/>
  <c r="FT21" i="116"/>
  <c r="FT22" i="116" s="1"/>
  <c r="CE29" i="114"/>
  <c r="ED29" i="114" s="1"/>
  <c r="BV60" i="114"/>
  <c r="CH62" i="114"/>
  <c r="EG62" i="114" s="1"/>
  <c r="GF62" i="114" s="1"/>
  <c r="BV54" i="114"/>
  <c r="DU54" i="114"/>
  <c r="DR58" i="116"/>
  <c r="DR65" i="116" s="1"/>
  <c r="CH20" i="116"/>
  <c r="CH26" i="116" s="1"/>
  <c r="DX33" i="116"/>
  <c r="AF21" i="116"/>
  <c r="AF22" i="116" s="1"/>
  <c r="BS21" i="116"/>
  <c r="BS22" i="116" s="1"/>
  <c r="FQ21" i="116"/>
  <c r="AF58" i="116"/>
  <c r="BS58" i="116"/>
  <c r="FQ58" i="116"/>
  <c r="FQ65" i="116" s="1"/>
  <c r="DR23" i="116"/>
  <c r="FT23" i="116"/>
  <c r="CH18" i="116"/>
  <c r="CH24" i="116" s="1"/>
  <c r="DU24" i="116"/>
  <c r="DU25" i="116"/>
  <c r="FT25" i="116"/>
  <c r="DU26" i="116"/>
  <c r="FT26" i="116"/>
  <c r="DR21" i="116"/>
  <c r="CB33" i="116"/>
  <c r="BY33" i="116"/>
  <c r="FW33" i="116"/>
  <c r="CH19" i="116"/>
  <c r="CH25" i="116" s="1"/>
  <c r="CE20" i="116"/>
  <c r="CE26" i="116" s="1"/>
  <c r="DU21" i="116"/>
  <c r="CE32" i="116"/>
  <c r="CE33" i="116"/>
  <c r="AL33" i="116"/>
  <c r="CE34" i="116"/>
  <c r="CE35" i="116"/>
  <c r="CE36" i="116"/>
  <c r="CE37" i="116"/>
  <c r="DU23" i="116"/>
  <c r="FT24" i="116"/>
  <c r="AF31" i="116"/>
  <c r="FT57" i="116"/>
  <c r="FT70" i="116" s="1"/>
  <c r="BS31" i="116"/>
  <c r="DR31" i="116"/>
  <c r="FQ31" i="116"/>
  <c r="CH37" i="116"/>
  <c r="CH38" i="116" s="1"/>
  <c r="B149" i="115"/>
  <c r="AO149" i="115"/>
  <c r="BM149" i="115"/>
  <c r="AF206" i="115"/>
  <c r="BD206" i="115" s="1"/>
  <c r="CB206" i="115" s="1"/>
  <c r="E139" i="115"/>
  <c r="E121" i="115"/>
  <c r="K139" i="115"/>
  <c r="K174" i="115" s="1"/>
  <c r="K175" i="115" s="1"/>
  <c r="AI20" i="115"/>
  <c r="AI149" i="115" s="1"/>
  <c r="AI22" i="115"/>
  <c r="AI152" i="115" s="1"/>
  <c r="AC24" i="115"/>
  <c r="AI19" i="115"/>
  <c r="AI148" i="115" s="1"/>
  <c r="AI21" i="115"/>
  <c r="AI151" i="115" s="1"/>
  <c r="AI23" i="115"/>
  <c r="AI153" i="115" s="1"/>
  <c r="H24" i="115"/>
  <c r="N24" i="115"/>
  <c r="AO205" i="115"/>
  <c r="AO158" i="115"/>
  <c r="BM205" i="115"/>
  <c r="BM158" i="115"/>
  <c r="BS180" i="115"/>
  <c r="B205" i="115"/>
  <c r="AF205" i="115" s="1"/>
  <c r="B158" i="115"/>
  <c r="AF207" i="115"/>
  <c r="BD207" i="115" s="1"/>
  <c r="CB207" i="115" s="1"/>
  <c r="FQ42" i="114"/>
  <c r="CH15" i="114"/>
  <c r="EG15" i="114" s="1"/>
  <c r="CH16" i="114"/>
  <c r="CH18" i="114"/>
  <c r="EG18" i="114" s="1"/>
  <c r="CH19" i="114"/>
  <c r="CH24" i="114"/>
  <c r="CH26" i="114"/>
  <c r="CH27" i="114"/>
  <c r="CH29" i="114"/>
  <c r="EG29" i="114" s="1"/>
  <c r="GF29" i="114" s="1"/>
  <c r="DR53" i="114"/>
  <c r="DR60" i="114"/>
  <c r="DR63" i="114"/>
  <c r="DR64" i="114"/>
  <c r="DR65" i="114"/>
  <c r="CB67" i="114"/>
  <c r="FW67" i="114"/>
  <c r="DR49" i="114"/>
  <c r="DR54" i="114"/>
  <c r="CH8" i="114"/>
  <c r="EG8" i="114" s="1"/>
  <c r="CE30" i="114"/>
  <c r="CE43" i="114"/>
  <c r="CE45" i="114"/>
  <c r="CH9" i="114"/>
  <c r="CE24" i="114"/>
  <c r="CE33" i="114" s="1"/>
  <c r="CH25" i="114"/>
  <c r="CE26" i="114"/>
  <c r="DU26" i="114"/>
  <c r="CE27" i="114"/>
  <c r="CE36" i="114" s="1"/>
  <c r="DU28" i="114"/>
  <c r="AF41" i="114"/>
  <c r="BV49" i="114"/>
  <c r="DR41" i="114"/>
  <c r="FQ41" i="114"/>
  <c r="CH47" i="114"/>
  <c r="CH48" i="114" s="1"/>
  <c r="DU49" i="114"/>
  <c r="DX67" i="114"/>
  <c r="E124" i="113"/>
  <c r="E114" i="113"/>
  <c r="E112" i="113"/>
  <c r="E100" i="113"/>
  <c r="N100" i="113"/>
  <c r="B234" i="113"/>
  <c r="B249" i="113"/>
  <c r="B248" i="113"/>
  <c r="B247" i="113"/>
  <c r="B246" i="113"/>
  <c r="B245" i="113"/>
  <c r="B236" i="113"/>
  <c r="A56" i="113"/>
  <c r="A124" i="113" s="1"/>
  <c r="CB181" i="113"/>
  <c r="BM181" i="113"/>
  <c r="AO181" i="113"/>
  <c r="AF181" i="113"/>
  <c r="B181" i="113"/>
  <c r="CB180" i="113"/>
  <c r="BM180" i="113"/>
  <c r="AO180" i="113"/>
  <c r="B180" i="113"/>
  <c r="CB179" i="113"/>
  <c r="BM179" i="113"/>
  <c r="AO179" i="113"/>
  <c r="E154" i="113"/>
  <c r="BJ123" i="115" l="1"/>
  <c r="B179" i="113"/>
  <c r="ED17" i="116"/>
  <c r="GC17" i="116" s="1"/>
  <c r="E101" i="113"/>
  <c r="E194" i="113" s="1"/>
  <c r="AF180" i="113"/>
  <c r="CH54" i="114"/>
  <c r="EG54" i="114" s="1"/>
  <c r="GF54" i="114" s="1"/>
  <c r="ED25" i="114"/>
  <c r="ED34" i="114" s="1"/>
  <c r="BF171" i="113"/>
  <c r="Z14" i="118"/>
  <c r="BE181" i="113"/>
  <c r="Y24" i="118"/>
  <c r="AH179" i="113"/>
  <c r="T22" i="118"/>
  <c r="AG179" i="113"/>
  <c r="S22" i="118"/>
  <c r="BE180" i="113"/>
  <c r="Y23" i="118"/>
  <c r="I32" i="116"/>
  <c r="AJ32" i="116" s="1"/>
  <c r="CI32" i="116" s="1"/>
  <c r="EH32" i="116" s="1"/>
  <c r="GG32" i="116" s="1"/>
  <c r="AK32" i="116"/>
  <c r="CJ32" i="116" s="1"/>
  <c r="EI32" i="116" s="1"/>
  <c r="GH32" i="116" s="1"/>
  <c r="I52" i="116"/>
  <c r="AJ52" i="116" s="1"/>
  <c r="CI52" i="116" s="1"/>
  <c r="EH52" i="116" s="1"/>
  <c r="GG52" i="116" s="1"/>
  <c r="AK52" i="116"/>
  <c r="CJ52" i="116" s="1"/>
  <c r="EI52" i="116" s="1"/>
  <c r="GH52" i="116" s="1"/>
  <c r="I33" i="116"/>
  <c r="AJ33" i="116" s="1"/>
  <c r="CI33" i="116" s="1"/>
  <c r="EH33" i="116" s="1"/>
  <c r="GG33" i="116" s="1"/>
  <c r="AK33" i="116"/>
  <c r="CJ33" i="116" s="1"/>
  <c r="EI33" i="116" s="1"/>
  <c r="GH33" i="116" s="1"/>
  <c r="I53" i="116"/>
  <c r="AJ53" i="116" s="1"/>
  <c r="CI53" i="116" s="1"/>
  <c r="EH53" i="116" s="1"/>
  <c r="GG53" i="116" s="1"/>
  <c r="AK53" i="116"/>
  <c r="CJ53" i="116" s="1"/>
  <c r="EI53" i="116" s="1"/>
  <c r="GH53" i="116" s="1"/>
  <c r="I35" i="116"/>
  <c r="AJ35" i="116" s="1"/>
  <c r="CI35" i="116" s="1"/>
  <c r="EH35" i="116" s="1"/>
  <c r="GG35" i="116" s="1"/>
  <c r="AK35" i="116"/>
  <c r="CJ35" i="116" s="1"/>
  <c r="EI35" i="116" s="1"/>
  <c r="GH35" i="116" s="1"/>
  <c r="I50" i="116"/>
  <c r="AJ50" i="116" s="1"/>
  <c r="CI50" i="116" s="1"/>
  <c r="EH50" i="116" s="1"/>
  <c r="GG50" i="116" s="1"/>
  <c r="AK50" i="116"/>
  <c r="CJ50" i="116" s="1"/>
  <c r="EI50" i="116" s="1"/>
  <c r="GH50" i="116" s="1"/>
  <c r="I34" i="116"/>
  <c r="AJ34" i="116" s="1"/>
  <c r="CI34" i="116" s="1"/>
  <c r="EH34" i="116" s="1"/>
  <c r="GG34" i="116" s="1"/>
  <c r="AK34" i="116"/>
  <c r="CJ34" i="116" s="1"/>
  <c r="EI34" i="116" s="1"/>
  <c r="GH34" i="116" s="1"/>
  <c r="J39" i="116"/>
  <c r="AK39" i="116" s="1"/>
  <c r="CJ39" i="116" s="1"/>
  <c r="EI39" i="116" s="1"/>
  <c r="GH39" i="116" s="1"/>
  <c r="I40" i="116"/>
  <c r="AK40" i="116"/>
  <c r="CJ40" i="116" s="1"/>
  <c r="EI40" i="116" s="1"/>
  <c r="GH40" i="116" s="1"/>
  <c r="I49" i="116"/>
  <c r="J48" i="116"/>
  <c r="AK48" i="116" s="1"/>
  <c r="CJ48" i="116" s="1"/>
  <c r="EI48" i="116" s="1"/>
  <c r="GH48" i="116" s="1"/>
  <c r="AK49" i="116"/>
  <c r="CJ49" i="116" s="1"/>
  <c r="EI49" i="116" s="1"/>
  <c r="GH49" i="116" s="1"/>
  <c r="I54" i="116"/>
  <c r="AJ54" i="116" s="1"/>
  <c r="CI54" i="116" s="1"/>
  <c r="EH54" i="116" s="1"/>
  <c r="GG54" i="116" s="1"/>
  <c r="AK54" i="116"/>
  <c r="CJ54" i="116" s="1"/>
  <c r="EI54" i="116" s="1"/>
  <c r="GH54" i="116" s="1"/>
  <c r="CH34" i="114"/>
  <c r="EA67" i="114"/>
  <c r="R53" i="118"/>
  <c r="FT59" i="116"/>
  <c r="EA33" i="116"/>
  <c r="S24" i="119"/>
  <c r="ED19" i="116"/>
  <c r="GC19" i="116" s="1"/>
  <c r="BF180" i="113"/>
  <c r="Z23" i="118"/>
  <c r="Q179" i="113"/>
  <c r="O22" i="118"/>
  <c r="BM59" i="116"/>
  <c r="BV57" i="116"/>
  <c r="BV59" i="116" s="1"/>
  <c r="I55" i="116"/>
  <c r="AJ55" i="116" s="1"/>
  <c r="CI55" i="116" s="1"/>
  <c r="EH55" i="116" s="1"/>
  <c r="GG55" i="116" s="1"/>
  <c r="AK55" i="116"/>
  <c r="CJ55" i="116" s="1"/>
  <c r="EI55" i="116" s="1"/>
  <c r="GH55" i="116" s="1"/>
  <c r="I46" i="116"/>
  <c r="J44" i="116"/>
  <c r="AK44" i="116" s="1"/>
  <c r="CJ44" i="116" s="1"/>
  <c r="EI44" i="116" s="1"/>
  <c r="GH44" i="116" s="1"/>
  <c r="AK46" i="116"/>
  <c r="CJ46" i="116" s="1"/>
  <c r="EI46" i="116" s="1"/>
  <c r="GH46" i="116" s="1"/>
  <c r="I37" i="116"/>
  <c r="AK37" i="116"/>
  <c r="J38" i="116"/>
  <c r="I47" i="116"/>
  <c r="AJ47" i="116" s="1"/>
  <c r="CI47" i="116" s="1"/>
  <c r="EH47" i="116" s="1"/>
  <c r="GG47" i="116" s="1"/>
  <c r="AK47" i="116"/>
  <c r="CJ47" i="116" s="1"/>
  <c r="EI47" i="116" s="1"/>
  <c r="GH47" i="116" s="1"/>
  <c r="I56" i="116"/>
  <c r="AJ56" i="116" s="1"/>
  <c r="CI56" i="116" s="1"/>
  <c r="EH56" i="116" s="1"/>
  <c r="GG56" i="116" s="1"/>
  <c r="AK56" i="116"/>
  <c r="CJ56" i="116" s="1"/>
  <c r="EI56" i="116" s="1"/>
  <c r="GH56" i="116" s="1"/>
  <c r="I41" i="116"/>
  <c r="AJ41" i="116" s="1"/>
  <c r="CI41" i="116" s="1"/>
  <c r="EH41" i="116" s="1"/>
  <c r="GG41" i="116" s="1"/>
  <c r="AK41" i="116"/>
  <c r="CJ41" i="116" s="1"/>
  <c r="EI41" i="116" s="1"/>
  <c r="GH41" i="116" s="1"/>
  <c r="I31" i="116"/>
  <c r="AK31" i="116"/>
  <c r="CJ31" i="116" s="1"/>
  <c r="EI31" i="116" s="1"/>
  <c r="GH31" i="116" s="1"/>
  <c r="J57" i="116"/>
  <c r="I36" i="116"/>
  <c r="AJ36" i="116" s="1"/>
  <c r="CI36" i="116" s="1"/>
  <c r="EH36" i="116" s="1"/>
  <c r="GG36" i="116" s="1"/>
  <c r="AK36" i="116"/>
  <c r="CJ36" i="116" s="1"/>
  <c r="EI36" i="116" s="1"/>
  <c r="GH36" i="116" s="1"/>
  <c r="I43" i="116"/>
  <c r="AJ43" i="116" s="1"/>
  <c r="CI43" i="116" s="1"/>
  <c r="EH43" i="116" s="1"/>
  <c r="GG43" i="116" s="1"/>
  <c r="AK43" i="116"/>
  <c r="CJ43" i="116" s="1"/>
  <c r="EI43" i="116" s="1"/>
  <c r="GH43" i="116" s="1"/>
  <c r="I51" i="116"/>
  <c r="AJ51" i="116" s="1"/>
  <c r="CI51" i="116" s="1"/>
  <c r="EH51" i="116" s="1"/>
  <c r="GG51" i="116" s="1"/>
  <c r="AK51" i="116"/>
  <c r="CJ51" i="116" s="1"/>
  <c r="EI51" i="116" s="1"/>
  <c r="GH51" i="116" s="1"/>
  <c r="E198" i="113"/>
  <c r="E214" i="113"/>
  <c r="EG44" i="116"/>
  <c r="GF44" i="116" s="1"/>
  <c r="CH48" i="116"/>
  <c r="EG48" i="116" s="1"/>
  <c r="GF48" i="116" s="1"/>
  <c r="EG20" i="116"/>
  <c r="BV22" i="116"/>
  <c r="CH60" i="114"/>
  <c r="EG60" i="114" s="1"/>
  <c r="GF60" i="114" s="1"/>
  <c r="AI154" i="115"/>
  <c r="AI173" i="115"/>
  <c r="BS65" i="116"/>
  <c r="FB59" i="116"/>
  <c r="FB65" i="116"/>
  <c r="DL59" i="116"/>
  <c r="DL65" i="116"/>
  <c r="BD59" i="116"/>
  <c r="BD65" i="116"/>
  <c r="Z59" i="116"/>
  <c r="Z65" i="116"/>
  <c r="CE38" i="116"/>
  <c r="ED72" i="114"/>
  <c r="EG27" i="114"/>
  <c r="EG36" i="114" s="1"/>
  <c r="CH36" i="114"/>
  <c r="EG24" i="114"/>
  <c r="EG33" i="114" s="1"/>
  <c r="CH33" i="114"/>
  <c r="AI12" i="114"/>
  <c r="AI13" i="114" s="1"/>
  <c r="DV26" i="114"/>
  <c r="DU35" i="114"/>
  <c r="AI58" i="116"/>
  <c r="CH39" i="116"/>
  <c r="EG39" i="116" s="1"/>
  <c r="GF39" i="116" s="1"/>
  <c r="ED18" i="116"/>
  <c r="GC18" i="116" s="1"/>
  <c r="CE24" i="116"/>
  <c r="ES59" i="116"/>
  <c r="AU59" i="116"/>
  <c r="H59" i="116"/>
  <c r="AI57" i="116"/>
  <c r="CH9" i="116"/>
  <c r="CT59" i="116"/>
  <c r="BL15" i="113"/>
  <c r="BL177" i="113" s="1"/>
  <c r="BF177" i="113"/>
  <c r="AN171" i="113"/>
  <c r="AL19" i="113"/>
  <c r="AL181" i="113" s="1"/>
  <c r="AM181" i="113"/>
  <c r="BL19" i="113"/>
  <c r="BL181" i="113" s="1"/>
  <c r="BF181" i="113"/>
  <c r="E174" i="115"/>
  <c r="E175" i="115" s="1"/>
  <c r="BV180" i="115"/>
  <c r="T180" i="115"/>
  <c r="W180" i="115"/>
  <c r="Z180" i="115"/>
  <c r="CB123" i="115"/>
  <c r="CH123" i="115" s="1"/>
  <c r="AM17" i="113"/>
  <c r="AL18" i="113"/>
  <c r="AL180" i="113" s="1"/>
  <c r="BL9" i="113"/>
  <c r="BK19" i="113"/>
  <c r="BD19" i="113"/>
  <c r="BF17" i="113"/>
  <c r="Z22" i="118" s="1"/>
  <c r="BL18" i="113"/>
  <c r="BE17" i="113"/>
  <c r="Y22" i="118" s="1"/>
  <c r="BD18" i="113"/>
  <c r="BK18" i="113"/>
  <c r="BK180" i="113" s="1"/>
  <c r="AN17" i="113"/>
  <c r="AF17" i="113"/>
  <c r="EG9" i="116"/>
  <c r="GF9" i="116" s="1"/>
  <c r="EG9" i="114"/>
  <c r="EG10" i="114" s="1"/>
  <c r="CH10" i="114"/>
  <c r="EG19" i="114"/>
  <c r="EG17" i="114" s="1"/>
  <c r="EG16" i="114"/>
  <c r="GF16" i="114" s="1"/>
  <c r="CH17" i="114"/>
  <c r="CH14" i="114" s="1"/>
  <c r="FQ57" i="116"/>
  <c r="DR57" i="116"/>
  <c r="BS57" i="116"/>
  <c r="FQ23" i="116"/>
  <c r="FQ26" i="116"/>
  <c r="DR25" i="116"/>
  <c r="DR26" i="116"/>
  <c r="DR24" i="116"/>
  <c r="FQ25" i="116"/>
  <c r="FQ24" i="116"/>
  <c r="EG37" i="116"/>
  <c r="EG38" i="116" s="1"/>
  <c r="DU57" i="116"/>
  <c r="AF57" i="116"/>
  <c r="AF70" i="116" s="1"/>
  <c r="ED36" i="116"/>
  <c r="ED35" i="116"/>
  <c r="ED34" i="116"/>
  <c r="ED33" i="116"/>
  <c r="CK33" i="116"/>
  <c r="ED32" i="116"/>
  <c r="FQ22" i="116"/>
  <c r="CE31" i="116"/>
  <c r="ED37" i="116"/>
  <c r="EG26" i="116"/>
  <c r="GF20" i="116"/>
  <c r="GF26" i="116" s="1"/>
  <c r="ED20" i="116"/>
  <c r="EG19" i="116"/>
  <c r="DR22" i="116"/>
  <c r="EG18" i="116"/>
  <c r="CE58" i="116"/>
  <c r="CE21" i="116"/>
  <c r="CE22" i="116" s="1"/>
  <c r="DU22" i="116"/>
  <c r="AL206" i="115"/>
  <c r="BJ206" i="115"/>
  <c r="AF171" i="115"/>
  <c r="AL171" i="115" s="1"/>
  <c r="AL207" i="115"/>
  <c r="AI75" i="115"/>
  <c r="AI44" i="115"/>
  <c r="AI24" i="115"/>
  <c r="BG23" i="115"/>
  <c r="BG153" i="115" s="1"/>
  <c r="BG21" i="115"/>
  <c r="BG151" i="115" s="1"/>
  <c r="BD205" i="115"/>
  <c r="CB205" i="115" s="1"/>
  <c r="AF166" i="115"/>
  <c r="AL166" i="115" s="1"/>
  <c r="AF165" i="115"/>
  <c r="AL165" i="115" s="1"/>
  <c r="AI96" i="115"/>
  <c r="AF158" i="115"/>
  <c r="AL158" i="115" s="1"/>
  <c r="AL205" i="115"/>
  <c r="AF149" i="115"/>
  <c r="AL149" i="115" s="1"/>
  <c r="BG19" i="115"/>
  <c r="BG148" i="115" s="1"/>
  <c r="BG22" i="115"/>
  <c r="BG152" i="115" s="1"/>
  <c r="BG20" i="115"/>
  <c r="BG149" i="115" s="1"/>
  <c r="AL20" i="115"/>
  <c r="CH33" i="115"/>
  <c r="N44" i="115"/>
  <c r="CE28" i="114"/>
  <c r="CE35" i="114" s="1"/>
  <c r="ED27" i="114"/>
  <c r="ED36" i="114" s="1"/>
  <c r="ED26" i="114"/>
  <c r="EG25" i="114"/>
  <c r="EG34" i="114" s="1"/>
  <c r="ED24" i="114"/>
  <c r="ED33" i="114" s="1"/>
  <c r="FT31" i="114"/>
  <c r="FT32" i="114" s="1"/>
  <c r="DR31" i="114"/>
  <c r="DR32" i="114" s="1"/>
  <c r="GF18" i="114"/>
  <c r="EG26" i="114"/>
  <c r="EG47" i="114"/>
  <c r="EG48" i="114" s="1"/>
  <c r="ED45" i="114"/>
  <c r="ED43" i="114"/>
  <c r="ED30" i="114"/>
  <c r="CH11" i="114"/>
  <c r="GF15" i="114"/>
  <c r="CH49" i="114"/>
  <c r="EG49" i="114" s="1"/>
  <c r="GF49" i="114" s="1"/>
  <c r="N124" i="113"/>
  <c r="N56" i="113"/>
  <c r="AI100" i="113"/>
  <c r="AI124" i="113"/>
  <c r="N31" i="113"/>
  <c r="CE60" i="113"/>
  <c r="A100" i="113"/>
  <c r="DU59" i="116" l="1"/>
  <c r="DU70" i="116"/>
  <c r="AI59" i="116"/>
  <c r="AI70" i="116"/>
  <c r="FQ59" i="116"/>
  <c r="FQ70" i="116"/>
  <c r="GF24" i="114"/>
  <c r="GF33" i="114" s="1"/>
  <c r="DR59" i="116"/>
  <c r="DR70" i="116"/>
  <c r="BS59" i="116"/>
  <c r="BS70" i="116"/>
  <c r="EG11" i="114"/>
  <c r="AF179" i="113"/>
  <c r="R22" i="118"/>
  <c r="J62" i="116"/>
  <c r="AK57" i="116"/>
  <c r="J59" i="116"/>
  <c r="AJ31" i="116"/>
  <c r="CI31" i="116" s="1"/>
  <c r="EH31" i="116" s="1"/>
  <c r="GG31" i="116" s="1"/>
  <c r="CJ37" i="116"/>
  <c r="AK38" i="116"/>
  <c r="I44" i="116"/>
  <c r="AJ44" i="116" s="1"/>
  <c r="CI44" i="116" s="1"/>
  <c r="EH44" i="116" s="1"/>
  <c r="GG44" i="116" s="1"/>
  <c r="AJ46" i="116"/>
  <c r="CI46" i="116" s="1"/>
  <c r="EH46" i="116" s="1"/>
  <c r="GG46" i="116" s="1"/>
  <c r="FZ33" i="116"/>
  <c r="AE24" i="119" s="1"/>
  <c r="Y24" i="119"/>
  <c r="GF27" i="114"/>
  <c r="GF36" i="114" s="1"/>
  <c r="BD180" i="113"/>
  <c r="X23" i="118"/>
  <c r="BD181" i="113"/>
  <c r="X24" i="118"/>
  <c r="AJ37" i="116"/>
  <c r="I38" i="116"/>
  <c r="FZ67" i="114"/>
  <c r="AD53" i="118" s="1"/>
  <c r="X53" i="118"/>
  <c r="I48" i="116"/>
  <c r="AJ48" i="116" s="1"/>
  <c r="CI48" i="116" s="1"/>
  <c r="EH48" i="116" s="1"/>
  <c r="GG48" i="116" s="1"/>
  <c r="AJ49" i="116"/>
  <c r="CI49" i="116" s="1"/>
  <c r="EH49" i="116" s="1"/>
  <c r="GG49" i="116" s="1"/>
  <c r="I39" i="116"/>
  <c r="AJ39" i="116" s="1"/>
  <c r="CI39" i="116" s="1"/>
  <c r="EH39" i="116" s="1"/>
  <c r="GG39" i="116" s="1"/>
  <c r="AJ40" i="116"/>
  <c r="CI40" i="116" s="1"/>
  <c r="EH40" i="116" s="1"/>
  <c r="GG40" i="116" s="1"/>
  <c r="E221" i="113"/>
  <c r="E216" i="113"/>
  <c r="CH57" i="116"/>
  <c r="CH12" i="114"/>
  <c r="CH13" i="114" s="1"/>
  <c r="EG14" i="114"/>
  <c r="EG70" i="114" s="1"/>
  <c r="BG154" i="115"/>
  <c r="BG173" i="115"/>
  <c r="CH58" i="116"/>
  <c r="CE62" i="116"/>
  <c r="DU75" i="114"/>
  <c r="DV75" i="114"/>
  <c r="GC72" i="114"/>
  <c r="DV31" i="114"/>
  <c r="DV35" i="114"/>
  <c r="EH26" i="114"/>
  <c r="ED38" i="116"/>
  <c r="AN179" i="113"/>
  <c r="BD17" i="113"/>
  <c r="BE179" i="113"/>
  <c r="BF179" i="113"/>
  <c r="BJ19" i="113"/>
  <c r="BJ181" i="113" s="1"/>
  <c r="BK181" i="113"/>
  <c r="BL17" i="113"/>
  <c r="BL180" i="113"/>
  <c r="BL171" i="113"/>
  <c r="AM179" i="113"/>
  <c r="AI174" i="115"/>
  <c r="AU180" i="115"/>
  <c r="AX180" i="115"/>
  <c r="AI17" i="115"/>
  <c r="BK17" i="113"/>
  <c r="BJ18" i="113"/>
  <c r="BJ180" i="113" s="1"/>
  <c r="AL17" i="113"/>
  <c r="AL179" i="113" s="1"/>
  <c r="GF19" i="114"/>
  <c r="GF17" i="114" s="1"/>
  <c r="GF14" i="114" s="1"/>
  <c r="EG24" i="116"/>
  <c r="GF18" i="116"/>
  <c r="GF24" i="116" s="1"/>
  <c r="EG25" i="116"/>
  <c r="GF19" i="116"/>
  <c r="GF25" i="116" s="1"/>
  <c r="GC20" i="116"/>
  <c r="GC37" i="116"/>
  <c r="ED31" i="116"/>
  <c r="GC32" i="116"/>
  <c r="GC33" i="116"/>
  <c r="EJ33" i="116"/>
  <c r="GC34" i="116"/>
  <c r="GC35" i="116"/>
  <c r="GC36" i="116"/>
  <c r="GF37" i="116"/>
  <c r="GF38" i="116" s="1"/>
  <c r="ED21" i="116"/>
  <c r="ED58" i="116"/>
  <c r="ED26" i="116"/>
  <c r="EG57" i="116"/>
  <c r="EG70" i="116" s="1"/>
  <c r="AF59" i="116"/>
  <c r="CE57" i="116"/>
  <c r="CE70" i="116" s="1"/>
  <c r="BJ205" i="115"/>
  <c r="BJ20" i="115"/>
  <c r="CE20" i="115"/>
  <c r="CE149" i="115" s="1"/>
  <c r="CB157" i="115"/>
  <c r="CH157" i="115" s="1"/>
  <c r="BD158" i="115"/>
  <c r="BJ158" i="115" s="1"/>
  <c r="CB158" i="115"/>
  <c r="CH158" i="115" s="1"/>
  <c r="CH28" i="115"/>
  <c r="CE21" i="115"/>
  <c r="CE151" i="115" s="1"/>
  <c r="E122" i="115"/>
  <c r="BG44" i="115"/>
  <c r="BJ207" i="115"/>
  <c r="CH207" i="115"/>
  <c r="BD171" i="115"/>
  <c r="BJ171" i="115" s="1"/>
  <c r="CB171" i="115"/>
  <c r="CH171" i="115" s="1"/>
  <c r="CH205" i="115"/>
  <c r="CH206" i="115"/>
  <c r="CE18" i="115"/>
  <c r="CE147" i="115" s="1"/>
  <c r="CE22" i="115"/>
  <c r="CE152" i="115" s="1"/>
  <c r="CE19" i="115"/>
  <c r="CE148" i="115" s="1"/>
  <c r="BD149" i="115"/>
  <c r="BJ149" i="115" s="1"/>
  <c r="CB149" i="115"/>
  <c r="CH29" i="115"/>
  <c r="CH35" i="115"/>
  <c r="CH32" i="115"/>
  <c r="BG96" i="115"/>
  <c r="BD165" i="115"/>
  <c r="BJ165" i="115" s="1"/>
  <c r="BD166" i="115"/>
  <c r="BJ166" i="115" s="1"/>
  <c r="BG24" i="115"/>
  <c r="CE23" i="115"/>
  <c r="CE153" i="115" s="1"/>
  <c r="CE31" i="114"/>
  <c r="CE32" i="114" s="1"/>
  <c r="GF8" i="114"/>
  <c r="GF25" i="114"/>
  <c r="GF34" i="114" s="1"/>
  <c r="ED28" i="114"/>
  <c r="ED35" i="114" s="1"/>
  <c r="GC43" i="114"/>
  <c r="GC45" i="114"/>
  <c r="GF47" i="114"/>
  <c r="GF48" i="114" s="1"/>
  <c r="EG69" i="114"/>
  <c r="EG82" i="114" s="1"/>
  <c r="GF26" i="114"/>
  <c r="GF9" i="114"/>
  <c r="AL212" i="113"/>
  <c r="AL249" i="113"/>
  <c r="AL248" i="113"/>
  <c r="AL246" i="113"/>
  <c r="AL245" i="113"/>
  <c r="AI31" i="113"/>
  <c r="AL234" i="113"/>
  <c r="AL236" i="113"/>
  <c r="BG124" i="113"/>
  <c r="BG100" i="113"/>
  <c r="E153" i="113"/>
  <c r="E160" i="113" s="1"/>
  <c r="CH59" i="116" l="1"/>
  <c r="CH70" i="116"/>
  <c r="GI33" i="116"/>
  <c r="CI37" i="116"/>
  <c r="AJ38" i="116"/>
  <c r="EI37" i="116"/>
  <c r="CJ38" i="116"/>
  <c r="AK59" i="116"/>
  <c r="CJ57" i="116"/>
  <c r="BD179" i="113"/>
  <c r="X22" i="118"/>
  <c r="I57" i="116"/>
  <c r="AK62" i="116"/>
  <c r="CJ62" i="116" s="1"/>
  <c r="EI62" i="116" s="1"/>
  <c r="GH62" i="116" s="1"/>
  <c r="J63" i="116"/>
  <c r="AK63" i="116" s="1"/>
  <c r="CJ63" i="116" s="1"/>
  <c r="EI63" i="116" s="1"/>
  <c r="GH63" i="116" s="1"/>
  <c r="GF10" i="114"/>
  <c r="EG12" i="114"/>
  <c r="EG13" i="114" s="1"/>
  <c r="CE154" i="115"/>
  <c r="AI175" i="115"/>
  <c r="CH149" i="115"/>
  <c r="EG58" i="116"/>
  <c r="EG59" i="116" s="1"/>
  <c r="ED62" i="116"/>
  <c r="AF77" i="114"/>
  <c r="DV76" i="114"/>
  <c r="DV32" i="114"/>
  <c r="GG26" i="114"/>
  <c r="DU31" i="114"/>
  <c r="DU32" i="114" s="1"/>
  <c r="GC38" i="116"/>
  <c r="BL179" i="113"/>
  <c r="BJ17" i="113"/>
  <c r="BJ179" i="113" s="1"/>
  <c r="BK179" i="113"/>
  <c r="CE174" i="115"/>
  <c r="BG174" i="115"/>
  <c r="BP180" i="115"/>
  <c r="H180" i="115"/>
  <c r="AR180" i="115"/>
  <c r="E180" i="115"/>
  <c r="K180" i="115"/>
  <c r="BG17" i="115"/>
  <c r="ED57" i="116"/>
  <c r="ED70" i="116" s="1"/>
  <c r="CE59" i="116"/>
  <c r="GF57" i="116"/>
  <c r="GF70" i="116" s="1"/>
  <c r="GC58" i="116"/>
  <c r="ED22" i="116"/>
  <c r="GC21" i="116"/>
  <c r="ED25" i="116"/>
  <c r="GC31" i="116"/>
  <c r="ED24" i="116"/>
  <c r="ED23" i="116"/>
  <c r="GC26" i="116"/>
  <c r="CE24" i="115"/>
  <c r="CE44" i="115"/>
  <c r="CH27" i="115"/>
  <c r="CH20" i="115"/>
  <c r="CE75" i="115"/>
  <c r="CE96" i="115"/>
  <c r="CH34" i="115"/>
  <c r="CH26" i="115"/>
  <c r="CH31" i="115"/>
  <c r="EG71" i="114"/>
  <c r="ED31" i="114"/>
  <c r="ED32" i="114" s="1"/>
  <c r="GF11" i="114"/>
  <c r="GF12" i="114" s="1"/>
  <c r="GF13" i="114" s="1"/>
  <c r="BJ236" i="113"/>
  <c r="AL247" i="113"/>
  <c r="BG31" i="113"/>
  <c r="BJ245" i="113"/>
  <c r="BJ248" i="113"/>
  <c r="BJ212" i="113"/>
  <c r="E155" i="113"/>
  <c r="AI56" i="113"/>
  <c r="BJ234" i="113"/>
  <c r="BJ246" i="113"/>
  <c r="BJ249" i="113"/>
  <c r="CJ59" i="116" l="1"/>
  <c r="EI57" i="116"/>
  <c r="J64" i="116"/>
  <c r="I62" i="116"/>
  <c r="AJ57" i="116"/>
  <c r="I59" i="116"/>
  <c r="GH37" i="116"/>
  <c r="GH38" i="116" s="1"/>
  <c r="EI38" i="116"/>
  <c r="EH37" i="116"/>
  <c r="CI38" i="116"/>
  <c r="BG175" i="115"/>
  <c r="GF58" i="116"/>
  <c r="GF59" i="116" s="1"/>
  <c r="GC62" i="116"/>
  <c r="AF65" i="116"/>
  <c r="CE64" i="116"/>
  <c r="DU76" i="114"/>
  <c r="DV77" i="114"/>
  <c r="BG172" i="113"/>
  <c r="N180" i="115"/>
  <c r="AC180" i="115"/>
  <c r="CE17" i="115"/>
  <c r="CE124" i="113"/>
  <c r="GC24" i="116"/>
  <c r="GC23" i="116"/>
  <c r="GC25" i="116"/>
  <c r="ED59" i="116"/>
  <c r="GC57" i="116"/>
  <c r="GC70" i="116" s="1"/>
  <c r="GC22" i="116"/>
  <c r="CE45" i="115"/>
  <c r="ED70" i="114"/>
  <c r="CH249" i="113"/>
  <c r="CH234" i="113"/>
  <c r="CH212" i="113"/>
  <c r="CH243" i="113"/>
  <c r="CH245" i="113"/>
  <c r="CH236" i="113"/>
  <c r="CE100" i="113"/>
  <c r="CH246" i="113"/>
  <c r="BG56" i="113"/>
  <c r="CH242" i="113"/>
  <c r="CH248" i="113"/>
  <c r="CE31" i="113"/>
  <c r="BJ247" i="113"/>
  <c r="CH257" i="113"/>
  <c r="GG37" i="116" l="1"/>
  <c r="GG38" i="116" s="1"/>
  <c r="EH38" i="116"/>
  <c r="AJ59" i="116"/>
  <c r="CI57" i="116"/>
  <c r="AK64" i="116"/>
  <c r="J65" i="116"/>
  <c r="GH57" i="116"/>
  <c r="GH59" i="116" s="1"/>
  <c r="EI59" i="116"/>
  <c r="H62" i="116"/>
  <c r="AI62" i="116" s="1"/>
  <c r="CH62" i="116" s="1"/>
  <c r="EG62" i="116" s="1"/>
  <c r="GF62" i="116" s="1"/>
  <c r="AJ62" i="116"/>
  <c r="CI62" i="116" s="1"/>
  <c r="EH62" i="116" s="1"/>
  <c r="GG62" i="116" s="1"/>
  <c r="CE155" i="115"/>
  <c r="AI180" i="115"/>
  <c r="ED64" i="116"/>
  <c r="CE65" i="116"/>
  <c r="DU77" i="114"/>
  <c r="BY180" i="115"/>
  <c r="BA180" i="115"/>
  <c r="GC59" i="116"/>
  <c r="CH247" i="113"/>
  <c r="CE56" i="113"/>
  <c r="CH241" i="113"/>
  <c r="CH240" i="113"/>
  <c r="CH197" i="113"/>
  <c r="N155" i="113"/>
  <c r="BG180" i="115" l="1"/>
  <c r="CI59" i="116"/>
  <c r="EH57" i="116"/>
  <c r="CJ64" i="116"/>
  <c r="AK65" i="116"/>
  <c r="CE173" i="115"/>
  <c r="CE159" i="115"/>
  <c r="GC64" i="116"/>
  <c r="ED65" i="116"/>
  <c r="CE180" i="115" l="1"/>
  <c r="EI64" i="116"/>
  <c r="CJ65" i="116"/>
  <c r="GG57" i="116"/>
  <c r="GG59" i="116" s="1"/>
  <c r="EH59" i="116"/>
  <c r="CE175" i="115"/>
  <c r="GC65" i="116"/>
  <c r="AI155" i="113"/>
  <c r="GH64" i="116" l="1"/>
  <c r="GH65" i="116" s="1"/>
  <c r="EI65" i="116"/>
  <c r="BG155" i="113"/>
  <c r="CE155" i="113" l="1"/>
  <c r="AB35" i="65" l="1"/>
  <c r="Y33" i="65"/>
  <c r="C61" i="116" s="1"/>
  <c r="S18" i="95"/>
  <c r="B61" i="116" l="1"/>
  <c r="L61" i="116"/>
  <c r="AX51" i="3"/>
  <c r="M37" i="61"/>
  <c r="L37" i="61" s="1"/>
  <c r="AX49" i="3"/>
  <c r="D20" i="112"/>
  <c r="E20" i="112" s="1"/>
  <c r="B57" i="68" s="1"/>
  <c r="B31" i="101"/>
  <c r="C31" i="101" s="1"/>
  <c r="G22" i="111"/>
  <c r="G21" i="111"/>
  <c r="F22" i="111"/>
  <c r="F21" i="111"/>
  <c r="E22" i="111"/>
  <c r="E21" i="111"/>
  <c r="D22" i="111"/>
  <c r="D21" i="111"/>
  <c r="C22" i="111"/>
  <c r="C21" i="111"/>
  <c r="B22" i="111"/>
  <c r="BM28" i="8" s="1"/>
  <c r="B21" i="111"/>
  <c r="C20" i="112"/>
  <c r="B20" i="112"/>
  <c r="D15" i="112"/>
  <c r="E15" i="112" s="1"/>
  <c r="B56" i="68" s="1"/>
  <c r="B15" i="112"/>
  <c r="C15" i="112" s="1"/>
  <c r="CJ24" i="17"/>
  <c r="AC15" i="61"/>
  <c r="AB15" i="61"/>
  <c r="AA15" i="61"/>
  <c r="Z15" i="61"/>
  <c r="Y15" i="61"/>
  <c r="BR58" i="7"/>
  <c r="S38" i="95"/>
  <c r="D11" i="97"/>
  <c r="E41" i="97" s="1"/>
  <c r="F41" i="97" s="1"/>
  <c r="G41" i="97" s="1"/>
  <c r="H41" i="97" s="1"/>
  <c r="I41" i="97" s="1"/>
  <c r="E36" i="97"/>
  <c r="E37" i="97" s="1"/>
  <c r="D8" i="97"/>
  <c r="BQ12" i="7"/>
  <c r="D14" i="100"/>
  <c r="L38" i="65"/>
  <c r="M38" i="65" s="1"/>
  <c r="BQ22" i="7"/>
  <c r="BQ28" i="7"/>
  <c r="F18" i="111"/>
  <c r="D18" i="111" s="1"/>
  <c r="F17" i="111"/>
  <c r="F16" i="111"/>
  <c r="F15" i="111"/>
  <c r="F14" i="111"/>
  <c r="D14" i="111" s="1"/>
  <c r="F13" i="111"/>
  <c r="D13" i="111"/>
  <c r="C13" i="111"/>
  <c r="D15" i="111"/>
  <c r="C15" i="111"/>
  <c r="D16" i="111"/>
  <c r="D17" i="111"/>
  <c r="C17" i="111"/>
  <c r="F10" i="111"/>
  <c r="F9" i="111"/>
  <c r="D9" i="111" s="1"/>
  <c r="F8" i="111"/>
  <c r="C8" i="111" s="1"/>
  <c r="F7" i="111"/>
  <c r="D7" i="111" s="1"/>
  <c r="F6" i="111"/>
  <c r="C6" i="111" s="1"/>
  <c r="C7" i="111"/>
  <c r="C9" i="111"/>
  <c r="C10" i="111"/>
  <c r="F5" i="111"/>
  <c r="M30" i="65"/>
  <c r="AY61" i="3"/>
  <c r="CD11" i="115" s="1"/>
  <c r="R24" i="65"/>
  <c r="R15" i="65"/>
  <c r="H13" i="95"/>
  <c r="AX41" i="3"/>
  <c r="AX59" i="3"/>
  <c r="GA10" i="116" l="1"/>
  <c r="CC10" i="115"/>
  <c r="GA16" i="114"/>
  <c r="CC16" i="113"/>
  <c r="GA9" i="114"/>
  <c r="CC9" i="113"/>
  <c r="CB11" i="115"/>
  <c r="BO11" i="115"/>
  <c r="CD9" i="115"/>
  <c r="D11" i="115"/>
  <c r="S11" i="115"/>
  <c r="AQ11" i="115"/>
  <c r="CJ11" i="115"/>
  <c r="CH11" i="115" s="1"/>
  <c r="F36" i="97"/>
  <c r="G36" i="97" s="1"/>
  <c r="H36" i="97" s="1"/>
  <c r="I36" i="97" s="1"/>
  <c r="BQ38" i="7"/>
  <c r="BR38" i="7" s="1"/>
  <c r="CC121" i="113" s="1"/>
  <c r="GA15" i="114"/>
  <c r="CC15" i="113"/>
  <c r="K61" i="116"/>
  <c r="U61" i="116"/>
  <c r="C5" i="111"/>
  <c r="D5" i="111"/>
  <c r="D6" i="111"/>
  <c r="D10" i="111"/>
  <c r="D8" i="111"/>
  <c r="C18" i="111"/>
  <c r="C16" i="111"/>
  <c r="C14" i="111"/>
  <c r="C15" i="114" l="1"/>
  <c r="AY15" i="114"/>
  <c r="BH15" i="114"/>
  <c r="CO15" i="114"/>
  <c r="EW15" i="114"/>
  <c r="DG15" i="114"/>
  <c r="EN15" i="114"/>
  <c r="FF15" i="114"/>
  <c r="L15" i="114"/>
  <c r="U15" i="114"/>
  <c r="AP15" i="114"/>
  <c r="CX15" i="114"/>
  <c r="FZ15" i="114"/>
  <c r="GA14" i="114"/>
  <c r="GJ15" i="114"/>
  <c r="GI15" i="114" s="1"/>
  <c r="AQ141" i="115"/>
  <c r="AO11" i="115"/>
  <c r="AO141" i="115" s="1"/>
  <c r="D141" i="115"/>
  <c r="B11" i="115"/>
  <c r="B141" i="115" s="1"/>
  <c r="AH11" i="115"/>
  <c r="BO141" i="115"/>
  <c r="BM11" i="115"/>
  <c r="BM141" i="115" s="1"/>
  <c r="CC171" i="113"/>
  <c r="AE14" i="118"/>
  <c r="BN9" i="113"/>
  <c r="C9" i="113"/>
  <c r="R9" i="113"/>
  <c r="CI9" i="113"/>
  <c r="AP9" i="113"/>
  <c r="CB9" i="113"/>
  <c r="CC178" i="113"/>
  <c r="AE21" i="118"/>
  <c r="R16" i="113"/>
  <c r="C16" i="113"/>
  <c r="BN16" i="113"/>
  <c r="AP16" i="113"/>
  <c r="CI16" i="113"/>
  <c r="AF16" i="119"/>
  <c r="C10" i="116"/>
  <c r="FZ10" i="116"/>
  <c r="AE16" i="119" s="1"/>
  <c r="FF10" i="116"/>
  <c r="EW10" i="116"/>
  <c r="EN10" i="116"/>
  <c r="DG10" i="116"/>
  <c r="CX10" i="116"/>
  <c r="CO10" i="116"/>
  <c r="BH10" i="116"/>
  <c r="AY10" i="116"/>
  <c r="AP10" i="116"/>
  <c r="U10" i="116"/>
  <c r="L10" i="116"/>
  <c r="GJ10" i="116"/>
  <c r="GI10" i="116" s="1"/>
  <c r="AD61" i="116"/>
  <c r="AP61" i="116"/>
  <c r="T61" i="116"/>
  <c r="AC61" i="116" s="1"/>
  <c r="AE20" i="118"/>
  <c r="CC177" i="113"/>
  <c r="CB15" i="113"/>
  <c r="AP15" i="113"/>
  <c r="C15" i="113"/>
  <c r="CI15" i="113"/>
  <c r="BN15" i="113"/>
  <c r="R15" i="113"/>
  <c r="CC14" i="113"/>
  <c r="CI121" i="113"/>
  <c r="CB121" i="113"/>
  <c r="CH121" i="113" s="1"/>
  <c r="C121" i="113"/>
  <c r="S141" i="115"/>
  <c r="AH141" i="115" s="1"/>
  <c r="Q11" i="115"/>
  <c r="Q141" i="115" s="1"/>
  <c r="CD8" i="115"/>
  <c r="S9" i="115"/>
  <c r="D9" i="115"/>
  <c r="CD121" i="115"/>
  <c r="CJ121" i="115" s="1"/>
  <c r="AQ9" i="115"/>
  <c r="BO9" i="115"/>
  <c r="CJ9" i="115"/>
  <c r="EW9" i="114"/>
  <c r="EV9" i="114" s="1"/>
  <c r="BH9" i="114"/>
  <c r="AP9" i="114"/>
  <c r="CX9" i="114"/>
  <c r="FZ9" i="114"/>
  <c r="L9" i="114"/>
  <c r="AY9" i="114"/>
  <c r="CO9" i="114"/>
  <c r="U9" i="114"/>
  <c r="DG9" i="114"/>
  <c r="EN9" i="114"/>
  <c r="FF9" i="114"/>
  <c r="C9" i="114"/>
  <c r="GJ9" i="114"/>
  <c r="GI9" i="114" s="1"/>
  <c r="FF16" i="114"/>
  <c r="AP16" i="114"/>
  <c r="BH16" i="114"/>
  <c r="CX16" i="114"/>
  <c r="C16" i="114"/>
  <c r="U16" i="114"/>
  <c r="CO16" i="114"/>
  <c r="EW16" i="114"/>
  <c r="AY16" i="114"/>
  <c r="DG16" i="114"/>
  <c r="EN16" i="114"/>
  <c r="L16" i="114"/>
  <c r="GJ16" i="114"/>
  <c r="CB10" i="115"/>
  <c r="AP10" i="115"/>
  <c r="R10" i="115"/>
  <c r="C10" i="115"/>
  <c r="BN10" i="115"/>
  <c r="CI10" i="115"/>
  <c r="CH10" i="115" s="1"/>
  <c r="BN28" i="8"/>
  <c r="CC72" i="115" s="1"/>
  <c r="BN22" i="8"/>
  <c r="CC41" i="115" s="1"/>
  <c r="BN12" i="8"/>
  <c r="CC21" i="115" s="1"/>
  <c r="S13" i="98"/>
  <c r="AB33" i="10"/>
  <c r="O10" i="109"/>
  <c r="O13" i="109"/>
  <c r="O14" i="109"/>
  <c r="O17" i="109"/>
  <c r="O18" i="109"/>
  <c r="O24" i="109"/>
  <c r="O25" i="109"/>
  <c r="O26" i="109"/>
  <c r="O27" i="109"/>
  <c r="O29" i="109"/>
  <c r="O35" i="109"/>
  <c r="O36" i="109"/>
  <c r="O38" i="109"/>
  <c r="O39" i="109"/>
  <c r="O40" i="109"/>
  <c r="O41" i="109"/>
  <c r="O43" i="109"/>
  <c r="O44" i="109"/>
  <c r="O45" i="109"/>
  <c r="O46" i="109"/>
  <c r="O52" i="109"/>
  <c r="O53" i="109"/>
  <c r="O57" i="109"/>
  <c r="O59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21" i="110"/>
  <c r="B22" i="110" s="1"/>
  <c r="B23" i="110" s="1"/>
  <c r="B9" i="110"/>
  <c r="B15" i="110" s="1"/>
  <c r="B24" i="110" s="1"/>
  <c r="B25" i="110" s="1"/>
  <c r="B26" i="110" s="1"/>
  <c r="B17" i="110"/>
  <c r="B19" i="110" s="1"/>
  <c r="B20" i="110" s="1"/>
  <c r="B27" i="110" s="1"/>
  <c r="N61" i="109" s="1"/>
  <c r="B30" i="110" s="1"/>
  <c r="B33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62" i="109" s="1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3" i="109" s="1"/>
  <c r="N60" i="109"/>
  <c r="O60" i="109" s="1"/>
  <c r="N59" i="109"/>
  <c r="N58" i="109"/>
  <c r="N56" i="109"/>
  <c r="O56" i="109" s="1"/>
  <c r="N55" i="109"/>
  <c r="O55" i="109" s="1"/>
  <c r="N53" i="109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N42" i="109"/>
  <c r="O42" i="109" s="1"/>
  <c r="N39" i="109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N12" i="109"/>
  <c r="O12" i="109" s="1"/>
  <c r="G9" i="109"/>
  <c r="O4" i="109" l="1"/>
  <c r="N8" i="109"/>
  <c r="N2" i="109" s="1"/>
  <c r="C41" i="115"/>
  <c r="CB41" i="115"/>
  <c r="CH41" i="115" s="1"/>
  <c r="CI41" i="115"/>
  <c r="C140" i="115"/>
  <c r="AG10" i="115"/>
  <c r="B10" i="115"/>
  <c r="B140" i="115" s="1"/>
  <c r="R140" i="115"/>
  <c r="Q10" i="115"/>
  <c r="Q140" i="115" s="1"/>
  <c r="AD9" i="114"/>
  <c r="B9" i="114"/>
  <c r="FO9" i="114"/>
  <c r="EM9" i="114"/>
  <c r="T9" i="114"/>
  <c r="AX9" i="114"/>
  <c r="AO9" i="114"/>
  <c r="BQ9" i="114"/>
  <c r="BG9" i="114"/>
  <c r="AQ121" i="115"/>
  <c r="AQ139" i="115"/>
  <c r="AQ174" i="115" s="1"/>
  <c r="D139" i="115"/>
  <c r="D174" i="115" s="1"/>
  <c r="AH9" i="115"/>
  <c r="D121" i="115"/>
  <c r="D8" i="115"/>
  <c r="BO8" i="115"/>
  <c r="CJ8" i="115"/>
  <c r="AQ8" i="115"/>
  <c r="S8" i="115"/>
  <c r="BF141" i="115"/>
  <c r="BL141" i="115" s="1"/>
  <c r="AN141" i="115"/>
  <c r="R121" i="113"/>
  <c r="B121" i="113"/>
  <c r="R177" i="113"/>
  <c r="P20" i="118"/>
  <c r="Q15" i="113"/>
  <c r="R14" i="113"/>
  <c r="CI177" i="113"/>
  <c r="CH15" i="113"/>
  <c r="CH177" i="113" s="1"/>
  <c r="CI14" i="113"/>
  <c r="AP177" i="113"/>
  <c r="V20" i="118"/>
  <c r="AO15" i="113"/>
  <c r="AP14" i="113"/>
  <c r="M52" i="119"/>
  <c r="AL61" i="116"/>
  <c r="N52" i="119"/>
  <c r="AM61" i="116"/>
  <c r="K10" i="116"/>
  <c r="AO10" i="116"/>
  <c r="BQ10" i="116"/>
  <c r="BG10" i="116"/>
  <c r="CW10" i="116"/>
  <c r="EM10" i="116"/>
  <c r="FO10" i="116"/>
  <c r="FE10" i="116"/>
  <c r="AD10" i="116"/>
  <c r="B10" i="116"/>
  <c r="CI178" i="113"/>
  <c r="BN178" i="113"/>
  <c r="AB21" i="118"/>
  <c r="C178" i="113"/>
  <c r="M21" i="118"/>
  <c r="AG16" i="113"/>
  <c r="AD14" i="118"/>
  <c r="CB171" i="113"/>
  <c r="R171" i="113"/>
  <c r="P14" i="118"/>
  <c r="Q9" i="113"/>
  <c r="BN171" i="113"/>
  <c r="AB14" i="118"/>
  <c r="BM9" i="113"/>
  <c r="AO15" i="114"/>
  <c r="AP14" i="114"/>
  <c r="BQ15" i="114"/>
  <c r="K15" i="114"/>
  <c r="L14" i="114"/>
  <c r="EM15" i="114"/>
  <c r="FO15" i="114"/>
  <c r="EN14" i="114"/>
  <c r="EV15" i="114"/>
  <c r="EW14" i="114"/>
  <c r="BG15" i="114"/>
  <c r="BH14" i="114"/>
  <c r="B15" i="114"/>
  <c r="AD15" i="114"/>
  <c r="C14" i="114"/>
  <c r="O58" i="109"/>
  <c r="CB21" i="115"/>
  <c r="C21" i="115"/>
  <c r="CI21" i="115"/>
  <c r="C72" i="115"/>
  <c r="CB72" i="115"/>
  <c r="CH72" i="115" s="1"/>
  <c r="CI72" i="115"/>
  <c r="BN140" i="115"/>
  <c r="BM10" i="115"/>
  <c r="BM140" i="115" s="1"/>
  <c r="AP140" i="115"/>
  <c r="AO10" i="115"/>
  <c r="AO140" i="115" s="1"/>
  <c r="FO16" i="114"/>
  <c r="DP16" i="114"/>
  <c r="AD16" i="114"/>
  <c r="BQ16" i="114"/>
  <c r="FE9" i="114"/>
  <c r="DF9" i="114"/>
  <c r="CN9" i="114"/>
  <c r="DP9" i="114"/>
  <c r="K9" i="114"/>
  <c r="CW9" i="114"/>
  <c r="BO121" i="115"/>
  <c r="BO139" i="115"/>
  <c r="S121" i="115"/>
  <c r="S139" i="115"/>
  <c r="AF141" i="115"/>
  <c r="AE19" i="118"/>
  <c r="I14" i="120" s="1"/>
  <c r="CC176" i="113"/>
  <c r="CC215" i="113" s="1"/>
  <c r="CI215" i="113" s="1"/>
  <c r="BN177" i="113"/>
  <c r="AB20" i="118"/>
  <c r="BN14" i="113"/>
  <c r="BM15" i="113"/>
  <c r="C177" i="113"/>
  <c r="M20" i="118"/>
  <c r="AG15" i="113"/>
  <c r="B15" i="113"/>
  <c r="C14" i="113"/>
  <c r="AD20" i="118"/>
  <c r="CB177" i="113"/>
  <c r="AO61" i="116"/>
  <c r="AY61" i="116"/>
  <c r="T10" i="116"/>
  <c r="AX10" i="116"/>
  <c r="CN10" i="116"/>
  <c r="DP10" i="116"/>
  <c r="DF10" i="116"/>
  <c r="EV10" i="116"/>
  <c r="AP178" i="113"/>
  <c r="V21" i="118"/>
  <c r="R178" i="113"/>
  <c r="P21" i="118"/>
  <c r="AP171" i="113"/>
  <c r="V14" i="118"/>
  <c r="AO9" i="113"/>
  <c r="CI171" i="113"/>
  <c r="CH9" i="113"/>
  <c r="CH171" i="113" s="1"/>
  <c r="C171" i="113"/>
  <c r="M14" i="118"/>
  <c r="B9" i="113"/>
  <c r="AG9" i="113"/>
  <c r="AN11" i="115"/>
  <c r="AL11" i="115" s="1"/>
  <c r="AF11" i="115"/>
  <c r="BF11" i="115"/>
  <c r="GA70" i="114"/>
  <c r="GJ14" i="114"/>
  <c r="CW15" i="114"/>
  <c r="CX14" i="114"/>
  <c r="U14" i="114"/>
  <c r="T15" i="114"/>
  <c r="FE15" i="114"/>
  <c r="FF14" i="114"/>
  <c r="DF15" i="114"/>
  <c r="DG14" i="114"/>
  <c r="CN15" i="114"/>
  <c r="DP15" i="114"/>
  <c r="CO14" i="114"/>
  <c r="AX15" i="114"/>
  <c r="AY14" i="114"/>
  <c r="O61" i="109"/>
  <c r="O2" i="109" s="1"/>
  <c r="F5" i="108"/>
  <c r="E5" i="108"/>
  <c r="H6" i="108"/>
  <c r="F4" i="108"/>
  <c r="E4" i="108"/>
  <c r="D4" i="108"/>
  <c r="F121" i="106"/>
  <c r="B15" i="107"/>
  <c r="B14" i="107"/>
  <c r="B13" i="107" s="1"/>
  <c r="C15" i="107" s="1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29" i="102"/>
  <c r="B28" i="102"/>
  <c r="B31" i="102" s="1"/>
  <c r="B30" i="102"/>
  <c r="D20" i="102"/>
  <c r="D28" i="102" s="1"/>
  <c r="D21" i="102"/>
  <c r="D29" i="102" s="1"/>
  <c r="K11" i="102" s="1"/>
  <c r="D22" i="102"/>
  <c r="D23" i="102"/>
  <c r="D24" i="102"/>
  <c r="D25" i="102"/>
  <c r="D19" i="102"/>
  <c r="D30" i="102" s="1"/>
  <c r="BA48" i="19" s="1"/>
  <c r="B52" i="102"/>
  <c r="B65" i="102" s="1"/>
  <c r="B63" i="102"/>
  <c r="B26" i="102"/>
  <c r="AF140" i="115" l="1"/>
  <c r="K7" i="102"/>
  <c r="D31" i="102"/>
  <c r="D26" i="102"/>
  <c r="H108" i="106"/>
  <c r="C14" i="107"/>
  <c r="G119" i="106" s="1"/>
  <c r="B9" i="117"/>
  <c r="E9" i="117" s="1"/>
  <c r="G9" i="117" s="1"/>
  <c r="AY70" i="114"/>
  <c r="B11" i="117"/>
  <c r="E11" i="117" s="1"/>
  <c r="G11" i="117" s="1"/>
  <c r="CO70" i="114"/>
  <c r="DG70" i="114"/>
  <c r="B13" i="117"/>
  <c r="E13" i="117" s="1"/>
  <c r="G13" i="117" s="1"/>
  <c r="U70" i="114"/>
  <c r="B7" i="117"/>
  <c r="E7" i="117" s="1"/>
  <c r="G7" i="117" s="1"/>
  <c r="B12" i="117"/>
  <c r="E12" i="117" s="1"/>
  <c r="G12" i="117" s="1"/>
  <c r="CX70" i="114"/>
  <c r="AE56" i="118"/>
  <c r="GJ70" i="114"/>
  <c r="AG171" i="113"/>
  <c r="S14" i="118"/>
  <c r="AF9" i="113"/>
  <c r="AM9" i="113"/>
  <c r="BE9" i="113"/>
  <c r="L14" i="118"/>
  <c r="B171" i="113"/>
  <c r="U14" i="118"/>
  <c r="AO171" i="113"/>
  <c r="L20" i="118"/>
  <c r="B177" i="113"/>
  <c r="AA20" i="118"/>
  <c r="BM177" i="113"/>
  <c r="S174" i="115"/>
  <c r="AH139" i="115"/>
  <c r="BO174" i="115"/>
  <c r="BZ16" i="114"/>
  <c r="CC16" i="114"/>
  <c r="AM16" i="114"/>
  <c r="B72" i="115"/>
  <c r="R72" i="115"/>
  <c r="CH21" i="115"/>
  <c r="AM15" i="114"/>
  <c r="AC15" i="114"/>
  <c r="CC15" i="114"/>
  <c r="AD14" i="114"/>
  <c r="B10" i="117"/>
  <c r="E10" i="117" s="1"/>
  <c r="G10" i="117" s="1"/>
  <c r="BH70" i="114"/>
  <c r="B15" i="117"/>
  <c r="E15" i="117" s="1"/>
  <c r="G15" i="117" s="1"/>
  <c r="EW70" i="114"/>
  <c r="FX15" i="114"/>
  <c r="FW15" i="114" s="1"/>
  <c r="FN15" i="114"/>
  <c r="FO14" i="114"/>
  <c r="BQ14" i="114"/>
  <c r="BP15" i="114"/>
  <c r="BZ15" i="114"/>
  <c r="CD141" i="115"/>
  <c r="CJ141" i="115" s="1"/>
  <c r="AG178" i="113"/>
  <c r="S21" i="118"/>
  <c r="BE16" i="113"/>
  <c r="AM16" i="113"/>
  <c r="N16" i="119"/>
  <c r="AC10" i="116"/>
  <c r="M16" i="119" s="1"/>
  <c r="CC10" i="116"/>
  <c r="AM10" i="116"/>
  <c r="AL10" i="116" s="1"/>
  <c r="BZ10" i="116"/>
  <c r="BY10" i="116" s="1"/>
  <c r="Q16" i="119"/>
  <c r="BP10" i="116"/>
  <c r="P16" i="119" s="1"/>
  <c r="U20" i="118"/>
  <c r="AO177" i="113"/>
  <c r="R176" i="113"/>
  <c r="R215" i="113" s="1"/>
  <c r="P19" i="118"/>
  <c r="D14" i="120" s="1"/>
  <c r="R154" i="113"/>
  <c r="AH8" i="115"/>
  <c r="BF9" i="115"/>
  <c r="BL9" i="115" s="1"/>
  <c r="AN9" i="115"/>
  <c r="BP9" i="114"/>
  <c r="BZ9" i="114"/>
  <c r="BY9" i="114" s="1"/>
  <c r="AC9" i="114"/>
  <c r="CC9" i="114"/>
  <c r="AM9" i="114"/>
  <c r="AL9" i="114" s="1"/>
  <c r="AG140" i="115"/>
  <c r="AM10" i="115"/>
  <c r="AL10" i="115" s="1"/>
  <c r="BE10" i="115"/>
  <c r="AF10" i="115"/>
  <c r="DO15" i="114"/>
  <c r="DY15" i="114"/>
  <c r="DX15" i="114" s="1"/>
  <c r="DP14" i="114"/>
  <c r="B16" i="117"/>
  <c r="E16" i="117" s="1"/>
  <c r="G16" i="117" s="1"/>
  <c r="FF70" i="114"/>
  <c r="BL11" i="115"/>
  <c r="BJ11" i="115" s="1"/>
  <c r="BD11" i="115"/>
  <c r="W16" i="119"/>
  <c r="DO10" i="116"/>
  <c r="V16" i="119" s="1"/>
  <c r="DY10" i="116"/>
  <c r="DX10" i="116" s="1"/>
  <c r="AX61" i="116"/>
  <c r="BH61" i="116"/>
  <c r="BQ61" i="116" s="1"/>
  <c r="C176" i="113"/>
  <c r="C215" i="113" s="1"/>
  <c r="M19" i="118"/>
  <c r="C14" i="120" s="1"/>
  <c r="C154" i="113"/>
  <c r="AG177" i="113"/>
  <c r="S20" i="118"/>
  <c r="BE15" i="113"/>
  <c r="AF15" i="113"/>
  <c r="AG14" i="113"/>
  <c r="AM15" i="113"/>
  <c r="AB19" i="118"/>
  <c r="H14" i="120" s="1"/>
  <c r="BN154" i="113"/>
  <c r="BN176" i="113"/>
  <c r="BN215" i="113" s="1"/>
  <c r="BD141" i="115"/>
  <c r="AL141" i="115"/>
  <c r="DY9" i="114"/>
  <c r="DX9" i="114" s="1"/>
  <c r="DO9" i="114"/>
  <c r="DY16" i="114"/>
  <c r="FX16" i="114"/>
  <c r="B21" i="115"/>
  <c r="R21" i="115"/>
  <c r="AG21" i="115" s="1"/>
  <c r="B5" i="117"/>
  <c r="C70" i="114"/>
  <c r="B14" i="117"/>
  <c r="E14" i="117" s="1"/>
  <c r="G14" i="117" s="1"/>
  <c r="EN70" i="114"/>
  <c r="B6" i="117"/>
  <c r="E6" i="117" s="1"/>
  <c r="G6" i="117" s="1"/>
  <c r="L70" i="114"/>
  <c r="B8" i="117"/>
  <c r="E8" i="117" s="1"/>
  <c r="G8" i="117" s="1"/>
  <c r="AP70" i="114"/>
  <c r="AA14" i="118"/>
  <c r="BM171" i="113"/>
  <c r="O14" i="118"/>
  <c r="Q171" i="113"/>
  <c r="FN10" i="116"/>
  <c r="AB16" i="119" s="1"/>
  <c r="AC16" i="119"/>
  <c r="FX10" i="116"/>
  <c r="FW10" i="116" s="1"/>
  <c r="AP176" i="113"/>
  <c r="AP215" i="113" s="1"/>
  <c r="V19" i="118"/>
  <c r="F14" i="120" s="1"/>
  <c r="AP154" i="113"/>
  <c r="CI176" i="113"/>
  <c r="Q177" i="113"/>
  <c r="O20" i="118"/>
  <c r="AG121" i="113"/>
  <c r="Q121" i="113"/>
  <c r="AH121" i="115"/>
  <c r="FX9" i="114"/>
  <c r="FW9" i="114" s="1"/>
  <c r="FN9" i="114"/>
  <c r="BD140" i="115"/>
  <c r="AL140" i="115"/>
  <c r="B41" i="115"/>
  <c r="R41" i="115"/>
  <c r="Q41" i="115" s="1"/>
  <c r="H80" i="106"/>
  <c r="H68" i="106"/>
  <c r="H114" i="106"/>
  <c r="H54" i="106"/>
  <c r="H6" i="106"/>
  <c r="AU58" i="3"/>
  <c r="AT58" i="3"/>
  <c r="AU43" i="3"/>
  <c r="AU40" i="3" s="1"/>
  <c r="AU38" i="3" s="1"/>
  <c r="AU48" i="3"/>
  <c r="AT52" i="3"/>
  <c r="AT48" i="3" s="1"/>
  <c r="AT44" i="3" s="1"/>
  <c r="AT43" i="3" s="1"/>
  <c r="AT39" i="3" s="1"/>
  <c r="AT38" i="3" s="1"/>
  <c r="AT42" i="3" s="1"/>
  <c r="A44" i="98"/>
  <c r="BO83" i="8"/>
  <c r="BO102" i="8" s="1"/>
  <c r="BO84" i="8"/>
  <c r="BO100" i="8" s="1"/>
  <c r="BM47" i="8"/>
  <c r="BN47" i="8" s="1"/>
  <c r="CC119" i="115" s="1"/>
  <c r="BS153" i="7"/>
  <c r="W18" i="61"/>
  <c r="Y18" i="61" s="1"/>
  <c r="Z18" i="61" s="1"/>
  <c r="AA18" i="61" s="1"/>
  <c r="AB18" i="61" s="1"/>
  <c r="AC18" i="61" s="1"/>
  <c r="BR59" i="7"/>
  <c r="CC152" i="113" s="1"/>
  <c r="G11" i="102"/>
  <c r="H11" i="102"/>
  <c r="I11" i="102"/>
  <c r="J11" i="102"/>
  <c r="F11" i="102"/>
  <c r="C11" i="102"/>
  <c r="E7" i="102"/>
  <c r="G7" i="102"/>
  <c r="H7" i="102"/>
  <c r="I7" i="102"/>
  <c r="J7" i="102"/>
  <c r="F7" i="102"/>
  <c r="Y18" i="65"/>
  <c r="AA18" i="65" s="1"/>
  <c r="AB18" i="65" s="1"/>
  <c r="AC18" i="65" s="1"/>
  <c r="AD18" i="65" s="1"/>
  <c r="AE18" i="65" s="1"/>
  <c r="K6" i="92"/>
  <c r="L6" i="92"/>
  <c r="N6" i="92"/>
  <c r="N20" i="92"/>
  <c r="O20" i="92"/>
  <c r="N21" i="92"/>
  <c r="O21" i="92"/>
  <c r="N22" i="92"/>
  <c r="O22" i="92"/>
  <c r="N23" i="92"/>
  <c r="O23" i="92"/>
  <c r="N24" i="92"/>
  <c r="O24" i="92"/>
  <c r="N25" i="92"/>
  <c r="O25" i="92"/>
  <c r="N26" i="92"/>
  <c r="O26" i="92"/>
  <c r="N27" i="92"/>
  <c r="O27" i="92"/>
  <c r="N28" i="92"/>
  <c r="O28" i="92"/>
  <c r="N29" i="92"/>
  <c r="O29" i="92"/>
  <c r="N30" i="92"/>
  <c r="O30" i="92"/>
  <c r="N31" i="92"/>
  <c r="O31" i="92"/>
  <c r="N32" i="92"/>
  <c r="O32" i="92"/>
  <c r="N33" i="92"/>
  <c r="O33" i="92"/>
  <c r="N34" i="92"/>
  <c r="O34" i="92"/>
  <c r="N35" i="92"/>
  <c r="O35" i="92"/>
  <c r="N36" i="92"/>
  <c r="O36" i="92"/>
  <c r="N37" i="92"/>
  <c r="M38" i="92"/>
  <c r="N38" i="92"/>
  <c r="N39" i="92" s="1"/>
  <c r="N40" i="92" s="1"/>
  <c r="D13" i="105"/>
  <c r="D22" i="105"/>
  <c r="D28" i="105" s="1"/>
  <c r="C7" i="105"/>
  <c r="C5" i="105" s="1"/>
  <c r="C18" i="105" s="1"/>
  <c r="C24" i="105" s="1"/>
  <c r="C8" i="105"/>
  <c r="C9" i="105"/>
  <c r="C6" i="105"/>
  <c r="F21" i="105"/>
  <c r="F27" i="105" s="1"/>
  <c r="G21" i="105"/>
  <c r="H21" i="105"/>
  <c r="H27" i="105" s="1"/>
  <c r="I21" i="105"/>
  <c r="J21" i="105"/>
  <c r="J27" i="105" s="1"/>
  <c r="F22" i="105"/>
  <c r="G22" i="105"/>
  <c r="G28" i="105" s="1"/>
  <c r="H22" i="105"/>
  <c r="I22" i="105"/>
  <c r="I28" i="105" s="1"/>
  <c r="J22" i="105"/>
  <c r="B20" i="105"/>
  <c r="B26" i="105" s="1"/>
  <c r="B21" i="105"/>
  <c r="B22" i="105"/>
  <c r="B28" i="105" s="1"/>
  <c r="B19" i="105"/>
  <c r="B13" i="105"/>
  <c r="B5" i="105"/>
  <c r="G27" i="105"/>
  <c r="I27" i="105"/>
  <c r="F28" i="105"/>
  <c r="H28" i="105"/>
  <c r="J28" i="105"/>
  <c r="B27" i="105"/>
  <c r="B25" i="105"/>
  <c r="BF121" i="115" l="1"/>
  <c r="BL121" i="115" s="1"/>
  <c r="AN121" i="115"/>
  <c r="AM121" i="113"/>
  <c r="AF121" i="113"/>
  <c r="AL121" i="113" s="1"/>
  <c r="AP121" i="113"/>
  <c r="AF21" i="115"/>
  <c r="AM21" i="115"/>
  <c r="AP21" i="115"/>
  <c r="AM177" i="113"/>
  <c r="AL15" i="113"/>
  <c r="AL177" i="113" s="1"/>
  <c r="AM14" i="113"/>
  <c r="R20" i="118"/>
  <c r="AF177" i="113"/>
  <c r="AG154" i="113"/>
  <c r="BF8" i="115"/>
  <c r="BL8" i="115" s="1"/>
  <c r="AN8" i="115"/>
  <c r="AM178" i="113"/>
  <c r="BE178" i="113"/>
  <c r="Y21" i="118"/>
  <c r="BK16" i="113"/>
  <c r="FO70" i="114"/>
  <c r="FX14" i="114"/>
  <c r="CB15" i="114"/>
  <c r="EB15" i="114"/>
  <c r="CL15" i="114"/>
  <c r="CK15" i="114" s="1"/>
  <c r="CC14" i="114"/>
  <c r="AL15" i="114"/>
  <c r="AM14" i="114"/>
  <c r="AG72" i="115"/>
  <c r="Q72" i="115"/>
  <c r="AH174" i="115"/>
  <c r="AN174" i="115" s="1"/>
  <c r="AN139" i="115"/>
  <c r="BF139" i="115"/>
  <c r="BE171" i="113"/>
  <c r="Y14" i="118"/>
  <c r="BD9" i="113"/>
  <c r="BK9" i="113"/>
  <c r="AM171" i="113"/>
  <c r="AL9" i="113"/>
  <c r="AL171" i="113" s="1"/>
  <c r="Q52" i="119"/>
  <c r="BZ61" i="116"/>
  <c r="CC61" i="116"/>
  <c r="CC213" i="113"/>
  <c r="CI213" i="113" s="1"/>
  <c r="CI152" i="113"/>
  <c r="CB152" i="113"/>
  <c r="C152" i="113"/>
  <c r="BR153" i="7"/>
  <c r="CI119" i="115"/>
  <c r="C119" i="115"/>
  <c r="CC172" i="115"/>
  <c r="CI172" i="115" s="1"/>
  <c r="CB119" i="115"/>
  <c r="AG41" i="115"/>
  <c r="CB140" i="115"/>
  <c r="CH140" i="115" s="1"/>
  <c r="BJ140" i="115"/>
  <c r="E5" i="117"/>
  <c r="B17" i="117"/>
  <c r="Q21" i="115"/>
  <c r="CB141" i="115"/>
  <c r="CH141" i="115" s="1"/>
  <c r="BJ141" i="115"/>
  <c r="AG176" i="113"/>
  <c r="AG215" i="113" s="1"/>
  <c r="AM215" i="113" s="1"/>
  <c r="S19" i="118"/>
  <c r="E14" i="120" s="1"/>
  <c r="BE177" i="113"/>
  <c r="Y20" i="118"/>
  <c r="BK15" i="113"/>
  <c r="BD15" i="113"/>
  <c r="BE14" i="113"/>
  <c r="K14" i="120"/>
  <c r="CO61" i="116"/>
  <c r="BG61" i="116"/>
  <c r="BP61" i="116" s="1"/>
  <c r="DP70" i="114"/>
  <c r="DY14" i="114"/>
  <c r="BD10" i="115"/>
  <c r="BK10" i="115"/>
  <c r="BJ10" i="115" s="1"/>
  <c r="BE140" i="115"/>
  <c r="AM140" i="115"/>
  <c r="EB9" i="114"/>
  <c r="CL9" i="114"/>
  <c r="CK9" i="114" s="1"/>
  <c r="CB9" i="114"/>
  <c r="EB10" i="116"/>
  <c r="T16" i="119"/>
  <c r="CL10" i="116"/>
  <c r="CK10" i="116" s="1"/>
  <c r="CB10" i="116"/>
  <c r="S16" i="119" s="1"/>
  <c r="BY15" i="114"/>
  <c r="BZ14" i="114"/>
  <c r="BQ70" i="114"/>
  <c r="AD70" i="114"/>
  <c r="EB16" i="114"/>
  <c r="CL16" i="114"/>
  <c r="R14" i="118"/>
  <c r="AF171" i="113"/>
  <c r="H115" i="106"/>
  <c r="K13" i="102"/>
  <c r="BM48" i="8"/>
  <c r="BN48" i="8" s="1"/>
  <c r="CC55" i="115" s="1"/>
  <c r="AT47" i="3"/>
  <c r="L7" i="102"/>
  <c r="M7" i="102" s="1"/>
  <c r="N7" i="102" s="1"/>
  <c r="BQ57" i="7"/>
  <c r="B18" i="105"/>
  <c r="B24" i="105"/>
  <c r="CI55" i="115" l="1"/>
  <c r="C55" i="115"/>
  <c r="CB55" i="115"/>
  <c r="CH55" i="115" s="1"/>
  <c r="G121" i="106"/>
  <c r="EK16" i="114"/>
  <c r="EA9" i="114"/>
  <c r="EK9" i="114"/>
  <c r="EJ9" i="114" s="1"/>
  <c r="BK140" i="115"/>
  <c r="CC140" i="115"/>
  <c r="CI140" i="115" s="1"/>
  <c r="CN61" i="116"/>
  <c r="CX61" i="116"/>
  <c r="BD177" i="113"/>
  <c r="X20" i="118"/>
  <c r="G5" i="117"/>
  <c r="G17" i="117" s="1"/>
  <c r="E17" i="117"/>
  <c r="AF41" i="115"/>
  <c r="AL41" i="115" s="1"/>
  <c r="AM41" i="115"/>
  <c r="AP41" i="115"/>
  <c r="BE41" i="115" s="1"/>
  <c r="CH152" i="113"/>
  <c r="CB213" i="113"/>
  <c r="CH213" i="113" s="1"/>
  <c r="AF72" i="115"/>
  <c r="AL72" i="115" s="1"/>
  <c r="AM72" i="115"/>
  <c r="AP72" i="115"/>
  <c r="BE72" i="115" s="1"/>
  <c r="AB56" i="118"/>
  <c r="FX70" i="114"/>
  <c r="BK178" i="113"/>
  <c r="AM154" i="113"/>
  <c r="BE154" i="113"/>
  <c r="AM176" i="113"/>
  <c r="BE121" i="113"/>
  <c r="BN121" i="113"/>
  <c r="BM121" i="113" s="1"/>
  <c r="AO121" i="113"/>
  <c r="BM83" i="8"/>
  <c r="M56" i="118"/>
  <c r="AM70" i="114"/>
  <c r="P56" i="118"/>
  <c r="BZ70" i="114"/>
  <c r="Z16" i="119"/>
  <c r="EA10" i="116"/>
  <c r="Y16" i="119" s="1"/>
  <c r="EK10" i="116"/>
  <c r="EJ10" i="116" s="1"/>
  <c r="V56" i="118"/>
  <c r="DY70" i="114"/>
  <c r="P52" i="119"/>
  <c r="BY61" i="116"/>
  <c r="CB61" i="116"/>
  <c r="Y19" i="118"/>
  <c r="G14" i="120" s="1"/>
  <c r="BE176" i="113"/>
  <c r="BE215" i="113" s="1"/>
  <c r="BK215" i="113" s="1"/>
  <c r="BK177" i="113"/>
  <c r="BK14" i="113"/>
  <c r="BJ15" i="113"/>
  <c r="BJ177" i="113" s="1"/>
  <c r="CH119" i="115"/>
  <c r="CB172" i="115"/>
  <c r="CH172" i="115" s="1"/>
  <c r="R119" i="115"/>
  <c r="C172" i="115"/>
  <c r="C56" i="116" s="1"/>
  <c r="B119" i="115"/>
  <c r="B172" i="115" s="1"/>
  <c r="C213" i="113"/>
  <c r="C68" i="114" s="1"/>
  <c r="R152" i="113"/>
  <c r="B152" i="113"/>
  <c r="B213" i="113" s="1"/>
  <c r="AG152" i="113"/>
  <c r="T52" i="119"/>
  <c r="CL61" i="116"/>
  <c r="BK171" i="113"/>
  <c r="BJ9" i="113"/>
  <c r="BJ171" i="113" s="1"/>
  <c r="X14" i="118"/>
  <c r="BD171" i="113"/>
  <c r="BF174" i="115"/>
  <c r="BL174" i="115" s="1"/>
  <c r="BL139" i="115"/>
  <c r="CD139" i="115"/>
  <c r="CC70" i="114"/>
  <c r="CL14" i="114"/>
  <c r="EA15" i="114"/>
  <c r="EK15" i="114"/>
  <c r="EJ15" i="114" s="1"/>
  <c r="EB14" i="114"/>
  <c r="BN21" i="115"/>
  <c r="AO21" i="115"/>
  <c r="BE21" i="115"/>
  <c r="AL21" i="115"/>
  <c r="BN83" i="8"/>
  <c r="BN102" i="8" s="1"/>
  <c r="Y17" i="65"/>
  <c r="AA17" i="65" s="1"/>
  <c r="AB17" i="65" s="1"/>
  <c r="AC17" i="65" s="1"/>
  <c r="AD17" i="65" s="1"/>
  <c r="AE17" i="65" s="1"/>
  <c r="O7" i="102"/>
  <c r="BK21" i="115" l="1"/>
  <c r="BD21" i="115"/>
  <c r="BM21" i="115"/>
  <c r="EK14" i="114"/>
  <c r="EB70" i="114"/>
  <c r="L68" i="114"/>
  <c r="B68" i="114"/>
  <c r="Q119" i="115"/>
  <c r="Q172" i="115" s="1"/>
  <c r="R172" i="115"/>
  <c r="AP56" i="116" s="1"/>
  <c r="BK176" i="113"/>
  <c r="BK121" i="113"/>
  <c r="BD121" i="113"/>
  <c r="BJ121" i="113" s="1"/>
  <c r="BK154" i="113"/>
  <c r="CC154" i="113"/>
  <c r="BK72" i="115"/>
  <c r="BD72" i="115"/>
  <c r="BJ72" i="115" s="1"/>
  <c r="BD41" i="115"/>
  <c r="BJ41" i="115" s="1"/>
  <c r="BK41" i="115"/>
  <c r="S56" i="118"/>
  <c r="CL70" i="114"/>
  <c r="CD174" i="115"/>
  <c r="CJ174" i="115" s="1"/>
  <c r="CJ139" i="115"/>
  <c r="AM152" i="113"/>
  <c r="AG213" i="113"/>
  <c r="AM213" i="113" s="1"/>
  <c r="AF152" i="113"/>
  <c r="AP152" i="113"/>
  <c r="Q152" i="113"/>
  <c r="Q213" i="113" s="1"/>
  <c r="R213" i="113"/>
  <c r="AP68" i="114" s="1"/>
  <c r="AG119" i="115"/>
  <c r="B56" i="116"/>
  <c r="L56" i="116"/>
  <c r="S52" i="119"/>
  <c r="CK61" i="116"/>
  <c r="BN72" i="115"/>
  <c r="BM72" i="115" s="1"/>
  <c r="AO72" i="115"/>
  <c r="BN41" i="115"/>
  <c r="BM41" i="115" s="1"/>
  <c r="AO41" i="115"/>
  <c r="DG61" i="116"/>
  <c r="CW61" i="116"/>
  <c r="C199" i="115"/>
  <c r="R55" i="115"/>
  <c r="AG55" i="115" s="1"/>
  <c r="B55" i="115"/>
  <c r="B199" i="115" s="1"/>
  <c r="P7" i="102"/>
  <c r="AO68" i="114" l="1"/>
  <c r="AY68" i="114"/>
  <c r="AP213" i="113"/>
  <c r="CO68" i="114" s="1"/>
  <c r="AO152" i="113"/>
  <c r="AO213" i="113" s="1"/>
  <c r="BN152" i="113"/>
  <c r="AL152" i="113"/>
  <c r="AF213" i="113"/>
  <c r="AL213" i="113" s="1"/>
  <c r="AO56" i="116"/>
  <c r="AY56" i="116"/>
  <c r="U68" i="114"/>
  <c r="K68" i="114"/>
  <c r="BJ21" i="115"/>
  <c r="AF55" i="115"/>
  <c r="AL55" i="115" s="1"/>
  <c r="AM55" i="115"/>
  <c r="AP55" i="115"/>
  <c r="R199" i="115"/>
  <c r="AG199" i="115" s="1"/>
  <c r="AM199" i="115" s="1"/>
  <c r="Q55" i="115"/>
  <c r="Q199" i="115" s="1"/>
  <c r="AF199" i="115" s="1"/>
  <c r="DP61" i="116"/>
  <c r="DF61" i="116"/>
  <c r="DO61" i="116" s="1"/>
  <c r="EN61" i="116"/>
  <c r="U56" i="116"/>
  <c r="K56" i="116"/>
  <c r="AP119" i="115"/>
  <c r="BE119" i="115" s="1"/>
  <c r="AF119" i="115"/>
  <c r="AM119" i="115"/>
  <c r="AG172" i="115"/>
  <c r="AM172" i="115" s="1"/>
  <c r="BE152" i="113"/>
  <c r="CI154" i="113"/>
  <c r="Y56" i="118"/>
  <c r="EK70" i="114"/>
  <c r="BE172" i="115" l="1"/>
  <c r="BK172" i="115" s="1"/>
  <c r="BD119" i="115"/>
  <c r="BK119" i="115"/>
  <c r="AP172" i="115"/>
  <c r="CO56" i="116" s="1"/>
  <c r="AO119" i="115"/>
  <c r="AO172" i="115" s="1"/>
  <c r="BN119" i="115"/>
  <c r="T56" i="116"/>
  <c r="AC56" i="116" s="1"/>
  <c r="AD56" i="116"/>
  <c r="V52" i="119"/>
  <c r="DX61" i="116"/>
  <c r="EA61" i="116"/>
  <c r="AL199" i="115"/>
  <c r="AP199" i="115"/>
  <c r="BE199" i="115" s="1"/>
  <c r="BK199" i="115" s="1"/>
  <c r="AO55" i="115"/>
  <c r="AO199" i="115" s="1"/>
  <c r="BD199" i="115" s="1"/>
  <c r="BN55" i="115"/>
  <c r="T68" i="114"/>
  <c r="AC68" i="114" s="1"/>
  <c r="AD68" i="114"/>
  <c r="BH56" i="116"/>
  <c r="BG56" i="116" s="1"/>
  <c r="AX56" i="116"/>
  <c r="BM152" i="113"/>
  <c r="BM213" i="113" s="1"/>
  <c r="BN213" i="113"/>
  <c r="EN68" i="114" s="1"/>
  <c r="CN68" i="114"/>
  <c r="CX68" i="114"/>
  <c r="BH68" i="114"/>
  <c r="BG68" i="114" s="1"/>
  <c r="AX68" i="114"/>
  <c r="BE213" i="113"/>
  <c r="BK213" i="113" s="1"/>
  <c r="BD152" i="113"/>
  <c r="BK152" i="113"/>
  <c r="AL119" i="115"/>
  <c r="AF172" i="115"/>
  <c r="AL172" i="115" s="1"/>
  <c r="EW61" i="116"/>
  <c r="EM61" i="116"/>
  <c r="W52" i="119"/>
  <c r="DY61" i="116"/>
  <c r="EB61" i="116"/>
  <c r="BE55" i="115"/>
  <c r="BP56" i="116" l="1"/>
  <c r="BY56" i="116" s="1"/>
  <c r="BQ68" i="114"/>
  <c r="BP68" i="114"/>
  <c r="O54" i="118" s="1"/>
  <c r="BJ199" i="115"/>
  <c r="BZ68" i="114"/>
  <c r="P54" i="118"/>
  <c r="BK55" i="115"/>
  <c r="BD55" i="115"/>
  <c r="BJ55" i="115" s="1"/>
  <c r="EV61" i="116"/>
  <c r="FF61" i="116"/>
  <c r="BJ152" i="113"/>
  <c r="BD213" i="113"/>
  <c r="BJ213" i="113" s="1"/>
  <c r="P47" i="119"/>
  <c r="AL68" i="114"/>
  <c r="L54" i="118"/>
  <c r="CB68" i="114"/>
  <c r="Y52" i="119"/>
  <c r="EJ61" i="116"/>
  <c r="M47" i="119"/>
  <c r="AL56" i="116"/>
  <c r="BQ56" i="116"/>
  <c r="Z52" i="119"/>
  <c r="EK61" i="116"/>
  <c r="CW68" i="114"/>
  <c r="DG68" i="114"/>
  <c r="EW68" i="114"/>
  <c r="EM68" i="114"/>
  <c r="M54" i="118"/>
  <c r="CC68" i="114"/>
  <c r="AM68" i="114"/>
  <c r="BN199" i="115"/>
  <c r="CC199" i="115" s="1"/>
  <c r="CI199" i="115" s="1"/>
  <c r="BM55" i="115"/>
  <c r="BM199" i="115" s="1"/>
  <c r="CB199" i="115" s="1"/>
  <c r="CH199" i="115" s="1"/>
  <c r="N47" i="119"/>
  <c r="AM56" i="116"/>
  <c r="BM119" i="115"/>
  <c r="BM172" i="115" s="1"/>
  <c r="BN172" i="115"/>
  <c r="EN56" i="116" s="1"/>
  <c r="CN56" i="116"/>
  <c r="CX56" i="116"/>
  <c r="BJ119" i="115"/>
  <c r="BD172" i="115"/>
  <c r="BJ172" i="115" s="1"/>
  <c r="CB56" i="116" l="1"/>
  <c r="DF68" i="114"/>
  <c r="DO68" i="114" s="1"/>
  <c r="DP68" i="114"/>
  <c r="Q47" i="119"/>
  <c r="BZ56" i="116"/>
  <c r="DG56" i="116"/>
  <c r="CW56" i="116"/>
  <c r="EM56" i="116"/>
  <c r="EW56" i="116"/>
  <c r="CC56" i="116"/>
  <c r="S54" i="118"/>
  <c r="CL68" i="114"/>
  <c r="FF68" i="114"/>
  <c r="EV68" i="114"/>
  <c r="S47" i="119"/>
  <c r="CK56" i="116"/>
  <c r="EA68" i="114"/>
  <c r="R54" i="118"/>
  <c r="FE61" i="116"/>
  <c r="FN61" i="116" s="1"/>
  <c r="FO61" i="116"/>
  <c r="AC52" i="119" l="1"/>
  <c r="FX61" i="116"/>
  <c r="GA61" i="116"/>
  <c r="FE68" i="114"/>
  <c r="FN68" i="114" s="1"/>
  <c r="FZ68" i="114" s="1"/>
  <c r="AD54" i="118" s="1"/>
  <c r="FO68" i="114"/>
  <c r="T47" i="119"/>
  <c r="CL56" i="116"/>
  <c r="EV56" i="116"/>
  <c r="FF56" i="116"/>
  <c r="FE56" i="116" s="1"/>
  <c r="DY68" i="114"/>
  <c r="V54" i="118"/>
  <c r="AB52" i="119"/>
  <c r="FW61" i="116"/>
  <c r="FZ61" i="116"/>
  <c r="X54" i="118"/>
  <c r="EB68" i="114"/>
  <c r="FO56" i="116"/>
  <c r="DF56" i="116"/>
  <c r="DO56" i="116" s="1"/>
  <c r="DP56" i="116"/>
  <c r="U54" i="118"/>
  <c r="DX68" i="114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DY56" i="116" l="1"/>
  <c r="W47" i="119"/>
  <c r="FX56" i="116"/>
  <c r="AC47" i="119"/>
  <c r="GI61" i="116"/>
  <c r="AE52" i="119"/>
  <c r="FX68" i="114"/>
  <c r="AB54" i="118"/>
  <c r="GJ61" i="116"/>
  <c r="AF52" i="119"/>
  <c r="DX56" i="116"/>
  <c r="V47" i="119"/>
  <c r="EA56" i="116"/>
  <c r="Y54" i="118"/>
  <c r="GA68" i="114"/>
  <c r="EK68" i="114"/>
  <c r="FN56" i="116"/>
  <c r="EB56" i="116"/>
  <c r="AA54" i="118"/>
  <c r="FW68" i="114"/>
  <c r="D29" i="67"/>
  <c r="D30" i="67" s="1"/>
  <c r="D32" i="67" s="1"/>
  <c r="C29" i="67"/>
  <c r="C30" i="67" s="1"/>
  <c r="C32" i="67" s="1"/>
  <c r="AL32" i="6"/>
  <c r="AL15" i="6"/>
  <c r="AL29" i="6"/>
  <c r="AL28" i="6"/>
  <c r="AL19" i="6"/>
  <c r="AL14" i="6"/>
  <c r="AK40" i="5"/>
  <c r="AT40" i="5" s="1"/>
  <c r="AK18" i="5"/>
  <c r="AK15" i="5"/>
  <c r="AT15" i="5" s="1"/>
  <c r="G26" i="96"/>
  <c r="G16" i="96"/>
  <c r="G31" i="96"/>
  <c r="G21" i="96"/>
  <c r="G11" i="96"/>
  <c r="G36" i="96"/>
  <c r="BQ132" i="7"/>
  <c r="BS133" i="7"/>
  <c r="BS150" i="7" s="1"/>
  <c r="BQ58" i="7"/>
  <c r="BQ133" i="7" s="1"/>
  <c r="D10" i="103"/>
  <c r="E10" i="103"/>
  <c r="F10" i="103"/>
  <c r="G10" i="103"/>
  <c r="H10" i="103"/>
  <c r="C10" i="103"/>
  <c r="D6" i="103"/>
  <c r="E6" i="103"/>
  <c r="F6" i="103"/>
  <c r="G6" i="103"/>
  <c r="H6" i="103"/>
  <c r="C6" i="103"/>
  <c r="FW56" i="116" l="1"/>
  <c r="AB47" i="119"/>
  <c r="GJ68" i="114"/>
  <c r="AE54" i="118"/>
  <c r="Y47" i="119"/>
  <c r="EJ56" i="116"/>
  <c r="FZ56" i="116"/>
  <c r="AK17" i="5"/>
  <c r="AT18" i="5"/>
  <c r="Z47" i="119"/>
  <c r="GA56" i="116"/>
  <c r="EK56" i="116"/>
  <c r="BR133" i="7"/>
  <c r="Y47" i="65"/>
  <c r="Y46" i="65"/>
  <c r="X25" i="65"/>
  <c r="Y25" i="65"/>
  <c r="AA25" i="65"/>
  <c r="AB25" i="65"/>
  <c r="AC25" i="65"/>
  <c r="AD25" i="65"/>
  <c r="AE25" i="65"/>
  <c r="X19" i="65"/>
  <c r="AA19" i="65"/>
  <c r="AB19" i="65"/>
  <c r="AC19" i="65"/>
  <c r="AD19" i="65"/>
  <c r="AE19" i="65"/>
  <c r="X20" i="65"/>
  <c r="Y20" i="65"/>
  <c r="AA20" i="65"/>
  <c r="AB20" i="65"/>
  <c r="AC20" i="65"/>
  <c r="AD20" i="65"/>
  <c r="AE20" i="65"/>
  <c r="AF13" i="65"/>
  <c r="AF12" i="65"/>
  <c r="M17" i="65"/>
  <c r="E11" i="102" s="1"/>
  <c r="L11" i="102" s="1"/>
  <c r="W17" i="66"/>
  <c r="M22" i="66"/>
  <c r="Q16" i="64"/>
  <c r="T18" i="64"/>
  <c r="U18" i="64"/>
  <c r="V18" i="64"/>
  <c r="W18" i="64"/>
  <c r="Y18" i="64"/>
  <c r="Z18" i="64"/>
  <c r="AA18" i="64"/>
  <c r="AB18" i="64"/>
  <c r="AC18" i="64"/>
  <c r="R19" i="64"/>
  <c r="T19" i="64"/>
  <c r="U19" i="64"/>
  <c r="V19" i="64"/>
  <c r="W19" i="64"/>
  <c r="Y19" i="64"/>
  <c r="Z19" i="64"/>
  <c r="AA19" i="64"/>
  <c r="AB19" i="64"/>
  <c r="AC19" i="64"/>
  <c r="R20" i="64"/>
  <c r="S20" i="64"/>
  <c r="T20" i="64"/>
  <c r="U20" i="64"/>
  <c r="V20" i="64"/>
  <c r="W20" i="64"/>
  <c r="Y20" i="64"/>
  <c r="Z20" i="64"/>
  <c r="AA20" i="64"/>
  <c r="AB20" i="64"/>
  <c r="AC20" i="64"/>
  <c r="R21" i="64"/>
  <c r="S21" i="64"/>
  <c r="T21" i="64"/>
  <c r="U21" i="64"/>
  <c r="V21" i="64"/>
  <c r="W21" i="64"/>
  <c r="Y21" i="64"/>
  <c r="Z21" i="64"/>
  <c r="AA21" i="64"/>
  <c r="AB21" i="64"/>
  <c r="AC21" i="64"/>
  <c r="BN35" i="8"/>
  <c r="CC91" i="115" s="1"/>
  <c r="BN32" i="8"/>
  <c r="CC76" i="115" s="1"/>
  <c r="BM20" i="8"/>
  <c r="BN10" i="8"/>
  <c r="CC19" i="115" s="1"/>
  <c r="BO92" i="8"/>
  <c r="BN92" i="8"/>
  <c r="BM92" i="8"/>
  <c r="BO89" i="8"/>
  <c r="BN89" i="8"/>
  <c r="BO85" i="8"/>
  <c r="BN85" i="8"/>
  <c r="BO82" i="8"/>
  <c r="BO103" i="8" s="1"/>
  <c r="BN82" i="8"/>
  <c r="BN103" i="8" s="1"/>
  <c r="BM82" i="8"/>
  <c r="BO78" i="8"/>
  <c r="BO75" i="8"/>
  <c r="BL92" i="8"/>
  <c r="BK92" i="8"/>
  <c r="BJ92" i="8"/>
  <c r="BL89" i="8"/>
  <c r="BK89" i="8"/>
  <c r="BL87" i="8"/>
  <c r="BK87" i="8"/>
  <c r="BL85" i="8"/>
  <c r="BK85" i="8"/>
  <c r="BL82" i="8"/>
  <c r="BK82" i="8"/>
  <c r="BJ82" i="8"/>
  <c r="BL81" i="8"/>
  <c r="BK81" i="8"/>
  <c r="BL79" i="8"/>
  <c r="BK79" i="8"/>
  <c r="BL78" i="8"/>
  <c r="BK78" i="8"/>
  <c r="BL77" i="8"/>
  <c r="BK77" i="8"/>
  <c r="BL76" i="8"/>
  <c r="BK76" i="8"/>
  <c r="BL75" i="8"/>
  <c r="BK75" i="8"/>
  <c r="BL74" i="8"/>
  <c r="BK74" i="8"/>
  <c r="BL73" i="8"/>
  <c r="BK73" i="8"/>
  <c r="BI92" i="8"/>
  <c r="BH92" i="8"/>
  <c r="BI89" i="8"/>
  <c r="BH89" i="8"/>
  <c r="BI87" i="8"/>
  <c r="BH87" i="8"/>
  <c r="BI85" i="8"/>
  <c r="BH85" i="8"/>
  <c r="BI82" i="8"/>
  <c r="BH82" i="8"/>
  <c r="BI81" i="8"/>
  <c r="BH81" i="8"/>
  <c r="BI79" i="8"/>
  <c r="BH79" i="8"/>
  <c r="BI78" i="8"/>
  <c r="BH78" i="8"/>
  <c r="BI77" i="8"/>
  <c r="BH77" i="8"/>
  <c r="BI76" i="8"/>
  <c r="BH76" i="8"/>
  <c r="BI75" i="8"/>
  <c r="BH75" i="8"/>
  <c r="BI74" i="8"/>
  <c r="BH74" i="8"/>
  <c r="BI73" i="8"/>
  <c r="BH73" i="8"/>
  <c r="BG92" i="8"/>
  <c r="BG85" i="8"/>
  <c r="BG82" i="8"/>
  <c r="BF92" i="8"/>
  <c r="BF89" i="8"/>
  <c r="BF87" i="8"/>
  <c r="BF85" i="8"/>
  <c r="BF82" i="8"/>
  <c r="BF81" i="8"/>
  <c r="BF79" i="8"/>
  <c r="BF78" i="8"/>
  <c r="BF77" i="8"/>
  <c r="BF76" i="8"/>
  <c r="BF75" i="8"/>
  <c r="BF74" i="8"/>
  <c r="BF73" i="8"/>
  <c r="BE92" i="8"/>
  <c r="BE89" i="8"/>
  <c r="BE87" i="8"/>
  <c r="BE85" i="8"/>
  <c r="BE82" i="8"/>
  <c r="BE81" i="8"/>
  <c r="BE79" i="8"/>
  <c r="BE78" i="8"/>
  <c r="BE77" i="8"/>
  <c r="BE76" i="8"/>
  <c r="BE75" i="8"/>
  <c r="BE74" i="8"/>
  <c r="BE73" i="8"/>
  <c r="BD85" i="8"/>
  <c r="BD82" i="8"/>
  <c r="BM56" i="8"/>
  <c r="BM89" i="8" s="1"/>
  <c r="BM50" i="8"/>
  <c r="BM85" i="8" s="1"/>
  <c r="BM36" i="8"/>
  <c r="BM35" i="8"/>
  <c r="BO34" i="8"/>
  <c r="CD90" i="115" s="1"/>
  <c r="CJ90" i="115" s="1"/>
  <c r="BM32" i="8"/>
  <c r="BO27" i="8"/>
  <c r="CD71" i="115" s="1"/>
  <c r="CJ71" i="115" s="1"/>
  <c r="BM21" i="8"/>
  <c r="BM11" i="8"/>
  <c r="BM10" i="8"/>
  <c r="BO8" i="8"/>
  <c r="CD17" i="115" s="1"/>
  <c r="BJ50" i="8"/>
  <c r="BJ85" i="8" s="1"/>
  <c r="BJ56" i="8"/>
  <c r="BG56" i="8" s="1"/>
  <c r="BJ52" i="8"/>
  <c r="BJ87" i="8" s="1"/>
  <c r="BJ46" i="8"/>
  <c r="BJ81" i="8" s="1"/>
  <c r="BJ45" i="8"/>
  <c r="BJ44" i="8"/>
  <c r="BJ43" i="8"/>
  <c r="BL42" i="8"/>
  <c r="BL80" i="8" s="1"/>
  <c r="BK42" i="8"/>
  <c r="BK80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J30" i="8"/>
  <c r="BJ29" i="8"/>
  <c r="BJ28" i="8"/>
  <c r="BL27" i="8"/>
  <c r="BK27" i="8"/>
  <c r="BJ26" i="8"/>
  <c r="BL25" i="8"/>
  <c r="BK25" i="8"/>
  <c r="BJ24" i="8"/>
  <c r="BJ23" i="8"/>
  <c r="BJ22" i="8"/>
  <c r="BJ21" i="8"/>
  <c r="BJ20" i="8"/>
  <c r="BJ19" i="8"/>
  <c r="BJ78" i="8" s="1"/>
  <c r="BJ18" i="8"/>
  <c r="BL17" i="8"/>
  <c r="BK17" i="8"/>
  <c r="BJ16" i="8"/>
  <c r="BK15" i="8"/>
  <c r="BK8" i="8" s="1"/>
  <c r="BJ14" i="8"/>
  <c r="BJ13" i="8"/>
  <c r="BJ76" i="8" s="1"/>
  <c r="BJ12" i="8"/>
  <c r="BJ11" i="8"/>
  <c r="BJ10" i="8"/>
  <c r="BJ9" i="8"/>
  <c r="BJ73" i="8" s="1"/>
  <c r="BL8" i="8"/>
  <c r="BG46" i="8"/>
  <c r="BG81" i="8" s="1"/>
  <c r="BG52" i="8"/>
  <c r="BG87" i="8" s="1"/>
  <c r="BG45" i="8"/>
  <c r="BG44" i="8"/>
  <c r="BG43" i="8"/>
  <c r="BI42" i="8"/>
  <c r="BI80" i="8" s="1"/>
  <c r="BH42" i="8"/>
  <c r="BH80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G30" i="8"/>
  <c r="BG29" i="8"/>
  <c r="BG28" i="8"/>
  <c r="BI27" i="8"/>
  <c r="BH27" i="8"/>
  <c r="BG26" i="8"/>
  <c r="BI25" i="8"/>
  <c r="BH25" i="8"/>
  <c r="BG24" i="8"/>
  <c r="BG23" i="8"/>
  <c r="BG22" i="8"/>
  <c r="BG21" i="8"/>
  <c r="BG20" i="8"/>
  <c r="BG19" i="8"/>
  <c r="BG78" i="8" s="1"/>
  <c r="BG18" i="8"/>
  <c r="BI17" i="8"/>
  <c r="BH17" i="8"/>
  <c r="BG16" i="8"/>
  <c r="BH15" i="8"/>
  <c r="BH8" i="8" s="1"/>
  <c r="BG14" i="8"/>
  <c r="BG13" i="8"/>
  <c r="BG76" i="8" s="1"/>
  <c r="BG12" i="8"/>
  <c r="BG11" i="8"/>
  <c r="BG10" i="8"/>
  <c r="BG9" i="8"/>
  <c r="BG73" i="8" s="1"/>
  <c r="BI8" i="8"/>
  <c r="BD52" i="8"/>
  <c r="BD87" i="8" s="1"/>
  <c r="BD46" i="8"/>
  <c r="BD81" i="8" s="1"/>
  <c r="BD26" i="8"/>
  <c r="BD44" i="8"/>
  <c r="BD45" i="8"/>
  <c r="BD42" i="8" s="1"/>
  <c r="BD80" i="8" s="1"/>
  <c r="BD43" i="8"/>
  <c r="BE42" i="8"/>
  <c r="BE80" i="8" s="1"/>
  <c r="BF42" i="8"/>
  <c r="BF80" i="8" s="1"/>
  <c r="BE34" i="8"/>
  <c r="BF34" i="8"/>
  <c r="BD41" i="8"/>
  <c r="BD36" i="8"/>
  <c r="BD37" i="8"/>
  <c r="BD38" i="8"/>
  <c r="BD39" i="8"/>
  <c r="BD40" i="8" s="1"/>
  <c r="BD35" i="8"/>
  <c r="BE40" i="8"/>
  <c r="BD33" i="8"/>
  <c r="BD32" i="8"/>
  <c r="BD29" i="8"/>
  <c r="BD30" i="8"/>
  <c r="BD31" i="8" s="1"/>
  <c r="BD28" i="8"/>
  <c r="BE31" i="8"/>
  <c r="BE27" i="8" s="1"/>
  <c r="BF27" i="8"/>
  <c r="BD24" i="8"/>
  <c r="BE15" i="8"/>
  <c r="BF25" i="8"/>
  <c r="BE25" i="8"/>
  <c r="BD19" i="8"/>
  <c r="BD78" i="8" s="1"/>
  <c r="BD20" i="8"/>
  <c r="BD21" i="8"/>
  <c r="BD22" i="8"/>
  <c r="BD23" i="8"/>
  <c r="BD18" i="8"/>
  <c r="BE17" i="8"/>
  <c r="BF17" i="8"/>
  <c r="BD16" i="8"/>
  <c r="BD79" i="8" s="1"/>
  <c r="BD10" i="8"/>
  <c r="BD11" i="8"/>
  <c r="BD12" i="8"/>
  <c r="BD13" i="8"/>
  <c r="BD76" i="8" s="1"/>
  <c r="BD14" i="8"/>
  <c r="BD9" i="8"/>
  <c r="BD73" i="8" s="1"/>
  <c r="BE8" i="8"/>
  <c r="BF8" i="8"/>
  <c r="BF51" i="8" s="1"/>
  <c r="BF58" i="8" s="1"/>
  <c r="BD60" i="8"/>
  <c r="BD92" i="8" s="1"/>
  <c r="BD34" i="8"/>
  <c r="BD15" i="8"/>
  <c r="BD8" i="8" s="1"/>
  <c r="L36" i="104"/>
  <c r="M36" i="104"/>
  <c r="N36" i="104"/>
  <c r="O36" i="104"/>
  <c r="P36" i="104"/>
  <c r="L28" i="104"/>
  <c r="M28" i="104"/>
  <c r="N28" i="104"/>
  <c r="O28" i="104"/>
  <c r="P28" i="104"/>
  <c r="D36" i="104"/>
  <c r="K36" i="104" s="1"/>
  <c r="BO44" i="8" s="1"/>
  <c r="CD109" i="115" s="1"/>
  <c r="D34" i="104"/>
  <c r="D26" i="104"/>
  <c r="C26" i="105" s="1"/>
  <c r="C20" i="105" s="1"/>
  <c r="C15" i="105" s="1"/>
  <c r="D28" i="104"/>
  <c r="K28" i="104" s="1"/>
  <c r="BN44" i="8" s="1"/>
  <c r="D20" i="104"/>
  <c r="L20" i="104"/>
  <c r="N20" i="104"/>
  <c r="P20" i="104"/>
  <c r="K20" i="104"/>
  <c r="M20" i="104" s="1"/>
  <c r="O20" i="104" s="1"/>
  <c r="D17" i="104"/>
  <c r="D8" i="104"/>
  <c r="C25" i="105" s="1"/>
  <c r="C39" i="104"/>
  <c r="D39" i="104"/>
  <c r="M16" i="66" s="1"/>
  <c r="E39" i="104"/>
  <c r="F39" i="104"/>
  <c r="G39" i="104"/>
  <c r="H39" i="104"/>
  <c r="I39" i="104"/>
  <c r="J39" i="104"/>
  <c r="B39" i="104"/>
  <c r="C31" i="104"/>
  <c r="E31" i="104"/>
  <c r="F31" i="104"/>
  <c r="G31" i="104"/>
  <c r="H31" i="104"/>
  <c r="I31" i="104"/>
  <c r="J31" i="104"/>
  <c r="C23" i="104"/>
  <c r="E23" i="104"/>
  <c r="F23" i="104"/>
  <c r="R16" i="64" s="1"/>
  <c r="G23" i="104"/>
  <c r="S16" i="64" s="1"/>
  <c r="H23" i="104"/>
  <c r="T16" i="64" s="1"/>
  <c r="I23" i="104"/>
  <c r="U16" i="64" s="1"/>
  <c r="J23" i="104"/>
  <c r="B31" i="104"/>
  <c r="B23" i="104"/>
  <c r="C14" i="104"/>
  <c r="E14" i="104"/>
  <c r="F14" i="104"/>
  <c r="G14" i="104"/>
  <c r="H14" i="104"/>
  <c r="I14" i="104"/>
  <c r="J14" i="104"/>
  <c r="B14" i="104"/>
  <c r="CJ109" i="115" l="1"/>
  <c r="D109" i="115"/>
  <c r="CD162" i="115"/>
  <c r="CJ162" i="115" s="1"/>
  <c r="CC109" i="115"/>
  <c r="BM44" i="8"/>
  <c r="BG89" i="8"/>
  <c r="BD56" i="8"/>
  <c r="BD89" i="8" s="1"/>
  <c r="C19" i="105"/>
  <c r="C14" i="105" s="1"/>
  <c r="C27" i="105"/>
  <c r="C21" i="105" s="1"/>
  <c r="C16" i="105" s="1"/>
  <c r="E7" i="105"/>
  <c r="D7" i="105"/>
  <c r="D20" i="105" s="1"/>
  <c r="D26" i="105" s="1"/>
  <c r="CJ17" i="115"/>
  <c r="C91" i="115"/>
  <c r="CI91" i="115"/>
  <c r="CB91" i="115"/>
  <c r="CH91" i="115" s="1"/>
  <c r="M11" i="102"/>
  <c r="L13" i="102"/>
  <c r="Y52" i="65"/>
  <c r="CO23" i="116"/>
  <c r="D31" i="104"/>
  <c r="M16" i="65" s="1"/>
  <c r="BD77" i="8"/>
  <c r="BD75" i="8"/>
  <c r="BD74" i="8"/>
  <c r="BI51" i="8"/>
  <c r="BI55" i="8" s="1"/>
  <c r="BG74" i="8"/>
  <c r="BG75" i="8"/>
  <c r="BG77" i="8"/>
  <c r="BG79" i="8"/>
  <c r="BL51" i="8"/>
  <c r="BL57" i="8" s="1"/>
  <c r="BL58" i="8" s="1"/>
  <c r="BJ74" i="8"/>
  <c r="BJ75" i="8"/>
  <c r="BJ77" i="8"/>
  <c r="BJ79" i="8"/>
  <c r="CI19" i="115"/>
  <c r="C19" i="115"/>
  <c r="CB19" i="115"/>
  <c r="CI76" i="115"/>
  <c r="CB76" i="115"/>
  <c r="CH76" i="115" s="1"/>
  <c r="C76" i="115"/>
  <c r="Y51" i="65"/>
  <c r="C23" i="116"/>
  <c r="GJ56" i="116"/>
  <c r="AF47" i="119"/>
  <c r="GI56" i="116"/>
  <c r="AE47" i="119"/>
  <c r="Y53" i="65"/>
  <c r="AA46" i="65"/>
  <c r="BD86" i="8"/>
  <c r="BD88" i="8" s="1"/>
  <c r="BE86" i="8"/>
  <c r="BF86" i="8"/>
  <c r="BF88" i="8" s="1"/>
  <c r="BH86" i="8"/>
  <c r="BL86" i="8"/>
  <c r="BL88" i="8" s="1"/>
  <c r="BJ89" i="8"/>
  <c r="BG31" i="8"/>
  <c r="BG40" i="8"/>
  <c r="BI86" i="8"/>
  <c r="BI88" i="8" s="1"/>
  <c r="BK86" i="8"/>
  <c r="BR150" i="7"/>
  <c r="W15" i="61"/>
  <c r="CC72" i="113" s="1"/>
  <c r="Y48" i="65"/>
  <c r="BM74" i="8"/>
  <c r="BK90" i="8"/>
  <c r="BK88" i="8"/>
  <c r="BL90" i="8"/>
  <c r="BI90" i="8"/>
  <c r="BH90" i="8"/>
  <c r="BH88" i="8"/>
  <c r="BF90" i="8"/>
  <c r="BE90" i="8"/>
  <c r="BE88" i="8"/>
  <c r="BD90" i="8"/>
  <c r="BE51" i="8"/>
  <c r="BE58" i="8" s="1"/>
  <c r="BD17" i="8"/>
  <c r="BJ31" i="8"/>
  <c r="BJ27" i="8" s="1"/>
  <c r="BJ40" i="8"/>
  <c r="BJ42" i="8"/>
  <c r="BJ80" i="8" s="1"/>
  <c r="BJ86" i="8" s="1"/>
  <c r="BJ34" i="8"/>
  <c r="BJ25" i="8"/>
  <c r="BJ17" i="8"/>
  <c r="BK51" i="8"/>
  <c r="BK57" i="8" s="1"/>
  <c r="BK58" i="8" s="1"/>
  <c r="BJ15" i="8"/>
  <c r="BJ8" i="8" s="1"/>
  <c r="BL55" i="8"/>
  <c r="BE57" i="8"/>
  <c r="BF55" i="8"/>
  <c r="BF57" i="8"/>
  <c r="BG42" i="8"/>
  <c r="BG80" i="8" s="1"/>
  <c r="BG86" i="8" s="1"/>
  <c r="BG34" i="8"/>
  <c r="BG27" i="8"/>
  <c r="BG25" i="8"/>
  <c r="BG17" i="8"/>
  <c r="BH51" i="8"/>
  <c r="BH57" i="8" s="1"/>
  <c r="BG15" i="8"/>
  <c r="BG8" i="8" s="1"/>
  <c r="BH58" i="8"/>
  <c r="BI57" i="8"/>
  <c r="BI58" i="8"/>
  <c r="BD27" i="8"/>
  <c r="BD51" i="8" s="1"/>
  <c r="BD55" i="8" s="1"/>
  <c r="BD25" i="8"/>
  <c r="Q19" i="61"/>
  <c r="S19" i="61"/>
  <c r="U19" i="61"/>
  <c r="V19" i="61"/>
  <c r="Q20" i="61"/>
  <c r="S20" i="61"/>
  <c r="T20" i="61"/>
  <c r="U20" i="61"/>
  <c r="V20" i="61"/>
  <c r="AC29" i="10"/>
  <c r="AC30" i="10"/>
  <c r="AC31" i="10"/>
  <c r="AC28" i="10"/>
  <c r="AC22" i="10"/>
  <c r="AC23" i="10"/>
  <c r="AC24" i="10"/>
  <c r="AC21" i="10"/>
  <c r="M17" i="61"/>
  <c r="J14" i="95"/>
  <c r="H12" i="103"/>
  <c r="AE15" i="65" s="1"/>
  <c r="G12" i="103"/>
  <c r="AD15" i="65" s="1"/>
  <c r="F12" i="103"/>
  <c r="AC15" i="65" s="1"/>
  <c r="E12" i="103"/>
  <c r="AB15" i="65" s="1"/>
  <c r="D12" i="103"/>
  <c r="AA15" i="65" s="1"/>
  <c r="C12" i="103"/>
  <c r="D8" i="103"/>
  <c r="E8" i="103"/>
  <c r="F8" i="103"/>
  <c r="G8" i="103"/>
  <c r="H8" i="103"/>
  <c r="C8" i="103"/>
  <c r="G8" i="94"/>
  <c r="B23" i="116" l="1"/>
  <c r="L23" i="116"/>
  <c r="AP23" i="116"/>
  <c r="U23" i="116"/>
  <c r="BH23" i="116"/>
  <c r="C17" i="116"/>
  <c r="CH19" i="115"/>
  <c r="N11" i="102"/>
  <c r="M13" i="102"/>
  <c r="R91" i="115"/>
  <c r="B91" i="115"/>
  <c r="E6" i="105"/>
  <c r="D6" i="105"/>
  <c r="CI109" i="115"/>
  <c r="CB109" i="115"/>
  <c r="CC162" i="115"/>
  <c r="CI162" i="115" s="1"/>
  <c r="C109" i="115"/>
  <c r="AC27" i="10"/>
  <c r="AC33" i="10"/>
  <c r="M22" i="65" s="1"/>
  <c r="BE55" i="8"/>
  <c r="BJ51" i="8"/>
  <c r="BJ57" i="8" s="1"/>
  <c r="BJ58" i="8" s="1"/>
  <c r="R76" i="115"/>
  <c r="B76" i="115"/>
  <c r="B19" i="115"/>
  <c r="R19" i="115"/>
  <c r="AG19" i="115" s="1"/>
  <c r="CN23" i="116"/>
  <c r="DG23" i="116"/>
  <c r="EW23" i="116"/>
  <c r="EN23" i="116"/>
  <c r="CX23" i="116"/>
  <c r="FF23" i="116"/>
  <c r="CO17" i="116"/>
  <c r="E8" i="105"/>
  <c r="D8" i="105"/>
  <c r="D21" i="105" s="1"/>
  <c r="D27" i="105" s="1"/>
  <c r="D162" i="115"/>
  <c r="D46" i="116" s="1"/>
  <c r="S109" i="115"/>
  <c r="S162" i="115" s="1"/>
  <c r="AQ46" i="116" s="1"/>
  <c r="BN49" i="8"/>
  <c r="Y15" i="65"/>
  <c r="CI72" i="113"/>
  <c r="CC238" i="113"/>
  <c r="CB72" i="113"/>
  <c r="C72" i="113"/>
  <c r="AA51" i="65"/>
  <c r="AA47" i="65"/>
  <c r="BG90" i="8"/>
  <c r="BG88" i="8"/>
  <c r="BJ90" i="8"/>
  <c r="BJ88" i="8"/>
  <c r="BL93" i="8"/>
  <c r="BL94" i="8" s="1"/>
  <c r="BL91" i="8"/>
  <c r="BJ93" i="8"/>
  <c r="BJ94" i="8" s="1"/>
  <c r="BJ91" i="8"/>
  <c r="BK93" i="8"/>
  <c r="BK94" i="8" s="1"/>
  <c r="BK91" i="8"/>
  <c r="BH93" i="8"/>
  <c r="BH94" i="8" s="1"/>
  <c r="BH91" i="8"/>
  <c r="BI93" i="8"/>
  <c r="BI94" i="8" s="1"/>
  <c r="BI91" i="8"/>
  <c r="BG93" i="8"/>
  <c r="BG94" i="8" s="1"/>
  <c r="BG91" i="8"/>
  <c r="BF93" i="8"/>
  <c r="BF94" i="8" s="1"/>
  <c r="BF91" i="8"/>
  <c r="BE93" i="8"/>
  <c r="BE94" i="8" s="1"/>
  <c r="BE91" i="8"/>
  <c r="BD93" i="8"/>
  <c r="BD94" i="8" s="1"/>
  <c r="BD91" i="8"/>
  <c r="BK55" i="8"/>
  <c r="BH55" i="8"/>
  <c r="BG51" i="8"/>
  <c r="BG57" i="8" s="1"/>
  <c r="BD61" i="8"/>
  <c r="BD62" i="8" s="1"/>
  <c r="BD58" i="8"/>
  <c r="BD57" i="8"/>
  <c r="BS127" i="7"/>
  <c r="V99" i="10"/>
  <c r="Y99" i="10"/>
  <c r="Z99" i="10"/>
  <c r="AD99" i="10"/>
  <c r="U82" i="10"/>
  <c r="U83" i="10" s="1"/>
  <c r="X63" i="32"/>
  <c r="X64" i="32"/>
  <c r="X62" i="32"/>
  <c r="U62" i="32"/>
  <c r="R64" i="32"/>
  <c r="R62" i="32"/>
  <c r="R63" i="32" s="1"/>
  <c r="R67" i="32" s="1"/>
  <c r="O62" i="32"/>
  <c r="L63" i="32"/>
  <c r="L64" i="32"/>
  <c r="L62" i="32"/>
  <c r="F62" i="32"/>
  <c r="F63" i="32" s="1"/>
  <c r="H70" i="32"/>
  <c r="I70" i="32"/>
  <c r="J70" i="32"/>
  <c r="C63" i="32"/>
  <c r="C64" i="32" s="1"/>
  <c r="C62" i="32"/>
  <c r="E63" i="32"/>
  <c r="K63" i="32" s="1"/>
  <c r="B64" i="32"/>
  <c r="D64" i="32" s="1"/>
  <c r="D70" i="32" s="1"/>
  <c r="D19" i="104" s="1"/>
  <c r="D23" i="104" s="1"/>
  <c r="M16" i="64" s="1"/>
  <c r="B61" i="32"/>
  <c r="X66" i="32"/>
  <c r="U66" i="32"/>
  <c r="U63" i="32"/>
  <c r="U67" i="32" s="1"/>
  <c r="R66" i="32"/>
  <c r="L67" i="32"/>
  <c r="O66" i="32"/>
  <c r="I66" i="32"/>
  <c r="C66" i="32"/>
  <c r="I63" i="32"/>
  <c r="I67" i="32" s="1"/>
  <c r="O63" i="32"/>
  <c r="O67" i="32" s="1"/>
  <c r="F66" i="32"/>
  <c r="D61" i="32"/>
  <c r="H60" i="32"/>
  <c r="AH109" i="115" l="1"/>
  <c r="AN109" i="115" s="1"/>
  <c r="F67" i="32"/>
  <c r="F64" i="32"/>
  <c r="I71" i="32"/>
  <c r="O64" i="32"/>
  <c r="U64" i="32"/>
  <c r="AQ109" i="115"/>
  <c r="M46" i="116"/>
  <c r="V46" i="116" s="1"/>
  <c r="FE23" i="116"/>
  <c r="FF17" i="116"/>
  <c r="FE17" i="116" s="1"/>
  <c r="EM23" i="116"/>
  <c r="EN17" i="116"/>
  <c r="DF23" i="116"/>
  <c r="DG17" i="116"/>
  <c r="DF17" i="116" s="1"/>
  <c r="AM19" i="115"/>
  <c r="AF19" i="115"/>
  <c r="AP19" i="115"/>
  <c r="C162" i="115"/>
  <c r="C46" i="116" s="1"/>
  <c r="B109" i="115"/>
  <c r="B162" i="115" s="1"/>
  <c r="R109" i="115"/>
  <c r="CH109" i="115"/>
  <c r="CB162" i="115"/>
  <c r="CH162" i="115" s="1"/>
  <c r="D19" i="105"/>
  <c r="D5" i="105"/>
  <c r="AG91" i="115"/>
  <c r="Q91" i="115"/>
  <c r="O11" i="102"/>
  <c r="N13" i="102"/>
  <c r="BG23" i="116"/>
  <c r="BH17" i="116"/>
  <c r="BG17" i="116" s="1"/>
  <c r="AO23" i="116"/>
  <c r="AP17" i="116"/>
  <c r="BJ55" i="8"/>
  <c r="AZ46" i="116"/>
  <c r="BI46" i="116" s="1"/>
  <c r="CN17" i="116"/>
  <c r="DO17" i="116" s="1"/>
  <c r="CW23" i="116"/>
  <c r="CX17" i="116"/>
  <c r="CW17" i="116" s="1"/>
  <c r="EV23" i="116"/>
  <c r="EW17" i="116"/>
  <c r="EV17" i="116" s="1"/>
  <c r="Q19" i="115"/>
  <c r="AG76" i="115"/>
  <c r="Q76" i="115"/>
  <c r="E5" i="105"/>
  <c r="B17" i="116"/>
  <c r="T23" i="116"/>
  <c r="U17" i="116"/>
  <c r="T17" i="116" s="1"/>
  <c r="K23" i="116"/>
  <c r="AY23" i="116"/>
  <c r="L17" i="116"/>
  <c r="K17" i="116" s="1"/>
  <c r="CH72" i="113"/>
  <c r="CB238" i="113"/>
  <c r="BM49" i="8"/>
  <c r="BM84" i="8" s="1"/>
  <c r="CC30" i="115"/>
  <c r="BN84" i="8"/>
  <c r="BN100" i="8" s="1"/>
  <c r="C238" i="113"/>
  <c r="B72" i="113"/>
  <c r="B238" i="113" s="1"/>
  <c r="R72" i="113"/>
  <c r="AG72" i="113" s="1"/>
  <c r="CI238" i="113"/>
  <c r="AB46" i="65"/>
  <c r="AA52" i="65"/>
  <c r="AA53" i="65" s="1"/>
  <c r="AA48" i="65"/>
  <c r="N63" i="32"/>
  <c r="Q63" i="32" s="1"/>
  <c r="T63" i="32" s="1"/>
  <c r="M63" i="32"/>
  <c r="C67" i="32"/>
  <c r="BG58" i="8"/>
  <c r="BG55" i="8"/>
  <c r="X67" i="32"/>
  <c r="G63" i="32"/>
  <c r="S63" i="32"/>
  <c r="H63" i="32"/>
  <c r="J63" i="32" s="1"/>
  <c r="B15" i="101"/>
  <c r="B16" i="101" s="1"/>
  <c r="B17" i="101" s="1"/>
  <c r="B19" i="101" s="1"/>
  <c r="CM29" i="17" s="1"/>
  <c r="F7" i="101"/>
  <c r="F5" i="101"/>
  <c r="E6" i="101"/>
  <c r="F6" i="101" s="1"/>
  <c r="E7" i="101"/>
  <c r="E8" i="101"/>
  <c r="F8" i="101" s="1"/>
  <c r="E5" i="101"/>
  <c r="E9" i="101" s="1"/>
  <c r="D9" i="101" s="1"/>
  <c r="C9" i="101"/>
  <c r="B9" i="101"/>
  <c r="CK29" i="17"/>
  <c r="H8" i="100"/>
  <c r="H10" i="100" s="1"/>
  <c r="BR46" i="7" s="1"/>
  <c r="CC65" i="113" s="1"/>
  <c r="K9" i="100"/>
  <c r="L9" i="100" s="1"/>
  <c r="M9" i="100" s="1"/>
  <c r="J9" i="100"/>
  <c r="AG27" i="10"/>
  <c r="AN31" i="10"/>
  <c r="AO31" i="10" s="1"/>
  <c r="AP31" i="10" s="1"/>
  <c r="AQ31" i="10" s="1"/>
  <c r="AM29" i="10"/>
  <c r="AN29" i="10" s="1"/>
  <c r="AO29" i="10" s="1"/>
  <c r="AP29" i="10" s="1"/>
  <c r="AQ29" i="10" s="1"/>
  <c r="AM30" i="10"/>
  <c r="AN30" i="10" s="1"/>
  <c r="AO30" i="10" s="1"/>
  <c r="AP30" i="10" s="1"/>
  <c r="AQ30" i="10" s="1"/>
  <c r="AM31" i="10"/>
  <c r="AM28" i="10"/>
  <c r="AN28" i="10" s="1"/>
  <c r="AO28" i="10" s="1"/>
  <c r="AP28" i="10" s="1"/>
  <c r="AQ28" i="10" s="1"/>
  <c r="AN24" i="10"/>
  <c r="AO24" i="10" s="1"/>
  <c r="AP24" i="10" s="1"/>
  <c r="AQ24" i="10" s="1"/>
  <c r="AM22" i="10"/>
  <c r="AN22" i="10" s="1"/>
  <c r="AO22" i="10" s="1"/>
  <c r="AP22" i="10" s="1"/>
  <c r="AQ22" i="10" s="1"/>
  <c r="AM23" i="10"/>
  <c r="AN23" i="10" s="1"/>
  <c r="AO23" i="10" s="1"/>
  <c r="AP23" i="10" s="1"/>
  <c r="AQ23" i="10" s="1"/>
  <c r="AM24" i="10"/>
  <c r="AM21" i="10"/>
  <c r="U76" i="10"/>
  <c r="AC77" i="10"/>
  <c r="AH25" i="10"/>
  <c r="AI25" i="10" s="1"/>
  <c r="AJ25" i="10" s="1"/>
  <c r="AK25" i="10" s="1"/>
  <c r="AB27" i="10"/>
  <c r="X27" i="10"/>
  <c r="W27" i="10"/>
  <c r="U27" i="10"/>
  <c r="T25" i="95"/>
  <c r="U25" i="95" s="1"/>
  <c r="V25" i="95" s="1"/>
  <c r="W25" i="95" s="1"/>
  <c r="X25" i="95" s="1"/>
  <c r="T24" i="95"/>
  <c r="U24" i="95" s="1"/>
  <c r="S26" i="95"/>
  <c r="BO45" i="7"/>
  <c r="BO46" i="7"/>
  <c r="BO47" i="7"/>
  <c r="BO48" i="7"/>
  <c r="BP43" i="7"/>
  <c r="BS43" i="7"/>
  <c r="BO44" i="7"/>
  <c r="BO49" i="7"/>
  <c r="BN49" i="7"/>
  <c r="BN43" i="7"/>
  <c r="BS62" i="7"/>
  <c r="BR62" i="7" s="1"/>
  <c r="BR20" i="7"/>
  <c r="CC51" i="113" s="1"/>
  <c r="BQ29" i="7"/>
  <c r="BQ36" i="7"/>
  <c r="BR37" i="7"/>
  <c r="CC120" i="113" s="1"/>
  <c r="D24" i="99"/>
  <c r="B24" i="99"/>
  <c r="D16" i="99"/>
  <c r="B16" i="99"/>
  <c r="AX48" i="19"/>
  <c r="AU15" i="19"/>
  <c r="AV49" i="19"/>
  <c r="AW49" i="19"/>
  <c r="AW20" i="19"/>
  <c r="AV20" i="19"/>
  <c r="AV50" i="19" s="1"/>
  <c r="BA21" i="19"/>
  <c r="AW16" i="19"/>
  <c r="AW50" i="19" s="1"/>
  <c r="AV16" i="19"/>
  <c r="AU16" i="19"/>
  <c r="BA13" i="19"/>
  <c r="M24" i="98"/>
  <c r="N24" i="98"/>
  <c r="O24" i="98"/>
  <c r="Q24" i="98"/>
  <c r="N13" i="98"/>
  <c r="O13" i="98" s="1"/>
  <c r="P13" i="98" s="1"/>
  <c r="Q13" i="98" s="1"/>
  <c r="O9" i="98"/>
  <c r="P9" i="98" s="1"/>
  <c r="Q9" i="98" s="1"/>
  <c r="J33" i="98"/>
  <c r="S33" i="98" s="1"/>
  <c r="S18" i="98" s="1"/>
  <c r="T18" i="98" s="1"/>
  <c r="U18" i="98" s="1"/>
  <c r="V18" i="98" s="1"/>
  <c r="W18" i="98" s="1"/>
  <c r="X18" i="98" s="1"/>
  <c r="J28" i="98"/>
  <c r="J22" i="98"/>
  <c r="J18" i="98"/>
  <c r="J11" i="98"/>
  <c r="J26" i="98" s="1"/>
  <c r="J31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K28" i="98"/>
  <c r="L28" i="98" s="1"/>
  <c r="F28" i="98"/>
  <c r="K24" i="98"/>
  <c r="F24" i="98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M38" i="98"/>
  <c r="L38" i="98"/>
  <c r="F38" i="98"/>
  <c r="C38" i="98"/>
  <c r="T13" i="98"/>
  <c r="U13" i="98" s="1"/>
  <c r="V13" i="98" s="1"/>
  <c r="W13" i="98" s="1"/>
  <c r="X13" i="98" s="1"/>
  <c r="I48" i="95"/>
  <c r="J39" i="95"/>
  <c r="J41" i="95" s="1"/>
  <c r="I43" i="95"/>
  <c r="J43" i="95" s="1"/>
  <c r="I18" i="95"/>
  <c r="J18" i="95" s="1"/>
  <c r="S27" i="95" s="1"/>
  <c r="S43" i="95" s="1"/>
  <c r="AH162" i="115" l="1"/>
  <c r="AN162" i="115" s="1"/>
  <c r="F9" i="101"/>
  <c r="CI51" i="113"/>
  <c r="C51" i="113"/>
  <c r="CB51" i="113"/>
  <c r="CH51" i="113" s="1"/>
  <c r="AX23" i="116"/>
  <c r="AY17" i="116"/>
  <c r="AX17" i="116" s="1"/>
  <c r="AD17" i="116"/>
  <c r="AM76" i="115"/>
  <c r="AF76" i="115"/>
  <c r="AL76" i="115" s="1"/>
  <c r="AP76" i="115"/>
  <c r="DO23" i="116"/>
  <c r="DX23" i="116" s="1"/>
  <c r="DX17" i="116"/>
  <c r="AO17" i="116"/>
  <c r="AM91" i="115"/>
  <c r="AF91" i="115"/>
  <c r="AL91" i="115" s="1"/>
  <c r="AP91" i="115"/>
  <c r="D18" i="105"/>
  <c r="D25" i="105"/>
  <c r="D24" i="105" s="1"/>
  <c r="R162" i="115"/>
  <c r="AP46" i="116" s="1"/>
  <c r="Q109" i="115"/>
  <c r="Q162" i="115" s="1"/>
  <c r="L46" i="116"/>
  <c r="BN19" i="115"/>
  <c r="AO19" i="115"/>
  <c r="AL19" i="115"/>
  <c r="AQ162" i="115"/>
  <c r="CP46" i="116" s="1"/>
  <c r="BO109" i="115"/>
  <c r="BO162" i="115" s="1"/>
  <c r="EO46" i="116" s="1"/>
  <c r="K13" i="98"/>
  <c r="L13" i="98" s="1"/>
  <c r="P24" i="98"/>
  <c r="CI120" i="113"/>
  <c r="CB120" i="113"/>
  <c r="CH120" i="113" s="1"/>
  <c r="C120" i="113"/>
  <c r="BO43" i="7"/>
  <c r="U94" i="10"/>
  <c r="U90" i="10"/>
  <c r="U86" i="10"/>
  <c r="U92" i="10"/>
  <c r="U88" i="10"/>
  <c r="U84" i="10"/>
  <c r="U85" i="10" s="1"/>
  <c r="CB65" i="113"/>
  <c r="CH65" i="113" s="1"/>
  <c r="CC64" i="113"/>
  <c r="CI65" i="113"/>
  <c r="C65" i="113"/>
  <c r="P63" i="32"/>
  <c r="AC17" i="116"/>
  <c r="DP17" i="116"/>
  <c r="BR46" i="116"/>
  <c r="P11" i="102"/>
  <c r="P13" i="102" s="1"/>
  <c r="O13" i="102"/>
  <c r="AG109" i="115"/>
  <c r="BE19" i="115"/>
  <c r="EM17" i="116"/>
  <c r="FN17" i="116" s="1"/>
  <c r="FO17" i="116"/>
  <c r="AE46" i="116"/>
  <c r="B46" i="116"/>
  <c r="BF109" i="115"/>
  <c r="AM72" i="113"/>
  <c r="AG238" i="113"/>
  <c r="AF72" i="113"/>
  <c r="AP72" i="113"/>
  <c r="Q72" i="113"/>
  <c r="Q238" i="113" s="1"/>
  <c r="R238" i="113"/>
  <c r="CI30" i="115"/>
  <c r="C30" i="115"/>
  <c r="CB30" i="115"/>
  <c r="CH30" i="115" s="1"/>
  <c r="CH238" i="113"/>
  <c r="I8" i="100"/>
  <c r="AB51" i="65"/>
  <c r="AB47" i="65"/>
  <c r="CM24" i="17"/>
  <c r="J36" i="98"/>
  <c r="V63" i="32"/>
  <c r="W63" i="32"/>
  <c r="Y63" i="32" s="1"/>
  <c r="J16" i="98"/>
  <c r="J21" i="98" s="1"/>
  <c r="J40" i="98" s="1"/>
  <c r="M13" i="65" s="1"/>
  <c r="BQ46" i="7"/>
  <c r="BQ122" i="7" s="1"/>
  <c r="BR122" i="7"/>
  <c r="BR44" i="7"/>
  <c r="CC61" i="113" s="1"/>
  <c r="AL27" i="10"/>
  <c r="E14" i="105" s="1"/>
  <c r="AM25" i="10"/>
  <c r="AN25" i="10" s="1"/>
  <c r="AO25" i="10" s="1"/>
  <c r="AP25" i="10" s="1"/>
  <c r="AQ25" i="10" s="1"/>
  <c r="AN21" i="10"/>
  <c r="BR36" i="7"/>
  <c r="CC119" i="113" s="1"/>
  <c r="S28" i="95"/>
  <c r="BR45" i="7" s="1"/>
  <c r="V24" i="95"/>
  <c r="U26" i="95"/>
  <c r="T26" i="95"/>
  <c r="J19" i="95"/>
  <c r="W24" i="95"/>
  <c r="V26" i="95"/>
  <c r="S22" i="98"/>
  <c r="J14" i="98"/>
  <c r="J19" i="98" s="1"/>
  <c r="T33" i="98"/>
  <c r="U33" i="98" s="1"/>
  <c r="V33" i="98" s="1"/>
  <c r="W33" i="98" s="1"/>
  <c r="X33" i="98" s="1"/>
  <c r="T43" i="95"/>
  <c r="U43" i="95" s="1"/>
  <c r="V43" i="95" s="1"/>
  <c r="W43" i="95" s="1"/>
  <c r="X43" i="95" s="1"/>
  <c r="J44" i="95"/>
  <c r="BQ17" i="116" l="1"/>
  <c r="BQ45" i="7"/>
  <c r="CC63" i="113"/>
  <c r="CI119" i="113"/>
  <c r="CB119" i="113"/>
  <c r="CH119" i="113" s="1"/>
  <c r="C119" i="113"/>
  <c r="C61" i="113"/>
  <c r="CI61" i="113"/>
  <c r="CB61" i="113"/>
  <c r="CH61" i="113" s="1"/>
  <c r="BF162" i="115"/>
  <c r="BL162" i="115" s="1"/>
  <c r="BL109" i="115"/>
  <c r="O37" i="119"/>
  <c r="AN46" i="116"/>
  <c r="CD46" i="116"/>
  <c r="FN23" i="116"/>
  <c r="FW23" i="116" s="1"/>
  <c r="FW17" i="116"/>
  <c r="AP109" i="115"/>
  <c r="AM109" i="115"/>
  <c r="AF109" i="115"/>
  <c r="AG162" i="115"/>
  <c r="AM162" i="115" s="1"/>
  <c r="DP23" i="116"/>
  <c r="DY23" i="116" s="1"/>
  <c r="DY17" i="116"/>
  <c r="AC23" i="116"/>
  <c r="AL23" i="116" s="1"/>
  <c r="AL17" i="116"/>
  <c r="C64" i="113"/>
  <c r="R65" i="113"/>
  <c r="B65" i="113"/>
  <c r="CI64" i="113"/>
  <c r="CC251" i="113"/>
  <c r="CB64" i="113"/>
  <c r="U87" i="10"/>
  <c r="U97" i="10"/>
  <c r="U99" i="10" s="1"/>
  <c r="AG120" i="113"/>
  <c r="R120" i="113"/>
  <c r="Q120" i="113" s="1"/>
  <c r="B120" i="113"/>
  <c r="CY46" i="116"/>
  <c r="DH46" i="116" s="1"/>
  <c r="BM19" i="115"/>
  <c r="BN91" i="115"/>
  <c r="AO91" i="115"/>
  <c r="BZ17" i="116"/>
  <c r="BQ23" i="116"/>
  <c r="BZ23" i="116" s="1"/>
  <c r="BE76" i="115"/>
  <c r="BN76" i="115"/>
  <c r="BM76" i="115" s="1"/>
  <c r="AO76" i="115"/>
  <c r="R51" i="113"/>
  <c r="Q51" i="113" s="1"/>
  <c r="B51" i="113"/>
  <c r="J48" i="95"/>
  <c r="J46" i="95"/>
  <c r="FO23" i="116"/>
  <c r="FX23" i="116" s="1"/>
  <c r="FX17" i="116"/>
  <c r="BD19" i="115"/>
  <c r="BK19" i="115"/>
  <c r="CA46" i="116"/>
  <c r="R37" i="119"/>
  <c r="EX46" i="116"/>
  <c r="FG46" i="116" s="1"/>
  <c r="U46" i="116"/>
  <c r="K46" i="116"/>
  <c r="AO46" i="116"/>
  <c r="AY46" i="116"/>
  <c r="BE91" i="115"/>
  <c r="BP17" i="116"/>
  <c r="AD23" i="116"/>
  <c r="AM23" i="116" s="1"/>
  <c r="AM17" i="116"/>
  <c r="CC17" i="116"/>
  <c r="C208" i="115"/>
  <c r="B30" i="115"/>
  <c r="B208" i="115" s="1"/>
  <c r="C25" i="115"/>
  <c r="R30" i="115"/>
  <c r="AG30" i="115" s="1"/>
  <c r="AL72" i="113"/>
  <c r="AF238" i="113"/>
  <c r="BE72" i="113"/>
  <c r="AP238" i="113"/>
  <c r="AO72" i="113"/>
  <c r="AO238" i="113" s="1"/>
  <c r="BN72" i="113"/>
  <c r="AM238" i="113"/>
  <c r="I10" i="100"/>
  <c r="J8" i="100"/>
  <c r="AC46" i="65"/>
  <c r="AB52" i="65"/>
  <c r="AB53" i="65" s="1"/>
  <c r="AB48" i="65"/>
  <c r="E19" i="105"/>
  <c r="F6" i="105"/>
  <c r="AO21" i="10"/>
  <c r="AN27" i="10"/>
  <c r="BQ44" i="7"/>
  <c r="AM27" i="10"/>
  <c r="E38" i="105" s="1"/>
  <c r="X24" i="95"/>
  <c r="X26" i="95" s="1"/>
  <c r="W26" i="95"/>
  <c r="T22" i="98"/>
  <c r="FP46" i="116" l="1"/>
  <c r="AG51" i="113"/>
  <c r="BP23" i="116"/>
  <c r="BY23" i="116" s="1"/>
  <c r="BY17" i="116"/>
  <c r="T46" i="116"/>
  <c r="AC46" i="116" s="1"/>
  <c r="AD46" i="116"/>
  <c r="FY46" i="116"/>
  <c r="AD37" i="119"/>
  <c r="BJ19" i="115"/>
  <c r="BK76" i="115"/>
  <c r="BD76" i="115"/>
  <c r="BJ76" i="115" s="1"/>
  <c r="AM120" i="113"/>
  <c r="AF120" i="113"/>
  <c r="AL120" i="113" s="1"/>
  <c r="AP120" i="113"/>
  <c r="U89" i="10"/>
  <c r="CH64" i="113"/>
  <c r="CB251" i="113"/>
  <c r="Q65" i="113"/>
  <c r="R64" i="113"/>
  <c r="AG65" i="113"/>
  <c r="AP162" i="115"/>
  <c r="CO46" i="116" s="1"/>
  <c r="BN109" i="115"/>
  <c r="AO109" i="115"/>
  <c r="AO162" i="115" s="1"/>
  <c r="CI63" i="113"/>
  <c r="CB63" i="113"/>
  <c r="CH63" i="113" s="1"/>
  <c r="C63" i="113"/>
  <c r="CC23" i="116"/>
  <c r="CL23" i="116" s="1"/>
  <c r="CL17" i="116"/>
  <c r="EB17" i="116"/>
  <c r="BK91" i="115"/>
  <c r="BD91" i="115"/>
  <c r="BJ91" i="115" s="1"/>
  <c r="BH46" i="116"/>
  <c r="AX46" i="116"/>
  <c r="AM51" i="113"/>
  <c r="AF51" i="113"/>
  <c r="AL51" i="113" s="1"/>
  <c r="AP51" i="113"/>
  <c r="BM91" i="115"/>
  <c r="DQ46" i="116"/>
  <c r="E29" i="105"/>
  <c r="BR55" i="7" s="1"/>
  <c r="CC143" i="113" s="1"/>
  <c r="CC204" i="113" s="1"/>
  <c r="CI204" i="113" s="1"/>
  <c r="BQ55" i="7"/>
  <c r="W97" i="10"/>
  <c r="W99" i="10" s="1"/>
  <c r="F29" i="105" s="1"/>
  <c r="CI251" i="113"/>
  <c r="C251" i="113"/>
  <c r="B64" i="113"/>
  <c r="B251" i="113" s="1"/>
  <c r="CB17" i="116"/>
  <c r="AL109" i="115"/>
  <c r="AF162" i="115"/>
  <c r="AL162" i="115" s="1"/>
  <c r="BE109" i="115"/>
  <c r="U37" i="119"/>
  <c r="CM46" i="116"/>
  <c r="R61" i="113"/>
  <c r="Q61" i="113" s="1"/>
  <c r="B61" i="113"/>
  <c r="R119" i="113"/>
  <c r="B119" i="113"/>
  <c r="AM30" i="115"/>
  <c r="AF30" i="115"/>
  <c r="AL30" i="115" s="1"/>
  <c r="AP30" i="115"/>
  <c r="BE30" i="115" s="1"/>
  <c r="BE238" i="113"/>
  <c r="BD72" i="113"/>
  <c r="BK72" i="113"/>
  <c r="B25" i="115"/>
  <c r="BM72" i="113"/>
  <c r="BM238" i="113" s="1"/>
  <c r="BN238" i="113"/>
  <c r="AL238" i="113"/>
  <c r="R208" i="115"/>
  <c r="R25" i="115"/>
  <c r="AG25" i="115" s="1"/>
  <c r="Q30" i="115"/>
  <c r="Q208" i="115" s="1"/>
  <c r="K8" i="100"/>
  <c r="J10" i="100"/>
  <c r="AC51" i="65"/>
  <c r="AC47" i="65"/>
  <c r="E25" i="105"/>
  <c r="F14" i="105"/>
  <c r="AP21" i="10"/>
  <c r="AO27" i="10"/>
  <c r="Y22" i="61" s="1"/>
  <c r="U22" i="98"/>
  <c r="AG61" i="113" l="1"/>
  <c r="AM61" i="113"/>
  <c r="AF61" i="113"/>
  <c r="AL61" i="113" s="1"/>
  <c r="AP61" i="113"/>
  <c r="BE162" i="115"/>
  <c r="BK162" i="115" s="1"/>
  <c r="BK109" i="115"/>
  <c r="BD109" i="115"/>
  <c r="DZ46" i="116"/>
  <c r="X37" i="119"/>
  <c r="BE51" i="113"/>
  <c r="AO51" i="113"/>
  <c r="BN51" i="113"/>
  <c r="BM51" i="113" s="1"/>
  <c r="BG46" i="116"/>
  <c r="BP46" i="116" s="1"/>
  <c r="BQ46" i="116"/>
  <c r="CN46" i="116"/>
  <c r="CX46" i="116"/>
  <c r="Q64" i="113"/>
  <c r="Q251" i="113" s="1"/>
  <c r="R251" i="113"/>
  <c r="CH251" i="113"/>
  <c r="U91" i="10"/>
  <c r="BN120" i="113"/>
  <c r="BM120" i="113" s="1"/>
  <c r="AO120" i="113"/>
  <c r="BE120" i="113"/>
  <c r="N37" i="119"/>
  <c r="AM46" i="116"/>
  <c r="CC46" i="116"/>
  <c r="M37" i="119"/>
  <c r="AL46" i="116"/>
  <c r="AG119" i="113"/>
  <c r="Q119" i="113"/>
  <c r="EC46" i="116"/>
  <c r="CB23" i="116"/>
  <c r="CK23" i="116" s="1"/>
  <c r="EA17" i="116"/>
  <c r="CK17" i="116"/>
  <c r="AG64" i="113"/>
  <c r="CI143" i="113"/>
  <c r="CB143" i="113"/>
  <c r="C143" i="113"/>
  <c r="C204" i="113" s="1"/>
  <c r="C59" i="114" s="1"/>
  <c r="GA17" i="116"/>
  <c r="EK17" i="116"/>
  <c r="EB23" i="116"/>
  <c r="EK23" i="116" s="1"/>
  <c r="B63" i="113"/>
  <c r="R63" i="113"/>
  <c r="Q63" i="113" s="1"/>
  <c r="AG63" i="113"/>
  <c r="BN162" i="115"/>
  <c r="EN46" i="116" s="1"/>
  <c r="BM109" i="115"/>
  <c r="BM162" i="115" s="1"/>
  <c r="AM65" i="113"/>
  <c r="AF65" i="113"/>
  <c r="AL65" i="113" s="1"/>
  <c r="AP65" i="113"/>
  <c r="X97" i="10"/>
  <c r="X99" i="10" s="1"/>
  <c r="G29" i="105" s="1"/>
  <c r="AF208" i="115"/>
  <c r="AF25" i="115"/>
  <c r="AM25" i="115"/>
  <c r="BK238" i="113"/>
  <c r="BD30" i="115"/>
  <c r="BJ30" i="115" s="1"/>
  <c r="BK30" i="115"/>
  <c r="AG208" i="115"/>
  <c r="AM208" i="115" s="1"/>
  <c r="Q25" i="115"/>
  <c r="BJ72" i="113"/>
  <c r="BD238" i="113"/>
  <c r="AP208" i="115"/>
  <c r="BN30" i="115"/>
  <c r="AP25" i="115"/>
  <c r="AO30" i="115"/>
  <c r="AO208" i="115" s="1"/>
  <c r="L8" i="100"/>
  <c r="K10" i="100"/>
  <c r="AC52" i="65"/>
  <c r="AC53" i="65" s="1"/>
  <c r="AC48" i="65"/>
  <c r="AD46" i="65"/>
  <c r="F19" i="105"/>
  <c r="G6" i="105"/>
  <c r="E32" i="105"/>
  <c r="AQ21" i="10"/>
  <c r="AQ27" i="10" s="1"/>
  <c r="AA22" i="61" s="1"/>
  <c r="AB22" i="61" s="1"/>
  <c r="AC22" i="61" s="1"/>
  <c r="AP27" i="10"/>
  <c r="Z22" i="61" s="1"/>
  <c r="V22" i="98"/>
  <c r="L59" i="114" l="1"/>
  <c r="B59" i="114"/>
  <c r="CH143" i="113"/>
  <c r="CB204" i="113"/>
  <c r="CH204" i="113" s="1"/>
  <c r="AP64" i="113"/>
  <c r="AO65" i="113"/>
  <c r="BN65" i="113"/>
  <c r="AM63" i="113"/>
  <c r="AF63" i="113"/>
  <c r="AL63" i="113" s="1"/>
  <c r="AP63" i="113"/>
  <c r="BE63" i="113" s="1"/>
  <c r="AM64" i="113"/>
  <c r="AG251" i="113"/>
  <c r="AF64" i="113"/>
  <c r="BE64" i="113"/>
  <c r="EJ17" i="116"/>
  <c r="FZ17" i="116"/>
  <c r="EA23" i="116"/>
  <c r="EJ23" i="116" s="1"/>
  <c r="AA37" i="119"/>
  <c r="EL46" i="116"/>
  <c r="GB46" i="116"/>
  <c r="AM119" i="113"/>
  <c r="AF119" i="113"/>
  <c r="AL119" i="113" s="1"/>
  <c r="AP119" i="113"/>
  <c r="BE119" i="113" s="1"/>
  <c r="T37" i="119"/>
  <c r="CL46" i="116"/>
  <c r="U93" i="10"/>
  <c r="P37" i="119"/>
  <c r="BY46" i="116"/>
  <c r="AO61" i="113"/>
  <c r="BN61" i="113"/>
  <c r="BM61" i="113" s="1"/>
  <c r="BE65" i="113"/>
  <c r="EW46" i="116"/>
  <c r="EM46" i="116"/>
  <c r="GA23" i="116"/>
  <c r="GJ23" i="116" s="1"/>
  <c r="GJ17" i="116"/>
  <c r="R143" i="113"/>
  <c r="R204" i="113" s="1"/>
  <c r="AP59" i="114" s="1"/>
  <c r="B143" i="113"/>
  <c r="B204" i="113" s="1"/>
  <c r="CB46" i="116"/>
  <c r="BK120" i="113"/>
  <c r="BD120" i="113"/>
  <c r="BJ120" i="113" s="1"/>
  <c r="AA97" i="10"/>
  <c r="AA99" i="10" s="1"/>
  <c r="H29" i="105" s="1"/>
  <c r="CW46" i="116"/>
  <c r="DG46" i="116"/>
  <c r="Q37" i="119"/>
  <c r="BZ46" i="116"/>
  <c r="BD51" i="113"/>
  <c r="BJ51" i="113" s="1"/>
  <c r="BK51" i="113"/>
  <c r="BJ109" i="115"/>
  <c r="BD162" i="115"/>
  <c r="BJ162" i="115" s="1"/>
  <c r="BE61" i="113"/>
  <c r="BN208" i="115"/>
  <c r="BM30" i="115"/>
  <c r="BM208" i="115" s="1"/>
  <c r="BN25" i="115"/>
  <c r="AO25" i="115"/>
  <c r="BE208" i="115"/>
  <c r="BK208" i="115" s="1"/>
  <c r="BJ238" i="113"/>
  <c r="AL25" i="115"/>
  <c r="BD208" i="115"/>
  <c r="AL208" i="115"/>
  <c r="BE25" i="115"/>
  <c r="M8" i="100"/>
  <c r="M10" i="100" s="1"/>
  <c r="L10" i="100"/>
  <c r="AD51" i="65"/>
  <c r="AD47" i="65"/>
  <c r="G14" i="105"/>
  <c r="G19" i="105" s="1"/>
  <c r="F25" i="105"/>
  <c r="W22" i="98"/>
  <c r="AO59" i="114" l="1"/>
  <c r="AY59" i="114"/>
  <c r="U59" i="114"/>
  <c r="K59" i="114"/>
  <c r="BD61" i="113"/>
  <c r="BJ61" i="113" s="1"/>
  <c r="BK61" i="113"/>
  <c r="FF46" i="116"/>
  <c r="EV46" i="116"/>
  <c r="U95" i="10"/>
  <c r="AC97" i="10" s="1"/>
  <c r="AC99" i="10" s="1"/>
  <c r="J29" i="105" s="1"/>
  <c r="BK119" i="113"/>
  <c r="BD119" i="113"/>
  <c r="BJ119" i="113" s="1"/>
  <c r="AF251" i="113"/>
  <c r="AL64" i="113"/>
  <c r="BD63" i="113"/>
  <c r="BJ63" i="113" s="1"/>
  <c r="BK63" i="113"/>
  <c r="DF46" i="116"/>
  <c r="DO46" i="116" s="1"/>
  <c r="EA46" i="116" s="1"/>
  <c r="DP46" i="116"/>
  <c r="S37" i="119"/>
  <c r="CK46" i="116"/>
  <c r="AG143" i="113"/>
  <c r="AG204" i="113" s="1"/>
  <c r="AM204" i="113" s="1"/>
  <c r="Q143" i="113"/>
  <c r="Q204" i="113" s="1"/>
  <c r="BD65" i="113"/>
  <c r="BJ65" i="113" s="1"/>
  <c r="BK65" i="113"/>
  <c r="AB97" i="10"/>
  <c r="AB99" i="10" s="1"/>
  <c r="I29" i="105" s="1"/>
  <c r="AO119" i="113"/>
  <c r="BN119" i="113"/>
  <c r="BM119" i="113" s="1"/>
  <c r="GK46" i="116"/>
  <c r="AG37" i="119"/>
  <c r="FZ23" i="116"/>
  <c r="GI23" i="116" s="1"/>
  <c r="GI17" i="116"/>
  <c r="BE251" i="113"/>
  <c r="BD64" i="113"/>
  <c r="BK64" i="113"/>
  <c r="AM251" i="113"/>
  <c r="BN63" i="113"/>
  <c r="BM63" i="113" s="1"/>
  <c r="AO63" i="113"/>
  <c r="BN64" i="113"/>
  <c r="BM65" i="113"/>
  <c r="AP251" i="113"/>
  <c r="AO64" i="113"/>
  <c r="AO251" i="113" s="1"/>
  <c r="BD25" i="115"/>
  <c r="BK25" i="115"/>
  <c r="CB208" i="115"/>
  <c r="CH208" i="115" s="1"/>
  <c r="BJ208" i="115"/>
  <c r="BM25" i="115"/>
  <c r="CC208" i="115"/>
  <c r="CI208" i="115" s="1"/>
  <c r="AD52" i="65"/>
  <c r="AD53" i="65" s="1"/>
  <c r="AE46" i="65"/>
  <c r="AD48" i="65"/>
  <c r="G25" i="105"/>
  <c r="F32" i="105"/>
  <c r="H6" i="105"/>
  <c r="T38" i="95"/>
  <c r="U38" i="95" s="1"/>
  <c r="V38" i="95" s="1"/>
  <c r="W38" i="95" s="1"/>
  <c r="X38" i="95" s="1"/>
  <c r="T18" i="95"/>
  <c r="T13" i="95"/>
  <c r="U13" i="95" s="1"/>
  <c r="V13" i="95" s="1"/>
  <c r="W13" i="95" s="1"/>
  <c r="X13" i="95" s="1"/>
  <c r="G43" i="96"/>
  <c r="G53" i="96"/>
  <c r="G58" i="96"/>
  <c r="AX52" i="3"/>
  <c r="AX48" i="3" s="1"/>
  <c r="B40" i="96"/>
  <c r="C7" i="96"/>
  <c r="B62" i="96"/>
  <c r="B44" i="96"/>
  <c r="B30" i="96"/>
  <c r="AX59" i="114" l="1"/>
  <c r="BH59" i="114"/>
  <c r="T59" i="114"/>
  <c r="AC59" i="114" s="1"/>
  <c r="AD59" i="114"/>
  <c r="BK251" i="113"/>
  <c r="Y37" i="119"/>
  <c r="EJ46" i="116"/>
  <c r="DX46" i="116"/>
  <c r="V37" i="119"/>
  <c r="BM64" i="113"/>
  <c r="BM251" i="113" s="1"/>
  <c r="BN251" i="113"/>
  <c r="BJ64" i="113"/>
  <c r="BD251" i="113"/>
  <c r="AM143" i="113"/>
  <c r="AF143" i="113"/>
  <c r="AP143" i="113"/>
  <c r="DY46" i="116"/>
  <c r="W37" i="119"/>
  <c r="EB46" i="116"/>
  <c r="AL251" i="113"/>
  <c r="FE46" i="116"/>
  <c r="FN46" i="116" s="1"/>
  <c r="FZ46" i="116" s="1"/>
  <c r="FO46" i="116"/>
  <c r="BJ25" i="115"/>
  <c r="AE51" i="65"/>
  <c r="AE47" i="65"/>
  <c r="G32" i="105"/>
  <c r="H14" i="105"/>
  <c r="H19" i="105"/>
  <c r="U18" i="95"/>
  <c r="T27" i="95"/>
  <c r="T28" i="95" s="1"/>
  <c r="B15" i="96"/>
  <c r="B25" i="96"/>
  <c r="B35" i="96"/>
  <c r="B10" i="96"/>
  <c r="B20" i="96"/>
  <c r="AL59" i="114" l="1"/>
  <c r="AM59" i="114"/>
  <c r="BE143" i="113"/>
  <c r="BE204" i="113" s="1"/>
  <c r="BK204" i="113" s="1"/>
  <c r="AP204" i="113"/>
  <c r="CO59" i="114" s="1"/>
  <c r="BG59" i="114"/>
  <c r="BP59" i="114" s="1"/>
  <c r="BY59" i="114" s="1"/>
  <c r="BQ59" i="114"/>
  <c r="BZ59" i="114" s="1"/>
  <c r="AL143" i="113"/>
  <c r="AF204" i="113"/>
  <c r="AL204" i="113" s="1"/>
  <c r="FX46" i="116"/>
  <c r="AC37" i="119"/>
  <c r="Z37" i="119"/>
  <c r="GA46" i="116"/>
  <c r="EK46" i="116"/>
  <c r="BK143" i="113"/>
  <c r="BD143" i="113"/>
  <c r="GI46" i="116"/>
  <c r="AE37" i="119"/>
  <c r="FW46" i="116"/>
  <c r="AB37" i="119"/>
  <c r="BN143" i="113"/>
  <c r="AO143" i="113"/>
  <c r="AO204" i="113" s="1"/>
  <c r="BJ251" i="113"/>
  <c r="AE48" i="65"/>
  <c r="AE52" i="65"/>
  <c r="AE53" i="65" s="1"/>
  <c r="H25" i="105"/>
  <c r="I6" i="105"/>
  <c r="V18" i="95"/>
  <c r="U27" i="95"/>
  <c r="U28" i="95" s="1"/>
  <c r="AX21" i="19"/>
  <c r="AY12" i="19"/>
  <c r="AZ12" i="19"/>
  <c r="AU48" i="19"/>
  <c r="AZ50" i="19"/>
  <c r="AX49" i="19"/>
  <c r="AX47" i="19"/>
  <c r="AX46" i="19"/>
  <c r="AX45" i="19"/>
  <c r="AX44" i="19"/>
  <c r="AX43" i="19"/>
  <c r="AX42" i="19"/>
  <c r="AX41" i="19"/>
  <c r="AX40" i="19"/>
  <c r="AX38" i="19"/>
  <c r="AX37" i="19"/>
  <c r="AX36" i="19"/>
  <c r="AX35" i="19"/>
  <c r="AX34" i="19"/>
  <c r="AX33" i="19"/>
  <c r="AX32" i="19"/>
  <c r="AX31" i="19"/>
  <c r="AX30" i="19"/>
  <c r="BA30" i="19" s="1"/>
  <c r="AX29" i="19"/>
  <c r="AX28" i="19"/>
  <c r="AX27" i="19"/>
  <c r="AX26" i="19"/>
  <c r="AX25" i="19"/>
  <c r="AX24" i="19"/>
  <c r="AX23" i="19"/>
  <c r="AX22" i="19"/>
  <c r="AX20" i="19"/>
  <c r="AX19" i="19"/>
  <c r="AX18" i="19"/>
  <c r="AX17" i="19"/>
  <c r="AX16" i="19"/>
  <c r="BA16" i="19" s="1"/>
  <c r="AX11" i="19"/>
  <c r="AX10" i="19"/>
  <c r="AX14" i="19" s="1"/>
  <c r="AY14" i="19" s="1"/>
  <c r="AX9" i="19"/>
  <c r="AX8" i="19"/>
  <c r="AV12" i="19"/>
  <c r="AW12" i="19"/>
  <c r="AU49" i="19"/>
  <c r="BA49" i="19" s="1"/>
  <c r="AU47" i="19"/>
  <c r="AU46" i="19"/>
  <c r="AU45" i="19"/>
  <c r="AU44" i="19"/>
  <c r="AU43" i="19"/>
  <c r="AU42" i="19"/>
  <c r="BA42" i="19" s="1"/>
  <c r="AU41" i="19"/>
  <c r="BA41" i="19" s="1"/>
  <c r="AU40" i="19"/>
  <c r="AU39" i="19"/>
  <c r="BA39" i="19" s="1"/>
  <c r="AU38" i="19"/>
  <c r="AU37" i="19"/>
  <c r="BA37" i="19" s="1"/>
  <c r="AU36" i="19"/>
  <c r="BA36" i="19" s="1"/>
  <c r="AU35" i="19"/>
  <c r="AU34" i="19"/>
  <c r="AU33" i="19"/>
  <c r="AU32" i="19"/>
  <c r="AU31" i="19"/>
  <c r="BA31" i="19" s="1"/>
  <c r="AU30" i="19"/>
  <c r="AU29" i="19"/>
  <c r="AU28" i="19"/>
  <c r="AU27" i="19"/>
  <c r="AU26" i="19"/>
  <c r="BA26" i="19" s="1"/>
  <c r="AU25" i="19"/>
  <c r="AU24" i="19"/>
  <c r="AU23" i="19"/>
  <c r="AU22" i="19"/>
  <c r="AU21" i="19"/>
  <c r="AU20" i="19"/>
  <c r="AU19" i="19"/>
  <c r="AU18" i="19"/>
  <c r="BA18" i="19" s="1"/>
  <c r="AU17" i="19"/>
  <c r="BA17" i="19" s="1"/>
  <c r="AU11" i="19"/>
  <c r="AU10" i="19"/>
  <c r="AU14" i="19" s="1"/>
  <c r="BA14" i="19" s="1"/>
  <c r="AU9" i="19"/>
  <c r="AU8" i="19"/>
  <c r="AU50" i="19" s="1"/>
  <c r="CC59" i="114" l="1"/>
  <c r="BM143" i="113"/>
  <c r="BM204" i="113" s="1"/>
  <c r="BN204" i="113"/>
  <c r="EN59" i="114" s="1"/>
  <c r="CN59" i="114"/>
  <c r="CX59" i="114"/>
  <c r="CB59" i="114"/>
  <c r="BJ143" i="113"/>
  <c r="BD204" i="113"/>
  <c r="BJ204" i="113" s="1"/>
  <c r="K606" i="109"/>
  <c r="BA24" i="19"/>
  <c r="GJ46" i="116"/>
  <c r="AF37" i="119"/>
  <c r="I14" i="105"/>
  <c r="I19" i="105" s="1"/>
  <c r="H32" i="105"/>
  <c r="W18" i="95"/>
  <c r="V27" i="95"/>
  <c r="V28" i="95" s="1"/>
  <c r="AV14" i="19"/>
  <c r="AW14" i="19" s="1"/>
  <c r="AW13" i="19" s="1"/>
  <c r="BA10" i="19"/>
  <c r="AY13" i="19"/>
  <c r="AZ14" i="19"/>
  <c r="AZ13" i="19" s="1"/>
  <c r="AX12" i="19"/>
  <c r="AV13" i="19"/>
  <c r="AU12" i="19"/>
  <c r="AS12" i="19"/>
  <c r="AT12" i="19"/>
  <c r="AS50" i="19"/>
  <c r="AT50" i="19"/>
  <c r="AR9" i="19"/>
  <c r="AR10" i="19"/>
  <c r="AR14" i="19" s="1"/>
  <c r="AS14" i="19" s="1"/>
  <c r="AR11" i="19"/>
  <c r="AR16" i="19"/>
  <c r="AR17" i="19"/>
  <c r="AR18" i="19"/>
  <c r="AR19" i="19"/>
  <c r="BA19" i="19" s="1"/>
  <c r="AR20" i="19"/>
  <c r="AR21" i="19"/>
  <c r="AR22" i="19"/>
  <c r="AR23" i="19"/>
  <c r="BA23" i="19" s="1"/>
  <c r="AR24" i="19"/>
  <c r="AR25" i="19"/>
  <c r="AR26" i="19"/>
  <c r="AR27" i="19"/>
  <c r="BA27" i="19" s="1"/>
  <c r="AR28" i="19"/>
  <c r="AR29" i="19"/>
  <c r="AR30" i="19"/>
  <c r="AR31" i="19"/>
  <c r="AR32" i="19"/>
  <c r="AR33" i="19"/>
  <c r="BA33" i="19" s="1"/>
  <c r="AR34" i="19"/>
  <c r="BA34" i="19" s="1"/>
  <c r="AR35" i="19"/>
  <c r="AR36" i="19"/>
  <c r="AR37" i="19"/>
  <c r="AR38" i="19"/>
  <c r="AR39" i="19"/>
  <c r="AY39" i="19" s="1"/>
  <c r="AR40" i="19"/>
  <c r="AR41" i="19"/>
  <c r="AR42" i="19"/>
  <c r="AR43" i="19"/>
  <c r="AR44" i="19"/>
  <c r="AR45" i="19"/>
  <c r="AR46" i="19"/>
  <c r="AR47" i="19"/>
  <c r="AR48" i="19"/>
  <c r="AR49" i="19"/>
  <c r="AR8" i="19"/>
  <c r="AL42" i="6"/>
  <c r="AL40" i="6"/>
  <c r="AL39" i="6"/>
  <c r="AL37" i="6"/>
  <c r="AL36" i="6"/>
  <c r="AL35" i="6"/>
  <c r="AL34" i="6"/>
  <c r="AL33" i="6"/>
  <c r="AL30" i="6"/>
  <c r="AL27" i="6"/>
  <c r="AL24" i="6"/>
  <c r="AL22" i="6"/>
  <c r="AL21" i="6"/>
  <c r="AL20" i="6"/>
  <c r="AL18" i="6" s="1"/>
  <c r="AL16" i="6"/>
  <c r="AI18" i="6"/>
  <c r="AJ18" i="6"/>
  <c r="AK18" i="6"/>
  <c r="AJ25" i="6"/>
  <c r="AJ45" i="6" s="1"/>
  <c r="AJ46" i="6" s="1"/>
  <c r="AK25" i="6"/>
  <c r="AI25" i="6"/>
  <c r="AI45" i="6" s="1"/>
  <c r="AI46" i="6" s="1"/>
  <c r="AI11" i="6"/>
  <c r="AJ11" i="6"/>
  <c r="AK11" i="6"/>
  <c r="AJ13" i="6"/>
  <c r="AK13" i="6"/>
  <c r="AI13" i="6"/>
  <c r="AK39" i="5"/>
  <c r="AT39" i="5" s="1"/>
  <c r="AK38" i="5"/>
  <c r="AT38" i="5" s="1"/>
  <c r="AK37" i="5"/>
  <c r="AK33" i="5"/>
  <c r="AT33" i="5" s="1"/>
  <c r="AK30" i="5"/>
  <c r="AT30" i="5" s="1"/>
  <c r="AK29" i="5"/>
  <c r="AT29" i="5" s="1"/>
  <c r="AK28" i="5"/>
  <c r="AT28" i="5" s="1"/>
  <c r="AK23" i="5"/>
  <c r="AT23" i="5" s="1"/>
  <c r="AK14" i="5"/>
  <c r="AT14" i="5" s="1"/>
  <c r="AK13" i="5"/>
  <c r="AT13" i="5" s="1"/>
  <c r="AJ45" i="5"/>
  <c r="AJ54" i="5" s="1"/>
  <c r="AJ26" i="5"/>
  <c r="AJ12" i="5"/>
  <c r="AH26" i="5"/>
  <c r="AI26" i="5"/>
  <c r="AI45" i="5" s="1"/>
  <c r="AI46" i="5" s="1"/>
  <c r="AH17" i="5"/>
  <c r="AH45" i="5" s="1"/>
  <c r="AI12" i="5"/>
  <c r="AH12" i="5"/>
  <c r="E43" i="97"/>
  <c r="I43" i="97"/>
  <c r="I44" i="97" s="1"/>
  <c r="H43" i="97"/>
  <c r="H44" i="97" s="1"/>
  <c r="G43" i="97"/>
  <c r="G44" i="97" s="1"/>
  <c r="F43" i="97"/>
  <c r="F44" i="97" s="1"/>
  <c r="I37" i="97"/>
  <c r="H37" i="97"/>
  <c r="G37" i="97"/>
  <c r="F37" i="97"/>
  <c r="D43" i="97"/>
  <c r="C43" i="97"/>
  <c r="B43" i="97"/>
  <c r="D37" i="97"/>
  <c r="C37" i="97"/>
  <c r="B37" i="97"/>
  <c r="F30" i="97"/>
  <c r="H30" i="97"/>
  <c r="C23" i="97"/>
  <c r="D23" i="97"/>
  <c r="E23" i="97"/>
  <c r="F23" i="97"/>
  <c r="G23" i="97"/>
  <c r="H23" i="97"/>
  <c r="I23" i="97"/>
  <c r="C29" i="97"/>
  <c r="D29" i="97"/>
  <c r="E29" i="97"/>
  <c r="E30" i="97" s="1"/>
  <c r="F29" i="97"/>
  <c r="G29" i="97"/>
  <c r="G30" i="97" s="1"/>
  <c r="H29" i="97"/>
  <c r="I29" i="97"/>
  <c r="I30" i="97" s="1"/>
  <c r="B29" i="97"/>
  <c r="B23" i="97"/>
  <c r="C14" i="97"/>
  <c r="C10" i="97"/>
  <c r="C12" i="97"/>
  <c r="C13" i="97"/>
  <c r="C9" i="97"/>
  <c r="CK59" i="114" l="1"/>
  <c r="EW59" i="114"/>
  <c r="EM59" i="114"/>
  <c r="DG59" i="114"/>
  <c r="CW59" i="114"/>
  <c r="CL59" i="114"/>
  <c r="AJ51" i="5"/>
  <c r="AJ53" i="5"/>
  <c r="E44" i="97"/>
  <c r="BM37" i="8"/>
  <c r="AJ46" i="5"/>
  <c r="AJ52" i="5"/>
  <c r="AT37" i="5"/>
  <c r="BA25" i="19"/>
  <c r="AY50" i="19"/>
  <c r="AY51" i="19" s="1"/>
  <c r="AX39" i="19"/>
  <c r="AX50" i="19" s="1"/>
  <c r="AR12" i="19"/>
  <c r="I25" i="105"/>
  <c r="J6" i="105"/>
  <c r="X18" i="95"/>
  <c r="X27" i="95" s="1"/>
  <c r="X28" i="95" s="1"/>
  <c r="W27" i="95"/>
  <c r="W28" i="95" s="1"/>
  <c r="BA11" i="19"/>
  <c r="AZ51" i="19"/>
  <c r="AV51" i="19"/>
  <c r="AW51" i="19"/>
  <c r="AT14" i="19"/>
  <c r="AT13" i="19" s="1"/>
  <c r="AS13" i="19"/>
  <c r="AR50" i="19"/>
  <c r="AK45" i="6"/>
  <c r="AI51" i="6"/>
  <c r="AI53" i="6"/>
  <c r="AJ53" i="6"/>
  <c r="AJ51" i="6"/>
  <c r="AI52" i="6"/>
  <c r="AI54" i="6"/>
  <c r="AJ54" i="6"/>
  <c r="AJ52" i="6"/>
  <c r="AH53" i="5"/>
  <c r="AH51" i="5"/>
  <c r="AH54" i="5"/>
  <c r="AH52" i="5"/>
  <c r="AH46" i="5"/>
  <c r="AI53" i="5"/>
  <c r="AI51" i="5"/>
  <c r="AI54" i="5"/>
  <c r="AI52" i="5"/>
  <c r="EV59" i="114" l="1"/>
  <c r="FF59" i="114"/>
  <c r="FE59" i="114" s="1"/>
  <c r="DF59" i="114"/>
  <c r="DO59" i="114" s="1"/>
  <c r="DP59" i="114"/>
  <c r="BA12" i="19"/>
  <c r="AK46" i="6"/>
  <c r="AK51" i="6"/>
  <c r="AK53" i="6"/>
  <c r="AK52" i="6"/>
  <c r="AK54" i="6"/>
  <c r="BN37" i="8"/>
  <c r="BM75" i="8"/>
  <c r="BA50" i="19"/>
  <c r="J14" i="105"/>
  <c r="I32" i="105"/>
  <c r="AX51" i="19"/>
  <c r="AU51" i="19"/>
  <c r="AS51" i="19"/>
  <c r="AR51" i="19" s="1"/>
  <c r="AT51" i="19"/>
  <c r="DX59" i="114" l="1"/>
  <c r="EA59" i="114"/>
  <c r="FN59" i="114"/>
  <c r="FW59" i="114" s="1"/>
  <c r="FO59" i="114"/>
  <c r="FX59" i="114" s="1"/>
  <c r="DY59" i="114"/>
  <c r="EB59" i="114"/>
  <c r="CC93" i="115"/>
  <c r="BN75" i="8"/>
  <c r="J19" i="105"/>
  <c r="G61" i="96"/>
  <c r="G59" i="96"/>
  <c r="G54" i="96"/>
  <c r="D62" i="96"/>
  <c r="E62" i="96"/>
  <c r="F62" i="96"/>
  <c r="C62" i="96"/>
  <c r="G70" i="96"/>
  <c r="G73" i="96"/>
  <c r="G72" i="96"/>
  <c r="G71" i="96"/>
  <c r="G69" i="96"/>
  <c r="G68" i="96"/>
  <c r="D44" i="96"/>
  <c r="E44" i="96"/>
  <c r="F44" i="96"/>
  <c r="C44" i="96"/>
  <c r="H45" i="68"/>
  <c r="F45" i="68"/>
  <c r="D46" i="68"/>
  <c r="D9" i="68"/>
  <c r="N45" i="68"/>
  <c r="F44" i="68"/>
  <c r="H44" i="68" s="1"/>
  <c r="CM30" i="17"/>
  <c r="CL34" i="17"/>
  <c r="CL33" i="17"/>
  <c r="CL32" i="17"/>
  <c r="CL31" i="17"/>
  <c r="CL30" i="17"/>
  <c r="CK30" i="17" s="1"/>
  <c r="CK38" i="17" s="1"/>
  <c r="CJ30" i="17"/>
  <c r="CL28" i="17"/>
  <c r="CL27" i="17"/>
  <c r="CL26" i="17"/>
  <c r="CL25" i="17"/>
  <c r="BZ34" i="17"/>
  <c r="BZ33" i="17"/>
  <c r="BZ32" i="17"/>
  <c r="BZ31" i="17"/>
  <c r="BX30" i="17"/>
  <c r="BZ28" i="17"/>
  <c r="BZ27" i="17"/>
  <c r="BZ26" i="17"/>
  <c r="BZ25" i="17"/>
  <c r="BX24" i="17"/>
  <c r="BW34" i="17"/>
  <c r="BW33" i="17"/>
  <c r="BW32" i="17"/>
  <c r="BW31" i="17"/>
  <c r="BU30" i="17"/>
  <c r="BW28" i="17"/>
  <c r="BW27" i="17"/>
  <c r="BW26" i="17"/>
  <c r="BU24" i="17"/>
  <c r="BQ20" i="7"/>
  <c r="BQ10" i="7"/>
  <c r="AH29" i="10"/>
  <c r="AI29" i="10" s="1"/>
  <c r="AJ29" i="10" s="1"/>
  <c r="AK29" i="10" s="1"/>
  <c r="AH30" i="10"/>
  <c r="AI30" i="10" s="1"/>
  <c r="AJ30" i="10" s="1"/>
  <c r="AK30" i="10" s="1"/>
  <c r="AH31" i="10"/>
  <c r="AI31" i="10" s="1"/>
  <c r="AJ31" i="10" s="1"/>
  <c r="AK31" i="10" s="1"/>
  <c r="AH28" i="10"/>
  <c r="AI28" i="10" s="1"/>
  <c r="AH22" i="10"/>
  <c r="AI22" i="10" s="1"/>
  <c r="AJ22" i="10" s="1"/>
  <c r="AK22" i="10" s="1"/>
  <c r="AH23" i="10"/>
  <c r="AI23" i="10" s="1"/>
  <c r="AJ23" i="10" s="1"/>
  <c r="AK23" i="10" s="1"/>
  <c r="AH24" i="10"/>
  <c r="AI24" i="10" s="1"/>
  <c r="AJ24" i="10" s="1"/>
  <c r="AK24" i="10" s="1"/>
  <c r="AH21" i="10"/>
  <c r="AH27" i="10" s="1"/>
  <c r="AG33" i="10"/>
  <c r="AH33" i="10"/>
  <c r="AL33" i="10"/>
  <c r="E15" i="105" s="1"/>
  <c r="AM33" i="10"/>
  <c r="E39" i="105" s="1"/>
  <c r="AN33" i="10"/>
  <c r="AO33" i="10"/>
  <c r="AO34" i="10" s="1"/>
  <c r="AP33" i="10"/>
  <c r="AQ33" i="10"/>
  <c r="AQ34" i="10" s="1"/>
  <c r="AG34" i="10"/>
  <c r="AL34" i="10"/>
  <c r="AN34" i="10"/>
  <c r="AP34" i="10"/>
  <c r="R48" i="95"/>
  <c r="M48" i="95"/>
  <c r="N48" i="95"/>
  <c r="O48" i="95"/>
  <c r="P48" i="95"/>
  <c r="Q48" i="95"/>
  <c r="N38" i="95"/>
  <c r="O38" i="95"/>
  <c r="P38" i="95"/>
  <c r="Q38" i="95"/>
  <c r="M38" i="95"/>
  <c r="N13" i="95"/>
  <c r="O13" i="95"/>
  <c r="P13" i="95"/>
  <c r="Q13" i="95"/>
  <c r="M13" i="95"/>
  <c r="D48" i="95"/>
  <c r="E48" i="95"/>
  <c r="F48" i="95"/>
  <c r="G48" i="95"/>
  <c r="H48" i="95"/>
  <c r="K48" i="95"/>
  <c r="L48" i="95"/>
  <c r="C48" i="95"/>
  <c r="CH54" i="72"/>
  <c r="CH52" i="72"/>
  <c r="CH50" i="72"/>
  <c r="CH48" i="72"/>
  <c r="CG63" i="72"/>
  <c r="CG62" i="72"/>
  <c r="BQ62" i="7"/>
  <c r="BQ137" i="7" s="1"/>
  <c r="BQ59" i="7"/>
  <c r="BQ124" i="7"/>
  <c r="BQ21" i="7"/>
  <c r="BQ11" i="7"/>
  <c r="BN143" i="7"/>
  <c r="BO143" i="7"/>
  <c r="BP143" i="7"/>
  <c r="BQ143" i="7"/>
  <c r="BR143" i="7"/>
  <c r="BS143" i="7"/>
  <c r="BN140" i="7"/>
  <c r="BO140" i="7"/>
  <c r="BP140" i="7"/>
  <c r="BQ140" i="7"/>
  <c r="BR140" i="7"/>
  <c r="BS140" i="7"/>
  <c r="BP137" i="7"/>
  <c r="BR137" i="7"/>
  <c r="BS137" i="7"/>
  <c r="BO137" i="7"/>
  <c r="BP136" i="7"/>
  <c r="BO136" i="7"/>
  <c r="BS134" i="7"/>
  <c r="BR134" i="7"/>
  <c r="BQ134" i="7"/>
  <c r="BP134" i="7"/>
  <c r="BN134" i="7"/>
  <c r="BS131" i="7"/>
  <c r="BR131" i="7"/>
  <c r="BQ131" i="7"/>
  <c r="BP131" i="7"/>
  <c r="BO131" i="7"/>
  <c r="BP130" i="7"/>
  <c r="BO130" i="7"/>
  <c r="BP128" i="7"/>
  <c r="BO128" i="7"/>
  <c r="BP127" i="7"/>
  <c r="BO127" i="7"/>
  <c r="BP126" i="7"/>
  <c r="BO126" i="7"/>
  <c r="BP125" i="7"/>
  <c r="BO125" i="7"/>
  <c r="BP124" i="7"/>
  <c r="BO124" i="7"/>
  <c r="BP123" i="7"/>
  <c r="BO123" i="7"/>
  <c r="BP121" i="7"/>
  <c r="BO121" i="7"/>
  <c r="BN62" i="7"/>
  <c r="BN137" i="7" s="1"/>
  <c r="BN59" i="7"/>
  <c r="BN131" i="7" s="1"/>
  <c r="BN64" i="7"/>
  <c r="BN136" i="7" s="1"/>
  <c r="BO60" i="7"/>
  <c r="BO134" i="7" s="1"/>
  <c r="BN56" i="7"/>
  <c r="BN130" i="7" s="1"/>
  <c r="BN54" i="7"/>
  <c r="BN52" i="7"/>
  <c r="BN51" i="7"/>
  <c r="BN42" i="7"/>
  <c r="BP41" i="7"/>
  <c r="BP35" i="7" s="1"/>
  <c r="BO41" i="7"/>
  <c r="BO35" i="7" s="1"/>
  <c r="BN40" i="7"/>
  <c r="BN39" i="7"/>
  <c r="BN38" i="7"/>
  <c r="BN37" i="7"/>
  <c r="BN36" i="7"/>
  <c r="BN34" i="7"/>
  <c r="BP33" i="7"/>
  <c r="BP27" i="7" s="1"/>
  <c r="BO33" i="7"/>
  <c r="BO27" i="7" s="1"/>
  <c r="BN32" i="7"/>
  <c r="BN31" i="7"/>
  <c r="BN30" i="7"/>
  <c r="BN29" i="7"/>
  <c r="BN28" i="7"/>
  <c r="BN26" i="7"/>
  <c r="BO25" i="7"/>
  <c r="BN24" i="7"/>
  <c r="BN23" i="7"/>
  <c r="BN22" i="7"/>
  <c r="BN21" i="7"/>
  <c r="BN20" i="7"/>
  <c r="BN19" i="7"/>
  <c r="BN127" i="7" s="1"/>
  <c r="BN18" i="7"/>
  <c r="BO17" i="7"/>
  <c r="BN16" i="7"/>
  <c r="BN128" i="7" s="1"/>
  <c r="BP15" i="7"/>
  <c r="BO15" i="7"/>
  <c r="BO8" i="7" s="1"/>
  <c r="BN14" i="7"/>
  <c r="BN13" i="7"/>
  <c r="BN12" i="7"/>
  <c r="BN11" i="7"/>
  <c r="BN10" i="7"/>
  <c r="BN9" i="7"/>
  <c r="BP8" i="7"/>
  <c r="BM33" i="7"/>
  <c r="BL25" i="7"/>
  <c r="BM143" i="7"/>
  <c r="BL143" i="7"/>
  <c r="BK143" i="7"/>
  <c r="BM140" i="7"/>
  <c r="BL140" i="7"/>
  <c r="BK140" i="7"/>
  <c r="BM136" i="7"/>
  <c r="BL136" i="7"/>
  <c r="BM134" i="7"/>
  <c r="BK134" i="7"/>
  <c r="BM131" i="7"/>
  <c r="BL131" i="7"/>
  <c r="BK131" i="7"/>
  <c r="BM130" i="7"/>
  <c r="BL130" i="7"/>
  <c r="BM128" i="7"/>
  <c r="BL128" i="7"/>
  <c r="BM127" i="7"/>
  <c r="BL127" i="7"/>
  <c r="BM126" i="7"/>
  <c r="BL126" i="7"/>
  <c r="BM125" i="7"/>
  <c r="BL125" i="7"/>
  <c r="BM124" i="7"/>
  <c r="BL124" i="7"/>
  <c r="BM123" i="7"/>
  <c r="M22" i="64" s="1"/>
  <c r="M22" i="61" s="1"/>
  <c r="BL123" i="7"/>
  <c r="BM121" i="7"/>
  <c r="BL121" i="7"/>
  <c r="BK64" i="7"/>
  <c r="BK136" i="7" s="1"/>
  <c r="BL60" i="7"/>
  <c r="BL134" i="7" s="1"/>
  <c r="BK56" i="7"/>
  <c r="BK130" i="7" s="1"/>
  <c r="BK54" i="7"/>
  <c r="BK52" i="7"/>
  <c r="BQ52" i="7" s="1"/>
  <c r="BK51" i="7"/>
  <c r="BK42" i="7"/>
  <c r="BM41" i="7"/>
  <c r="BM35" i="7" s="1"/>
  <c r="BL41" i="7"/>
  <c r="BL35" i="7" s="1"/>
  <c r="BK40" i="7"/>
  <c r="BK39" i="7"/>
  <c r="BK38" i="7"/>
  <c r="BK37" i="7"/>
  <c r="BK36" i="7"/>
  <c r="BK34" i="7"/>
  <c r="BM27" i="7"/>
  <c r="BL33" i="7"/>
  <c r="BL27" i="7" s="1"/>
  <c r="BK32" i="7"/>
  <c r="BK31" i="7"/>
  <c r="BK30" i="7"/>
  <c r="BK29" i="7"/>
  <c r="BK28" i="7"/>
  <c r="BK26" i="7"/>
  <c r="BK24" i="7"/>
  <c r="BK23" i="7"/>
  <c r="BK22" i="7"/>
  <c r="BK21" i="7"/>
  <c r="BK20" i="7"/>
  <c r="BK19" i="7"/>
  <c r="BK127" i="7" s="1"/>
  <c r="BK18" i="7"/>
  <c r="BM17" i="7"/>
  <c r="BL17" i="7"/>
  <c r="BK16" i="7"/>
  <c r="BM15" i="7"/>
  <c r="BM8" i="7" s="1"/>
  <c r="BL15" i="7"/>
  <c r="BL8" i="7" s="1"/>
  <c r="BK14" i="7"/>
  <c r="BK13" i="7"/>
  <c r="BK125" i="7" s="1"/>
  <c r="BK12" i="7"/>
  <c r="BK124" i="7" s="1"/>
  <c r="BK11" i="7"/>
  <c r="BK10" i="7"/>
  <c r="BK9" i="7"/>
  <c r="GA59" i="114" l="1"/>
  <c r="GJ59" i="114" s="1"/>
  <c r="EK59" i="114"/>
  <c r="FZ59" i="114"/>
  <c r="GI59" i="114" s="1"/>
  <c r="EJ59" i="114"/>
  <c r="AM34" i="10"/>
  <c r="F7" i="105"/>
  <c r="E20" i="105"/>
  <c r="E13" i="105"/>
  <c r="CI93" i="115"/>
  <c r="CB93" i="115"/>
  <c r="C93" i="115"/>
  <c r="CC151" i="115"/>
  <c r="CI151" i="115" s="1"/>
  <c r="J25" i="105"/>
  <c r="BN125" i="7"/>
  <c r="AC34" i="10"/>
  <c r="BQ123" i="7"/>
  <c r="AJ28" i="10"/>
  <c r="AK28" i="10" s="1"/>
  <c r="AK33" i="10" s="1"/>
  <c r="AI33" i="10"/>
  <c r="AI21" i="10"/>
  <c r="BK25" i="7"/>
  <c r="BN121" i="7"/>
  <c r="BN123" i="7"/>
  <c r="BN124" i="7"/>
  <c r="BN126" i="7"/>
  <c r="H46" i="68"/>
  <c r="F46" i="68"/>
  <c r="J44" i="68"/>
  <c r="J46" i="68" s="1"/>
  <c r="D47" i="68"/>
  <c r="D49" i="68"/>
  <c r="D48" i="68"/>
  <c r="D50" i="68"/>
  <c r="CL24" i="17"/>
  <c r="BZ30" i="17"/>
  <c r="BY30" i="17" s="1"/>
  <c r="BY38" i="17" s="1"/>
  <c r="BZ24" i="17"/>
  <c r="BW30" i="17"/>
  <c r="BV30" i="17" s="1"/>
  <c r="BV38" i="17" s="1"/>
  <c r="BW25" i="17"/>
  <c r="BW24" i="17" s="1"/>
  <c r="AJ33" i="10"/>
  <c r="AH34" i="10"/>
  <c r="AB34" i="10"/>
  <c r="CG51" i="72"/>
  <c r="CG55" i="72"/>
  <c r="CF51" i="72"/>
  <c r="CF55" i="72"/>
  <c r="CE55" i="72" s="1"/>
  <c r="BN41" i="7"/>
  <c r="BN35" i="7" s="1"/>
  <c r="BN33" i="7"/>
  <c r="BN25" i="7"/>
  <c r="BN17" i="7" s="1"/>
  <c r="BN15" i="7"/>
  <c r="BN8" i="7" s="1"/>
  <c r="BK41" i="7"/>
  <c r="BK35" i="7" s="1"/>
  <c r="BK33" i="7"/>
  <c r="BK123" i="7"/>
  <c r="BK27" i="7"/>
  <c r="BK128" i="7"/>
  <c r="BK121" i="7"/>
  <c r="BK17" i="7"/>
  <c r="BK15" i="7"/>
  <c r="BK8" i="7" s="1"/>
  <c r="BK126" i="7"/>
  <c r="C25" i="94"/>
  <c r="C26" i="94"/>
  <c r="C41" i="94"/>
  <c r="C40" i="94"/>
  <c r="C33" i="94"/>
  <c r="C32" i="94"/>
  <c r="G13" i="94"/>
  <c r="G12" i="94"/>
  <c r="G10" i="94"/>
  <c r="F10" i="94"/>
  <c r="G9" i="94"/>
  <c r="G7" i="94"/>
  <c r="F7" i="94"/>
  <c r="Q24" i="66"/>
  <c r="R24" i="66"/>
  <c r="S24" i="66"/>
  <c r="T24" i="66"/>
  <c r="U24" i="66"/>
  <c r="V24" i="66"/>
  <c r="W24" i="66"/>
  <c r="Y24" i="66"/>
  <c r="Z24" i="66"/>
  <c r="AA24" i="66"/>
  <c r="AB24" i="66"/>
  <c r="AC24" i="66"/>
  <c r="Q17" i="66"/>
  <c r="Q14" i="66" s="1"/>
  <c r="Q11" i="66" s="1"/>
  <c r="Q10" i="66" s="1"/>
  <c r="R17" i="66"/>
  <c r="S17" i="66"/>
  <c r="S14" i="66" s="1"/>
  <c r="S11" i="66" s="1"/>
  <c r="S10" i="66" s="1"/>
  <c r="T17" i="66"/>
  <c r="U17" i="66"/>
  <c r="U14" i="66" s="1"/>
  <c r="U11" i="66" s="1"/>
  <c r="U10" i="66" s="1"/>
  <c r="V17" i="66"/>
  <c r="Y17" i="66"/>
  <c r="Z17" i="66"/>
  <c r="AA17" i="66"/>
  <c r="AB17" i="66"/>
  <c r="AC17" i="66"/>
  <c r="Q18" i="66"/>
  <c r="R18" i="66"/>
  <c r="S18" i="66"/>
  <c r="T18" i="66"/>
  <c r="U18" i="66"/>
  <c r="V18" i="66"/>
  <c r="W18" i="66"/>
  <c r="Y18" i="66"/>
  <c r="Z18" i="66"/>
  <c r="AA18" i="66"/>
  <c r="AB18" i="66"/>
  <c r="AC18" i="66"/>
  <c r="Q19" i="66"/>
  <c r="R19" i="66"/>
  <c r="S19" i="66"/>
  <c r="T19" i="66"/>
  <c r="U19" i="66"/>
  <c r="V19" i="66"/>
  <c r="W19" i="66"/>
  <c r="Y19" i="66"/>
  <c r="Z19" i="66"/>
  <c r="AA19" i="66"/>
  <c r="AB19" i="66"/>
  <c r="AC19" i="66"/>
  <c r="Q20" i="66"/>
  <c r="R20" i="66"/>
  <c r="S20" i="66"/>
  <c r="T20" i="66"/>
  <c r="U20" i="66"/>
  <c r="V20" i="66"/>
  <c r="W20" i="66"/>
  <c r="Y20" i="66"/>
  <c r="Z20" i="66"/>
  <c r="AA20" i="66"/>
  <c r="AB20" i="66"/>
  <c r="AC20" i="66"/>
  <c r="Q21" i="66"/>
  <c r="R21" i="66"/>
  <c r="S21" i="66"/>
  <c r="T21" i="66"/>
  <c r="U21" i="66"/>
  <c r="V21" i="66"/>
  <c r="W21" i="66"/>
  <c r="Y21" i="66"/>
  <c r="Z21" i="66"/>
  <c r="AA21" i="66"/>
  <c r="AB21" i="66"/>
  <c r="AC21" i="66"/>
  <c r="Q15" i="66"/>
  <c r="R15" i="66"/>
  <c r="S15" i="66"/>
  <c r="T15" i="66"/>
  <c r="U15" i="66"/>
  <c r="V15" i="66"/>
  <c r="W15" i="66"/>
  <c r="Y15" i="66"/>
  <c r="Z15" i="66"/>
  <c r="AA15" i="66"/>
  <c r="AB15" i="66"/>
  <c r="AC15" i="66"/>
  <c r="R14" i="66"/>
  <c r="T14" i="66"/>
  <c r="V14" i="66"/>
  <c r="L36" i="66"/>
  <c r="L37" i="66" s="1"/>
  <c r="L24" i="66"/>
  <c r="M24" i="66"/>
  <c r="L14" i="66"/>
  <c r="L11" i="66" s="1"/>
  <c r="L10" i="66" s="1"/>
  <c r="M14" i="66"/>
  <c r="V11" i="66"/>
  <c r="T11" i="66"/>
  <c r="R11" i="66"/>
  <c r="V10" i="66"/>
  <c r="T10" i="66"/>
  <c r="R10" i="66"/>
  <c r="S38" i="65"/>
  <c r="T38" i="65" s="1"/>
  <c r="U38" i="65" s="1"/>
  <c r="V38" i="65" s="1"/>
  <c r="W38" i="65" s="1"/>
  <c r="X38" i="65" s="1"/>
  <c r="T25" i="65"/>
  <c r="T24" i="65" s="1"/>
  <c r="U25" i="65"/>
  <c r="U24" i="65" s="1"/>
  <c r="V25" i="65"/>
  <c r="V24" i="65" s="1"/>
  <c r="W25" i="65"/>
  <c r="W24" i="65" s="1"/>
  <c r="S24" i="65"/>
  <c r="U19" i="65"/>
  <c r="V19" i="65"/>
  <c r="U20" i="65"/>
  <c r="V20" i="65"/>
  <c r="S20" i="65"/>
  <c r="S21" i="65"/>
  <c r="S14" i="65" s="1"/>
  <c r="S11" i="65" s="1"/>
  <c r="S10" i="65" s="1"/>
  <c r="L24" i="65"/>
  <c r="M24" i="65"/>
  <c r="L14" i="65"/>
  <c r="M14" i="65"/>
  <c r="T14" i="65"/>
  <c r="U14" i="65"/>
  <c r="V14" i="65"/>
  <c r="V11" i="65" s="1"/>
  <c r="W14" i="65"/>
  <c r="W11" i="65" s="1"/>
  <c r="X14" i="65"/>
  <c r="X11" i="65" s="1"/>
  <c r="X10" i="65" s="1"/>
  <c r="X36" i="65" s="1"/>
  <c r="U11" i="65"/>
  <c r="T11" i="65"/>
  <c r="L11" i="65"/>
  <c r="L10" i="65" s="1"/>
  <c r="P6" i="65"/>
  <c r="Q36" i="64"/>
  <c r="R36" i="64" s="1"/>
  <c r="S36" i="64" s="1"/>
  <c r="T36" i="64" s="1"/>
  <c r="U36" i="64" s="1"/>
  <c r="Q24" i="64"/>
  <c r="R24" i="64"/>
  <c r="S24" i="64"/>
  <c r="T24" i="64"/>
  <c r="U24" i="64"/>
  <c r="V24" i="64"/>
  <c r="W24" i="64"/>
  <c r="Y24" i="64"/>
  <c r="Z24" i="64"/>
  <c r="AA24" i="64"/>
  <c r="AB24" i="64"/>
  <c r="AC24" i="64"/>
  <c r="S15" i="64"/>
  <c r="T15" i="64"/>
  <c r="U15" i="64"/>
  <c r="V15" i="64"/>
  <c r="W15" i="64"/>
  <c r="Y15" i="64"/>
  <c r="Z15" i="64"/>
  <c r="AA15" i="64"/>
  <c r="AB15" i="64"/>
  <c r="AC15" i="64"/>
  <c r="L24" i="64"/>
  <c r="M24" i="64"/>
  <c r="M19" i="64"/>
  <c r="M20" i="64"/>
  <c r="L14" i="64"/>
  <c r="L11" i="64" s="1"/>
  <c r="L10" i="64" s="1"/>
  <c r="M14" i="64"/>
  <c r="R14" i="64"/>
  <c r="R11" i="64" s="1"/>
  <c r="T14" i="64"/>
  <c r="T11" i="64" s="1"/>
  <c r="T10" i="64" s="1"/>
  <c r="T35" i="64" s="1"/>
  <c r="U14" i="64"/>
  <c r="U11" i="64" s="1"/>
  <c r="V14" i="64"/>
  <c r="V11" i="64" s="1"/>
  <c r="V10" i="64" s="1"/>
  <c r="V35" i="64" s="1"/>
  <c r="P6" i="64"/>
  <c r="Q37" i="61"/>
  <c r="R37" i="61" s="1"/>
  <c r="S37" i="61" s="1"/>
  <c r="T37" i="61" s="1"/>
  <c r="U37" i="61" s="1"/>
  <c r="V37" i="61" s="1"/>
  <c r="Q24" i="61"/>
  <c r="R24" i="61"/>
  <c r="S24" i="61"/>
  <c r="T24" i="61"/>
  <c r="U24" i="61"/>
  <c r="V24" i="61"/>
  <c r="W24" i="61"/>
  <c r="Y24" i="61"/>
  <c r="Z24" i="61"/>
  <c r="AA24" i="61"/>
  <c r="AB24" i="61"/>
  <c r="AC24" i="61"/>
  <c r="Q14" i="61"/>
  <c r="R14" i="61"/>
  <c r="S14" i="61"/>
  <c r="S11" i="61" s="1"/>
  <c r="T14" i="61"/>
  <c r="U14" i="61"/>
  <c r="U11" i="61" s="1"/>
  <c r="U10" i="61" s="1"/>
  <c r="U35" i="61" s="1"/>
  <c r="V14" i="61"/>
  <c r="Q11" i="61"/>
  <c r="Q10" i="61" s="1"/>
  <c r="Q35" i="61" s="1"/>
  <c r="R11" i="61"/>
  <c r="R10" i="61" s="1"/>
  <c r="R35" i="61" s="1"/>
  <c r="T11" i="61"/>
  <c r="T10" i="61" s="1"/>
  <c r="T35" i="61" s="1"/>
  <c r="V11" i="61"/>
  <c r="V10" i="61" s="1"/>
  <c r="V35" i="61" s="1"/>
  <c r="L14" i="61"/>
  <c r="L11" i="61"/>
  <c r="L10" i="61" s="1"/>
  <c r="I68" i="85"/>
  <c r="I69" i="85" s="1"/>
  <c r="I67" i="85"/>
  <c r="I62" i="85"/>
  <c r="I63" i="85" s="1"/>
  <c r="I61" i="85"/>
  <c r="I50" i="85"/>
  <c r="I51" i="85" s="1"/>
  <c r="I45" i="85"/>
  <c r="I46" i="85" s="1"/>
  <c r="I35" i="85"/>
  <c r="I36" i="85" s="1"/>
  <c r="I29" i="85"/>
  <c r="I30" i="85" s="1"/>
  <c r="I19" i="85"/>
  <c r="I20" i="85" s="1"/>
  <c r="I13" i="85"/>
  <c r="I14" i="85" s="1"/>
  <c r="J67" i="85"/>
  <c r="J66" i="85"/>
  <c r="J62" i="85"/>
  <c r="J61" i="85"/>
  <c r="J60" i="85"/>
  <c r="J44" i="85"/>
  <c r="H56" i="85"/>
  <c r="J34" i="85"/>
  <c r="J29" i="85"/>
  <c r="J28" i="85"/>
  <c r="J18" i="85"/>
  <c r="J13" i="85"/>
  <c r="J12" i="85"/>
  <c r="H24" i="85"/>
  <c r="I32" i="79"/>
  <c r="H32" i="79"/>
  <c r="AY48" i="3"/>
  <c r="AY50" i="3"/>
  <c r="GB16" i="114" s="1"/>
  <c r="AV48" i="3"/>
  <c r="Q36" i="61" s="1"/>
  <c r="R36" i="61" s="1"/>
  <c r="S36" i="61" s="1"/>
  <c r="T36" i="61" s="1"/>
  <c r="U36" i="61" s="1"/>
  <c r="V36" i="61" s="1"/>
  <c r="AW48" i="3"/>
  <c r="AW45" i="3" s="1"/>
  <c r="AW43" i="3" s="1"/>
  <c r="AV58" i="3"/>
  <c r="S37" i="65" s="1"/>
  <c r="T37" i="65" s="1"/>
  <c r="U37" i="65" s="1"/>
  <c r="V37" i="65" s="1"/>
  <c r="W37" i="65" s="1"/>
  <c r="X37" i="65" s="1"/>
  <c r="AW58" i="3"/>
  <c r="Q36" i="66" s="1"/>
  <c r="AY58" i="3"/>
  <c r="AL58" i="3"/>
  <c r="AL57" i="3" s="1"/>
  <c r="AM58" i="3"/>
  <c r="AM57" i="3" s="1"/>
  <c r="AN58" i="3"/>
  <c r="AO58" i="3"/>
  <c r="AP58" i="3"/>
  <c r="AQ58" i="3"/>
  <c r="AP40" i="3"/>
  <c r="AP41" i="3"/>
  <c r="B63" i="32" s="1"/>
  <c r="D63" i="32" s="1"/>
  <c r="AO52" i="3"/>
  <c r="AP52" i="3"/>
  <c r="B62" i="32" s="1"/>
  <c r="AQ52" i="3"/>
  <c r="AL48" i="3"/>
  <c r="AM48" i="3"/>
  <c r="AO48" i="3"/>
  <c r="AO45" i="3" s="1"/>
  <c r="AQ48" i="3"/>
  <c r="M36" i="64" s="1"/>
  <c r="L36" i="64" s="1"/>
  <c r="AK50" i="3"/>
  <c r="AN52" i="3"/>
  <c r="AN48" i="3" s="1"/>
  <c r="C41" i="90"/>
  <c r="C40" i="90"/>
  <c r="I21" i="85" l="1"/>
  <c r="I22" i="85" s="1"/>
  <c r="J20" i="85"/>
  <c r="I37" i="85"/>
  <c r="I38" i="85" s="1"/>
  <c r="J36" i="85"/>
  <c r="I52" i="85"/>
  <c r="J51" i="85"/>
  <c r="F119" i="106"/>
  <c r="AN44" i="3"/>
  <c r="AN43" i="3" s="1"/>
  <c r="AW47" i="3"/>
  <c r="AW40" i="3"/>
  <c r="AW38" i="3" s="1"/>
  <c r="I15" i="85"/>
  <c r="I16" i="85" s="1"/>
  <c r="J14" i="85"/>
  <c r="I31" i="85"/>
  <c r="I32" i="85" s="1"/>
  <c r="J30" i="85"/>
  <c r="I47" i="85"/>
  <c r="J47" i="85" s="1"/>
  <c r="J46" i="85"/>
  <c r="D62" i="32"/>
  <c r="AQ57" i="3"/>
  <c r="M36" i="66" s="1"/>
  <c r="M37" i="66" s="1"/>
  <c r="J12" i="98"/>
  <c r="Q37" i="66"/>
  <c r="R36" i="66"/>
  <c r="AV57" i="3"/>
  <c r="V36" i="64"/>
  <c r="W36" i="64" s="1"/>
  <c r="Y36" i="64" s="1"/>
  <c r="Z36" i="64" s="1"/>
  <c r="AA36" i="64" s="1"/>
  <c r="AB36" i="64" s="1"/>
  <c r="AC36" i="64" s="1"/>
  <c r="E64" i="32"/>
  <c r="AY45" i="3"/>
  <c r="Q38" i="61"/>
  <c r="V37" i="64"/>
  <c r="CH93" i="115"/>
  <c r="CB151" i="115"/>
  <c r="CH151" i="115" s="1"/>
  <c r="F15" i="105"/>
  <c r="F5" i="105"/>
  <c r="AP48" i="3"/>
  <c r="AQ45" i="3"/>
  <c r="AP57" i="3"/>
  <c r="CJ60" i="72" s="1"/>
  <c r="M37" i="65"/>
  <c r="CJ61" i="72"/>
  <c r="L37" i="65"/>
  <c r="CH87" i="72"/>
  <c r="CH62" i="72" s="1"/>
  <c r="GB11" i="116"/>
  <c r="GB9" i="116"/>
  <c r="GB8" i="116"/>
  <c r="AN57" i="3"/>
  <c r="V16" i="114"/>
  <c r="BI16" i="114"/>
  <c r="CY16" i="114"/>
  <c r="EO16" i="114"/>
  <c r="M16" i="114"/>
  <c r="AZ16" i="114"/>
  <c r="AQ16" i="114"/>
  <c r="DH16" i="114"/>
  <c r="FG16" i="114"/>
  <c r="CP16" i="114"/>
  <c r="EX16" i="114"/>
  <c r="D16" i="114"/>
  <c r="GB14" i="114"/>
  <c r="GK16" i="114"/>
  <c r="GI16" i="114" s="1"/>
  <c r="FZ16" i="114"/>
  <c r="AV44" i="3"/>
  <c r="AV43" i="3" s="1"/>
  <c r="J19" i="85"/>
  <c r="J35" i="85"/>
  <c r="J45" i="85"/>
  <c r="J50" i="85"/>
  <c r="J68" i="85"/>
  <c r="R10" i="64"/>
  <c r="R35" i="64" s="1"/>
  <c r="R37" i="64" s="1"/>
  <c r="BN27" i="7"/>
  <c r="BV24" i="17"/>
  <c r="BV37" i="17" s="1"/>
  <c r="BV36" i="17"/>
  <c r="BY24" i="17"/>
  <c r="BY37" i="17" s="1"/>
  <c r="BY36" i="17"/>
  <c r="CK24" i="17"/>
  <c r="CK37" i="17" s="1"/>
  <c r="CK36" i="17"/>
  <c r="R93" i="115"/>
  <c r="AG93" i="115" s="1"/>
  <c r="B93" i="115"/>
  <c r="B151" i="115" s="1"/>
  <c r="C151" i="115"/>
  <c r="C35" i="116" s="1"/>
  <c r="E26" i="105"/>
  <c r="E18" i="105"/>
  <c r="J32" i="105"/>
  <c r="V10" i="65"/>
  <c r="V36" i="65" s="1"/>
  <c r="T10" i="65"/>
  <c r="T36" i="65" s="1"/>
  <c r="T39" i="65" s="1"/>
  <c r="T23" i="65"/>
  <c r="W23" i="65"/>
  <c r="K605" i="109"/>
  <c r="K607" i="109" s="1"/>
  <c r="K37" i="105"/>
  <c r="H15" i="92" s="1"/>
  <c r="BO52" i="8"/>
  <c r="BO87" i="8" s="1"/>
  <c r="W36" i="66"/>
  <c r="S12" i="98"/>
  <c r="U23" i="65"/>
  <c r="U10" i="65"/>
  <c r="U36" i="65" s="1"/>
  <c r="W10" i="65"/>
  <c r="W36" i="65" s="1"/>
  <c r="W39" i="65" s="1"/>
  <c r="X39" i="65"/>
  <c r="V23" i="61"/>
  <c r="V38" i="61"/>
  <c r="L23" i="65"/>
  <c r="V23" i="65"/>
  <c r="U39" i="65"/>
  <c r="V39" i="65"/>
  <c r="R38" i="66"/>
  <c r="R35" i="66"/>
  <c r="T35" i="66"/>
  <c r="Q38" i="66"/>
  <c r="Q35" i="66"/>
  <c r="S35" i="66"/>
  <c r="U35" i="66"/>
  <c r="S23" i="65"/>
  <c r="T37" i="64"/>
  <c r="T38" i="61"/>
  <c r="U38" i="61"/>
  <c r="R38" i="61"/>
  <c r="S10" i="61"/>
  <c r="S35" i="61" s="1"/>
  <c r="S38" i="61" s="1"/>
  <c r="L38" i="66"/>
  <c r="U23" i="66"/>
  <c r="S23" i="66"/>
  <c r="Q23" i="66"/>
  <c r="L23" i="66"/>
  <c r="V23" i="66"/>
  <c r="T23" i="66"/>
  <c r="R23" i="66"/>
  <c r="L23" i="64"/>
  <c r="U10" i="64"/>
  <c r="U35" i="64" s="1"/>
  <c r="U37" i="64" s="1"/>
  <c r="U23" i="64"/>
  <c r="T23" i="64"/>
  <c r="AJ21" i="10"/>
  <c r="AI27" i="10"/>
  <c r="AI34" i="10"/>
  <c r="T37" i="95"/>
  <c r="S42" i="95"/>
  <c r="S47" i="95" s="1"/>
  <c r="D51" i="68"/>
  <c r="H50" i="68"/>
  <c r="H48" i="68"/>
  <c r="H49" i="68"/>
  <c r="H47" i="68"/>
  <c r="D52" i="68"/>
  <c r="F49" i="68"/>
  <c r="F47" i="68"/>
  <c r="F50" i="68"/>
  <c r="F48" i="68"/>
  <c r="L44" i="68"/>
  <c r="L46" i="68" s="1"/>
  <c r="CE51" i="72"/>
  <c r="F8" i="94"/>
  <c r="H8" i="94" s="1"/>
  <c r="H10" i="94"/>
  <c r="H7" i="94"/>
  <c r="F11" i="94"/>
  <c r="R23" i="64"/>
  <c r="U23" i="61"/>
  <c r="T23" i="61"/>
  <c r="S23" i="61"/>
  <c r="R23" i="61"/>
  <c r="Q23" i="61"/>
  <c r="I70" i="85"/>
  <c r="J69" i="85"/>
  <c r="I64" i="85"/>
  <c r="J63" i="85"/>
  <c r="I48" i="85"/>
  <c r="J37" i="85"/>
  <c r="J31" i="85"/>
  <c r="J21" i="85"/>
  <c r="J15" i="85"/>
  <c r="H40" i="85"/>
  <c r="H72" i="85"/>
  <c r="AO43" i="3"/>
  <c r="AO40" i="3"/>
  <c r="AO38" i="3" s="1"/>
  <c r="AO42" i="3" s="1"/>
  <c r="AN47" i="3"/>
  <c r="E24" i="64"/>
  <c r="D24" i="64"/>
  <c r="E14" i="64"/>
  <c r="D14" i="64"/>
  <c r="E11" i="64"/>
  <c r="E10" i="64" s="1"/>
  <c r="E37" i="64" s="1"/>
  <c r="D11" i="64"/>
  <c r="D23" i="64" s="1"/>
  <c r="E24" i="66"/>
  <c r="D24" i="66"/>
  <c r="E14" i="66"/>
  <c r="D14" i="66"/>
  <c r="E11" i="66"/>
  <c r="E10" i="66" s="1"/>
  <c r="E38" i="66" s="1"/>
  <c r="D11" i="66"/>
  <c r="E24" i="65"/>
  <c r="D24" i="65"/>
  <c r="E14" i="65"/>
  <c r="D14" i="65"/>
  <c r="E11" i="65"/>
  <c r="E10" i="65" s="1"/>
  <c r="E39" i="65" s="1"/>
  <c r="D11" i="65"/>
  <c r="D10" i="65" s="1"/>
  <c r="D39" i="65" s="1"/>
  <c r="E31" i="65" s="1"/>
  <c r="E24" i="61"/>
  <c r="D24" i="61"/>
  <c r="E14" i="61"/>
  <c r="D14" i="61"/>
  <c r="E11" i="61"/>
  <c r="E10" i="61" s="1"/>
  <c r="E38" i="61" s="1"/>
  <c r="D11" i="61"/>
  <c r="D10" i="61" s="1"/>
  <c r="E35" i="105" l="1"/>
  <c r="E24" i="105"/>
  <c r="B35" i="116"/>
  <c r="L35" i="116"/>
  <c r="AV47" i="3"/>
  <c r="AV39" i="3"/>
  <c r="AE16" i="114"/>
  <c r="D14" i="114"/>
  <c r="B16" i="114"/>
  <c r="DQ16" i="114"/>
  <c r="CP14" i="114"/>
  <c r="CN16" i="114"/>
  <c r="DH14" i="114"/>
  <c r="DF16" i="114"/>
  <c r="AZ14" i="114"/>
  <c r="AX16" i="114"/>
  <c r="FP16" i="114"/>
  <c r="EO14" i="114"/>
  <c r="EM16" i="114"/>
  <c r="BI14" i="114"/>
  <c r="BG16" i="114"/>
  <c r="A45" i="98"/>
  <c r="A46" i="98" s="1"/>
  <c r="S28" i="98" s="1"/>
  <c r="T28" i="98" s="1"/>
  <c r="U28" i="98" s="1"/>
  <c r="V28" i="98" s="1"/>
  <c r="W28" i="98" s="1"/>
  <c r="X28" i="98" s="1"/>
  <c r="E45" i="96"/>
  <c r="CH60" i="72"/>
  <c r="CH63" i="72" s="1"/>
  <c r="AG15" i="119"/>
  <c r="I18" i="120" s="1"/>
  <c r="FG9" i="116"/>
  <c r="EX9" i="116"/>
  <c r="EO9" i="116"/>
  <c r="DH9" i="116"/>
  <c r="CY9" i="116"/>
  <c r="CP9" i="116"/>
  <c r="BI9" i="116"/>
  <c r="AZ9" i="116"/>
  <c r="AQ9" i="116"/>
  <c r="V9" i="116"/>
  <c r="M9" i="116"/>
  <c r="D9" i="116"/>
  <c r="GK9" i="116"/>
  <c r="CI54" i="72"/>
  <c r="CJ54" i="72" s="1"/>
  <c r="CI52" i="72"/>
  <c r="AQ43" i="3"/>
  <c r="AQ40" i="3"/>
  <c r="G7" i="105"/>
  <c r="F13" i="105"/>
  <c r="K64" i="32"/>
  <c r="G64" i="32"/>
  <c r="G70" i="32" s="1"/>
  <c r="H119" i="106"/>
  <c r="H121" i="106" s="1"/>
  <c r="H122" i="106" s="1"/>
  <c r="I53" i="85"/>
  <c r="J52" i="85"/>
  <c r="AM93" i="115"/>
  <c r="AF93" i="115"/>
  <c r="AG151" i="115"/>
  <c r="AM151" i="115" s="1"/>
  <c r="AP93" i="115"/>
  <c r="Q93" i="115"/>
  <c r="Q151" i="115" s="1"/>
  <c r="R151" i="115"/>
  <c r="AP35" i="116" s="1"/>
  <c r="GB70" i="114"/>
  <c r="GK14" i="114"/>
  <c r="GI14" i="114" s="1"/>
  <c r="FZ14" i="114"/>
  <c r="EX14" i="114"/>
  <c r="EV16" i="114"/>
  <c r="FE16" i="114"/>
  <c r="FG14" i="114"/>
  <c r="BR16" i="114"/>
  <c r="AQ14" i="114"/>
  <c r="AO16" i="114"/>
  <c r="M14" i="114"/>
  <c r="K16" i="114"/>
  <c r="CY14" i="114"/>
  <c r="CW16" i="114"/>
  <c r="V14" i="114"/>
  <c r="T16" i="114"/>
  <c r="FG8" i="116"/>
  <c r="EX8" i="116"/>
  <c r="EO8" i="116"/>
  <c r="DH8" i="116"/>
  <c r="CY8" i="116"/>
  <c r="CP8" i="116"/>
  <c r="BI8" i="116"/>
  <c r="AZ8" i="116"/>
  <c r="AQ8" i="116"/>
  <c r="BR8" i="116" s="1"/>
  <c r="V8" i="116"/>
  <c r="M8" i="116"/>
  <c r="D8" i="116"/>
  <c r="GK8" i="116"/>
  <c r="AG17" i="119"/>
  <c r="FG11" i="116"/>
  <c r="EX11" i="116"/>
  <c r="EO11" i="116"/>
  <c r="DH11" i="116"/>
  <c r="CY11" i="116"/>
  <c r="CP11" i="116"/>
  <c r="BI11" i="116"/>
  <c r="AZ11" i="116"/>
  <c r="AQ11" i="116"/>
  <c r="V11" i="116"/>
  <c r="M11" i="116"/>
  <c r="D11" i="116"/>
  <c r="FZ11" i="116"/>
  <c r="AE17" i="119" s="1"/>
  <c r="GK11" i="116"/>
  <c r="GI11" i="116" s="1"/>
  <c r="M36" i="61"/>
  <c r="L36" i="61" s="1"/>
  <c r="AP46" i="3"/>
  <c r="I5" i="79"/>
  <c r="AP44" i="3"/>
  <c r="AP43" i="3" s="1"/>
  <c r="F20" i="105"/>
  <c r="CD16" i="113"/>
  <c r="AY43" i="3"/>
  <c r="S36" i="66"/>
  <c r="R37" i="66"/>
  <c r="J27" i="98"/>
  <c r="J9" i="98"/>
  <c r="CG58" i="72"/>
  <c r="CG59" i="72" s="1"/>
  <c r="AN39" i="3"/>
  <c r="AN38" i="3" s="1"/>
  <c r="E23" i="65"/>
  <c r="D23" i="65"/>
  <c r="Y36" i="66"/>
  <c r="W37" i="66"/>
  <c r="W53" i="66" s="1"/>
  <c r="S27" i="98"/>
  <c r="T12" i="98"/>
  <c r="U12" i="98" s="1"/>
  <c r="V12" i="98" s="1"/>
  <c r="W12" i="98" s="1"/>
  <c r="X12" i="98" s="1"/>
  <c r="X22" i="98" s="1"/>
  <c r="E23" i="66"/>
  <c r="E23" i="64"/>
  <c r="AJ27" i="10"/>
  <c r="AJ34" i="10" s="1"/>
  <c r="AK21" i="10"/>
  <c r="U37" i="95"/>
  <c r="T42" i="95"/>
  <c r="T47" i="95" s="1"/>
  <c r="D53" i="68"/>
  <c r="H52" i="68"/>
  <c r="N44" i="68"/>
  <c r="N46" i="68" s="1"/>
  <c r="F51" i="68"/>
  <c r="J49" i="68"/>
  <c r="J47" i="68"/>
  <c r="J50" i="68"/>
  <c r="J48" i="68"/>
  <c r="F52" i="68"/>
  <c r="H51" i="68"/>
  <c r="F9" i="94"/>
  <c r="H9" i="94" s="1"/>
  <c r="F12" i="94"/>
  <c r="H12" i="94" s="1"/>
  <c r="H19" i="94" s="1"/>
  <c r="H11" i="94"/>
  <c r="F19" i="94"/>
  <c r="D23" i="61"/>
  <c r="D38" i="61"/>
  <c r="E31" i="61" s="1"/>
  <c r="D32" i="61" s="1"/>
  <c r="I71" i="85"/>
  <c r="J71" i="85" s="1"/>
  <c r="J70" i="85"/>
  <c r="I65" i="85"/>
  <c r="J65" i="85" s="1"/>
  <c r="J64" i="85"/>
  <c r="J72" i="85" s="1"/>
  <c r="I49" i="85"/>
  <c r="J49" i="85" s="1"/>
  <c r="J48" i="85"/>
  <c r="I39" i="85"/>
  <c r="J39" i="85" s="1"/>
  <c r="J38" i="85"/>
  <c r="I33" i="85"/>
  <c r="J33" i="85" s="1"/>
  <c r="J32" i="85"/>
  <c r="I23" i="85"/>
  <c r="J23" i="85" s="1"/>
  <c r="J22" i="85"/>
  <c r="I17" i="85"/>
  <c r="J17" i="85" s="1"/>
  <c r="J16" i="85"/>
  <c r="D32" i="65"/>
  <c r="E32" i="65"/>
  <c r="D40" i="65"/>
  <c r="D41" i="65" s="1"/>
  <c r="D23" i="66"/>
  <c r="D10" i="66"/>
  <c r="D38" i="66" s="1"/>
  <c r="E23" i="61"/>
  <c r="FP8" i="116" l="1"/>
  <c r="FY8" i="116" s="1"/>
  <c r="AX46" i="3"/>
  <c r="H5" i="106"/>
  <c r="I72" i="85"/>
  <c r="M31" i="66"/>
  <c r="AN42" i="3"/>
  <c r="E7" i="96"/>
  <c r="CG56" i="72"/>
  <c r="CG57" i="72" s="1"/>
  <c r="BS64" i="7"/>
  <c r="BS136" i="7" s="1"/>
  <c r="AY40" i="3"/>
  <c r="AY38" i="3" s="1"/>
  <c r="F26" i="105"/>
  <c r="F18" i="105"/>
  <c r="K11" i="116"/>
  <c r="BR11" i="116"/>
  <c r="AO11" i="116"/>
  <c r="BG11" i="116"/>
  <c r="CW11" i="116"/>
  <c r="FP11" i="116"/>
  <c r="EM11" i="116"/>
  <c r="FE11" i="116"/>
  <c r="CA8" i="116"/>
  <c r="B24" i="117"/>
  <c r="E24" i="117" s="1"/>
  <c r="G24" i="117" s="1"/>
  <c r="V70" i="114"/>
  <c r="T14" i="114"/>
  <c r="B29" i="117"/>
  <c r="E29" i="117" s="1"/>
  <c r="G29" i="117" s="1"/>
  <c r="CY70" i="114"/>
  <c r="CW14" i="114"/>
  <c r="B23" i="117"/>
  <c r="E23" i="117" s="1"/>
  <c r="G23" i="117" s="1"/>
  <c r="M70" i="114"/>
  <c r="K14" i="114"/>
  <c r="B25" i="117"/>
  <c r="E25" i="117" s="1"/>
  <c r="G25" i="117" s="1"/>
  <c r="AQ70" i="114"/>
  <c r="AO14" i="114"/>
  <c r="B33" i="117"/>
  <c r="E33" i="117" s="1"/>
  <c r="G33" i="117" s="1"/>
  <c r="FG70" i="114"/>
  <c r="FE14" i="114"/>
  <c r="AF56" i="118"/>
  <c r="GK70" i="114"/>
  <c r="FZ70" i="114"/>
  <c r="AY35" i="116"/>
  <c r="AO35" i="116"/>
  <c r="BN93" i="115"/>
  <c r="AO93" i="115"/>
  <c r="AO151" i="115" s="1"/>
  <c r="AP151" i="115"/>
  <c r="CO35" i="116" s="1"/>
  <c r="BE93" i="115"/>
  <c r="M64" i="32"/>
  <c r="M70" i="32" s="1"/>
  <c r="L19" i="104" s="1"/>
  <c r="N64" i="32"/>
  <c r="G15" i="105"/>
  <c r="G5" i="105"/>
  <c r="B56" i="117"/>
  <c r="AE9" i="116"/>
  <c r="D58" i="116"/>
  <c r="V58" i="116"/>
  <c r="B58" i="117"/>
  <c r="E58" i="117" s="1"/>
  <c r="G58" i="117" s="1"/>
  <c r="AZ58" i="116"/>
  <c r="B60" i="117"/>
  <c r="E60" i="117" s="1"/>
  <c r="G60" i="117" s="1"/>
  <c r="CP58" i="116"/>
  <c r="B62" i="117"/>
  <c r="E62" i="117" s="1"/>
  <c r="G62" i="117" s="1"/>
  <c r="DQ9" i="116"/>
  <c r="DH58" i="116"/>
  <c r="B64" i="117"/>
  <c r="E64" i="117" s="1"/>
  <c r="G64" i="117" s="1"/>
  <c r="EX58" i="116"/>
  <c r="B66" i="117"/>
  <c r="E66" i="117" s="1"/>
  <c r="G66" i="117" s="1"/>
  <c r="FY16" i="114"/>
  <c r="FW16" i="114" s="1"/>
  <c r="FP14" i="114"/>
  <c r="FN16" i="114"/>
  <c r="B26" i="117"/>
  <c r="E26" i="117" s="1"/>
  <c r="G26" i="117" s="1"/>
  <c r="AZ70" i="114"/>
  <c r="AX14" i="114"/>
  <c r="B30" i="117"/>
  <c r="E30" i="117" s="1"/>
  <c r="G30" i="117" s="1"/>
  <c r="DH70" i="114"/>
  <c r="DF14" i="114"/>
  <c r="B28" i="117"/>
  <c r="E28" i="117" s="1"/>
  <c r="G28" i="117" s="1"/>
  <c r="CP70" i="114"/>
  <c r="CN14" i="114"/>
  <c r="CD16" i="114"/>
  <c r="AN16" i="114"/>
  <c r="AE14" i="114"/>
  <c r="AC16" i="114"/>
  <c r="K35" i="116"/>
  <c r="U35" i="116"/>
  <c r="T35" i="116" s="1"/>
  <c r="F18" i="94"/>
  <c r="J32" i="98"/>
  <c r="J24" i="98"/>
  <c r="T36" i="66"/>
  <c r="S37" i="66"/>
  <c r="S38" i="66"/>
  <c r="CD178" i="113"/>
  <c r="AF21" i="118"/>
  <c r="AQ16" i="113"/>
  <c r="S16" i="113"/>
  <c r="CJ16" i="113"/>
  <c r="BO16" i="113"/>
  <c r="D16" i="113"/>
  <c r="CD14" i="113"/>
  <c r="CB16" i="113"/>
  <c r="CJ58" i="72"/>
  <c r="CI50" i="72" s="1"/>
  <c r="CJ50" i="72" s="1"/>
  <c r="AP39" i="3"/>
  <c r="AP38" i="3" s="1"/>
  <c r="B65" i="32"/>
  <c r="AP47" i="3"/>
  <c r="AE11" i="116"/>
  <c r="B11" i="116"/>
  <c r="T11" i="116"/>
  <c r="AX11" i="116"/>
  <c r="DQ11" i="116"/>
  <c r="CN11" i="116"/>
  <c r="DF11" i="116"/>
  <c r="EV11" i="116"/>
  <c r="AE8" i="116"/>
  <c r="AN8" i="116" s="1"/>
  <c r="DQ8" i="116"/>
  <c r="DZ8" i="116" s="1"/>
  <c r="CA16" i="114"/>
  <c r="BR14" i="114"/>
  <c r="BP16" i="114"/>
  <c r="B32" i="117"/>
  <c r="E32" i="117" s="1"/>
  <c r="G32" i="117" s="1"/>
  <c r="EX70" i="114"/>
  <c r="EV14" i="114"/>
  <c r="AL93" i="115"/>
  <c r="AF151" i="115"/>
  <c r="AL151" i="115" s="1"/>
  <c r="AO47" i="3"/>
  <c r="I54" i="85"/>
  <c r="J53" i="85"/>
  <c r="BS51" i="7"/>
  <c r="CD139" i="113" s="1"/>
  <c r="K19" i="104"/>
  <c r="J12" i="95"/>
  <c r="J17" i="95" s="1"/>
  <c r="J22" i="95" s="1"/>
  <c r="J51" i="95" s="1"/>
  <c r="M13" i="64" s="1"/>
  <c r="AQ38" i="3"/>
  <c r="AQ42" i="3" s="1"/>
  <c r="CJ52" i="72"/>
  <c r="CJ55" i="72" s="1"/>
  <c r="CH55" i="72" s="1"/>
  <c r="CI55" i="72"/>
  <c r="M58" i="116"/>
  <c r="B57" i="117"/>
  <c r="E57" i="117" s="1"/>
  <c r="G57" i="117" s="1"/>
  <c r="B59" i="117"/>
  <c r="E59" i="117" s="1"/>
  <c r="G59" i="117" s="1"/>
  <c r="BR9" i="116"/>
  <c r="AQ58" i="116"/>
  <c r="BI58" i="116"/>
  <c r="B61" i="117"/>
  <c r="E61" i="117" s="1"/>
  <c r="G61" i="117" s="1"/>
  <c r="CY58" i="116"/>
  <c r="B63" i="117"/>
  <c r="E63" i="117" s="1"/>
  <c r="G63" i="117" s="1"/>
  <c r="EO58" i="116"/>
  <c r="B65" i="117"/>
  <c r="E65" i="117" s="1"/>
  <c r="G65" i="117" s="1"/>
  <c r="FP9" i="116"/>
  <c r="FG58" i="116"/>
  <c r="B67" i="117"/>
  <c r="E67" i="117" s="1"/>
  <c r="G67" i="117" s="1"/>
  <c r="B27" i="117"/>
  <c r="E27" i="117" s="1"/>
  <c r="G27" i="117" s="1"/>
  <c r="BI70" i="114"/>
  <c r="BG14" i="114"/>
  <c r="B31" i="117"/>
  <c r="E31" i="117" s="1"/>
  <c r="G31" i="117" s="1"/>
  <c r="EO70" i="114"/>
  <c r="EM14" i="114"/>
  <c r="DZ16" i="114"/>
  <c r="DX16" i="114" s="1"/>
  <c r="DQ14" i="114"/>
  <c r="DO16" i="114"/>
  <c r="B22" i="117"/>
  <c r="D70" i="114"/>
  <c r="B70" i="114" s="1"/>
  <c r="B14" i="114"/>
  <c r="AV42" i="3"/>
  <c r="AV38" i="3"/>
  <c r="F7" i="96" s="1"/>
  <c r="Z36" i="66"/>
  <c r="Y37" i="66"/>
  <c r="S32" i="98"/>
  <c r="S37" i="98" s="1"/>
  <c r="T27" i="98"/>
  <c r="AK27" i="10"/>
  <c r="AK34" i="10" s="1"/>
  <c r="BS17" i="7"/>
  <c r="V37" i="95"/>
  <c r="U42" i="95"/>
  <c r="U47" i="95" s="1"/>
  <c r="J40" i="85"/>
  <c r="J24" i="85"/>
  <c r="I24" i="85" s="1"/>
  <c r="M31" i="61"/>
  <c r="H53" i="68"/>
  <c r="F53" i="68"/>
  <c r="CN25" i="17" s="1"/>
  <c r="L50" i="68"/>
  <c r="L48" i="68"/>
  <c r="L49" i="68"/>
  <c r="L47" i="68"/>
  <c r="J51" i="68"/>
  <c r="P44" i="68"/>
  <c r="P46" i="68" s="1"/>
  <c r="J52" i="68"/>
  <c r="H18" i="94"/>
  <c r="E32" i="61"/>
  <c r="E13" i="92"/>
  <c r="F11" i="92"/>
  <c r="F8" i="92"/>
  <c r="F6" i="92" s="1"/>
  <c r="P36" i="92"/>
  <c r="C27" i="92"/>
  <c r="C28" i="92"/>
  <c r="C29" i="92"/>
  <c r="C30" i="92"/>
  <c r="C31" i="92"/>
  <c r="C32" i="92"/>
  <c r="C33" i="92"/>
  <c r="C34" i="92"/>
  <c r="C35" i="92"/>
  <c r="C22" i="92"/>
  <c r="C23" i="92"/>
  <c r="C24" i="92"/>
  <c r="C25" i="92"/>
  <c r="C26" i="92"/>
  <c r="C21" i="92"/>
  <c r="C20" i="92"/>
  <c r="Q52" i="65"/>
  <c r="C13" i="92"/>
  <c r="E12" i="92"/>
  <c r="D12" i="92"/>
  <c r="C12" i="92"/>
  <c r="K6" i="65"/>
  <c r="K6" i="64"/>
  <c r="AF28" i="65"/>
  <c r="O14" i="61"/>
  <c r="BR58" i="116" l="1"/>
  <c r="AD35" i="116"/>
  <c r="AM35" i="116" s="1"/>
  <c r="AC35" i="116"/>
  <c r="M26" i="119" s="1"/>
  <c r="AL35" i="116"/>
  <c r="I40" i="85"/>
  <c r="M31" i="64"/>
  <c r="D18" i="99"/>
  <c r="N26" i="119"/>
  <c r="EM70" i="114"/>
  <c r="R49" i="119"/>
  <c r="CA58" i="116"/>
  <c r="CJ139" i="113"/>
  <c r="CD200" i="113"/>
  <c r="CJ200" i="113" s="1"/>
  <c r="D139" i="113"/>
  <c r="I55" i="85"/>
  <c r="J55" i="85" s="1"/>
  <c r="J54" i="85"/>
  <c r="J56" i="85" s="1"/>
  <c r="BR70" i="114"/>
  <c r="BP14" i="114"/>
  <c r="J11" i="95"/>
  <c r="J16" i="95" s="1"/>
  <c r="J21" i="95" s="1"/>
  <c r="J50" i="95" s="1"/>
  <c r="M13" i="61" s="1"/>
  <c r="CJ56" i="72"/>
  <c r="CI48" i="72" s="1"/>
  <c r="AP42" i="3"/>
  <c r="AD21" i="118"/>
  <c r="CB178" i="113"/>
  <c r="D178" i="113"/>
  <c r="N21" i="118"/>
  <c r="AH16" i="113"/>
  <c r="D14" i="113"/>
  <c r="B16" i="113"/>
  <c r="CJ178" i="113"/>
  <c r="CJ14" i="113"/>
  <c r="CH16" i="113"/>
  <c r="CH178" i="113" s="1"/>
  <c r="AQ178" i="113"/>
  <c r="W21" i="118"/>
  <c r="AQ14" i="113"/>
  <c r="AO16" i="113"/>
  <c r="AE70" i="114"/>
  <c r="AC14" i="114"/>
  <c r="EC16" i="114"/>
  <c r="CM16" i="114"/>
  <c r="CK16" i="114" s="1"/>
  <c r="CD14" i="114"/>
  <c r="CB16" i="114"/>
  <c r="CN70" i="114"/>
  <c r="AX70" i="114"/>
  <c r="AE58" i="116"/>
  <c r="B68" i="117"/>
  <c r="E56" i="117"/>
  <c r="H7" i="105"/>
  <c r="G13" i="105"/>
  <c r="BH35" i="116"/>
  <c r="AX35" i="116"/>
  <c r="FE70" i="114"/>
  <c r="K70" i="114"/>
  <c r="T70" i="114"/>
  <c r="R17" i="119"/>
  <c r="CA11" i="116"/>
  <c r="BY11" i="116" s="1"/>
  <c r="BP11" i="116"/>
  <c r="P17" i="119" s="1"/>
  <c r="S12" i="95"/>
  <c r="GB8" i="114"/>
  <c r="CD8" i="113"/>
  <c r="K34" i="105"/>
  <c r="CN29" i="17"/>
  <c r="CO29" i="17" s="1"/>
  <c r="BR47" i="7" s="1"/>
  <c r="CC58" i="113" s="1"/>
  <c r="CN31" i="17"/>
  <c r="CO31" i="17" s="1"/>
  <c r="BM13" i="8" s="1"/>
  <c r="BN13" i="8" s="1"/>
  <c r="CN34" i="17"/>
  <c r="CO34" i="17" s="1"/>
  <c r="CN28" i="17"/>
  <c r="CN26" i="17"/>
  <c r="F15" i="96"/>
  <c r="F10" i="96"/>
  <c r="G10" i="96" s="1"/>
  <c r="F25" i="96"/>
  <c r="F20" i="96"/>
  <c r="F35" i="96"/>
  <c r="G35" i="96" s="1"/>
  <c r="F30" i="96"/>
  <c r="B34" i="117"/>
  <c r="E22" i="117"/>
  <c r="DZ14" i="114"/>
  <c r="DX14" i="114" s="1"/>
  <c r="DQ70" i="114"/>
  <c r="DO14" i="114"/>
  <c r="BG70" i="114"/>
  <c r="AD15" i="119"/>
  <c r="H18" i="120" s="1"/>
  <c r="FY9" i="116"/>
  <c r="FP58" i="116"/>
  <c r="R15" i="119"/>
  <c r="D18" i="120" s="1"/>
  <c r="CA9" i="116"/>
  <c r="EV70" i="114"/>
  <c r="CA14" i="114"/>
  <c r="BY16" i="114"/>
  <c r="X17" i="119"/>
  <c r="DO11" i="116"/>
  <c r="V17" i="119" s="1"/>
  <c r="DZ11" i="116"/>
  <c r="DX11" i="116" s="1"/>
  <c r="O17" i="119"/>
  <c r="AC11" i="116"/>
  <c r="M17" i="119" s="1"/>
  <c r="AN11" i="116"/>
  <c r="AL11" i="116" s="1"/>
  <c r="CD11" i="116"/>
  <c r="B66" i="32"/>
  <c r="B67" i="32"/>
  <c r="B60" i="32"/>
  <c r="CD176" i="113"/>
  <c r="CD215" i="113" s="1"/>
  <c r="CJ215" i="113" s="1"/>
  <c r="AF19" i="118"/>
  <c r="I15" i="120" s="1"/>
  <c r="I13" i="120" s="1"/>
  <c r="CB14" i="113"/>
  <c r="BO178" i="113"/>
  <c r="AC21" i="118"/>
  <c r="BO14" i="113"/>
  <c r="BM16" i="113"/>
  <c r="S178" i="113"/>
  <c r="Q21" i="118"/>
  <c r="S14" i="113"/>
  <c r="Q16" i="113"/>
  <c r="T37" i="66"/>
  <c r="U36" i="66"/>
  <c r="T38" i="66"/>
  <c r="J37" i="98"/>
  <c r="J29" i="98"/>
  <c r="AN14" i="114"/>
  <c r="AL14" i="114" s="1"/>
  <c r="AL16" i="114"/>
  <c r="DF70" i="114"/>
  <c r="FP70" i="114"/>
  <c r="FY14" i="114"/>
  <c r="FW14" i="114" s="1"/>
  <c r="FN14" i="114"/>
  <c r="X15" i="119"/>
  <c r="F18" i="120" s="1"/>
  <c r="DZ9" i="116"/>
  <c r="DQ58" i="116"/>
  <c r="O15" i="119"/>
  <c r="C18" i="120" s="1"/>
  <c r="CD9" i="116"/>
  <c r="AN9" i="116"/>
  <c r="G20" i="105"/>
  <c r="Q64" i="32"/>
  <c r="P64" i="32"/>
  <c r="P70" i="32" s="1"/>
  <c r="M19" i="104" s="1"/>
  <c r="BK93" i="115"/>
  <c r="BD93" i="115"/>
  <c r="BE151" i="115"/>
  <c r="BK151" i="115" s="1"/>
  <c r="CX35" i="116"/>
  <c r="CN35" i="116"/>
  <c r="BM93" i="115"/>
  <c r="BM151" i="115" s="1"/>
  <c r="BN151" i="115"/>
  <c r="EN35" i="116" s="1"/>
  <c r="AD56" i="118"/>
  <c r="GI70" i="114"/>
  <c r="AO70" i="114"/>
  <c r="CW70" i="114"/>
  <c r="CD8" i="116"/>
  <c r="FN11" i="116"/>
  <c r="AB17" i="119" s="1"/>
  <c r="AD17" i="119"/>
  <c r="FY11" i="116"/>
  <c r="FW11" i="116" s="1"/>
  <c r="F35" i="105"/>
  <c r="F24" i="105"/>
  <c r="E35" i="96"/>
  <c r="E30" i="96"/>
  <c r="G30" i="96" s="1"/>
  <c r="E25" i="96"/>
  <c r="G25" i="96" s="1"/>
  <c r="E15" i="96"/>
  <c r="E20" i="96"/>
  <c r="E10" i="96"/>
  <c r="BQ47" i="7"/>
  <c r="CO25" i="17"/>
  <c r="BQ13" i="7" s="1"/>
  <c r="BQ14" i="7" s="1"/>
  <c r="BQ15" i="7" s="1"/>
  <c r="U27" i="98"/>
  <c r="T32" i="98"/>
  <c r="T37" i="98" s="1"/>
  <c r="T41" i="98" s="1"/>
  <c r="Y13" i="66" s="1"/>
  <c r="AA36" i="66"/>
  <c r="Z37" i="66"/>
  <c r="BO18" i="8"/>
  <c r="S41" i="98"/>
  <c r="G6" i="92"/>
  <c r="J6" i="92" s="1"/>
  <c r="M6" i="92" s="1"/>
  <c r="F12" i="92"/>
  <c r="W37" i="95"/>
  <c r="V42" i="95"/>
  <c r="V47" i="95" s="1"/>
  <c r="CO28" i="17"/>
  <c r="BQ39" i="7" s="1"/>
  <c r="L52" i="68"/>
  <c r="J53" i="68"/>
  <c r="N49" i="68"/>
  <c r="N47" i="68"/>
  <c r="N50" i="68"/>
  <c r="N48" i="68"/>
  <c r="R44" i="68"/>
  <c r="R46" i="68" s="1"/>
  <c r="L51" i="68"/>
  <c r="L53" i="68" s="1"/>
  <c r="G26" i="86"/>
  <c r="H16" i="87"/>
  <c r="L18" i="87"/>
  <c r="P20" i="66"/>
  <c r="P21" i="66"/>
  <c r="P15" i="66"/>
  <c r="O14" i="66"/>
  <c r="O45" i="66"/>
  <c r="O36" i="66"/>
  <c r="O37" i="66" s="1"/>
  <c r="H17" i="66"/>
  <c r="H18" i="66"/>
  <c r="H19" i="66"/>
  <c r="H20" i="66"/>
  <c r="H21" i="66"/>
  <c r="H15" i="66"/>
  <c r="G14" i="66"/>
  <c r="G11" i="66" s="1"/>
  <c r="O24" i="66"/>
  <c r="P24" i="66"/>
  <c r="G24" i="66"/>
  <c r="H24" i="66"/>
  <c r="O11" i="66"/>
  <c r="O10" i="66" s="1"/>
  <c r="O38" i="66" s="1"/>
  <c r="E34" i="86"/>
  <c r="G40" i="65"/>
  <c r="H40" i="65"/>
  <c r="H17" i="65"/>
  <c r="H18" i="65"/>
  <c r="H19" i="65"/>
  <c r="H20" i="65"/>
  <c r="H21" i="65"/>
  <c r="H15" i="65"/>
  <c r="E29" i="86"/>
  <c r="E25" i="86"/>
  <c r="F39" i="86"/>
  <c r="D39" i="86"/>
  <c r="D30" i="86"/>
  <c r="E27" i="87"/>
  <c r="E28" i="87"/>
  <c r="E29" i="87"/>
  <c r="E26" i="87"/>
  <c r="F14" i="87"/>
  <c r="E16" i="87"/>
  <c r="F15" i="87"/>
  <c r="L15" i="87"/>
  <c r="M42" i="91"/>
  <c r="J42" i="91"/>
  <c r="G42" i="91"/>
  <c r="D42" i="91"/>
  <c r="C42" i="91" s="1"/>
  <c r="A42" i="91" s="1"/>
  <c r="B71" i="85" s="1"/>
  <c r="M41" i="91"/>
  <c r="J41" i="91"/>
  <c r="G41" i="91"/>
  <c r="D41" i="91"/>
  <c r="C41" i="91"/>
  <c r="A41" i="91" s="1"/>
  <c r="B70" i="85" s="1"/>
  <c r="M40" i="91"/>
  <c r="J40" i="91"/>
  <c r="G40" i="91"/>
  <c r="D40" i="91"/>
  <c r="C40" i="91" s="1"/>
  <c r="A40" i="91" s="1"/>
  <c r="B69" i="85" s="1"/>
  <c r="M39" i="91"/>
  <c r="J39" i="91"/>
  <c r="G39" i="91"/>
  <c r="D39" i="91"/>
  <c r="C39" i="91"/>
  <c r="A39" i="91" s="1"/>
  <c r="B68" i="85" s="1"/>
  <c r="M38" i="91"/>
  <c r="J38" i="91"/>
  <c r="G38" i="91"/>
  <c r="D38" i="91"/>
  <c r="C38" i="91" s="1"/>
  <c r="A38" i="91" s="1"/>
  <c r="B67" i="85" s="1"/>
  <c r="M37" i="91"/>
  <c r="J37" i="91"/>
  <c r="G37" i="91"/>
  <c r="D37" i="91"/>
  <c r="C37" i="91"/>
  <c r="A37" i="91" s="1"/>
  <c r="B66" i="85" s="1"/>
  <c r="M36" i="91"/>
  <c r="J36" i="91"/>
  <c r="G36" i="91"/>
  <c r="D36" i="91"/>
  <c r="C36" i="91" s="1"/>
  <c r="A36" i="91" s="1"/>
  <c r="B65" i="85" s="1"/>
  <c r="M35" i="91"/>
  <c r="J35" i="91"/>
  <c r="G35" i="91"/>
  <c r="D35" i="91"/>
  <c r="C35" i="91"/>
  <c r="A35" i="91" s="1"/>
  <c r="B64" i="85" s="1"/>
  <c r="M34" i="91"/>
  <c r="J34" i="91"/>
  <c r="G34" i="91"/>
  <c r="D34" i="91"/>
  <c r="C34" i="91" s="1"/>
  <c r="A34" i="91" s="1"/>
  <c r="B63" i="85" s="1"/>
  <c r="M33" i="91"/>
  <c r="J33" i="91"/>
  <c r="G33" i="91"/>
  <c r="D33" i="91"/>
  <c r="C33" i="91"/>
  <c r="A33" i="91" s="1"/>
  <c r="B62" i="85" s="1"/>
  <c r="M32" i="91"/>
  <c r="J32" i="91"/>
  <c r="G32" i="91"/>
  <c r="D32" i="91"/>
  <c r="C32" i="91" s="1"/>
  <c r="A32" i="91" s="1"/>
  <c r="B61" i="85" s="1"/>
  <c r="M31" i="91"/>
  <c r="M30" i="91" s="1"/>
  <c r="M28" i="91" s="1"/>
  <c r="J31" i="91"/>
  <c r="G31" i="91"/>
  <c r="G30" i="91" s="1"/>
  <c r="G28" i="91" s="1"/>
  <c r="D31" i="91"/>
  <c r="C31" i="91"/>
  <c r="A31" i="91" s="1"/>
  <c r="B60" i="85" s="1"/>
  <c r="O30" i="91"/>
  <c r="O28" i="91" s="1"/>
  <c r="N30" i="91"/>
  <c r="L30" i="91"/>
  <c r="L28" i="91" s="1"/>
  <c r="K30" i="91"/>
  <c r="K28" i="91" s="1"/>
  <c r="J30" i="91"/>
  <c r="I30" i="91"/>
  <c r="I28" i="91" s="1"/>
  <c r="H30" i="91"/>
  <c r="H28" i="91" s="1"/>
  <c r="F30" i="91"/>
  <c r="E30" i="91"/>
  <c r="E28" i="91" s="1"/>
  <c r="D30" i="91"/>
  <c r="D28" i="91" s="1"/>
  <c r="B30" i="91"/>
  <c r="N28" i="91"/>
  <c r="J28" i="91"/>
  <c r="F28" i="91"/>
  <c r="B28" i="91"/>
  <c r="M14" i="91"/>
  <c r="J14" i="91"/>
  <c r="G14" i="91"/>
  <c r="D14" i="91"/>
  <c r="C14" i="91" s="1"/>
  <c r="A14" i="91" s="1"/>
  <c r="B55" i="85" s="1"/>
  <c r="M13" i="91"/>
  <c r="J13" i="91"/>
  <c r="G13" i="91"/>
  <c r="D13" i="91"/>
  <c r="C13" i="91"/>
  <c r="A13" i="91" s="1"/>
  <c r="B54" i="85" s="1"/>
  <c r="M12" i="91"/>
  <c r="J12" i="91"/>
  <c r="G12" i="91"/>
  <c r="D12" i="91"/>
  <c r="C12" i="91" s="1"/>
  <c r="A12" i="91" s="1"/>
  <c r="B53" i="85" s="1"/>
  <c r="M11" i="91"/>
  <c r="J11" i="91"/>
  <c r="G11" i="91"/>
  <c r="D11" i="91"/>
  <c r="C11" i="91"/>
  <c r="A11" i="91" s="1"/>
  <c r="B52" i="85" s="1"/>
  <c r="M10" i="91"/>
  <c r="J10" i="91"/>
  <c r="G10" i="91"/>
  <c r="D10" i="91"/>
  <c r="C10" i="91" s="1"/>
  <c r="A10" i="91" s="1"/>
  <c r="B51" i="85" s="1"/>
  <c r="M9" i="91"/>
  <c r="J9" i="91"/>
  <c r="G9" i="91"/>
  <c r="D9" i="91"/>
  <c r="C9" i="91"/>
  <c r="A9" i="91" s="1"/>
  <c r="B50" i="85" s="1"/>
  <c r="M8" i="91"/>
  <c r="J8" i="91"/>
  <c r="G8" i="91"/>
  <c r="D8" i="91"/>
  <c r="C8" i="91" s="1"/>
  <c r="A8" i="91" s="1"/>
  <c r="B49" i="85" s="1"/>
  <c r="M7" i="91"/>
  <c r="J7" i="91"/>
  <c r="G7" i="91"/>
  <c r="D7" i="91"/>
  <c r="C7" i="91"/>
  <c r="A7" i="91" s="1"/>
  <c r="B48" i="85" s="1"/>
  <c r="M6" i="91"/>
  <c r="J6" i="91"/>
  <c r="G6" i="91"/>
  <c r="D6" i="91"/>
  <c r="C6" i="91" s="1"/>
  <c r="A6" i="91" s="1"/>
  <c r="B47" i="85" s="1"/>
  <c r="M5" i="91"/>
  <c r="J5" i="91"/>
  <c r="G5" i="91"/>
  <c r="D5" i="91"/>
  <c r="C5" i="91"/>
  <c r="A5" i="91" s="1"/>
  <c r="B46" i="85" s="1"/>
  <c r="M4" i="91"/>
  <c r="J4" i="91"/>
  <c r="G4" i="91"/>
  <c r="D4" i="91"/>
  <c r="C4" i="91" s="1"/>
  <c r="A4" i="91" s="1"/>
  <c r="B45" i="85" s="1"/>
  <c r="M3" i="91"/>
  <c r="M2" i="91" s="1"/>
  <c r="J3" i="91"/>
  <c r="G3" i="91"/>
  <c r="G2" i="91" s="1"/>
  <c r="D3" i="91"/>
  <c r="C3" i="91"/>
  <c r="A3" i="91" s="1"/>
  <c r="B44" i="85" s="1"/>
  <c r="O2" i="91"/>
  <c r="N2" i="91"/>
  <c r="L2" i="91"/>
  <c r="K2" i="91"/>
  <c r="J2" i="91"/>
  <c r="I2" i="91"/>
  <c r="H2" i="91"/>
  <c r="F2" i="91"/>
  <c r="E2" i="91"/>
  <c r="D2" i="91"/>
  <c r="B2" i="91"/>
  <c r="A30" i="91" l="1"/>
  <c r="A28" i="91" s="1"/>
  <c r="CN33" i="17"/>
  <c r="CO33" i="17" s="1"/>
  <c r="BN29" i="8" s="1"/>
  <c r="CN27" i="17"/>
  <c r="CO27" i="17" s="1"/>
  <c r="BQ31" i="7" s="1"/>
  <c r="BQ32" i="7" s="1"/>
  <c r="BQ33" i="7" s="1"/>
  <c r="CN32" i="17"/>
  <c r="CO32" i="17" s="1"/>
  <c r="BM23" i="8" s="1"/>
  <c r="EW35" i="116"/>
  <c r="EM35" i="116"/>
  <c r="DG35" i="116"/>
  <c r="CW35" i="116"/>
  <c r="BJ93" i="115"/>
  <c r="BD151" i="115"/>
  <c r="BJ151" i="115" s="1"/>
  <c r="G26" i="105"/>
  <c r="G18" i="105"/>
  <c r="U15" i="119"/>
  <c r="E18" i="120" s="1"/>
  <c r="EC9" i="116"/>
  <c r="CM9" i="116"/>
  <c r="X49" i="119"/>
  <c r="DZ58" i="116"/>
  <c r="AC56" i="118"/>
  <c r="FY70" i="114"/>
  <c r="FN70" i="114"/>
  <c r="J41" i="98"/>
  <c r="M13" i="66" s="1"/>
  <c r="J34" i="98"/>
  <c r="J38" i="98" s="1"/>
  <c r="V36" i="66"/>
  <c r="U37" i="66"/>
  <c r="U38" i="66"/>
  <c r="Q178" i="113"/>
  <c r="O21" i="118"/>
  <c r="AA21" i="118"/>
  <c r="BM178" i="113"/>
  <c r="CD150" i="113"/>
  <c r="AD19" i="118"/>
  <c r="CC149" i="113"/>
  <c r="CC145" i="113"/>
  <c r="CD145" i="113"/>
  <c r="CD115" i="113"/>
  <c r="CC109" i="113"/>
  <c r="CC105" i="113"/>
  <c r="CD103" i="113"/>
  <c r="CC117" i="113"/>
  <c r="CC115" i="113"/>
  <c r="CC111" i="113"/>
  <c r="CD109" i="113"/>
  <c r="CC107" i="113"/>
  <c r="CD105" i="113"/>
  <c r="CC103" i="113"/>
  <c r="CD106" i="113"/>
  <c r="CD146" i="113"/>
  <c r="CC148" i="113"/>
  <c r="CD147" i="113"/>
  <c r="CD117" i="113"/>
  <c r="CD111" i="113"/>
  <c r="CD107" i="113"/>
  <c r="CD104" i="113"/>
  <c r="CD102" i="113"/>
  <c r="CD116" i="113"/>
  <c r="CD113" i="113"/>
  <c r="CC110" i="113"/>
  <c r="CC108" i="113"/>
  <c r="CC106" i="113"/>
  <c r="CC104" i="113"/>
  <c r="CC102" i="113"/>
  <c r="CB176" i="113"/>
  <c r="CB215" i="113" s="1"/>
  <c r="CH215" i="113" s="1"/>
  <c r="CD108" i="113"/>
  <c r="CC113" i="113"/>
  <c r="CC147" i="113"/>
  <c r="CC150" i="113"/>
  <c r="CD148" i="113"/>
  <c r="CD110" i="113"/>
  <c r="CC116" i="113"/>
  <c r="CD149" i="113"/>
  <c r="CC146" i="113"/>
  <c r="E67" i="32"/>
  <c r="D67" i="32"/>
  <c r="EC11" i="116"/>
  <c r="U17" i="119"/>
  <c r="CM11" i="116"/>
  <c r="CK11" i="116" s="1"/>
  <c r="CB11" i="116"/>
  <c r="S17" i="119" s="1"/>
  <c r="BY14" i="114"/>
  <c r="W56" i="118"/>
  <c r="DZ70" i="114"/>
  <c r="DO70" i="114"/>
  <c r="G22" i="117"/>
  <c r="G34" i="117" s="1"/>
  <c r="E34" i="117"/>
  <c r="C58" i="113"/>
  <c r="CI58" i="113"/>
  <c r="CB58" i="113"/>
  <c r="CH58" i="113" s="1"/>
  <c r="CD170" i="113"/>
  <c r="CD172" i="113" s="1"/>
  <c r="D8" i="113"/>
  <c r="AF13" i="118"/>
  <c r="BO8" i="113"/>
  <c r="AQ8" i="113"/>
  <c r="S8" i="113"/>
  <c r="CJ8" i="113"/>
  <c r="CD10" i="113"/>
  <c r="CD11" i="113"/>
  <c r="S17" i="95"/>
  <c r="S22" i="95" s="1"/>
  <c r="T12" i="95"/>
  <c r="E68" i="117"/>
  <c r="G56" i="117"/>
  <c r="G68" i="117" s="1"/>
  <c r="O49" i="119"/>
  <c r="CD58" i="116"/>
  <c r="AN58" i="116"/>
  <c r="CM14" i="114"/>
  <c r="CK14" i="114" s="1"/>
  <c r="CD70" i="114"/>
  <c r="CB14" i="114"/>
  <c r="EL16" i="114"/>
  <c r="EJ16" i="114" s="1"/>
  <c r="EC14" i="114"/>
  <c r="EA16" i="114"/>
  <c r="N56" i="118"/>
  <c r="AN70" i="114"/>
  <c r="AC70" i="114"/>
  <c r="W19" i="118"/>
  <c r="F15" i="120" s="1"/>
  <c r="F13" i="120" s="1"/>
  <c r="AQ154" i="113"/>
  <c r="AO154" i="113" s="1"/>
  <c r="AQ176" i="113"/>
  <c r="AQ215" i="113" s="1"/>
  <c r="AO14" i="113"/>
  <c r="CJ176" i="113"/>
  <c r="CH14" i="113"/>
  <c r="CH176" i="113" s="1"/>
  <c r="L21" i="118"/>
  <c r="B178" i="113"/>
  <c r="AH178" i="113"/>
  <c r="T21" i="118"/>
  <c r="AN16" i="113"/>
  <c r="AH14" i="113"/>
  <c r="BF16" i="113"/>
  <c r="AF16" i="113"/>
  <c r="CJ48" i="72"/>
  <c r="CJ51" i="72" s="1"/>
  <c r="CI51" i="72"/>
  <c r="I56" i="85"/>
  <c r="M31" i="65"/>
  <c r="D19" i="99"/>
  <c r="C2" i="91"/>
  <c r="A2" i="91" s="1"/>
  <c r="C30" i="91"/>
  <c r="C28" i="91" s="1"/>
  <c r="BO73" i="8"/>
  <c r="BO98" i="8" s="1"/>
  <c r="W13" i="66" s="1"/>
  <c r="CD37" i="115"/>
  <c r="BR43" i="7"/>
  <c r="BR48" i="7"/>
  <c r="CC59" i="113" s="1"/>
  <c r="CC57" i="113" s="1"/>
  <c r="CM8" i="116"/>
  <c r="EC8" i="116"/>
  <c r="EL8" i="116" s="1"/>
  <c r="T64" i="32"/>
  <c r="S64" i="32"/>
  <c r="S70" i="32" s="1"/>
  <c r="N19" i="104" s="1"/>
  <c r="K18" i="120"/>
  <c r="Q19" i="118"/>
  <c r="D15" i="120" s="1"/>
  <c r="D13" i="120" s="1"/>
  <c r="S154" i="113"/>
  <c r="Q154" i="113" s="1"/>
  <c r="S176" i="113"/>
  <c r="S215" i="113" s="1"/>
  <c r="Q14" i="113"/>
  <c r="AC19" i="118"/>
  <c r="H15" i="120" s="1"/>
  <c r="H13" i="120" s="1"/>
  <c r="BO176" i="113"/>
  <c r="BO215" i="113" s="1"/>
  <c r="BO154" i="113"/>
  <c r="BM154" i="113" s="1"/>
  <c r="BM14" i="113"/>
  <c r="D66" i="32"/>
  <c r="D68" i="32" s="1"/>
  <c r="E66" i="32"/>
  <c r="AD49" i="119"/>
  <c r="FY58" i="116"/>
  <c r="BN14" i="8"/>
  <c r="CC22" i="115"/>
  <c r="V8" i="114"/>
  <c r="AQ8" i="114"/>
  <c r="AZ8" i="114"/>
  <c r="BI8" i="114"/>
  <c r="FG8" i="114"/>
  <c r="CP8" i="114"/>
  <c r="CY8" i="114"/>
  <c r="EX8" i="114"/>
  <c r="D8" i="114"/>
  <c r="GB10" i="114"/>
  <c r="GK10" i="114" s="1"/>
  <c r="DH8" i="114"/>
  <c r="EO8" i="114"/>
  <c r="GB11" i="114"/>
  <c r="M8" i="114"/>
  <c r="GK8" i="114"/>
  <c r="BG35" i="116"/>
  <c r="BP35" i="116" s="1"/>
  <c r="BQ35" i="116"/>
  <c r="H15" i="105"/>
  <c r="H5" i="105"/>
  <c r="U21" i="118"/>
  <c r="AO178" i="113"/>
  <c r="N19" i="118"/>
  <c r="C15" i="120" s="1"/>
  <c r="D154" i="113"/>
  <c r="D176" i="113"/>
  <c r="D215" i="113" s="1"/>
  <c r="Q56" i="118"/>
  <c r="CA70" i="114"/>
  <c r="BP70" i="114"/>
  <c r="D200" i="113"/>
  <c r="D55" i="114" s="1"/>
  <c r="S139" i="113"/>
  <c r="BQ48" i="7"/>
  <c r="BQ49" i="7" s="1"/>
  <c r="BR49" i="7"/>
  <c r="BQ43" i="7"/>
  <c r="AB36" i="66"/>
  <c r="AA37" i="66"/>
  <c r="V27" i="98"/>
  <c r="U32" i="98"/>
  <c r="U37" i="98" s="1"/>
  <c r="U41" i="98" s="1"/>
  <c r="Z13" i="66" s="1"/>
  <c r="CO30" i="17"/>
  <c r="CN30" i="17" s="1"/>
  <c r="CN38" i="17" s="1"/>
  <c r="BN38" i="8"/>
  <c r="CC94" i="115" s="1"/>
  <c r="G12" i="92"/>
  <c r="G8" i="92"/>
  <c r="F14" i="92"/>
  <c r="F15" i="92" s="1"/>
  <c r="X37" i="95"/>
  <c r="X42" i="95" s="1"/>
  <c r="X47" i="95" s="1"/>
  <c r="W42" i="95"/>
  <c r="W47" i="95" s="1"/>
  <c r="BQ40" i="7"/>
  <c r="N51" i="68"/>
  <c r="P50" i="68"/>
  <c r="P48" i="68"/>
  <c r="P49" i="68"/>
  <c r="P47" i="68"/>
  <c r="N52" i="68"/>
  <c r="T44" i="68"/>
  <c r="T46" i="68" s="1"/>
  <c r="O23" i="66"/>
  <c r="G35" i="86"/>
  <c r="G39" i="86" s="1"/>
  <c r="M19" i="87" s="1"/>
  <c r="P16" i="66" s="1"/>
  <c r="G10" i="66"/>
  <c r="G23" i="66"/>
  <c r="S200" i="113" l="1"/>
  <c r="AQ55" i="114" s="1"/>
  <c r="M55" i="114"/>
  <c r="V55" i="114" s="1"/>
  <c r="AH154" i="113"/>
  <c r="B154" i="113"/>
  <c r="I7" i="105"/>
  <c r="H13" i="105"/>
  <c r="P26" i="119"/>
  <c r="BY35" i="116"/>
  <c r="CB35" i="116"/>
  <c r="M10" i="114"/>
  <c r="M11" i="114"/>
  <c r="M12" i="114" s="1"/>
  <c r="M13" i="114" s="1"/>
  <c r="EO11" i="114"/>
  <c r="EO12" i="114" s="1"/>
  <c r="EO13" i="114" s="1"/>
  <c r="FP8" i="114"/>
  <c r="EO10" i="114"/>
  <c r="EX10" i="114"/>
  <c r="EX11" i="114"/>
  <c r="EX12" i="114" s="1"/>
  <c r="EX13" i="114" s="1"/>
  <c r="DQ8" i="114"/>
  <c r="CP11" i="114"/>
  <c r="CP12" i="114" s="1"/>
  <c r="CP13" i="114" s="1"/>
  <c r="CP10" i="114"/>
  <c r="BI10" i="114"/>
  <c r="BI11" i="114"/>
  <c r="BI12" i="114" s="1"/>
  <c r="BI13" i="114" s="1"/>
  <c r="AQ11" i="114"/>
  <c r="AQ12" i="114" s="1"/>
  <c r="AQ13" i="114" s="1"/>
  <c r="AQ10" i="114"/>
  <c r="BR8" i="114"/>
  <c r="CI22" i="115"/>
  <c r="CB22" i="115"/>
  <c r="C22" i="115"/>
  <c r="H66" i="32"/>
  <c r="J66" i="32" s="1"/>
  <c r="G66" i="32"/>
  <c r="AA19" i="118"/>
  <c r="BM176" i="113"/>
  <c r="BM215" i="113" s="1"/>
  <c r="O19" i="118"/>
  <c r="Q176" i="113"/>
  <c r="Q215" i="113" s="1"/>
  <c r="R21" i="118"/>
  <c r="AF178" i="113"/>
  <c r="AH176" i="113"/>
  <c r="AH215" i="113" s="1"/>
  <c r="AN215" i="113" s="1"/>
  <c r="T19" i="118"/>
  <c r="E15" i="120" s="1"/>
  <c r="E13" i="120" s="1"/>
  <c r="AF14" i="113"/>
  <c r="AO176" i="113"/>
  <c r="AO215" i="113" s="1"/>
  <c r="U19" i="118"/>
  <c r="L56" i="118"/>
  <c r="AL70" i="114"/>
  <c r="EL14" i="114"/>
  <c r="EJ14" i="114" s="1"/>
  <c r="EC70" i="114"/>
  <c r="EA14" i="114"/>
  <c r="EA70" i="114" s="1"/>
  <c r="CM58" i="116"/>
  <c r="U49" i="119"/>
  <c r="EC58" i="116"/>
  <c r="U12" i="95"/>
  <c r="T17" i="95"/>
  <c r="T22" i="95" s="1"/>
  <c r="T32" i="95" s="1"/>
  <c r="T51" i="95" s="1"/>
  <c r="Y13" i="64" s="1"/>
  <c r="CD173" i="113"/>
  <c r="AF16" i="118"/>
  <c r="CD12" i="113"/>
  <c r="CJ170" i="113"/>
  <c r="CJ172" i="113" s="1"/>
  <c r="CJ11" i="113"/>
  <c r="AQ170" i="113"/>
  <c r="AQ172" i="113" s="1"/>
  <c r="W13" i="118"/>
  <c r="AQ10" i="113"/>
  <c r="W15" i="118" s="1"/>
  <c r="AQ11" i="113"/>
  <c r="CI57" i="113"/>
  <c r="CB57" i="113"/>
  <c r="CH57" i="113" s="1"/>
  <c r="U56" i="118"/>
  <c r="DX70" i="114"/>
  <c r="AA17" i="119"/>
  <c r="EL11" i="116"/>
  <c r="EJ11" i="116" s="1"/>
  <c r="EA11" i="116"/>
  <c r="Y17" i="119" s="1"/>
  <c r="H67" i="32"/>
  <c r="J67" i="32" s="1"/>
  <c r="G67" i="32"/>
  <c r="CJ149" i="113"/>
  <c r="CD210" i="113"/>
  <c r="CJ210" i="113" s="1"/>
  <c r="D149" i="113"/>
  <c r="CJ110" i="113"/>
  <c r="D110" i="113"/>
  <c r="S110" i="113" s="1"/>
  <c r="AH110" i="113" s="1"/>
  <c r="AN110" i="113" s="1"/>
  <c r="CI150" i="113"/>
  <c r="CC211" i="113"/>
  <c r="CI211" i="113" s="1"/>
  <c r="C150" i="113"/>
  <c r="CI113" i="113"/>
  <c r="CC112" i="113"/>
  <c r="C113" i="113"/>
  <c r="CI104" i="113"/>
  <c r="C104" i="113"/>
  <c r="CI108" i="113"/>
  <c r="CC242" i="113"/>
  <c r="CI242" i="113" s="1"/>
  <c r="C108" i="113"/>
  <c r="CJ113" i="113"/>
  <c r="CD112" i="113"/>
  <c r="CJ112" i="113" s="1"/>
  <c r="D113" i="113"/>
  <c r="CJ102" i="113"/>
  <c r="D102" i="113"/>
  <c r="CJ107" i="113"/>
  <c r="CD241" i="113"/>
  <c r="CJ241" i="113" s="1"/>
  <c r="D107" i="113"/>
  <c r="CJ117" i="113"/>
  <c r="D117" i="113"/>
  <c r="CI148" i="113"/>
  <c r="CC209" i="113"/>
  <c r="CI209" i="113" s="1"/>
  <c r="C148" i="113"/>
  <c r="CJ106" i="113"/>
  <c r="D106" i="113"/>
  <c r="CJ105" i="113"/>
  <c r="CD240" i="113"/>
  <c r="CJ240" i="113" s="1"/>
  <c r="CD197" i="113"/>
  <c r="CJ197" i="113" s="1"/>
  <c r="D105" i="113"/>
  <c r="CJ109" i="113"/>
  <c r="CD243" i="113"/>
  <c r="CJ243" i="113" s="1"/>
  <c r="D109" i="113"/>
  <c r="CI115" i="113"/>
  <c r="C115" i="113"/>
  <c r="CC114" i="113"/>
  <c r="CJ103" i="113"/>
  <c r="D103" i="113"/>
  <c r="S103" i="113" s="1"/>
  <c r="AH103" i="113" s="1"/>
  <c r="CI109" i="113"/>
  <c r="CC243" i="113"/>
  <c r="CI243" i="113" s="1"/>
  <c r="C109" i="113"/>
  <c r="CJ145" i="113"/>
  <c r="CD206" i="113"/>
  <c r="CJ206" i="113" s="1"/>
  <c r="D145" i="113"/>
  <c r="CI149" i="113"/>
  <c r="CC210" i="113"/>
  <c r="CI210" i="113" s="1"/>
  <c r="C149" i="113"/>
  <c r="CJ150" i="113"/>
  <c r="CD211" i="113"/>
  <c r="CJ211" i="113" s="1"/>
  <c r="D150" i="113"/>
  <c r="AA56" i="118"/>
  <c r="FW70" i="114"/>
  <c r="AA15" i="119"/>
  <c r="G18" i="120" s="1"/>
  <c r="EL9" i="116"/>
  <c r="EV35" i="116"/>
  <c r="FF35" i="116"/>
  <c r="N53" i="68"/>
  <c r="CI94" i="115"/>
  <c r="C94" i="115"/>
  <c r="CB94" i="115"/>
  <c r="CH94" i="115" s="1"/>
  <c r="AH139" i="113"/>
  <c r="O56" i="118"/>
  <c r="BY70" i="114"/>
  <c r="K15" i="120"/>
  <c r="C13" i="120"/>
  <c r="K13" i="120" s="1"/>
  <c r="H20" i="105"/>
  <c r="Q26" i="119"/>
  <c r="BZ35" i="116"/>
  <c r="CC35" i="116"/>
  <c r="GB12" i="114"/>
  <c r="GK11" i="114"/>
  <c r="DH11" i="114"/>
  <c r="DH12" i="114" s="1"/>
  <c r="DH13" i="114" s="1"/>
  <c r="DH10" i="114"/>
  <c r="AE8" i="114"/>
  <c r="D10" i="114"/>
  <c r="D11" i="114"/>
  <c r="D12" i="114" s="1"/>
  <c r="D13" i="114" s="1"/>
  <c r="CY11" i="114"/>
  <c r="CY12" i="114" s="1"/>
  <c r="CY13" i="114" s="1"/>
  <c r="CY10" i="114"/>
  <c r="FG11" i="114"/>
  <c r="FG12" i="114" s="1"/>
  <c r="FG13" i="114" s="1"/>
  <c r="FG10" i="114"/>
  <c r="AZ10" i="114"/>
  <c r="AZ11" i="114"/>
  <c r="AZ12" i="114" s="1"/>
  <c r="AZ13" i="114" s="1"/>
  <c r="V10" i="114"/>
  <c r="V11" i="114"/>
  <c r="V12" i="114" s="1"/>
  <c r="V13" i="114" s="1"/>
  <c r="CC23" i="115"/>
  <c r="BN15" i="8"/>
  <c r="BM14" i="8"/>
  <c r="BM15" i="8" s="1"/>
  <c r="W64" i="32"/>
  <c r="Y64" i="32" s="1"/>
  <c r="Y70" i="32" s="1"/>
  <c r="P19" i="104" s="1"/>
  <c r="V64" i="32"/>
  <c r="V70" i="32" s="1"/>
  <c r="O19" i="104" s="1"/>
  <c r="CI59" i="113"/>
  <c r="C59" i="113"/>
  <c r="CB59" i="113"/>
  <c r="CC60" i="113"/>
  <c r="CI60" i="113" s="1"/>
  <c r="D37" i="115"/>
  <c r="CJ37" i="115"/>
  <c r="CD147" i="115"/>
  <c r="D17" i="99"/>
  <c r="CH51" i="72"/>
  <c r="Z21" i="118"/>
  <c r="BL16" i="113"/>
  <c r="BF178" i="113"/>
  <c r="BF14" i="113"/>
  <c r="BD16" i="113"/>
  <c r="AN178" i="113"/>
  <c r="AN14" i="113"/>
  <c r="AL16" i="113"/>
  <c r="AL178" i="113" s="1"/>
  <c r="T56" i="118"/>
  <c r="CM70" i="114"/>
  <c r="CB70" i="114"/>
  <c r="CD25" i="113"/>
  <c r="BS9" i="7"/>
  <c r="BS121" i="7" s="1"/>
  <c r="BS148" i="7" s="1"/>
  <c r="W13" i="64" s="1"/>
  <c r="S32" i="95"/>
  <c r="S51" i="95" s="1"/>
  <c r="CJ10" i="113"/>
  <c r="AF15" i="118"/>
  <c r="S170" i="113"/>
  <c r="S172" i="113" s="1"/>
  <c r="Q13" i="118"/>
  <c r="S11" i="113"/>
  <c r="S10" i="113"/>
  <c r="Q15" i="118" s="1"/>
  <c r="BO170" i="113"/>
  <c r="BO172" i="113" s="1"/>
  <c r="AC13" i="118"/>
  <c r="BO10" i="113"/>
  <c r="AC15" i="118" s="1"/>
  <c r="BO11" i="113"/>
  <c r="N13" i="118"/>
  <c r="D170" i="113"/>
  <c r="D172" i="113" s="1"/>
  <c r="AH8" i="113"/>
  <c r="D11" i="113"/>
  <c r="D10" i="113"/>
  <c r="N15" i="118" s="1"/>
  <c r="R58" i="113"/>
  <c r="B58" i="113"/>
  <c r="D71" i="32"/>
  <c r="D10" i="104" s="1"/>
  <c r="D14" i="104" s="1"/>
  <c r="M16" i="61" s="1"/>
  <c r="M14" i="61" s="1"/>
  <c r="CI146" i="113"/>
  <c r="CC207" i="113"/>
  <c r="CI207" i="113" s="1"/>
  <c r="C146" i="113"/>
  <c r="CI116" i="113"/>
  <c r="CC257" i="113"/>
  <c r="CI257" i="113" s="1"/>
  <c r="C116" i="113"/>
  <c r="CJ148" i="113"/>
  <c r="CD209" i="113"/>
  <c r="CJ209" i="113" s="1"/>
  <c r="D148" i="113"/>
  <c r="CI147" i="113"/>
  <c r="CC208" i="113"/>
  <c r="CI208" i="113" s="1"/>
  <c r="C147" i="113"/>
  <c r="CJ108" i="113"/>
  <c r="CD242" i="113"/>
  <c r="CJ242" i="113" s="1"/>
  <c r="D108" i="113"/>
  <c r="CI102" i="113"/>
  <c r="C102" i="113"/>
  <c r="CI106" i="113"/>
  <c r="C106" i="113"/>
  <c r="CI110" i="113"/>
  <c r="C110" i="113"/>
  <c r="CJ116" i="113"/>
  <c r="CD257" i="113"/>
  <c r="CJ257" i="113" s="1"/>
  <c r="D116" i="113"/>
  <c r="CJ104" i="113"/>
  <c r="D104" i="113"/>
  <c r="S104" i="113" s="1"/>
  <c r="AH104" i="113" s="1"/>
  <c r="AQ104" i="113" s="1"/>
  <c r="BO104" i="113" s="1"/>
  <c r="CJ111" i="113"/>
  <c r="D111" i="113"/>
  <c r="CJ147" i="113"/>
  <c r="CD208" i="113"/>
  <c r="CJ208" i="113" s="1"/>
  <c r="D147" i="113"/>
  <c r="CJ146" i="113"/>
  <c r="CD207" i="113"/>
  <c r="CJ207" i="113" s="1"/>
  <c r="D146" i="113"/>
  <c r="CI103" i="113"/>
  <c r="C103" i="113"/>
  <c r="CI107" i="113"/>
  <c r="CC241" i="113"/>
  <c r="CI241" i="113" s="1"/>
  <c r="C107" i="113"/>
  <c r="CI111" i="113"/>
  <c r="C111" i="113"/>
  <c r="CI117" i="113"/>
  <c r="C117" i="113"/>
  <c r="CI105" i="113"/>
  <c r="CC240" i="113"/>
  <c r="CI240" i="113" s="1"/>
  <c r="CC197" i="113"/>
  <c r="CI197" i="113" s="1"/>
  <c r="C105" i="113"/>
  <c r="CJ115" i="113"/>
  <c r="D115" i="113"/>
  <c r="CD114" i="113"/>
  <c r="CJ114" i="113" s="1"/>
  <c r="CI145" i="113"/>
  <c r="CC206" i="113"/>
  <c r="CI206" i="113" s="1"/>
  <c r="C145" i="113"/>
  <c r="V37" i="66"/>
  <c r="V38" i="66"/>
  <c r="G35" i="105"/>
  <c r="G24" i="105"/>
  <c r="DF35" i="116"/>
  <c r="DO35" i="116" s="1"/>
  <c r="DP35" i="116"/>
  <c r="BM29" i="8"/>
  <c r="CC73" i="115"/>
  <c r="BN30" i="8"/>
  <c r="W27" i="98"/>
  <c r="V32" i="98"/>
  <c r="V37" i="98" s="1"/>
  <c r="V41" i="98" s="1"/>
  <c r="AA13" i="66" s="1"/>
  <c r="AB37" i="66"/>
  <c r="AC36" i="66"/>
  <c r="AC37" i="66" s="1"/>
  <c r="BM38" i="8"/>
  <c r="BN39" i="8"/>
  <c r="BQ41" i="7"/>
  <c r="P51" i="68"/>
  <c r="P52" i="68"/>
  <c r="R49" i="68"/>
  <c r="R47" i="68"/>
  <c r="R50" i="68"/>
  <c r="R48" i="68"/>
  <c r="T50" i="68"/>
  <c r="T48" i="68"/>
  <c r="T49" i="68"/>
  <c r="T47" i="68"/>
  <c r="D71" i="85"/>
  <c r="D70" i="85"/>
  <c r="D69" i="85"/>
  <c r="D68" i="85"/>
  <c r="D67" i="85"/>
  <c r="D66" i="85"/>
  <c r="D65" i="85"/>
  <c r="D64" i="85"/>
  <c r="D63" i="85"/>
  <c r="D62" i="85"/>
  <c r="D61" i="85"/>
  <c r="D60" i="85"/>
  <c r="D55" i="85"/>
  <c r="D54" i="85"/>
  <c r="D53" i="85"/>
  <c r="D52" i="85"/>
  <c r="D51" i="85"/>
  <c r="D50" i="85"/>
  <c r="D49" i="85"/>
  <c r="D48" i="85"/>
  <c r="D47" i="85"/>
  <c r="D46" i="85"/>
  <c r="D45" i="85"/>
  <c r="D44" i="85"/>
  <c r="P38" i="65"/>
  <c r="P37" i="65"/>
  <c r="G38" i="65"/>
  <c r="H38" i="65"/>
  <c r="G24" i="65"/>
  <c r="H24" i="65"/>
  <c r="G14" i="65"/>
  <c r="G11" i="65"/>
  <c r="G10" i="65" s="1"/>
  <c r="P17" i="64"/>
  <c r="P18" i="64"/>
  <c r="X18" i="64" s="1"/>
  <c r="P19" i="64"/>
  <c r="X19" i="64" s="1"/>
  <c r="P20" i="64"/>
  <c r="X20" i="64" s="1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O37" i="64" s="1"/>
  <c r="G14" i="64"/>
  <c r="G11" i="64" s="1"/>
  <c r="F4" i="64"/>
  <c r="F4" i="65" s="1"/>
  <c r="F4" i="66" s="1"/>
  <c r="P17" i="61"/>
  <c r="P19" i="61"/>
  <c r="X19" i="61" s="1"/>
  <c r="P20" i="61"/>
  <c r="X20" i="61" s="1"/>
  <c r="P21" i="61"/>
  <c r="E25" i="87"/>
  <c r="F27" i="87"/>
  <c r="F28" i="87"/>
  <c r="F29" i="87"/>
  <c r="H15" i="87"/>
  <c r="H14" i="87"/>
  <c r="I14" i="87" s="1"/>
  <c r="M25" i="87"/>
  <c r="P22" i="66" s="1"/>
  <c r="K24" i="87"/>
  <c r="Q21" i="64" s="1"/>
  <c r="Q14" i="64" s="1"/>
  <c r="Q11" i="64" s="1"/>
  <c r="H24" i="87"/>
  <c r="K23" i="87"/>
  <c r="H23" i="87"/>
  <c r="M22" i="87"/>
  <c r="H22" i="87"/>
  <c r="M21" i="87"/>
  <c r="M20" i="87"/>
  <c r="P17" i="66" s="1"/>
  <c r="H20" i="87"/>
  <c r="K18" i="87"/>
  <c r="L16" i="87"/>
  <c r="K16" i="87" s="1"/>
  <c r="I16" i="87"/>
  <c r="I15" i="87"/>
  <c r="L14" i="87"/>
  <c r="K14" i="87" s="1"/>
  <c r="C33" i="90"/>
  <c r="C32" i="90"/>
  <c r="C26" i="90"/>
  <c r="C25" i="90"/>
  <c r="G13" i="90"/>
  <c r="AQ110" i="113" l="1"/>
  <c r="T19" i="65"/>
  <c r="L19" i="64"/>
  <c r="L20" i="64"/>
  <c r="T20" i="65"/>
  <c r="CC74" i="115"/>
  <c r="BM30" i="8"/>
  <c r="BM31" i="8" s="1"/>
  <c r="BN31" i="8"/>
  <c r="DY35" i="116"/>
  <c r="W26" i="119"/>
  <c r="S115" i="113"/>
  <c r="D114" i="113"/>
  <c r="R117" i="113"/>
  <c r="B117" i="113"/>
  <c r="R111" i="113"/>
  <c r="AG111" i="113" s="1"/>
  <c r="B111" i="113"/>
  <c r="C241" i="113"/>
  <c r="B107" i="113"/>
  <c r="B241" i="113" s="1"/>
  <c r="R107" i="113"/>
  <c r="AG107" i="113" s="1"/>
  <c r="R103" i="113"/>
  <c r="Q103" i="113" s="1"/>
  <c r="B103" i="113"/>
  <c r="D257" i="113"/>
  <c r="S116" i="113"/>
  <c r="R110" i="113"/>
  <c r="Q110" i="113" s="1"/>
  <c r="B110" i="113"/>
  <c r="R102" i="113"/>
  <c r="AG102" i="113" s="1"/>
  <c r="B102" i="113"/>
  <c r="Q58" i="113"/>
  <c r="N16" i="118"/>
  <c r="D12" i="113"/>
  <c r="D173" i="113"/>
  <c r="BO173" i="113"/>
  <c r="AC16" i="118"/>
  <c r="BO12" i="113"/>
  <c r="CJ25" i="113"/>
  <c r="CD186" i="113"/>
  <c r="D25" i="113"/>
  <c r="BF176" i="113"/>
  <c r="BF215" i="113" s="1"/>
  <c r="BL215" i="113" s="1"/>
  <c r="Z19" i="118"/>
  <c r="G15" i="120" s="1"/>
  <c r="G13" i="120" s="1"/>
  <c r="BD14" i="113"/>
  <c r="BL178" i="113"/>
  <c r="BL14" i="113"/>
  <c r="BJ16" i="113"/>
  <c r="BJ178" i="113" s="1"/>
  <c r="D20" i="99"/>
  <c r="E17" i="99"/>
  <c r="BD51" i="19" s="1"/>
  <c r="CJ147" i="115"/>
  <c r="S37" i="115"/>
  <c r="D147" i="115"/>
  <c r="D31" i="116" s="1"/>
  <c r="B59" i="113"/>
  <c r="B60" i="113" s="1"/>
  <c r="R59" i="113"/>
  <c r="AG59" i="113" s="1"/>
  <c r="C60" i="113"/>
  <c r="CI23" i="115"/>
  <c r="CC24" i="115"/>
  <c r="CI24" i="115" s="1"/>
  <c r="C23" i="115"/>
  <c r="CB23" i="115"/>
  <c r="H26" i="105"/>
  <c r="H18" i="105"/>
  <c r="B94" i="115"/>
  <c r="R94" i="115"/>
  <c r="D211" i="113"/>
  <c r="D66" i="114" s="1"/>
  <c r="S150" i="113"/>
  <c r="C210" i="113"/>
  <c r="C65" i="114" s="1"/>
  <c r="R149" i="113"/>
  <c r="AG149" i="113" s="1"/>
  <c r="B149" i="113"/>
  <c r="B210" i="113" s="1"/>
  <c r="D206" i="113"/>
  <c r="D61" i="114" s="1"/>
  <c r="D144" i="113"/>
  <c r="D205" i="113" s="1"/>
  <c r="S145" i="113"/>
  <c r="C243" i="113"/>
  <c r="B109" i="113"/>
  <c r="B243" i="113" s="1"/>
  <c r="R109" i="113"/>
  <c r="AN103" i="113"/>
  <c r="R115" i="113"/>
  <c r="B115" i="113"/>
  <c r="C114" i="113"/>
  <c r="S106" i="113"/>
  <c r="AH106" i="113"/>
  <c r="D112" i="113"/>
  <c r="S113" i="113"/>
  <c r="S112" i="113" s="1"/>
  <c r="C242" i="113"/>
  <c r="B108" i="113"/>
  <c r="B242" i="113" s="1"/>
  <c r="R108" i="113"/>
  <c r="AG108" i="113" s="1"/>
  <c r="R104" i="113"/>
  <c r="Q104" i="113" s="1"/>
  <c r="B104" i="113"/>
  <c r="CI112" i="113"/>
  <c r="CB112" i="113"/>
  <c r="CH112" i="113" s="1"/>
  <c r="BF110" i="113"/>
  <c r="BL110" i="113" s="1"/>
  <c r="BO110" i="113"/>
  <c r="D210" i="113"/>
  <c r="D65" i="114" s="1"/>
  <c r="S149" i="113"/>
  <c r="AA49" i="119"/>
  <c r="GB58" i="116"/>
  <c r="EL58" i="116"/>
  <c r="Z56" i="118"/>
  <c r="EL70" i="114"/>
  <c r="AF176" i="113"/>
  <c r="AF215" i="113" s="1"/>
  <c r="AL215" i="113" s="1"/>
  <c r="R19" i="118"/>
  <c r="B22" i="115"/>
  <c r="R22" i="115"/>
  <c r="AG22" i="115" s="1"/>
  <c r="CH22" i="115"/>
  <c r="BR10" i="114"/>
  <c r="CA10" i="114" s="1"/>
  <c r="BR11" i="114"/>
  <c r="BR12" i="114" s="1"/>
  <c r="BR13" i="114" s="1"/>
  <c r="CA13" i="114" s="1"/>
  <c r="CA8" i="114"/>
  <c r="CA11" i="114" s="1"/>
  <c r="CA12" i="114" s="1"/>
  <c r="EA35" i="116"/>
  <c r="S26" i="119"/>
  <c r="CK35" i="116"/>
  <c r="I15" i="105"/>
  <c r="I20" i="105" s="1"/>
  <c r="I5" i="105"/>
  <c r="AN154" i="113"/>
  <c r="BF154" i="113"/>
  <c r="AF154" i="113"/>
  <c r="AL154" i="113" s="1"/>
  <c r="AZ55" i="114"/>
  <c r="BI55" i="114" s="1"/>
  <c r="G10" i="64"/>
  <c r="N20" i="64"/>
  <c r="N19" i="64"/>
  <c r="D56" i="85"/>
  <c r="H31" i="65" s="1"/>
  <c r="D72" i="85"/>
  <c r="H31" i="66" s="1"/>
  <c r="CC95" i="115"/>
  <c r="CB73" i="115"/>
  <c r="CH73" i="115" s="1"/>
  <c r="C73" i="115"/>
  <c r="CI73" i="115"/>
  <c r="V26" i="119"/>
  <c r="DX35" i="116"/>
  <c r="C206" i="113"/>
  <c r="C61" i="114" s="1"/>
  <c r="C144" i="113"/>
  <c r="R145" i="113"/>
  <c r="AG145" i="113" s="1"/>
  <c r="B145" i="113"/>
  <c r="B206" i="113" s="1"/>
  <c r="C240" i="113"/>
  <c r="C197" i="113"/>
  <c r="C52" i="114" s="1"/>
  <c r="R105" i="113"/>
  <c r="B105" i="113"/>
  <c r="D207" i="113"/>
  <c r="D62" i="114" s="1"/>
  <c r="S146" i="113"/>
  <c r="D208" i="113"/>
  <c r="D63" i="114" s="1"/>
  <c r="S147" i="113"/>
  <c r="S111" i="113"/>
  <c r="AN104" i="113"/>
  <c r="BF104" i="113"/>
  <c r="BL104" i="113" s="1"/>
  <c r="R106" i="113"/>
  <c r="Q106" i="113" s="1"/>
  <c r="B106" i="113"/>
  <c r="D242" i="113"/>
  <c r="S108" i="113"/>
  <c r="S242" i="113" s="1"/>
  <c r="C208" i="113"/>
  <c r="C63" i="114" s="1"/>
  <c r="R147" i="113"/>
  <c r="B147" i="113"/>
  <c r="B208" i="113" s="1"/>
  <c r="AG147" i="113"/>
  <c r="D209" i="113"/>
  <c r="D64" i="114" s="1"/>
  <c r="S148" i="113"/>
  <c r="C257" i="113"/>
  <c r="B116" i="113"/>
  <c r="B257" i="113" s="1"/>
  <c r="R116" i="113"/>
  <c r="AG116" i="113" s="1"/>
  <c r="C207" i="113"/>
  <c r="C62" i="114" s="1"/>
  <c r="B146" i="113"/>
  <c r="B207" i="113" s="1"/>
  <c r="R146" i="113"/>
  <c r="AG58" i="113"/>
  <c r="C57" i="113"/>
  <c r="T13" i="118"/>
  <c r="AN8" i="113"/>
  <c r="AH170" i="113"/>
  <c r="AH172" i="113" s="1"/>
  <c r="BF8" i="113"/>
  <c r="AH11" i="113"/>
  <c r="AH10" i="113"/>
  <c r="S173" i="113"/>
  <c r="Q16" i="118"/>
  <c r="S12" i="113"/>
  <c r="R56" i="118"/>
  <c r="CK70" i="114"/>
  <c r="AN176" i="113"/>
  <c r="AL14" i="113"/>
  <c r="AL176" i="113" s="1"/>
  <c r="BD178" i="113"/>
  <c r="X21" i="118"/>
  <c r="CH59" i="113"/>
  <c r="CB60" i="113"/>
  <c r="CH60" i="113" s="1"/>
  <c r="AN8" i="114"/>
  <c r="AN11" i="114" s="1"/>
  <c r="AN12" i="114" s="1"/>
  <c r="AE10" i="114"/>
  <c r="AN10" i="114" s="1"/>
  <c r="AE11" i="114"/>
  <c r="AE12" i="114" s="1"/>
  <c r="AE13" i="114" s="1"/>
  <c r="AN13" i="114" s="1"/>
  <c r="CD8" i="114"/>
  <c r="GB13" i="114"/>
  <c r="GK13" i="114" s="1"/>
  <c r="GK12" i="114"/>
  <c r="T26" i="119"/>
  <c r="EB35" i="116"/>
  <c r="CL35" i="116"/>
  <c r="AN139" i="113"/>
  <c r="AH200" i="113"/>
  <c r="AN200" i="113" s="1"/>
  <c r="AQ139" i="113"/>
  <c r="BF139" i="113" s="1"/>
  <c r="FE35" i="116"/>
  <c r="FN35" i="116" s="1"/>
  <c r="FO35" i="116"/>
  <c r="AQ103" i="113"/>
  <c r="BO103" i="113" s="1"/>
  <c r="CI114" i="113"/>
  <c r="CB114" i="113"/>
  <c r="CH114" i="113" s="1"/>
  <c r="D243" i="113"/>
  <c r="S109" i="113"/>
  <c r="D240" i="113"/>
  <c r="D197" i="113"/>
  <c r="D52" i="114" s="1"/>
  <c r="S105" i="113"/>
  <c r="C209" i="113"/>
  <c r="C64" i="114" s="1"/>
  <c r="B148" i="113"/>
  <c r="B209" i="113" s="1"/>
  <c r="R148" i="113"/>
  <c r="AG148" i="113" s="1"/>
  <c r="S117" i="113"/>
  <c r="D241" i="113"/>
  <c r="S107" i="113"/>
  <c r="S102" i="113"/>
  <c r="AH102" i="113" s="1"/>
  <c r="R113" i="113"/>
  <c r="B113" i="113"/>
  <c r="C112" i="113"/>
  <c r="C211" i="113"/>
  <c r="C66" i="114" s="1"/>
  <c r="B150" i="113"/>
  <c r="B211" i="113" s="1"/>
  <c r="R150" i="113"/>
  <c r="AG150" i="113" s="1"/>
  <c r="AQ173" i="113"/>
  <c r="W16" i="118"/>
  <c r="AQ12" i="113"/>
  <c r="CJ173" i="113"/>
  <c r="CJ12" i="113"/>
  <c r="CJ174" i="113" s="1"/>
  <c r="AF17" i="118"/>
  <c r="CD13" i="113"/>
  <c r="CD174" i="113"/>
  <c r="CD175" i="113" s="1"/>
  <c r="U17" i="95"/>
  <c r="U22" i="95" s="1"/>
  <c r="U32" i="95" s="1"/>
  <c r="U51" i="95" s="1"/>
  <c r="Z13" i="64" s="1"/>
  <c r="V12" i="95"/>
  <c r="X56" i="118"/>
  <c r="EJ70" i="114"/>
  <c r="DQ10" i="114"/>
  <c r="DZ10" i="114" s="1"/>
  <c r="DZ8" i="114"/>
  <c r="DQ11" i="114"/>
  <c r="FY8" i="114"/>
  <c r="FP10" i="114"/>
  <c r="FY10" i="114" s="1"/>
  <c r="FP11" i="114"/>
  <c r="AE55" i="114"/>
  <c r="W32" i="98"/>
  <c r="W37" i="98" s="1"/>
  <c r="W41" i="98" s="1"/>
  <c r="AB13" i="66" s="1"/>
  <c r="X27" i="98"/>
  <c r="X32" i="98" s="1"/>
  <c r="X37" i="98" s="1"/>
  <c r="X41" i="98" s="1"/>
  <c r="AC13" i="66" s="1"/>
  <c r="BM76" i="8"/>
  <c r="P18" i="66"/>
  <c r="X18" i="66" s="1"/>
  <c r="S18" i="64"/>
  <c r="S14" i="64" s="1"/>
  <c r="S11" i="64" s="1"/>
  <c r="Y19" i="65"/>
  <c r="S19" i="64"/>
  <c r="T19" i="61"/>
  <c r="Q20" i="64"/>
  <c r="R20" i="61"/>
  <c r="W20" i="65"/>
  <c r="Q10" i="64"/>
  <c r="Q35" i="64" s="1"/>
  <c r="Q37" i="64" s="1"/>
  <c r="Q23" i="64"/>
  <c r="BN40" i="8"/>
  <c r="BM39" i="8"/>
  <c r="BM40" i="8" s="1"/>
  <c r="B19" i="99"/>
  <c r="P53" i="68"/>
  <c r="T51" i="68"/>
  <c r="T52" i="68"/>
  <c r="R51" i="68"/>
  <c r="R52" i="68"/>
  <c r="M17" i="87"/>
  <c r="K22" i="87"/>
  <c r="P19" i="66"/>
  <c r="B72" i="85"/>
  <c r="C72" i="85" s="1"/>
  <c r="B56" i="85"/>
  <c r="C56" i="85" s="1"/>
  <c r="G23" i="65"/>
  <c r="G23" i="64"/>
  <c r="O23" i="64"/>
  <c r="AG104" i="113" l="1"/>
  <c r="AG110" i="113"/>
  <c r="AG106" i="113"/>
  <c r="D60" i="114"/>
  <c r="AG103" i="113"/>
  <c r="BF200" i="113"/>
  <c r="BL200" i="113" s="1"/>
  <c r="BL139" i="113"/>
  <c r="AM116" i="113"/>
  <c r="AG257" i="113"/>
  <c r="AM257" i="113" s="1"/>
  <c r="AP116" i="113"/>
  <c r="BE116" i="113" s="1"/>
  <c r="AM145" i="113"/>
  <c r="AG206" i="113"/>
  <c r="AM206" i="113" s="1"/>
  <c r="AP145" i="113"/>
  <c r="BE145" i="113" s="1"/>
  <c r="AB26" i="119"/>
  <c r="FW35" i="116"/>
  <c r="I26" i="105"/>
  <c r="I18" i="105"/>
  <c r="AM22" i="115"/>
  <c r="AF22" i="115"/>
  <c r="AP22" i="115"/>
  <c r="BE22" i="115" s="1"/>
  <c r="AM108" i="113"/>
  <c r="AG242" i="113"/>
  <c r="AM242" i="113" s="1"/>
  <c r="AP108" i="113"/>
  <c r="BE108" i="113" s="1"/>
  <c r="AM149" i="113"/>
  <c r="AG210" i="113"/>
  <c r="AM210" i="113" s="1"/>
  <c r="AP149" i="113"/>
  <c r="BE149" i="113" s="1"/>
  <c r="AM107" i="113"/>
  <c r="AG241" i="113"/>
  <c r="AM241" i="113" s="1"/>
  <c r="AP107" i="113"/>
  <c r="DQ12" i="114"/>
  <c r="DZ11" i="114"/>
  <c r="FY11" i="114"/>
  <c r="FP12" i="114"/>
  <c r="W12" i="95"/>
  <c r="V17" i="95"/>
  <c r="V22" i="95" s="1"/>
  <c r="V32" i="95" s="1"/>
  <c r="V51" i="95" s="1"/>
  <c r="AA13" i="64" s="1"/>
  <c r="R211" i="113"/>
  <c r="AP66" i="114" s="1"/>
  <c r="Q150" i="113"/>
  <c r="Q211" i="113" s="1"/>
  <c r="C101" i="113"/>
  <c r="B112" i="113"/>
  <c r="AG113" i="113"/>
  <c r="R112" i="113"/>
  <c r="Q112" i="113" s="1"/>
  <c r="Q113" i="113"/>
  <c r="Q148" i="113"/>
  <c r="Q209" i="113" s="1"/>
  <c r="R209" i="113"/>
  <c r="AP64" i="114" s="1"/>
  <c r="L64" i="114"/>
  <c r="B64" i="114"/>
  <c r="M52" i="114"/>
  <c r="V52" i="114" s="1"/>
  <c r="AH109" i="113"/>
  <c r="S243" i="113"/>
  <c r="Z26" i="119"/>
  <c r="EK35" i="116"/>
  <c r="GA35" i="116"/>
  <c r="CD11" i="114"/>
  <c r="CD10" i="114"/>
  <c r="CM10" i="114" s="1"/>
  <c r="EC8" i="114"/>
  <c r="CM8" i="114"/>
  <c r="Q17" i="118"/>
  <c r="S174" i="113"/>
  <c r="S175" i="113" s="1"/>
  <c r="S13" i="113"/>
  <c r="Q18" i="118" s="1"/>
  <c r="AH173" i="113"/>
  <c r="AH12" i="113"/>
  <c r="T16" i="118"/>
  <c r="AF58" i="113"/>
  <c r="AL58" i="113" s="1"/>
  <c r="AM58" i="113"/>
  <c r="AP58" i="113"/>
  <c r="BE58" i="113" s="1"/>
  <c r="AH148" i="113"/>
  <c r="S209" i="113"/>
  <c r="AQ64" i="114" s="1"/>
  <c r="AM147" i="113"/>
  <c r="AG208" i="113"/>
  <c r="AM208" i="113" s="1"/>
  <c r="AP147" i="113"/>
  <c r="BE147" i="113" s="1"/>
  <c r="R208" i="113"/>
  <c r="AP63" i="114" s="1"/>
  <c r="Q147" i="113"/>
  <c r="Q208" i="113" s="1"/>
  <c r="AH108" i="113"/>
  <c r="AF108" i="113" s="1"/>
  <c r="AH111" i="113"/>
  <c r="AH147" i="113"/>
  <c r="S208" i="113"/>
  <c r="AQ63" i="114" s="1"/>
  <c r="AH146" i="113"/>
  <c r="S207" i="113"/>
  <c r="AQ62" i="114" s="1"/>
  <c r="B197" i="113"/>
  <c r="B240" i="113"/>
  <c r="L52" i="114"/>
  <c r="B52" i="114"/>
  <c r="L61" i="114"/>
  <c r="B61" i="114"/>
  <c r="BR55" i="114"/>
  <c r="Q42" i="118" s="1"/>
  <c r="FZ35" i="116"/>
  <c r="Y26" i="119"/>
  <c r="EJ35" i="116"/>
  <c r="M65" i="114"/>
  <c r="V65" i="114" s="1"/>
  <c r="AH113" i="113"/>
  <c r="AH112" i="113"/>
  <c r="BF103" i="113"/>
  <c r="BL103" i="113" s="1"/>
  <c r="AG109" i="113"/>
  <c r="R243" i="113"/>
  <c r="Q109" i="113"/>
  <c r="Q243" i="113" s="1"/>
  <c r="M60" i="114"/>
  <c r="V60" i="114" s="1"/>
  <c r="AH150" i="113"/>
  <c r="AF150" i="113" s="1"/>
  <c r="S211" i="113"/>
  <c r="AQ66" i="114" s="1"/>
  <c r="H35" i="105"/>
  <c r="H24" i="105"/>
  <c r="CH23" i="115"/>
  <c r="CB24" i="115"/>
  <c r="CH24" i="115" s="1"/>
  <c r="AH37" i="115"/>
  <c r="S147" i="115"/>
  <c r="E18" i="99"/>
  <c r="BB51" i="19" s="1"/>
  <c r="E16" i="99"/>
  <c r="E15" i="99"/>
  <c r="E19" i="99"/>
  <c r="BC51" i="19" s="1"/>
  <c r="BL176" i="113"/>
  <c r="BJ14" i="113"/>
  <c r="BJ176" i="113" s="1"/>
  <c r="BD176" i="113"/>
  <c r="BD215" i="113" s="1"/>
  <c r="BJ215" i="113" s="1"/>
  <c r="X19" i="118"/>
  <c r="D186" i="113"/>
  <c r="S25" i="113"/>
  <c r="AM110" i="113"/>
  <c r="AF110" i="113"/>
  <c r="AL110" i="113" s="1"/>
  <c r="AP110" i="113"/>
  <c r="BE110" i="113" s="1"/>
  <c r="AM111" i="113"/>
  <c r="AF111" i="113"/>
  <c r="AP111" i="113"/>
  <c r="Q111" i="113"/>
  <c r="AH115" i="113"/>
  <c r="S114" i="113"/>
  <c r="N42" i="118"/>
  <c r="AN55" i="114"/>
  <c r="AF18" i="118"/>
  <c r="CJ13" i="113"/>
  <c r="CJ175" i="113" s="1"/>
  <c r="W17" i="118"/>
  <c r="AQ174" i="113"/>
  <c r="AQ175" i="113" s="1"/>
  <c r="AQ13" i="113"/>
  <c r="W18" i="118" s="1"/>
  <c r="AM150" i="113"/>
  <c r="AG211" i="113"/>
  <c r="AM211" i="113" s="1"/>
  <c r="AP150" i="113"/>
  <c r="L66" i="114"/>
  <c r="B66" i="114"/>
  <c r="AN102" i="113"/>
  <c r="AQ102" i="113"/>
  <c r="AH107" i="113"/>
  <c r="AF107" i="113" s="1"/>
  <c r="S241" i="113"/>
  <c r="AH117" i="113"/>
  <c r="AM148" i="113"/>
  <c r="AG209" i="113"/>
  <c r="AM209" i="113" s="1"/>
  <c r="AF148" i="113"/>
  <c r="AP148" i="113"/>
  <c r="AH105" i="113"/>
  <c r="S240" i="113"/>
  <c r="S197" i="113"/>
  <c r="AQ52" i="114" s="1"/>
  <c r="FX35" i="116"/>
  <c r="AC26" i="119"/>
  <c r="AQ200" i="113"/>
  <c r="CP55" i="114" s="1"/>
  <c r="BO139" i="113"/>
  <c r="AN10" i="113"/>
  <c r="AN172" i="113" s="1"/>
  <c r="T15" i="118"/>
  <c r="Z13" i="118"/>
  <c r="BL8" i="113"/>
  <c r="BF170" i="113"/>
  <c r="BF172" i="113" s="1"/>
  <c r="BF11" i="113"/>
  <c r="BF10" i="113"/>
  <c r="AN170" i="113"/>
  <c r="AN11" i="113"/>
  <c r="B57" i="113"/>
  <c r="AG146" i="113"/>
  <c r="R207" i="113"/>
  <c r="AP62" i="114" s="1"/>
  <c r="Q146" i="113"/>
  <c r="Q207" i="113" s="1"/>
  <c r="L62" i="114"/>
  <c r="B62" i="114"/>
  <c r="Q116" i="113"/>
  <c r="Q257" i="113" s="1"/>
  <c r="R257" i="113"/>
  <c r="M64" i="114"/>
  <c r="V64" i="114" s="1"/>
  <c r="L63" i="114"/>
  <c r="B63" i="114"/>
  <c r="AM106" i="113"/>
  <c r="AF106" i="113"/>
  <c r="AL106" i="113" s="1"/>
  <c r="AP106" i="113"/>
  <c r="BE106" i="113" s="1"/>
  <c r="M63" i="114"/>
  <c r="V63" i="114" s="1"/>
  <c r="M62" i="114"/>
  <c r="V62" i="114" s="1"/>
  <c r="AG105" i="113"/>
  <c r="R240" i="113"/>
  <c r="R197" i="113"/>
  <c r="AP52" i="114" s="1"/>
  <c r="Q105" i="113"/>
  <c r="R206" i="113"/>
  <c r="AP61" i="114" s="1"/>
  <c r="R144" i="113"/>
  <c r="Q145" i="113"/>
  <c r="Q206" i="113" s="1"/>
  <c r="C205" i="113"/>
  <c r="B144" i="113"/>
  <c r="B205" i="113" s="1"/>
  <c r="AG144" i="113"/>
  <c r="B73" i="115"/>
  <c r="R73" i="115"/>
  <c r="CC96" i="115"/>
  <c r="CI96" i="115" s="1"/>
  <c r="CI95" i="115"/>
  <c r="CB95" i="115"/>
  <c r="C95" i="115"/>
  <c r="BL154" i="113"/>
  <c r="CD154" i="113"/>
  <c r="BD154" i="113"/>
  <c r="BJ154" i="113" s="1"/>
  <c r="J7" i="105"/>
  <c r="I13" i="105"/>
  <c r="Q22" i="115"/>
  <c r="AG49" i="119"/>
  <c r="GK58" i="116"/>
  <c r="AH149" i="113"/>
  <c r="S210" i="113"/>
  <c r="AQ65" i="114" s="1"/>
  <c r="AM104" i="113"/>
  <c r="AF104" i="113"/>
  <c r="AL104" i="113" s="1"/>
  <c r="AP104" i="113"/>
  <c r="BE104" i="113" s="1"/>
  <c r="Q108" i="113"/>
  <c r="Q242" i="113" s="1"/>
  <c r="R242" i="113"/>
  <c r="AN106" i="113"/>
  <c r="AQ106" i="113"/>
  <c r="B114" i="113"/>
  <c r="AG115" i="113"/>
  <c r="R114" i="113"/>
  <c r="Q115" i="113"/>
  <c r="AH145" i="113"/>
  <c r="AF145" i="113" s="1"/>
  <c r="S206" i="113"/>
  <c r="AQ61" i="114" s="1"/>
  <c r="S144" i="113"/>
  <c r="M61" i="114"/>
  <c r="V61" i="114" s="1"/>
  <c r="Q149" i="113"/>
  <c r="Q210" i="113" s="1"/>
  <c r="R210" i="113"/>
  <c r="AP65" i="114" s="1"/>
  <c r="L65" i="114"/>
  <c r="B65" i="114"/>
  <c r="M66" i="114"/>
  <c r="V66" i="114" s="1"/>
  <c r="AG94" i="115"/>
  <c r="Q94" i="115"/>
  <c r="C24" i="115"/>
  <c r="R23" i="115"/>
  <c r="B23" i="115"/>
  <c r="AG23" i="115"/>
  <c r="AM59" i="113"/>
  <c r="AF59" i="113"/>
  <c r="AG60" i="113"/>
  <c r="AM60" i="113" s="1"/>
  <c r="AP59" i="113"/>
  <c r="BE59" i="113" s="1"/>
  <c r="Q59" i="113"/>
  <c r="Q60" i="113" s="1"/>
  <c r="R60" i="113"/>
  <c r="M31" i="116"/>
  <c r="V31" i="116" s="1"/>
  <c r="BD13" i="19"/>
  <c r="BD21" i="19"/>
  <c r="BD29" i="19"/>
  <c r="BD35" i="19"/>
  <c r="BD43" i="19"/>
  <c r="BD45" i="19"/>
  <c r="BD47" i="19"/>
  <c r="BD8" i="19"/>
  <c r="BD20" i="19"/>
  <c r="BD22" i="19"/>
  <c r="BD28" i="19"/>
  <c r="BD32" i="19"/>
  <c r="BD38" i="19"/>
  <c r="BD40" i="19"/>
  <c r="BD44" i="19"/>
  <c r="BD46" i="19"/>
  <c r="BD48" i="19"/>
  <c r="BD9" i="19"/>
  <c r="BD31" i="19"/>
  <c r="BD37" i="19"/>
  <c r="BD39" i="19"/>
  <c r="BD41" i="19"/>
  <c r="BD49" i="19"/>
  <c r="BD17" i="19"/>
  <c r="BD16" i="19"/>
  <c r="BD18" i="19"/>
  <c r="BD26" i="19"/>
  <c r="BD36" i="19"/>
  <c r="BD42" i="19"/>
  <c r="BD30" i="19"/>
  <c r="BD24" i="19"/>
  <c r="BD34" i="19"/>
  <c r="BD10" i="19"/>
  <c r="BD14" i="19" s="1"/>
  <c r="BD33" i="19"/>
  <c r="BD27" i="19"/>
  <c r="BD23" i="19"/>
  <c r="BD19" i="19"/>
  <c r="BD25" i="19"/>
  <c r="BD11" i="19"/>
  <c r="BD12" i="19" s="1"/>
  <c r="CJ186" i="113"/>
  <c r="AC17" i="118"/>
  <c r="BO174" i="113"/>
  <c r="BO175" i="113" s="1"/>
  <c r="BO13" i="113"/>
  <c r="AC18" i="118" s="1"/>
  <c r="N17" i="118"/>
  <c r="D13" i="113"/>
  <c r="N18" i="118" s="1"/>
  <c r="D174" i="113"/>
  <c r="D175" i="113" s="1"/>
  <c r="R57" i="113"/>
  <c r="AM102" i="113"/>
  <c r="AF102" i="113"/>
  <c r="AL102" i="113" s="1"/>
  <c r="AP102" i="113"/>
  <c r="BE102" i="113" s="1"/>
  <c r="Q102" i="113"/>
  <c r="AH116" i="113"/>
  <c r="S257" i="113"/>
  <c r="AM103" i="113"/>
  <c r="AF103" i="113"/>
  <c r="AL103" i="113" s="1"/>
  <c r="AP103" i="113"/>
  <c r="Q107" i="113"/>
  <c r="Q241" i="113" s="1"/>
  <c r="R241" i="113"/>
  <c r="AG117" i="113"/>
  <c r="Q117" i="113"/>
  <c r="D101" i="113"/>
  <c r="C74" i="115"/>
  <c r="CB74" i="115"/>
  <c r="CI74" i="115"/>
  <c r="CC75" i="115"/>
  <c r="CI75" i="115" s="1"/>
  <c r="Q19" i="64"/>
  <c r="R19" i="61"/>
  <c r="W19" i="65"/>
  <c r="S10" i="64"/>
  <c r="S35" i="64" s="1"/>
  <c r="S37" i="64" s="1"/>
  <c r="S23" i="64"/>
  <c r="P14" i="66"/>
  <c r="R53" i="68"/>
  <c r="T53" i="68"/>
  <c r="H18" i="87"/>
  <c r="I18" i="87" s="1"/>
  <c r="P15" i="61" s="1"/>
  <c r="X15" i="61" s="1"/>
  <c r="CD55" i="114" l="1"/>
  <c r="AE60" i="114"/>
  <c r="AE65" i="114"/>
  <c r="C60" i="114"/>
  <c r="B60" i="114" s="1"/>
  <c r="AE61" i="114"/>
  <c r="AE63" i="114"/>
  <c r="AE66" i="114"/>
  <c r="AE62" i="114"/>
  <c r="N48" i="118" s="1"/>
  <c r="BK104" i="113"/>
  <c r="BD104" i="113"/>
  <c r="BJ104" i="113" s="1"/>
  <c r="BK58" i="113"/>
  <c r="BD58" i="113"/>
  <c r="BJ58" i="113" s="1"/>
  <c r="BK22" i="115"/>
  <c r="BD22" i="115"/>
  <c r="AL145" i="113"/>
  <c r="AF206" i="113"/>
  <c r="AL206" i="113" s="1"/>
  <c r="BK106" i="113"/>
  <c r="AF241" i="113"/>
  <c r="AL241" i="113" s="1"/>
  <c r="AL107" i="113"/>
  <c r="AL108" i="113"/>
  <c r="AF242" i="113"/>
  <c r="AL242" i="113" s="1"/>
  <c r="BE210" i="113"/>
  <c r="BK210" i="113" s="1"/>
  <c r="BK149" i="113"/>
  <c r="BE257" i="113"/>
  <c r="BK257" i="113" s="1"/>
  <c r="BK116" i="113"/>
  <c r="CH74" i="115"/>
  <c r="CB75" i="115"/>
  <c r="CH75" i="115" s="1"/>
  <c r="AM117" i="113"/>
  <c r="AF117" i="113"/>
  <c r="AP117" i="113"/>
  <c r="BK102" i="113"/>
  <c r="C75" i="115"/>
  <c r="R74" i="115"/>
  <c r="B74" i="115"/>
  <c r="B75" i="115" s="1"/>
  <c r="AG74" i="115"/>
  <c r="BE103" i="113"/>
  <c r="AO103" i="113"/>
  <c r="BN103" i="113"/>
  <c r="BM103" i="113" s="1"/>
  <c r="AN116" i="113"/>
  <c r="AH257" i="113"/>
  <c r="AN257" i="113" s="1"/>
  <c r="AQ116" i="113"/>
  <c r="BN102" i="113"/>
  <c r="AO102" i="113"/>
  <c r="Q57" i="113"/>
  <c r="BD50" i="19"/>
  <c r="AE31" i="116"/>
  <c r="AP60" i="113"/>
  <c r="AO59" i="113"/>
  <c r="BN59" i="113"/>
  <c r="B24" i="115"/>
  <c r="AF94" i="115"/>
  <c r="AL94" i="115" s="1"/>
  <c r="AM94" i="115"/>
  <c r="AP94" i="115"/>
  <c r="U65" i="114"/>
  <c r="K65" i="114"/>
  <c r="AZ61" i="114"/>
  <c r="BI61" i="114" s="1"/>
  <c r="AM115" i="113"/>
  <c r="AF115" i="113"/>
  <c r="AL115" i="113" s="1"/>
  <c r="AP115" i="113"/>
  <c r="AN149" i="113"/>
  <c r="AH210" i="113"/>
  <c r="AN210" i="113" s="1"/>
  <c r="AQ149" i="113"/>
  <c r="J15" i="105"/>
  <c r="J5" i="105"/>
  <c r="CJ154" i="113"/>
  <c r="CB154" i="113"/>
  <c r="CH154" i="113" s="1"/>
  <c r="C96" i="115"/>
  <c r="R95" i="115"/>
  <c r="B95" i="115"/>
  <c r="B96" i="115" s="1"/>
  <c r="C90" i="115"/>
  <c r="C71" i="115"/>
  <c r="AO61" i="114"/>
  <c r="AY61" i="114"/>
  <c r="AO52" i="114"/>
  <c r="AY52" i="114"/>
  <c r="AM105" i="113"/>
  <c r="AG240" i="113"/>
  <c r="AM240" i="113" s="1"/>
  <c r="AG197" i="113"/>
  <c r="AM197" i="113" s="1"/>
  <c r="AF105" i="113"/>
  <c r="AP105" i="113"/>
  <c r="AE64" i="114"/>
  <c r="K62" i="114"/>
  <c r="U62" i="114"/>
  <c r="AO62" i="114"/>
  <c r="AY62" i="114"/>
  <c r="AG57" i="113"/>
  <c r="Z16" i="118"/>
  <c r="BF173" i="113"/>
  <c r="BF12" i="113"/>
  <c r="BL170" i="113"/>
  <c r="BL11" i="113"/>
  <c r="CY55" i="114"/>
  <c r="DH55" i="114" s="1"/>
  <c r="BE148" i="113"/>
  <c r="AP209" i="113"/>
  <c r="CO64" i="114" s="1"/>
  <c r="BN148" i="113"/>
  <c r="BF102" i="113"/>
  <c r="BL102" i="113" s="1"/>
  <c r="BO102" i="113"/>
  <c r="K66" i="114"/>
  <c r="U66" i="114"/>
  <c r="AL150" i="113"/>
  <c r="AF211" i="113"/>
  <c r="AL211" i="113" s="1"/>
  <c r="T42" i="118"/>
  <c r="AH114" i="113"/>
  <c r="S101" i="113"/>
  <c r="BE111" i="113"/>
  <c r="BN111" i="113"/>
  <c r="AO110" i="113"/>
  <c r="BN110" i="113"/>
  <c r="BM110" i="113" s="1"/>
  <c r="AH25" i="113"/>
  <c r="S186" i="113"/>
  <c r="BC21" i="19"/>
  <c r="BC29" i="19"/>
  <c r="BC35" i="19"/>
  <c r="BC43" i="19"/>
  <c r="BC45" i="19"/>
  <c r="BC47" i="19"/>
  <c r="BC8" i="19"/>
  <c r="BC20" i="19"/>
  <c r="BC22" i="19"/>
  <c r="BC28" i="19"/>
  <c r="BC32" i="19"/>
  <c r="BC38" i="19"/>
  <c r="BC40" i="19"/>
  <c r="BC44" i="19"/>
  <c r="BC46" i="19"/>
  <c r="BC48" i="19"/>
  <c r="BC9" i="19"/>
  <c r="BC13" i="19"/>
  <c r="BC17" i="19"/>
  <c r="BC18" i="19"/>
  <c r="BC26" i="19"/>
  <c r="BC36" i="19"/>
  <c r="BC42" i="19"/>
  <c r="BC30" i="19"/>
  <c r="BC31" i="19"/>
  <c r="BC37" i="19"/>
  <c r="BC39" i="19"/>
  <c r="BC41" i="19"/>
  <c r="BC16" i="19"/>
  <c r="BC49" i="19"/>
  <c r="BC34" i="19"/>
  <c r="BC10" i="19"/>
  <c r="BC14" i="19" s="1"/>
  <c r="BC33" i="19"/>
  <c r="BC27" i="19"/>
  <c r="BC23" i="19"/>
  <c r="BC19" i="19"/>
  <c r="BC24" i="19"/>
  <c r="BC11" i="19"/>
  <c r="BC12" i="19" s="1"/>
  <c r="BC25" i="19"/>
  <c r="AQ31" i="116"/>
  <c r="AN150" i="113"/>
  <c r="AH211" i="113"/>
  <c r="AN211" i="113" s="1"/>
  <c r="AQ150" i="113"/>
  <c r="BF150" i="113" s="1"/>
  <c r="AN113" i="113"/>
  <c r="AQ113" i="113"/>
  <c r="BF113" i="113" s="1"/>
  <c r="BL113" i="113" s="1"/>
  <c r="F4" i="122"/>
  <c r="AE26" i="119"/>
  <c r="GI35" i="116"/>
  <c r="U52" i="114"/>
  <c r="K52" i="114"/>
  <c r="AN146" i="113"/>
  <c r="AH207" i="113"/>
  <c r="AN207" i="113" s="1"/>
  <c r="AQ146" i="113"/>
  <c r="BF146" i="113" s="1"/>
  <c r="AN147" i="113"/>
  <c r="AH208" i="113"/>
  <c r="AN208" i="113" s="1"/>
  <c r="AQ147" i="113"/>
  <c r="BF147" i="113" s="1"/>
  <c r="AN111" i="113"/>
  <c r="AQ111" i="113"/>
  <c r="BF111" i="113" s="1"/>
  <c r="AP208" i="113"/>
  <c r="CO63" i="114" s="1"/>
  <c r="BN147" i="113"/>
  <c r="AF147" i="113"/>
  <c r="AN148" i="113"/>
  <c r="AH209" i="113"/>
  <c r="AN209" i="113" s="1"/>
  <c r="AQ148" i="113"/>
  <c r="T17" i="118"/>
  <c r="AH13" i="113"/>
  <c r="AH174" i="113"/>
  <c r="AH175" i="113" s="1"/>
  <c r="EL8" i="114"/>
  <c r="EC10" i="114"/>
  <c r="EL10" i="114" s="1"/>
  <c r="EC11" i="114"/>
  <c r="CM11" i="114"/>
  <c r="CD12" i="114"/>
  <c r="AE52" i="114"/>
  <c r="U64" i="114"/>
  <c r="K64" i="114"/>
  <c r="AG112" i="113"/>
  <c r="B101" i="113"/>
  <c r="AO66" i="114"/>
  <c r="AY66" i="114"/>
  <c r="X12" i="95"/>
  <c r="X17" i="95" s="1"/>
  <c r="X22" i="95" s="1"/>
  <c r="X32" i="95" s="1"/>
  <c r="X51" i="95" s="1"/>
  <c r="AC13" i="64" s="1"/>
  <c r="W17" i="95"/>
  <c r="W22" i="95" s="1"/>
  <c r="W32" i="95" s="1"/>
  <c r="W51" i="95" s="1"/>
  <c r="AB13" i="64" s="1"/>
  <c r="DZ12" i="114"/>
  <c r="DQ13" i="114"/>
  <c r="DZ13" i="114" s="1"/>
  <c r="AP242" i="113"/>
  <c r="BN108" i="113"/>
  <c r="AP206" i="113"/>
  <c r="CO61" i="114" s="1"/>
  <c r="BN145" i="113"/>
  <c r="BD59" i="113"/>
  <c r="BK59" i="113"/>
  <c r="BE60" i="113"/>
  <c r="BK60" i="113" s="1"/>
  <c r="AL59" i="113"/>
  <c r="AF60" i="113"/>
  <c r="AL60" i="113" s="1"/>
  <c r="AF23" i="115"/>
  <c r="AM23" i="115"/>
  <c r="AG24" i="115"/>
  <c r="AM24" i="115" s="1"/>
  <c r="AP23" i="115"/>
  <c r="BE23" i="115" s="1"/>
  <c r="Q23" i="115"/>
  <c r="R24" i="115"/>
  <c r="N52" i="118"/>
  <c r="AN66" i="114"/>
  <c r="AO65" i="114"/>
  <c r="AY65" i="114"/>
  <c r="N47" i="118"/>
  <c r="AN61" i="114"/>
  <c r="AH144" i="113"/>
  <c r="S205" i="113"/>
  <c r="AQ60" i="114" s="1"/>
  <c r="AN145" i="113"/>
  <c r="AH206" i="113"/>
  <c r="AN206" i="113" s="1"/>
  <c r="AQ145" i="113"/>
  <c r="Q114" i="113"/>
  <c r="R101" i="113"/>
  <c r="AG114" i="113"/>
  <c r="BF106" i="113"/>
  <c r="BL106" i="113" s="1"/>
  <c r="BO106" i="113"/>
  <c r="BN104" i="113"/>
  <c r="BM104" i="113" s="1"/>
  <c r="AO104" i="113"/>
  <c r="AZ65" i="114"/>
  <c r="BI65" i="114" s="1"/>
  <c r="CH95" i="115"/>
  <c r="CB96" i="115"/>
  <c r="CH96" i="115" s="1"/>
  <c r="AG73" i="115"/>
  <c r="Q73" i="115"/>
  <c r="R71" i="115"/>
  <c r="Q71" i="115" s="1"/>
  <c r="AM144" i="113"/>
  <c r="AG205" i="113"/>
  <c r="AM205" i="113" s="1"/>
  <c r="AF144" i="113"/>
  <c r="L60" i="114"/>
  <c r="R205" i="113"/>
  <c r="AP60" i="114" s="1"/>
  <c r="Q144" i="113"/>
  <c r="Q205" i="113" s="1"/>
  <c r="Q240" i="113"/>
  <c r="Q197" i="113"/>
  <c r="N49" i="118"/>
  <c r="AN63" i="114"/>
  <c r="BN106" i="113"/>
  <c r="AO106" i="113"/>
  <c r="U63" i="114"/>
  <c r="K63" i="114"/>
  <c r="AM146" i="113"/>
  <c r="AG207" i="113"/>
  <c r="AM207" i="113" s="1"/>
  <c r="AF146" i="113"/>
  <c r="AP146" i="113"/>
  <c r="AN173" i="113"/>
  <c r="AN12" i="113"/>
  <c r="AN174" i="113" s="1"/>
  <c r="Z15" i="118"/>
  <c r="BL10" i="113"/>
  <c r="BL172" i="113" s="1"/>
  <c r="BO200" i="113"/>
  <c r="EO55" i="114" s="1"/>
  <c r="AZ52" i="114"/>
  <c r="BI52" i="114" s="1"/>
  <c r="AN105" i="113"/>
  <c r="AH240" i="113"/>
  <c r="AN240" i="113" s="1"/>
  <c r="AH197" i="113"/>
  <c r="AN197" i="113" s="1"/>
  <c r="AQ105" i="113"/>
  <c r="BF105" i="113" s="1"/>
  <c r="AL148" i="113"/>
  <c r="AF209" i="113"/>
  <c r="AL209" i="113" s="1"/>
  <c r="AN117" i="113"/>
  <c r="AQ117" i="113"/>
  <c r="BF117" i="113" s="1"/>
  <c r="AN107" i="113"/>
  <c r="AH241" i="113"/>
  <c r="AN241" i="113" s="1"/>
  <c r="AQ107" i="113"/>
  <c r="BF107" i="113" s="1"/>
  <c r="BE150" i="113"/>
  <c r="AP211" i="113"/>
  <c r="CO66" i="114" s="1"/>
  <c r="AO150" i="113"/>
  <c r="AO211" i="113" s="1"/>
  <c r="BN150" i="113"/>
  <c r="AN115" i="113"/>
  <c r="AQ115" i="113"/>
  <c r="BF115" i="113" s="1"/>
  <c r="BL115" i="113" s="1"/>
  <c r="AL111" i="113"/>
  <c r="BD110" i="113"/>
  <c r="BJ110" i="113" s="1"/>
  <c r="BK110" i="113"/>
  <c r="D41" i="114"/>
  <c r="E20" i="99"/>
  <c r="BE51" i="19"/>
  <c r="BB13" i="19"/>
  <c r="BB21" i="19"/>
  <c r="BB29" i="19"/>
  <c r="BB35" i="19"/>
  <c r="BB43" i="19"/>
  <c r="BB45" i="19"/>
  <c r="BB47" i="19"/>
  <c r="BB8" i="19"/>
  <c r="BB20" i="19"/>
  <c r="BB22" i="19"/>
  <c r="BB28" i="19"/>
  <c r="BB32" i="19"/>
  <c r="BB38" i="19"/>
  <c r="BB40" i="19"/>
  <c r="BB44" i="19"/>
  <c r="BB46" i="19"/>
  <c r="BB48" i="19"/>
  <c r="BB9" i="19"/>
  <c r="BA51" i="19"/>
  <c r="BB31" i="19"/>
  <c r="BB37" i="19"/>
  <c r="BB39" i="19"/>
  <c r="BB41" i="19"/>
  <c r="BB16" i="19"/>
  <c r="BB18" i="19"/>
  <c r="BB26" i="19"/>
  <c r="BB36" i="19"/>
  <c r="BB42" i="19"/>
  <c r="BB49" i="19"/>
  <c r="BB30" i="19"/>
  <c r="BB17" i="19"/>
  <c r="BB34" i="19"/>
  <c r="BB10" i="19"/>
  <c r="BB14" i="19" s="1"/>
  <c r="BB24" i="19"/>
  <c r="BB33" i="19"/>
  <c r="BB27" i="19"/>
  <c r="BB23" i="19"/>
  <c r="BB19" i="19"/>
  <c r="BB11" i="19"/>
  <c r="BB12" i="19" s="1"/>
  <c r="BB25" i="19"/>
  <c r="AN37" i="115"/>
  <c r="AH147" i="115"/>
  <c r="AN147" i="115" s="1"/>
  <c r="AQ37" i="115"/>
  <c r="AZ66" i="114"/>
  <c r="BI66" i="114" s="1"/>
  <c r="N46" i="118"/>
  <c r="AN60" i="114"/>
  <c r="AM109" i="113"/>
  <c r="AG243" i="113"/>
  <c r="AM243" i="113" s="1"/>
  <c r="AF109" i="113"/>
  <c r="AP109" i="113"/>
  <c r="AN112" i="113"/>
  <c r="N51" i="118"/>
  <c r="AN65" i="114"/>
  <c r="U61" i="114"/>
  <c r="K61" i="114"/>
  <c r="AZ62" i="114"/>
  <c r="BI62" i="114" s="1"/>
  <c r="AZ63" i="114"/>
  <c r="BI63" i="114" s="1"/>
  <c r="AN108" i="113"/>
  <c r="AH242" i="113"/>
  <c r="AN242" i="113" s="1"/>
  <c r="AQ108" i="113"/>
  <c r="AO108" i="113" s="1"/>
  <c r="AO242" i="113" s="1"/>
  <c r="AO63" i="114"/>
  <c r="AY63" i="114"/>
  <c r="BE208" i="113"/>
  <c r="BK208" i="113" s="1"/>
  <c r="BK147" i="113"/>
  <c r="AZ64" i="114"/>
  <c r="BI64" i="114" s="1"/>
  <c r="BN58" i="113"/>
  <c r="AO58" i="113"/>
  <c r="AP57" i="113"/>
  <c r="GJ35" i="116"/>
  <c r="AF26" i="119"/>
  <c r="AN109" i="113"/>
  <c r="AH243" i="113"/>
  <c r="AN243" i="113" s="1"/>
  <c r="AQ109" i="113"/>
  <c r="BF109" i="113" s="1"/>
  <c r="AO64" i="114"/>
  <c r="AY64" i="114"/>
  <c r="AM113" i="113"/>
  <c r="AF113" i="113"/>
  <c r="AL113" i="113" s="1"/>
  <c r="AP113" i="113"/>
  <c r="FP13" i="114"/>
  <c r="FY13" i="114" s="1"/>
  <c r="FY12" i="114"/>
  <c r="BE107" i="113"/>
  <c r="AP241" i="113"/>
  <c r="BN107" i="113"/>
  <c r="AP210" i="113"/>
  <c r="CO65" i="114" s="1"/>
  <c r="AO149" i="113"/>
  <c r="AO210" i="113" s="1"/>
  <c r="BN149" i="113"/>
  <c r="AF149" i="113"/>
  <c r="BK108" i="113"/>
  <c r="BE242" i="113"/>
  <c r="BK242" i="113" s="1"/>
  <c r="AO22" i="115"/>
  <c r="BN22" i="115"/>
  <c r="AL22" i="115"/>
  <c r="I35" i="105"/>
  <c r="I24" i="105"/>
  <c r="BE206" i="113"/>
  <c r="BK206" i="113" s="1"/>
  <c r="BK145" i="113"/>
  <c r="AP257" i="113"/>
  <c r="AO116" i="113"/>
  <c r="AO257" i="113" s="1"/>
  <c r="BN116" i="113"/>
  <c r="AF116" i="113"/>
  <c r="G12" i="90"/>
  <c r="G10" i="90"/>
  <c r="F10" i="90"/>
  <c r="G9" i="90"/>
  <c r="G8" i="90"/>
  <c r="G7" i="90"/>
  <c r="F7" i="90"/>
  <c r="F8" i="90" s="1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J42" i="89"/>
  <c r="I42" i="89"/>
  <c r="F42" i="89"/>
  <c r="B42" i="89"/>
  <c r="A42" i="89" s="1"/>
  <c r="B39" i="85" s="1"/>
  <c r="D39" i="85" s="1"/>
  <c r="P41" i="89"/>
  <c r="M41" i="89"/>
  <c r="J41" i="89"/>
  <c r="F41" i="89"/>
  <c r="B41" i="89"/>
  <c r="P40" i="89"/>
  <c r="M40" i="89"/>
  <c r="J40" i="89"/>
  <c r="I40" i="89" s="1"/>
  <c r="F40" i="89"/>
  <c r="B40" i="89"/>
  <c r="P39" i="89"/>
  <c r="M39" i="89"/>
  <c r="J39" i="89"/>
  <c r="I39" i="89" s="1"/>
  <c r="F39" i="89"/>
  <c r="B39" i="89"/>
  <c r="P38" i="89"/>
  <c r="M38" i="89"/>
  <c r="J38" i="89"/>
  <c r="I38" i="89"/>
  <c r="F38" i="89"/>
  <c r="B38" i="89"/>
  <c r="A38" i="89" s="1"/>
  <c r="B35" i="85" s="1"/>
  <c r="D35" i="85" s="1"/>
  <c r="P37" i="89"/>
  <c r="M37" i="89"/>
  <c r="J37" i="89"/>
  <c r="F37" i="89"/>
  <c r="B37" i="89"/>
  <c r="P36" i="89"/>
  <c r="M36" i="89"/>
  <c r="J36" i="89"/>
  <c r="I36" i="89" s="1"/>
  <c r="F36" i="89"/>
  <c r="B36" i="89"/>
  <c r="P35" i="89"/>
  <c r="M35" i="89"/>
  <c r="J35" i="89"/>
  <c r="I35" i="89" s="1"/>
  <c r="F35" i="89"/>
  <c r="B35" i="89"/>
  <c r="P34" i="89"/>
  <c r="M34" i="89"/>
  <c r="J34" i="89"/>
  <c r="I34" i="89"/>
  <c r="F34" i="89"/>
  <c r="B34" i="89"/>
  <c r="A34" i="89" s="1"/>
  <c r="B31" i="85" s="1"/>
  <c r="D31" i="85" s="1"/>
  <c r="P33" i="89"/>
  <c r="M33" i="89"/>
  <c r="J33" i="89"/>
  <c r="F33" i="89"/>
  <c r="B33" i="89"/>
  <c r="P32" i="89"/>
  <c r="M32" i="89"/>
  <c r="J32" i="89"/>
  <c r="I32" i="89" s="1"/>
  <c r="F32" i="89"/>
  <c r="B32" i="89"/>
  <c r="P31" i="89"/>
  <c r="P30" i="89" s="1"/>
  <c r="P28" i="89" s="1"/>
  <c r="M31" i="89"/>
  <c r="J31" i="89"/>
  <c r="I31" i="89" s="1"/>
  <c r="F31" i="89"/>
  <c r="B31" i="89"/>
  <c r="V30" i="89"/>
  <c r="U30" i="89"/>
  <c r="U28" i="89" s="1"/>
  <c r="T30" i="89"/>
  <c r="S30" i="89"/>
  <c r="S28" i="89" s="1"/>
  <c r="R30" i="89"/>
  <c r="Q30" i="89"/>
  <c r="Q28" i="89" s="1"/>
  <c r="O30" i="89"/>
  <c r="O28" i="89" s="1"/>
  <c r="N30" i="89"/>
  <c r="M30" i="89"/>
  <c r="M28" i="89" s="1"/>
  <c r="L30" i="89"/>
  <c r="K30" i="89"/>
  <c r="K28" i="89" s="1"/>
  <c r="H30" i="89"/>
  <c r="H28" i="89" s="1"/>
  <c r="G30" i="89"/>
  <c r="F30" i="89"/>
  <c r="F28" i="89" s="1"/>
  <c r="E30" i="89"/>
  <c r="D30" i="89"/>
  <c r="D28" i="89" s="1"/>
  <c r="C30" i="89"/>
  <c r="V28" i="89"/>
  <c r="T28" i="89"/>
  <c r="R28" i="89"/>
  <c r="N28" i="89"/>
  <c r="L28" i="89"/>
  <c r="G28" i="89"/>
  <c r="E28" i="89"/>
  <c r="C28" i="89"/>
  <c r="P14" i="89"/>
  <c r="M14" i="89"/>
  <c r="J14" i="89"/>
  <c r="I14" i="89"/>
  <c r="F14" i="89"/>
  <c r="B14" i="89"/>
  <c r="A14" i="89" s="1"/>
  <c r="B23" i="85" s="1"/>
  <c r="P13" i="89"/>
  <c r="M13" i="89"/>
  <c r="J13" i="89"/>
  <c r="F13" i="89"/>
  <c r="B13" i="89"/>
  <c r="P12" i="89"/>
  <c r="M12" i="89"/>
  <c r="J12" i="89"/>
  <c r="I12" i="89" s="1"/>
  <c r="F12" i="89"/>
  <c r="B12" i="89"/>
  <c r="P11" i="89"/>
  <c r="M11" i="89"/>
  <c r="J11" i="89"/>
  <c r="I11" i="89" s="1"/>
  <c r="F11" i="89"/>
  <c r="B11" i="89"/>
  <c r="P10" i="89"/>
  <c r="M10" i="89"/>
  <c r="J10" i="89"/>
  <c r="I10" i="89" s="1"/>
  <c r="F10" i="89"/>
  <c r="B10" i="89"/>
  <c r="P9" i="89"/>
  <c r="M9" i="89"/>
  <c r="J9" i="89"/>
  <c r="I9" i="89"/>
  <c r="F9" i="89"/>
  <c r="B9" i="89"/>
  <c r="P8" i="89"/>
  <c r="M8" i="89"/>
  <c r="J8" i="89"/>
  <c r="F8" i="89"/>
  <c r="B8" i="89"/>
  <c r="P7" i="89"/>
  <c r="M7" i="89"/>
  <c r="J7" i="89"/>
  <c r="I7" i="89" s="1"/>
  <c r="F7" i="89"/>
  <c r="B7" i="89"/>
  <c r="P6" i="89"/>
  <c r="M6" i="89"/>
  <c r="J6" i="89"/>
  <c r="I6" i="89" s="1"/>
  <c r="A6" i="89" s="1"/>
  <c r="B15" i="85" s="1"/>
  <c r="F6" i="89"/>
  <c r="B6" i="89"/>
  <c r="P5" i="89"/>
  <c r="M5" i="89"/>
  <c r="J5" i="89"/>
  <c r="I5" i="89"/>
  <c r="F5" i="89"/>
  <c r="B5" i="89"/>
  <c r="A5" i="89" s="1"/>
  <c r="B14" i="85" s="1"/>
  <c r="P4" i="89"/>
  <c r="M4" i="89"/>
  <c r="M2" i="89" s="1"/>
  <c r="J4" i="89"/>
  <c r="F4" i="89"/>
  <c r="B4" i="89"/>
  <c r="P3" i="89"/>
  <c r="M3" i="89"/>
  <c r="J3" i="89"/>
  <c r="I3" i="89" s="1"/>
  <c r="F3" i="89"/>
  <c r="F2" i="89" s="1"/>
  <c r="B3" i="89"/>
  <c r="V2" i="89"/>
  <c r="U2" i="89"/>
  <c r="T2" i="89"/>
  <c r="S2" i="89"/>
  <c r="R2" i="89"/>
  <c r="Q2" i="89"/>
  <c r="P2" i="89"/>
  <c r="O2" i="89"/>
  <c r="N2" i="89"/>
  <c r="L2" i="89"/>
  <c r="K2" i="89"/>
  <c r="J2" i="89"/>
  <c r="H2" i="89"/>
  <c r="G2" i="89"/>
  <c r="E2" i="89"/>
  <c r="D2" i="89"/>
  <c r="C2" i="89"/>
  <c r="B2" i="89" s="1"/>
  <c r="BM106" i="113" l="1"/>
  <c r="AO107" i="113"/>
  <c r="AO241" i="113" s="1"/>
  <c r="BR62" i="114"/>
  <c r="Q48" i="118" s="1"/>
  <c r="AN62" i="114"/>
  <c r="BR63" i="114"/>
  <c r="Q49" i="118" s="1"/>
  <c r="BR64" i="114"/>
  <c r="Q50" i="118" s="1"/>
  <c r="BL117" i="113"/>
  <c r="BL105" i="113"/>
  <c r="BF240" i="113"/>
  <c r="BL240" i="113" s="1"/>
  <c r="BF197" i="113"/>
  <c r="BL197" i="113" s="1"/>
  <c r="BL146" i="113"/>
  <c r="BF207" i="113"/>
  <c r="BL207" i="113" s="1"/>
  <c r="BL109" i="113"/>
  <c r="BF243" i="113"/>
  <c r="BL243" i="113" s="1"/>
  <c r="BF241" i="113"/>
  <c r="BL241" i="113" s="1"/>
  <c r="BL107" i="113"/>
  <c r="BD23" i="115"/>
  <c r="BK23" i="115"/>
  <c r="BE24" i="115"/>
  <c r="BK24" i="115" s="1"/>
  <c r="BL111" i="113"/>
  <c r="BL147" i="113"/>
  <c r="BF208" i="113"/>
  <c r="BL208" i="113" s="1"/>
  <c r="BD147" i="113"/>
  <c r="A3" i="89"/>
  <c r="B12" i="85" s="1"/>
  <c r="I4" i="89"/>
  <c r="A7" i="89"/>
  <c r="B16" i="85" s="1"/>
  <c r="I8" i="89"/>
  <c r="A8" i="89" s="1"/>
  <c r="B17" i="85" s="1"/>
  <c r="A11" i="89"/>
  <c r="B20" i="85" s="1"/>
  <c r="A12" i="89"/>
  <c r="B21" i="85" s="1"/>
  <c r="I13" i="89"/>
  <c r="A13" i="89" s="1"/>
  <c r="B22" i="85" s="1"/>
  <c r="B30" i="89"/>
  <c r="J30" i="89"/>
  <c r="J28" i="89" s="1"/>
  <c r="A32" i="89"/>
  <c r="B29" i="85" s="1"/>
  <c r="D29" i="85" s="1"/>
  <c r="I33" i="89"/>
  <c r="A33" i="89" s="1"/>
  <c r="B30" i="85" s="1"/>
  <c r="D30" i="85" s="1"/>
  <c r="A36" i="89"/>
  <c r="B33" i="85" s="1"/>
  <c r="D33" i="85" s="1"/>
  <c r="I37" i="89"/>
  <c r="A37" i="89" s="1"/>
  <c r="B34" i="85" s="1"/>
  <c r="D34" i="85" s="1"/>
  <c r="A40" i="89"/>
  <c r="B37" i="85" s="1"/>
  <c r="D37" i="85" s="1"/>
  <c r="A41" i="89"/>
  <c r="B38" i="85" s="1"/>
  <c r="D38" i="85" s="1"/>
  <c r="I41" i="89"/>
  <c r="BN257" i="113"/>
  <c r="BM22" i="115"/>
  <c r="AL149" i="113"/>
  <c r="AF210" i="113"/>
  <c r="AL210" i="113" s="1"/>
  <c r="BN241" i="113"/>
  <c r="BE113" i="113"/>
  <c r="BN113" i="113"/>
  <c r="AP112" i="113"/>
  <c r="BE112" i="113" s="1"/>
  <c r="BH64" i="114"/>
  <c r="AX64" i="114"/>
  <c r="AO57" i="113"/>
  <c r="BM58" i="113"/>
  <c r="BN57" i="113"/>
  <c r="BF108" i="113"/>
  <c r="AL109" i="113"/>
  <c r="AF243" i="113"/>
  <c r="AL243" i="113" s="1"/>
  <c r="BR66" i="114"/>
  <c r="BO37" i="115"/>
  <c r="BO147" i="115" s="1"/>
  <c r="AQ147" i="115"/>
  <c r="BF37" i="115"/>
  <c r="BB50" i="19"/>
  <c r="BQ56" i="7" s="1"/>
  <c r="BE17" i="19"/>
  <c r="BE20" i="19"/>
  <c r="BE22" i="19"/>
  <c r="BE28" i="19"/>
  <c r="BE32" i="19"/>
  <c r="BE38" i="19"/>
  <c r="BE40" i="19"/>
  <c r="BE44" i="19"/>
  <c r="BE46" i="19"/>
  <c r="BE48" i="19"/>
  <c r="BE9" i="19"/>
  <c r="BE13" i="19"/>
  <c r="BE21" i="19"/>
  <c r="BE29" i="19"/>
  <c r="BE35" i="19"/>
  <c r="BE43" i="19"/>
  <c r="BE45" i="19"/>
  <c r="BE47" i="19"/>
  <c r="BE8" i="19"/>
  <c r="BE16" i="19"/>
  <c r="BE31" i="19"/>
  <c r="BE37" i="19"/>
  <c r="BE39" i="19"/>
  <c r="BE41" i="19"/>
  <c r="BE18" i="19"/>
  <c r="BE26" i="19"/>
  <c r="BE36" i="19"/>
  <c r="BE42" i="19"/>
  <c r="BE49" i="19"/>
  <c r="BE30" i="19"/>
  <c r="BE10" i="19"/>
  <c r="BE14" i="19" s="1"/>
  <c r="BE24" i="19"/>
  <c r="BE33" i="19"/>
  <c r="BE27" i="19"/>
  <c r="BE23" i="19"/>
  <c r="BE19" i="19"/>
  <c r="BE34" i="19"/>
  <c r="BE11" i="19"/>
  <c r="BE12" i="19" s="1"/>
  <c r="BE25" i="19"/>
  <c r="M41" i="114"/>
  <c r="BN211" i="113"/>
  <c r="EN66" i="114" s="1"/>
  <c r="CX66" i="114"/>
  <c r="BR52" i="114"/>
  <c r="Q39" i="118" s="1"/>
  <c r="BE146" i="113"/>
  <c r="AP207" i="113"/>
  <c r="CO62" i="114" s="1"/>
  <c r="AO146" i="113"/>
  <c r="AO207" i="113" s="1"/>
  <c r="BN146" i="113"/>
  <c r="BN144" i="113" s="1"/>
  <c r="T63" i="114"/>
  <c r="AC63" i="114" s="1"/>
  <c r="AD63" i="114"/>
  <c r="AO60" i="114"/>
  <c r="AY60" i="114"/>
  <c r="AM73" i="115"/>
  <c r="AF73" i="115"/>
  <c r="AL73" i="115" s="1"/>
  <c r="AP73" i="115"/>
  <c r="BR65" i="114"/>
  <c r="AM114" i="113"/>
  <c r="AF114" i="113"/>
  <c r="AL114" i="113" s="1"/>
  <c r="AZ60" i="114"/>
  <c r="BI60" i="114" s="1"/>
  <c r="AX65" i="114"/>
  <c r="BH65" i="114"/>
  <c r="AL23" i="115"/>
  <c r="AF24" i="115"/>
  <c r="AL24" i="115" s="1"/>
  <c r="BN206" i="113"/>
  <c r="EN61" i="114" s="1"/>
  <c r="CX61" i="114"/>
  <c r="AM112" i="113"/>
  <c r="AF112" i="113"/>
  <c r="AL112" i="113" s="1"/>
  <c r="T64" i="114"/>
  <c r="AC64" i="114" s="1"/>
  <c r="AD64" i="114"/>
  <c r="CM12" i="114"/>
  <c r="CD13" i="114"/>
  <c r="CM13" i="114" s="1"/>
  <c r="EC12" i="114"/>
  <c r="EL11" i="114"/>
  <c r="AN13" i="113"/>
  <c r="AN175" i="113" s="1"/>
  <c r="T18" i="118"/>
  <c r="BF148" i="113"/>
  <c r="BD148" i="113" s="1"/>
  <c r="AQ209" i="113"/>
  <c r="CP64" i="114" s="1"/>
  <c r="BO148" i="113"/>
  <c r="BO209" i="113" s="1"/>
  <c r="EO64" i="114" s="1"/>
  <c r="AO147" i="113"/>
  <c r="AO208" i="113" s="1"/>
  <c r="CX63" i="114"/>
  <c r="T52" i="114"/>
  <c r="AC52" i="114" s="1"/>
  <c r="AD52" i="114"/>
  <c r="E4" i="122"/>
  <c r="F5" i="122"/>
  <c r="F8" i="122"/>
  <c r="BO150" i="113"/>
  <c r="BO211" i="113" s="1"/>
  <c r="EO66" i="114" s="1"/>
  <c r="AQ211" i="113"/>
  <c r="CP66" i="114" s="1"/>
  <c r="BC50" i="19"/>
  <c r="BM46" i="8" s="1"/>
  <c r="AN25" i="113"/>
  <c r="AH186" i="113"/>
  <c r="AN186" i="113" s="1"/>
  <c r="AQ25" i="113"/>
  <c r="BF25" i="113" s="1"/>
  <c r="BK111" i="113"/>
  <c r="BD111" i="113"/>
  <c r="AN114" i="113"/>
  <c r="BN209" i="113"/>
  <c r="EN64" i="114" s="1"/>
  <c r="BE209" i="113"/>
  <c r="BK209" i="113" s="1"/>
  <c r="BK148" i="113"/>
  <c r="AM57" i="113"/>
  <c r="AF57" i="113"/>
  <c r="AL57" i="113" s="1"/>
  <c r="BE57" i="113"/>
  <c r="BH62" i="114"/>
  <c r="BG62" i="114" s="1"/>
  <c r="AX62" i="114"/>
  <c r="T62" i="114"/>
  <c r="AC62" i="114" s="1"/>
  <c r="AD62" i="114"/>
  <c r="N50" i="118"/>
  <c r="CD64" i="114"/>
  <c r="AN64" i="114"/>
  <c r="AP240" i="113"/>
  <c r="AP197" i="113"/>
  <c r="CO52" i="114" s="1"/>
  <c r="AO105" i="113"/>
  <c r="BN105" i="113"/>
  <c r="AL105" i="113"/>
  <c r="AF240" i="113"/>
  <c r="AL240" i="113" s="1"/>
  <c r="AF197" i="113"/>
  <c r="AL197" i="113" s="1"/>
  <c r="BH61" i="114"/>
  <c r="BG61" i="114" s="1"/>
  <c r="AX61" i="114"/>
  <c r="B71" i="115"/>
  <c r="AG71" i="115"/>
  <c r="J20" i="105"/>
  <c r="J13" i="105"/>
  <c r="BE115" i="113"/>
  <c r="BN115" i="113"/>
  <c r="AO115" i="113"/>
  <c r="AP114" i="113"/>
  <c r="BE114" i="113" s="1"/>
  <c r="AD65" i="114"/>
  <c r="T65" i="114"/>
  <c r="AC65" i="114" s="1"/>
  <c r="BM59" i="113"/>
  <c r="BN60" i="113"/>
  <c r="BM102" i="113"/>
  <c r="BD103" i="113"/>
  <c r="BJ103" i="113" s="1"/>
  <c r="BK103" i="113"/>
  <c r="AL117" i="113"/>
  <c r="A9" i="89"/>
  <c r="B18" i="85" s="1"/>
  <c r="A10" i="89"/>
  <c r="B19" i="85" s="1"/>
  <c r="A35" i="89"/>
  <c r="B32" i="85" s="1"/>
  <c r="D32" i="85" s="1"/>
  <c r="A39" i="89"/>
  <c r="B36" i="85" s="1"/>
  <c r="D36" i="85" s="1"/>
  <c r="AF257" i="113"/>
  <c r="AL257" i="113" s="1"/>
  <c r="AL116" i="113"/>
  <c r="BN210" i="113"/>
  <c r="EN65" i="114" s="1"/>
  <c r="CX65" i="114"/>
  <c r="BK107" i="113"/>
  <c r="BE241" i="113"/>
  <c r="BK241" i="113" s="1"/>
  <c r="BD107" i="113"/>
  <c r="BO109" i="113"/>
  <c r="BO243" i="113" s="1"/>
  <c r="AQ243" i="113"/>
  <c r="BH63" i="114"/>
  <c r="BG63" i="114" s="1"/>
  <c r="AX63" i="114"/>
  <c r="BO108" i="113"/>
  <c r="BO242" i="113" s="1"/>
  <c r="AQ242" i="113"/>
  <c r="AD61" i="114"/>
  <c r="T61" i="114"/>
  <c r="AC61" i="114" s="1"/>
  <c r="BE109" i="113"/>
  <c r="AP243" i="113"/>
  <c r="BN109" i="113"/>
  <c r="AO109" i="113"/>
  <c r="AO243" i="113" s="1"/>
  <c r="BO115" i="113"/>
  <c r="AQ114" i="113"/>
  <c r="BK150" i="113"/>
  <c r="BE211" i="113"/>
  <c r="BK211" i="113" s="1"/>
  <c r="BD150" i="113"/>
  <c r="BO107" i="113"/>
  <c r="BO241" i="113" s="1"/>
  <c r="AQ241" i="113"/>
  <c r="BO117" i="113"/>
  <c r="BO105" i="113"/>
  <c r="AQ240" i="113"/>
  <c r="AQ197" i="113"/>
  <c r="CP52" i="114" s="1"/>
  <c r="EX55" i="114"/>
  <c r="FG55" i="114" s="1"/>
  <c r="AL146" i="113"/>
  <c r="AF207" i="113"/>
  <c r="AL207" i="113" s="1"/>
  <c r="CD62" i="114"/>
  <c r="U60" i="114"/>
  <c r="K60" i="114"/>
  <c r="AL144" i="113"/>
  <c r="AF205" i="113"/>
  <c r="AL205" i="113" s="1"/>
  <c r="Q101" i="113"/>
  <c r="BF145" i="113"/>
  <c r="AQ206" i="113"/>
  <c r="CP61" i="114" s="1"/>
  <c r="CN61" i="114" s="1"/>
  <c r="AQ144" i="113"/>
  <c r="BO145" i="113"/>
  <c r="AN144" i="113"/>
  <c r="AH205" i="113"/>
  <c r="AN205" i="113" s="1"/>
  <c r="Q24" i="115"/>
  <c r="AO23" i="115"/>
  <c r="BN23" i="115"/>
  <c r="AP24" i="115"/>
  <c r="BJ59" i="113"/>
  <c r="BD60" i="113"/>
  <c r="BJ60" i="113" s="1"/>
  <c r="AP144" i="113"/>
  <c r="AO145" i="113"/>
  <c r="AO206" i="113" s="1"/>
  <c r="BN242" i="113"/>
  <c r="BH66" i="114"/>
  <c r="BG66" i="114" s="1"/>
  <c r="AX66" i="114"/>
  <c r="AG101" i="113"/>
  <c r="N39" i="118"/>
  <c r="AN52" i="114"/>
  <c r="CD52" i="114"/>
  <c r="AL147" i="113"/>
  <c r="AF208" i="113"/>
  <c r="AL208" i="113" s="1"/>
  <c r="BN208" i="113"/>
  <c r="EN63" i="114" s="1"/>
  <c r="BO111" i="113"/>
  <c r="BO147" i="113"/>
  <c r="BO208" i="113" s="1"/>
  <c r="EO63" i="114" s="1"/>
  <c r="AQ208" i="113"/>
  <c r="CP63" i="114" s="1"/>
  <c r="CN63" i="114" s="1"/>
  <c r="BO146" i="113"/>
  <c r="BO207" i="113" s="1"/>
  <c r="EO62" i="114" s="1"/>
  <c r="AQ207" i="113"/>
  <c r="CP62" i="114" s="1"/>
  <c r="AO113" i="113"/>
  <c r="BO113" i="113"/>
  <c r="BO112" i="113" s="1"/>
  <c r="AQ112" i="113"/>
  <c r="BL150" i="113"/>
  <c r="BF211" i="113"/>
  <c r="BL211" i="113" s="1"/>
  <c r="AZ31" i="116"/>
  <c r="AQ41" i="114"/>
  <c r="AO111" i="113"/>
  <c r="T66" i="114"/>
  <c r="AC66" i="114" s="1"/>
  <c r="AD66" i="114"/>
  <c r="AO148" i="113"/>
  <c r="AO209" i="113" s="1"/>
  <c r="CN64" i="114"/>
  <c r="CX64" i="114"/>
  <c r="DQ55" i="114"/>
  <c r="BL173" i="113"/>
  <c r="BL12" i="113"/>
  <c r="BL174" i="113" s="1"/>
  <c r="Z17" i="118"/>
  <c r="BF174" i="113"/>
  <c r="BF175" i="113" s="1"/>
  <c r="BF13" i="113"/>
  <c r="BE105" i="113"/>
  <c r="BH52" i="114"/>
  <c r="AX52" i="114"/>
  <c r="BQ61" i="114"/>
  <c r="B90" i="115"/>
  <c r="AG95" i="115"/>
  <c r="Q95" i="115"/>
  <c r="Q96" i="115" s="1"/>
  <c r="R96" i="115"/>
  <c r="R90" i="115"/>
  <c r="Q90" i="115" s="1"/>
  <c r="BF149" i="113"/>
  <c r="AQ210" i="113"/>
  <c r="CP65" i="114" s="1"/>
  <c r="BO149" i="113"/>
  <c r="BO210" i="113" s="1"/>
  <c r="EO65" i="114" s="1"/>
  <c r="BR61" i="114"/>
  <c r="BE94" i="115"/>
  <c r="BN94" i="115"/>
  <c r="AO94" i="115"/>
  <c r="AO60" i="113"/>
  <c r="O22" i="119"/>
  <c r="AN31" i="116"/>
  <c r="BF116" i="113"/>
  <c r="AQ257" i="113"/>
  <c r="BO116" i="113"/>
  <c r="BO257" i="113" s="1"/>
  <c r="AH101" i="113"/>
  <c r="AG75" i="115"/>
  <c r="AM75" i="115" s="1"/>
  <c r="AF74" i="115"/>
  <c r="AM74" i="115"/>
  <c r="AP74" i="115"/>
  <c r="BE74" i="115" s="1"/>
  <c r="Q74" i="115"/>
  <c r="Q75" i="115" s="1"/>
  <c r="R75" i="115"/>
  <c r="BD102" i="113"/>
  <c r="BJ102" i="113" s="1"/>
  <c r="BE117" i="113"/>
  <c r="BN117" i="113"/>
  <c r="AO117" i="113"/>
  <c r="BD106" i="113"/>
  <c r="BJ106" i="113" s="1"/>
  <c r="BJ22" i="115"/>
  <c r="H8" i="90"/>
  <c r="H7" i="90"/>
  <c r="F9" i="90"/>
  <c r="H9" i="90" s="1"/>
  <c r="F11" i="90"/>
  <c r="H10" i="90"/>
  <c r="I2" i="89"/>
  <c r="A4" i="89"/>
  <c r="B13" i="85" s="1"/>
  <c r="B28" i="89"/>
  <c r="A2" i="89"/>
  <c r="A31" i="89"/>
  <c r="B28" i="85" s="1"/>
  <c r="I30" i="89"/>
  <c r="I28" i="89" s="1"/>
  <c r="BP62" i="114" l="1"/>
  <c r="O48" i="118" s="1"/>
  <c r="BM148" i="113"/>
  <c r="BM209" i="113" s="1"/>
  <c r="BQ62" i="114"/>
  <c r="BZ62" i="114" s="1"/>
  <c r="BP61" i="114"/>
  <c r="O47" i="118" s="1"/>
  <c r="BM108" i="113"/>
  <c r="BM242" i="113" s="1"/>
  <c r="CD63" i="114"/>
  <c r="T49" i="118" s="1"/>
  <c r="BP66" i="114"/>
  <c r="O52" i="118" s="1"/>
  <c r="BR60" i="114"/>
  <c r="FP55" i="114"/>
  <c r="FY55" i="114" s="1"/>
  <c r="BK114" i="113"/>
  <c r="L49" i="118"/>
  <c r="AL63" i="114"/>
  <c r="AL61" i="114"/>
  <c r="L47" i="118"/>
  <c r="BD74" i="115"/>
  <c r="BK74" i="115"/>
  <c r="AF75" i="115"/>
  <c r="AL75" i="115" s="1"/>
  <c r="AL74" i="115"/>
  <c r="AN101" i="113"/>
  <c r="BM94" i="115"/>
  <c r="Q47" i="118"/>
  <c r="CD61" i="114"/>
  <c r="CY65" i="114"/>
  <c r="DH65" i="114" s="1"/>
  <c r="AG90" i="115"/>
  <c r="BK105" i="113"/>
  <c r="BE240" i="113"/>
  <c r="BK240" i="113" s="1"/>
  <c r="BE197" i="113"/>
  <c r="BK197" i="113" s="1"/>
  <c r="BD105" i="113"/>
  <c r="P48" i="118"/>
  <c r="DZ55" i="114"/>
  <c r="W42" i="118"/>
  <c r="EC55" i="114"/>
  <c r="DG64" i="114"/>
  <c r="DP64" i="114" s="1"/>
  <c r="AL66" i="114"/>
  <c r="L52" i="118"/>
  <c r="AO112" i="113"/>
  <c r="BF112" i="113"/>
  <c r="BL112" i="113" s="1"/>
  <c r="EX62" i="114"/>
  <c r="FG62" i="114" s="1"/>
  <c r="EX63" i="114"/>
  <c r="FG63" i="114" s="1"/>
  <c r="BM147" i="113"/>
  <c r="BM208" i="113" s="1"/>
  <c r="AM101" i="113"/>
  <c r="AF101" i="113"/>
  <c r="AL101" i="113" s="1"/>
  <c r="AP205" i="113"/>
  <c r="CO60" i="114" s="1"/>
  <c r="AO144" i="113"/>
  <c r="AO205" i="113" s="1"/>
  <c r="BE144" i="113"/>
  <c r="BM23" i="115"/>
  <c r="BF144" i="113"/>
  <c r="AQ205" i="113"/>
  <c r="CP60" i="114" s="1"/>
  <c r="BL145" i="113"/>
  <c r="BF206" i="113"/>
  <c r="BL206" i="113" s="1"/>
  <c r="BD145" i="113"/>
  <c r="T60" i="114"/>
  <c r="AC60" i="114" s="1"/>
  <c r="AD60" i="114"/>
  <c r="CY52" i="114"/>
  <c r="DH52" i="114" s="1"/>
  <c r="BO240" i="113"/>
  <c r="BO197" i="113"/>
  <c r="EO52" i="114" s="1"/>
  <c r="AQ101" i="113"/>
  <c r="CN65" i="114"/>
  <c r="EM65" i="114"/>
  <c r="EW65" i="114"/>
  <c r="M51" i="118"/>
  <c r="AM65" i="114"/>
  <c r="BK115" i="113"/>
  <c r="BD115" i="113"/>
  <c r="BJ115" i="113" s="1"/>
  <c r="J26" i="105"/>
  <c r="J18" i="105"/>
  <c r="AO240" i="113"/>
  <c r="AO197" i="113"/>
  <c r="T50" i="118"/>
  <c r="M48" i="118"/>
  <c r="AM62" i="114"/>
  <c r="CC62" i="114"/>
  <c r="BK57" i="113"/>
  <c r="BD57" i="113"/>
  <c r="BJ57" i="113" s="1"/>
  <c r="EW64" i="114"/>
  <c r="EM64" i="114"/>
  <c r="BF114" i="113"/>
  <c r="BL114" i="113" s="1"/>
  <c r="BJ111" i="113"/>
  <c r="BM111" i="113"/>
  <c r="BL25" i="113"/>
  <c r="BF186" i="113"/>
  <c r="BL186" i="113" s="1"/>
  <c r="CY66" i="114"/>
  <c r="DH66" i="114" s="1"/>
  <c r="F6" i="122"/>
  <c r="F9" i="122"/>
  <c r="E5" i="122"/>
  <c r="M39" i="118"/>
  <c r="AM52" i="114"/>
  <c r="EX64" i="114"/>
  <c r="FG64" i="114" s="1"/>
  <c r="BL148" i="113"/>
  <c r="BF209" i="113"/>
  <c r="BL209" i="113" s="1"/>
  <c r="AL64" i="114"/>
  <c r="L50" i="118"/>
  <c r="BN205" i="113"/>
  <c r="EN60" i="114" s="1"/>
  <c r="EW61" i="114"/>
  <c r="BG65" i="114"/>
  <c r="BP65" i="114" s="1"/>
  <c r="BQ65" i="114"/>
  <c r="Q46" i="118"/>
  <c r="CD60" i="114"/>
  <c r="BE73" i="115"/>
  <c r="BE75" i="115" s="1"/>
  <c r="BK75" i="115" s="1"/>
  <c r="BN73" i="115"/>
  <c r="BM73" i="115" s="1"/>
  <c r="AO73" i="115"/>
  <c r="AP71" i="115"/>
  <c r="AO71" i="115" s="1"/>
  <c r="M49" i="118"/>
  <c r="AM63" i="114"/>
  <c r="BM146" i="113"/>
  <c r="BM207" i="113" s="1"/>
  <c r="BN207" i="113"/>
  <c r="EN62" i="114" s="1"/>
  <c r="CN62" i="114"/>
  <c r="CX62" i="114"/>
  <c r="CN66" i="114"/>
  <c r="EW66" i="114"/>
  <c r="EM66" i="114"/>
  <c r="CP31" i="116"/>
  <c r="Q52" i="118"/>
  <c r="CD66" i="114"/>
  <c r="BM57" i="113"/>
  <c r="BK113" i="113"/>
  <c r="BD113" i="113"/>
  <c r="BJ113" i="113" s="1"/>
  <c r="BJ147" i="113"/>
  <c r="BD208" i="113"/>
  <c r="BJ208" i="113" s="1"/>
  <c r="BQ66" i="114"/>
  <c r="CC66" i="114" s="1"/>
  <c r="D28" i="85"/>
  <c r="D40" i="85" s="1"/>
  <c r="H31" i="64" s="1"/>
  <c r="B40" i="85"/>
  <c r="BM117" i="113"/>
  <c r="BK117" i="113"/>
  <c r="BD117" i="113"/>
  <c r="BN74" i="115"/>
  <c r="AO74" i="115"/>
  <c r="AO75" i="115" s="1"/>
  <c r="AP75" i="115"/>
  <c r="BL116" i="113"/>
  <c r="BF257" i="113"/>
  <c r="BL257" i="113" s="1"/>
  <c r="BD116" i="113"/>
  <c r="BK94" i="115"/>
  <c r="BD94" i="115"/>
  <c r="BJ94" i="115" s="1"/>
  <c r="EX65" i="114"/>
  <c r="FG65" i="114" s="1"/>
  <c r="BL149" i="113"/>
  <c r="BF210" i="113"/>
  <c r="BL210" i="113" s="1"/>
  <c r="BD149" i="113"/>
  <c r="AG96" i="115"/>
  <c r="AM96" i="115" s="1"/>
  <c r="AF95" i="115"/>
  <c r="AM95" i="115"/>
  <c r="AP95" i="115"/>
  <c r="P47" i="118"/>
  <c r="BZ61" i="114"/>
  <c r="BG52" i="114"/>
  <c r="BP52" i="114" s="1"/>
  <c r="BQ52" i="114"/>
  <c r="Z18" i="118"/>
  <c r="BL13" i="113"/>
  <c r="BL175" i="113" s="1"/>
  <c r="M52" i="118"/>
  <c r="AM66" i="114"/>
  <c r="AZ41" i="114"/>
  <c r="BI31" i="116"/>
  <c r="BR31" i="116" s="1"/>
  <c r="CY62" i="114"/>
  <c r="DH62" i="114" s="1"/>
  <c r="CY63" i="114"/>
  <c r="DH63" i="114" s="1"/>
  <c r="EW63" i="114"/>
  <c r="EM63" i="114"/>
  <c r="T39" i="118"/>
  <c r="AO24" i="115"/>
  <c r="BO206" i="113"/>
  <c r="EO61" i="114" s="1"/>
  <c r="BO144" i="113"/>
  <c r="BO205" i="113" s="1"/>
  <c r="EO60" i="114" s="1"/>
  <c r="CY61" i="114"/>
  <c r="DH61" i="114" s="1"/>
  <c r="T48" i="118"/>
  <c r="BJ150" i="113"/>
  <c r="BD211" i="113"/>
  <c r="BJ211" i="113" s="1"/>
  <c r="BO114" i="113"/>
  <c r="BO101" i="113" s="1"/>
  <c r="BN243" i="113"/>
  <c r="BM109" i="113"/>
  <c r="BM243" i="113" s="1"/>
  <c r="BK109" i="113"/>
  <c r="BE243" i="113"/>
  <c r="BK243" i="113" s="1"/>
  <c r="BD109" i="113"/>
  <c r="M47" i="118"/>
  <c r="AM61" i="114"/>
  <c r="CC61" i="114"/>
  <c r="BP63" i="114"/>
  <c r="BJ107" i="113"/>
  <c r="BD241" i="113"/>
  <c r="BJ241" i="113" s="1"/>
  <c r="CW65" i="114"/>
  <c r="DG65" i="114"/>
  <c r="BM149" i="113"/>
  <c r="BM210" i="113" s="1"/>
  <c r="AL65" i="114"/>
  <c r="L51" i="118"/>
  <c r="AP101" i="113"/>
  <c r="BE101" i="113" s="1"/>
  <c r="AO114" i="113"/>
  <c r="BM115" i="113"/>
  <c r="BN114" i="113"/>
  <c r="AF71" i="115"/>
  <c r="AL71" i="115" s="1"/>
  <c r="AM71" i="115"/>
  <c r="BE71" i="115"/>
  <c r="BN240" i="113"/>
  <c r="BN197" i="113"/>
  <c r="EN52" i="114" s="1"/>
  <c r="BM105" i="113"/>
  <c r="CX52" i="114"/>
  <c r="CN52" i="114"/>
  <c r="AL62" i="114"/>
  <c r="L48" i="118"/>
  <c r="CB62" i="114"/>
  <c r="BJ148" i="113"/>
  <c r="BD209" i="113"/>
  <c r="BJ209" i="113" s="1"/>
  <c r="BO25" i="113"/>
  <c r="BO186" i="113" s="1"/>
  <c r="AQ186" i="113"/>
  <c r="BM81" i="8"/>
  <c r="EX66" i="114"/>
  <c r="FG66" i="114" s="1"/>
  <c r="E8" i="122"/>
  <c r="AL52" i="114"/>
  <c r="L39" i="118"/>
  <c r="DG63" i="114"/>
  <c r="CY64" i="114"/>
  <c r="DH64" i="114" s="1"/>
  <c r="EC13" i="114"/>
  <c r="EL13" i="114" s="1"/>
  <c r="EL12" i="114"/>
  <c r="M50" i="118"/>
  <c r="AM64" i="114"/>
  <c r="BK112" i="113"/>
  <c r="CW61" i="114"/>
  <c r="DG61" i="114"/>
  <c r="BM145" i="113"/>
  <c r="BM206" i="113" s="1"/>
  <c r="Q51" i="118"/>
  <c r="CD65" i="114"/>
  <c r="BH60" i="114"/>
  <c r="AX60" i="114"/>
  <c r="BE207" i="113"/>
  <c r="BK207" i="113" s="1"/>
  <c r="BK146" i="113"/>
  <c r="BD146" i="113"/>
  <c r="DG66" i="114"/>
  <c r="BM150" i="113"/>
  <c r="BM211" i="113" s="1"/>
  <c r="V41" i="114"/>
  <c r="BE50" i="19"/>
  <c r="BL37" i="115"/>
  <c r="BF147" i="115"/>
  <c r="BL147" i="115" s="1"/>
  <c r="EO31" i="116"/>
  <c r="BL108" i="113"/>
  <c r="BF242" i="113"/>
  <c r="BL242" i="113" s="1"/>
  <c r="BD108" i="113"/>
  <c r="BM60" i="113"/>
  <c r="BG64" i="114"/>
  <c r="BP64" i="114" s="1"/>
  <c r="O50" i="118" s="1"/>
  <c r="BQ64" i="114"/>
  <c r="P50" i="118" s="1"/>
  <c r="BN112" i="113"/>
  <c r="BM112" i="113" s="1"/>
  <c r="BM113" i="113"/>
  <c r="BM107" i="113"/>
  <c r="BM241" i="113" s="1"/>
  <c r="BN24" i="115"/>
  <c r="BM116" i="113"/>
  <c r="BM257" i="113" s="1"/>
  <c r="BJ23" i="115"/>
  <c r="BD24" i="115"/>
  <c r="BJ24" i="115" s="1"/>
  <c r="BQ63" i="114"/>
  <c r="H18" i="90"/>
  <c r="H11" i="90"/>
  <c r="H19" i="90" s="1"/>
  <c r="F12" i="90"/>
  <c r="H12" i="90" s="1"/>
  <c r="F19" i="90"/>
  <c r="F18" i="90"/>
  <c r="A30" i="89"/>
  <c r="A28" i="89" s="1"/>
  <c r="BD112" i="113" l="1"/>
  <c r="BJ112" i="113" s="1"/>
  <c r="CB61" i="114"/>
  <c r="DQ61" i="114"/>
  <c r="AC42" i="118"/>
  <c r="FP66" i="114"/>
  <c r="FY66" i="114" s="1"/>
  <c r="CW66" i="114"/>
  <c r="CW63" i="114"/>
  <c r="CB66" i="114"/>
  <c r="R52" i="118" s="1"/>
  <c r="FP63" i="114"/>
  <c r="AC49" i="118" s="1"/>
  <c r="DQ65" i="114"/>
  <c r="W51" i="118" s="1"/>
  <c r="FP65" i="114"/>
  <c r="FP62" i="114"/>
  <c r="AC48" i="118" s="1"/>
  <c r="BK101" i="113"/>
  <c r="O39" i="118"/>
  <c r="CB52" i="114"/>
  <c r="L46" i="118"/>
  <c r="AL60" i="114"/>
  <c r="CC63" i="114"/>
  <c r="P49" i="118"/>
  <c r="AE41" i="114"/>
  <c r="T51" i="118"/>
  <c r="CC64" i="114"/>
  <c r="DQ64" i="114"/>
  <c r="CP41" i="114"/>
  <c r="R48" i="118"/>
  <c r="BM240" i="113"/>
  <c r="BM197" i="113"/>
  <c r="BN101" i="113"/>
  <c r="BM114" i="113"/>
  <c r="S47" i="118"/>
  <c r="CL61" i="114"/>
  <c r="EX61" i="114"/>
  <c r="FG61" i="114" s="1"/>
  <c r="DQ63" i="114"/>
  <c r="DQ62" i="114"/>
  <c r="S52" i="118"/>
  <c r="CL66" i="114"/>
  <c r="P39" i="118"/>
  <c r="BZ52" i="114"/>
  <c r="BE95" i="115"/>
  <c r="AO95" i="115"/>
  <c r="AO96" i="115" s="1"/>
  <c r="AP96" i="115"/>
  <c r="BN95" i="115"/>
  <c r="AP90" i="115"/>
  <c r="AO90" i="115" s="1"/>
  <c r="AL95" i="115"/>
  <c r="AF96" i="115"/>
  <c r="AL96" i="115" s="1"/>
  <c r="BJ149" i="113"/>
  <c r="BD210" i="113"/>
  <c r="BJ210" i="113" s="1"/>
  <c r="BN71" i="115"/>
  <c r="BM71" i="115" s="1"/>
  <c r="BN75" i="115"/>
  <c r="BM74" i="115"/>
  <c r="BM75" i="115" s="1"/>
  <c r="C40" i="85"/>
  <c r="BZ66" i="114"/>
  <c r="P52" i="118"/>
  <c r="T52" i="118"/>
  <c r="EV66" i="114"/>
  <c r="FF66" i="114"/>
  <c r="T46" i="118"/>
  <c r="CC65" i="114"/>
  <c r="P51" i="118"/>
  <c r="FF61" i="114"/>
  <c r="EM60" i="114"/>
  <c r="EW60" i="114"/>
  <c r="FP64" i="114"/>
  <c r="CC52" i="114"/>
  <c r="E9" i="122"/>
  <c r="F13" i="122"/>
  <c r="DQ66" i="114"/>
  <c r="FF64" i="114"/>
  <c r="EV64" i="114"/>
  <c r="EX52" i="114"/>
  <c r="FG52" i="114" s="1"/>
  <c r="DQ52" i="114"/>
  <c r="M46" i="118"/>
  <c r="AM60" i="114"/>
  <c r="BJ145" i="113"/>
  <c r="BD206" i="113"/>
  <c r="BJ206" i="113" s="1"/>
  <c r="BL144" i="113"/>
  <c r="BF205" i="113"/>
  <c r="BL205" i="113" s="1"/>
  <c r="CW64" i="114"/>
  <c r="BJ105" i="113"/>
  <c r="BD240" i="113"/>
  <c r="BJ240" i="113" s="1"/>
  <c r="BD197" i="113"/>
  <c r="BJ197" i="113" s="1"/>
  <c r="AF90" i="115"/>
  <c r="AL90" i="115" s="1"/>
  <c r="AM90" i="115"/>
  <c r="BE90" i="115"/>
  <c r="BD114" i="113"/>
  <c r="BJ114" i="113" s="1"/>
  <c r="BJ108" i="113"/>
  <c r="BD242" i="113"/>
  <c r="BJ242" i="113" s="1"/>
  <c r="EX31" i="116"/>
  <c r="DF66" i="114"/>
  <c r="DO66" i="114" s="1"/>
  <c r="DP66" i="114"/>
  <c r="BD207" i="113"/>
  <c r="BJ207" i="113" s="1"/>
  <c r="BJ146" i="113"/>
  <c r="BG60" i="114"/>
  <c r="BP60" i="114" s="1"/>
  <c r="BQ60" i="114"/>
  <c r="DF61" i="114"/>
  <c r="DO61" i="114" s="1"/>
  <c r="DP61" i="114"/>
  <c r="DF63" i="114"/>
  <c r="DO63" i="114" s="1"/>
  <c r="DP63" i="114"/>
  <c r="AC52" i="118"/>
  <c r="EO41" i="114"/>
  <c r="CW52" i="114"/>
  <c r="DG52" i="114"/>
  <c r="EM52" i="114"/>
  <c r="EW52" i="114"/>
  <c r="BK71" i="115"/>
  <c r="BD71" i="115"/>
  <c r="BJ71" i="115" s="1"/>
  <c r="AO101" i="113"/>
  <c r="DF65" i="114"/>
  <c r="DP65" i="114"/>
  <c r="CB63" i="114"/>
  <c r="O49" i="118"/>
  <c r="BJ109" i="113"/>
  <c r="BD243" i="113"/>
  <c r="BJ243" i="113" s="1"/>
  <c r="DZ61" i="114"/>
  <c r="W47" i="118"/>
  <c r="EX60" i="114"/>
  <c r="FG60" i="114" s="1"/>
  <c r="FF63" i="114"/>
  <c r="EV63" i="114"/>
  <c r="R22" i="119"/>
  <c r="CA31" i="116"/>
  <c r="CD31" i="116"/>
  <c r="BI41" i="114"/>
  <c r="DY64" i="114"/>
  <c r="V50" i="118"/>
  <c r="FY65" i="114"/>
  <c r="AC51" i="118"/>
  <c r="BD257" i="113"/>
  <c r="BJ257" i="113" s="1"/>
  <c r="BJ116" i="113"/>
  <c r="BJ117" i="113"/>
  <c r="CY31" i="116"/>
  <c r="DG62" i="114"/>
  <c r="DF62" i="114" s="1"/>
  <c r="CW62" i="114"/>
  <c r="EW62" i="114"/>
  <c r="EM62" i="114"/>
  <c r="BK73" i="115"/>
  <c r="BD73" i="115"/>
  <c r="BJ73" i="115" s="1"/>
  <c r="CB65" i="114"/>
  <c r="O51" i="118"/>
  <c r="EM61" i="114"/>
  <c r="BM144" i="113"/>
  <c r="BM205" i="113" s="1"/>
  <c r="CB64" i="114"/>
  <c r="F10" i="122"/>
  <c r="E6" i="122"/>
  <c r="F7" i="122"/>
  <c r="S48" i="118"/>
  <c r="CL62" i="114"/>
  <c r="J35" i="105"/>
  <c r="J24" i="105"/>
  <c r="FF65" i="114"/>
  <c r="FE65" i="114" s="1"/>
  <c r="EV65" i="114"/>
  <c r="DO65" i="114"/>
  <c r="CY60" i="114"/>
  <c r="DH60" i="114" s="1"/>
  <c r="BM24" i="115"/>
  <c r="BE205" i="113"/>
  <c r="BK205" i="113" s="1"/>
  <c r="BK144" i="113"/>
  <c r="BD144" i="113"/>
  <c r="CN60" i="114"/>
  <c r="CX60" i="114"/>
  <c r="FY63" i="114"/>
  <c r="DF64" i="114"/>
  <c r="Z42" i="118"/>
  <c r="GB55" i="114"/>
  <c r="AF42" i="118" s="1"/>
  <c r="T47" i="118"/>
  <c r="EC61" i="114"/>
  <c r="BF101" i="113"/>
  <c r="BL101" i="113" s="1"/>
  <c r="BJ74" i="115"/>
  <c r="R47" i="118"/>
  <c r="D23" i="85"/>
  <c r="D22" i="85"/>
  <c r="D21" i="85"/>
  <c r="D20" i="85"/>
  <c r="D19" i="85"/>
  <c r="D18" i="85"/>
  <c r="D17" i="85"/>
  <c r="D16" i="85"/>
  <c r="D15" i="85"/>
  <c r="D14" i="85"/>
  <c r="D13" i="85"/>
  <c r="D12" i="85"/>
  <c r="D24" i="85" s="1"/>
  <c r="H31" i="61" s="1"/>
  <c r="B18" i="99" s="1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H18" i="61"/>
  <c r="H19" i="61"/>
  <c r="H20" i="61"/>
  <c r="H21" i="61"/>
  <c r="H15" i="61"/>
  <c r="B27" i="87"/>
  <c r="B28" i="87"/>
  <c r="B29" i="87"/>
  <c r="B26" i="87"/>
  <c r="W33" i="10"/>
  <c r="W34" i="10" s="1"/>
  <c r="AJ34" i="61"/>
  <c r="H24" i="61"/>
  <c r="G24" i="61"/>
  <c r="G14" i="61"/>
  <c r="G11" i="61" s="1"/>
  <c r="BD75" i="115" l="1"/>
  <c r="BJ75" i="115" s="1"/>
  <c r="DZ65" i="114"/>
  <c r="EC65" i="114"/>
  <c r="FY62" i="114"/>
  <c r="DO62" i="114"/>
  <c r="EA62" i="114" s="1"/>
  <c r="EV61" i="114"/>
  <c r="FP61" i="114"/>
  <c r="GB61" i="114" s="1"/>
  <c r="AF47" i="118" s="1"/>
  <c r="DQ60" i="114"/>
  <c r="EC60" i="114" s="1"/>
  <c r="Z46" i="118" s="1"/>
  <c r="FN65" i="114"/>
  <c r="DX62" i="114"/>
  <c r="U49" i="118"/>
  <c r="DX63" i="114"/>
  <c r="U47" i="118"/>
  <c r="DX61" i="114"/>
  <c r="EA61" i="114"/>
  <c r="O46" i="118"/>
  <c r="CB60" i="114"/>
  <c r="Z47" i="118"/>
  <c r="CW60" i="114"/>
  <c r="DG60" i="114"/>
  <c r="BJ144" i="113"/>
  <c r="BD205" i="113"/>
  <c r="BJ205" i="113" s="1"/>
  <c r="E7" i="122"/>
  <c r="F14" i="122"/>
  <c r="E10" i="122"/>
  <c r="F11" i="122"/>
  <c r="E11" i="122" s="1"/>
  <c r="R50" i="118"/>
  <c r="R51" i="118"/>
  <c r="EA65" i="114"/>
  <c r="U52" i="118"/>
  <c r="DX66" i="114"/>
  <c r="DH31" i="116"/>
  <c r="FP60" i="114"/>
  <c r="DY65" i="114"/>
  <c r="V51" i="118"/>
  <c r="FP52" i="114"/>
  <c r="FE64" i="114"/>
  <c r="FN64" i="114" s="1"/>
  <c r="FO64" i="114"/>
  <c r="W52" i="118"/>
  <c r="DZ66" i="114"/>
  <c r="FY64" i="114"/>
  <c r="AC50" i="118"/>
  <c r="EV60" i="114"/>
  <c r="FF60" i="114"/>
  <c r="FE61" i="114"/>
  <c r="FN61" i="114" s="1"/>
  <c r="FO61" i="114"/>
  <c r="BE96" i="115"/>
  <c r="BK96" i="115" s="1"/>
  <c r="BD95" i="115"/>
  <c r="BK95" i="115"/>
  <c r="DZ62" i="114"/>
  <c r="W48" i="118"/>
  <c r="EC62" i="114"/>
  <c r="BM101" i="113"/>
  <c r="CY41" i="114"/>
  <c r="DZ64" i="114"/>
  <c r="W50" i="118"/>
  <c r="EC64" i="114"/>
  <c r="Z51" i="118"/>
  <c r="GB65" i="114"/>
  <c r="AF51" i="118" s="1"/>
  <c r="AN41" i="114"/>
  <c r="N28" i="118"/>
  <c r="S49" i="118"/>
  <c r="CL63" i="114"/>
  <c r="EB63" i="114"/>
  <c r="FO65" i="114"/>
  <c r="R39" i="118"/>
  <c r="BR41" i="114"/>
  <c r="DZ60" i="114"/>
  <c r="W46" i="118"/>
  <c r="U51" i="118"/>
  <c r="DX65" i="114"/>
  <c r="FW65" i="114"/>
  <c r="AA51" i="118"/>
  <c r="EV62" i="114"/>
  <c r="FF62" i="114"/>
  <c r="U22" i="119"/>
  <c r="CM31" i="116"/>
  <c r="FE63" i="114"/>
  <c r="FN63" i="114" s="1"/>
  <c r="FO63" i="114"/>
  <c r="EA63" i="114"/>
  <c r="R49" i="118"/>
  <c r="EV52" i="114"/>
  <c r="FF52" i="114"/>
  <c r="FE52" i="114" s="1"/>
  <c r="DF52" i="114"/>
  <c r="DO52" i="114" s="1"/>
  <c r="DP52" i="114"/>
  <c r="EB52" i="114" s="1"/>
  <c r="EX41" i="114"/>
  <c r="DY63" i="114"/>
  <c r="V49" i="118"/>
  <c r="DY61" i="114"/>
  <c r="V47" i="118"/>
  <c r="BZ60" i="114"/>
  <c r="P46" i="118"/>
  <c r="DY66" i="114"/>
  <c r="V52" i="118"/>
  <c r="FG31" i="116"/>
  <c r="FP31" i="116" s="1"/>
  <c r="BK90" i="115"/>
  <c r="BD90" i="115"/>
  <c r="BJ90" i="115" s="1"/>
  <c r="DO64" i="114"/>
  <c r="EA66" i="114"/>
  <c r="CC60" i="114"/>
  <c r="DZ52" i="114"/>
  <c r="W39" i="118"/>
  <c r="EC52" i="114"/>
  <c r="E13" i="122"/>
  <c r="F15" i="122"/>
  <c r="S39" i="118"/>
  <c r="CL52" i="114"/>
  <c r="S51" i="118"/>
  <c r="CL65" i="114"/>
  <c r="EB65" i="114"/>
  <c r="FE66" i="114"/>
  <c r="FN66" i="114" s="1"/>
  <c r="FO66" i="114"/>
  <c r="EC66" i="114"/>
  <c r="BN96" i="115"/>
  <c r="BM95" i="115"/>
  <c r="BM96" i="115" s="1"/>
  <c r="BN90" i="115"/>
  <c r="BM90" i="115" s="1"/>
  <c r="EB66" i="114"/>
  <c r="DZ63" i="114"/>
  <c r="W49" i="118"/>
  <c r="EC63" i="114"/>
  <c r="AC47" i="118"/>
  <c r="EB61" i="114"/>
  <c r="CL64" i="114"/>
  <c r="S50" i="118"/>
  <c r="EB64" i="114"/>
  <c r="DP62" i="114"/>
  <c r="BD101" i="113"/>
  <c r="BJ101" i="113" s="1"/>
  <c r="B17" i="99"/>
  <c r="G10" i="61"/>
  <c r="G38" i="61" s="1"/>
  <c r="B24" i="85"/>
  <c r="C24" i="85" s="1"/>
  <c r="G23" i="61"/>
  <c r="E17" i="88"/>
  <c r="D17" i="88"/>
  <c r="C17" i="88"/>
  <c r="C9" i="88"/>
  <c r="U48" i="118" l="1"/>
  <c r="FY61" i="114"/>
  <c r="GB60" i="114"/>
  <c r="AF46" i="118" s="1"/>
  <c r="FN52" i="114"/>
  <c r="FW52" i="114" s="1"/>
  <c r="FY31" i="116"/>
  <c r="AD22" i="119"/>
  <c r="AA47" i="118"/>
  <c r="FW61" i="114"/>
  <c r="U39" i="118"/>
  <c r="DX52" i="114"/>
  <c r="EA52" i="114"/>
  <c r="AA39" i="118"/>
  <c r="FW63" i="114"/>
  <c r="AA49" i="118"/>
  <c r="DY62" i="114"/>
  <c r="V48" i="118"/>
  <c r="EB62" i="114"/>
  <c r="Y47" i="118"/>
  <c r="EK61" i="114"/>
  <c r="GA61" i="114"/>
  <c r="Y52" i="118"/>
  <c r="GA66" i="114"/>
  <c r="EK66" i="114"/>
  <c r="Z52" i="118"/>
  <c r="GB66" i="114"/>
  <c r="AF52" i="118" s="1"/>
  <c r="AA52" i="118"/>
  <c r="FW66" i="114"/>
  <c r="Y39" i="118"/>
  <c r="EK52" i="114"/>
  <c r="F19" i="122"/>
  <c r="E19" i="122" s="1"/>
  <c r="E15" i="122"/>
  <c r="F16" i="122"/>
  <c r="E16" i="122" s="1"/>
  <c r="S46" i="118"/>
  <c r="CL60" i="114"/>
  <c r="U50" i="118"/>
  <c r="DX64" i="114"/>
  <c r="DY52" i="114"/>
  <c r="V39" i="118"/>
  <c r="FX63" i="114"/>
  <c r="AB49" i="118"/>
  <c r="FX65" i="114"/>
  <c r="AB51" i="118"/>
  <c r="FW64" i="114"/>
  <c r="AA50" i="118"/>
  <c r="DQ31" i="116"/>
  <c r="X51" i="118"/>
  <c r="FZ65" i="114"/>
  <c r="AD51" i="118" s="1"/>
  <c r="E12" i="122"/>
  <c r="DF60" i="114"/>
  <c r="DO60" i="114" s="1"/>
  <c r="EA60" i="114" s="1"/>
  <c r="DP60" i="114"/>
  <c r="R46" i="118"/>
  <c r="FZ61" i="114"/>
  <c r="AD47" i="118" s="1"/>
  <c r="X47" i="118"/>
  <c r="X48" i="118"/>
  <c r="GA64" i="114"/>
  <c r="Y50" i="118"/>
  <c r="EK64" i="114"/>
  <c r="GB63" i="114"/>
  <c r="AF49" i="118" s="1"/>
  <c r="Z49" i="118"/>
  <c r="FX66" i="114"/>
  <c r="AB52" i="118"/>
  <c r="Y51" i="118"/>
  <c r="GA65" i="114"/>
  <c r="EK65" i="114"/>
  <c r="Z39" i="118"/>
  <c r="GB52" i="114"/>
  <c r="AF39" i="118" s="1"/>
  <c r="FZ66" i="114"/>
  <c r="AD52" i="118" s="1"/>
  <c r="X52" i="118"/>
  <c r="FG41" i="114"/>
  <c r="FZ63" i="114"/>
  <c r="AD49" i="118" s="1"/>
  <c r="X49" i="118"/>
  <c r="FE62" i="114"/>
  <c r="FN62" i="114" s="1"/>
  <c r="FO62" i="114"/>
  <c r="CD41" i="114"/>
  <c r="Q28" i="118"/>
  <c r="EK63" i="114"/>
  <c r="Y49" i="118"/>
  <c r="GA63" i="114"/>
  <c r="Z50" i="118"/>
  <c r="GB64" i="114"/>
  <c r="AF50" i="118" s="1"/>
  <c r="DH41" i="114"/>
  <c r="Z48" i="118"/>
  <c r="GB62" i="114"/>
  <c r="AF48" i="118" s="1"/>
  <c r="BJ95" i="115"/>
  <c r="BD96" i="115"/>
  <c r="BJ96" i="115" s="1"/>
  <c r="FX61" i="114"/>
  <c r="AB47" i="118"/>
  <c r="FE60" i="114"/>
  <c r="FN60" i="114" s="1"/>
  <c r="FO60" i="114"/>
  <c r="FX64" i="114"/>
  <c r="AB50" i="118"/>
  <c r="FY52" i="114"/>
  <c r="AC39" i="118"/>
  <c r="FY60" i="114"/>
  <c r="AC46" i="118"/>
  <c r="EA64" i="114"/>
  <c r="F18" i="122"/>
  <c r="E14" i="122"/>
  <c r="F12" i="122"/>
  <c r="FO52" i="114"/>
  <c r="B20" i="99"/>
  <c r="B18" i="88"/>
  <c r="B19" i="88"/>
  <c r="E17" i="122" l="1"/>
  <c r="F17" i="122"/>
  <c r="AA48" i="118"/>
  <c r="FW62" i="114"/>
  <c r="FZ62" i="114"/>
  <c r="AD48" i="118" s="1"/>
  <c r="F20" i="122"/>
  <c r="E20" i="122" s="1"/>
  <c r="E18" i="122"/>
  <c r="E21" i="122" s="1"/>
  <c r="E22" i="122" s="1"/>
  <c r="FX60" i="114"/>
  <c r="AB46" i="118"/>
  <c r="GJ63" i="114"/>
  <c r="AE49" i="118"/>
  <c r="FX62" i="114"/>
  <c r="AB48" i="118"/>
  <c r="DY60" i="114"/>
  <c r="V46" i="118"/>
  <c r="EB60" i="114"/>
  <c r="Y48" i="118"/>
  <c r="GA62" i="114"/>
  <c r="EK62" i="114"/>
  <c r="FX52" i="114"/>
  <c r="AB39" i="118"/>
  <c r="FZ64" i="114"/>
  <c r="AD50" i="118" s="1"/>
  <c r="X50" i="118"/>
  <c r="AA46" i="118"/>
  <c r="FW60" i="114"/>
  <c r="T28" i="118"/>
  <c r="FP41" i="114"/>
  <c r="GJ65" i="114"/>
  <c r="AE51" i="118"/>
  <c r="GJ64" i="114"/>
  <c r="AE50" i="118"/>
  <c r="FZ60" i="114"/>
  <c r="AD46" i="118" s="1"/>
  <c r="X46" i="118"/>
  <c r="U46" i="118"/>
  <c r="DX60" i="114"/>
  <c r="DZ31" i="116"/>
  <c r="X22" i="119"/>
  <c r="EC31" i="116"/>
  <c r="GA52" i="114"/>
  <c r="GJ66" i="114"/>
  <c r="AE52" i="118"/>
  <c r="GJ61" i="114"/>
  <c r="AE47" i="118"/>
  <c r="DQ41" i="114"/>
  <c r="FZ52" i="114"/>
  <c r="AD39" i="118" s="1"/>
  <c r="X39" i="118"/>
  <c r="C15" i="99"/>
  <c r="C16" i="99"/>
  <c r="C19" i="99"/>
  <c r="C18" i="99"/>
  <c r="C17" i="99"/>
  <c r="P25" i="65"/>
  <c r="P24" i="65" s="1"/>
  <c r="Q25" i="65"/>
  <c r="Q24" i="65" s="1"/>
  <c r="Q38" i="65"/>
  <c r="Q19" i="65"/>
  <c r="R19" i="65" s="1"/>
  <c r="Q20" i="65"/>
  <c r="R20" i="65" s="1"/>
  <c r="Q21" i="65"/>
  <c r="R21" i="65" s="1"/>
  <c r="P14" i="65"/>
  <c r="P11" i="65" s="1"/>
  <c r="P37" i="61"/>
  <c r="O24" i="61"/>
  <c r="P24" i="61"/>
  <c r="E46" i="73"/>
  <c r="E36" i="63"/>
  <c r="D43" i="73"/>
  <c r="B43" i="73" s="1"/>
  <c r="B44" i="73" s="1"/>
  <c r="B45" i="73" s="1"/>
  <c r="D38" i="73"/>
  <c r="B38" i="73" s="1"/>
  <c r="B37" i="73"/>
  <c r="G25" i="87"/>
  <c r="H22" i="66" s="1"/>
  <c r="E24" i="87"/>
  <c r="B24" i="87"/>
  <c r="E23" i="87"/>
  <c r="I20" i="64" s="1"/>
  <c r="B23" i="87"/>
  <c r="G22" i="87"/>
  <c r="S19" i="65" s="1"/>
  <c r="B22" i="87"/>
  <c r="G21" i="87"/>
  <c r="E21" i="87" s="1"/>
  <c r="G20" i="87"/>
  <c r="C16" i="87"/>
  <c r="C15" i="87"/>
  <c r="C14" i="87"/>
  <c r="G7" i="86"/>
  <c r="D26" i="75"/>
  <c r="C26" i="75"/>
  <c r="O31" i="32"/>
  <c r="N30" i="32"/>
  <c r="K34" i="32"/>
  <c r="K35" i="32" s="1"/>
  <c r="O32" i="32"/>
  <c r="O35" i="32" s="1"/>
  <c r="O38" i="32" s="1"/>
  <c r="O34" i="32"/>
  <c r="P30" i="32"/>
  <c r="K38" i="32"/>
  <c r="L35" i="32"/>
  <c r="L38" i="32" s="1"/>
  <c r="M31" i="32"/>
  <c r="M30" i="32"/>
  <c r="K29" i="32"/>
  <c r="AE29" i="10"/>
  <c r="K27" i="87" s="1"/>
  <c r="L27" i="87" s="1"/>
  <c r="AE30" i="10"/>
  <c r="K28" i="87" s="1"/>
  <c r="L28" i="87" s="1"/>
  <c r="AE31" i="10"/>
  <c r="K29" i="87" s="1"/>
  <c r="L29" i="87" s="1"/>
  <c r="AE28" i="10"/>
  <c r="K26" i="87" s="1"/>
  <c r="AE22" i="10"/>
  <c r="AE23" i="10"/>
  <c r="AE24" i="10"/>
  <c r="AE21" i="10"/>
  <c r="AD33" i="10"/>
  <c r="AE33" i="10"/>
  <c r="AD27" i="10"/>
  <c r="AE27" i="10"/>
  <c r="AE34" i="10" s="1"/>
  <c r="X33" i="10"/>
  <c r="X34" i="10"/>
  <c r="CO54" i="72"/>
  <c r="CP54" i="72" s="1"/>
  <c r="CO52" i="72"/>
  <c r="CP52" i="72" s="1"/>
  <c r="CO50" i="72"/>
  <c r="CP50" i="72" s="1"/>
  <c r="CO48" i="72"/>
  <c r="D12" i="86"/>
  <c r="G30" i="86"/>
  <c r="L19" i="87" s="1"/>
  <c r="F30" i="86"/>
  <c r="C30" i="86"/>
  <c r="F21" i="86"/>
  <c r="C21" i="86"/>
  <c r="F12" i="86"/>
  <c r="Z58" i="3"/>
  <c r="Y58" i="3"/>
  <c r="Y52" i="3"/>
  <c r="B45" i="32" s="1"/>
  <c r="D45" i="32" s="1"/>
  <c r="Z48" i="3"/>
  <c r="Y48" i="3"/>
  <c r="H5" i="79" s="1"/>
  <c r="H9" i="79" s="1"/>
  <c r="Z43" i="3"/>
  <c r="Z38" i="3"/>
  <c r="BJ51" i="72"/>
  <c r="BJ143" i="7"/>
  <c r="BJ140" i="7"/>
  <c r="BJ136" i="7"/>
  <c r="BJ134" i="7"/>
  <c r="BJ131" i="7"/>
  <c r="BJ130" i="7"/>
  <c r="BJ128" i="7"/>
  <c r="BJ127" i="7"/>
  <c r="BJ125" i="7"/>
  <c r="BJ124" i="7"/>
  <c r="BJ123" i="7"/>
  <c r="BJ121" i="7"/>
  <c r="BI143" i="7"/>
  <c r="BI140" i="7"/>
  <c r="BI136" i="7"/>
  <c r="BI130" i="7"/>
  <c r="BI128" i="7"/>
  <c r="BI127" i="7"/>
  <c r="BI126" i="7"/>
  <c r="BI125" i="7"/>
  <c r="BI124" i="7"/>
  <c r="BI123" i="7"/>
  <c r="BI121" i="7"/>
  <c r="BH143" i="7"/>
  <c r="BH140" i="7"/>
  <c r="BH134" i="7"/>
  <c r="BH131" i="7"/>
  <c r="BH64" i="7"/>
  <c r="BH136" i="7" s="1"/>
  <c r="BH20" i="7"/>
  <c r="BH56" i="7"/>
  <c r="BH130" i="7" s="1"/>
  <c r="BH54" i="7"/>
  <c r="BH51" i="7"/>
  <c r="BH37" i="7"/>
  <c r="BH38" i="7"/>
  <c r="BJ33" i="7"/>
  <c r="BI33" i="7"/>
  <c r="BH30" i="7"/>
  <c r="BH28" i="7"/>
  <c r="BH19" i="7"/>
  <c r="BH127" i="7" s="1"/>
  <c r="BH21" i="7"/>
  <c r="BH22" i="7"/>
  <c r="BH23" i="7"/>
  <c r="BH26" i="7"/>
  <c r="BH18" i="7"/>
  <c r="BH16" i="7"/>
  <c r="BH10" i="7"/>
  <c r="BH11" i="7"/>
  <c r="BH12" i="7"/>
  <c r="BH124" i="7" s="1"/>
  <c r="BH13" i="7"/>
  <c r="BH14" i="7"/>
  <c r="BH9" i="7"/>
  <c r="BH121" i="7" s="1"/>
  <c r="BI60" i="7"/>
  <c r="BI134" i="7" s="1"/>
  <c r="BI59" i="7"/>
  <c r="BI131" i="7" s="1"/>
  <c r="BH42" i="7"/>
  <c r="BI41" i="7"/>
  <c r="BH36" i="7"/>
  <c r="BH34" i="7"/>
  <c r="BI27" i="7"/>
  <c r="BJ27" i="7"/>
  <c r="BI25" i="7"/>
  <c r="BI17" i="7" s="1"/>
  <c r="BJ24" i="7"/>
  <c r="BJ126" i="7" s="1"/>
  <c r="B52" i="32" l="1"/>
  <c r="D52" i="32" s="1"/>
  <c r="E18" i="86" s="1"/>
  <c r="E21" i="86" s="1"/>
  <c r="D19" i="87" s="1"/>
  <c r="D9" i="87"/>
  <c r="Y57" i="3"/>
  <c r="BM60" i="72" s="1"/>
  <c r="BL54" i="72" s="1"/>
  <c r="BM54" i="72" s="1"/>
  <c r="E12" i="87" s="1"/>
  <c r="B14" i="92"/>
  <c r="H37" i="65"/>
  <c r="GJ52" i="114"/>
  <c r="AE39" i="118"/>
  <c r="FY41" i="114"/>
  <c r="AC28" i="118"/>
  <c r="GJ62" i="114"/>
  <c r="AE48" i="118"/>
  <c r="Y46" i="118"/>
  <c r="GA60" i="114"/>
  <c r="EK60" i="114"/>
  <c r="F21" i="122"/>
  <c r="F22" i="122" s="1"/>
  <c r="G36" i="64"/>
  <c r="G37" i="64" s="1"/>
  <c r="H36" i="64"/>
  <c r="Y46" i="3"/>
  <c r="B15" i="92"/>
  <c r="H36" i="66"/>
  <c r="H37" i="66" s="1"/>
  <c r="W28" i="118"/>
  <c r="DZ41" i="114"/>
  <c r="AA22" i="119"/>
  <c r="EL31" i="116"/>
  <c r="GB31" i="116"/>
  <c r="EC41" i="114"/>
  <c r="C20" i="99"/>
  <c r="K25" i="87"/>
  <c r="BH128" i="7"/>
  <c r="H26" i="87"/>
  <c r="C28" i="87"/>
  <c r="H28" i="87"/>
  <c r="I28" i="87" s="1"/>
  <c r="C29" i="87"/>
  <c r="H29" i="87"/>
  <c r="I29" i="87" s="1"/>
  <c r="C27" i="87"/>
  <c r="H27" i="87"/>
  <c r="I27" i="87" s="1"/>
  <c r="BH24" i="7"/>
  <c r="BH25" i="7" s="1"/>
  <c r="BJ25" i="7" s="1"/>
  <c r="BJ17" i="7" s="1"/>
  <c r="BH15" i="7"/>
  <c r="BH17" i="7"/>
  <c r="E22" i="87"/>
  <c r="I19" i="64" s="1"/>
  <c r="K19" i="64"/>
  <c r="BL52" i="72"/>
  <c r="BM52" i="72" s="1"/>
  <c r="E13" i="87" s="1"/>
  <c r="F13" i="87" s="1"/>
  <c r="Q16" i="65"/>
  <c r="R16" i="65" s="1"/>
  <c r="K19" i="87"/>
  <c r="B25" i="87"/>
  <c r="P23" i="65"/>
  <c r="P10" i="65"/>
  <c r="P39" i="65" s="1"/>
  <c r="O11" i="61"/>
  <c r="O10" i="61" s="1"/>
  <c r="B39" i="73"/>
  <c r="B40" i="73" s="1"/>
  <c r="C38" i="73"/>
  <c r="C43" i="73"/>
  <c r="C44" i="73" s="1"/>
  <c r="E11" i="87"/>
  <c r="E10" i="87" s="1"/>
  <c r="M32" i="32"/>
  <c r="M34" i="32"/>
  <c r="M38" i="32"/>
  <c r="M35" i="32"/>
  <c r="AD34" i="10"/>
  <c r="CP55" i="72"/>
  <c r="CO51" i="72"/>
  <c r="CP48" i="72"/>
  <c r="CP51" i="72" s="1"/>
  <c r="CN51" i="72" s="1"/>
  <c r="CO55" i="72"/>
  <c r="BL55" i="72"/>
  <c r="BM55" i="72"/>
  <c r="BJ55" i="72"/>
  <c r="BI55" i="72"/>
  <c r="BI51" i="72"/>
  <c r="BH52" i="7"/>
  <c r="BH31" i="7"/>
  <c r="BH32" i="7"/>
  <c r="BH29" i="7"/>
  <c r="BH123" i="7" s="1"/>
  <c r="BI15" i="7"/>
  <c r="BJ15" i="7"/>
  <c r="BJ8" i="7" s="1"/>
  <c r="BI35" i="7"/>
  <c r="BH39" i="7"/>
  <c r="AR58" i="3"/>
  <c r="X58" i="3"/>
  <c r="G36" i="66" s="1"/>
  <c r="W52" i="3"/>
  <c r="W48" i="3" s="1"/>
  <c r="X48" i="3"/>
  <c r="X38" i="3"/>
  <c r="AR48" i="3"/>
  <c r="AM45" i="3"/>
  <c r="AM43" i="3" s="1"/>
  <c r="AM47" i="3" s="1"/>
  <c r="AR45" i="3"/>
  <c r="AL45" i="3"/>
  <c r="AL43" i="3" s="1"/>
  <c r="AL47" i="3" s="1"/>
  <c r="AM40" i="3"/>
  <c r="AM38" i="3" s="1"/>
  <c r="G6" i="77"/>
  <c r="B3" i="85"/>
  <c r="X43" i="3" l="1"/>
  <c r="E9" i="88"/>
  <c r="G37" i="66"/>
  <c r="G38" i="66"/>
  <c r="G40" i="66" s="1"/>
  <c r="G43" i="66" s="1"/>
  <c r="L9" i="87"/>
  <c r="F9" i="87"/>
  <c r="Q37" i="65"/>
  <c r="Z28" i="118"/>
  <c r="GB41" i="114"/>
  <c r="AE46" i="118"/>
  <c r="GJ60" i="114"/>
  <c r="H16" i="64"/>
  <c r="H14" i="64" s="1"/>
  <c r="D17" i="87"/>
  <c r="W43" i="3"/>
  <c r="BJ58" i="72" s="1"/>
  <c r="E5" i="88"/>
  <c r="GK31" i="116"/>
  <c r="AG22" i="119"/>
  <c r="Y43" i="3"/>
  <c r="B47" i="32"/>
  <c r="B13" i="92"/>
  <c r="C14" i="92" s="1"/>
  <c r="BH125" i="7"/>
  <c r="H25" i="87"/>
  <c r="AL44" i="3"/>
  <c r="O36" i="61"/>
  <c r="O38" i="61" s="1"/>
  <c r="P36" i="61"/>
  <c r="I9" i="87"/>
  <c r="O23" i="61"/>
  <c r="C45" i="73"/>
  <c r="D45" i="73" s="1"/>
  <c r="D44" i="73"/>
  <c r="M36" i="32"/>
  <c r="M39" i="32" s="1"/>
  <c r="CN55" i="72"/>
  <c r="BH33" i="7"/>
  <c r="BH27" i="7" s="1"/>
  <c r="BI8" i="7"/>
  <c r="BH8" i="7"/>
  <c r="AL39" i="3"/>
  <c r="W39" i="3"/>
  <c r="W38" i="3" s="1"/>
  <c r="W47" i="3"/>
  <c r="F51" i="65"/>
  <c r="E26" i="86" l="1"/>
  <c r="E30" i="86" s="1"/>
  <c r="F19" i="87" s="1"/>
  <c r="C15" i="92"/>
  <c r="E35" i="86" s="1"/>
  <c r="E39" i="86" s="1"/>
  <c r="G19" i="87" s="1"/>
  <c r="G17" i="87" s="1"/>
  <c r="Y47" i="3"/>
  <c r="BM58" i="72"/>
  <c r="BL50" i="72" s="1"/>
  <c r="BM50" i="72" s="1"/>
  <c r="B13" i="87" s="1"/>
  <c r="C13" i="87" s="1"/>
  <c r="Y39" i="3"/>
  <c r="Y38" i="3" s="1"/>
  <c r="B11" i="88"/>
  <c r="D7" i="96"/>
  <c r="BJ56" i="72"/>
  <c r="W42" i="3"/>
  <c r="B48" i="32"/>
  <c r="D48" i="32" s="1"/>
  <c r="B7" i="88"/>
  <c r="AF28" i="118"/>
  <c r="AL38" i="3"/>
  <c r="AL42" i="3" s="1"/>
  <c r="BJ41" i="7"/>
  <c r="BH40" i="7"/>
  <c r="BJ35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H28" i="84"/>
  <c r="B28" i="84"/>
  <c r="F23" i="84"/>
  <c r="C23" i="84"/>
  <c r="E22" i="84"/>
  <c r="B22" i="84"/>
  <c r="E21" i="84"/>
  <c r="G21" i="84" s="1"/>
  <c r="B21" i="84"/>
  <c r="D21" i="84" s="1"/>
  <c r="D20" i="84"/>
  <c r="D19" i="84"/>
  <c r="J15" i="84"/>
  <c r="G15" i="84"/>
  <c r="G8" i="84"/>
  <c r="D8" i="84"/>
  <c r="D7" i="84"/>
  <c r="D6" i="84"/>
  <c r="F5" i="83"/>
  <c r="F7" i="83"/>
  <c r="F8" i="83"/>
  <c r="F4" i="83"/>
  <c r="B7" i="83"/>
  <c r="D7" i="83" s="1"/>
  <c r="B4" i="83"/>
  <c r="D4" i="83" s="1"/>
  <c r="L51" i="10"/>
  <c r="S51" i="10" s="1"/>
  <c r="P54" i="10"/>
  <c r="Q54" i="10"/>
  <c r="R54" i="10"/>
  <c r="G54" i="10"/>
  <c r="O54" i="10"/>
  <c r="O56" i="10" s="1"/>
  <c r="S53" i="10"/>
  <c r="S52" i="10"/>
  <c r="S50" i="10"/>
  <c r="O47" i="10"/>
  <c r="M40" i="10"/>
  <c r="N40" i="10"/>
  <c r="O40" i="10"/>
  <c r="M44" i="10"/>
  <c r="N44" i="10"/>
  <c r="O44" i="10"/>
  <c r="L44" i="10"/>
  <c r="L40" i="10"/>
  <c r="S42" i="10"/>
  <c r="S43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70" i="78" s="1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H46" i="78"/>
  <c r="I46" i="78"/>
  <c r="J46" i="78"/>
  <c r="K46" i="78"/>
  <c r="B51" i="78"/>
  <c r="M51" i="78" s="1"/>
  <c r="G51" i="78"/>
  <c r="B52" i="78"/>
  <c r="M52" i="78" s="1"/>
  <c r="G52" i="78"/>
  <c r="E42" i="78"/>
  <c r="G50" i="78"/>
  <c r="B50" i="78"/>
  <c r="M50" i="78" s="1"/>
  <c r="G49" i="78"/>
  <c r="B49" i="78"/>
  <c r="M49" i="78" s="1"/>
  <c r="G48" i="78"/>
  <c r="B48" i="78"/>
  <c r="M48" i="78" s="1"/>
  <c r="G47" i="78"/>
  <c r="G46" i="78" s="1"/>
  <c r="C5" i="108" s="1"/>
  <c r="B47" i="78"/>
  <c r="B44" i="78"/>
  <c r="B43" i="78"/>
  <c r="B42" i="78" s="1"/>
  <c r="F42" i="78"/>
  <c r="D42" i="78"/>
  <c r="C42" i="78"/>
  <c r="B39" i="78"/>
  <c r="F40" i="78"/>
  <c r="B40" i="78" s="1"/>
  <c r="B38" i="78"/>
  <c r="H33" i="78"/>
  <c r="G33" i="78" s="1"/>
  <c r="G36" i="78"/>
  <c r="G35" i="78"/>
  <c r="G34" i="78"/>
  <c r="K32" i="78"/>
  <c r="J32" i="78"/>
  <c r="I32" i="78"/>
  <c r="H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W33" i="61" s="1"/>
  <c r="C73" i="114" s="1"/>
  <c r="B36" i="78"/>
  <c r="E26" i="78"/>
  <c r="B25" i="78"/>
  <c r="F24" i="78"/>
  <c r="F26" i="78" s="1"/>
  <c r="B26" i="78" s="1"/>
  <c r="W17" i="82"/>
  <c r="P21" i="81"/>
  <c r="B68" i="81"/>
  <c r="B67" i="81"/>
  <c r="B69" i="81" s="1"/>
  <c r="O21" i="81"/>
  <c r="N20" i="81"/>
  <c r="O20" i="81" s="1"/>
  <c r="E79" i="81"/>
  <c r="E80" i="81"/>
  <c r="E81" i="81" s="1"/>
  <c r="D80" i="81"/>
  <c r="D79" i="81"/>
  <c r="F79" i="81" s="1"/>
  <c r="F81" i="81" s="1"/>
  <c r="F80" i="81"/>
  <c r="E59" i="81"/>
  <c r="E67" i="81" s="1"/>
  <c r="E69" i="81" s="1"/>
  <c r="M12" i="81" s="1"/>
  <c r="E60" i="81"/>
  <c r="E68" i="81" s="1"/>
  <c r="D60" i="81"/>
  <c r="F60" i="81" s="1"/>
  <c r="D59" i="81"/>
  <c r="F59" i="81" s="1"/>
  <c r="E61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E93" i="81"/>
  <c r="M9" i="81" s="1"/>
  <c r="D93" i="81"/>
  <c r="H12" i="81"/>
  <c r="H13" i="81"/>
  <c r="O14" i="81"/>
  <c r="D45" i="81"/>
  <c r="E45" i="81"/>
  <c r="M13" i="81" s="1"/>
  <c r="B45" i="81"/>
  <c r="D41" i="81"/>
  <c r="E41" i="81"/>
  <c r="B41" i="81"/>
  <c r="D37" i="81"/>
  <c r="E37" i="81"/>
  <c r="M19" i="81" s="1"/>
  <c r="B37" i="81"/>
  <c r="D97" i="81"/>
  <c r="F96" i="81"/>
  <c r="F95" i="81"/>
  <c r="F97" i="81" s="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9" i="81" s="1"/>
  <c r="F44" i="81"/>
  <c r="F43" i="81"/>
  <c r="M7" i="81"/>
  <c r="F40" i="81"/>
  <c r="F39" i="81"/>
  <c r="F36" i="81"/>
  <c r="F35" i="81"/>
  <c r="M8" i="81"/>
  <c r="O15" i="65"/>
  <c r="O30" i="65"/>
  <c r="Q30" i="65" s="1"/>
  <c r="T14" i="82"/>
  <c r="T12" i="82"/>
  <c r="S22" i="82"/>
  <c r="T9" i="82"/>
  <c r="T7" i="82"/>
  <c r="F37" i="81" l="1"/>
  <c r="F41" i="81"/>
  <c r="F73" i="81"/>
  <c r="F85" i="81"/>
  <c r="D61" i="81"/>
  <c r="D81" i="81"/>
  <c r="P20" i="81"/>
  <c r="B73" i="114"/>
  <c r="L73" i="114"/>
  <c r="B32" i="78"/>
  <c r="C73" i="78"/>
  <c r="B73" i="78"/>
  <c r="B74" i="78"/>
  <c r="C74" i="78" s="1"/>
  <c r="C75" i="78" s="1"/>
  <c r="M33" i="78"/>
  <c r="D67" i="78"/>
  <c r="K6" i="84"/>
  <c r="D35" i="96"/>
  <c r="D10" i="96"/>
  <c r="D20" i="96"/>
  <c r="G20" i="96" s="1"/>
  <c r="D15" i="96"/>
  <c r="G15" i="96" s="1"/>
  <c r="D30" i="96"/>
  <c r="D25" i="96"/>
  <c r="S36" i="65"/>
  <c r="S39" i="65" s="1"/>
  <c r="R30" i="65"/>
  <c r="M34" i="78"/>
  <c r="M36" i="78"/>
  <c r="B46" i="78"/>
  <c r="M46" i="78" s="1"/>
  <c r="F73" i="78"/>
  <c r="E73" i="78"/>
  <c r="E74" i="78" s="1"/>
  <c r="F74" i="78" s="1"/>
  <c r="F75" i="78" s="1"/>
  <c r="F77" i="78" s="1"/>
  <c r="M47" i="78"/>
  <c r="P47" i="78" s="1"/>
  <c r="G70" i="78"/>
  <c r="G67" i="78"/>
  <c r="K8" i="84"/>
  <c r="G29" i="84"/>
  <c r="B49" i="32"/>
  <c r="D49" i="32" s="1"/>
  <c r="D50" i="32" s="1"/>
  <c r="D53" i="32" s="1"/>
  <c r="E9" i="86" s="1"/>
  <c r="Y42" i="3"/>
  <c r="B43" i="32"/>
  <c r="C9" i="87"/>
  <c r="BM56" i="72"/>
  <c r="BL48" i="72" s="1"/>
  <c r="H16" i="65"/>
  <c r="H14" i="65" s="1"/>
  <c r="E19" i="87"/>
  <c r="BH41" i="7"/>
  <c r="BH35" i="7" s="1"/>
  <c r="BH126" i="7"/>
  <c r="G69" i="78"/>
  <c r="D69" i="78"/>
  <c r="H29" i="84"/>
  <c r="J29" i="84" s="1"/>
  <c r="D11" i="84"/>
  <c r="D10" i="84"/>
  <c r="B23" i="84"/>
  <c r="D23" i="84" s="1"/>
  <c r="S54" i="10"/>
  <c r="U54" i="10" s="1"/>
  <c r="B28" i="78"/>
  <c r="G32" i="78"/>
  <c r="C4" i="108" s="1"/>
  <c r="B24" i="78"/>
  <c r="D67" i="81"/>
  <c r="D69" i="81" s="1"/>
  <c r="D68" i="81"/>
  <c r="F68" i="81"/>
  <c r="F92" i="81"/>
  <c r="B93" i="81"/>
  <c r="F91" i="81"/>
  <c r="BM48" i="72" l="1"/>
  <c r="BL51" i="72"/>
  <c r="H9" i="86"/>
  <c r="E12" i="86"/>
  <c r="D12" i="84"/>
  <c r="B9" i="87"/>
  <c r="C26" i="87" s="1"/>
  <c r="C25" i="87" s="1"/>
  <c r="H22" i="61" s="1"/>
  <c r="N37" i="78"/>
  <c r="C76" i="78"/>
  <c r="C77" i="78" s="1"/>
  <c r="U73" i="114"/>
  <c r="K73" i="114"/>
  <c r="B24" i="84"/>
  <c r="D24" i="84" s="1"/>
  <c r="D25" i="84" s="1"/>
  <c r="F67" i="81"/>
  <c r="AP73" i="114" l="1"/>
  <c r="T73" i="114"/>
  <c r="AC73" i="114" s="1"/>
  <c r="AD73" i="114"/>
  <c r="H12" i="86"/>
  <c r="C19" i="87"/>
  <c r="D26" i="87"/>
  <c r="D25" i="87" s="1"/>
  <c r="H22" i="64" s="1"/>
  <c r="B12" i="87"/>
  <c r="B11" i="87" s="1"/>
  <c r="B10" i="87" s="1"/>
  <c r="BM51" i="72"/>
  <c r="Q17" i="82"/>
  <c r="R17" i="82"/>
  <c r="B9" i="82"/>
  <c r="P24" i="82"/>
  <c r="J24" i="82"/>
  <c r="P23" i="82"/>
  <c r="J23" i="82"/>
  <c r="M22" i="82"/>
  <c r="P21" i="82"/>
  <c r="J21" i="82"/>
  <c r="M20" i="82"/>
  <c r="P19" i="82"/>
  <c r="J19" i="82"/>
  <c r="M18" i="82"/>
  <c r="C14" i="82"/>
  <c r="F14" i="82" s="1"/>
  <c r="R16" i="82"/>
  <c r="C12" i="82"/>
  <c r="C16" i="82" s="1"/>
  <c r="F16" i="82" s="1"/>
  <c r="F9" i="82"/>
  <c r="R11" i="82"/>
  <c r="C11" i="82"/>
  <c r="F11" i="82" s="1"/>
  <c r="B27" i="81"/>
  <c r="N8" i="81"/>
  <c r="J20" i="81"/>
  <c r="J21" i="81"/>
  <c r="J19" i="81"/>
  <c r="I8" i="81"/>
  <c r="J8" i="81" s="1"/>
  <c r="I22" i="81"/>
  <c r="E14" i="81"/>
  <c r="B7" i="81"/>
  <c r="B19" i="81"/>
  <c r="E22" i="81" s="1"/>
  <c r="F41" i="79"/>
  <c r="K15" i="61"/>
  <c r="D12" i="87" l="1"/>
  <c r="L59" i="118"/>
  <c r="AL73" i="114"/>
  <c r="J22" i="81"/>
  <c r="B19" i="87"/>
  <c r="H16" i="61"/>
  <c r="H14" i="61" s="1"/>
  <c r="M59" i="118"/>
  <c r="AM73" i="114"/>
  <c r="AY73" i="114"/>
  <c r="AO73" i="114"/>
  <c r="B18" i="87"/>
  <c r="J14" i="81"/>
  <c r="P14" i="81"/>
  <c r="O8" i="81"/>
  <c r="P8" i="81"/>
  <c r="B14" i="82"/>
  <c r="B12" i="82"/>
  <c r="B7" i="82"/>
  <c r="F12" i="82"/>
  <c r="S12" i="82"/>
  <c r="S9" i="82"/>
  <c r="G22" i="82"/>
  <c r="G18" i="82"/>
  <c r="S14" i="82"/>
  <c r="G20" i="82"/>
  <c r="E9" i="82"/>
  <c r="I9" i="82" s="1"/>
  <c r="K12" i="82"/>
  <c r="K14" i="82"/>
  <c r="G19" i="82"/>
  <c r="L7" i="82"/>
  <c r="P18" i="82"/>
  <c r="G24" i="82"/>
  <c r="L14" i="82"/>
  <c r="P22" i="82"/>
  <c r="L12" i="82"/>
  <c r="J9" i="82"/>
  <c r="E14" i="82"/>
  <c r="I14" i="82" s="1"/>
  <c r="G21" i="82"/>
  <c r="L9" i="82"/>
  <c r="P20" i="82"/>
  <c r="F7" i="82"/>
  <c r="S7" i="82"/>
  <c r="S11" i="82" s="1"/>
  <c r="G9" i="82"/>
  <c r="G14" i="82"/>
  <c r="J14" i="82"/>
  <c r="J18" i="82"/>
  <c r="J20" i="82"/>
  <c r="J22" i="82"/>
  <c r="H12" i="82"/>
  <c r="E7" i="81"/>
  <c r="B9" i="81"/>
  <c r="E9" i="81" s="1"/>
  <c r="B10" i="81"/>
  <c r="E10" i="81" s="1"/>
  <c r="B11" i="81"/>
  <c r="E11" i="81" s="1"/>
  <c r="H42" i="79"/>
  <c r="D45" i="79"/>
  <c r="D46" i="79" s="1"/>
  <c r="K4" i="80"/>
  <c r="K6" i="80"/>
  <c r="K9" i="80"/>
  <c r="K14" i="80" s="1"/>
  <c r="K11" i="80"/>
  <c r="K16" i="80" s="1"/>
  <c r="I3" i="80"/>
  <c r="K3" i="80" s="1"/>
  <c r="K8" i="80" s="1"/>
  <c r="K13" i="80" s="1"/>
  <c r="K17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L17" i="80" s="1"/>
  <c r="H5" i="80"/>
  <c r="K5" i="80" s="1"/>
  <c r="K10" i="80" s="1"/>
  <c r="K15" i="80" s="1"/>
  <c r="K18" i="80" s="1"/>
  <c r="F6" i="80"/>
  <c r="D4" i="80"/>
  <c r="F4" i="80" s="1"/>
  <c r="C3" i="80"/>
  <c r="E3" i="80" s="1"/>
  <c r="B3" i="80"/>
  <c r="C5" i="80"/>
  <c r="E5" i="80" s="1"/>
  <c r="B5" i="80"/>
  <c r="M4" i="80"/>
  <c r="M9" i="80" s="1"/>
  <c r="M14" i="80" s="1"/>
  <c r="M5" i="80"/>
  <c r="M10" i="80" s="1"/>
  <c r="M15" i="80" s="1"/>
  <c r="M6" i="80"/>
  <c r="M11" i="80" s="1"/>
  <c r="M16" i="80" s="1"/>
  <c r="M3" i="80"/>
  <c r="M8" i="80" s="1"/>
  <c r="M13" i="80" s="1"/>
  <c r="M17" i="80" s="1"/>
  <c r="G4" i="80"/>
  <c r="G6" i="80"/>
  <c r="D15" i="78"/>
  <c r="E15" i="78"/>
  <c r="C15" i="78"/>
  <c r="C7" i="78"/>
  <c r="E7" i="78"/>
  <c r="F7" i="78"/>
  <c r="F12" i="78" s="1"/>
  <c r="D7" i="78"/>
  <c r="F20" i="78"/>
  <c r="O25" i="65" s="1"/>
  <c r="O24" i="65" s="1"/>
  <c r="M18" i="80" l="1"/>
  <c r="L5" i="80"/>
  <c r="L10" i="80" s="1"/>
  <c r="L15" i="80" s="1"/>
  <c r="L18" i="80" s="1"/>
  <c r="AX73" i="114"/>
  <c r="BH73" i="114"/>
  <c r="C12" i="87"/>
  <c r="C11" i="87" s="1"/>
  <c r="C10" i="87" s="1"/>
  <c r="H13" i="61" s="1"/>
  <c r="D11" i="87"/>
  <c r="S16" i="82"/>
  <c r="Q16" i="82" s="1"/>
  <c r="H9" i="82"/>
  <c r="O9" i="82" s="1"/>
  <c r="K9" i="82"/>
  <c r="N9" i="82" s="1"/>
  <c r="N14" i="82"/>
  <c r="N12" i="82"/>
  <c r="G23" i="82"/>
  <c r="D16" i="82"/>
  <c r="E7" i="82"/>
  <c r="I7" i="82" s="1"/>
  <c r="Q11" i="82"/>
  <c r="O12" i="82"/>
  <c r="M12" i="82"/>
  <c r="L16" i="82"/>
  <c r="M14" i="82"/>
  <c r="P14" i="82" s="1"/>
  <c r="L11" i="82"/>
  <c r="J12" i="82"/>
  <c r="H14" i="82"/>
  <c r="O14" i="82" s="1"/>
  <c r="E15" i="81"/>
  <c r="D10" i="87" l="1"/>
  <c r="H13" i="64"/>
  <c r="CO73" i="114"/>
  <c r="BG73" i="114"/>
  <c r="BP73" i="114" s="1"/>
  <c r="BQ73" i="114"/>
  <c r="G7" i="82"/>
  <c r="D11" i="82"/>
  <c r="H16" i="82"/>
  <c r="J16" i="82"/>
  <c r="B16" i="82"/>
  <c r="E12" i="82"/>
  <c r="I12" i="82" s="1"/>
  <c r="O16" i="82"/>
  <c r="M9" i="82"/>
  <c r="P9" i="82" s="1"/>
  <c r="M16" i="82"/>
  <c r="P12" i="82"/>
  <c r="H7" i="82"/>
  <c r="O7" i="82" s="1"/>
  <c r="K7" i="82"/>
  <c r="S38" i="3"/>
  <c r="C26" i="81" s="1"/>
  <c r="I18" i="79"/>
  <c r="G26" i="79"/>
  <c r="D26" i="79"/>
  <c r="G25" i="79"/>
  <c r="D25" i="79"/>
  <c r="G24" i="79"/>
  <c r="D24" i="79"/>
  <c r="G23" i="79"/>
  <c r="D23" i="79"/>
  <c r="G22" i="79"/>
  <c r="G20" i="79" s="1"/>
  <c r="G18" i="79" s="1"/>
  <c r="D22" i="79"/>
  <c r="D20" i="79" s="1"/>
  <c r="D18" i="79" s="1"/>
  <c r="C20" i="78"/>
  <c r="B7" i="78"/>
  <c r="B8" i="78"/>
  <c r="B9" i="78"/>
  <c r="B10" i="78"/>
  <c r="B11" i="78"/>
  <c r="B16" i="78"/>
  <c r="B17" i="78"/>
  <c r="B18" i="78"/>
  <c r="B19" i="78"/>
  <c r="B15" i="78"/>
  <c r="B14" i="78"/>
  <c r="B5" i="108" s="1"/>
  <c r="H5" i="108" s="1"/>
  <c r="B6" i="78"/>
  <c r="B4" i="108" s="1"/>
  <c r="H4" i="108" s="1"/>
  <c r="D20" i="78"/>
  <c r="E20" i="78"/>
  <c r="D12" i="78"/>
  <c r="E12" i="78"/>
  <c r="C12" i="78"/>
  <c r="G13" i="77"/>
  <c r="E17" i="77"/>
  <c r="E18" i="77"/>
  <c r="G14" i="77"/>
  <c r="G15" i="77"/>
  <c r="G11" i="77" s="1"/>
  <c r="K16" i="66" s="1"/>
  <c r="G16" i="77"/>
  <c r="E16" i="77" s="1"/>
  <c r="F15" i="77"/>
  <c r="E15" i="77" s="1"/>
  <c r="D30" i="74"/>
  <c r="E30" i="74"/>
  <c r="F13" i="77" s="1"/>
  <c r="K16" i="65" s="1"/>
  <c r="O16" i="65" s="1"/>
  <c r="C30" i="74"/>
  <c r="V76" i="3"/>
  <c r="AJ59" i="3"/>
  <c r="B4" i="85" s="1"/>
  <c r="B5" i="85" s="1"/>
  <c r="O59" i="118" l="1"/>
  <c r="BY73" i="114"/>
  <c r="CB73" i="114"/>
  <c r="P59" i="118"/>
  <c r="BZ73" i="114"/>
  <c r="CC73" i="114"/>
  <c r="CN73" i="114"/>
  <c r="CX73" i="114"/>
  <c r="E62" i="32"/>
  <c r="F18" i="79"/>
  <c r="H18" i="79" s="1"/>
  <c r="E13" i="77"/>
  <c r="J7" i="82"/>
  <c r="K16" i="82"/>
  <c r="N16" i="82" s="1"/>
  <c r="G12" i="82"/>
  <c r="N7" i="82"/>
  <c r="M7" i="82"/>
  <c r="G11" i="82"/>
  <c r="B11" i="82"/>
  <c r="E11" i="82" s="1"/>
  <c r="I11" i="82" s="1"/>
  <c r="E20" i="79"/>
  <c r="E19" i="79"/>
  <c r="F19" i="79" s="1"/>
  <c r="H19" i="79" s="1"/>
  <c r="B12" i="78"/>
  <c r="B20" i="78"/>
  <c r="F51" i="61"/>
  <c r="B16" i="77"/>
  <c r="B17" i="77"/>
  <c r="B18" i="77"/>
  <c r="AA29" i="10"/>
  <c r="E21" i="77" s="1"/>
  <c r="F21" i="77" s="1"/>
  <c r="AA30" i="10"/>
  <c r="E22" i="77" s="1"/>
  <c r="F22" i="77" s="1"/>
  <c r="AA31" i="10"/>
  <c r="E23" i="77" s="1"/>
  <c r="F23" i="77" s="1"/>
  <c r="AA28" i="10"/>
  <c r="Z33" i="10"/>
  <c r="AA22" i="10"/>
  <c r="B21" i="77" s="1"/>
  <c r="C21" i="77" s="1"/>
  <c r="AA23" i="10"/>
  <c r="B22" i="77" s="1"/>
  <c r="C22" i="77" s="1"/>
  <c r="AA24" i="10"/>
  <c r="B23" i="77" s="1"/>
  <c r="C23" i="77" s="1"/>
  <c r="AA21" i="10"/>
  <c r="Z27" i="10"/>
  <c r="Q27" i="10"/>
  <c r="R27" i="10"/>
  <c r="S27" i="10"/>
  <c r="T27" i="10"/>
  <c r="DG73" i="114" l="1"/>
  <c r="CW73" i="114"/>
  <c r="S59" i="118"/>
  <c r="CL73" i="114"/>
  <c r="DP73" i="114"/>
  <c r="R59" i="118"/>
  <c r="CK73" i="114"/>
  <c r="W36" i="61"/>
  <c r="K62" i="32"/>
  <c r="H62" i="32"/>
  <c r="J62" i="32" s="1"/>
  <c r="G62" i="32"/>
  <c r="Y38" i="65"/>
  <c r="E65" i="32"/>
  <c r="AA27" i="10"/>
  <c r="Z34" i="10"/>
  <c r="AF23" i="10"/>
  <c r="B20" i="77"/>
  <c r="B19" i="77" s="1"/>
  <c r="AA33" i="10"/>
  <c r="E20" i="77"/>
  <c r="E19" i="77" s="1"/>
  <c r="AF21" i="10"/>
  <c r="AF24" i="10"/>
  <c r="AF22" i="10"/>
  <c r="E16" i="82"/>
  <c r="I16" i="82" s="1"/>
  <c r="P16" i="82" s="1"/>
  <c r="G16" i="82"/>
  <c r="P7" i="82"/>
  <c r="M11" i="82"/>
  <c r="J11" i="82"/>
  <c r="H11" i="82"/>
  <c r="O11" i="82" s="1"/>
  <c r="E18" i="79"/>
  <c r="F20" i="79"/>
  <c r="H20" i="79" s="1"/>
  <c r="E21" i="79"/>
  <c r="E23" i="79"/>
  <c r="E25" i="79"/>
  <c r="E22" i="79"/>
  <c r="E24" i="79"/>
  <c r="E26" i="79"/>
  <c r="Y34" i="10"/>
  <c r="F62" i="3"/>
  <c r="T58" i="3"/>
  <c r="U58" i="3"/>
  <c r="U57" i="3" s="1"/>
  <c r="V58" i="3"/>
  <c r="V38" i="3"/>
  <c r="S43" i="3"/>
  <c r="T52" i="3"/>
  <c r="U52" i="3"/>
  <c r="U51" i="3"/>
  <c r="U48" i="3" s="1"/>
  <c r="U43" i="3" s="1"/>
  <c r="S48" i="3"/>
  <c r="T48" i="3"/>
  <c r="T43" i="3" s="1"/>
  <c r="T39" i="3" s="1"/>
  <c r="T38" i="3" s="1"/>
  <c r="E5" i="84" s="1"/>
  <c r="V48" i="3"/>
  <c r="V43" i="3" s="1"/>
  <c r="J14" i="65"/>
  <c r="J11" i="65" s="1"/>
  <c r="D23" i="73"/>
  <c r="B23" i="73" s="1"/>
  <c r="K15" i="65"/>
  <c r="BZ52" i="72"/>
  <c r="CQ52" i="72" s="1"/>
  <c r="BZ54" i="72"/>
  <c r="CQ54" i="72" s="1"/>
  <c r="S20" i="82" l="1"/>
  <c r="S21" i="82" s="1"/>
  <c r="U39" i="3"/>
  <c r="U38" i="3" s="1"/>
  <c r="U47" i="3"/>
  <c r="D9" i="88"/>
  <c r="B10" i="88" s="1"/>
  <c r="G41" i="79"/>
  <c r="F45" i="79" s="1"/>
  <c r="F46" i="79" s="1"/>
  <c r="I42" i="79" s="1"/>
  <c r="V59" i="118"/>
  <c r="DY73" i="114"/>
  <c r="EB73" i="114"/>
  <c r="EN73" i="114"/>
  <c r="DF73" i="114"/>
  <c r="DO73" i="114" s="1"/>
  <c r="X36" i="61"/>
  <c r="Y36" i="61"/>
  <c r="Z36" i="61" s="1"/>
  <c r="AA36" i="61" s="1"/>
  <c r="AB36" i="61" s="1"/>
  <c r="AC36" i="61" s="1"/>
  <c r="AX44" i="3"/>
  <c r="AX43" i="3" s="1"/>
  <c r="S36" i="95" s="1"/>
  <c r="BR64" i="7"/>
  <c r="H65" i="32"/>
  <c r="K65" i="32"/>
  <c r="N62" i="32"/>
  <c r="M62" i="32"/>
  <c r="AA38" i="65"/>
  <c r="AB38" i="65" s="1"/>
  <c r="AC38" i="65" s="1"/>
  <c r="AD38" i="65" s="1"/>
  <c r="AE38" i="65" s="1"/>
  <c r="Z38" i="65"/>
  <c r="AF27" i="10"/>
  <c r="F12" i="77"/>
  <c r="AA34" i="10"/>
  <c r="E12" i="77"/>
  <c r="P11" i="82"/>
  <c r="K11" i="82"/>
  <c r="N11" i="82" s="1"/>
  <c r="F23" i="79"/>
  <c r="H23" i="79" s="1"/>
  <c r="F26" i="79"/>
  <c r="H26" i="79" s="1"/>
  <c r="F22" i="79"/>
  <c r="H22" i="79" s="1"/>
  <c r="F24" i="79"/>
  <c r="H24" i="79" s="1"/>
  <c r="F21" i="79"/>
  <c r="H21" i="79" s="1"/>
  <c r="F25" i="79"/>
  <c r="H25" i="79" s="1"/>
  <c r="K38" i="65"/>
  <c r="N38" i="65"/>
  <c r="AK58" i="3"/>
  <c r="AX33" i="7"/>
  <c r="AY33" i="7"/>
  <c r="AX15" i="7"/>
  <c r="AY15" i="7"/>
  <c r="AW52" i="7"/>
  <c r="AW53" i="7"/>
  <c r="AW54" i="7"/>
  <c r="AW51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C8" i="76" s="1"/>
  <c r="D18" i="67" s="1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C21" i="74"/>
  <c r="J16" i="32"/>
  <c r="AJ52" i="3"/>
  <c r="AJ48" i="3" s="1"/>
  <c r="D12" i="74"/>
  <c r="E30" i="32"/>
  <c r="D18" i="73"/>
  <c r="B18" i="73" s="1"/>
  <c r="B19" i="73" s="1"/>
  <c r="B20" i="73" s="1"/>
  <c r="N38" i="3"/>
  <c r="N48" i="3"/>
  <c r="N43" i="3" s="1"/>
  <c r="R52" i="3"/>
  <c r="B8" i="73"/>
  <c r="C8" i="73" s="1"/>
  <c r="B9" i="73"/>
  <c r="B10" i="73"/>
  <c r="B13" i="73"/>
  <c r="C13" i="73" s="1"/>
  <c r="B14" i="73"/>
  <c r="B15" i="73" s="1"/>
  <c r="B32" i="73"/>
  <c r="B27" i="73"/>
  <c r="B24" i="73"/>
  <c r="B25" i="73" s="1"/>
  <c r="BZ50" i="72"/>
  <c r="CQ50" i="72" s="1"/>
  <c r="BZ48" i="72"/>
  <c r="CQ48" i="72" s="1"/>
  <c r="D8" i="73" l="1"/>
  <c r="C9" i="73"/>
  <c r="D9" i="73" s="1"/>
  <c r="U59" i="118"/>
  <c r="DX73" i="114"/>
  <c r="EA73" i="114"/>
  <c r="Y59" i="118"/>
  <c r="EK73" i="114"/>
  <c r="R48" i="3"/>
  <c r="E7" i="84"/>
  <c r="G7" i="84" s="1"/>
  <c r="K7" i="84" s="1"/>
  <c r="K36" i="61"/>
  <c r="C3" i="77"/>
  <c r="EM73" i="114"/>
  <c r="EW73" i="114"/>
  <c r="S34" i="95"/>
  <c r="S41" i="95"/>
  <c r="S46" i="95" s="1"/>
  <c r="T36" i="95"/>
  <c r="BR136" i="7"/>
  <c r="BQ64" i="7"/>
  <c r="W37" i="61"/>
  <c r="E61" i="32"/>
  <c r="AX39" i="3"/>
  <c r="AX47" i="3"/>
  <c r="U36" i="95"/>
  <c r="T41" i="95"/>
  <c r="T46" i="95" s="1"/>
  <c r="Q62" i="32"/>
  <c r="P62" i="32"/>
  <c r="N65" i="32"/>
  <c r="E18" i="87"/>
  <c r="D13" i="73"/>
  <c r="C14" i="73"/>
  <c r="C12" i="77"/>
  <c r="B12" i="77" s="1"/>
  <c r="AK57" i="3"/>
  <c r="K36" i="66" s="1"/>
  <c r="K37" i="66" s="1"/>
  <c r="R44" i="3"/>
  <c r="R43" i="3"/>
  <c r="R47" i="3" s="1"/>
  <c r="C10" i="73"/>
  <c r="D10" i="73" s="1"/>
  <c r="C18" i="73"/>
  <c r="C23" i="73"/>
  <c r="BR18" i="7" l="1"/>
  <c r="BQ18" i="7" s="1"/>
  <c r="CC49" i="113"/>
  <c r="EV73" i="114"/>
  <c r="FF73" i="114"/>
  <c r="FE73" i="114" s="1"/>
  <c r="FN73" i="114" s="1"/>
  <c r="X59" i="118"/>
  <c r="EJ73" i="114"/>
  <c r="D5" i="88"/>
  <c r="B29" i="81"/>
  <c r="B28" i="81" s="1"/>
  <c r="G5" i="79"/>
  <c r="S39" i="95"/>
  <c r="S44" i="95" s="1"/>
  <c r="T34" i="95"/>
  <c r="AX42" i="3"/>
  <c r="AX38" i="3"/>
  <c r="X37" i="61"/>
  <c r="Y37" i="61"/>
  <c r="Z37" i="61" s="1"/>
  <c r="AA37" i="61" s="1"/>
  <c r="AB37" i="61" s="1"/>
  <c r="AC37" i="61" s="1"/>
  <c r="E60" i="32"/>
  <c r="K61" i="32"/>
  <c r="G61" i="32"/>
  <c r="H61" i="32"/>
  <c r="BR57" i="7"/>
  <c r="BQ136" i="7"/>
  <c r="BR29" i="7"/>
  <c r="CC96" i="113" s="1"/>
  <c r="BR13" i="7"/>
  <c r="CC29" i="113" s="1"/>
  <c r="BR31" i="7"/>
  <c r="CC98" i="113" s="1"/>
  <c r="BS13" i="7"/>
  <c r="CD29" i="113" s="1"/>
  <c r="BR32" i="7"/>
  <c r="BS32" i="7"/>
  <c r="CD99" i="113" s="1"/>
  <c r="BS39" i="7"/>
  <c r="CD122" i="113" s="1"/>
  <c r="BS40" i="7"/>
  <c r="CD123" i="113" s="1"/>
  <c r="BS31" i="7"/>
  <c r="CD98" i="113" s="1"/>
  <c r="BS10" i="7"/>
  <c r="CD26" i="113" s="1"/>
  <c r="BS29" i="7"/>
  <c r="CD96" i="113" s="1"/>
  <c r="BR10" i="7"/>
  <c r="CC26" i="113" s="1"/>
  <c r="BS14" i="7"/>
  <c r="CD30" i="113" s="1"/>
  <c r="BR14" i="7"/>
  <c r="CC30" i="113" s="1"/>
  <c r="BR39" i="7"/>
  <c r="CC122" i="113" s="1"/>
  <c r="BR40" i="7"/>
  <c r="CC123" i="113" s="1"/>
  <c r="Q65" i="32"/>
  <c r="T62" i="32"/>
  <c r="S62" i="32"/>
  <c r="U41" i="95"/>
  <c r="U46" i="95" s="1"/>
  <c r="V36" i="95"/>
  <c r="D14" i="73"/>
  <c r="C15" i="73"/>
  <c r="D15" i="73" s="1"/>
  <c r="G3" i="77"/>
  <c r="R39" i="3"/>
  <c r="R38" i="3" s="1"/>
  <c r="C24" i="73"/>
  <c r="C19" i="73"/>
  <c r="AK48" i="3"/>
  <c r="K36" i="64" s="1"/>
  <c r="AJ45" i="3"/>
  <c r="J14" i="61"/>
  <c r="AH58" i="3"/>
  <c r="AH57" i="3" s="1"/>
  <c r="M52" i="3"/>
  <c r="AL118" i="7"/>
  <c r="AI58" i="3"/>
  <c r="AI57" i="3" s="1"/>
  <c r="AH45" i="3"/>
  <c r="AI48" i="3"/>
  <c r="AI45" i="3" s="1"/>
  <c r="AI43" i="3" s="1"/>
  <c r="AH48" i="3"/>
  <c r="AH44" i="3" s="1"/>
  <c r="AH43" i="3" s="1"/>
  <c r="AH47" i="3" s="1"/>
  <c r="AI40" i="3"/>
  <c r="AI38" i="3" s="1"/>
  <c r="FO73" i="114" l="1"/>
  <c r="CI122" i="113"/>
  <c r="C122" i="113"/>
  <c r="CB122" i="113"/>
  <c r="CH122" i="113" s="1"/>
  <c r="CJ30" i="113"/>
  <c r="CD192" i="113"/>
  <c r="CJ96" i="113"/>
  <c r="D96" i="113"/>
  <c r="S96" i="113" s="1"/>
  <c r="AH96" i="113" s="1"/>
  <c r="CJ98" i="113"/>
  <c r="D98" i="113"/>
  <c r="S98" i="113" s="1"/>
  <c r="AH98" i="113" s="1"/>
  <c r="AQ98" i="113" s="1"/>
  <c r="BO98" i="113" s="1"/>
  <c r="CJ122" i="113"/>
  <c r="D122" i="113"/>
  <c r="S122" i="113" s="1"/>
  <c r="AH122" i="113" s="1"/>
  <c r="BR33" i="7"/>
  <c r="CC99" i="113"/>
  <c r="CI29" i="113"/>
  <c r="CI96" i="113"/>
  <c r="CB96" i="113"/>
  <c r="CH96" i="113" s="1"/>
  <c r="C96" i="113"/>
  <c r="AB59" i="118"/>
  <c r="FX73" i="114"/>
  <c r="GA73" i="114"/>
  <c r="CB49" i="113"/>
  <c r="CH49" i="113" s="1"/>
  <c r="CI49" i="113"/>
  <c r="C49" i="113"/>
  <c r="R42" i="3"/>
  <c r="S18" i="82"/>
  <c r="S19" i="82" s="1"/>
  <c r="CI123" i="113"/>
  <c r="CC124" i="113"/>
  <c r="CI124" i="113" s="1"/>
  <c r="CB123" i="113"/>
  <c r="C123" i="113"/>
  <c r="CI30" i="113"/>
  <c r="CI26" i="113"/>
  <c r="CC187" i="113"/>
  <c r="CI187" i="113" s="1"/>
  <c r="CJ26" i="113"/>
  <c r="CD187" i="113"/>
  <c r="CJ123" i="113"/>
  <c r="D123" i="113"/>
  <c r="CD124" i="113"/>
  <c r="CJ124" i="113" s="1"/>
  <c r="CJ99" i="113"/>
  <c r="CD100" i="113"/>
  <c r="CJ100" i="113" s="1"/>
  <c r="D99" i="113"/>
  <c r="CJ29" i="113"/>
  <c r="CD191" i="113"/>
  <c r="CJ191" i="113" s="1"/>
  <c r="CI98" i="113"/>
  <c r="CB98" i="113"/>
  <c r="CH98" i="113" s="1"/>
  <c r="C98" i="113"/>
  <c r="GA8" i="114"/>
  <c r="CC8" i="113"/>
  <c r="G7" i="96"/>
  <c r="E9" i="84"/>
  <c r="B26" i="81"/>
  <c r="FW73" i="114"/>
  <c r="AA59" i="118"/>
  <c r="FZ73" i="114"/>
  <c r="CB30" i="113"/>
  <c r="CC31" i="113"/>
  <c r="CI31" i="113" s="1"/>
  <c r="C30" i="113"/>
  <c r="C26" i="113"/>
  <c r="C187" i="113" s="1"/>
  <c r="C42" i="114" s="1"/>
  <c r="CB26" i="113"/>
  <c r="D26" i="113"/>
  <c r="D29" i="113"/>
  <c r="D191" i="113" s="1"/>
  <c r="D46" i="114" s="1"/>
  <c r="CD31" i="113"/>
  <c r="CJ31" i="113" s="1"/>
  <c r="D30" i="113"/>
  <c r="D192" i="113" s="1"/>
  <c r="CB29" i="113"/>
  <c r="C29" i="113"/>
  <c r="BR41" i="7"/>
  <c r="BR123" i="7"/>
  <c r="BS123" i="7"/>
  <c r="BS154" i="7" s="1"/>
  <c r="W22" i="64" s="1"/>
  <c r="T39" i="95"/>
  <c r="T44" i="95" s="1"/>
  <c r="U34" i="95"/>
  <c r="BS126" i="7"/>
  <c r="BS15" i="7"/>
  <c r="K9" i="102"/>
  <c r="L9" i="102" s="1"/>
  <c r="BS57" i="7"/>
  <c r="BR132" i="7"/>
  <c r="W17" i="61"/>
  <c r="X17" i="61" s="1"/>
  <c r="BR152" i="7"/>
  <c r="G71" i="32"/>
  <c r="G68" i="32"/>
  <c r="BQ51" i="7" s="1"/>
  <c r="BS41" i="7"/>
  <c r="BS33" i="7"/>
  <c r="BR15" i="7"/>
  <c r="W22" i="61"/>
  <c r="BR154" i="7"/>
  <c r="H71" i="32"/>
  <c r="J61" i="32"/>
  <c r="K60" i="32"/>
  <c r="M61" i="32"/>
  <c r="N61" i="32"/>
  <c r="K66" i="32"/>
  <c r="K33" i="105"/>
  <c r="K35" i="105" s="1"/>
  <c r="L34" i="105" s="1"/>
  <c r="H34" i="105" s="1"/>
  <c r="N17" i="104" s="1"/>
  <c r="N23" i="104" s="1"/>
  <c r="AA16" i="64" s="1"/>
  <c r="S11" i="95"/>
  <c r="BS125" i="7"/>
  <c r="F34" i="105"/>
  <c r="L17" i="104" s="1"/>
  <c r="L23" i="104" s="1"/>
  <c r="Y16" i="64" s="1"/>
  <c r="I34" i="105"/>
  <c r="O17" i="104" s="1"/>
  <c r="O23" i="104" s="1"/>
  <c r="AB16" i="64" s="1"/>
  <c r="E34" i="105"/>
  <c r="W36" i="95"/>
  <c r="V41" i="95"/>
  <c r="V46" i="95" s="1"/>
  <c r="W62" i="32"/>
  <c r="Y62" i="32" s="1"/>
  <c r="V62" i="32"/>
  <c r="T65" i="32"/>
  <c r="G16" i="81"/>
  <c r="BT25" i="8"/>
  <c r="BS25" i="8"/>
  <c r="D3" i="77"/>
  <c r="AK45" i="3"/>
  <c r="AK43" i="3" s="1"/>
  <c r="AK47" i="3" s="1"/>
  <c r="AJ46" i="3"/>
  <c r="C25" i="73"/>
  <c r="D25" i="73" s="1"/>
  <c r="D49" i="73" s="1"/>
  <c r="D24" i="73"/>
  <c r="C20" i="73"/>
  <c r="D20" i="73" s="1"/>
  <c r="D19" i="73"/>
  <c r="J11" i="61"/>
  <c r="AH39" i="3"/>
  <c r="AH38" i="3" s="1"/>
  <c r="AH42" i="3" s="1"/>
  <c r="J24" i="66"/>
  <c r="K24" i="66"/>
  <c r="J14" i="66"/>
  <c r="J11" i="66" s="1"/>
  <c r="J24" i="65"/>
  <c r="J10" i="65" s="1"/>
  <c r="J39" i="65" s="1"/>
  <c r="K24" i="65"/>
  <c r="J24" i="64"/>
  <c r="K24" i="64"/>
  <c r="J14" i="64"/>
  <c r="J11" i="64" s="1"/>
  <c r="J10" i="64" s="1"/>
  <c r="J37" i="64" s="1"/>
  <c r="J24" i="61"/>
  <c r="K24" i="61"/>
  <c r="D187" i="113" l="1"/>
  <c r="E33" i="32"/>
  <c r="E32" i="84"/>
  <c r="H32" i="84" s="1"/>
  <c r="R10" i="102"/>
  <c r="CH29" i="113"/>
  <c r="D193" i="113"/>
  <c r="D47" i="114"/>
  <c r="M46" i="114"/>
  <c r="V46" i="114" s="1"/>
  <c r="CH26" i="113"/>
  <c r="CB187" i="113"/>
  <c r="CH30" i="113"/>
  <c r="V18" i="82"/>
  <c r="L16" i="81"/>
  <c r="G19" i="96"/>
  <c r="G22" i="96" s="1"/>
  <c r="G9" i="96"/>
  <c r="G12" i="96" s="1"/>
  <c r="G34" i="96"/>
  <c r="G37" i="96" s="1"/>
  <c r="G39" i="96"/>
  <c r="G42" i="96" s="1"/>
  <c r="G29" i="96"/>
  <c r="G32" i="96" s="1"/>
  <c r="G24" i="96"/>
  <c r="G27" i="96" s="1"/>
  <c r="G14" i="96"/>
  <c r="G17" i="96" s="1"/>
  <c r="GA11" i="114"/>
  <c r="CO8" i="114"/>
  <c r="CX8" i="114"/>
  <c r="EN8" i="114"/>
  <c r="FF8" i="114"/>
  <c r="C8" i="114"/>
  <c r="FZ8" i="114"/>
  <c r="FZ10" i="114" s="1"/>
  <c r="GI10" i="114" s="1"/>
  <c r="AP8" i="114"/>
  <c r="AY8" i="114"/>
  <c r="BH8" i="114"/>
  <c r="EW8" i="114"/>
  <c r="DG8" i="114"/>
  <c r="L8" i="114"/>
  <c r="U8" i="114"/>
  <c r="GJ8" i="114"/>
  <c r="GI8" i="114" s="1"/>
  <c r="GA10" i="114"/>
  <c r="GJ10" i="114" s="1"/>
  <c r="R98" i="113"/>
  <c r="Q98" i="113" s="1"/>
  <c r="B98" i="113"/>
  <c r="S99" i="113"/>
  <c r="D100" i="113"/>
  <c r="C124" i="113"/>
  <c r="B123" i="113"/>
  <c r="R123" i="113"/>
  <c r="GJ73" i="114"/>
  <c r="AE59" i="118"/>
  <c r="R96" i="113"/>
  <c r="Q96" i="113" s="1"/>
  <c r="B96" i="113"/>
  <c r="AG96" i="113"/>
  <c r="AN122" i="113"/>
  <c r="AN96" i="113"/>
  <c r="CD193" i="113"/>
  <c r="CJ193" i="113" s="1"/>
  <c r="CJ192" i="113"/>
  <c r="R122" i="113"/>
  <c r="Q122" i="113" s="1"/>
  <c r="B122" i="113"/>
  <c r="D42" i="114"/>
  <c r="B42" i="114" s="1"/>
  <c r="L42" i="114"/>
  <c r="GI73" i="114"/>
  <c r="AD59" i="118"/>
  <c r="E10" i="84"/>
  <c r="G10" i="84" s="1"/>
  <c r="K10" i="84" s="1"/>
  <c r="CC170" i="113"/>
  <c r="CC172" i="113" s="1"/>
  <c r="AE13" i="118"/>
  <c r="BN8" i="113"/>
  <c r="AP8" i="113"/>
  <c r="R8" i="113"/>
  <c r="C8" i="113"/>
  <c r="CI8" i="113"/>
  <c r="CB8" i="113"/>
  <c r="CC11" i="113"/>
  <c r="CC10" i="113"/>
  <c r="D124" i="113"/>
  <c r="S123" i="113"/>
  <c r="S124" i="113" s="1"/>
  <c r="CJ187" i="113"/>
  <c r="CH123" i="113"/>
  <c r="CB124" i="113"/>
  <c r="CH124" i="113" s="1"/>
  <c r="B49" i="113"/>
  <c r="R49" i="113"/>
  <c r="Q49" i="113" s="1"/>
  <c r="CC100" i="113"/>
  <c r="CI100" i="113" s="1"/>
  <c r="CI99" i="113"/>
  <c r="CB99" i="113"/>
  <c r="C99" i="113"/>
  <c r="AQ122" i="113"/>
  <c r="BO122" i="113" s="1"/>
  <c r="AN98" i="113"/>
  <c r="BF98" i="113"/>
  <c r="BL98" i="113" s="1"/>
  <c r="AQ96" i="113"/>
  <c r="BO96" i="113" s="1"/>
  <c r="CC37" i="113"/>
  <c r="CC35" i="113"/>
  <c r="B29" i="113"/>
  <c r="R29" i="113"/>
  <c r="S29" i="113"/>
  <c r="S26" i="113"/>
  <c r="CB31" i="113"/>
  <c r="CH31" i="113" s="1"/>
  <c r="D31" i="113"/>
  <c r="S30" i="113"/>
  <c r="R26" i="113"/>
  <c r="R187" i="113" s="1"/>
  <c r="AP42" i="114" s="1"/>
  <c r="B26" i="113"/>
  <c r="B30" i="113"/>
  <c r="C31" i="113"/>
  <c r="R30" i="113"/>
  <c r="Y22" i="64"/>
  <c r="Z22" i="64" s="1"/>
  <c r="AA22" i="64" s="1"/>
  <c r="AB22" i="64" s="1"/>
  <c r="AC22" i="64" s="1"/>
  <c r="G34" i="105"/>
  <c r="M17" i="104" s="1"/>
  <c r="M23" i="104" s="1"/>
  <c r="Z16" i="64" s="1"/>
  <c r="J34" i="105"/>
  <c r="P17" i="104" s="1"/>
  <c r="P23" i="104" s="1"/>
  <c r="AC16" i="64" s="1"/>
  <c r="L33" i="105"/>
  <c r="U39" i="95"/>
  <c r="U44" i="95" s="1"/>
  <c r="V34" i="95"/>
  <c r="N66" i="32"/>
  <c r="Q61" i="32"/>
  <c r="P61" i="32"/>
  <c r="N60" i="32"/>
  <c r="Y17" i="61"/>
  <c r="M9" i="102"/>
  <c r="S16" i="95"/>
  <c r="S21" i="95" s="1"/>
  <c r="CC25" i="113" s="1"/>
  <c r="T11" i="95"/>
  <c r="S9" i="95"/>
  <c r="S14" i="95" s="1"/>
  <c r="S19" i="95" s="1"/>
  <c r="S29" i="95" s="1"/>
  <c r="S48" i="95" s="1"/>
  <c r="K67" i="32"/>
  <c r="M67" i="32" s="1"/>
  <c r="M66" i="32"/>
  <c r="J71" i="32"/>
  <c r="J68" i="32"/>
  <c r="J69" i="32" s="1"/>
  <c r="K10" i="104"/>
  <c r="BR51" i="7"/>
  <c r="CC139" i="113" s="1"/>
  <c r="BS132" i="7"/>
  <c r="BS152" i="7"/>
  <c r="K10" i="102"/>
  <c r="L10" i="102" s="1"/>
  <c r="W17" i="64"/>
  <c r="K17" i="104"/>
  <c r="BR54" i="7"/>
  <c r="CC142" i="113" s="1"/>
  <c r="H33" i="105"/>
  <c r="N8" i="104" s="1"/>
  <c r="E33" i="105"/>
  <c r="K8" i="104" s="1"/>
  <c r="K14" i="104" s="1"/>
  <c r="W65" i="32"/>
  <c r="X36" i="95"/>
  <c r="X41" i="95" s="1"/>
  <c r="X46" i="95" s="1"/>
  <c r="W41" i="95"/>
  <c r="W46" i="95" s="1"/>
  <c r="F11" i="81"/>
  <c r="I11" i="81" s="1"/>
  <c r="F13" i="81"/>
  <c r="I13" i="81" s="1"/>
  <c r="F9" i="81"/>
  <c r="I9" i="81" s="1"/>
  <c r="F12" i="81"/>
  <c r="I12" i="81" s="1"/>
  <c r="F7" i="81"/>
  <c r="I7" i="81" s="1"/>
  <c r="F10" i="81"/>
  <c r="I10" i="81" s="1"/>
  <c r="J23" i="65"/>
  <c r="J10" i="66"/>
  <c r="J38" i="66" s="1"/>
  <c r="B3" i="77"/>
  <c r="C20" i="77" s="1"/>
  <c r="C19" i="77" s="1"/>
  <c r="K22" i="61" s="1"/>
  <c r="J23" i="66"/>
  <c r="AK40" i="3"/>
  <c r="AK38" i="3" s="1"/>
  <c r="J23" i="64"/>
  <c r="AJ44" i="3"/>
  <c r="AJ43" i="3" s="1"/>
  <c r="AJ41" i="3" s="1"/>
  <c r="J10" i="61"/>
  <c r="J38" i="61" s="1"/>
  <c r="J23" i="61"/>
  <c r="AH123" i="113" l="1"/>
  <c r="AG26" i="113"/>
  <c r="B187" i="113"/>
  <c r="AG122" i="113"/>
  <c r="AJ39" i="3"/>
  <c r="E31" i="84"/>
  <c r="CI142" i="113"/>
  <c r="CC203" i="113"/>
  <c r="CI203" i="113" s="1"/>
  <c r="C142" i="113"/>
  <c r="CI139" i="113"/>
  <c r="CC200" i="113"/>
  <c r="CI200" i="113" s="1"/>
  <c r="CB139" i="113"/>
  <c r="C139" i="113"/>
  <c r="CI25" i="113"/>
  <c r="CC186" i="113"/>
  <c r="CB25" i="113"/>
  <c r="C25" i="113"/>
  <c r="AG30" i="113"/>
  <c r="AP30" i="113" s="1"/>
  <c r="S31" i="113"/>
  <c r="S192" i="113"/>
  <c r="AH29" i="113"/>
  <c r="S191" i="113"/>
  <c r="AQ46" i="114" s="1"/>
  <c r="CI35" i="113"/>
  <c r="CC230" i="113"/>
  <c r="CI230" i="113" s="1"/>
  <c r="B99" i="113"/>
  <c r="B100" i="113" s="1"/>
  <c r="C100" i="113"/>
  <c r="R99" i="113"/>
  <c r="AG99" i="113" s="1"/>
  <c r="AG49" i="113"/>
  <c r="AE15" i="118"/>
  <c r="CI10" i="113"/>
  <c r="AD13" i="118"/>
  <c r="CB170" i="113"/>
  <c r="CB172" i="113" s="1"/>
  <c r="CB10" i="113"/>
  <c r="C170" i="113"/>
  <c r="C172" i="113" s="1"/>
  <c r="M13" i="118"/>
  <c r="AG8" i="113"/>
  <c r="B8" i="113"/>
  <c r="C11" i="113"/>
  <c r="C10" i="113"/>
  <c r="M15" i="118" s="1"/>
  <c r="AP170" i="113"/>
  <c r="AP172" i="113" s="1"/>
  <c r="V13" i="118"/>
  <c r="AO8" i="113"/>
  <c r="AP11" i="113"/>
  <c r="AP10" i="113"/>
  <c r="V15" i="118" s="1"/>
  <c r="E11" i="84"/>
  <c r="G11" i="84" s="1"/>
  <c r="M42" i="114"/>
  <c r="K42" i="114" s="1"/>
  <c r="AG123" i="113"/>
  <c r="R124" i="113"/>
  <c r="Q123" i="113"/>
  <c r="Q124" i="113" s="1"/>
  <c r="AH99" i="113"/>
  <c r="S100" i="113"/>
  <c r="AG98" i="113"/>
  <c r="T8" i="114"/>
  <c r="T10" i="114" s="1"/>
  <c r="U11" i="114"/>
  <c r="U10" i="114"/>
  <c r="DF8" i="114"/>
  <c r="DF10" i="114" s="1"/>
  <c r="DG11" i="114"/>
  <c r="DG10" i="114"/>
  <c r="BG8" i="114"/>
  <c r="BG10" i="114" s="1"/>
  <c r="BH11" i="114"/>
  <c r="BH10" i="114"/>
  <c r="AO8" i="114"/>
  <c r="AO10" i="114" s="1"/>
  <c r="AP11" i="114"/>
  <c r="BQ8" i="114"/>
  <c r="AP10" i="114"/>
  <c r="B8" i="114"/>
  <c r="B10" i="114" s="1"/>
  <c r="AD8" i="114"/>
  <c r="C11" i="114"/>
  <c r="C10" i="114"/>
  <c r="FO8" i="114"/>
  <c r="EN11" i="114"/>
  <c r="EN10" i="114"/>
  <c r="EM8" i="114"/>
  <c r="EM10" i="114" s="1"/>
  <c r="CO11" i="114"/>
  <c r="DP8" i="114"/>
  <c r="CN8" i="114"/>
  <c r="CN10" i="114" s="1"/>
  <c r="CO10" i="114"/>
  <c r="V20" i="82"/>
  <c r="U9" i="82" s="1"/>
  <c r="V9" i="82" s="1"/>
  <c r="U7" i="82"/>
  <c r="AE46" i="114"/>
  <c r="M47" i="114"/>
  <c r="D48" i="114"/>
  <c r="AJ47" i="3"/>
  <c r="AM26" i="113"/>
  <c r="AG187" i="113"/>
  <c r="AM187" i="113" s="1"/>
  <c r="AY42" i="114"/>
  <c r="AH26" i="113"/>
  <c r="S187" i="113"/>
  <c r="CI37" i="113"/>
  <c r="CH99" i="113"/>
  <c r="CB100" i="113"/>
  <c r="CH100" i="113" s="1"/>
  <c r="AN123" i="113"/>
  <c r="AH124" i="113"/>
  <c r="AN124" i="113" s="1"/>
  <c r="AQ123" i="113"/>
  <c r="BF123" i="113" s="1"/>
  <c r="CC173" i="113"/>
  <c r="AE16" i="118"/>
  <c r="CB11" i="113"/>
  <c r="CC12" i="113"/>
  <c r="CI170" i="113"/>
  <c r="CI172" i="113" s="1"/>
  <c r="CH8" i="113"/>
  <c r="CH170" i="113" s="1"/>
  <c r="CI11" i="113"/>
  <c r="P13" i="118"/>
  <c r="Q8" i="113"/>
  <c r="R170" i="113"/>
  <c r="R172" i="113" s="1"/>
  <c r="R11" i="113"/>
  <c r="R10" i="113"/>
  <c r="P15" i="118" s="1"/>
  <c r="BN170" i="113"/>
  <c r="BN172" i="113" s="1"/>
  <c r="AB13" i="118"/>
  <c r="BM8" i="113"/>
  <c r="BN11" i="113"/>
  <c r="BN10" i="113"/>
  <c r="AB15" i="118" s="1"/>
  <c r="U42" i="114"/>
  <c r="AM122" i="113"/>
  <c r="AF122" i="113"/>
  <c r="AL122" i="113" s="1"/>
  <c r="AP122" i="113"/>
  <c r="BF96" i="113"/>
  <c r="BL96" i="113" s="1"/>
  <c r="BF122" i="113"/>
  <c r="BL122" i="113" s="1"/>
  <c r="AM96" i="113"/>
  <c r="AF96" i="113"/>
  <c r="AL96" i="113" s="1"/>
  <c r="AP96" i="113"/>
  <c r="BE96" i="113" s="1"/>
  <c r="B124" i="113"/>
  <c r="K8" i="114"/>
  <c r="K10" i="114" s="1"/>
  <c r="L11" i="114"/>
  <c r="L10" i="114"/>
  <c r="EW10" i="114"/>
  <c r="EW11" i="114"/>
  <c r="EV8" i="114"/>
  <c r="EV10" i="114" s="1"/>
  <c r="AY11" i="114"/>
  <c r="AX8" i="114"/>
  <c r="AX10" i="114" s="1"/>
  <c r="AY10" i="114"/>
  <c r="FE8" i="114"/>
  <c r="FE10" i="114" s="1"/>
  <c r="FF11" i="114"/>
  <c r="FF10" i="114"/>
  <c r="CW8" i="114"/>
  <c r="CW10" i="114" s="1"/>
  <c r="CX11" i="114"/>
  <c r="CX10" i="114"/>
  <c r="GA12" i="114"/>
  <c r="GJ11" i="114"/>
  <c r="GI11" i="114" s="1"/>
  <c r="FZ11" i="114"/>
  <c r="G44" i="96"/>
  <c r="BR19" i="7" s="1"/>
  <c r="K12" i="81"/>
  <c r="N12" i="81" s="1"/>
  <c r="P12" i="81" s="1"/>
  <c r="K10" i="81"/>
  <c r="N10" i="81" s="1"/>
  <c r="P10" i="81" s="1"/>
  <c r="K11" i="81"/>
  <c r="N11" i="81" s="1"/>
  <c r="P11" i="81" s="1"/>
  <c r="K13" i="81"/>
  <c r="N13" i="81" s="1"/>
  <c r="P13" i="81" s="1"/>
  <c r="K7" i="81"/>
  <c r="N7" i="81" s="1"/>
  <c r="K9" i="81"/>
  <c r="N9" i="81" s="1"/>
  <c r="P9" i="81" s="1"/>
  <c r="CD39" i="113"/>
  <c r="C37" i="113"/>
  <c r="C35" i="113"/>
  <c r="C230" i="113" s="1"/>
  <c r="CC39" i="113"/>
  <c r="CH235" i="113"/>
  <c r="CD37" i="113"/>
  <c r="CD35" i="113"/>
  <c r="CH230" i="113"/>
  <c r="Q26" i="113"/>
  <c r="Q187" i="113" s="1"/>
  <c r="AH30" i="113"/>
  <c r="AQ26" i="113"/>
  <c r="AQ29" i="113"/>
  <c r="Q30" i="113"/>
  <c r="R31" i="113"/>
  <c r="AF26" i="113"/>
  <c r="AP26" i="113"/>
  <c r="CH187" i="113"/>
  <c r="AG29" i="113"/>
  <c r="AG31" i="113"/>
  <c r="AM31" i="113" s="1"/>
  <c r="B31" i="113"/>
  <c r="Q29" i="113"/>
  <c r="G33" i="105"/>
  <c r="M8" i="104" s="1"/>
  <c r="R9" i="102"/>
  <c r="F33" i="105"/>
  <c r="L8" i="104" s="1"/>
  <c r="I33" i="105"/>
  <c r="O8" i="104" s="1"/>
  <c r="J33" i="105"/>
  <c r="P8" i="104" s="1"/>
  <c r="W34" i="95"/>
  <c r="V39" i="95"/>
  <c r="V44" i="95" s="1"/>
  <c r="M71" i="32"/>
  <c r="L10" i="104" s="1"/>
  <c r="M68" i="32"/>
  <c r="S31" i="95"/>
  <c r="S50" i="95" s="1"/>
  <c r="BR9" i="7"/>
  <c r="P66" i="32"/>
  <c r="N67" i="32"/>
  <c r="P67" i="32" s="1"/>
  <c r="Y17" i="64"/>
  <c r="Y14" i="64" s="1"/>
  <c r="M10" i="102"/>
  <c r="U11" i="95"/>
  <c r="T16" i="95"/>
  <c r="T21" i="95" s="1"/>
  <c r="T31" i="95" s="1"/>
  <c r="T50" i="95" s="1"/>
  <c r="Y13" i="61" s="1"/>
  <c r="T9" i="95"/>
  <c r="T14" i="95" s="1"/>
  <c r="T19" i="95" s="1"/>
  <c r="T29" i="95" s="1"/>
  <c r="T48" i="95" s="1"/>
  <c r="Z17" i="61"/>
  <c r="N9" i="102"/>
  <c r="S61" i="32"/>
  <c r="T61" i="32"/>
  <c r="Q60" i="32"/>
  <c r="Q66" i="32"/>
  <c r="K23" i="104"/>
  <c r="BS54" i="7"/>
  <c r="E30" i="84"/>
  <c r="E37" i="84"/>
  <c r="G37" i="84" s="1"/>
  <c r="J9" i="81"/>
  <c r="O9" i="81"/>
  <c r="J11" i="81"/>
  <c r="O11" i="81"/>
  <c r="J10" i="81"/>
  <c r="O10" i="81"/>
  <c r="J12" i="81"/>
  <c r="O12" i="81"/>
  <c r="J13" i="81"/>
  <c r="O13" i="81"/>
  <c r="J7" i="81"/>
  <c r="J15" i="81" s="1"/>
  <c r="I15" i="81"/>
  <c r="D20" i="77"/>
  <c r="D19" i="77" s="1"/>
  <c r="K22" i="64" s="1"/>
  <c r="E38" i="32"/>
  <c r="E31" i="32"/>
  <c r="CD56" i="72"/>
  <c r="CB58" i="72"/>
  <c r="CA50" i="72" s="1"/>
  <c r="E32" i="32"/>
  <c r="AH192" i="113" l="1"/>
  <c r="AN192" i="113" s="1"/>
  <c r="BK96" i="113"/>
  <c r="BD96" i="113"/>
  <c r="BJ96" i="113" s="1"/>
  <c r="BF124" i="113"/>
  <c r="BL124" i="113" s="1"/>
  <c r="BL123" i="113"/>
  <c r="AM99" i="113"/>
  <c r="AG100" i="113"/>
  <c r="AM100" i="113" s="1"/>
  <c r="AF99" i="113"/>
  <c r="AP99" i="113"/>
  <c r="AH31" i="113"/>
  <c r="AN31" i="113" s="1"/>
  <c r="BE30" i="113"/>
  <c r="AF30" i="113"/>
  <c r="AL26" i="113"/>
  <c r="AF187" i="113"/>
  <c r="BO26" i="113"/>
  <c r="BO187" i="113" s="1"/>
  <c r="AQ187" i="113"/>
  <c r="CJ35" i="113"/>
  <c r="CD230" i="113"/>
  <c r="CJ230" i="113" s="1"/>
  <c r="CI39" i="113"/>
  <c r="CC235" i="113"/>
  <c r="CI235" i="113" s="1"/>
  <c r="CJ39" i="113"/>
  <c r="CD235" i="113"/>
  <c r="CJ235" i="113" s="1"/>
  <c r="P7" i="81"/>
  <c r="P15" i="81" s="1"/>
  <c r="N15" i="81"/>
  <c r="GA13" i="114"/>
  <c r="GJ13" i="114" s="1"/>
  <c r="FZ12" i="114"/>
  <c r="FZ13" i="114" s="1"/>
  <c r="GI13" i="114" s="1"/>
  <c r="GJ12" i="114"/>
  <c r="GI12" i="114" s="1"/>
  <c r="CW11" i="114"/>
  <c r="CX12" i="114"/>
  <c r="K11" i="114"/>
  <c r="L12" i="114"/>
  <c r="AA13" i="118"/>
  <c r="BM170" i="113"/>
  <c r="BM172" i="113" s="1"/>
  <c r="BM10" i="113"/>
  <c r="AA15" i="118" s="1"/>
  <c r="R173" i="113"/>
  <c r="P16" i="118"/>
  <c r="Q11" i="113"/>
  <c r="R12" i="113"/>
  <c r="Q170" i="113"/>
  <c r="Q172" i="113" s="1"/>
  <c r="O13" i="118"/>
  <c r="Q10" i="113"/>
  <c r="O15" i="118" s="1"/>
  <c r="CI173" i="113"/>
  <c r="CH11" i="113"/>
  <c r="CH173" i="113" s="1"/>
  <c r="CI12" i="113"/>
  <c r="AD16" i="118"/>
  <c r="CB173" i="113"/>
  <c r="AQ42" i="114"/>
  <c r="N33" i="118"/>
  <c r="AN46" i="114"/>
  <c r="CN11" i="114"/>
  <c r="CO12" i="114"/>
  <c r="FN8" i="114"/>
  <c r="FN10" i="114" s="1"/>
  <c r="FW10" i="114" s="1"/>
  <c r="FO11" i="114"/>
  <c r="FX8" i="114"/>
  <c r="FW8" i="114" s="1"/>
  <c r="FO10" i="114"/>
  <c r="FX10" i="114" s="1"/>
  <c r="B11" i="114"/>
  <c r="C12" i="114"/>
  <c r="BQ11" i="114"/>
  <c r="BZ8" i="114"/>
  <c r="BP8" i="114"/>
  <c r="BP10" i="114" s="1"/>
  <c r="BY10" i="114" s="1"/>
  <c r="BQ10" i="114"/>
  <c r="BZ10" i="114" s="1"/>
  <c r="BG11" i="114"/>
  <c r="BH12" i="114"/>
  <c r="U12" i="114"/>
  <c r="T11" i="114"/>
  <c r="AM98" i="113"/>
  <c r="AF98" i="113"/>
  <c r="AL98" i="113" s="1"/>
  <c r="AP98" i="113"/>
  <c r="AN99" i="113"/>
  <c r="AH100" i="113"/>
  <c r="AN100" i="113" s="1"/>
  <c r="AQ99" i="113"/>
  <c r="BF99" i="113" s="1"/>
  <c r="V42" i="114"/>
  <c r="T42" i="114" s="1"/>
  <c r="AC42" i="114" s="1"/>
  <c r="G12" i="84"/>
  <c r="K12" i="84" s="1"/>
  <c r="K11" i="84"/>
  <c r="AP173" i="113"/>
  <c r="V16" i="118"/>
  <c r="AO11" i="113"/>
  <c r="AP12" i="113"/>
  <c r="L13" i="118"/>
  <c r="B170" i="113"/>
  <c r="B172" i="113" s="1"/>
  <c r="B10" i="113"/>
  <c r="L15" i="118" s="1"/>
  <c r="CH10" i="113"/>
  <c r="AD15" i="118"/>
  <c r="AN29" i="113"/>
  <c r="AH191" i="113"/>
  <c r="CH25" i="113"/>
  <c r="CB186" i="113"/>
  <c r="C200" i="113"/>
  <c r="C55" i="114" s="1"/>
  <c r="R139" i="113"/>
  <c r="B139" i="113"/>
  <c r="B200" i="113" s="1"/>
  <c r="R142" i="113"/>
  <c r="R203" i="113" s="1"/>
  <c r="AP58" i="114" s="1"/>
  <c r="C203" i="113"/>
  <c r="C58" i="114" s="1"/>
  <c r="BQ54" i="7"/>
  <c r="BQ50" i="7" s="1"/>
  <c r="BQ129" i="7" s="1"/>
  <c r="CD142" i="113"/>
  <c r="AM29" i="113"/>
  <c r="BE26" i="113"/>
  <c r="AP187" i="113"/>
  <c r="CO42" i="114" s="1"/>
  <c r="BO29" i="113"/>
  <c r="BO191" i="113" s="1"/>
  <c r="EO46" i="114" s="1"/>
  <c r="AQ191" i="113"/>
  <c r="CJ37" i="113"/>
  <c r="CD232" i="113"/>
  <c r="CJ232" i="113" s="1"/>
  <c r="BR127" i="7"/>
  <c r="CC50" i="113"/>
  <c r="BQ19" i="7"/>
  <c r="BQ127" i="7" s="1"/>
  <c r="FE11" i="114"/>
  <c r="FF12" i="114"/>
  <c r="AX11" i="114"/>
  <c r="AY12" i="114"/>
  <c r="EV11" i="114"/>
  <c r="EW12" i="114"/>
  <c r="BN96" i="113"/>
  <c r="BM96" i="113" s="1"/>
  <c r="AO96" i="113"/>
  <c r="BE122" i="113"/>
  <c r="AO122" i="113"/>
  <c r="BN122" i="113"/>
  <c r="BM122" i="113" s="1"/>
  <c r="BN173" i="113"/>
  <c r="AB16" i="118"/>
  <c r="BN12" i="113"/>
  <c r="BM11" i="113"/>
  <c r="CC174" i="113"/>
  <c r="CC175" i="113" s="1"/>
  <c r="AE17" i="118"/>
  <c r="CC13" i="113"/>
  <c r="CB12" i="113"/>
  <c r="BO123" i="113"/>
  <c r="BO124" i="113" s="1"/>
  <c r="AQ124" i="113"/>
  <c r="AN26" i="113"/>
  <c r="AH187" i="113"/>
  <c r="BH42" i="114"/>
  <c r="O7" i="81"/>
  <c r="V47" i="114"/>
  <c r="M48" i="114"/>
  <c r="V7" i="82"/>
  <c r="V11" i="82" s="1"/>
  <c r="U11" i="82"/>
  <c r="DP11" i="114"/>
  <c r="DO8" i="114"/>
  <c r="DO10" i="114" s="1"/>
  <c r="DX10" i="114" s="1"/>
  <c r="DY8" i="114"/>
  <c r="DX8" i="114" s="1"/>
  <c r="DP10" i="114"/>
  <c r="DY10" i="114" s="1"/>
  <c r="EM11" i="114"/>
  <c r="EN12" i="114"/>
  <c r="CC8" i="114"/>
  <c r="AD11" i="114"/>
  <c r="AM8" i="114"/>
  <c r="AC8" i="114"/>
  <c r="AC10" i="114" s="1"/>
  <c r="AL10" i="114" s="1"/>
  <c r="AD10" i="114"/>
  <c r="AM10" i="114" s="1"/>
  <c r="AP12" i="114"/>
  <c r="AO11" i="114"/>
  <c r="DF11" i="114"/>
  <c r="DG12" i="114"/>
  <c r="AM123" i="113"/>
  <c r="AG124" i="113"/>
  <c r="AM124" i="113" s="1"/>
  <c r="AF123" i="113"/>
  <c r="AP123" i="113"/>
  <c r="BE123" i="113" s="1"/>
  <c r="U13" i="118"/>
  <c r="AO170" i="113"/>
  <c r="AO172" i="113" s="1"/>
  <c r="AO10" i="113"/>
  <c r="U15" i="118" s="1"/>
  <c r="C173" i="113"/>
  <c r="M16" i="118"/>
  <c r="B11" i="113"/>
  <c r="C12" i="113"/>
  <c r="AG170" i="113"/>
  <c r="AG172" i="113" s="1"/>
  <c r="S13" i="118"/>
  <c r="AM8" i="113"/>
  <c r="BE8" i="113"/>
  <c r="AF8" i="113"/>
  <c r="AG11" i="113"/>
  <c r="AG10" i="113"/>
  <c r="AM49" i="113"/>
  <c r="AF49" i="113"/>
  <c r="AL49" i="113" s="1"/>
  <c r="AP49" i="113"/>
  <c r="R100" i="113"/>
  <c r="Q99" i="113"/>
  <c r="Q100" i="113" s="1"/>
  <c r="AZ46" i="114"/>
  <c r="BI46" i="114" s="1"/>
  <c r="S193" i="113"/>
  <c r="AQ47" i="114"/>
  <c r="AM30" i="113"/>
  <c r="C186" i="113"/>
  <c r="R25" i="113"/>
  <c r="AG25" i="113" s="1"/>
  <c r="B25" i="113"/>
  <c r="B186" i="113" s="1"/>
  <c r="CI186" i="113"/>
  <c r="CH139" i="113"/>
  <c r="CB200" i="113"/>
  <c r="CH200" i="113" s="1"/>
  <c r="G31" i="84"/>
  <c r="H31" i="84"/>
  <c r="J31" i="84" s="1"/>
  <c r="AD42" i="114"/>
  <c r="AQ30" i="113"/>
  <c r="AN30" i="113"/>
  <c r="D35" i="113"/>
  <c r="D37" i="113"/>
  <c r="D232" i="113" s="1"/>
  <c r="C39" i="113"/>
  <c r="C235" i="113" s="1"/>
  <c r="R35" i="113"/>
  <c r="D39" i="113"/>
  <c r="D235" i="113" s="1"/>
  <c r="B37" i="113"/>
  <c r="R37" i="113"/>
  <c r="BF29" i="113"/>
  <c r="BF191" i="113" s="1"/>
  <c r="BF26" i="113"/>
  <c r="BF187" i="113" s="1"/>
  <c r="AQ31" i="113"/>
  <c r="AO30" i="113"/>
  <c r="BN30" i="113"/>
  <c r="AF29" i="113"/>
  <c r="AP29" i="113"/>
  <c r="AO26" i="113"/>
  <c r="AO187" i="113" s="1"/>
  <c r="BN26" i="113"/>
  <c r="Q31" i="113"/>
  <c r="P71" i="32"/>
  <c r="M10" i="104" s="1"/>
  <c r="M14" i="104" s="1"/>
  <c r="Z16" i="61" s="1"/>
  <c r="L14" i="104"/>
  <c r="Y16" i="61" s="1"/>
  <c r="Y14" i="61" s="1"/>
  <c r="W39" i="95"/>
  <c r="W44" i="95" s="1"/>
  <c r="X34" i="95"/>
  <c r="X39" i="95" s="1"/>
  <c r="X44" i="95" s="1"/>
  <c r="S66" i="32"/>
  <c r="Q67" i="32"/>
  <c r="S67" i="32" s="1"/>
  <c r="T66" i="32"/>
  <c r="W61" i="32"/>
  <c r="V61" i="32"/>
  <c r="T60" i="32"/>
  <c r="O9" i="102"/>
  <c r="AA17" i="61"/>
  <c r="V11" i="95"/>
  <c r="U16" i="95"/>
  <c r="U21" i="95" s="1"/>
  <c r="U31" i="95" s="1"/>
  <c r="U50" i="95" s="1"/>
  <c r="Z13" i="61" s="1"/>
  <c r="U9" i="95"/>
  <c r="U14" i="95" s="1"/>
  <c r="U19" i="95" s="1"/>
  <c r="U29" i="95" s="1"/>
  <c r="U48" i="95" s="1"/>
  <c r="Z14" i="61"/>
  <c r="N10" i="102"/>
  <c r="Z17" i="64"/>
  <c r="Z14" i="64" s="1"/>
  <c r="BR121" i="7"/>
  <c r="BQ9" i="7"/>
  <c r="S68" i="32"/>
  <c r="P68" i="32"/>
  <c r="H30" i="84"/>
  <c r="J30" i="84" s="1"/>
  <c r="E28" i="84"/>
  <c r="G30" i="84"/>
  <c r="O15" i="81"/>
  <c r="E29" i="32"/>
  <c r="BY63" i="72"/>
  <c r="BY62" i="72"/>
  <c r="BY59" i="72"/>
  <c r="BY57" i="72"/>
  <c r="BS63" i="72"/>
  <c r="BS62" i="72"/>
  <c r="BS59" i="72"/>
  <c r="BS57" i="72"/>
  <c r="M79" i="72"/>
  <c r="L79" i="72"/>
  <c r="K79" i="72"/>
  <c r="AL54" i="72" s="1"/>
  <c r="O78" i="72"/>
  <c r="O79" i="72" s="1"/>
  <c r="M78" i="72"/>
  <c r="M80" i="72" s="1"/>
  <c r="L78" i="72"/>
  <c r="M76" i="72"/>
  <c r="L76" i="72"/>
  <c r="K76" i="72"/>
  <c r="AL50" i="72" s="1"/>
  <c r="O75" i="72"/>
  <c r="O74" i="72"/>
  <c r="M74" i="72"/>
  <c r="L74" i="72"/>
  <c r="AW73" i="72"/>
  <c r="AV73" i="72"/>
  <c r="AU73" i="72" s="1"/>
  <c r="BB54" i="72" s="1"/>
  <c r="BN54" i="72" s="1"/>
  <c r="BT54" i="72" s="1"/>
  <c r="CK54" i="72" s="1"/>
  <c r="AW72" i="72"/>
  <c r="AV72" i="72"/>
  <c r="AU72" i="72" s="1"/>
  <c r="AW71" i="72"/>
  <c r="AV71" i="72"/>
  <c r="AW67" i="72"/>
  <c r="AV67" i="72"/>
  <c r="AU67" i="72" s="1"/>
  <c r="BB50" i="72" s="1"/>
  <c r="BN50" i="72" s="1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G60" i="72"/>
  <c r="Q60" i="72"/>
  <c r="M60" i="72"/>
  <c r="AD59" i="72"/>
  <c r="Z59" i="72"/>
  <c r="AW58" i="72"/>
  <c r="AW59" i="72" s="1"/>
  <c r="AD57" i="72"/>
  <c r="Z57" i="72"/>
  <c r="AY55" i="72"/>
  <c r="AW55" i="72"/>
  <c r="AV55" i="72"/>
  <c r="AT55" i="72"/>
  <c r="AS55" i="72"/>
  <c r="AV74" i="72" s="1"/>
  <c r="AJ55" i="72"/>
  <c r="AI55" i="72"/>
  <c r="AG55" i="72"/>
  <c r="AF55" i="72"/>
  <c r="AD55" i="72"/>
  <c r="AC55" i="72"/>
  <c r="Z55" i="72"/>
  <c r="Y55" i="72"/>
  <c r="X55" i="72" s="1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P52" i="72"/>
  <c r="T52" i="72" s="1"/>
  <c r="N52" i="72"/>
  <c r="N55" i="72" s="1"/>
  <c r="AY51" i="72"/>
  <c r="AW51" i="72"/>
  <c r="AV51" i="72"/>
  <c r="AT51" i="72"/>
  <c r="AS51" i="72"/>
  <c r="AI51" i="72"/>
  <c r="AG51" i="72"/>
  <c r="AF51" i="72"/>
  <c r="AE51" i="72" s="1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H51" i="72" s="1"/>
  <c r="AE48" i="72"/>
  <c r="AB48" i="72"/>
  <c r="AA48" i="72"/>
  <c r="S48" i="72"/>
  <c r="M48" i="72"/>
  <c r="T37" i="72"/>
  <c r="S37" i="72"/>
  <c r="S38" i="72" s="1"/>
  <c r="T36" i="72"/>
  <c r="S36" i="72"/>
  <c r="R36" i="72" s="1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B17" i="72"/>
  <c r="AL16" i="72"/>
  <c r="AL17" i="72" s="1"/>
  <c r="AK16" i="72"/>
  <c r="AI16" i="72"/>
  <c r="AI17" i="72" s="1"/>
  <c r="AH16" i="72"/>
  <c r="M16" i="72"/>
  <c r="AK15" i="72"/>
  <c r="AK26" i="72" s="1"/>
  <c r="AH15" i="72"/>
  <c r="AH26" i="72" s="1"/>
  <c r="Q63" i="72" s="1"/>
  <c r="AN63" i="72" s="1"/>
  <c r="Y15" i="72"/>
  <c r="R15" i="72"/>
  <c r="W15" i="72" s="1"/>
  <c r="M15" i="72"/>
  <c r="N15" i="72" s="1"/>
  <c r="I15" i="72"/>
  <c r="I26" i="72" s="1"/>
  <c r="B15" i="72"/>
  <c r="AK14" i="72"/>
  <c r="AK25" i="72" s="1"/>
  <c r="AH14" i="72"/>
  <c r="AH25" i="72" s="1"/>
  <c r="Y14" i="72"/>
  <c r="Y17" i="72" s="1"/>
  <c r="R14" i="72"/>
  <c r="W14" i="72" s="1"/>
  <c r="M14" i="72"/>
  <c r="M17" i="72" s="1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B13" i="72" s="1"/>
  <c r="AK12" i="72"/>
  <c r="AH12" i="72"/>
  <c r="Q12" i="72"/>
  <c r="M12" i="72"/>
  <c r="AK11" i="72"/>
  <c r="AK22" i="72" s="1"/>
  <c r="AH11" i="72"/>
  <c r="Y11" i="72"/>
  <c r="T11" i="72"/>
  <c r="S11" i="72"/>
  <c r="S22" i="72" s="1"/>
  <c r="Q11" i="72"/>
  <c r="M11" i="72"/>
  <c r="N11" i="72" s="1"/>
  <c r="I11" i="72"/>
  <c r="I22" i="72" s="1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M13" i="72" s="1"/>
  <c r="I9" i="72"/>
  <c r="I13" i="72" s="1"/>
  <c r="H13" i="72" s="1"/>
  <c r="B9" i="72"/>
  <c r="AG61" i="3"/>
  <c r="AE60" i="3"/>
  <c r="AG60" i="3" s="1"/>
  <c r="AE59" i="3"/>
  <c r="AG59" i="3" s="1"/>
  <c r="AD58" i="3"/>
  <c r="AG51" i="3"/>
  <c r="I37" i="61"/>
  <c r="AG54" i="3"/>
  <c r="AG53" i="3"/>
  <c r="AD52" i="3"/>
  <c r="AG50" i="3"/>
  <c r="AG49" i="3"/>
  <c r="AD48" i="3"/>
  <c r="AG46" i="3"/>
  <c r="AE45" i="3"/>
  <c r="AG45" i="3" s="1"/>
  <c r="AD45" i="3"/>
  <c r="AD44" i="3"/>
  <c r="AD43" i="3" s="1"/>
  <c r="AD47" i="3" s="1"/>
  <c r="AG41" i="3"/>
  <c r="AG40" i="3"/>
  <c r="AD38" i="3"/>
  <c r="AD42" i="3" s="1"/>
  <c r="AG142" i="113" l="1"/>
  <c r="BR46" i="114"/>
  <c r="Q33" i="118" s="1"/>
  <c r="AL42" i="114"/>
  <c r="L29" i="118"/>
  <c r="BL99" i="113"/>
  <c r="BF100" i="113"/>
  <c r="BL100" i="113" s="1"/>
  <c r="AL29" i="113"/>
  <c r="BL187" i="113"/>
  <c r="B35" i="113"/>
  <c r="D230" i="113"/>
  <c r="M29" i="118"/>
  <c r="AM42" i="114"/>
  <c r="C41" i="114"/>
  <c r="AM10" i="113"/>
  <c r="AM172" i="113" s="1"/>
  <c r="S15" i="118"/>
  <c r="R13" i="118"/>
  <c r="AF170" i="113"/>
  <c r="AF172" i="113" s="1"/>
  <c r="AF10" i="113"/>
  <c r="AM170" i="113"/>
  <c r="AL8" i="113"/>
  <c r="AL170" i="113" s="1"/>
  <c r="AM11" i="113"/>
  <c r="L16" i="118"/>
  <c r="B173" i="113"/>
  <c r="AP124" i="113"/>
  <c r="BN123" i="113"/>
  <c r="AO123" i="113"/>
  <c r="AO124" i="113" s="1"/>
  <c r="AL123" i="113"/>
  <c r="AF124" i="113"/>
  <c r="AL124" i="113" s="1"/>
  <c r="AO12" i="114"/>
  <c r="AO13" i="114" s="1"/>
  <c r="AP13" i="114"/>
  <c r="AC11" i="114"/>
  <c r="AD12" i="114"/>
  <c r="EM12" i="114"/>
  <c r="EM13" i="114" s="1"/>
  <c r="EN13" i="114"/>
  <c r="CI13" i="113"/>
  <c r="CI175" i="113" s="1"/>
  <c r="AE18" i="118"/>
  <c r="BN174" i="113"/>
  <c r="BN175" i="113" s="1"/>
  <c r="AB17" i="118"/>
  <c r="BM12" i="113"/>
  <c r="BN13" i="113"/>
  <c r="AB18" i="118" s="1"/>
  <c r="BK122" i="113"/>
  <c r="BD122" i="113"/>
  <c r="BJ122" i="113" s="1"/>
  <c r="CC190" i="113"/>
  <c r="CI190" i="113" s="1"/>
  <c r="C50" i="113"/>
  <c r="CB50" i="113"/>
  <c r="CI50" i="113"/>
  <c r="CP46" i="114"/>
  <c r="CX42" i="114"/>
  <c r="CJ142" i="113"/>
  <c r="CD203" i="113"/>
  <c r="CJ203" i="113" s="1"/>
  <c r="D142" i="113"/>
  <c r="CB142" i="113"/>
  <c r="L58" i="114"/>
  <c r="AG139" i="113"/>
  <c r="R200" i="113"/>
  <c r="AP55" i="114" s="1"/>
  <c r="Q139" i="113"/>
  <c r="Q200" i="113" s="1"/>
  <c r="CH186" i="113"/>
  <c r="AH193" i="113"/>
  <c r="AN193" i="113" s="1"/>
  <c r="AN191" i="113"/>
  <c r="U16" i="118"/>
  <c r="AO173" i="113"/>
  <c r="AE42" i="114"/>
  <c r="BH13" i="114"/>
  <c r="BG12" i="114"/>
  <c r="BG13" i="114" s="1"/>
  <c r="BZ11" i="114"/>
  <c r="BY8" i="114"/>
  <c r="C13" i="114"/>
  <c r="B12" i="114"/>
  <c r="B13" i="114" s="1"/>
  <c r="FX11" i="114"/>
  <c r="FW11" i="114" s="1"/>
  <c r="FN11" i="114"/>
  <c r="FO12" i="114"/>
  <c r="CO13" i="114"/>
  <c r="CN12" i="114"/>
  <c r="CN13" i="114" s="1"/>
  <c r="CD46" i="114"/>
  <c r="AZ42" i="114"/>
  <c r="AO42" i="114"/>
  <c r="Q173" i="113"/>
  <c r="O16" i="118"/>
  <c r="L13" i="114"/>
  <c r="K12" i="114"/>
  <c r="K13" i="114" s="1"/>
  <c r="CX13" i="114"/>
  <c r="CW12" i="114"/>
  <c r="CW13" i="114" s="1"/>
  <c r="CP42" i="114"/>
  <c r="CN42" i="114" s="1"/>
  <c r="BE99" i="113"/>
  <c r="AP100" i="113"/>
  <c r="BN99" i="113"/>
  <c r="AO99" i="113"/>
  <c r="H9" i="72"/>
  <c r="AH13" i="72"/>
  <c r="H15" i="72"/>
  <c r="R31" i="72"/>
  <c r="Z14" i="72" s="1"/>
  <c r="K55" i="72"/>
  <c r="AV68" i="72"/>
  <c r="BM26" i="113"/>
  <c r="BM187" i="113" s="1"/>
  <c r="BN187" i="113"/>
  <c r="EN42" i="114" s="1"/>
  <c r="BE29" i="113"/>
  <c r="BD29" i="113" s="1"/>
  <c r="BL191" i="113"/>
  <c r="AG37" i="113"/>
  <c r="AG35" i="113"/>
  <c r="R230" i="113"/>
  <c r="BF30" i="113"/>
  <c r="AQ192" i="113"/>
  <c r="CP47" i="114" s="1"/>
  <c r="AM25" i="113"/>
  <c r="AG186" i="113"/>
  <c r="AF25" i="113"/>
  <c r="AP25" i="113"/>
  <c r="BE25" i="113" s="1"/>
  <c r="Q25" i="113"/>
  <c r="Q186" i="113" s="1"/>
  <c r="R186" i="113"/>
  <c r="AZ47" i="114"/>
  <c r="AQ48" i="114"/>
  <c r="BE49" i="113"/>
  <c r="BN49" i="113"/>
  <c r="BM49" i="113" s="1"/>
  <c r="AO49" i="113"/>
  <c r="AG173" i="113"/>
  <c r="S16" i="118"/>
  <c r="AF11" i="113"/>
  <c r="AG12" i="113"/>
  <c r="BE170" i="113"/>
  <c r="BE172" i="113" s="1"/>
  <c r="Y13" i="118"/>
  <c r="BD8" i="113"/>
  <c r="BK8" i="113"/>
  <c r="BE11" i="113"/>
  <c r="BE10" i="113"/>
  <c r="C174" i="113"/>
  <c r="C175" i="113" s="1"/>
  <c r="M17" i="118"/>
  <c r="C13" i="113"/>
  <c r="M18" i="118" s="1"/>
  <c r="B12" i="113"/>
  <c r="BK123" i="113"/>
  <c r="BE124" i="113"/>
  <c r="BK124" i="113" s="1"/>
  <c r="BD123" i="113"/>
  <c r="DF12" i="114"/>
  <c r="DF13" i="114" s="1"/>
  <c r="DG13" i="114"/>
  <c r="AL8" i="114"/>
  <c r="AM11" i="114"/>
  <c r="EB8" i="114"/>
  <c r="CL8" i="114"/>
  <c r="CK8" i="114" s="1"/>
  <c r="CC11" i="114"/>
  <c r="CB8" i="114"/>
  <c r="CB10" i="114" s="1"/>
  <c r="CK10" i="114" s="1"/>
  <c r="CC10" i="114"/>
  <c r="CL10" i="114" s="1"/>
  <c r="DO11" i="114"/>
  <c r="DY11" i="114"/>
  <c r="DX11" i="114" s="1"/>
  <c r="DP12" i="114"/>
  <c r="W11" i="82"/>
  <c r="T11" i="82"/>
  <c r="AE47" i="114"/>
  <c r="V48" i="114"/>
  <c r="AN187" i="113"/>
  <c r="AD17" i="118"/>
  <c r="CB174" i="113"/>
  <c r="CB175" i="113" s="1"/>
  <c r="CB13" i="113"/>
  <c r="AA16" i="118"/>
  <c r="BM173" i="113"/>
  <c r="EV12" i="114"/>
  <c r="EV13" i="114" s="1"/>
  <c r="EW13" i="114"/>
  <c r="AY13" i="114"/>
  <c r="AX12" i="114"/>
  <c r="AX13" i="114" s="1"/>
  <c r="FE12" i="114"/>
  <c r="FE13" i="114" s="1"/>
  <c r="FF13" i="114"/>
  <c r="EX46" i="114"/>
  <c r="FG46" i="114" s="1"/>
  <c r="BK26" i="113"/>
  <c r="BE187" i="113"/>
  <c r="BK187" i="113" s="1"/>
  <c r="AM142" i="113"/>
  <c r="AG203" i="113"/>
  <c r="AM203" i="113" s="1"/>
  <c r="AP142" i="113"/>
  <c r="AY58" i="114"/>
  <c r="L55" i="114"/>
  <c r="B55" i="114"/>
  <c r="AP174" i="113"/>
  <c r="AP175" i="113" s="1"/>
  <c r="V17" i="118"/>
  <c r="AP13" i="113"/>
  <c r="V18" i="118" s="1"/>
  <c r="AO12" i="113"/>
  <c r="BO99" i="113"/>
  <c r="BO100" i="113" s="1"/>
  <c r="AQ100" i="113"/>
  <c r="BE98" i="113"/>
  <c r="BN98" i="113"/>
  <c r="BM98" i="113" s="1"/>
  <c r="AO98" i="113"/>
  <c r="U13" i="114"/>
  <c r="T12" i="114"/>
  <c r="T13" i="114" s="1"/>
  <c r="BP11" i="114"/>
  <c r="BQ12" i="114"/>
  <c r="CH12" i="113"/>
  <c r="CH174" i="113" s="1"/>
  <c r="CI174" i="113"/>
  <c r="R174" i="113"/>
  <c r="R175" i="113" s="1"/>
  <c r="P17" i="118"/>
  <c r="R13" i="113"/>
  <c r="P18" i="118" s="1"/>
  <c r="Q12" i="113"/>
  <c r="EO42" i="114"/>
  <c r="AL30" i="113"/>
  <c r="BK30" i="113"/>
  <c r="AF100" i="113"/>
  <c r="AL100" i="113" s="1"/>
  <c r="AL99" i="113"/>
  <c r="BQ42" i="114"/>
  <c r="BO30" i="113"/>
  <c r="BF31" i="113"/>
  <c r="BL31" i="113" s="1"/>
  <c r="BL29" i="113"/>
  <c r="BD26" i="113"/>
  <c r="BL26" i="113"/>
  <c r="AP37" i="113"/>
  <c r="S39" i="113"/>
  <c r="B39" i="113"/>
  <c r="R39" i="113"/>
  <c r="R235" i="113" s="1"/>
  <c r="S37" i="113"/>
  <c r="AP35" i="113"/>
  <c r="B230" i="113"/>
  <c r="S35" i="113"/>
  <c r="Q37" i="113"/>
  <c r="BM30" i="113"/>
  <c r="AL187" i="113"/>
  <c r="AO29" i="113"/>
  <c r="BN29" i="113"/>
  <c r="AP31" i="113"/>
  <c r="AF31" i="113"/>
  <c r="AL31" i="113" s="1"/>
  <c r="S71" i="32"/>
  <c r="N10" i="104" s="1"/>
  <c r="N14" i="104" s="1"/>
  <c r="AA16" i="61" s="1"/>
  <c r="BR148" i="7"/>
  <c r="W13" i="61"/>
  <c r="O10" i="102"/>
  <c r="AA17" i="64"/>
  <c r="AA14" i="64" s="1"/>
  <c r="V16" i="95"/>
  <c r="V21" i="95" s="1"/>
  <c r="V31" i="95" s="1"/>
  <c r="V50" i="95" s="1"/>
  <c r="AA13" i="61" s="1"/>
  <c r="W11" i="95"/>
  <c r="V9" i="95"/>
  <c r="V14" i="95" s="1"/>
  <c r="V19" i="95" s="1"/>
  <c r="V29" i="95" s="1"/>
  <c r="V48" i="95" s="1"/>
  <c r="AB17" i="61"/>
  <c r="P9" i="102"/>
  <c r="AC17" i="61" s="1"/>
  <c r="V66" i="32"/>
  <c r="T67" i="32"/>
  <c r="V67" i="32" s="1"/>
  <c r="BQ121" i="7"/>
  <c r="W66" i="32"/>
  <c r="W60" i="32"/>
  <c r="Y61" i="32"/>
  <c r="AA14" i="61"/>
  <c r="AA14" i="72"/>
  <c r="Q13" i="72"/>
  <c r="O13" i="72" s="1"/>
  <c r="R33" i="72"/>
  <c r="X51" i="72"/>
  <c r="AB51" i="72"/>
  <c r="AR51" i="72"/>
  <c r="AA55" i="72"/>
  <c r="AB55" i="72"/>
  <c r="BQ50" i="72"/>
  <c r="BT50" i="72"/>
  <c r="CK50" i="72" s="1"/>
  <c r="P79" i="72"/>
  <c r="AH20" i="72"/>
  <c r="Q57" i="72" s="1"/>
  <c r="AA51" i="72"/>
  <c r="N9" i="72"/>
  <c r="I17" i="72"/>
  <c r="H17" i="72" s="1"/>
  <c r="AK17" i="72"/>
  <c r="I20" i="72"/>
  <c r="AU51" i="72"/>
  <c r="AE55" i="72"/>
  <c r="AH55" i="72"/>
  <c r="AU66" i="72"/>
  <c r="AU71" i="72"/>
  <c r="BB52" i="72" s="1"/>
  <c r="BN52" i="72" s="1"/>
  <c r="BT52" i="72" s="1"/>
  <c r="CK52" i="72" s="1"/>
  <c r="P76" i="72"/>
  <c r="Q52" i="72"/>
  <c r="AW62" i="72"/>
  <c r="V60" i="72"/>
  <c r="N13" i="72"/>
  <c r="K13" i="72"/>
  <c r="K17" i="72"/>
  <c r="N17" i="72"/>
  <c r="L70" i="72"/>
  <c r="AO54" i="72"/>
  <c r="AX54" i="72"/>
  <c r="AZ54" i="72" s="1"/>
  <c r="AK20" i="72"/>
  <c r="AK13" i="72"/>
  <c r="M51" i="72"/>
  <c r="K51" i="72" s="1"/>
  <c r="N48" i="72"/>
  <c r="N51" i="72" s="1"/>
  <c r="AG62" i="72"/>
  <c r="AG63" i="72"/>
  <c r="N14" i="72"/>
  <c r="AH22" i="72"/>
  <c r="Q59" i="72" s="1"/>
  <c r="R37" i="72"/>
  <c r="AH17" i="72"/>
  <c r="O17" i="72"/>
  <c r="T38" i="72"/>
  <c r="R38" i="72" s="1"/>
  <c r="AR55" i="72"/>
  <c r="AT62" i="72"/>
  <c r="AT63" i="72"/>
  <c r="BE54" i="72"/>
  <c r="K74" i="72"/>
  <c r="AL48" i="72" s="1"/>
  <c r="AX50" i="72"/>
  <c r="AO50" i="72"/>
  <c r="P78" i="72"/>
  <c r="L80" i="72"/>
  <c r="P54" i="72"/>
  <c r="K80" i="72"/>
  <c r="AW74" i="72"/>
  <c r="AU74" i="72" s="1"/>
  <c r="AU55" i="72"/>
  <c r="R11" i="72"/>
  <c r="AW68" i="72"/>
  <c r="AU68" i="72" s="1"/>
  <c r="P74" i="72"/>
  <c r="L77" i="72"/>
  <c r="H11" i="72"/>
  <c r="H14" i="72"/>
  <c r="V52" i="72"/>
  <c r="M62" i="72"/>
  <c r="V62" i="72" s="1"/>
  <c r="M77" i="72"/>
  <c r="M63" i="72"/>
  <c r="V63" i="72" s="1"/>
  <c r="AU65" i="72"/>
  <c r="BB48" i="72" s="1"/>
  <c r="BN48" i="72" s="1"/>
  <c r="K78" i="72"/>
  <c r="AL52" i="72" s="1"/>
  <c r="AE58" i="3"/>
  <c r="AJ58" i="3" s="1"/>
  <c r="F47" i="61"/>
  <c r="C37" i="73" s="1"/>
  <c r="C39" i="73" s="1"/>
  <c r="F47" i="65"/>
  <c r="AB80" i="3"/>
  <c r="AF61" i="3"/>
  <c r="AF50" i="3"/>
  <c r="AS50" i="3" s="1"/>
  <c r="AH40" i="6"/>
  <c r="AH15" i="6"/>
  <c r="AP15" i="6"/>
  <c r="AG15" i="5"/>
  <c r="AP15" i="5"/>
  <c r="AE10" i="5"/>
  <c r="AF10" i="6"/>
  <c r="AF11" i="6" s="1"/>
  <c r="BE31" i="113" l="1"/>
  <c r="BK31" i="113" s="1"/>
  <c r="FP46" i="114"/>
  <c r="AF58" i="3"/>
  <c r="AF57" i="3" s="1"/>
  <c r="AS61" i="3"/>
  <c r="AS58" i="3" s="1"/>
  <c r="AJ60" i="3"/>
  <c r="AJ57" i="3"/>
  <c r="BM29" i="113"/>
  <c r="Q35" i="113"/>
  <c r="Q230" i="113" s="1"/>
  <c r="S230" i="113"/>
  <c r="BN35" i="113"/>
  <c r="BN230" i="113" s="1"/>
  <c r="AP230" i="113"/>
  <c r="AH37" i="113"/>
  <c r="AQ37" i="113" s="1"/>
  <c r="S232" i="113"/>
  <c r="BO31" i="113"/>
  <c r="BO192" i="113"/>
  <c r="BZ42" i="114"/>
  <c r="P29" i="118"/>
  <c r="EX42" i="114"/>
  <c r="U17" i="118"/>
  <c r="AO174" i="113"/>
  <c r="AO175" i="113" s="1"/>
  <c r="AO13" i="113"/>
  <c r="U18" i="118" s="1"/>
  <c r="U55" i="114"/>
  <c r="K55" i="114"/>
  <c r="BN142" i="113"/>
  <c r="AP203" i="113"/>
  <c r="CO58" i="114" s="1"/>
  <c r="BE142" i="113"/>
  <c r="CL11" i="114"/>
  <c r="CK11" i="114" s="1"/>
  <c r="CB11" i="114"/>
  <c r="CC12" i="114"/>
  <c r="EK8" i="114"/>
  <c r="EJ8" i="114" s="1"/>
  <c r="EA8" i="114"/>
  <c r="EA10" i="114" s="1"/>
  <c r="EJ10" i="114" s="1"/>
  <c r="EB11" i="114"/>
  <c r="EB10" i="114"/>
  <c r="EK10" i="114" s="1"/>
  <c r="L17" i="118"/>
  <c r="B174" i="113"/>
  <c r="B175" i="113" s="1"/>
  <c r="B13" i="113"/>
  <c r="L18" i="118" s="1"/>
  <c r="BK10" i="113"/>
  <c r="BK172" i="113" s="1"/>
  <c r="Y15" i="118"/>
  <c r="BK170" i="113"/>
  <c r="BJ8" i="113"/>
  <c r="BJ170" i="113" s="1"/>
  <c r="BK11" i="113"/>
  <c r="AG174" i="113"/>
  <c r="AG175" i="113" s="1"/>
  <c r="S17" i="118"/>
  <c r="AG13" i="113"/>
  <c r="AF12" i="113"/>
  <c r="BK49" i="113"/>
  <c r="BD49" i="113"/>
  <c r="BJ49" i="113" s="1"/>
  <c r="AP41" i="114"/>
  <c r="AP186" i="113"/>
  <c r="AO25" i="113"/>
  <c r="AO186" i="113" s="1"/>
  <c r="BN25" i="113"/>
  <c r="AL25" i="113"/>
  <c r="AF186" i="113"/>
  <c r="BL30" i="113"/>
  <c r="BF192" i="113"/>
  <c r="BD30" i="113"/>
  <c r="BD31" i="113" s="1"/>
  <c r="BJ31" i="113" s="1"/>
  <c r="AM35" i="113"/>
  <c r="AG230" i="113"/>
  <c r="AM230" i="113" s="1"/>
  <c r="AM37" i="113"/>
  <c r="EW42" i="114"/>
  <c r="EM42" i="114"/>
  <c r="AO100" i="113"/>
  <c r="T33" i="118"/>
  <c r="N29" i="118"/>
  <c r="AN42" i="114"/>
  <c r="AO55" i="114"/>
  <c r="AY55" i="114"/>
  <c r="U58" i="114"/>
  <c r="AQ193" i="113"/>
  <c r="B50" i="113"/>
  <c r="B190" i="113" s="1"/>
  <c r="C190" i="113"/>
  <c r="C45" i="114" s="1"/>
  <c r="R50" i="113"/>
  <c r="AG50" i="113" s="1"/>
  <c r="BN124" i="113"/>
  <c r="BM123" i="113"/>
  <c r="BM124" i="113" s="1"/>
  <c r="AM173" i="113"/>
  <c r="AM12" i="113"/>
  <c r="AL11" i="113"/>
  <c r="AL173" i="113" s="1"/>
  <c r="N38" i="32"/>
  <c r="P38" i="32" s="1"/>
  <c r="G18" i="86" s="1"/>
  <c r="G21" i="86" s="1"/>
  <c r="J19" i="87" s="1"/>
  <c r="N31" i="32"/>
  <c r="AS48" i="3"/>
  <c r="AO31" i="113"/>
  <c r="AH39" i="113"/>
  <c r="S235" i="113"/>
  <c r="BJ26" i="113"/>
  <c r="BD187" i="113"/>
  <c r="BJ187" i="113" s="1"/>
  <c r="O17" i="118"/>
  <c r="Q174" i="113"/>
  <c r="Q175" i="113" s="1"/>
  <c r="Q13" i="113"/>
  <c r="O18" i="118" s="1"/>
  <c r="BQ13" i="114"/>
  <c r="BZ13" i="114" s="1"/>
  <c r="BP12" i="114"/>
  <c r="BP13" i="114" s="1"/>
  <c r="BY13" i="114" s="1"/>
  <c r="BK98" i="113"/>
  <c r="BD98" i="113"/>
  <c r="BJ98" i="113" s="1"/>
  <c r="BH58" i="114"/>
  <c r="FY46" i="114"/>
  <c r="AC33" i="118"/>
  <c r="CH13" i="113"/>
  <c r="CH175" i="113" s="1"/>
  <c r="AD18" i="118"/>
  <c r="N34" i="118"/>
  <c r="AN47" i="114"/>
  <c r="AE48" i="114"/>
  <c r="DY12" i="114"/>
  <c r="DX12" i="114" s="1"/>
  <c r="DO12" i="114"/>
  <c r="DO13" i="114" s="1"/>
  <c r="DX13" i="114" s="1"/>
  <c r="DP13" i="114"/>
  <c r="DY13" i="114" s="1"/>
  <c r="AL11" i="114"/>
  <c r="AM12" i="114"/>
  <c r="AL12" i="114" s="1"/>
  <c r="BJ123" i="113"/>
  <c r="BD124" i="113"/>
  <c r="BJ124" i="113" s="1"/>
  <c r="BE173" i="113"/>
  <c r="Y16" i="118"/>
  <c r="BD11" i="113"/>
  <c r="BE12" i="113"/>
  <c r="X13" i="118"/>
  <c r="BD170" i="113"/>
  <c r="BD172" i="113" s="1"/>
  <c r="BD10" i="113"/>
  <c r="R16" i="118"/>
  <c r="AF173" i="113"/>
  <c r="BI47" i="114"/>
  <c r="AZ48" i="114"/>
  <c r="BE186" i="113"/>
  <c r="BD25" i="113"/>
  <c r="BK25" i="113"/>
  <c r="AM186" i="113"/>
  <c r="CP48" i="114"/>
  <c r="CY47" i="114"/>
  <c r="BK29" i="113"/>
  <c r="BM99" i="113"/>
  <c r="BM100" i="113" s="1"/>
  <c r="BN100" i="113"/>
  <c r="BK99" i="113"/>
  <c r="BE100" i="113"/>
  <c r="BK100" i="113" s="1"/>
  <c r="BD99" i="113"/>
  <c r="CY42" i="114"/>
  <c r="BI42" i="114"/>
  <c r="AX42" i="114"/>
  <c r="FX12" i="114"/>
  <c r="FW12" i="114" s="1"/>
  <c r="FN12" i="114"/>
  <c r="FN13" i="114" s="1"/>
  <c r="FW13" i="114" s="1"/>
  <c r="FO13" i="114"/>
  <c r="FX13" i="114" s="1"/>
  <c r="BY11" i="114"/>
  <c r="BZ12" i="114"/>
  <c r="BY12" i="114" s="1"/>
  <c r="AM139" i="113"/>
  <c r="AG200" i="113"/>
  <c r="AM200" i="113" s="1"/>
  <c r="AF139" i="113"/>
  <c r="AP139" i="113"/>
  <c r="CH142" i="113"/>
  <c r="CB203" i="113"/>
  <c r="CH203" i="113" s="1"/>
  <c r="D203" i="113"/>
  <c r="D58" i="114" s="1"/>
  <c r="S142" i="113"/>
  <c r="B142" i="113"/>
  <c r="B203" i="113" s="1"/>
  <c r="CW42" i="114"/>
  <c r="DG42" i="114"/>
  <c r="CY46" i="114"/>
  <c r="DH46" i="114" s="1"/>
  <c r="CH50" i="113"/>
  <c r="CB190" i="113"/>
  <c r="CH190" i="113" s="1"/>
  <c r="AA17" i="118"/>
  <c r="BM13" i="113"/>
  <c r="AA18" i="118" s="1"/>
  <c r="BM174" i="113"/>
  <c r="BM175" i="113" s="1"/>
  <c r="AC12" i="114"/>
  <c r="AC13" i="114" s="1"/>
  <c r="AL13" i="114" s="1"/>
  <c r="AD13" i="114"/>
  <c r="AM13" i="114" s="1"/>
  <c r="AL10" i="113"/>
  <c r="AL172" i="113" s="1"/>
  <c r="R15" i="118"/>
  <c r="L41" i="114"/>
  <c r="B41" i="114"/>
  <c r="CC42" i="114"/>
  <c r="BJ29" i="113"/>
  <c r="BE35" i="113"/>
  <c r="Q39" i="113"/>
  <c r="Q235" i="113" s="1"/>
  <c r="AF37" i="113"/>
  <c r="B235" i="113"/>
  <c r="BN31" i="113"/>
  <c r="AH35" i="113"/>
  <c r="AG39" i="113"/>
  <c r="AQ39" i="113"/>
  <c r="BE37" i="113"/>
  <c r="BN37" i="113"/>
  <c r="BM31" i="113"/>
  <c r="V71" i="32"/>
  <c r="O10" i="104" s="1"/>
  <c r="O14" i="104" s="1"/>
  <c r="AB16" i="61" s="1"/>
  <c r="AB14" i="61" s="1"/>
  <c r="P10" i="102"/>
  <c r="AC17" i="64" s="1"/>
  <c r="AC14" i="64" s="1"/>
  <c r="AB17" i="64"/>
  <c r="AB14" i="64" s="1"/>
  <c r="Y66" i="32"/>
  <c r="W67" i="32"/>
  <c r="Y67" i="32" s="1"/>
  <c r="W16" i="95"/>
  <c r="W21" i="95" s="1"/>
  <c r="W31" i="95" s="1"/>
  <c r="W50" i="95" s="1"/>
  <c r="AB13" i="61" s="1"/>
  <c r="X11" i="95"/>
  <c r="W9" i="95"/>
  <c r="W14" i="95" s="1"/>
  <c r="W19" i="95" s="1"/>
  <c r="W29" i="95" s="1"/>
  <c r="W48" i="95" s="1"/>
  <c r="V68" i="32"/>
  <c r="C40" i="73"/>
  <c r="D40" i="73" s="1"/>
  <c r="D39" i="73"/>
  <c r="K46" i="65"/>
  <c r="F52" i="65"/>
  <c r="F52" i="61"/>
  <c r="K46" i="61"/>
  <c r="BQ48" i="72"/>
  <c r="BT48" i="72"/>
  <c r="CK48" i="72" s="1"/>
  <c r="K77" i="72"/>
  <c r="AF48" i="3"/>
  <c r="AF40" i="3" s="1"/>
  <c r="AF38" i="3" s="1"/>
  <c r="BP60" i="72"/>
  <c r="AZ50" i="72"/>
  <c r="BE50" i="72"/>
  <c r="AO48" i="72"/>
  <c r="AX48" i="72"/>
  <c r="AZ48" i="72" s="1"/>
  <c r="T54" i="72"/>
  <c r="Q54" i="72"/>
  <c r="AX52" i="72"/>
  <c r="AO52" i="72"/>
  <c r="W11" i="72"/>
  <c r="AA11" i="72"/>
  <c r="P55" i="72"/>
  <c r="AQ232" i="113" l="1"/>
  <c r="AO37" i="113"/>
  <c r="DQ46" i="114"/>
  <c r="EC46" i="114" s="1"/>
  <c r="AG190" i="113"/>
  <c r="AM190" i="113" s="1"/>
  <c r="AM50" i="113"/>
  <c r="AF50" i="113"/>
  <c r="AP50" i="113"/>
  <c r="BF39" i="113"/>
  <c r="AQ235" i="113"/>
  <c r="AM39" i="113"/>
  <c r="AG235" i="113"/>
  <c r="AM235" i="113" s="1"/>
  <c r="AL37" i="113"/>
  <c r="BK35" i="113"/>
  <c r="BE230" i="113"/>
  <c r="BK230" i="113" s="1"/>
  <c r="S29" i="118"/>
  <c r="CL42" i="114"/>
  <c r="U41" i="114"/>
  <c r="K41" i="114"/>
  <c r="DZ46" i="114"/>
  <c r="W33" i="118"/>
  <c r="Q142" i="113"/>
  <c r="Q203" i="113" s="1"/>
  <c r="S203" i="113"/>
  <c r="AQ58" i="114" s="1"/>
  <c r="BE139" i="113"/>
  <c r="AP200" i="113"/>
  <c r="CO55" i="114" s="1"/>
  <c r="BN139" i="113"/>
  <c r="AO139" i="113"/>
  <c r="AO200" i="113" s="1"/>
  <c r="DH42" i="114"/>
  <c r="BJ25" i="113"/>
  <c r="BD186" i="113"/>
  <c r="BI48" i="114"/>
  <c r="BR47" i="114"/>
  <c r="BE174" i="113"/>
  <c r="BE175" i="113" s="1"/>
  <c r="Y17" i="118"/>
  <c r="BD12" i="113"/>
  <c r="BE13" i="113"/>
  <c r="BQ58" i="114"/>
  <c r="J9" i="87"/>
  <c r="AR46" i="3"/>
  <c r="AS45" i="3"/>
  <c r="AS43" i="3" s="1"/>
  <c r="AS40" i="3" s="1"/>
  <c r="AS38" i="3" s="1"/>
  <c r="H16" i="66"/>
  <c r="H14" i="66" s="1"/>
  <c r="P16" i="64"/>
  <c r="P14" i="64" s="1"/>
  <c r="J17" i="87"/>
  <c r="AM174" i="113"/>
  <c r="AL12" i="113"/>
  <c r="AL174" i="113" s="1"/>
  <c r="L45" i="114"/>
  <c r="B45" i="114"/>
  <c r="AD58" i="114"/>
  <c r="BH55" i="114"/>
  <c r="AX55" i="114"/>
  <c r="FF42" i="114"/>
  <c r="EV42" i="114"/>
  <c r="BL192" i="113"/>
  <c r="BF193" i="113"/>
  <c r="BL193" i="113" s="1"/>
  <c r="AL186" i="113"/>
  <c r="BM25" i="113"/>
  <c r="BM186" i="113" s="1"/>
  <c r="BN186" i="113"/>
  <c r="CO41" i="114"/>
  <c r="AO41" i="114"/>
  <c r="AY41" i="114"/>
  <c r="AM13" i="113"/>
  <c r="AM175" i="113" s="1"/>
  <c r="S18" i="118"/>
  <c r="EA11" i="114"/>
  <c r="EK11" i="114"/>
  <c r="EJ11" i="114" s="1"/>
  <c r="EB12" i="114"/>
  <c r="BK142" i="113"/>
  <c r="BE203" i="113"/>
  <c r="BK203" i="113" s="1"/>
  <c r="CX58" i="114"/>
  <c r="BO193" i="113"/>
  <c r="EO47" i="114"/>
  <c r="BK37" i="113"/>
  <c r="AN35" i="113"/>
  <c r="AH230" i="113"/>
  <c r="AN230" i="113" s="1"/>
  <c r="AH142" i="113"/>
  <c r="M58" i="114"/>
  <c r="B58" i="114"/>
  <c r="AL139" i="113"/>
  <c r="AF200" i="113"/>
  <c r="AL200" i="113" s="1"/>
  <c r="BG42" i="114"/>
  <c r="BP42" i="114" s="1"/>
  <c r="DQ42" i="114"/>
  <c r="BJ99" i="113"/>
  <c r="BD100" i="113"/>
  <c r="BJ100" i="113" s="1"/>
  <c r="CY48" i="114"/>
  <c r="DH47" i="114"/>
  <c r="BK186" i="113"/>
  <c r="BJ10" i="113"/>
  <c r="BJ172" i="113" s="1"/>
  <c r="X15" i="118"/>
  <c r="BD173" i="113"/>
  <c r="X16" i="118"/>
  <c r="AN48" i="114"/>
  <c r="N35" i="118"/>
  <c r="AN39" i="113"/>
  <c r="AH235" i="113"/>
  <c r="AN235" i="113" s="1"/>
  <c r="P31" i="32"/>
  <c r="Q50" i="113"/>
  <c r="Q190" i="113" s="1"/>
  <c r="R190" i="113"/>
  <c r="AP45" i="114" s="1"/>
  <c r="BJ30" i="113"/>
  <c r="R17" i="118"/>
  <c r="AF174" i="113"/>
  <c r="AF175" i="113" s="1"/>
  <c r="AF13" i="113"/>
  <c r="BK173" i="113"/>
  <c r="BJ11" i="113"/>
  <c r="BJ173" i="113" s="1"/>
  <c r="BK12" i="113"/>
  <c r="CC13" i="114"/>
  <c r="CL13" i="114" s="1"/>
  <c r="CL12" i="114"/>
  <c r="CK12" i="114" s="1"/>
  <c r="CB12" i="114"/>
  <c r="CB13" i="114" s="1"/>
  <c r="CK13" i="114" s="1"/>
  <c r="BN203" i="113"/>
  <c r="EN58" i="114" s="1"/>
  <c r="T55" i="114"/>
  <c r="AC55" i="114" s="1"/>
  <c r="AD55" i="114"/>
  <c r="FG42" i="114"/>
  <c r="AN37" i="113"/>
  <c r="AH232" i="113"/>
  <c r="AN232" i="113" s="1"/>
  <c r="K37" i="65"/>
  <c r="O37" i="65" s="1"/>
  <c r="F3" i="77"/>
  <c r="N37" i="65"/>
  <c r="BQ18" i="8"/>
  <c r="BQ19" i="8" s="1"/>
  <c r="CB60" i="72"/>
  <c r="P37" i="66"/>
  <c r="X37" i="66" s="1"/>
  <c r="P36" i="66"/>
  <c r="X36" i="66" s="1"/>
  <c r="AR57" i="3"/>
  <c r="CS60" i="72" s="1"/>
  <c r="G9" i="87"/>
  <c r="M9" i="87"/>
  <c r="BR42" i="114"/>
  <c r="DP42" i="114"/>
  <c r="EB42" i="114" s="1"/>
  <c r="BO39" i="113"/>
  <c r="BO235" i="113" s="1"/>
  <c r="BF37" i="113"/>
  <c r="BO37" i="113"/>
  <c r="BD37" i="113"/>
  <c r="AF39" i="113"/>
  <c r="AP39" i="113"/>
  <c r="AP235" i="113" s="1"/>
  <c r="AQ35" i="113"/>
  <c r="AF35" i="113"/>
  <c r="Y68" i="32"/>
  <c r="Y71" i="32"/>
  <c r="P10" i="104" s="1"/>
  <c r="P14" i="104" s="1"/>
  <c r="AC16" i="61" s="1"/>
  <c r="AC14" i="61" s="1"/>
  <c r="X9" i="95"/>
  <c r="X14" i="95" s="1"/>
  <c r="X19" i="95" s="1"/>
  <c r="X29" i="95" s="1"/>
  <c r="X48" i="95" s="1"/>
  <c r="X16" i="95"/>
  <c r="X21" i="95" s="1"/>
  <c r="X31" i="95" s="1"/>
  <c r="X50" i="95" s="1"/>
  <c r="AC13" i="61" s="1"/>
  <c r="D46" i="73"/>
  <c r="D48" i="73"/>
  <c r="K47" i="61"/>
  <c r="P46" i="61" s="1"/>
  <c r="C3" i="85"/>
  <c r="C4" i="85"/>
  <c r="K47" i="65"/>
  <c r="F53" i="65"/>
  <c r="K51" i="65"/>
  <c r="I51" i="65"/>
  <c r="I52" i="65" s="1"/>
  <c r="K51" i="61"/>
  <c r="I51" i="61"/>
  <c r="I52" i="61" s="1"/>
  <c r="F53" i="61"/>
  <c r="BE48" i="72"/>
  <c r="AF45" i="3"/>
  <c r="AF43" i="3" s="1"/>
  <c r="BS60" i="72"/>
  <c r="BO54" i="72"/>
  <c r="BV60" i="72"/>
  <c r="CM60" i="72" s="1"/>
  <c r="BO52" i="72"/>
  <c r="AZ52" i="72"/>
  <c r="BE52" i="72"/>
  <c r="V54" i="72"/>
  <c r="Q55" i="72"/>
  <c r="U55" i="72"/>
  <c r="T55" i="72"/>
  <c r="AZ51" i="72"/>
  <c r="O29" i="118" l="1"/>
  <c r="CB42" i="114"/>
  <c r="Y29" i="118"/>
  <c r="EK42" i="114"/>
  <c r="AL35" i="113"/>
  <c r="AF230" i="113"/>
  <c r="BJ37" i="113"/>
  <c r="BL37" i="113"/>
  <c r="BF232" i="113"/>
  <c r="BL232" i="113" s="1"/>
  <c r="Q29" i="118"/>
  <c r="CD42" i="114"/>
  <c r="E9" i="87"/>
  <c r="F26" i="87" s="1"/>
  <c r="F25" i="87" s="1"/>
  <c r="H22" i="65" s="1"/>
  <c r="M42" i="118"/>
  <c r="AM55" i="114"/>
  <c r="R18" i="118"/>
  <c r="AL13" i="113"/>
  <c r="AL175" i="113" s="1"/>
  <c r="AO45" i="114"/>
  <c r="AY45" i="114"/>
  <c r="DH48" i="114"/>
  <c r="DQ47" i="114"/>
  <c r="DZ42" i="114"/>
  <c r="W29" i="118"/>
  <c r="AN142" i="113"/>
  <c r="AH203" i="113"/>
  <c r="AN203" i="113" s="1"/>
  <c r="AF142" i="113"/>
  <c r="AQ142" i="113"/>
  <c r="AX41" i="114"/>
  <c r="BH41" i="114"/>
  <c r="EN41" i="114"/>
  <c r="Z33" i="118"/>
  <c r="GB46" i="114"/>
  <c r="AF33" i="118" s="1"/>
  <c r="BG55" i="114"/>
  <c r="BP55" i="114" s="1"/>
  <c r="O42" i="118" s="1"/>
  <c r="BQ55" i="114"/>
  <c r="N33" i="32"/>
  <c r="AR44" i="3"/>
  <c r="AR43" i="3" s="1"/>
  <c r="P45" i="118"/>
  <c r="BZ58" i="114"/>
  <c r="BK13" i="113"/>
  <c r="BK175" i="113" s="1"/>
  <c r="Y18" i="118"/>
  <c r="Q34" i="118"/>
  <c r="BR48" i="114"/>
  <c r="Q35" i="118" s="1"/>
  <c r="CD47" i="114"/>
  <c r="BJ186" i="113"/>
  <c r="BN200" i="113"/>
  <c r="EN55" i="114" s="1"/>
  <c r="BM139" i="113"/>
  <c r="BM200" i="113" s="1"/>
  <c r="BK139" i="113"/>
  <c r="BE200" i="113"/>
  <c r="BK200" i="113" s="1"/>
  <c r="BD139" i="113"/>
  <c r="T41" i="114"/>
  <c r="AC41" i="114" s="1"/>
  <c r="AD41" i="114"/>
  <c r="BN50" i="113"/>
  <c r="AP190" i="113"/>
  <c r="CO45" i="114" s="1"/>
  <c r="AO50" i="113"/>
  <c r="AO190" i="113" s="1"/>
  <c r="BE50" i="113"/>
  <c r="AQ230" i="113"/>
  <c r="AL39" i="113"/>
  <c r="AF235" i="113"/>
  <c r="BM37" i="113"/>
  <c r="BO232" i="113"/>
  <c r="DY42" i="114"/>
  <c r="V29" i="118"/>
  <c r="K9" i="87"/>
  <c r="L26" i="87" s="1"/>
  <c r="L25" i="87" s="1"/>
  <c r="Q22" i="65" s="1"/>
  <c r="R22" i="65" s="1"/>
  <c r="CR54" i="72"/>
  <c r="CS54" i="72" s="1"/>
  <c r="K12" i="87" s="1"/>
  <c r="M12" i="87" s="1"/>
  <c r="M11" i="87" s="1"/>
  <c r="M10" i="87" s="1"/>
  <c r="P13" i="66" s="1"/>
  <c r="X13" i="66" s="1"/>
  <c r="CR52" i="72"/>
  <c r="E3" i="77"/>
  <c r="G19" i="77" s="1"/>
  <c r="K22" i="66" s="1"/>
  <c r="AL55" i="114"/>
  <c r="L42" i="118"/>
  <c r="CB55" i="114"/>
  <c r="EW58" i="114"/>
  <c r="BK174" i="113"/>
  <c r="BJ12" i="113"/>
  <c r="BJ174" i="113" s="1"/>
  <c r="V58" i="114"/>
  <c r="T58" i="114" s="1"/>
  <c r="K58" i="114"/>
  <c r="EO48" i="114"/>
  <c r="EX47" i="114"/>
  <c r="DG58" i="114"/>
  <c r="EA12" i="114"/>
  <c r="EA13" i="114" s="1"/>
  <c r="EJ13" i="114" s="1"/>
  <c r="EB13" i="114"/>
  <c r="EK13" i="114" s="1"/>
  <c r="EK12" i="114"/>
  <c r="EJ12" i="114" s="1"/>
  <c r="CN41" i="114"/>
  <c r="CX41" i="114"/>
  <c r="FE42" i="114"/>
  <c r="FN42" i="114" s="1"/>
  <c r="FO42" i="114"/>
  <c r="GA42" i="114" s="1"/>
  <c r="AM58" i="114"/>
  <c r="M45" i="118"/>
  <c r="CC58" i="114"/>
  <c r="U45" i="114"/>
  <c r="K45" i="114"/>
  <c r="H9" i="87"/>
  <c r="I26" i="87" s="1"/>
  <c r="I25" i="87" s="1"/>
  <c r="P22" i="61" s="1"/>
  <c r="X22" i="61" s="1"/>
  <c r="X17" i="118"/>
  <c r="BD13" i="113"/>
  <c r="BD174" i="113"/>
  <c r="BD175" i="113" s="1"/>
  <c r="CN55" i="114"/>
  <c r="CX55" i="114"/>
  <c r="AZ58" i="114"/>
  <c r="AO58" i="114"/>
  <c r="DF42" i="114"/>
  <c r="DO42" i="114" s="1"/>
  <c r="BL39" i="113"/>
  <c r="BF235" i="113"/>
  <c r="BL235" i="113" s="1"/>
  <c r="FP42" i="114"/>
  <c r="AL50" i="113"/>
  <c r="AF190" i="113"/>
  <c r="AL190" i="113" s="1"/>
  <c r="BF35" i="113"/>
  <c r="BF230" i="113" s="1"/>
  <c r="BL230" i="113" s="1"/>
  <c r="AL230" i="113"/>
  <c r="BN39" i="113"/>
  <c r="AL235" i="113"/>
  <c r="AO35" i="113"/>
  <c r="AO230" i="113" s="1"/>
  <c r="BO35" i="113"/>
  <c r="AO39" i="113"/>
  <c r="AO235" i="113" s="1"/>
  <c r="BE39" i="113"/>
  <c r="BE235" i="113" s="1"/>
  <c r="BK235" i="113" s="1"/>
  <c r="K52" i="65"/>
  <c r="Q46" i="65"/>
  <c r="P47" i="61"/>
  <c r="P51" i="61"/>
  <c r="E3" i="85"/>
  <c r="D3" i="85"/>
  <c r="B21" i="87"/>
  <c r="K52" i="61"/>
  <c r="K48" i="61"/>
  <c r="K53" i="65"/>
  <c r="K48" i="65"/>
  <c r="N51" i="65"/>
  <c r="N52" i="65" s="1"/>
  <c r="N53" i="65" s="1"/>
  <c r="I53" i="65"/>
  <c r="E4" i="85"/>
  <c r="E5" i="85" s="1"/>
  <c r="D4" i="85"/>
  <c r="N51" i="61"/>
  <c r="N52" i="61" s="1"/>
  <c r="N53" i="61" s="1"/>
  <c r="I53" i="61"/>
  <c r="BP52" i="72"/>
  <c r="BR52" i="72"/>
  <c r="BO55" i="72"/>
  <c r="BP54" i="72"/>
  <c r="BR54" i="72"/>
  <c r="CA54" i="72"/>
  <c r="CA52" i="72"/>
  <c r="BU54" i="72"/>
  <c r="CL54" i="72" s="1"/>
  <c r="BY60" i="72"/>
  <c r="BU52" i="72"/>
  <c r="CL52" i="72" s="1"/>
  <c r="CL55" i="72" s="1"/>
  <c r="AX51" i="72"/>
  <c r="V55" i="72"/>
  <c r="O55" i="72"/>
  <c r="S55" i="72" s="1"/>
  <c r="AZ55" i="72"/>
  <c r="AE29" i="118" l="1"/>
  <c r="GJ42" i="114"/>
  <c r="P52" i="61"/>
  <c r="P53" i="61" s="1"/>
  <c r="W46" i="61"/>
  <c r="BM35" i="113"/>
  <c r="BM230" i="113" s="1"/>
  <c r="BO230" i="113"/>
  <c r="U29" i="118"/>
  <c r="DX42" i="114"/>
  <c r="J26" i="87"/>
  <c r="J25" i="87" s="1"/>
  <c r="P22" i="64" s="1"/>
  <c r="X22" i="64" s="1"/>
  <c r="S45" i="118"/>
  <c r="CL58" i="114"/>
  <c r="AA29" i="118"/>
  <c r="FW42" i="114"/>
  <c r="CW41" i="114"/>
  <c r="DG41" i="114"/>
  <c r="AC58" i="114"/>
  <c r="R42" i="118"/>
  <c r="F20" i="77"/>
  <c r="F19" i="77" s="1"/>
  <c r="K22" i="65" s="1"/>
  <c r="O22" i="65" s="1"/>
  <c r="CR55" i="72"/>
  <c r="CS52" i="72"/>
  <c r="BN190" i="113"/>
  <c r="EN45" i="114" s="1"/>
  <c r="BM50" i="113"/>
  <c r="BM190" i="113" s="1"/>
  <c r="L28" i="118"/>
  <c r="AL41" i="114"/>
  <c r="BJ139" i="113"/>
  <c r="BD200" i="113"/>
  <c r="BJ200" i="113" s="1"/>
  <c r="T34" i="118"/>
  <c r="EC47" i="114"/>
  <c r="CD48" i="114"/>
  <c r="T35" i="118" s="1"/>
  <c r="CS58" i="72"/>
  <c r="CR50" i="72" s="1"/>
  <c r="CS50" i="72" s="1"/>
  <c r="H13" i="87" s="1"/>
  <c r="I13" i="87" s="1"/>
  <c r="AQ47" i="3"/>
  <c r="AR41" i="3"/>
  <c r="EW41" i="114"/>
  <c r="EM41" i="114"/>
  <c r="BG41" i="114"/>
  <c r="BP41" i="114" s="1"/>
  <c r="O28" i="118" s="1"/>
  <c r="BQ41" i="114"/>
  <c r="CC41" i="114" s="1"/>
  <c r="BF142" i="113"/>
  <c r="AQ203" i="113"/>
  <c r="CP58" i="114" s="1"/>
  <c r="BO142" i="113"/>
  <c r="AO142" i="113"/>
  <c r="AO203" i="113" s="1"/>
  <c r="BH45" i="114"/>
  <c r="BG45" i="114" s="1"/>
  <c r="AX45" i="114"/>
  <c r="EA42" i="114"/>
  <c r="R29" i="118"/>
  <c r="BM39" i="113"/>
  <c r="BM235" i="113" s="1"/>
  <c r="BN235" i="113"/>
  <c r="AC29" i="118"/>
  <c r="FY42" i="114"/>
  <c r="BI58" i="114"/>
  <c r="BG58" i="114" s="1"/>
  <c r="AX58" i="114"/>
  <c r="CW55" i="114"/>
  <c r="DG55" i="114"/>
  <c r="DF55" i="114" s="1"/>
  <c r="X18" i="118"/>
  <c r="BJ13" i="113"/>
  <c r="BJ175" i="113" s="1"/>
  <c r="T45" i="114"/>
  <c r="AC45" i="114" s="1"/>
  <c r="AD45" i="114"/>
  <c r="FX42" i="114"/>
  <c r="AB29" i="118"/>
  <c r="DP58" i="114"/>
  <c r="FG47" i="114"/>
  <c r="FG48" i="114" s="1"/>
  <c r="EX48" i="114"/>
  <c r="FF58" i="114"/>
  <c r="L12" i="87"/>
  <c r="BE190" i="113"/>
  <c r="BK190" i="113" s="1"/>
  <c r="BD50" i="113"/>
  <c r="BK50" i="113"/>
  <c r="CN45" i="114"/>
  <c r="CX45" i="114"/>
  <c r="M28" i="118"/>
  <c r="AM41" i="114"/>
  <c r="EM55" i="114"/>
  <c r="EW55" i="114"/>
  <c r="AR47" i="3"/>
  <c r="N34" i="32"/>
  <c r="P34" i="32" s="1"/>
  <c r="BZ55" i="114"/>
  <c r="P42" i="118"/>
  <c r="AL142" i="113"/>
  <c r="AF203" i="113"/>
  <c r="AL203" i="113" s="1"/>
  <c r="DQ48" i="114"/>
  <c r="W34" i="118"/>
  <c r="DZ47" i="114"/>
  <c r="BQ45" i="114"/>
  <c r="BP45" i="114"/>
  <c r="CC55" i="114"/>
  <c r="G12" i="87"/>
  <c r="T29" i="118"/>
  <c r="EC42" i="114"/>
  <c r="AE58" i="114"/>
  <c r="BD39" i="113"/>
  <c r="BK39" i="113"/>
  <c r="BD35" i="113"/>
  <c r="BD230" i="113" s="1"/>
  <c r="BL35" i="113"/>
  <c r="Q48" i="65"/>
  <c r="Q51" i="65"/>
  <c r="Q53" i="65" s="1"/>
  <c r="K53" i="61"/>
  <c r="F3" i="85"/>
  <c r="F4" i="85"/>
  <c r="D5" i="85"/>
  <c r="C5" i="85" s="1"/>
  <c r="F5" i="85" s="1"/>
  <c r="CB52" i="72"/>
  <c r="CA55" i="72"/>
  <c r="BW52" i="72"/>
  <c r="BP55" i="72"/>
  <c r="BV52" i="72"/>
  <c r="CM52" i="72" s="1"/>
  <c r="BU55" i="72"/>
  <c r="BV54" i="72"/>
  <c r="CM54" i="72" s="1"/>
  <c r="CB54" i="72"/>
  <c r="BW54" i="72"/>
  <c r="AX55" i="72"/>
  <c r="BP58" i="114" l="1"/>
  <c r="O45" i="118" s="1"/>
  <c r="DO55" i="114"/>
  <c r="EA55" i="114" s="1"/>
  <c r="AL45" i="114"/>
  <c r="L32" i="118"/>
  <c r="CB45" i="114"/>
  <c r="U42" i="118"/>
  <c r="DX55" i="114"/>
  <c r="BJ39" i="113"/>
  <c r="BD235" i="113"/>
  <c r="BJ235" i="113" s="1"/>
  <c r="S42" i="118"/>
  <c r="CL55" i="114"/>
  <c r="P32" i="118"/>
  <c r="BZ45" i="114"/>
  <c r="N35" i="32"/>
  <c r="P35" i="32" s="1"/>
  <c r="FF55" i="114"/>
  <c r="EV55" i="114"/>
  <c r="BJ50" i="113"/>
  <c r="BD190" i="113"/>
  <c r="BJ190" i="113" s="1"/>
  <c r="DY58" i="114"/>
  <c r="V45" i="118"/>
  <c r="FZ42" i="114"/>
  <c r="AD29" i="118" s="1"/>
  <c r="X29" i="118"/>
  <c r="BO203" i="113"/>
  <c r="EO58" i="114" s="1"/>
  <c r="BM142" i="113"/>
  <c r="BM203" i="113" s="1"/>
  <c r="BF203" i="113"/>
  <c r="BL203" i="113" s="1"/>
  <c r="BL142" i="113"/>
  <c r="BD142" i="113"/>
  <c r="N32" i="32"/>
  <c r="AR39" i="3"/>
  <c r="AR38" i="3" s="1"/>
  <c r="CS56" i="72" s="1"/>
  <c r="CR48" i="72" s="1"/>
  <c r="Z34" i="118"/>
  <c r="EC48" i="114"/>
  <c r="Z35" i="118" s="1"/>
  <c r="EM45" i="114"/>
  <c r="EW45" i="114"/>
  <c r="AL58" i="114"/>
  <c r="L45" i="118"/>
  <c r="CB58" i="114"/>
  <c r="DF41" i="114"/>
  <c r="DO41" i="114" s="1"/>
  <c r="DP41" i="114"/>
  <c r="EB41" i="114" s="1"/>
  <c r="FP47" i="114"/>
  <c r="GB47" i="114" s="1"/>
  <c r="N45" i="118"/>
  <c r="AN58" i="114"/>
  <c r="Z29" i="118"/>
  <c r="GB42" i="114"/>
  <c r="G11" i="87"/>
  <c r="G10" i="87" s="1"/>
  <c r="F12" i="87"/>
  <c r="F11" i="87" s="1"/>
  <c r="F10" i="87" s="1"/>
  <c r="H13" i="65" s="1"/>
  <c r="O32" i="118"/>
  <c r="BY45" i="114"/>
  <c r="DZ48" i="114"/>
  <c r="W35" i="118"/>
  <c r="S28" i="118"/>
  <c r="CL41" i="114"/>
  <c r="DG45" i="114"/>
  <c r="DF45" i="114" s="1"/>
  <c r="CW45" i="114"/>
  <c r="FO58" i="114"/>
  <c r="AM45" i="114"/>
  <c r="M32" i="118"/>
  <c r="CC45" i="114"/>
  <c r="CY58" i="114"/>
  <c r="CN58" i="114"/>
  <c r="P28" i="118"/>
  <c r="BZ41" i="114"/>
  <c r="EV41" i="114"/>
  <c r="FF41" i="114"/>
  <c r="CB41" i="114"/>
  <c r="K13" i="87"/>
  <c r="CS55" i="72"/>
  <c r="CQ55" i="72" s="1"/>
  <c r="EB58" i="114"/>
  <c r="C33" i="114"/>
  <c r="W51" i="61"/>
  <c r="W47" i="61"/>
  <c r="DP55" i="114"/>
  <c r="BR58" i="114"/>
  <c r="Q45" i="118" s="1"/>
  <c r="BJ230" i="113"/>
  <c r="BJ35" i="113"/>
  <c r="CM55" i="72"/>
  <c r="CK55" i="72" s="1"/>
  <c r="E7" i="77"/>
  <c r="F7" i="77" s="1"/>
  <c r="E6" i="77"/>
  <c r="F6" i="77" s="1"/>
  <c r="BY54" i="72"/>
  <c r="CB55" i="72"/>
  <c r="BY52" i="72"/>
  <c r="BV55" i="72"/>
  <c r="BN55" i="72"/>
  <c r="DO45" i="114" l="1"/>
  <c r="AF34" i="118"/>
  <c r="GB48" i="114"/>
  <c r="AF35" i="118" s="1"/>
  <c r="U32" i="118"/>
  <c r="DX45" i="114"/>
  <c r="DY55" i="114"/>
  <c r="V42" i="118"/>
  <c r="Y45" i="118"/>
  <c r="EK58" i="114"/>
  <c r="GA58" i="114"/>
  <c r="L13" i="87"/>
  <c r="L11" i="87" s="1"/>
  <c r="L10" i="87" s="1"/>
  <c r="Q13" i="65" s="1"/>
  <c r="R13" i="65" s="1"/>
  <c r="K11" i="87"/>
  <c r="K10" i="87" s="1"/>
  <c r="DH58" i="114"/>
  <c r="CW58" i="114"/>
  <c r="FX58" i="114"/>
  <c r="AB45" i="118"/>
  <c r="EK41" i="114"/>
  <c r="Y28" i="118"/>
  <c r="AF29" i="118"/>
  <c r="CD58" i="114"/>
  <c r="DY41" i="114"/>
  <c r="V28" i="118"/>
  <c r="U28" i="118"/>
  <c r="DX41" i="114"/>
  <c r="AR42" i="3"/>
  <c r="P32" i="32"/>
  <c r="P36" i="32" s="1"/>
  <c r="P39" i="32" s="1"/>
  <c r="G9" i="86" s="1"/>
  <c r="G12" i="86" s="1"/>
  <c r="I19" i="87" s="1"/>
  <c r="N29" i="32"/>
  <c r="BJ142" i="113"/>
  <c r="BD203" i="113"/>
  <c r="BJ203" i="113" s="1"/>
  <c r="EX58" i="114"/>
  <c r="EM58" i="114"/>
  <c r="FE55" i="114"/>
  <c r="FN55" i="114" s="1"/>
  <c r="FO55" i="114"/>
  <c r="EA45" i="114"/>
  <c r="R32" i="118"/>
  <c r="CK45" i="114"/>
  <c r="CO33" i="114"/>
  <c r="W52" i="61"/>
  <c r="W53" i="61" s="1"/>
  <c r="W48" i="61"/>
  <c r="Y46" i="61"/>
  <c r="B33" i="114"/>
  <c r="BH33" i="114"/>
  <c r="AP33" i="114"/>
  <c r="L33" i="114"/>
  <c r="AY33" i="114"/>
  <c r="U33" i="114"/>
  <c r="C24" i="114"/>
  <c r="EA41" i="114"/>
  <c r="R28" i="118"/>
  <c r="FE41" i="114"/>
  <c r="FN41" i="114" s="1"/>
  <c r="FO41" i="114"/>
  <c r="S32" i="118"/>
  <c r="CL45" i="114"/>
  <c r="FP48" i="114"/>
  <c r="AC34" i="118"/>
  <c r="FY47" i="114"/>
  <c r="R45" i="118"/>
  <c r="EV45" i="114"/>
  <c r="FF45" i="114"/>
  <c r="FE45" i="114" s="1"/>
  <c r="CR51" i="72"/>
  <c r="CS48" i="72"/>
  <c r="EB55" i="114"/>
  <c r="FZ55" i="114"/>
  <c r="AD42" i="118" s="1"/>
  <c r="X42" i="118"/>
  <c r="DP45" i="114"/>
  <c r="BS24" i="8"/>
  <c r="E5" i="77"/>
  <c r="F5" i="77"/>
  <c r="G5" i="77"/>
  <c r="G4" i="77" s="1"/>
  <c r="K13" i="66" s="1"/>
  <c r="BT55" i="72"/>
  <c r="BW55" i="72" s="1"/>
  <c r="BZ55" i="72"/>
  <c r="S33" i="10"/>
  <c r="I91" i="58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N32" i="71"/>
  <c r="BU32" i="71" s="1"/>
  <c r="BM32" i="71"/>
  <c r="BJ32" i="71"/>
  <c r="BF32" i="71"/>
  <c r="AZ32" i="71"/>
  <c r="AV32" i="71"/>
  <c r="BA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BB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BM29" i="71" s="1"/>
  <c r="AW29" i="71"/>
  <c r="AU29" i="71"/>
  <c r="AV29" i="71" s="1"/>
  <c r="AS29" i="71"/>
  <c r="AR29" i="71" s="1"/>
  <c r="AQ29" i="71"/>
  <c r="AN29" i="71"/>
  <c r="AM29" i="71" s="1"/>
  <c r="AM37" i="71" s="1"/>
  <c r="AL29" i="71"/>
  <c r="Z29" i="71"/>
  <c r="X29" i="71"/>
  <c r="S29" i="71"/>
  <c r="O29" i="71"/>
  <c r="N29" i="71" s="1"/>
  <c r="M29" i="71"/>
  <c r="H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AB27" i="71"/>
  <c r="Y27" i="71"/>
  <c r="S27" i="71"/>
  <c r="N27" i="71"/>
  <c r="BT26" i="71"/>
  <c r="BO26" i="71"/>
  <c r="BM26" i="71"/>
  <c r="BN26" i="71" s="1"/>
  <c r="BU26" i="71" s="1"/>
  <c r="BR26" i="17" s="1"/>
  <c r="CO26" i="17" s="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H24" i="71" s="1"/>
  <c r="BT25" i="71"/>
  <c r="BO25" i="71"/>
  <c r="BM25" i="71"/>
  <c r="BJ25" i="71"/>
  <c r="BF25" i="71"/>
  <c r="AZ25" i="71"/>
  <c r="AV25" i="71"/>
  <c r="BA25" i="71" s="1"/>
  <c r="AR25" i="71"/>
  <c r="AM25" i="71"/>
  <c r="Y25" i="71"/>
  <c r="AB25" i="71" s="1"/>
  <c r="S25" i="71"/>
  <c r="S24" i="71" s="1"/>
  <c r="N25" i="71"/>
  <c r="K25" i="71"/>
  <c r="H25" i="71"/>
  <c r="BP24" i="71"/>
  <c r="BK24" i="71"/>
  <c r="BI24" i="71"/>
  <c r="BJ24" i="71" s="1"/>
  <c r="BG24" i="71"/>
  <c r="BE24" i="71"/>
  <c r="BF24" i="71" s="1"/>
  <c r="AW24" i="71"/>
  <c r="AV35" i="71" s="1"/>
  <c r="AV24" i="71"/>
  <c r="AU24" i="71"/>
  <c r="AS24" i="71"/>
  <c r="AQ24" i="71"/>
  <c r="AN24" i="71"/>
  <c r="AL24" i="71"/>
  <c r="Z24" i="71"/>
  <c r="Y35" i="71" s="1"/>
  <c r="X24" i="71"/>
  <c r="O24" i="71"/>
  <c r="M24" i="71"/>
  <c r="G24" i="71"/>
  <c r="K24" i="71" s="1"/>
  <c r="F24" i="71"/>
  <c r="BD18" i="71"/>
  <c r="BB18" i="71"/>
  <c r="AA33" i="71" s="1"/>
  <c r="AY18" i="71"/>
  <c r="AV18" i="71"/>
  <c r="AO18" i="71"/>
  <c r="AM18" i="71"/>
  <c r="T33" i="71" s="1"/>
  <c r="V33" i="71" s="1"/>
  <c r="AF18" i="71"/>
  <c r="AD18" i="71"/>
  <c r="Z18" i="71"/>
  <c r="AE18" i="71" s="1"/>
  <c r="W18" i="71"/>
  <c r="U18" i="71"/>
  <c r="R18" i="71"/>
  <c r="O18" i="71"/>
  <c r="BD17" i="71"/>
  <c r="BB17" i="71"/>
  <c r="AY17" i="71"/>
  <c r="AV17" i="71"/>
  <c r="AM17" i="71"/>
  <c r="AO17" i="71" s="1"/>
  <c r="AF17" i="71"/>
  <c r="AD17" i="71"/>
  <c r="Z17" i="71"/>
  <c r="AE17" i="71" s="1"/>
  <c r="W17" i="71"/>
  <c r="U17" i="71"/>
  <c r="Q17" i="71"/>
  <c r="N17" i="71"/>
  <c r="BD16" i="71"/>
  <c r="BB16" i="71"/>
  <c r="AO31" i="71" s="1"/>
  <c r="AY16" i="71"/>
  <c r="AV16" i="71"/>
  <c r="AM16" i="71"/>
  <c r="AF16" i="71"/>
  <c r="AD16" i="71"/>
  <c r="Z16" i="71"/>
  <c r="AE16" i="71" s="1"/>
  <c r="W16" i="71"/>
  <c r="U16" i="71"/>
  <c r="R16" i="71"/>
  <c r="O16" i="71"/>
  <c r="O14" i="71" s="1"/>
  <c r="K16" i="71"/>
  <c r="H16" i="71"/>
  <c r="BD15" i="71"/>
  <c r="BB15" i="71"/>
  <c r="AO30" i="71" s="1"/>
  <c r="AY15" i="71"/>
  <c r="AV15" i="71"/>
  <c r="AF15" i="71"/>
  <c r="Z15" i="71"/>
  <c r="AE15" i="71" s="1"/>
  <c r="W15" i="71"/>
  <c r="T15" i="71"/>
  <c r="AM15" i="71" s="1"/>
  <c r="Q15" i="71"/>
  <c r="N15" i="71"/>
  <c r="K15" i="71"/>
  <c r="H15" i="71"/>
  <c r="H14" i="71" s="1"/>
  <c r="BC14" i="71"/>
  <c r="BA14" i="71"/>
  <c r="AZ14" i="71"/>
  <c r="AX14" i="71"/>
  <c r="AW14" i="71"/>
  <c r="AU14" i="71"/>
  <c r="AL14" i="71"/>
  <c r="AF14" i="71"/>
  <c r="AC14" i="71" s="1"/>
  <c r="AB14" i="71"/>
  <c r="AA14" i="71"/>
  <c r="Z14" i="71" s="1"/>
  <c r="Y14" i="71"/>
  <c r="X14" i="71"/>
  <c r="W14" i="71" s="1"/>
  <c r="V14" i="71"/>
  <c r="S14" i="71"/>
  <c r="P14" i="71"/>
  <c r="M14" i="71"/>
  <c r="BD14" i="71" s="1"/>
  <c r="G14" i="71"/>
  <c r="K14" i="71" s="1"/>
  <c r="F14" i="71"/>
  <c r="BD12" i="71"/>
  <c r="BB12" i="71"/>
  <c r="AY12" i="71"/>
  <c r="AV12" i="71"/>
  <c r="AM12" i="71"/>
  <c r="T28" i="71" s="1"/>
  <c r="AT28" i="71" s="1"/>
  <c r="AF12" i="71"/>
  <c r="AE12" i="71"/>
  <c r="AD12" i="71"/>
  <c r="X12" i="71"/>
  <c r="U12" i="71"/>
  <c r="R12" i="71"/>
  <c r="O12" i="71"/>
  <c r="BD11" i="71"/>
  <c r="BB11" i="71"/>
  <c r="AY11" i="71"/>
  <c r="AV11" i="71"/>
  <c r="AO11" i="71"/>
  <c r="AM11" i="71"/>
  <c r="T27" i="71" s="1"/>
  <c r="V27" i="71" s="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 s="1"/>
  <c r="W10" i="71"/>
  <c r="U10" i="71"/>
  <c r="T10" i="71" s="1"/>
  <c r="AM10" i="71" s="1"/>
  <c r="Q10" i="71"/>
  <c r="N10" i="71"/>
  <c r="K10" i="71"/>
  <c r="H10" i="71"/>
  <c r="BD9" i="71"/>
  <c r="BB9" i="71"/>
  <c r="AY25" i="71" s="1"/>
  <c r="AY9" i="71"/>
  <c r="AV9" i="71"/>
  <c r="AG9" i="71"/>
  <c r="AG8" i="71" s="1"/>
  <c r="AF9" i="71"/>
  <c r="Z9" i="71"/>
  <c r="AH9" i="71" s="1"/>
  <c r="AJ9" i="71" s="1"/>
  <c r="W9" i="71"/>
  <c r="U9" i="71"/>
  <c r="T9" i="71" s="1"/>
  <c r="AM9" i="71" s="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Z8" i="71" s="1"/>
  <c r="X8" i="71"/>
  <c r="V8" i="71"/>
  <c r="W8" i="71" s="1"/>
  <c r="S8" i="71"/>
  <c r="P8" i="71"/>
  <c r="M8" i="71"/>
  <c r="G8" i="71"/>
  <c r="K8" i="71" s="1"/>
  <c r="F8" i="71"/>
  <c r="FN45" i="114" l="1"/>
  <c r="AA32" i="118" s="1"/>
  <c r="FW45" i="114"/>
  <c r="AA28" i="118"/>
  <c r="FW41" i="114"/>
  <c r="AV8" i="71"/>
  <c r="AE9" i="71"/>
  <c r="BH26" i="71"/>
  <c r="AT27" i="71"/>
  <c r="BV32" i="71"/>
  <c r="AO33" i="71"/>
  <c r="DY45" i="114"/>
  <c r="V32" i="118"/>
  <c r="H12" i="87"/>
  <c r="CS51" i="72"/>
  <c r="CQ51" i="72" s="1"/>
  <c r="FY48" i="114"/>
  <c r="AC35" i="118"/>
  <c r="EB45" i="114"/>
  <c r="AB28" i="118"/>
  <c r="FX41" i="114"/>
  <c r="FZ41" i="114"/>
  <c r="AD28" i="118" s="1"/>
  <c r="X28" i="118"/>
  <c r="T33" i="114"/>
  <c r="U24" i="114"/>
  <c r="T24" i="114" s="1"/>
  <c r="K33" i="114"/>
  <c r="L24" i="114"/>
  <c r="K24" i="114" s="1"/>
  <c r="BG33" i="114"/>
  <c r="BH24" i="114"/>
  <c r="BG24" i="114" s="1"/>
  <c r="Y51" i="61"/>
  <c r="Y47" i="61"/>
  <c r="FZ45" i="114"/>
  <c r="X32" i="118"/>
  <c r="EJ45" i="114"/>
  <c r="AA42" i="118"/>
  <c r="FW55" i="114"/>
  <c r="FO45" i="114"/>
  <c r="H8" i="71"/>
  <c r="AO12" i="71"/>
  <c r="AV14" i="71"/>
  <c r="AY14" i="71"/>
  <c r="N14" i="71"/>
  <c r="N24" i="71"/>
  <c r="BN25" i="71"/>
  <c r="BU25" i="71" s="1"/>
  <c r="V28" i="71"/>
  <c r="Y29" i="71"/>
  <c r="BO29" i="71"/>
  <c r="BN31" i="71"/>
  <c r="BU31" i="71" s="1"/>
  <c r="BR32" i="17" s="1"/>
  <c r="GA55" i="114"/>
  <c r="Y42" i="118"/>
  <c r="EK55" i="114"/>
  <c r="B24" i="114"/>
  <c r="AD24" i="114"/>
  <c r="AX33" i="114"/>
  <c r="AY24" i="114"/>
  <c r="AO33" i="114"/>
  <c r="AP24" i="114"/>
  <c r="FF33" i="114"/>
  <c r="DG33" i="114"/>
  <c r="EW33" i="114"/>
  <c r="CX33" i="114"/>
  <c r="EN33" i="114"/>
  <c r="CN33" i="114"/>
  <c r="CO24" i="114"/>
  <c r="FX55" i="114"/>
  <c r="AB42" i="118"/>
  <c r="FG58" i="114"/>
  <c r="FE58" i="114" s="1"/>
  <c r="EV58" i="114"/>
  <c r="P16" i="61"/>
  <c r="H19" i="87"/>
  <c r="T45" i="118"/>
  <c r="GA41" i="114"/>
  <c r="DF58" i="114"/>
  <c r="DO58" i="114" s="1"/>
  <c r="DQ58" i="114"/>
  <c r="EC58" i="114" s="1"/>
  <c r="GJ58" i="114"/>
  <c r="AE45" i="118"/>
  <c r="CO24" i="17"/>
  <c r="BQ23" i="7"/>
  <c r="S34" i="10"/>
  <c r="BX25" i="71"/>
  <c r="BH30" i="71"/>
  <c r="BL31" i="71"/>
  <c r="BR25" i="17"/>
  <c r="BD8" i="71"/>
  <c r="AY8" i="71"/>
  <c r="AF8" i="71"/>
  <c r="AC8" i="71" s="1"/>
  <c r="AP11" i="71"/>
  <c r="BB14" i="71"/>
  <c r="R14" i="71"/>
  <c r="Q14" i="71" s="1"/>
  <c r="AN17" i="71"/>
  <c r="AM24" i="71"/>
  <c r="BL25" i="71"/>
  <c r="BL26" i="71"/>
  <c r="BH27" i="71"/>
  <c r="W28" i="71"/>
  <c r="BH28" i="71"/>
  <c r="AY31" i="71"/>
  <c r="P32" i="71"/>
  <c r="BH33" i="71"/>
  <c r="AH10" i="71"/>
  <c r="AI10" i="71" s="1"/>
  <c r="U14" i="71"/>
  <c r="T14" i="71" s="1"/>
  <c r="AD14" i="71" s="1"/>
  <c r="AA25" i="71"/>
  <c r="BB26" i="71"/>
  <c r="P27" i="71"/>
  <c r="BL27" i="71"/>
  <c r="BL28" i="71"/>
  <c r="BX32" i="71"/>
  <c r="BL33" i="71"/>
  <c r="BR33" i="17"/>
  <c r="BB8" i="71"/>
  <c r="O8" i="71"/>
  <c r="N8" i="71" s="1"/>
  <c r="AN11" i="71"/>
  <c r="W27" i="71"/>
  <c r="R8" i="71"/>
  <c r="Q8" i="71" s="1"/>
  <c r="AP12" i="71"/>
  <c r="AD15" i="71"/>
  <c r="AR24" i="71"/>
  <c r="BJ35" i="71"/>
  <c r="BH25" i="71"/>
  <c r="AO26" i="71"/>
  <c r="AO27" i="71"/>
  <c r="BB27" i="71"/>
  <c r="BN27" i="71"/>
  <c r="BU27" i="71" s="1"/>
  <c r="BR27" i="17" s="1"/>
  <c r="BB28" i="71"/>
  <c r="BN28" i="71"/>
  <c r="BU28" i="71" s="1"/>
  <c r="BR28" i="17" s="1"/>
  <c r="BJ29" i="71"/>
  <c r="BN30" i="71"/>
  <c r="BU30" i="71" s="1"/>
  <c r="BR31" i="17" s="1"/>
  <c r="BH31" i="71"/>
  <c r="BQ31" i="71"/>
  <c r="BR31" i="71" s="1"/>
  <c r="AO32" i="71"/>
  <c r="BB33" i="71"/>
  <c r="BN33" i="71"/>
  <c r="BU33" i="71" s="1"/>
  <c r="BR34" i="17" s="1"/>
  <c r="U8" i="71"/>
  <c r="T8" i="71" s="1"/>
  <c r="AO24" i="71"/>
  <c r="AM36" i="71"/>
  <c r="BQ32" i="71"/>
  <c r="BB32" i="71"/>
  <c r="AK9" i="71"/>
  <c r="AE14" i="71"/>
  <c r="BJ36" i="71"/>
  <c r="BX26" i="71"/>
  <c r="BW26" i="71"/>
  <c r="BV26" i="71"/>
  <c r="Y37" i="71"/>
  <c r="AA29" i="71"/>
  <c r="BW31" i="71"/>
  <c r="BX31" i="71"/>
  <c r="AP9" i="71"/>
  <c r="AO9" i="71"/>
  <c r="T25" i="71"/>
  <c r="AT25" i="71" s="1"/>
  <c r="AN9" i="71"/>
  <c r="T26" i="71"/>
  <c r="AX26" i="71" s="1"/>
  <c r="AO10" i="71"/>
  <c r="AP10" i="71"/>
  <c r="P26" i="71"/>
  <c r="AN10" i="71"/>
  <c r="AR36" i="71"/>
  <c r="BV27" i="71"/>
  <c r="BW27" i="71"/>
  <c r="BX28" i="71"/>
  <c r="BX30" i="71"/>
  <c r="BW33" i="71"/>
  <c r="BV33" i="71"/>
  <c r="AD8" i="71"/>
  <c r="AE8" i="71"/>
  <c r="T30" i="71"/>
  <c r="AN15" i="71"/>
  <c r="AP15" i="71"/>
  <c r="AO15" i="71"/>
  <c r="N36" i="71"/>
  <c r="BF36" i="71"/>
  <c r="BH24" i="71"/>
  <c r="BN29" i="71"/>
  <c r="BN37" i="71" s="1"/>
  <c r="AX30" i="71"/>
  <c r="AD9" i="71"/>
  <c r="T31" i="71"/>
  <c r="BC31" i="71" s="1"/>
  <c r="AP16" i="71"/>
  <c r="BB25" i="71"/>
  <c r="BB24" i="71" s="1"/>
  <c r="AO28" i="71"/>
  <c r="AY29" i="71"/>
  <c r="BJ37" i="71"/>
  <c r="AA32" i="71"/>
  <c r="AI9" i="71"/>
  <c r="AN16" i="71"/>
  <c r="BC25" i="71"/>
  <c r="BQ26" i="71"/>
  <c r="N37" i="71"/>
  <c r="AT30" i="71"/>
  <c r="BL30" i="71"/>
  <c r="U33" i="71"/>
  <c r="BQ33" i="71"/>
  <c r="BC33" i="71"/>
  <c r="BF35" i="71"/>
  <c r="BH35" i="71" s="1"/>
  <c r="AJ10" i="71"/>
  <c r="AK10" i="71" s="1"/>
  <c r="P33" i="71"/>
  <c r="AP18" i="71"/>
  <c r="N35" i="71"/>
  <c r="AY24" i="71"/>
  <c r="BM24" i="71"/>
  <c r="AO25" i="71"/>
  <c r="AA26" i="71"/>
  <c r="AA27" i="71"/>
  <c r="P28" i="71"/>
  <c r="AA28" i="71"/>
  <c r="AO29" i="71"/>
  <c r="AZ29" i="71"/>
  <c r="AA30" i="71"/>
  <c r="AN12" i="71"/>
  <c r="T32" i="71"/>
  <c r="AP17" i="71"/>
  <c r="AN18" i="71"/>
  <c r="Y24" i="71"/>
  <c r="AM35" i="71"/>
  <c r="AZ24" i="71"/>
  <c r="P25" i="71"/>
  <c r="BQ25" i="71"/>
  <c r="AY26" i="71"/>
  <c r="U27" i="71"/>
  <c r="AY27" i="71"/>
  <c r="AX27" i="71"/>
  <c r="U28" i="71"/>
  <c r="AY28" i="71"/>
  <c r="AX28" i="71"/>
  <c r="P30" i="71"/>
  <c r="BL32" i="71"/>
  <c r="AY33" i="71"/>
  <c r="AX33" i="71"/>
  <c r="AV36" i="71"/>
  <c r="AV37" i="71"/>
  <c r="AD10" i="71"/>
  <c r="BT24" i="71"/>
  <c r="BV25" i="71"/>
  <c r="P31" i="71"/>
  <c r="AY32" i="71"/>
  <c r="BW25" i="71"/>
  <c r="BQ27" i="71"/>
  <c r="BC27" i="71"/>
  <c r="BQ28" i="71"/>
  <c r="BC28" i="71"/>
  <c r="AR37" i="71"/>
  <c r="BF29" i="71"/>
  <c r="BQ30" i="71"/>
  <c r="BC30" i="71"/>
  <c r="BW32" i="71"/>
  <c r="AO16" i="71"/>
  <c r="AR35" i="71"/>
  <c r="AY30" i="71"/>
  <c r="BB30" i="71"/>
  <c r="BB29" i="71" s="1"/>
  <c r="BV30" i="71"/>
  <c r="BT29" i="71"/>
  <c r="AA31" i="71"/>
  <c r="BV31" i="71"/>
  <c r="BH32" i="71"/>
  <c r="AT33" i="71"/>
  <c r="BO24" i="71"/>
  <c r="AX24" i="114" l="1"/>
  <c r="FN58" i="114"/>
  <c r="FW58" i="114" s="1"/>
  <c r="AC24" i="114"/>
  <c r="AL24" i="114" s="1"/>
  <c r="U45" i="118"/>
  <c r="DX58" i="114"/>
  <c r="EA58" i="114"/>
  <c r="AA45" i="118"/>
  <c r="BV29" i="71"/>
  <c r="BU29" i="71" s="1"/>
  <c r="BW30" i="71"/>
  <c r="DZ58" i="114"/>
  <c r="W45" i="118"/>
  <c r="GJ41" i="114"/>
  <c r="AE28" i="118"/>
  <c r="CN24" i="114"/>
  <c r="EM33" i="114"/>
  <c r="EN24" i="114"/>
  <c r="EV33" i="114"/>
  <c r="EW24" i="114"/>
  <c r="EV24" i="114" s="1"/>
  <c r="FE33" i="114"/>
  <c r="FF24" i="114"/>
  <c r="FE24" i="114" s="1"/>
  <c r="AD32" i="118"/>
  <c r="GI45" i="114"/>
  <c r="Z45" i="118"/>
  <c r="CW33" i="114"/>
  <c r="CX24" i="114"/>
  <c r="CW24" i="114" s="1"/>
  <c r="DF33" i="114"/>
  <c r="DG24" i="114"/>
  <c r="DF24" i="114" s="1"/>
  <c r="AO24" i="114"/>
  <c r="BP24" i="114" s="1"/>
  <c r="BQ24" i="114"/>
  <c r="CC24" i="114" s="1"/>
  <c r="AD33" i="114"/>
  <c r="AM33" i="114" s="1"/>
  <c r="AM24" i="114"/>
  <c r="AE42" i="118"/>
  <c r="GJ55" i="114"/>
  <c r="FX45" i="114"/>
  <c r="AB32" i="118"/>
  <c r="Z46" i="61"/>
  <c r="Y48" i="61"/>
  <c r="Y52" i="61"/>
  <c r="Y53" i="61" s="1"/>
  <c r="Y32" i="118"/>
  <c r="EK45" i="114"/>
  <c r="GA45" i="114"/>
  <c r="H11" i="87"/>
  <c r="H10" i="87" s="1"/>
  <c r="J12" i="87"/>
  <c r="J11" i="87" s="1"/>
  <c r="J10" i="87" s="1"/>
  <c r="FP58" i="114"/>
  <c r="CN24" i="17"/>
  <c r="CN37" i="17" s="1"/>
  <c r="CN36" i="17"/>
  <c r="BR23" i="7"/>
  <c r="CC54" i="113" s="1"/>
  <c r="BQ24" i="7"/>
  <c r="BQ125" i="7"/>
  <c r="AP8" i="71"/>
  <c r="AM8" i="71" s="1"/>
  <c r="P36" i="71" s="1"/>
  <c r="BA29" i="71"/>
  <c r="BS31" i="71"/>
  <c r="BW28" i="71"/>
  <c r="BX33" i="71"/>
  <c r="BV28" i="71"/>
  <c r="BX27" i="71"/>
  <c r="AJ8" i="71"/>
  <c r="BU37" i="71"/>
  <c r="BW29" i="71"/>
  <c r="BR30" i="71"/>
  <c r="BS30" i="71"/>
  <c r="Y36" i="71"/>
  <c r="AA24" i="71"/>
  <c r="AN8" i="71"/>
  <c r="BR32" i="71"/>
  <c r="BS32" i="71"/>
  <c r="BA37" i="71"/>
  <c r="BS28" i="71"/>
  <c r="BR28" i="71"/>
  <c r="BL29" i="71"/>
  <c r="BH36" i="71"/>
  <c r="BS27" i="71"/>
  <c r="BR27" i="71"/>
  <c r="BV24" i="71"/>
  <c r="BS25" i="71"/>
  <c r="BR25" i="71"/>
  <c r="AT32" i="71"/>
  <c r="U32" i="71"/>
  <c r="V32" i="71"/>
  <c r="AX32" i="71"/>
  <c r="BS26" i="71"/>
  <c r="BR26" i="71"/>
  <c r="V30" i="71"/>
  <c r="U30" i="71"/>
  <c r="BC32" i="71"/>
  <c r="U31" i="71"/>
  <c r="AX31" i="71"/>
  <c r="V31" i="71"/>
  <c r="AT26" i="71"/>
  <c r="V26" i="71"/>
  <c r="W26" i="71"/>
  <c r="AH8" i="71"/>
  <c r="AI8" i="71" s="1"/>
  <c r="AK8" i="71"/>
  <c r="BH29" i="71"/>
  <c r="BF37" i="71"/>
  <c r="BH37" i="71" s="1"/>
  <c r="BR33" i="71"/>
  <c r="BS33" i="71"/>
  <c r="BA35" i="71"/>
  <c r="BA24" i="71"/>
  <c r="AP14" i="71"/>
  <c r="AM14" i="71" s="1"/>
  <c r="BN35" i="71"/>
  <c r="BN24" i="71"/>
  <c r="BN36" i="71" s="1"/>
  <c r="AT31" i="71"/>
  <c r="U26" i="71"/>
  <c r="BC26" i="71"/>
  <c r="P24" i="71"/>
  <c r="W25" i="71"/>
  <c r="V25" i="71"/>
  <c r="U25" i="71"/>
  <c r="AX25" i="71"/>
  <c r="AC33" i="114" l="1"/>
  <c r="AL33" i="114" s="1"/>
  <c r="FY58" i="114"/>
  <c r="AC45" i="118"/>
  <c r="GJ45" i="114"/>
  <c r="AE32" i="118"/>
  <c r="BP33" i="114"/>
  <c r="BY33" i="114" s="1"/>
  <c r="BY24" i="114"/>
  <c r="GB58" i="114"/>
  <c r="AF45" i="118" s="1"/>
  <c r="EM24" i="114"/>
  <c r="FN24" i="114" s="1"/>
  <c r="FN33" i="114" s="1"/>
  <c r="FO24" i="114"/>
  <c r="DP24" i="114"/>
  <c r="EB24" i="114" s="1"/>
  <c r="CB54" i="113"/>
  <c r="C54" i="113"/>
  <c r="CI54" i="113"/>
  <c r="CC191" i="113"/>
  <c r="H13" i="66"/>
  <c r="P13" i="64"/>
  <c r="X13" i="64" s="1"/>
  <c r="I12" i="87"/>
  <c r="I11" i="87" s="1"/>
  <c r="I10" i="87" s="1"/>
  <c r="P13" i="61" s="1"/>
  <c r="X13" i="61" s="1"/>
  <c r="Z47" i="61"/>
  <c r="Z51" i="61"/>
  <c r="CC33" i="114"/>
  <c r="CL33" i="114" s="1"/>
  <c r="CL24" i="114"/>
  <c r="BZ24" i="114"/>
  <c r="BQ33" i="114"/>
  <c r="BZ33" i="114" s="1"/>
  <c r="CB24" i="114"/>
  <c r="DO24" i="114"/>
  <c r="FZ58" i="114"/>
  <c r="AD45" i="118" s="1"/>
  <c r="X45" i="118"/>
  <c r="BR125" i="7"/>
  <c r="BQ126" i="7"/>
  <c r="BQ25" i="7"/>
  <c r="BR24" i="7"/>
  <c r="CC55" i="113" s="1"/>
  <c r="AO8" i="71"/>
  <c r="U24" i="71"/>
  <c r="T24" i="71" s="1"/>
  <c r="AN14" i="71"/>
  <c r="AO14" i="71"/>
  <c r="P29" i="71"/>
  <c r="BA36" i="71"/>
  <c r="BL24" i="71"/>
  <c r="U29" i="71"/>
  <c r="T29" i="71" s="1"/>
  <c r="BL37" i="71"/>
  <c r="BR24" i="71"/>
  <c r="BR29" i="71"/>
  <c r="BQ29" i="71" s="1"/>
  <c r="T35" i="71"/>
  <c r="AT35" i="71" s="1"/>
  <c r="BL35" i="71"/>
  <c r="BU35" i="71"/>
  <c r="BU24" i="71"/>
  <c r="P37" i="71"/>
  <c r="BX37" i="71"/>
  <c r="BW37" i="71"/>
  <c r="CB33" i="114" l="1"/>
  <c r="CK33" i="114" s="1"/>
  <c r="EA24" i="114"/>
  <c r="CK24" i="114"/>
  <c r="R54" i="113"/>
  <c r="AG54" i="113" s="1"/>
  <c r="B54" i="113"/>
  <c r="B191" i="113" s="1"/>
  <c r="C191" i="113"/>
  <c r="C46" i="114" s="1"/>
  <c r="DP33" i="114"/>
  <c r="DY33" i="114" s="1"/>
  <c r="DY24" i="114"/>
  <c r="C55" i="113"/>
  <c r="CB55" i="113"/>
  <c r="CI55" i="113"/>
  <c r="CC56" i="113"/>
  <c r="CI56" i="113" s="1"/>
  <c r="CC192" i="113"/>
  <c r="CI192" i="113" s="1"/>
  <c r="DO33" i="114"/>
  <c r="DX33" i="114" s="1"/>
  <c r="DX24" i="114"/>
  <c r="EB33" i="114"/>
  <c r="EK33" i="114" s="1"/>
  <c r="GA24" i="114"/>
  <c r="EK24" i="114"/>
  <c r="AA46" i="61"/>
  <c r="Z52" i="61"/>
  <c r="Z53" i="61" s="1"/>
  <c r="Z48" i="61"/>
  <c r="CC193" i="113"/>
  <c r="CI193" i="113" s="1"/>
  <c r="CI191" i="113"/>
  <c r="CH54" i="113"/>
  <c r="CB191" i="113"/>
  <c r="CH191" i="113" s="1"/>
  <c r="FX24" i="114"/>
  <c r="FO33" i="114"/>
  <c r="FX33" i="114" s="1"/>
  <c r="BR25" i="7"/>
  <c r="BR126" i="7"/>
  <c r="BC35" i="71"/>
  <c r="BQ35" i="71"/>
  <c r="BS35" i="71" s="1"/>
  <c r="BQ24" i="71"/>
  <c r="BU36" i="71"/>
  <c r="BW24" i="71"/>
  <c r="BX35" i="71"/>
  <c r="BW35" i="71"/>
  <c r="BS29" i="71"/>
  <c r="BQ37" i="71"/>
  <c r="BS37" i="71" s="1"/>
  <c r="BL36" i="71"/>
  <c r="V24" i="71"/>
  <c r="T36" i="71"/>
  <c r="BC36" i="71" s="1"/>
  <c r="AT24" i="71"/>
  <c r="AX24" i="71"/>
  <c r="V29" i="71"/>
  <c r="T37" i="71"/>
  <c r="AX29" i="71"/>
  <c r="AT29" i="71"/>
  <c r="BC29" i="71"/>
  <c r="BC24" i="71"/>
  <c r="B55" i="113" l="1"/>
  <c r="R55" i="113"/>
  <c r="AG55" i="113"/>
  <c r="C192" i="113"/>
  <c r="AF54" i="113"/>
  <c r="AM54" i="113"/>
  <c r="AG191" i="113"/>
  <c r="AM191" i="113" s="1"/>
  <c r="AP54" i="113"/>
  <c r="Q54" i="113"/>
  <c r="Q191" i="113" s="1"/>
  <c r="R191" i="113"/>
  <c r="AA47" i="61"/>
  <c r="AA51" i="61"/>
  <c r="GA33" i="114"/>
  <c r="GJ33" i="114" s="1"/>
  <c r="GJ24" i="114"/>
  <c r="CH55" i="113"/>
  <c r="CB56" i="113"/>
  <c r="CH56" i="113" s="1"/>
  <c r="CB192" i="113"/>
  <c r="B46" i="114"/>
  <c r="L46" i="114"/>
  <c r="C56" i="113"/>
  <c r="EA33" i="114"/>
  <c r="EJ33" i="114" s="1"/>
  <c r="FZ24" i="114"/>
  <c r="FZ33" i="114" s="1"/>
  <c r="EJ24" i="114"/>
  <c r="BS24" i="71"/>
  <c r="BQ36" i="71"/>
  <c r="BS36" i="71" s="1"/>
  <c r="V37" i="71"/>
  <c r="AO37" i="71"/>
  <c r="AT37" i="71"/>
  <c r="AA37" i="71"/>
  <c r="AX37" i="71"/>
  <c r="BC37" i="71"/>
  <c r="V36" i="71"/>
  <c r="AX36" i="71"/>
  <c r="AT36" i="71"/>
  <c r="AO36" i="71"/>
  <c r="AA36" i="71"/>
  <c r="BX36" i="71"/>
  <c r="BW36" i="71"/>
  <c r="AP46" i="114" l="1"/>
  <c r="AO54" i="113"/>
  <c r="AO191" i="113" s="1"/>
  <c r="BN54" i="113"/>
  <c r="AP191" i="113"/>
  <c r="CO46" i="114" s="1"/>
  <c r="BE54" i="113"/>
  <c r="AL54" i="113"/>
  <c r="AF191" i="113"/>
  <c r="AL191" i="113" s="1"/>
  <c r="AM55" i="113"/>
  <c r="AF55" i="113"/>
  <c r="AG56" i="113"/>
  <c r="AM56" i="113" s="1"/>
  <c r="AG192" i="113"/>
  <c r="AP55" i="113"/>
  <c r="B56" i="113"/>
  <c r="B192" i="113"/>
  <c r="B193" i="113" s="1"/>
  <c r="U46" i="114"/>
  <c r="T46" i="114" s="1"/>
  <c r="K46" i="114"/>
  <c r="CB193" i="113"/>
  <c r="CH193" i="113" s="1"/>
  <c r="CH192" i="113"/>
  <c r="AB46" i="61"/>
  <c r="AA52" i="61"/>
  <c r="AA53" i="61" s="1"/>
  <c r="AA48" i="61"/>
  <c r="C193" i="113"/>
  <c r="C47" i="114"/>
  <c r="Q55" i="113"/>
  <c r="R56" i="113"/>
  <c r="R192" i="113"/>
  <c r="AP47" i="114" s="1"/>
  <c r="K64" i="11"/>
  <c r="K65" i="11"/>
  <c r="AC46" i="114" l="1"/>
  <c r="AL46" i="114"/>
  <c r="L33" i="118"/>
  <c r="AP48" i="114"/>
  <c r="AO47" i="114"/>
  <c r="AY47" i="114"/>
  <c r="Q56" i="113"/>
  <c r="Q192" i="113"/>
  <c r="Q193" i="113" s="1"/>
  <c r="BN55" i="113"/>
  <c r="AO55" i="113"/>
  <c r="AP56" i="113"/>
  <c r="AP192" i="113"/>
  <c r="BE55" i="113"/>
  <c r="AL55" i="113"/>
  <c r="AF56" i="113"/>
  <c r="AL56" i="113" s="1"/>
  <c r="AF192" i="113"/>
  <c r="BK54" i="113"/>
  <c r="BD54" i="113"/>
  <c r="BE191" i="113"/>
  <c r="BK191" i="113" s="1"/>
  <c r="BM54" i="113"/>
  <c r="BM191" i="113" s="1"/>
  <c r="BN191" i="113"/>
  <c r="EN46" i="114" s="1"/>
  <c r="AO46" i="114"/>
  <c r="AY46" i="114"/>
  <c r="C48" i="114"/>
  <c r="L47" i="114"/>
  <c r="B47" i="114"/>
  <c r="AB47" i="61"/>
  <c r="AB51" i="61"/>
  <c r="AG193" i="113"/>
  <c r="AM193" i="113" s="1"/>
  <c r="AM192" i="113"/>
  <c r="CN46" i="114"/>
  <c r="CX46" i="114"/>
  <c r="R193" i="113"/>
  <c r="AD46" i="114"/>
  <c r="AY29" i="10"/>
  <c r="AY30" i="10"/>
  <c r="AY31" i="10"/>
  <c r="AY28" i="10"/>
  <c r="AY22" i="10"/>
  <c r="AY23" i="10"/>
  <c r="AY24" i="10"/>
  <c r="AY21" i="10"/>
  <c r="AY27" i="10" s="1"/>
  <c r="M33" i="118" l="1"/>
  <c r="AM46" i="114"/>
  <c r="CW46" i="114"/>
  <c r="DG46" i="114"/>
  <c r="DF46" i="114" s="1"/>
  <c r="AC46" i="61"/>
  <c r="AB52" i="61"/>
  <c r="AB53" i="61" s="1"/>
  <c r="AB48" i="61"/>
  <c r="B48" i="114"/>
  <c r="BH46" i="114"/>
  <c r="BG46" i="114" s="1"/>
  <c r="AX46" i="114"/>
  <c r="EW46" i="114"/>
  <c r="EM46" i="114"/>
  <c r="BK55" i="113"/>
  <c r="BE56" i="113"/>
  <c r="BK56" i="113" s="1"/>
  <c r="BD55" i="113"/>
  <c r="BE192" i="113"/>
  <c r="BM55" i="113"/>
  <c r="BN56" i="113"/>
  <c r="BN192" i="113"/>
  <c r="AX47" i="114"/>
  <c r="AX48" i="114" s="1"/>
  <c r="AY48" i="114"/>
  <c r="BH47" i="114"/>
  <c r="BQ47" i="114" s="1"/>
  <c r="U47" i="114"/>
  <c r="L48" i="114"/>
  <c r="K47" i="114"/>
  <c r="K48" i="114" s="1"/>
  <c r="BQ46" i="114"/>
  <c r="CC46" i="114" s="1"/>
  <c r="BJ54" i="113"/>
  <c r="BD191" i="113"/>
  <c r="BJ191" i="113" s="1"/>
  <c r="AF193" i="113"/>
  <c r="AL193" i="113" s="1"/>
  <c r="AL192" i="113"/>
  <c r="AP193" i="113"/>
  <c r="CO47" i="114"/>
  <c r="AO56" i="113"/>
  <c r="AO192" i="113"/>
  <c r="AO193" i="113" s="1"/>
  <c r="AO48" i="114"/>
  <c r="AY33" i="10"/>
  <c r="AB60" i="8"/>
  <c r="AC60" i="8" s="1"/>
  <c r="AF69" i="7"/>
  <c r="AE69" i="7" s="1"/>
  <c r="DO46" i="114" l="1"/>
  <c r="U33" i="118" s="1"/>
  <c r="BP46" i="114"/>
  <c r="DP46" i="114"/>
  <c r="EB46" i="114" s="1"/>
  <c r="S33" i="118"/>
  <c r="CL46" i="114"/>
  <c r="CO48" i="114"/>
  <c r="CN47" i="114"/>
  <c r="CX47" i="114"/>
  <c r="O33" i="118"/>
  <c r="CB46" i="114"/>
  <c r="U48" i="114"/>
  <c r="T47" i="114"/>
  <c r="T48" i="114" s="1"/>
  <c r="AD47" i="114"/>
  <c r="V33" i="118"/>
  <c r="BN193" i="113"/>
  <c r="EN47" i="114"/>
  <c r="BM56" i="113"/>
  <c r="BM192" i="113"/>
  <c r="BM193" i="113" s="1"/>
  <c r="BJ55" i="113"/>
  <c r="BD56" i="113"/>
  <c r="BJ56" i="113" s="1"/>
  <c r="BD192" i="113"/>
  <c r="AC47" i="61"/>
  <c r="AC51" i="61"/>
  <c r="P34" i="118"/>
  <c r="BQ48" i="114"/>
  <c r="BZ47" i="114"/>
  <c r="BZ46" i="114"/>
  <c r="P33" i="118"/>
  <c r="DX46" i="114"/>
  <c r="BH48" i="114"/>
  <c r="BG47" i="114"/>
  <c r="BE193" i="113"/>
  <c r="BK193" i="113" s="1"/>
  <c r="BK192" i="113"/>
  <c r="FF46" i="114"/>
  <c r="EV46" i="114"/>
  <c r="BB96" i="8"/>
  <c r="AX96" i="8" s="1"/>
  <c r="BB146" i="7"/>
  <c r="DY46" i="114" l="1"/>
  <c r="AC47" i="114"/>
  <c r="AL47" i="114" s="1"/>
  <c r="BZ48" i="114"/>
  <c r="P35" i="118"/>
  <c r="AC48" i="114"/>
  <c r="BD193" i="113"/>
  <c r="BJ193" i="113" s="1"/>
  <c r="BJ192" i="113"/>
  <c r="EA46" i="114"/>
  <c r="R33" i="118"/>
  <c r="CW47" i="114"/>
  <c r="CW48" i="114" s="1"/>
  <c r="CX48" i="114"/>
  <c r="DG47" i="114"/>
  <c r="Y33" i="118"/>
  <c r="EK46" i="114"/>
  <c r="FE46" i="114"/>
  <c r="FN46" i="114" s="1"/>
  <c r="FO46" i="114"/>
  <c r="BG48" i="114"/>
  <c r="BP47" i="114"/>
  <c r="AC52" i="61"/>
  <c r="AC53" i="61" s="1"/>
  <c r="AC48" i="61"/>
  <c r="EN48" i="114"/>
  <c r="EM47" i="114"/>
  <c r="EW47" i="114"/>
  <c r="AM47" i="114"/>
  <c r="M34" i="118"/>
  <c r="AD48" i="114"/>
  <c r="CC47" i="114"/>
  <c r="CN48" i="114"/>
  <c r="D44" i="63"/>
  <c r="D43" i="63"/>
  <c r="AO30" i="19"/>
  <c r="AO27" i="19"/>
  <c r="AO23" i="19"/>
  <c r="AO41" i="19"/>
  <c r="E28" i="67" s="1"/>
  <c r="E29" i="67" s="1"/>
  <c r="E30" i="67" s="1"/>
  <c r="E32" i="67" s="1"/>
  <c r="AM10" i="6"/>
  <c r="AM11" i="6"/>
  <c r="W14" i="70"/>
  <c r="H14" i="70"/>
  <c r="W25" i="70"/>
  <c r="U24" i="70"/>
  <c r="T24" i="70"/>
  <c r="W24" i="70" s="1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Q11" i="70"/>
  <c r="K15" i="70"/>
  <c r="K10" i="70"/>
  <c r="K12" i="70" s="1"/>
  <c r="N10" i="70"/>
  <c r="H15" i="70"/>
  <c r="H19" i="70" s="1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L34" i="118" l="1"/>
  <c r="AA33" i="118"/>
  <c r="FW46" i="114"/>
  <c r="M35" i="118"/>
  <c r="AM48" i="114"/>
  <c r="FF47" i="114"/>
  <c r="EW48" i="114"/>
  <c r="EV47" i="114"/>
  <c r="EV48" i="114" s="1"/>
  <c r="DP47" i="114"/>
  <c r="EB47" i="114" s="1"/>
  <c r="DF47" i="114"/>
  <c r="DG48" i="114"/>
  <c r="FZ46" i="114"/>
  <c r="AD33" i="118" s="1"/>
  <c r="X33" i="118"/>
  <c r="L35" i="118"/>
  <c r="AL48" i="114"/>
  <c r="S34" i="118"/>
  <c r="CC48" i="114"/>
  <c r="CL47" i="114"/>
  <c r="FO47" i="114"/>
  <c r="EM48" i="114"/>
  <c r="O34" i="118"/>
  <c r="BP48" i="114"/>
  <c r="O35" i="118" s="1"/>
  <c r="FX46" i="114"/>
  <c r="AB33" i="118"/>
  <c r="GA46" i="114"/>
  <c r="CB47" i="114"/>
  <c r="Q12" i="70"/>
  <c r="Q20" i="70" s="1"/>
  <c r="E38" i="63"/>
  <c r="K19" i="70"/>
  <c r="H20" i="70"/>
  <c r="J20" i="70"/>
  <c r="L20" i="70"/>
  <c r="V20" i="70"/>
  <c r="S20" i="70"/>
  <c r="M20" i="70"/>
  <c r="I20" i="70"/>
  <c r="E7" i="67"/>
  <c r="D7" i="67"/>
  <c r="AE33" i="118" l="1"/>
  <c r="GJ46" i="114"/>
  <c r="Y34" i="118"/>
  <c r="GA47" i="114"/>
  <c r="EB48" i="114"/>
  <c r="EK47" i="114"/>
  <c r="V34" i="118"/>
  <c r="DY47" i="114"/>
  <c r="DP48" i="114"/>
  <c r="E48" i="73"/>
  <c r="E39" i="63"/>
  <c r="R34" i="118"/>
  <c r="CB48" i="114"/>
  <c r="R35" i="118" s="1"/>
  <c r="AB34" i="118"/>
  <c r="FO48" i="114"/>
  <c r="FX47" i="114"/>
  <c r="CL48" i="114"/>
  <c r="S35" i="118"/>
  <c r="DF48" i="114"/>
  <c r="DO47" i="114"/>
  <c r="EA47" i="114" s="1"/>
  <c r="FF48" i="114"/>
  <c r="FE47" i="114"/>
  <c r="K20" i="70"/>
  <c r="EA48" i="114" l="1"/>
  <c r="X35" i="118" s="1"/>
  <c r="X34" i="118"/>
  <c r="FE48" i="114"/>
  <c r="FN47" i="114"/>
  <c r="FX48" i="114"/>
  <c r="AB35" i="118"/>
  <c r="E49" i="73"/>
  <c r="F17" i="73"/>
  <c r="C15" i="77" s="1"/>
  <c r="B15" i="77" s="1"/>
  <c r="F37" i="73"/>
  <c r="G38" i="73" s="1"/>
  <c r="F7" i="73"/>
  <c r="AE34" i="118"/>
  <c r="GA48" i="114"/>
  <c r="GJ47" i="114"/>
  <c r="U34" i="118"/>
  <c r="DO48" i="114"/>
  <c r="DX47" i="114"/>
  <c r="DY48" i="114"/>
  <c r="V35" i="118"/>
  <c r="EK48" i="114"/>
  <c r="Y35" i="118"/>
  <c r="E8" i="67"/>
  <c r="E9" i="67" s="1"/>
  <c r="D8" i="67"/>
  <c r="D9" i="67" s="1"/>
  <c r="C8" i="67"/>
  <c r="AG9" i="5"/>
  <c r="AD10" i="5"/>
  <c r="AH10" i="6"/>
  <c r="AE11" i="6"/>
  <c r="AK60" i="19"/>
  <c r="GJ48" i="114" l="1"/>
  <c r="AE35" i="118"/>
  <c r="P18" i="61"/>
  <c r="X18" i="61" s="1"/>
  <c r="I21" i="87"/>
  <c r="F42" i="73"/>
  <c r="G43" i="73" s="1"/>
  <c r="Q18" i="65" s="1"/>
  <c r="F22" i="73"/>
  <c r="F12" i="73"/>
  <c r="U35" i="118"/>
  <c r="DX48" i="114"/>
  <c r="AA34" i="118"/>
  <c r="FN48" i="114"/>
  <c r="FW47" i="114"/>
  <c r="FZ47" i="114"/>
  <c r="E331" i="69"/>
  <c r="E330" i="69"/>
  <c r="E328" i="69"/>
  <c r="D328" i="69"/>
  <c r="E318" i="69"/>
  <c r="E311" i="69"/>
  <c r="D311" i="69"/>
  <c r="D329" i="69" s="1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E253" i="69" s="1"/>
  <c r="E266" i="69" s="1"/>
  <c r="E279" i="69" s="1"/>
  <c r="D248" i="69"/>
  <c r="D289" i="69" s="1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E148" i="69" s="1"/>
  <c r="E164" i="69" s="1"/>
  <c r="E173" i="69" s="1"/>
  <c r="D130" i="69"/>
  <c r="E111" i="69"/>
  <c r="D111" i="69"/>
  <c r="E89" i="69"/>
  <c r="D89" i="69"/>
  <c r="E64" i="69"/>
  <c r="D64" i="69"/>
  <c r="E35" i="69"/>
  <c r="E65" i="69" s="1"/>
  <c r="E90" i="69" s="1"/>
  <c r="E112" i="69" s="1"/>
  <c r="D35" i="69"/>
  <c r="D209" i="69" l="1"/>
  <c r="Z18" i="65"/>
  <c r="R18" i="65"/>
  <c r="FZ48" i="114"/>
  <c r="AD35" i="118" s="1"/>
  <c r="AD34" i="118"/>
  <c r="AA35" i="118"/>
  <c r="FW48" i="114"/>
  <c r="I17" i="87"/>
  <c r="H21" i="87"/>
  <c r="H17" i="87" s="1"/>
  <c r="E209" i="69"/>
  <c r="E224" i="69" s="1"/>
  <c r="E236" i="69" s="1"/>
  <c r="D65" i="69"/>
  <c r="D90" i="69" s="1"/>
  <c r="D112" i="69" s="1"/>
  <c r="D148" i="69"/>
  <c r="D164" i="69" s="1"/>
  <c r="D173" i="69" s="1"/>
  <c r="E329" i="69"/>
  <c r="D224" i="69"/>
  <c r="D236" i="69" s="1"/>
  <c r="E332" i="69"/>
  <c r="E289" i="69"/>
  <c r="D253" i="69"/>
  <c r="D266" i="69" s="1"/>
  <c r="D279" i="69" s="1"/>
  <c r="N8" i="68"/>
  <c r="H8" i="68"/>
  <c r="F8" i="68"/>
  <c r="F6" i="68"/>
  <c r="H6" i="68" s="1"/>
  <c r="E333" i="69" l="1"/>
  <c r="E334" i="69"/>
  <c r="J6" i="68"/>
  <c r="H9" i="68"/>
  <c r="D13" i="68"/>
  <c r="F9" i="68"/>
  <c r="D10" i="68"/>
  <c r="D11" i="68"/>
  <c r="D12" i="68"/>
  <c r="AV71" i="9"/>
  <c r="AV72" i="9"/>
  <c r="AV70" i="9"/>
  <c r="AW71" i="9"/>
  <c r="AU71" i="9" s="1"/>
  <c r="AW72" i="9"/>
  <c r="AU72" i="9" s="1"/>
  <c r="BB54" i="9" s="1"/>
  <c r="AW70" i="9"/>
  <c r="AU70" i="9" s="1"/>
  <c r="BB52" i="9" s="1"/>
  <c r="AV65" i="9"/>
  <c r="AV66" i="9"/>
  <c r="AW66" i="9"/>
  <c r="AU66" i="9" s="1"/>
  <c r="BB50" i="9" s="1"/>
  <c r="AW65" i="9"/>
  <c r="AU65" i="9" s="1"/>
  <c r="AW64" i="9"/>
  <c r="AW67" i="9" s="1"/>
  <c r="AV64" i="9"/>
  <c r="AV67" i="9" s="1"/>
  <c r="BD52" i="7"/>
  <c r="AZ44" i="8"/>
  <c r="C9" i="67"/>
  <c r="AV14" i="7"/>
  <c r="AX64" i="7"/>
  <c r="P48" i="3"/>
  <c r="AU67" i="9" l="1"/>
  <c r="AU64" i="9"/>
  <c r="BB48" i="9" s="1"/>
  <c r="D15" i="68"/>
  <c r="D14" i="68"/>
  <c r="H10" i="68"/>
  <c r="H13" i="68"/>
  <c r="H12" i="68"/>
  <c r="H11" i="68"/>
  <c r="F11" i="68"/>
  <c r="F10" i="68"/>
  <c r="F13" i="68"/>
  <c r="F12" i="68"/>
  <c r="J9" i="68"/>
  <c r="L6" i="68"/>
  <c r="H15" i="68" l="1"/>
  <c r="D16" i="68"/>
  <c r="F15" i="68"/>
  <c r="H14" i="68"/>
  <c r="F14" i="68"/>
  <c r="F16" i="68" s="1"/>
  <c r="N6" i="68"/>
  <c r="L9" i="68"/>
  <c r="J13" i="68"/>
  <c r="J12" i="68"/>
  <c r="J11" i="68"/>
  <c r="J10" i="68"/>
  <c r="H16" i="68" l="1"/>
  <c r="J15" i="68"/>
  <c r="L12" i="68"/>
  <c r="L11" i="68"/>
  <c r="L10" i="68"/>
  <c r="L13" i="68"/>
  <c r="L15" i="68" s="1"/>
  <c r="P6" i="68"/>
  <c r="N9" i="68"/>
  <c r="J14" i="68"/>
  <c r="J16" i="68" l="1"/>
  <c r="N11" i="68"/>
  <c r="N10" i="68"/>
  <c r="N13" i="68"/>
  <c r="N12" i="68"/>
  <c r="L14" i="68"/>
  <c r="L16" i="68" s="1"/>
  <c r="R6" i="68"/>
  <c r="P9" i="68"/>
  <c r="N15" i="68" l="1"/>
  <c r="N14" i="68"/>
  <c r="P10" i="68"/>
  <c r="P13" i="68"/>
  <c r="P12" i="68"/>
  <c r="P11" i="68"/>
  <c r="N16" i="68"/>
  <c r="R9" i="68"/>
  <c r="T6" i="68"/>
  <c r="T9" i="68" s="1"/>
  <c r="P15" i="68" l="1"/>
  <c r="P14" i="68"/>
  <c r="T12" i="68"/>
  <c r="T11" i="68"/>
  <c r="T10" i="68"/>
  <c r="T13" i="68"/>
  <c r="R13" i="68"/>
  <c r="R12" i="68"/>
  <c r="R11" i="68"/>
  <c r="R10" i="68"/>
  <c r="R15" i="68" l="1"/>
  <c r="P16" i="68"/>
  <c r="T15" i="68"/>
  <c r="R14" i="68"/>
  <c r="R16" i="68" s="1"/>
  <c r="T14" i="68"/>
  <c r="T16" i="68" l="1"/>
  <c r="AW60" i="9"/>
  <c r="AW58" i="9"/>
  <c r="AO28" i="19"/>
  <c r="AO19" i="19"/>
  <c r="BG18" i="19"/>
  <c r="BG16" i="19"/>
  <c r="AO8" i="19"/>
  <c r="AH43" i="6" l="1"/>
  <c r="AH37" i="6"/>
  <c r="AH9" i="6"/>
  <c r="AH11" i="6" s="1"/>
  <c r="AL11" i="6" s="1"/>
  <c r="AL9" i="6" s="1"/>
  <c r="AO23" i="5"/>
  <c r="AP16" i="6"/>
  <c r="AG41" i="5"/>
  <c r="AG38" i="5"/>
  <c r="AG30" i="5"/>
  <c r="AO15" i="5"/>
  <c r="AG8" i="5"/>
  <c r="AG10" i="5" s="1"/>
  <c r="AK10" i="5" s="1"/>
  <c r="AK8" i="5" s="1"/>
  <c r="AK11" i="5" l="1"/>
  <c r="AT8" i="5"/>
  <c r="AL12" i="6"/>
  <c r="AL13" i="6" s="1"/>
  <c r="BC60" i="3"/>
  <c r="BC59" i="3"/>
  <c r="BC50" i="3"/>
  <c r="BC51" i="3"/>
  <c r="BC52" i="3"/>
  <c r="BC53" i="3"/>
  <c r="BC54" i="3"/>
  <c r="BC49" i="3"/>
  <c r="BC48" i="3"/>
  <c r="R58" i="3"/>
  <c r="D13" i="88" l="1"/>
  <c r="AT11" i="5"/>
  <c r="AK12" i="5"/>
  <c r="AD46" i="11"/>
  <c r="BH44" i="11"/>
  <c r="AO29" i="19" l="1"/>
  <c r="AO18" i="19"/>
  <c r="AO16" i="19"/>
  <c r="AH16" i="6"/>
  <c r="N24" i="66" l="1"/>
  <c r="I24" i="66"/>
  <c r="F24" i="66"/>
  <c r="I15" i="66"/>
  <c r="N15" i="66" s="1"/>
  <c r="BC82" i="8"/>
  <c r="F15" i="65"/>
  <c r="F48" i="65"/>
  <c r="I46" i="65"/>
  <c r="N24" i="65"/>
  <c r="I24" i="65"/>
  <c r="F47" i="64"/>
  <c r="N45" i="64"/>
  <c r="N47" i="64" s="1"/>
  <c r="I45" i="64"/>
  <c r="I47" i="64" s="1"/>
  <c r="F24" i="64"/>
  <c r="N24" i="64"/>
  <c r="I24" i="64"/>
  <c r="I17" i="64"/>
  <c r="N15" i="64"/>
  <c r="I47" i="65" l="1"/>
  <c r="N46" i="65" s="1"/>
  <c r="N47" i="65" s="1"/>
  <c r="N48" i="65" s="1"/>
  <c r="N17" i="64"/>
  <c r="B32" i="63"/>
  <c r="B27" i="63"/>
  <c r="B18" i="63"/>
  <c r="C18" i="63" s="1"/>
  <c r="I24" i="61"/>
  <c r="N24" i="61"/>
  <c r="F17" i="61"/>
  <c r="BG131" i="7"/>
  <c r="I17" i="61" l="1"/>
  <c r="B7" i="102"/>
  <c r="D7" i="102" s="1"/>
  <c r="E20" i="87"/>
  <c r="E17" i="87" s="1"/>
  <c r="F17" i="87"/>
  <c r="I48" i="65"/>
  <c r="B19" i="63"/>
  <c r="B20" i="63" s="1"/>
  <c r="C19" i="63"/>
  <c r="C20" i="63" s="1"/>
  <c r="D18" i="63"/>
  <c r="B13" i="63"/>
  <c r="C13" i="63" s="1"/>
  <c r="B8" i="63"/>
  <c r="C8" i="63" s="1"/>
  <c r="C24" i="36"/>
  <c r="G24" i="36" s="1"/>
  <c r="G7" i="36"/>
  <c r="AO20" i="19"/>
  <c r="AG21" i="5"/>
  <c r="AA51" i="3"/>
  <c r="B14" i="63"/>
  <c r="B15" i="63" s="1"/>
  <c r="BT19" i="7"/>
  <c r="F39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C16" i="62" s="1"/>
  <c r="B15" i="62"/>
  <c r="B14" i="62"/>
  <c r="B13" i="62"/>
  <c r="F12" i="62"/>
  <c r="E12" i="62"/>
  <c r="D12" i="62"/>
  <c r="C12" i="62"/>
  <c r="B12" i="62"/>
  <c r="B16" i="62" s="1"/>
  <c r="E9" i="62"/>
  <c r="I9" i="62" s="1"/>
  <c r="I10" i="62" s="1"/>
  <c r="D9" i="62"/>
  <c r="E8" i="62"/>
  <c r="D8" i="62"/>
  <c r="C9" i="62"/>
  <c r="C8" i="62"/>
  <c r="E7" i="62"/>
  <c r="E10" i="62" s="1"/>
  <c r="D7" i="62"/>
  <c r="C7" i="62"/>
  <c r="H9" i="62"/>
  <c r="H10" i="62" s="1"/>
  <c r="G9" i="62"/>
  <c r="F8" i="62"/>
  <c r="F7" i="62"/>
  <c r="C10" i="62"/>
  <c r="B9" i="62"/>
  <c r="B8" i="62"/>
  <c r="B7" i="62"/>
  <c r="B10" i="62" s="1"/>
  <c r="F48" i="61"/>
  <c r="I46" i="61"/>
  <c r="I47" i="61" s="1"/>
  <c r="I48" i="61" s="1"/>
  <c r="AO24" i="19"/>
  <c r="BF35" i="11"/>
  <c r="BF34" i="11"/>
  <c r="BE35" i="11"/>
  <c r="BE34" i="11"/>
  <c r="AT35" i="11"/>
  <c r="AT34" i="11"/>
  <c r="AT60" i="9"/>
  <c r="AG60" i="9"/>
  <c r="Q60" i="9"/>
  <c r="AF18" i="5"/>
  <c r="AG18" i="5" s="1"/>
  <c r="B9" i="77" s="1"/>
  <c r="C9" i="77" s="1"/>
  <c r="H16" i="62" l="1"/>
  <c r="D10" i="62"/>
  <c r="G13" i="62"/>
  <c r="E12" i="75"/>
  <c r="E13" i="75" s="1"/>
  <c r="E14" i="75" s="1"/>
  <c r="E16" i="75" s="1"/>
  <c r="E17" i="75" s="1"/>
  <c r="E11" i="67"/>
  <c r="E12" i="67" s="1"/>
  <c r="E13" i="67" s="1"/>
  <c r="E15" i="67" s="1"/>
  <c r="AO49" i="19" s="1"/>
  <c r="G39" i="61"/>
  <c r="G40" i="61" s="1"/>
  <c r="G43" i="61" s="1"/>
  <c r="H39" i="61"/>
  <c r="N46" i="61"/>
  <c r="N47" i="61" s="1"/>
  <c r="N17" i="61"/>
  <c r="K17" i="61"/>
  <c r="P14" i="61" s="1"/>
  <c r="D20" i="63"/>
  <c r="B9" i="63"/>
  <c r="B10" i="63" s="1"/>
  <c r="D19" i="63"/>
  <c r="D13" i="63"/>
  <c r="C14" i="63"/>
  <c r="C15" i="63" s="1"/>
  <c r="D15" i="63" s="1"/>
  <c r="D8" i="63"/>
  <c r="C9" i="63"/>
  <c r="D16" i="62"/>
  <c r="E16" i="62"/>
  <c r="F9" i="62"/>
  <c r="G10" i="62"/>
  <c r="BF38" i="7" s="1"/>
  <c r="BD38" i="7" s="1"/>
  <c r="F10" i="62"/>
  <c r="G16" i="62" l="1"/>
  <c r="BB37" i="8"/>
  <c r="F13" i="62"/>
  <c r="F16" i="62" s="1"/>
  <c r="N48" i="61"/>
  <c r="P48" i="61"/>
  <c r="B20" i="87"/>
  <c r="B17" i="87" s="1"/>
  <c r="C17" i="87"/>
  <c r="C14" i="77"/>
  <c r="B14" i="77" s="1"/>
  <c r="D14" i="63"/>
  <c r="C10" i="63"/>
  <c r="D10" i="63" s="1"/>
  <c r="D9" i="63"/>
  <c r="Q58" i="3"/>
  <c r="AG58" i="3" s="1"/>
  <c r="Q48" i="3"/>
  <c r="AV64" i="7" s="1"/>
  <c r="Q38" i="3"/>
  <c r="Q42" i="3" s="1"/>
  <c r="Q45" i="3" l="1"/>
  <c r="Q43" i="3" s="1"/>
  <c r="Q47" i="3" s="1"/>
  <c r="E25" i="60"/>
  <c r="E26" i="60"/>
  <c r="E6" i="60"/>
  <c r="E14" i="60" s="1"/>
  <c r="C18" i="36"/>
  <c r="Q58" i="59" l="1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42" i="59" s="1"/>
  <c r="F38" i="59"/>
  <c r="H42" i="59"/>
  <c r="L42" i="59"/>
  <c r="M59" i="59" l="1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W51" i="59"/>
  <c r="W48" i="59" s="1"/>
  <c r="W43" i="59" s="1"/>
  <c r="W47" i="59" s="1"/>
  <c r="AE50" i="59"/>
  <c r="O50" i="59"/>
  <c r="AC49" i="59"/>
  <c r="AE49" i="59" s="1"/>
  <c r="R49" i="59"/>
  <c r="R48" i="59" s="1"/>
  <c r="R43" i="59" s="1"/>
  <c r="R47" i="59" s="1"/>
  <c r="O49" i="59"/>
  <c r="AD48" i="59"/>
  <c r="AA48" i="59"/>
  <c r="Z48" i="59"/>
  <c r="Y48" i="59"/>
  <c r="V48" i="59"/>
  <c r="V43" i="59" s="1"/>
  <c r="V47" i="59" s="1"/>
  <c r="S48" i="59"/>
  <c r="S43" i="59" s="1"/>
  <c r="S47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O21" i="59" s="1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H14" i="59" s="1"/>
  <c r="AF15" i="59"/>
  <c r="W15" i="59"/>
  <c r="W12" i="59" s="1"/>
  <c r="V15" i="59"/>
  <c r="V12" i="59" s="1"/>
  <c r="V9" i="59" s="1"/>
  <c r="V27" i="59" s="1"/>
  <c r="S15" i="59"/>
  <c r="S12" i="59" s="1"/>
  <c r="S14" i="59" s="1"/>
  <c r="P15" i="59"/>
  <c r="P12" i="59" s="1"/>
  <c r="P9" i="59" s="1"/>
  <c r="N15" i="59"/>
  <c r="J15" i="59"/>
  <c r="B15" i="59"/>
  <c r="B12" i="59" s="1"/>
  <c r="AG13" i="59"/>
  <c r="R13" i="59"/>
  <c r="O13" i="59"/>
  <c r="M13" i="59"/>
  <c r="AF12" i="59"/>
  <c r="AF14" i="59" s="1"/>
  <c r="N12" i="59"/>
  <c r="J12" i="59"/>
  <c r="J9" i="59" s="1"/>
  <c r="AG11" i="59"/>
  <c r="R11" i="59"/>
  <c r="AH10" i="59"/>
  <c r="AG10" i="59"/>
  <c r="R10" i="59"/>
  <c r="O10" i="59"/>
  <c r="M10" i="59"/>
  <c r="AZ28" i="8"/>
  <c r="I158" i="57"/>
  <c r="I197" i="57" s="1"/>
  <c r="BD28" i="7" s="1"/>
  <c r="BF28" i="7" s="1"/>
  <c r="I55" i="57"/>
  <c r="I194" i="57"/>
  <c r="BF69" i="7"/>
  <c r="F25" i="61" s="1"/>
  <c r="AO43" i="19"/>
  <c r="AO44" i="19"/>
  <c r="AO45" i="19"/>
  <c r="AO46" i="19"/>
  <c r="AO47" i="19"/>
  <c r="BQ32" i="17"/>
  <c r="CA32" i="17" s="1"/>
  <c r="CD32" i="17" s="1"/>
  <c r="CG32" i="17" s="1"/>
  <c r="BQ33" i="17"/>
  <c r="CA33" i="17" s="1"/>
  <c r="CD33" i="17" s="1"/>
  <c r="CG33" i="17" s="1"/>
  <c r="BQ34" i="17"/>
  <c r="CA34" i="17" s="1"/>
  <c r="CD34" i="17" s="1"/>
  <c r="CG34" i="17" s="1"/>
  <c r="BQ31" i="17"/>
  <c r="CA31" i="17" s="1"/>
  <c r="BQ26" i="17"/>
  <c r="CA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CD25" i="17" s="1"/>
  <c r="I34" i="32"/>
  <c r="I32" i="32"/>
  <c r="I35" i="32" s="1"/>
  <c r="F32" i="32"/>
  <c r="F35" i="32" s="1"/>
  <c r="F38" i="32" s="1"/>
  <c r="G38" i="32" s="1"/>
  <c r="E18" i="74" s="1"/>
  <c r="F30" i="32"/>
  <c r="F34" i="32" s="1"/>
  <c r="B33" i="32"/>
  <c r="H33" i="32" s="1"/>
  <c r="B32" i="32"/>
  <c r="H29" i="32"/>
  <c r="C34" i="32"/>
  <c r="B29" i="32"/>
  <c r="BH38" i="11"/>
  <c r="H63" i="11"/>
  <c r="K63" i="11" s="1"/>
  <c r="H62" i="11"/>
  <c r="K62" i="11" s="1"/>
  <c r="F65" i="11"/>
  <c r="F64" i="11"/>
  <c r="L65" i="11"/>
  <c r="L64" i="11"/>
  <c r="L63" i="11"/>
  <c r="L62" i="11"/>
  <c r="K61" i="11"/>
  <c r="G61" i="11"/>
  <c r="L61" i="11" s="1"/>
  <c r="U29" i="10"/>
  <c r="AF29" i="10" s="1"/>
  <c r="U30" i="10"/>
  <c r="AF30" i="10" s="1"/>
  <c r="U31" i="10"/>
  <c r="AF31" i="10" s="1"/>
  <c r="U28" i="10"/>
  <c r="AF28" i="10" s="1"/>
  <c r="AF33" i="10" s="1"/>
  <c r="AF34" i="10" s="1"/>
  <c r="AA60" i="3"/>
  <c r="AA59" i="3"/>
  <c r="B33" i="73" s="1"/>
  <c r="AB58" i="3"/>
  <c r="AA49" i="3"/>
  <c r="AB48" i="3"/>
  <c r="N58" i="3"/>
  <c r="N57" i="3" s="1"/>
  <c r="X82" i="6"/>
  <c r="Z87" i="6"/>
  <c r="AB87" i="6" s="1"/>
  <c r="AM87" i="6"/>
  <c r="AR87" i="6"/>
  <c r="AX87" i="6"/>
  <c r="Z88" i="6"/>
  <c r="AB88" i="6"/>
  <c r="AC88" i="6"/>
  <c r="AM88" i="6"/>
  <c r="AN88" i="6"/>
  <c r="AO88" i="6"/>
  <c r="AR88" i="6"/>
  <c r="AS88" i="6"/>
  <c r="AT88" i="6"/>
  <c r="AX88" i="6"/>
  <c r="AY88" i="6"/>
  <c r="AB102" i="6"/>
  <c r="AD102" i="6" s="1"/>
  <c r="AC102" i="6"/>
  <c r="AM102" i="6"/>
  <c r="AN102" i="6"/>
  <c r="AO102" i="6"/>
  <c r="AB103" i="6"/>
  <c r="AC103" i="6"/>
  <c r="AD103" i="6" s="1"/>
  <c r="AM103" i="6"/>
  <c r="AN103" i="6"/>
  <c r="AO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 s="1"/>
  <c r="E111" i="56"/>
  <c r="J111" i="56" s="1"/>
  <c r="J121" i="56" s="1"/>
  <c r="F91" i="56"/>
  <c r="E91" i="56"/>
  <c r="E101" i="56" s="1"/>
  <c r="D91" i="56"/>
  <c r="F122" i="56"/>
  <c r="F112" i="56"/>
  <c r="F102" i="56"/>
  <c r="T82" i="56"/>
  <c r="D102" i="56"/>
  <c r="T72" i="56"/>
  <c r="D112" i="56"/>
  <c r="I112" i="56" s="1"/>
  <c r="E19" i="84" l="1"/>
  <c r="B29" i="84"/>
  <c r="B28" i="73"/>
  <c r="C33" i="73"/>
  <c r="B34" i="73"/>
  <c r="B35" i="73" s="1"/>
  <c r="M62" i="11"/>
  <c r="BF29" i="11" s="1"/>
  <c r="BF41" i="11" s="1"/>
  <c r="CG25" i="17"/>
  <c r="CD31" i="17"/>
  <c r="CA30" i="17"/>
  <c r="AT87" i="6"/>
  <c r="AO87" i="6"/>
  <c r="AC87" i="6"/>
  <c r="M63" i="11"/>
  <c r="CA24" i="17"/>
  <c r="CD26" i="17"/>
  <c r="CG26" i="17" s="1"/>
  <c r="AE56" i="59"/>
  <c r="AP102" i="6"/>
  <c r="AP88" i="6"/>
  <c r="AP103" i="6"/>
  <c r="AD88" i="6"/>
  <c r="F36" i="66"/>
  <c r="F37" i="66" s="1"/>
  <c r="AB57" i="3"/>
  <c r="F24" i="61"/>
  <c r="BG64" i="7"/>
  <c r="BG51" i="7" s="1"/>
  <c r="AB40" i="3"/>
  <c r="AB38" i="3" s="1"/>
  <c r="AB45" i="3"/>
  <c r="AB43" i="3" s="1"/>
  <c r="F36" i="64"/>
  <c r="I36" i="64" s="1"/>
  <c r="N36" i="64" s="1"/>
  <c r="P36" i="64" s="1"/>
  <c r="X36" i="64" s="1"/>
  <c r="BB28" i="8"/>
  <c r="BB75" i="8" s="1"/>
  <c r="F38" i="65"/>
  <c r="I38" i="65" s="1"/>
  <c r="B33" i="63"/>
  <c r="BC52" i="8"/>
  <c r="B28" i="63"/>
  <c r="F37" i="61"/>
  <c r="D111" i="56"/>
  <c r="D121" i="56" s="1"/>
  <c r="B30" i="32"/>
  <c r="D30" i="32" s="1"/>
  <c r="D32" i="32"/>
  <c r="H32" i="32"/>
  <c r="J32" i="32" s="1"/>
  <c r="M64" i="11"/>
  <c r="BF32" i="11" s="1"/>
  <c r="M61" i="11"/>
  <c r="BF30" i="11" s="1"/>
  <c r="BF42" i="11" s="1"/>
  <c r="R21" i="59"/>
  <c r="O12" i="59"/>
  <c r="O15" i="59"/>
  <c r="AG21" i="59"/>
  <c r="AA43" i="59"/>
  <c r="AA47" i="59" s="1"/>
  <c r="Y43" i="59"/>
  <c r="Y47" i="59" s="1"/>
  <c r="AH9" i="59"/>
  <c r="AH27" i="59" s="1"/>
  <c r="AE51" i="59"/>
  <c r="N43" i="59"/>
  <c r="R38" i="59"/>
  <c r="R39" i="59" s="1"/>
  <c r="AG15" i="59"/>
  <c r="R15" i="59"/>
  <c r="V44" i="59"/>
  <c r="P59" i="59"/>
  <c r="AE61" i="59"/>
  <c r="M21" i="59"/>
  <c r="AE60" i="59"/>
  <c r="P27" i="59"/>
  <c r="B9" i="59"/>
  <c r="M9" i="59" s="1"/>
  <c r="B14" i="59"/>
  <c r="W14" i="59"/>
  <c r="W9" i="59"/>
  <c r="W27" i="59" s="1"/>
  <c r="AG14" i="59"/>
  <c r="N14" i="59"/>
  <c r="M15" i="59"/>
  <c r="N9" i="59"/>
  <c r="R9" i="59" s="1"/>
  <c r="S9" i="59"/>
  <c r="S27" i="59" s="1"/>
  <c r="AF9" i="59"/>
  <c r="M12" i="59"/>
  <c r="R12" i="59"/>
  <c r="V14" i="59"/>
  <c r="AC48" i="59"/>
  <c r="AE48" i="59" s="1"/>
  <c r="AC59" i="59"/>
  <c r="AC58" i="59" s="1"/>
  <c r="J14" i="59"/>
  <c r="M14" i="59" s="1"/>
  <c r="P14" i="59"/>
  <c r="R44" i="59"/>
  <c r="W44" i="59"/>
  <c r="AG12" i="59"/>
  <c r="S38" i="59"/>
  <c r="S39" i="59" s="1"/>
  <c r="S44" i="59"/>
  <c r="P48" i="59"/>
  <c r="W59" i="59"/>
  <c r="W58" i="59" s="1"/>
  <c r="E121" i="56"/>
  <c r="F113" i="56"/>
  <c r="AQ102" i="6"/>
  <c r="J91" i="56"/>
  <c r="F93" i="56"/>
  <c r="AW88" i="6"/>
  <c r="AZ88" i="6" s="1"/>
  <c r="AQ103" i="6"/>
  <c r="AQ88" i="6"/>
  <c r="AU88" i="6"/>
  <c r="AY87" i="6"/>
  <c r="AW87" i="6"/>
  <c r="AS87" i="6"/>
  <c r="AU87" i="6" s="1"/>
  <c r="AN87" i="6"/>
  <c r="AP87" i="6" s="1"/>
  <c r="AD87" i="6"/>
  <c r="AR103" i="6"/>
  <c r="Y175" i="6"/>
  <c r="Z166" i="6" s="1"/>
  <c r="Y140" i="6"/>
  <c r="Z136" i="6" s="1"/>
  <c r="Y82" i="6"/>
  <c r="V82" i="6" s="1"/>
  <c r="Z82" i="6" s="1"/>
  <c r="Z138" i="6"/>
  <c r="Z134" i="6"/>
  <c r="Z137" i="6"/>
  <c r="Z133" i="6"/>
  <c r="Y184" i="6"/>
  <c r="Z182" i="6" s="1"/>
  <c r="Y164" i="6"/>
  <c r="Z157" i="6" s="1"/>
  <c r="Z169" i="6"/>
  <c r="Z167" i="6"/>
  <c r="S72" i="56"/>
  <c r="I102" i="56"/>
  <c r="S112" i="56"/>
  <c r="F123" i="56"/>
  <c r="S82" i="56"/>
  <c r="C91" i="56"/>
  <c r="I91" i="56"/>
  <c r="I101" i="56" s="1"/>
  <c r="K91" i="56"/>
  <c r="K101" i="56" s="1"/>
  <c r="D92" i="56"/>
  <c r="D101" i="56"/>
  <c r="D103" i="56" s="1"/>
  <c r="F101" i="56"/>
  <c r="F103" i="56" s="1"/>
  <c r="I111" i="56"/>
  <c r="N111" i="56" s="1"/>
  <c r="N121" i="56" s="1"/>
  <c r="K111" i="56"/>
  <c r="K121" i="56" s="1"/>
  <c r="O111" i="56"/>
  <c r="O121" i="56" s="1"/>
  <c r="D122" i="56"/>
  <c r="I122" i="56" s="1"/>
  <c r="F59" i="56"/>
  <c r="F39" i="56"/>
  <c r="F49" i="56"/>
  <c r="F29" i="56"/>
  <c r="F48" i="56"/>
  <c r="K48" i="56" s="1"/>
  <c r="K58" i="56" s="1"/>
  <c r="F28" i="56"/>
  <c r="D48" i="56"/>
  <c r="D58" i="56" s="1"/>
  <c r="D28" i="56"/>
  <c r="F58" i="56"/>
  <c r="F60" i="56" s="1"/>
  <c r="T19" i="56"/>
  <c r="T9" i="56"/>
  <c r="D8" i="56"/>
  <c r="F8" i="56"/>
  <c r="K8" i="56" s="1"/>
  <c r="BC92" i="8"/>
  <c r="BB92" i="8"/>
  <c r="F25" i="65" s="1"/>
  <c r="F24" i="65" s="1"/>
  <c r="BC85" i="8"/>
  <c r="BC75" i="8"/>
  <c r="AY92" i="8"/>
  <c r="AX92" i="8"/>
  <c r="AY85" i="8"/>
  <c r="AX85" i="8"/>
  <c r="AY75" i="8"/>
  <c r="AU92" i="8"/>
  <c r="AT92" i="8"/>
  <c r="AS92" i="8"/>
  <c r="AR92" i="8"/>
  <c r="AQ92" i="8"/>
  <c r="AP92" i="8"/>
  <c r="AL92" i="8"/>
  <c r="AU89" i="8"/>
  <c r="AR89" i="8"/>
  <c r="AN89" i="8"/>
  <c r="AM89" i="8"/>
  <c r="AL89" i="8"/>
  <c r="AU85" i="8"/>
  <c r="AT85" i="8"/>
  <c r="AR85" i="8"/>
  <c r="AQ85" i="8"/>
  <c r="AO85" i="8"/>
  <c r="AN85" i="8"/>
  <c r="AM85" i="8"/>
  <c r="AL85" i="8"/>
  <c r="AP81" i="8"/>
  <c r="AS77" i="8"/>
  <c r="AP77" i="8"/>
  <c r="AU75" i="8"/>
  <c r="AT75" i="8"/>
  <c r="AR75" i="8"/>
  <c r="AQ75" i="8"/>
  <c r="AK92" i="8"/>
  <c r="AK85" i="8"/>
  <c r="AH92" i="8"/>
  <c r="AH89" i="8"/>
  <c r="AG89" i="8"/>
  <c r="AH87" i="8"/>
  <c r="AG87" i="8"/>
  <c r="AH85" i="8"/>
  <c r="AG85" i="8"/>
  <c r="AH81" i="8"/>
  <c r="AG81" i="8"/>
  <c r="AH80" i="8"/>
  <c r="AG80" i="8"/>
  <c r="AH79" i="8"/>
  <c r="AG79" i="8"/>
  <c r="AH78" i="8"/>
  <c r="AG78" i="8"/>
  <c r="AH77" i="8"/>
  <c r="AG77" i="8"/>
  <c r="AH76" i="8"/>
  <c r="AG76" i="8"/>
  <c r="AH75" i="8"/>
  <c r="AG75" i="8"/>
  <c r="AH74" i="8"/>
  <c r="AG74" i="8"/>
  <c r="AH73" i="8"/>
  <c r="AG73" i="8"/>
  <c r="AG86" i="8" s="1"/>
  <c r="AE92" i="8"/>
  <c r="AD92" i="8"/>
  <c r="AC92" i="8"/>
  <c r="AB92" i="8"/>
  <c r="AA92" i="8"/>
  <c r="AE89" i="8"/>
  <c r="AD89" i="8"/>
  <c r="AA89" i="8"/>
  <c r="AE87" i="8"/>
  <c r="AE85" i="8"/>
  <c r="AD85" i="8"/>
  <c r="AC85" i="8"/>
  <c r="AB85" i="8"/>
  <c r="AA85" i="8"/>
  <c r="Z85" i="8"/>
  <c r="Y85" i="8"/>
  <c r="AE81" i="8"/>
  <c r="AA81" i="8"/>
  <c r="Y81" i="8"/>
  <c r="AE80" i="8"/>
  <c r="AE79" i="8"/>
  <c r="AE78" i="8"/>
  <c r="AE77" i="8"/>
  <c r="AB77" i="8"/>
  <c r="AE76" i="8"/>
  <c r="AB76" i="8"/>
  <c r="AE75" i="8"/>
  <c r="AD75" i="8"/>
  <c r="AC75" i="8"/>
  <c r="AA75" i="8"/>
  <c r="AE74" i="8"/>
  <c r="AE73" i="8"/>
  <c r="W92" i="8"/>
  <c r="W89" i="8"/>
  <c r="W74" i="8"/>
  <c r="W85" i="8"/>
  <c r="W81" i="8"/>
  <c r="W79" i="8"/>
  <c r="W78" i="8"/>
  <c r="W77" i="8"/>
  <c r="W76" i="8"/>
  <c r="W75" i="8"/>
  <c r="W73" i="8"/>
  <c r="BG143" i="7"/>
  <c r="BF143" i="7"/>
  <c r="BG140" i="7"/>
  <c r="BG134" i="7"/>
  <c r="BG127" i="7"/>
  <c r="BG124" i="7"/>
  <c r="BF124" i="7"/>
  <c r="BC143" i="7"/>
  <c r="BB143" i="7"/>
  <c r="BC134" i="7"/>
  <c r="BC127" i="7"/>
  <c r="BC124" i="7"/>
  <c r="AY143" i="7"/>
  <c r="AY140" i="7"/>
  <c r="AY134" i="7"/>
  <c r="AX134" i="7"/>
  <c r="AW134" i="7"/>
  <c r="AY127" i="7"/>
  <c r="AW126" i="7"/>
  <c r="AY124" i="7"/>
  <c r="AX124" i="7"/>
  <c r="AV143" i="7"/>
  <c r="AV140" i="7"/>
  <c r="AV134" i="7"/>
  <c r="AU134" i="7"/>
  <c r="AT134" i="7"/>
  <c r="AT130" i="7"/>
  <c r="AV127" i="7"/>
  <c r="AT126" i="7"/>
  <c r="AV124" i="7"/>
  <c r="AU124" i="7"/>
  <c r="AO143" i="7"/>
  <c r="AN143" i="7"/>
  <c r="AO134" i="7"/>
  <c r="AN134" i="7"/>
  <c r="AO127" i="7"/>
  <c r="AO124" i="7"/>
  <c r="AK143" i="7"/>
  <c r="AJ143" i="7"/>
  <c r="AK140" i="7"/>
  <c r="AJ140" i="7"/>
  <c r="AK136" i="7"/>
  <c r="AJ136" i="7"/>
  <c r="AK134" i="7"/>
  <c r="AJ134" i="7"/>
  <c r="AK130" i="7"/>
  <c r="AJ130" i="7"/>
  <c r="AK128" i="7"/>
  <c r="AJ128" i="7"/>
  <c r="AK127" i="7"/>
  <c r="AJ127" i="7"/>
  <c r="AK126" i="7"/>
  <c r="AK125" i="7"/>
  <c r="AJ125" i="7"/>
  <c r="AK124" i="7"/>
  <c r="AJ124" i="7"/>
  <c r="AK123" i="7"/>
  <c r="AJ123" i="7"/>
  <c r="AK121" i="7"/>
  <c r="AJ121" i="7"/>
  <c r="AG143" i="7"/>
  <c r="AF143" i="7"/>
  <c r="AG140" i="7"/>
  <c r="AF140" i="7"/>
  <c r="AG134" i="7"/>
  <c r="AF134" i="7"/>
  <c r="AG127" i="7"/>
  <c r="AG124" i="7"/>
  <c r="AE143" i="7"/>
  <c r="AE140" i="7"/>
  <c r="AE134" i="7"/>
  <c r="AE128" i="7"/>
  <c r="AE126" i="7"/>
  <c r="AD143" i="7"/>
  <c r="AB143" i="7"/>
  <c r="AD140" i="7"/>
  <c r="AD134" i="7"/>
  <c r="AC134" i="7"/>
  <c r="AB134" i="7"/>
  <c r="AA134" i="7"/>
  <c r="AD130" i="7"/>
  <c r="AA130" i="7"/>
  <c r="AD127" i="7"/>
  <c r="Y143" i="7"/>
  <c r="Y134" i="7"/>
  <c r="Y130" i="7"/>
  <c r="Y128" i="7"/>
  <c r="Y127" i="7"/>
  <c r="Y126" i="7"/>
  <c r="Y125" i="7"/>
  <c r="Y124" i="7"/>
  <c r="Y123" i="7"/>
  <c r="Y121" i="7"/>
  <c r="X120" i="7"/>
  <c r="W120" i="7"/>
  <c r="AH118" i="7"/>
  <c r="AZ60" i="8"/>
  <c r="BA59" i="8"/>
  <c r="BA53" i="8"/>
  <c r="AV60" i="8"/>
  <c r="AV92" i="8" s="1"/>
  <c r="AT56" i="8"/>
  <c r="AS56" i="8" s="1"/>
  <c r="AS89" i="8" s="1"/>
  <c r="AQ56" i="8"/>
  <c r="AQ89" i="8" s="1"/>
  <c r="AS50" i="8"/>
  <c r="AS85" i="8" s="1"/>
  <c r="AP50" i="8"/>
  <c r="AP85" i="8" s="1"/>
  <c r="AP42" i="8"/>
  <c r="AP80" i="8" s="1"/>
  <c r="AU34" i="8"/>
  <c r="AR34" i="8"/>
  <c r="AU8" i="8"/>
  <c r="AR8" i="8"/>
  <c r="AV85" i="8"/>
  <c r="AD45" i="8"/>
  <c r="AW50" i="7"/>
  <c r="AW129" i="7" s="1"/>
  <c r="AT50" i="7"/>
  <c r="AT129" i="7" s="1"/>
  <c r="AV17" i="7"/>
  <c r="AY17" i="7"/>
  <c r="AE50" i="7"/>
  <c r="AE129" i="7" s="1"/>
  <c r="AG17" i="7"/>
  <c r="AF38" i="7"/>
  <c r="AF124" i="7" s="1"/>
  <c r="BB43" i="8"/>
  <c r="AX43" i="8"/>
  <c r="AT43" i="8"/>
  <c r="AQ43" i="8"/>
  <c r="AZ52" i="7"/>
  <c r="BF33" i="11" l="1"/>
  <c r="BF43" i="11"/>
  <c r="CG24" i="17"/>
  <c r="C34" i="73"/>
  <c r="D33" i="73"/>
  <c r="D29" i="84"/>
  <c r="BA88" i="6"/>
  <c r="CD30" i="17"/>
  <c r="CG31" i="17"/>
  <c r="CG30" i="17" s="1"/>
  <c r="CD24" i="17"/>
  <c r="C28" i="73"/>
  <c r="B29" i="73"/>
  <c r="B30" i="73" s="1"/>
  <c r="G19" i="84"/>
  <c r="I36" i="66"/>
  <c r="N36" i="66" s="1"/>
  <c r="AZ92" i="8"/>
  <c r="U11" i="70"/>
  <c r="I37" i="66"/>
  <c r="N37" i="66" s="1"/>
  <c r="N37" i="61"/>
  <c r="C111" i="56"/>
  <c r="D113" i="56"/>
  <c r="G32" i="32"/>
  <c r="H30" i="32"/>
  <c r="J30" i="32" s="1"/>
  <c r="C33" i="63"/>
  <c r="B34" i="63"/>
  <c r="B35" i="63" s="1"/>
  <c r="C28" i="63"/>
  <c r="B29" i="63"/>
  <c r="B30" i="63" s="1"/>
  <c r="H65" i="11"/>
  <c r="M65" i="11" s="1"/>
  <c r="N38" i="59"/>
  <c r="N44" i="59"/>
  <c r="N47" i="59"/>
  <c r="O43" i="59"/>
  <c r="O14" i="59"/>
  <c r="AE59" i="59"/>
  <c r="P43" i="59"/>
  <c r="P47" i="59" s="1"/>
  <c r="AG9" i="59"/>
  <c r="AF27" i="59"/>
  <c r="AC44" i="59"/>
  <c r="N27" i="59"/>
  <c r="O9" i="59"/>
  <c r="O27" i="59" s="1"/>
  <c r="I48" i="56"/>
  <c r="I58" i="56" s="1"/>
  <c r="Z171" i="6"/>
  <c r="AQ87" i="6"/>
  <c r="BA87" i="6"/>
  <c r="J101" i="56"/>
  <c r="O91" i="56"/>
  <c r="O101" i="56" s="1"/>
  <c r="F50" i="56"/>
  <c r="Z173" i="6"/>
  <c r="Z135" i="6"/>
  <c r="Z139" i="6"/>
  <c r="Z140" i="6" s="1"/>
  <c r="AZ87" i="6"/>
  <c r="AV88" i="6"/>
  <c r="AB82" i="6"/>
  <c r="AN82" i="6"/>
  <c r="AR82" i="6"/>
  <c r="AT82" i="6"/>
  <c r="AX82" i="6"/>
  <c r="AC82" i="6"/>
  <c r="AO82" i="6"/>
  <c r="AS82" i="6"/>
  <c r="AW82" i="6"/>
  <c r="AM82" i="6"/>
  <c r="AY82" i="6"/>
  <c r="AT103" i="6"/>
  <c r="AX103" i="6"/>
  <c r="AS103" i="6"/>
  <c r="AU103" i="6" s="1"/>
  <c r="AV103" i="6" s="1"/>
  <c r="AW103" i="6"/>
  <c r="AY103" i="6"/>
  <c r="Z142" i="6"/>
  <c r="Z145" i="6"/>
  <c r="Z168" i="6"/>
  <c r="Z170" i="6"/>
  <c r="Z172" i="6"/>
  <c r="Z174" i="6"/>
  <c r="Z158" i="6"/>
  <c r="Z161" i="6"/>
  <c r="AV87" i="6"/>
  <c r="Z146" i="6"/>
  <c r="Z162" i="6"/>
  <c r="Z149" i="6"/>
  <c r="Z150" i="6"/>
  <c r="Z151" i="6"/>
  <c r="Z152" i="6"/>
  <c r="Z153" i="6"/>
  <c r="Z154" i="6"/>
  <c r="Z155" i="6"/>
  <c r="Z156" i="6"/>
  <c r="Z179" i="6"/>
  <c r="Z183" i="6"/>
  <c r="Z180" i="6"/>
  <c r="Z144" i="6"/>
  <c r="Z148" i="6"/>
  <c r="Z160" i="6"/>
  <c r="Z177" i="6"/>
  <c r="Z181" i="6"/>
  <c r="Z143" i="6"/>
  <c r="Z147" i="6"/>
  <c r="Z159" i="6"/>
  <c r="Z163" i="6"/>
  <c r="Z178" i="6"/>
  <c r="AE86" i="8"/>
  <c r="AE88" i="8" s="1"/>
  <c r="AF85" i="8"/>
  <c r="D123" i="56"/>
  <c r="S122" i="56"/>
  <c r="I103" i="56"/>
  <c r="N103" i="56" s="1"/>
  <c r="S102" i="56"/>
  <c r="I113" i="56"/>
  <c r="I121" i="56"/>
  <c r="I123" i="56" s="1"/>
  <c r="H111" i="56"/>
  <c r="H121" i="56" s="1"/>
  <c r="C121" i="56"/>
  <c r="I92" i="56"/>
  <c r="D93" i="56"/>
  <c r="C101" i="56"/>
  <c r="H91" i="56"/>
  <c r="H101" i="56" s="1"/>
  <c r="P91" i="56"/>
  <c r="P111" i="56"/>
  <c r="N91" i="56"/>
  <c r="N101" i="56" s="1"/>
  <c r="F30" i="56"/>
  <c r="P48" i="56"/>
  <c r="I28" i="56"/>
  <c r="N28" i="56" s="1"/>
  <c r="N38" i="56" s="1"/>
  <c r="K28" i="56"/>
  <c r="D38" i="56"/>
  <c r="F38" i="56"/>
  <c r="F40" i="56" s="1"/>
  <c r="K18" i="56"/>
  <c r="D18" i="56"/>
  <c r="F18" i="56"/>
  <c r="F20" i="56" s="1"/>
  <c r="P8" i="56"/>
  <c r="D11" i="56"/>
  <c r="F10" i="56"/>
  <c r="I8" i="56"/>
  <c r="I18" i="56" s="1"/>
  <c r="D10" i="56"/>
  <c r="I9" i="56"/>
  <c r="AF81" i="8"/>
  <c r="AT89" i="8"/>
  <c r="AP56" i="8"/>
  <c r="AP89" i="8" s="1"/>
  <c r="AH86" i="8"/>
  <c r="AH90" i="8" s="1"/>
  <c r="AG90" i="8"/>
  <c r="AG88" i="8"/>
  <c r="AS42" i="8"/>
  <c r="AS80" i="8" s="1"/>
  <c r="AZ54" i="7"/>
  <c r="G16" i="32"/>
  <c r="AS46" i="8"/>
  <c r="AS81" i="8" s="1"/>
  <c r="AB46" i="8"/>
  <c r="AB81" i="8" s="1"/>
  <c r="AE56" i="7"/>
  <c r="AE130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59" i="8"/>
  <c r="AW53" i="8"/>
  <c r="AT30" i="8"/>
  <c r="AQ30" i="8"/>
  <c r="AY14" i="8"/>
  <c r="AT14" i="8"/>
  <c r="AQ14" i="8"/>
  <c r="AS38" i="8"/>
  <c r="AS40" i="8" s="1"/>
  <c r="AP38" i="8"/>
  <c r="AQ38" i="8" s="1"/>
  <c r="AS29" i="8"/>
  <c r="AP29" i="8"/>
  <c r="AQ29" i="8" s="1"/>
  <c r="AS23" i="8"/>
  <c r="AS25" i="8" s="1"/>
  <c r="AP23" i="8"/>
  <c r="AP25" i="8" s="1"/>
  <c r="AS13" i="8"/>
  <c r="AP13" i="8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C29" i="73" l="1"/>
  <c r="D28" i="73"/>
  <c r="C35" i="73"/>
  <c r="D35" i="73" s="1"/>
  <c r="F32" i="73" s="1"/>
  <c r="D34" i="73"/>
  <c r="AD82" i="6"/>
  <c r="N113" i="56"/>
  <c r="N112" i="56" s="1"/>
  <c r="AZ50" i="7"/>
  <c r="AZ129" i="7" s="1"/>
  <c r="G30" i="32"/>
  <c r="D28" i="63"/>
  <c r="C29" i="63"/>
  <c r="D33" i="63"/>
  <c r="C34" i="63"/>
  <c r="BF31" i="11"/>
  <c r="AE90" i="8"/>
  <c r="AE93" i="8" s="1"/>
  <c r="N48" i="56"/>
  <c r="N58" i="56" s="1"/>
  <c r="AU82" i="6"/>
  <c r="AE58" i="59"/>
  <c r="O38" i="59"/>
  <c r="N39" i="59"/>
  <c r="N42" i="59"/>
  <c r="AC43" i="59"/>
  <c r="AC47" i="59" s="1"/>
  <c r="AE44" i="59"/>
  <c r="P44" i="59"/>
  <c r="P38" i="59"/>
  <c r="BA103" i="6"/>
  <c r="M111" i="56"/>
  <c r="M121" i="56" s="1"/>
  <c r="BA82" i="6"/>
  <c r="AZ82" i="6"/>
  <c r="Z175" i="6"/>
  <c r="AZ103" i="6"/>
  <c r="AP82" i="6"/>
  <c r="AQ82" i="6" s="1"/>
  <c r="Z164" i="6"/>
  <c r="Z184" i="6"/>
  <c r="AS79" i="8"/>
  <c r="AH88" i="8"/>
  <c r="AT128" i="7"/>
  <c r="M91" i="56"/>
  <c r="N102" i="56"/>
  <c r="P121" i="56"/>
  <c r="P101" i="56"/>
  <c r="M101" i="56"/>
  <c r="I93" i="56"/>
  <c r="N93" i="56" s="1"/>
  <c r="N92" i="56" s="1"/>
  <c r="S92" i="56"/>
  <c r="N123" i="56"/>
  <c r="N122" i="56" s="1"/>
  <c r="D49" i="56"/>
  <c r="D29" i="56"/>
  <c r="I38" i="56"/>
  <c r="P58" i="56"/>
  <c r="K38" i="56"/>
  <c r="P28" i="56"/>
  <c r="P18" i="56"/>
  <c r="N8" i="56"/>
  <c r="I10" i="56"/>
  <c r="N10" i="56" s="1"/>
  <c r="S9" i="56"/>
  <c r="AT38" i="8"/>
  <c r="AT40" i="8" s="1"/>
  <c r="AQ40" i="8"/>
  <c r="AT13" i="8"/>
  <c r="AT15" i="8" s="1"/>
  <c r="AS76" i="8"/>
  <c r="AY8" i="8"/>
  <c r="AQ13" i="8"/>
  <c r="AP76" i="8"/>
  <c r="AC31" i="8"/>
  <c r="AC40" i="8"/>
  <c r="AP79" i="8"/>
  <c r="AH93" i="8"/>
  <c r="AH94" i="8" s="1"/>
  <c r="AH91" i="8"/>
  <c r="AG91" i="8"/>
  <c r="AS15" i="8"/>
  <c r="AQ31" i="8"/>
  <c r="AS31" i="8"/>
  <c r="AP40" i="8"/>
  <c r="AT29" i="8"/>
  <c r="AT31" i="8" s="1"/>
  <c r="AP15" i="8"/>
  <c r="AP31" i="8"/>
  <c r="AT33" i="7"/>
  <c r="AT41" i="7"/>
  <c r="AW25" i="7"/>
  <c r="AT23" i="7"/>
  <c r="AT25" i="7" s="1"/>
  <c r="AE23" i="7"/>
  <c r="AF23" i="7" s="1"/>
  <c r="AT13" i="7"/>
  <c r="AE13" i="7"/>
  <c r="AZ37" i="8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Z12" i="8"/>
  <c r="AS12" i="8"/>
  <c r="AP12" i="8"/>
  <c r="AB12" i="8"/>
  <c r="AE28" i="7"/>
  <c r="BB22" i="7"/>
  <c r="AZ22" i="7" s="1"/>
  <c r="BB12" i="7"/>
  <c r="AE22" i="7"/>
  <c r="BD12" i="7"/>
  <c r="AT12" i="7"/>
  <c r="AE11" i="7"/>
  <c r="AE12" i="7"/>
  <c r="AZ35" i="8"/>
  <c r="BB35" i="8" s="1"/>
  <c r="AV35" i="8"/>
  <c r="AX35" i="8" s="1"/>
  <c r="AS35" i="8"/>
  <c r="AP35" i="8"/>
  <c r="AB35" i="8"/>
  <c r="AC35" i="8" s="1"/>
  <c r="AZ32" i="8"/>
  <c r="BB32" i="8" s="1"/>
  <c r="AV32" i="8"/>
  <c r="AZ36" i="7"/>
  <c r="AS32" i="8"/>
  <c r="AT32" i="8" s="1"/>
  <c r="AP32" i="8"/>
  <c r="AQ32" i="8" s="1"/>
  <c r="AB32" i="8"/>
  <c r="AC32" i="8" s="1"/>
  <c r="AZ20" i="8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P9" i="8"/>
  <c r="AB9" i="8"/>
  <c r="AC9" i="8" s="1"/>
  <c r="BC87" i="8"/>
  <c r="AY52" i="8"/>
  <c r="AY87" i="8" s="1"/>
  <c r="AU52" i="8"/>
  <c r="AU87" i="8" s="1"/>
  <c r="AR52" i="8"/>
  <c r="AR87" i="8" s="1"/>
  <c r="AD52" i="8"/>
  <c r="AD87" i="8" s="1"/>
  <c r="AC56" i="8"/>
  <c r="AC43" i="8"/>
  <c r="AB41" i="8"/>
  <c r="AC41" i="8" s="1"/>
  <c r="AD34" i="8"/>
  <c r="AB33" i="8"/>
  <c r="AB26" i="8"/>
  <c r="AB25" i="8"/>
  <c r="AB16" i="8"/>
  <c r="AD8" i="8"/>
  <c r="AU18" i="7"/>
  <c r="AT9" i="7"/>
  <c r="AE18" i="7"/>
  <c r="AF18" i="7" s="1"/>
  <c r="AE9" i="7"/>
  <c r="BG136" i="7"/>
  <c r="BC64" i="7"/>
  <c r="BC136" i="7" s="1"/>
  <c r="AG64" i="7"/>
  <c r="AG136" i="7" s="1"/>
  <c r="AV136" i="7"/>
  <c r="BD69" i="7"/>
  <c r="BD37" i="7"/>
  <c r="BD30" i="7"/>
  <c r="BD22" i="7"/>
  <c r="BD21" i="7"/>
  <c r="AZ69" i="7"/>
  <c r="AZ143" i="7" s="1"/>
  <c r="AZ38" i="7"/>
  <c r="AZ37" i="7"/>
  <c r="AZ30" i="7"/>
  <c r="AZ21" i="7"/>
  <c r="AX143" i="7"/>
  <c r="AW69" i="7"/>
  <c r="AW143" i="7" s="1"/>
  <c r="AX66" i="7"/>
  <c r="AX140" i="7" s="1"/>
  <c r="AW66" i="7"/>
  <c r="AW140" i="7" s="1"/>
  <c r="AU143" i="7"/>
  <c r="AT143" i="7"/>
  <c r="AU66" i="7"/>
  <c r="AU140" i="7" s="1"/>
  <c r="AT140" i="7"/>
  <c r="AE33" i="7"/>
  <c r="AF21" i="7"/>
  <c r="BQ30" i="17"/>
  <c r="BQ24" i="17"/>
  <c r="BM30" i="17"/>
  <c r="BM24" i="17"/>
  <c r="BJ34" i="17"/>
  <c r="BJ33" i="17"/>
  <c r="BJ32" i="17"/>
  <c r="BJ31" i="17"/>
  <c r="BJ28" i="17"/>
  <c r="BJ27" i="17"/>
  <c r="BJ26" i="17"/>
  <c r="BJ25" i="17"/>
  <c r="BK30" i="17"/>
  <c r="BI30" i="17"/>
  <c r="BK24" i="17"/>
  <c r="BI24" i="17"/>
  <c r="BF34" i="17"/>
  <c r="BF33" i="17"/>
  <c r="BF32" i="17"/>
  <c r="BF31" i="17"/>
  <c r="BF28" i="17"/>
  <c r="BF27" i="17"/>
  <c r="BF26" i="17"/>
  <c r="BF25" i="17"/>
  <c r="BG30" i="17"/>
  <c r="BE30" i="17"/>
  <c r="BG24" i="17"/>
  <c r="BE24" i="17"/>
  <c r="AR34" i="17"/>
  <c r="AR33" i="17"/>
  <c r="AR32" i="17"/>
  <c r="AR31" i="17"/>
  <c r="AR28" i="17"/>
  <c r="AR27" i="17"/>
  <c r="AR26" i="17"/>
  <c r="AR25" i="17"/>
  <c r="AS30" i="17"/>
  <c r="AS24" i="17"/>
  <c r="AQ30" i="17"/>
  <c r="AQ24" i="17"/>
  <c r="G25" i="36"/>
  <c r="BB50" i="8" s="1"/>
  <c r="G14" i="36"/>
  <c r="BF60" i="7" s="1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L26" i="6" s="1"/>
  <c r="AL25" i="6" s="1"/>
  <c r="AL45" i="6" s="1"/>
  <c r="AL46" i="6" s="1"/>
  <c r="AG21" i="6"/>
  <c r="AG19" i="6"/>
  <c r="AH19" i="6" s="1"/>
  <c r="F9" i="77" s="1"/>
  <c r="E9" i="77" s="1"/>
  <c r="AF25" i="6"/>
  <c r="AE25" i="6"/>
  <c r="AF18" i="6"/>
  <c r="AF45" i="6" s="1"/>
  <c r="AE18" i="6"/>
  <c r="AF13" i="6"/>
  <c r="AE13" i="6"/>
  <c r="AA25" i="6"/>
  <c r="AA18" i="6"/>
  <c r="AA13" i="6"/>
  <c r="AH13" i="6" s="1"/>
  <c r="AH12" i="6" s="1"/>
  <c r="AF44" i="5"/>
  <c r="AG44" i="5" s="1"/>
  <c r="AF43" i="5"/>
  <c r="AG43" i="5" s="1"/>
  <c r="AF39" i="5"/>
  <c r="AG39" i="5" s="1"/>
  <c r="AF38" i="5"/>
  <c r="AF37" i="5"/>
  <c r="AF36" i="5"/>
  <c r="AF35" i="5"/>
  <c r="AG35" i="5" s="1"/>
  <c r="AF34" i="5"/>
  <c r="AG34" i="5" s="1"/>
  <c r="AF33" i="5"/>
  <c r="AG33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4" i="3"/>
  <c r="AC53" i="3"/>
  <c r="AA52" i="3"/>
  <c r="E8" i="56"/>
  <c r="AJ48" i="9"/>
  <c r="AY55" i="9"/>
  <c r="AY51" i="9"/>
  <c r="AG62" i="9"/>
  <c r="AE54" i="9"/>
  <c r="AE52" i="9"/>
  <c r="AE50" i="9"/>
  <c r="AE48" i="9"/>
  <c r="BG43" i="11"/>
  <c r="BG41" i="11"/>
  <c r="BG30" i="11"/>
  <c r="BC31" i="11"/>
  <c r="BC38" i="11"/>
  <c r="AZ40" i="11"/>
  <c r="AZ30" i="11" s="1"/>
  <c r="AV40" i="11"/>
  <c r="AV32" i="11" s="1"/>
  <c r="AR40" i="11"/>
  <c r="AR32" i="11" s="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 s="1"/>
  <c r="AD40" i="11"/>
  <c r="AF43" i="11"/>
  <c r="AF42" i="11"/>
  <c r="AF41" i="11"/>
  <c r="AF33" i="11"/>
  <c r="AF32" i="11"/>
  <c r="AF31" i="11"/>
  <c r="AF30" i="11"/>
  <c r="AF29" i="11"/>
  <c r="U33" i="10"/>
  <c r="T33" i="10"/>
  <c r="R33" i="10"/>
  <c r="Q33" i="10"/>
  <c r="N34" i="10"/>
  <c r="K34" i="10"/>
  <c r="L33" i="10"/>
  <c r="L27" i="10"/>
  <c r="K191" i="52"/>
  <c r="BB28" i="7" s="1"/>
  <c r="E22" i="32"/>
  <c r="G22" i="32" s="1"/>
  <c r="E23" i="32"/>
  <c r="E20" i="32"/>
  <c r="G20" i="32" s="1"/>
  <c r="E10" i="32"/>
  <c r="E9" i="32"/>
  <c r="G9" i="32" s="1"/>
  <c r="E7" i="32"/>
  <c r="G7" i="32" s="1"/>
  <c r="F24" i="32"/>
  <c r="AA58" i="3"/>
  <c r="BD60" i="72" s="1"/>
  <c r="S58" i="3"/>
  <c r="P58" i="3"/>
  <c r="K58" i="3"/>
  <c r="AC50" i="3"/>
  <c r="AC46" i="3"/>
  <c r="AC41" i="3"/>
  <c r="AC40" i="3"/>
  <c r="AA45" i="3"/>
  <c r="AC45" i="3" s="1"/>
  <c r="T45" i="3"/>
  <c r="T44" i="3"/>
  <c r="AZ56" i="72"/>
  <c r="AU64" i="7"/>
  <c r="AU136" i="7" s="1"/>
  <c r="P45" i="3"/>
  <c r="P44" i="3"/>
  <c r="P38" i="3"/>
  <c r="K48" i="3"/>
  <c r="K45" i="3"/>
  <c r="K44" i="3"/>
  <c r="K38" i="3"/>
  <c r="AL49" i="19"/>
  <c r="AL47" i="19"/>
  <c r="AL46" i="19"/>
  <c r="AL45" i="19"/>
  <c r="AL44" i="19"/>
  <c r="AL43" i="19"/>
  <c r="AL24" i="19"/>
  <c r="AL9" i="19"/>
  <c r="AK49" i="19"/>
  <c r="AK47" i="19"/>
  <c r="AK46" i="19"/>
  <c r="AK45" i="19"/>
  <c r="AK44" i="19"/>
  <c r="AK43" i="19"/>
  <c r="AK24" i="19"/>
  <c r="AK9" i="19"/>
  <c r="AB52" i="8" l="1"/>
  <c r="AB87" i="8" s="1"/>
  <c r="C13" i="88"/>
  <c r="D5" i="80"/>
  <c r="K62" i="3"/>
  <c r="F32" i="79"/>
  <c r="G23" i="81"/>
  <c r="G32" i="79"/>
  <c r="F36" i="79" s="1"/>
  <c r="F37" i="79" s="1"/>
  <c r="V22" i="82"/>
  <c r="R62" i="3"/>
  <c r="AV73" i="9"/>
  <c r="BB85" i="8"/>
  <c r="F21" i="65" s="1"/>
  <c r="AZ50" i="8"/>
  <c r="AZ85" i="8" s="1"/>
  <c r="AF64" i="7"/>
  <c r="AF136" i="7" s="1"/>
  <c r="C5" i="88"/>
  <c r="B6" i="88" s="1"/>
  <c r="D3" i="80"/>
  <c r="F5" i="79"/>
  <c r="E20" i="84"/>
  <c r="B30" i="84"/>
  <c r="AW73" i="9"/>
  <c r="AU73" i="9" s="1"/>
  <c r="AG26" i="5"/>
  <c r="AK27" i="5"/>
  <c r="AL49" i="6"/>
  <c r="AL50" i="6"/>
  <c r="AL47" i="6"/>
  <c r="AL48" i="6"/>
  <c r="C30" i="73"/>
  <c r="D30" i="73" s="1"/>
  <c r="F27" i="73" s="1"/>
  <c r="F46" i="73" s="1"/>
  <c r="D29" i="73"/>
  <c r="O15" i="70"/>
  <c r="O19" i="70" s="1"/>
  <c r="AS75" i="8"/>
  <c r="R15" i="70"/>
  <c r="R19" i="70" s="1"/>
  <c r="U10" i="70"/>
  <c r="U12" i="70" s="1"/>
  <c r="U20" i="70" s="1"/>
  <c r="BJ24" i="17"/>
  <c r="BJ37" i="17" s="1"/>
  <c r="BJ30" i="17"/>
  <c r="AZ74" i="8"/>
  <c r="D12" i="75"/>
  <c r="D13" i="75" s="1"/>
  <c r="D14" i="75" s="1"/>
  <c r="D16" i="75" s="1"/>
  <c r="D17" i="75" s="1"/>
  <c r="D11" i="67"/>
  <c r="D12" i="67" s="1"/>
  <c r="D13" i="67" s="1"/>
  <c r="D15" i="67" s="1"/>
  <c r="AZ45" i="8" s="1"/>
  <c r="AZ42" i="8" s="1"/>
  <c r="AZ80" i="8" s="1"/>
  <c r="C11" i="67"/>
  <c r="C12" i="67" s="1"/>
  <c r="C13" i="67" s="1"/>
  <c r="C15" i="67" s="1"/>
  <c r="BD54" i="7" s="1"/>
  <c r="C12" i="75"/>
  <c r="AW56" i="72"/>
  <c r="AW57" i="72" s="1"/>
  <c r="AW56" i="9"/>
  <c r="AX136" i="7"/>
  <c r="AY136" i="7"/>
  <c r="B91" i="56"/>
  <c r="AZ60" i="72"/>
  <c r="BG60" i="72" s="1"/>
  <c r="AZ46" i="11"/>
  <c r="AZ41" i="11" s="1"/>
  <c r="K42" i="3"/>
  <c r="AG56" i="72"/>
  <c r="AG57" i="72" s="1"/>
  <c r="BC42" i="3"/>
  <c r="P42" i="3"/>
  <c r="AT56" i="72"/>
  <c r="AT57" i="72" s="1"/>
  <c r="AZ57" i="72"/>
  <c r="AW61" i="9"/>
  <c r="AS52" i="8"/>
  <c r="BC54" i="72"/>
  <c r="BC52" i="72"/>
  <c r="B31" i="32"/>
  <c r="D31" i="32" s="1"/>
  <c r="R34" i="10"/>
  <c r="I49" i="56"/>
  <c r="S49" i="56" s="1"/>
  <c r="AV74" i="8"/>
  <c r="T10" i="70"/>
  <c r="BD143" i="7"/>
  <c r="T11" i="70"/>
  <c r="AC12" i="5"/>
  <c r="AG12" i="5"/>
  <c r="AG11" i="5" s="1"/>
  <c r="AE91" i="8"/>
  <c r="AF46" i="6"/>
  <c r="AF51" i="6" s="1"/>
  <c r="AE45" i="5"/>
  <c r="AE46" i="5" s="1"/>
  <c r="C35" i="63"/>
  <c r="D35" i="63" s="1"/>
  <c r="D34" i="63"/>
  <c r="D29" i="63"/>
  <c r="C30" i="63"/>
  <c r="D30" i="63" s="1"/>
  <c r="B111" i="56"/>
  <c r="B121" i="56" s="1"/>
  <c r="AZ52" i="8"/>
  <c r="AZ87" i="8" s="1"/>
  <c r="F37" i="65"/>
  <c r="I37" i="65" s="1"/>
  <c r="BD60" i="9"/>
  <c r="BC54" i="9" s="1"/>
  <c r="AZ60" i="9"/>
  <c r="AZ61" i="9" s="1"/>
  <c r="AV82" i="6"/>
  <c r="BD60" i="7"/>
  <c r="BD134" i="7" s="1"/>
  <c r="B34" i="32"/>
  <c r="AD45" i="5"/>
  <c r="AD46" i="5" s="1"/>
  <c r="Q34" i="10"/>
  <c r="AV33" i="11"/>
  <c r="AT56" i="9"/>
  <c r="AT57" i="9" s="1"/>
  <c r="AV29" i="11"/>
  <c r="AV31" i="11"/>
  <c r="P39" i="59"/>
  <c r="AE47" i="59"/>
  <c r="AE43" i="59"/>
  <c r="AC39" i="59"/>
  <c r="U34" i="10"/>
  <c r="E48" i="56"/>
  <c r="AA48" i="3"/>
  <c r="F36" i="61" s="1"/>
  <c r="E21" i="32"/>
  <c r="G21" i="32" s="1"/>
  <c r="AS87" i="8"/>
  <c r="T34" i="10"/>
  <c r="AC52" i="3"/>
  <c r="BJ38" i="17"/>
  <c r="T42" i="3"/>
  <c r="AZ56" i="9"/>
  <c r="AZ57" i="9" s="1"/>
  <c r="BG57" i="9" s="1"/>
  <c r="AT62" i="9"/>
  <c r="AR46" i="11"/>
  <c r="AR43" i="11" s="1"/>
  <c r="AP52" i="8"/>
  <c r="AP87" i="8" s="1"/>
  <c r="AV46" i="11"/>
  <c r="AW57" i="9"/>
  <c r="BF36" i="17"/>
  <c r="BJ36" i="17"/>
  <c r="E28" i="56"/>
  <c r="E8" i="32"/>
  <c r="G8" i="32" s="1"/>
  <c r="AW59" i="9"/>
  <c r="P43" i="3"/>
  <c r="AT58" i="72" s="1"/>
  <c r="AT59" i="72" s="1"/>
  <c r="B101" i="56"/>
  <c r="G91" i="56"/>
  <c r="G101" i="56" s="1"/>
  <c r="L34" i="10"/>
  <c r="BE46" i="11"/>
  <c r="J8" i="56"/>
  <c r="E18" i="56"/>
  <c r="E10" i="56"/>
  <c r="C8" i="56"/>
  <c r="BF134" i="7"/>
  <c r="F21" i="61" s="1"/>
  <c r="AR24" i="17"/>
  <c r="AV52" i="8"/>
  <c r="AV87" i="8" s="1"/>
  <c r="AZ123" i="7"/>
  <c r="AB75" i="8"/>
  <c r="AX75" i="8"/>
  <c r="AW124" i="7"/>
  <c r="AG56" i="9"/>
  <c r="AG57" i="9" s="1"/>
  <c r="M48" i="3"/>
  <c r="AR30" i="17"/>
  <c r="AT125" i="7"/>
  <c r="AU51" i="9"/>
  <c r="AE45" i="6"/>
  <c r="AE46" i="6" s="1"/>
  <c r="AE54" i="6" s="1"/>
  <c r="AA45" i="6"/>
  <c r="AA46" i="6" s="1"/>
  <c r="AA51" i="6" s="1"/>
  <c r="AG51" i="6" s="1"/>
  <c r="AH51" i="6" s="1"/>
  <c r="AU55" i="9"/>
  <c r="AA52" i="6"/>
  <c r="AG52" i="6" s="1"/>
  <c r="AH52" i="6" s="1"/>
  <c r="Z45" i="5"/>
  <c r="AW123" i="7"/>
  <c r="I29" i="56"/>
  <c r="D30" i="56"/>
  <c r="D50" i="56"/>
  <c r="P38" i="56"/>
  <c r="N18" i="56"/>
  <c r="I19" i="56"/>
  <c r="N9" i="56"/>
  <c r="W9" i="56" s="1"/>
  <c r="AS34" i="8"/>
  <c r="AS8" i="8"/>
  <c r="AS73" i="8"/>
  <c r="AC10" i="8"/>
  <c r="AB74" i="8"/>
  <c r="AT10" i="8"/>
  <c r="AS74" i="8"/>
  <c r="BB10" i="8"/>
  <c r="AZ75" i="8"/>
  <c r="AQ15" i="8"/>
  <c r="AB73" i="8"/>
  <c r="AP75" i="8"/>
  <c r="AV12" i="8"/>
  <c r="AP27" i="8"/>
  <c r="AS27" i="8"/>
  <c r="AC16" i="8"/>
  <c r="AB79" i="8"/>
  <c r="AB56" i="8"/>
  <c r="AB89" i="8" s="1"/>
  <c r="AC89" i="8"/>
  <c r="AP8" i="8"/>
  <c r="AP73" i="8"/>
  <c r="AQ10" i="8"/>
  <c r="AP74" i="8"/>
  <c r="AE94" i="8"/>
  <c r="AQ9" i="8"/>
  <c r="AT9" i="8"/>
  <c r="AX10" i="8"/>
  <c r="AT35" i="8"/>
  <c r="AT34" i="8" s="1"/>
  <c r="AQ35" i="8"/>
  <c r="AQ34" i="8" s="1"/>
  <c r="AP34" i="8"/>
  <c r="AZ12" i="7"/>
  <c r="AZ124" i="7" s="1"/>
  <c r="BB124" i="7"/>
  <c r="AE15" i="7"/>
  <c r="AE125" i="7"/>
  <c r="AE121" i="7"/>
  <c r="AT121" i="7"/>
  <c r="AE123" i="7"/>
  <c r="AT123" i="7"/>
  <c r="BD123" i="7"/>
  <c r="AE124" i="7"/>
  <c r="AT124" i="7"/>
  <c r="BD124" i="7"/>
  <c r="AW125" i="7"/>
  <c r="AW27" i="7"/>
  <c r="AE64" i="7"/>
  <c r="AU9" i="7"/>
  <c r="AF9" i="7"/>
  <c r="AF13" i="7"/>
  <c r="AU52" i="7"/>
  <c r="AV52" i="7" s="1"/>
  <c r="AU54" i="7"/>
  <c r="AV54" i="7" s="1"/>
  <c r="AU53" i="7"/>
  <c r="AV53" i="7" s="1"/>
  <c r="AU51" i="7"/>
  <c r="AU16" i="7"/>
  <c r="AU32" i="7"/>
  <c r="AV32" i="7" s="1"/>
  <c r="BF20" i="7"/>
  <c r="BG20" i="7" s="1"/>
  <c r="AU10" i="7"/>
  <c r="AU13" i="7"/>
  <c r="AU23" i="7"/>
  <c r="AU25" i="7" s="1"/>
  <c r="AX25" i="7"/>
  <c r="AU42" i="7"/>
  <c r="AV42" i="7" s="1"/>
  <c r="AT27" i="7"/>
  <c r="AF53" i="7"/>
  <c r="AG53" i="7" s="1"/>
  <c r="AF34" i="7"/>
  <c r="AG34" i="7" s="1"/>
  <c r="AF42" i="7"/>
  <c r="AG42" i="7" s="1"/>
  <c r="AF16" i="7"/>
  <c r="AF14" i="7"/>
  <c r="BB20" i="7"/>
  <c r="BC20" i="7" s="1"/>
  <c r="BC17" i="7" s="1"/>
  <c r="AW15" i="7"/>
  <c r="AT64" i="7"/>
  <c r="AW64" i="7"/>
  <c r="AF10" i="7"/>
  <c r="AT35" i="7"/>
  <c r="AU34" i="7"/>
  <c r="AV34" i="7" s="1"/>
  <c r="AX32" i="8"/>
  <c r="AC52" i="8"/>
  <c r="AC87" i="8" s="1"/>
  <c r="AB15" i="8"/>
  <c r="AB8" i="8" s="1"/>
  <c r="AC15" i="8"/>
  <c r="AB34" i="8"/>
  <c r="AC34" i="8"/>
  <c r="AB42" i="8"/>
  <c r="AB80" i="8" s="1"/>
  <c r="AF25" i="7"/>
  <c r="BD25" i="7" s="1"/>
  <c r="BF25" i="7" s="1"/>
  <c r="AR36" i="17"/>
  <c r="BF30" i="17"/>
  <c r="BF24" i="17"/>
  <c r="F14" i="36"/>
  <c r="AF53" i="6"/>
  <c r="AF52" i="6"/>
  <c r="AD54" i="5"/>
  <c r="AD53" i="5"/>
  <c r="AD51" i="5"/>
  <c r="AW62" i="9"/>
  <c r="AR55" i="9"/>
  <c r="AR51" i="9"/>
  <c r="AZ33" i="11"/>
  <c r="AV30" i="11"/>
  <c r="AZ31" i="11"/>
  <c r="AZ42" i="11"/>
  <c r="AZ43" i="11"/>
  <c r="AG61" i="9"/>
  <c r="AF51" i="9"/>
  <c r="AG51" i="9"/>
  <c r="AR33" i="11"/>
  <c r="AT45" i="11"/>
  <c r="AP19" i="8" s="1"/>
  <c r="AP78" i="8" s="1"/>
  <c r="AX45" i="11"/>
  <c r="AS19" i="8" s="1"/>
  <c r="AS78" i="8" s="1"/>
  <c r="AZ29" i="11"/>
  <c r="AZ32" i="11"/>
  <c r="AT39" i="11"/>
  <c r="AT19" i="7" s="1"/>
  <c r="AX39" i="11"/>
  <c r="AF45" i="11"/>
  <c r="AB19" i="8" s="1"/>
  <c r="AB78" i="8" s="1"/>
  <c r="AR30" i="11"/>
  <c r="AR31" i="11"/>
  <c r="AD41" i="11"/>
  <c r="BE41" i="11" s="1"/>
  <c r="AD42" i="11"/>
  <c r="BE42" i="11" s="1"/>
  <c r="AR29" i="11"/>
  <c r="AF39" i="11"/>
  <c r="AE19" i="7" s="1"/>
  <c r="K43" i="3"/>
  <c r="AG58" i="72" s="1"/>
  <c r="AG59" i="72" s="1"/>
  <c r="AZ58" i="72"/>
  <c r="E6" i="32"/>
  <c r="AA14" i="19"/>
  <c r="AJ21" i="19"/>
  <c r="AO21" i="19" s="1"/>
  <c r="AJ17" i="19"/>
  <c r="AO17" i="19" s="1"/>
  <c r="AJ48" i="19"/>
  <c r="AO48" i="19" s="1"/>
  <c r="AJ42" i="19"/>
  <c r="AO42" i="19" s="1"/>
  <c r="AJ41" i="19"/>
  <c r="AJ40" i="19"/>
  <c r="AO40" i="19" s="1"/>
  <c r="AJ39" i="19"/>
  <c r="AO39" i="19" s="1"/>
  <c r="AJ38" i="19"/>
  <c r="AO38" i="19" s="1"/>
  <c r="E26" i="75" s="1"/>
  <c r="AJ37" i="19"/>
  <c r="AO37" i="19" s="1"/>
  <c r="AJ36" i="19"/>
  <c r="AO36" i="19" s="1"/>
  <c r="AJ35" i="19"/>
  <c r="AJ34" i="19"/>
  <c r="AJ33" i="19"/>
  <c r="AO33" i="19" s="1"/>
  <c r="AJ32" i="19"/>
  <c r="AO32" i="19" s="1"/>
  <c r="AJ31" i="19"/>
  <c r="AO31" i="19" s="1"/>
  <c r="E19" i="75" s="1"/>
  <c r="E20" i="75" s="1"/>
  <c r="E21" i="75" s="1"/>
  <c r="E23" i="75" s="1"/>
  <c r="E24" i="75" s="1"/>
  <c r="E27" i="75" s="1"/>
  <c r="E28" i="75" s="1"/>
  <c r="E30" i="75" s="1"/>
  <c r="AJ30" i="19"/>
  <c r="AJ29" i="19"/>
  <c r="AJ28" i="19"/>
  <c r="AJ27" i="19"/>
  <c r="AJ26" i="19"/>
  <c r="AO26" i="19" s="1"/>
  <c r="AJ25" i="19"/>
  <c r="AJ23" i="19"/>
  <c r="AJ22" i="19"/>
  <c r="AJ20" i="19"/>
  <c r="AJ19" i="19"/>
  <c r="AJ18" i="19"/>
  <c r="AJ16" i="19"/>
  <c r="AJ13" i="19"/>
  <c r="AG59" i="19"/>
  <c r="AL59" i="19" s="1"/>
  <c r="AF61" i="19"/>
  <c r="AE60" i="19" s="1"/>
  <c r="AG60" i="19" s="1"/>
  <c r="AI14" i="19"/>
  <c r="BG14" i="19" s="1"/>
  <c r="AH14" i="19"/>
  <c r="AI12" i="19"/>
  <c r="AH12" i="19"/>
  <c r="AL51" i="6" l="1"/>
  <c r="BN16" i="8"/>
  <c r="AL53" i="6"/>
  <c r="BM33" i="8"/>
  <c r="D30" i="84"/>
  <c r="B33" i="84"/>
  <c r="D9" i="79"/>
  <c r="F9" i="79"/>
  <c r="F10" i="79" s="1"/>
  <c r="J10" i="79"/>
  <c r="J9" i="79" s="1"/>
  <c r="J6" i="79" s="1"/>
  <c r="U14" i="82"/>
  <c r="V14" i="82" s="1"/>
  <c r="U12" i="82"/>
  <c r="F19" i="81"/>
  <c r="L23" i="81"/>
  <c r="K19" i="81" s="1"/>
  <c r="N19" i="81" s="1"/>
  <c r="AL52" i="6"/>
  <c r="BM26" i="8"/>
  <c r="AL54" i="6"/>
  <c r="BN41" i="8"/>
  <c r="AT27" i="5"/>
  <c r="AK26" i="5"/>
  <c r="AK45" i="5" s="1"/>
  <c r="G20" i="84"/>
  <c r="E23" i="84"/>
  <c r="G3" i="80"/>
  <c r="G8" i="80" s="1"/>
  <c r="G13" i="80" s="1"/>
  <c r="F3" i="80"/>
  <c r="J37" i="79"/>
  <c r="J36" i="79" s="1"/>
  <c r="J33" i="79" s="1"/>
  <c r="AX58" i="3" s="1"/>
  <c r="D36" i="79"/>
  <c r="D37" i="79" s="1"/>
  <c r="F5" i="80"/>
  <c r="G5" i="80"/>
  <c r="G10" i="80" s="1"/>
  <c r="G15" i="80" s="1"/>
  <c r="AE58" i="19"/>
  <c r="AG58" i="19" s="1"/>
  <c r="W19" i="70"/>
  <c r="W15" i="70"/>
  <c r="AA53" i="6"/>
  <c r="AG53" i="6" s="1"/>
  <c r="AH53" i="6" s="1"/>
  <c r="D20" i="75"/>
  <c r="D21" i="75" s="1"/>
  <c r="D23" i="75" s="1"/>
  <c r="D24" i="75" s="1"/>
  <c r="C13" i="75"/>
  <c r="B8" i="56"/>
  <c r="G8" i="56" s="1"/>
  <c r="G18" i="56" s="1"/>
  <c r="M44" i="3"/>
  <c r="BH44" i="3"/>
  <c r="AZ62" i="72"/>
  <c r="AZ63" i="72"/>
  <c r="AZ59" i="72"/>
  <c r="AG52" i="3"/>
  <c r="AE48" i="3"/>
  <c r="I36" i="61" s="1"/>
  <c r="N36" i="61" s="1"/>
  <c r="AD36" i="61" s="1"/>
  <c r="BD52" i="72"/>
  <c r="BF52" i="72"/>
  <c r="BS52" i="72" s="1"/>
  <c r="BC55" i="72"/>
  <c r="BF55" i="72" s="1"/>
  <c r="BS55" i="72" s="1"/>
  <c r="BF54" i="72"/>
  <c r="BS54" i="72" s="1"/>
  <c r="BD54" i="72"/>
  <c r="BG57" i="72"/>
  <c r="G111" i="56"/>
  <c r="G121" i="56" s="1"/>
  <c r="T12" i="70"/>
  <c r="T20" i="70" s="1"/>
  <c r="D38" i="63"/>
  <c r="AF54" i="6"/>
  <c r="AE51" i="5"/>
  <c r="AE52" i="5"/>
  <c r="AE53" i="5"/>
  <c r="AE54" i="5"/>
  <c r="BD54" i="9"/>
  <c r="AZ18" i="8" s="1"/>
  <c r="BF54" i="9"/>
  <c r="AZ62" i="9"/>
  <c r="BD41" i="11"/>
  <c r="BH41" i="11" s="1"/>
  <c r="AT52" i="8"/>
  <c r="AT26" i="8" s="1"/>
  <c r="BD42" i="11"/>
  <c r="BH42" i="11" s="1"/>
  <c r="BC52" i="9"/>
  <c r="L91" i="56"/>
  <c r="L101" i="56" s="1"/>
  <c r="BD43" i="11"/>
  <c r="BH43" i="11" s="1"/>
  <c r="D34" i="32"/>
  <c r="E34" i="32"/>
  <c r="B35" i="32"/>
  <c r="AA44" i="3"/>
  <c r="AC44" i="3" s="1"/>
  <c r="H31" i="32"/>
  <c r="J31" i="32" s="1"/>
  <c r="G31" i="32"/>
  <c r="AH50" i="19"/>
  <c r="AE51" i="6"/>
  <c r="AE52" i="6"/>
  <c r="AE53" i="6"/>
  <c r="AD52" i="5"/>
  <c r="AP17" i="8"/>
  <c r="AP51" i="8" s="1"/>
  <c r="AP61" i="8" s="1"/>
  <c r="AP62" i="8" s="1"/>
  <c r="AQ52" i="8"/>
  <c r="AQ87" i="8" s="1"/>
  <c r="AE39" i="59"/>
  <c r="AC38" i="59"/>
  <c r="AA43" i="3"/>
  <c r="BD58" i="72" s="1"/>
  <c r="BB52" i="8"/>
  <c r="BB45" i="8" s="1"/>
  <c r="BC45" i="8" s="1"/>
  <c r="L111" i="56"/>
  <c r="L121" i="56" s="1"/>
  <c r="AR41" i="11"/>
  <c r="AR42" i="11"/>
  <c r="AX52" i="8"/>
  <c r="AX44" i="8" s="1"/>
  <c r="AY44" i="8" s="1"/>
  <c r="AY42" i="8" s="1"/>
  <c r="AY80" i="8" s="1"/>
  <c r="E24" i="32"/>
  <c r="G24" i="32" s="1"/>
  <c r="AT61" i="9"/>
  <c r="AJ8" i="19"/>
  <c r="AL13" i="19"/>
  <c r="AK13" i="19"/>
  <c r="AL26" i="19"/>
  <c r="AK26" i="19"/>
  <c r="AW127" i="7"/>
  <c r="AX127" i="7"/>
  <c r="BF38" i="17"/>
  <c r="B28" i="56"/>
  <c r="BB64" i="7"/>
  <c r="AV43" i="11"/>
  <c r="AV42" i="11"/>
  <c r="AL22" i="19"/>
  <c r="AK22" i="19"/>
  <c r="AL31" i="19"/>
  <c r="AK31" i="19"/>
  <c r="AK48" i="19"/>
  <c r="AL48" i="19"/>
  <c r="T47" i="3"/>
  <c r="AZ58" i="9"/>
  <c r="AZ59" i="9" s="1"/>
  <c r="AT127" i="7"/>
  <c r="AT135" i="7" s="1"/>
  <c r="AU19" i="7"/>
  <c r="AU127" i="7" s="1"/>
  <c r="AI50" i="19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E11" i="32"/>
  <c r="G11" i="32" s="1"/>
  <c r="AR38" i="17"/>
  <c r="AW17" i="7"/>
  <c r="AA54" i="6"/>
  <c r="AG54" i="6" s="1"/>
  <c r="AH54" i="6" s="1"/>
  <c r="B18" i="56"/>
  <c r="J18" i="56"/>
  <c r="O8" i="56"/>
  <c r="O18" i="56" s="1"/>
  <c r="E38" i="56"/>
  <c r="C28" i="56"/>
  <c r="J28" i="56"/>
  <c r="B48" i="56"/>
  <c r="BF64" i="7"/>
  <c r="AK20" i="19"/>
  <c r="AL20" i="19"/>
  <c r="AL30" i="19"/>
  <c r="AK30" i="19"/>
  <c r="AL34" i="19"/>
  <c r="AK34" i="19"/>
  <c r="AL38" i="19"/>
  <c r="AK38" i="19"/>
  <c r="AL42" i="19"/>
  <c r="AK42" i="19"/>
  <c r="AF19" i="7"/>
  <c r="AF127" i="7" s="1"/>
  <c r="AE127" i="7"/>
  <c r="AE135" i="7" s="1"/>
  <c r="P47" i="3"/>
  <c r="AT58" i="9"/>
  <c r="AT59" i="9" s="1"/>
  <c r="AK16" i="19"/>
  <c r="AL16" i="19"/>
  <c r="AL27" i="19"/>
  <c r="AK27" i="19"/>
  <c r="AL35" i="19"/>
  <c r="AK35" i="19"/>
  <c r="AL39" i="19"/>
  <c r="AK39" i="19"/>
  <c r="AV41" i="11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K47" i="3"/>
  <c r="AG58" i="9"/>
  <c r="AG59" i="9" s="1"/>
  <c r="AZ134" i="7"/>
  <c r="BB60" i="7"/>
  <c r="BB134" i="7" s="1"/>
  <c r="BF37" i="17"/>
  <c r="AB17" i="8"/>
  <c r="AT17" i="7"/>
  <c r="AS17" i="8"/>
  <c r="AS51" i="8" s="1"/>
  <c r="AS61" i="8" s="1"/>
  <c r="AS62" i="8" s="1"/>
  <c r="C18" i="56"/>
  <c r="H8" i="56"/>
  <c r="E58" i="56"/>
  <c r="C48" i="56"/>
  <c r="J48" i="56"/>
  <c r="J58" i="56" s="1"/>
  <c r="Z54" i="5"/>
  <c r="AF54" i="5" s="1"/>
  <c r="AG54" i="5" s="1"/>
  <c r="Z52" i="5"/>
  <c r="AF52" i="5" s="1"/>
  <c r="AG52" i="5" s="1"/>
  <c r="Z46" i="5"/>
  <c r="Z53" i="5"/>
  <c r="AF53" i="5" s="1"/>
  <c r="AG53" i="5" s="1"/>
  <c r="Z51" i="5"/>
  <c r="AF51" i="5" s="1"/>
  <c r="AG51" i="5" s="1"/>
  <c r="S19" i="56"/>
  <c r="D39" i="56"/>
  <c r="D59" i="56"/>
  <c r="S29" i="56"/>
  <c r="I30" i="56"/>
  <c r="N30" i="56" s="1"/>
  <c r="N29" i="56" s="1"/>
  <c r="W29" i="56" s="1"/>
  <c r="I50" i="56"/>
  <c r="N50" i="56" s="1"/>
  <c r="N49" i="56" s="1"/>
  <c r="W49" i="56" s="1"/>
  <c r="D60" i="56"/>
  <c r="D20" i="56"/>
  <c r="I20" i="56"/>
  <c r="AB86" i="8"/>
  <c r="AB88" i="8" s="1"/>
  <c r="AS86" i="8"/>
  <c r="AS90" i="8" s="1"/>
  <c r="AQ8" i="8"/>
  <c r="AT8" i="8"/>
  <c r="AV75" i="8"/>
  <c r="AC8" i="8"/>
  <c r="AP86" i="8"/>
  <c r="AC44" i="8"/>
  <c r="AC19" i="8"/>
  <c r="AC33" i="8"/>
  <c r="AD33" i="8" s="1"/>
  <c r="AC26" i="8"/>
  <c r="AD26" i="8" s="1"/>
  <c r="AC23" i="8"/>
  <c r="AC46" i="8"/>
  <c r="AC24" i="8"/>
  <c r="AC77" i="8" s="1"/>
  <c r="AC20" i="8"/>
  <c r="AD20" i="8" s="1"/>
  <c r="AD74" i="8" s="1"/>
  <c r="AC18" i="8"/>
  <c r="AU29" i="7"/>
  <c r="AV29" i="7" s="1"/>
  <c r="AT136" i="7"/>
  <c r="AV10" i="7"/>
  <c r="AV16" i="7"/>
  <c r="AV128" i="7" s="1"/>
  <c r="AU128" i="7"/>
  <c r="AG9" i="7"/>
  <c r="AG121" i="7" s="1"/>
  <c r="AF121" i="7"/>
  <c r="AG10" i="7"/>
  <c r="AW136" i="7"/>
  <c r="AG16" i="7"/>
  <c r="AG128" i="7" s="1"/>
  <c r="AF128" i="7"/>
  <c r="AV13" i="7"/>
  <c r="AG13" i="7"/>
  <c r="AV9" i="7"/>
  <c r="AV121" i="7" s="1"/>
  <c r="AU121" i="7"/>
  <c r="AG14" i="7"/>
  <c r="AF51" i="7"/>
  <c r="AG51" i="7" s="1"/>
  <c r="AE136" i="7"/>
  <c r="AF29" i="7"/>
  <c r="AG29" i="7" s="1"/>
  <c r="AF31" i="7"/>
  <c r="AG31" i="7" s="1"/>
  <c r="AF40" i="7"/>
  <c r="AG40" i="7" s="1"/>
  <c r="AF56" i="7"/>
  <c r="AF52" i="7"/>
  <c r="AG52" i="7" s="1"/>
  <c r="AF36" i="7"/>
  <c r="AG36" i="7" s="1"/>
  <c r="AF39" i="7"/>
  <c r="AG39" i="7" s="1"/>
  <c r="AF32" i="7"/>
  <c r="AG32" i="7" s="1"/>
  <c r="AU39" i="7"/>
  <c r="AV39" i="7" s="1"/>
  <c r="AU36" i="7"/>
  <c r="AV36" i="7" s="1"/>
  <c r="AU15" i="7"/>
  <c r="AU8" i="7" s="1"/>
  <c r="AU40" i="7"/>
  <c r="AU126" i="7" s="1"/>
  <c r="AU56" i="7"/>
  <c r="AX50" i="7"/>
  <c r="AX129" i="7" s="1"/>
  <c r="AY50" i="7"/>
  <c r="AY129" i="7" s="1"/>
  <c r="AU50" i="7"/>
  <c r="AU129" i="7" s="1"/>
  <c r="AV51" i="7"/>
  <c r="AV50" i="7" s="1"/>
  <c r="AV129" i="7" s="1"/>
  <c r="AU31" i="7"/>
  <c r="AV31" i="7" s="1"/>
  <c r="AB27" i="8"/>
  <c r="AF15" i="7"/>
  <c r="BS33" i="17"/>
  <c r="CI33" i="17" s="1"/>
  <c r="CH33" i="17" s="1"/>
  <c r="AR37" i="17"/>
  <c r="BS27" i="17"/>
  <c r="CI27" i="17" s="1"/>
  <c r="CH27" i="17" s="1"/>
  <c r="BS34" i="17"/>
  <c r="CI34" i="17" s="1"/>
  <c r="CH34" i="17" s="1"/>
  <c r="BS28" i="17"/>
  <c r="CI28" i="17" s="1"/>
  <c r="CH28" i="17" s="1"/>
  <c r="BS32" i="17"/>
  <c r="CI32" i="17" s="1"/>
  <c r="CH32" i="17" s="1"/>
  <c r="BS26" i="17"/>
  <c r="CI26" i="17" s="1"/>
  <c r="CH26" i="17" s="1"/>
  <c r="BS31" i="17"/>
  <c r="CI31" i="17" s="1"/>
  <c r="BS25" i="17"/>
  <c r="CI25" i="17" s="1"/>
  <c r="AE51" i="9"/>
  <c r="AF55" i="9"/>
  <c r="AG55" i="9"/>
  <c r="AD33" i="11"/>
  <c r="BE33" i="11" s="1"/>
  <c r="AD32" i="11"/>
  <c r="BE32" i="11" s="1"/>
  <c r="AD31" i="11"/>
  <c r="BE31" i="11" s="1"/>
  <c r="AD30" i="11"/>
  <c r="BE30" i="11" s="1"/>
  <c r="AD29" i="11"/>
  <c r="BE29" i="11" s="1"/>
  <c r="AI61" i="19"/>
  <c r="AE40" i="19"/>
  <c r="AE34" i="19"/>
  <c r="AE32" i="19"/>
  <c r="AE22" i="19"/>
  <c r="AE20" i="19"/>
  <c r="AE21" i="19"/>
  <c r="AE57" i="19"/>
  <c r="AG57" i="19" s="1"/>
  <c r="AB61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M40" i="19"/>
  <c r="K41" i="19"/>
  <c r="M41" i="19" s="1"/>
  <c r="K42" i="19"/>
  <c r="M42" i="19" s="1"/>
  <c r="M45" i="19"/>
  <c r="M48" i="19"/>
  <c r="L50" i="19"/>
  <c r="N50" i="19"/>
  <c r="Q50" i="19"/>
  <c r="O53" i="19"/>
  <c r="I61" i="19"/>
  <c r="J61" i="19"/>
  <c r="K61" i="19"/>
  <c r="M61" i="19"/>
  <c r="N61" i="19"/>
  <c r="L58" i="19" s="1"/>
  <c r="P61" i="19"/>
  <c r="P57" i="19" s="1"/>
  <c r="E24" i="84" l="1"/>
  <c r="G24" i="84" s="1"/>
  <c r="G23" i="84"/>
  <c r="G25" i="84" s="1"/>
  <c r="AT45" i="5"/>
  <c r="AK46" i="5"/>
  <c r="CC97" i="115"/>
  <c r="BM41" i="8"/>
  <c r="BM34" i="8" s="1"/>
  <c r="BN34" i="8"/>
  <c r="CC90" i="115" s="1"/>
  <c r="N22" i="81"/>
  <c r="O19" i="81"/>
  <c r="O22" i="81" s="1"/>
  <c r="P19" i="81"/>
  <c r="P22" i="81" s="1"/>
  <c r="V12" i="82"/>
  <c r="V16" i="82" s="1"/>
  <c r="W16" i="82" s="1"/>
  <c r="U16" i="82"/>
  <c r="I21" i="79"/>
  <c r="I23" i="79"/>
  <c r="I25" i="79"/>
  <c r="I22" i="79"/>
  <c r="I24" i="79"/>
  <c r="I26" i="79"/>
  <c r="I20" i="79"/>
  <c r="I19" i="79"/>
  <c r="D33" i="84"/>
  <c r="E33" i="84"/>
  <c r="B34" i="84"/>
  <c r="BN33" i="8"/>
  <c r="BM27" i="8"/>
  <c r="CC25" i="115"/>
  <c r="BM16" i="8"/>
  <c r="BM79" i="8" s="1"/>
  <c r="AX60" i="3"/>
  <c r="GA9" i="116"/>
  <c r="GA8" i="116"/>
  <c r="Y37" i="65"/>
  <c r="S11" i="98"/>
  <c r="K36" i="105"/>
  <c r="BN52" i="8"/>
  <c r="AX57" i="3"/>
  <c r="G45" i="96" s="1"/>
  <c r="AU27" i="5"/>
  <c r="AT47" i="5"/>
  <c r="D10" i="79"/>
  <c r="CH25" i="17"/>
  <c r="CI24" i="17"/>
  <c r="CI30" i="17"/>
  <c r="CH30" i="17" s="1"/>
  <c r="CH31" i="17"/>
  <c r="CF25" i="17"/>
  <c r="CC25" i="17"/>
  <c r="BD23" i="7"/>
  <c r="BF23" i="7" s="1"/>
  <c r="BF24" i="7" s="1"/>
  <c r="CF26" i="17"/>
  <c r="CE26" i="17" s="1"/>
  <c r="CC26" i="17"/>
  <c r="CB26" i="17" s="1"/>
  <c r="BD39" i="7"/>
  <c r="CF28" i="17"/>
  <c r="CE28" i="17" s="1"/>
  <c r="CC28" i="17"/>
  <c r="CB28" i="17" s="1"/>
  <c r="BD31" i="7"/>
  <c r="CF27" i="17"/>
  <c r="CE27" i="17" s="1"/>
  <c r="CC27" i="17"/>
  <c r="CB27" i="17" s="1"/>
  <c r="AZ29" i="8"/>
  <c r="BB29" i="8" s="1"/>
  <c r="BB30" i="8" s="1"/>
  <c r="CF33" i="17"/>
  <c r="CE33" i="17" s="1"/>
  <c r="CC33" i="17"/>
  <c r="CB33" i="17" s="1"/>
  <c r="CF31" i="17"/>
  <c r="CC31" i="17"/>
  <c r="AZ23" i="8"/>
  <c r="CF32" i="17"/>
  <c r="CE32" i="17" s="1"/>
  <c r="CC32" i="17"/>
  <c r="CB32" i="17" s="1"/>
  <c r="AZ38" i="8"/>
  <c r="BB38" i="8" s="1"/>
  <c r="CF34" i="17"/>
  <c r="CE34" i="17" s="1"/>
  <c r="CC34" i="17"/>
  <c r="CB34" i="17" s="1"/>
  <c r="F27" i="63"/>
  <c r="N18" i="61" s="1"/>
  <c r="D27" i="75"/>
  <c r="D28" i="75" s="1"/>
  <c r="D30" i="75" s="1"/>
  <c r="C14" i="75"/>
  <c r="C16" i="75" s="1"/>
  <c r="C17" i="75" s="1"/>
  <c r="C20" i="75" s="1"/>
  <c r="C21" i="75" s="1"/>
  <c r="C23" i="75" s="1"/>
  <c r="C24" i="75" s="1"/>
  <c r="C27" i="75" s="1"/>
  <c r="C28" i="75" s="1"/>
  <c r="C30" i="75" s="1"/>
  <c r="AG48" i="3"/>
  <c r="AE44" i="3"/>
  <c r="BG63" i="72"/>
  <c r="BA63" i="72"/>
  <c r="BG62" i="72"/>
  <c r="BA62" i="72"/>
  <c r="BC50" i="72"/>
  <c r="BG58" i="72"/>
  <c r="BQ54" i="72"/>
  <c r="BX54" i="72" s="1"/>
  <c r="BG54" i="72"/>
  <c r="BQ52" i="72"/>
  <c r="BX52" i="72" s="1"/>
  <c r="BG52" i="72"/>
  <c r="BD55" i="72"/>
  <c r="BG59" i="72"/>
  <c r="AT18" i="8"/>
  <c r="AT73" i="8" s="1"/>
  <c r="AQ19" i="8"/>
  <c r="AQ78" i="8" s="1"/>
  <c r="AQ46" i="8"/>
  <c r="AR46" i="8" s="1"/>
  <c r="AR81" i="8" s="1"/>
  <c r="F7" i="63"/>
  <c r="BF59" i="7" s="1"/>
  <c r="F17" i="63"/>
  <c r="I18" i="61" s="1"/>
  <c r="I59" i="56"/>
  <c r="S59" i="56" s="1"/>
  <c r="AJ12" i="19"/>
  <c r="AK12" i="19" s="1"/>
  <c r="AO12" i="19"/>
  <c r="AP12" i="19" s="1"/>
  <c r="AQ12" i="19" s="1"/>
  <c r="AT44" i="8"/>
  <c r="AU44" i="8" s="1"/>
  <c r="BC55" i="9"/>
  <c r="BF55" i="9" s="1"/>
  <c r="BD52" i="9"/>
  <c r="AZ9" i="8" s="1"/>
  <c r="BF52" i="9"/>
  <c r="AQ44" i="8"/>
  <c r="AR44" i="8" s="1"/>
  <c r="AQ45" i="8"/>
  <c r="AR45" i="8" s="1"/>
  <c r="AT24" i="8"/>
  <c r="AT77" i="8" s="1"/>
  <c r="AT20" i="8"/>
  <c r="AU20" i="8" s="1"/>
  <c r="AU74" i="8" s="1"/>
  <c r="AX27" i="7"/>
  <c r="AT19" i="8"/>
  <c r="AT78" i="8" s="1"/>
  <c r="AX87" i="8"/>
  <c r="BH45" i="11"/>
  <c r="AT23" i="8"/>
  <c r="AU23" i="8" s="1"/>
  <c r="AU76" i="8" s="1"/>
  <c r="AT45" i="8"/>
  <c r="AU45" i="8" s="1"/>
  <c r="AT87" i="8"/>
  <c r="AT46" i="8"/>
  <c r="AT81" i="8" s="1"/>
  <c r="AT33" i="8"/>
  <c r="BD72" i="7"/>
  <c r="BF72" i="7" s="1"/>
  <c r="BF114" i="7" s="1"/>
  <c r="AA39" i="3"/>
  <c r="BE40" i="11" s="1"/>
  <c r="BD31" i="11" s="1"/>
  <c r="BH31" i="11" s="1"/>
  <c r="BD58" i="9"/>
  <c r="D35" i="32"/>
  <c r="D36" i="32" s="1"/>
  <c r="BF51" i="7" s="1"/>
  <c r="C9" i="86" s="1"/>
  <c r="E35" i="32"/>
  <c r="H34" i="32"/>
  <c r="J34" i="32" s="1"/>
  <c r="G34" i="32"/>
  <c r="AA47" i="3"/>
  <c r="BB44" i="8"/>
  <c r="BB42" i="8" s="1"/>
  <c r="BB80" i="8" s="1"/>
  <c r="AZ63" i="8"/>
  <c r="AX17" i="7"/>
  <c r="BG59" i="9"/>
  <c r="AQ24" i="8"/>
  <c r="AQ77" i="8" s="1"/>
  <c r="AQ23" i="8"/>
  <c r="AR23" i="8" s="1"/>
  <c r="AR76" i="8" s="1"/>
  <c r="AQ18" i="8"/>
  <c r="AQ73" i="8" s="1"/>
  <c r="AQ26" i="8"/>
  <c r="AR26" i="8" s="1"/>
  <c r="AQ20" i="8"/>
  <c r="AR20" i="8" s="1"/>
  <c r="AR74" i="8" s="1"/>
  <c r="AQ33" i="8"/>
  <c r="AC42" i="59"/>
  <c r="AE42" i="59" s="1"/>
  <c r="AE38" i="59"/>
  <c r="E12" i="32"/>
  <c r="G12" i="32" s="1"/>
  <c r="G13" i="32" s="1"/>
  <c r="E25" i="32"/>
  <c r="G25" i="32" s="1"/>
  <c r="G26" i="32" s="1"/>
  <c r="BB23" i="8"/>
  <c r="BB87" i="8"/>
  <c r="BB18" i="8"/>
  <c r="BC18" i="8" s="1"/>
  <c r="BC73" i="8" s="1"/>
  <c r="F13" i="66" s="1"/>
  <c r="BB20" i="8"/>
  <c r="BC20" i="8" s="1"/>
  <c r="AX20" i="8"/>
  <c r="AY20" i="8" s="1"/>
  <c r="AY74" i="8" s="1"/>
  <c r="AG15" i="7"/>
  <c r="AF126" i="7"/>
  <c r="M8" i="56"/>
  <c r="M18" i="56" s="1"/>
  <c r="H18" i="56"/>
  <c r="AL8" i="19"/>
  <c r="AK8" i="19"/>
  <c r="AE61" i="19"/>
  <c r="BS30" i="17"/>
  <c r="BR30" i="17" s="1"/>
  <c r="BR38" i="17" s="1"/>
  <c r="AZ13" i="8"/>
  <c r="G48" i="56"/>
  <c r="G58" i="56" s="1"/>
  <c r="B58" i="56"/>
  <c r="C38" i="56"/>
  <c r="H28" i="56"/>
  <c r="H38" i="56" s="1"/>
  <c r="L8" i="56"/>
  <c r="L18" i="56" s="1"/>
  <c r="BB136" i="7"/>
  <c r="AZ64" i="7"/>
  <c r="BB10" i="7"/>
  <c r="BC10" i="7" s="1"/>
  <c r="BB51" i="7"/>
  <c r="BB53" i="7"/>
  <c r="BC53" i="7" s="1"/>
  <c r="BB52" i="7"/>
  <c r="BC52" i="7" s="1"/>
  <c r="BG61" i="9"/>
  <c r="BG62" i="9"/>
  <c r="BG60" i="9"/>
  <c r="AA50" i="19"/>
  <c r="BS24" i="17"/>
  <c r="BR24" i="17" s="1"/>
  <c r="BD13" i="7"/>
  <c r="AB51" i="8"/>
  <c r="AB58" i="8" s="1"/>
  <c r="C58" i="56"/>
  <c r="H48" i="56"/>
  <c r="BF136" i="7"/>
  <c r="BF53" i="7"/>
  <c r="BG53" i="7" s="1"/>
  <c r="BI53" i="7" s="1"/>
  <c r="BF52" i="7"/>
  <c r="C11" i="86" s="1"/>
  <c r="BD64" i="7"/>
  <c r="BF54" i="7" s="1"/>
  <c r="BG54" i="7" s="1"/>
  <c r="BF10" i="7"/>
  <c r="O28" i="56"/>
  <c r="O38" i="56" s="1"/>
  <c r="J38" i="56"/>
  <c r="AX126" i="7"/>
  <c r="O48" i="56"/>
  <c r="O58" i="56" s="1"/>
  <c r="AF17" i="7"/>
  <c r="B38" i="56"/>
  <c r="G28" i="56"/>
  <c r="G38" i="56" s="1"/>
  <c r="AP55" i="8"/>
  <c r="AS58" i="8"/>
  <c r="AB90" i="8"/>
  <c r="AB91" i="8" s="1"/>
  <c r="AU18" i="8"/>
  <c r="AU73" i="8" s="1"/>
  <c r="AS55" i="8"/>
  <c r="AS57" i="8"/>
  <c r="AS88" i="8"/>
  <c r="E122" i="56"/>
  <c r="E102" i="56"/>
  <c r="I39" i="56"/>
  <c r="D40" i="56"/>
  <c r="N20" i="56"/>
  <c r="N19" i="56" s="1"/>
  <c r="W19" i="56" s="1"/>
  <c r="E20" i="56"/>
  <c r="D21" i="56"/>
  <c r="B21" i="56" s="1"/>
  <c r="AP58" i="8"/>
  <c r="AD79" i="8"/>
  <c r="AD19" i="8"/>
  <c r="AD78" i="8" s="1"/>
  <c r="AC78" i="8"/>
  <c r="AQ81" i="8"/>
  <c r="AD18" i="8"/>
  <c r="AD73" i="8" s="1"/>
  <c r="AC73" i="8"/>
  <c r="AD23" i="8"/>
  <c r="AD76" i="8" s="1"/>
  <c r="AC76" i="8"/>
  <c r="AU26" i="8"/>
  <c r="AS93" i="8"/>
  <c r="AS94" i="8" s="1"/>
  <c r="AS91" i="8"/>
  <c r="AP88" i="8"/>
  <c r="AP90" i="8"/>
  <c r="BC81" i="8"/>
  <c r="AP57" i="8"/>
  <c r="AC74" i="8"/>
  <c r="AC79" i="8"/>
  <c r="AD46" i="8"/>
  <c r="AD81" i="8" s="1"/>
  <c r="AC81" i="8"/>
  <c r="AR19" i="8"/>
  <c r="AR78" i="8" s="1"/>
  <c r="AC17" i="8"/>
  <c r="AD24" i="8"/>
  <c r="AC25" i="8"/>
  <c r="AD44" i="8"/>
  <c r="AD42" i="8" s="1"/>
  <c r="AD80" i="8" s="1"/>
  <c r="AC42" i="8"/>
  <c r="AC80" i="8" s="1"/>
  <c r="AE141" i="7"/>
  <c r="AE139" i="7"/>
  <c r="AG126" i="7"/>
  <c r="AY125" i="7"/>
  <c r="AF125" i="7"/>
  <c r="AX123" i="7"/>
  <c r="AU125" i="7"/>
  <c r="AF123" i="7"/>
  <c r="AU123" i="7"/>
  <c r="AV56" i="7"/>
  <c r="AV130" i="7" s="1"/>
  <c r="AU130" i="7"/>
  <c r="AG56" i="7"/>
  <c r="AG130" i="7" s="1"/>
  <c r="AF130" i="7"/>
  <c r="AT141" i="7"/>
  <c r="AT139" i="7"/>
  <c r="AX125" i="7"/>
  <c r="AG125" i="7"/>
  <c r="AY123" i="7"/>
  <c r="AV125" i="7"/>
  <c r="AG123" i="7"/>
  <c r="AV123" i="7"/>
  <c r="AF50" i="7"/>
  <c r="AF129" i="7" s="1"/>
  <c r="AG50" i="7"/>
  <c r="AG129" i="7" s="1"/>
  <c r="AY41" i="7"/>
  <c r="AY35" i="7" s="1"/>
  <c r="AU33" i="7"/>
  <c r="AU27" i="7" s="1"/>
  <c r="AX41" i="7"/>
  <c r="AX35" i="7" s="1"/>
  <c r="AU41" i="7"/>
  <c r="AU35" i="7" s="1"/>
  <c r="AV40" i="7"/>
  <c r="AV41" i="7" s="1"/>
  <c r="AV35" i="7" s="1"/>
  <c r="AE55" i="9"/>
  <c r="AD20" i="19"/>
  <c r="AD21" i="19"/>
  <c r="AD40" i="19"/>
  <c r="AD34" i="19"/>
  <c r="AD32" i="19"/>
  <c r="AD22" i="19"/>
  <c r="I50" i="19"/>
  <c r="O50" i="19"/>
  <c r="P58" i="19"/>
  <c r="J50" i="19"/>
  <c r="M12" i="19"/>
  <c r="P50" i="19"/>
  <c r="K50" i="19"/>
  <c r="L59" i="19"/>
  <c r="L57" i="19"/>
  <c r="P59" i="19"/>
  <c r="G52" i="96" l="1"/>
  <c r="G55" i="96" s="1"/>
  <c r="G62" i="96" s="1"/>
  <c r="BN19" i="8" s="1"/>
  <c r="G57" i="96"/>
  <c r="G60" i="96" s="1"/>
  <c r="H14" i="92"/>
  <c r="H13" i="92" s="1"/>
  <c r="K38" i="105"/>
  <c r="L37" i="105" s="1"/>
  <c r="L36" i="105"/>
  <c r="Z37" i="65"/>
  <c r="AA37" i="65"/>
  <c r="AB37" i="65" s="1"/>
  <c r="AC37" i="65" s="1"/>
  <c r="AD37" i="65" s="1"/>
  <c r="AE37" i="65" s="1"/>
  <c r="AF15" i="119"/>
  <c r="I17" i="120" s="1"/>
  <c r="I16" i="120" s="1"/>
  <c r="C9" i="116"/>
  <c r="FZ9" i="116"/>
  <c r="AE15" i="119" s="1"/>
  <c r="FF9" i="116"/>
  <c r="EW9" i="116"/>
  <c r="EN9" i="116"/>
  <c r="DG9" i="116"/>
  <c r="CX9" i="116"/>
  <c r="CO9" i="116"/>
  <c r="BH9" i="116"/>
  <c r="AY9" i="116"/>
  <c r="AP9" i="116"/>
  <c r="U9" i="116"/>
  <c r="L9" i="116"/>
  <c r="GJ9" i="116"/>
  <c r="GI9" i="116" s="1"/>
  <c r="CB25" i="115"/>
  <c r="CI25" i="115"/>
  <c r="CC77" i="115"/>
  <c r="BN27" i="8"/>
  <c r="CC71" i="115" s="1"/>
  <c r="H33" i="84"/>
  <c r="J33" i="84" s="1"/>
  <c r="G33" i="84"/>
  <c r="T16" i="82"/>
  <c r="AK48" i="5"/>
  <c r="AK47" i="5"/>
  <c r="AK50" i="5"/>
  <c r="AK49" i="5"/>
  <c r="BN87" i="8"/>
  <c r="BM52" i="8"/>
  <c r="S16" i="98"/>
  <c r="T11" i="98"/>
  <c r="S26" i="98"/>
  <c r="S9" i="98"/>
  <c r="FZ8" i="116"/>
  <c r="C8" i="116"/>
  <c r="FF8" i="116"/>
  <c r="FE8" i="116" s="1"/>
  <c r="EW8" i="116"/>
  <c r="EV8" i="116" s="1"/>
  <c r="EN8" i="116"/>
  <c r="DG8" i="116"/>
  <c r="DF8" i="116" s="1"/>
  <c r="CX8" i="116"/>
  <c r="CW8" i="116" s="1"/>
  <c r="CO8" i="116"/>
  <c r="BH8" i="116"/>
  <c r="BG8" i="116" s="1"/>
  <c r="AY8" i="116"/>
  <c r="AX8" i="116" s="1"/>
  <c r="AP8" i="116"/>
  <c r="U8" i="116"/>
  <c r="T8" i="116" s="1"/>
  <c r="L8" i="116"/>
  <c r="K8" i="116" s="1"/>
  <c r="GJ8" i="116"/>
  <c r="GI8" i="116" s="1"/>
  <c r="GA12" i="116"/>
  <c r="CC12" i="115"/>
  <c r="D34" i="84"/>
  <c r="D35" i="84" s="1"/>
  <c r="E34" i="84"/>
  <c r="CB90" i="115"/>
  <c r="CH90" i="115" s="1"/>
  <c r="CI90" i="115"/>
  <c r="CB97" i="115"/>
  <c r="CH97" i="115" s="1"/>
  <c r="CI97" i="115"/>
  <c r="AU17" i="5"/>
  <c r="AU26" i="5"/>
  <c r="AU24" i="5"/>
  <c r="AU22" i="5"/>
  <c r="AU20" i="5"/>
  <c r="AU12" i="5"/>
  <c r="AU25" i="5"/>
  <c r="AU35" i="5"/>
  <c r="AU43" i="5"/>
  <c r="AU21" i="5"/>
  <c r="AU34" i="5"/>
  <c r="AU42" i="5"/>
  <c r="AU16" i="5"/>
  <c r="AU32" i="5"/>
  <c r="AU41" i="5"/>
  <c r="AU19" i="5"/>
  <c r="AU31" i="5"/>
  <c r="AU36" i="5"/>
  <c r="AU44" i="5"/>
  <c r="AU15" i="5"/>
  <c r="AU40" i="5"/>
  <c r="AU18" i="5"/>
  <c r="AU23" i="5"/>
  <c r="AU33" i="5"/>
  <c r="AU28" i="5"/>
  <c r="AU39" i="5"/>
  <c r="AU13" i="5"/>
  <c r="AU29" i="5"/>
  <c r="AU38" i="5"/>
  <c r="AU14" i="5"/>
  <c r="AU30" i="5"/>
  <c r="AU37" i="5"/>
  <c r="AU8" i="5"/>
  <c r="AU47" i="5" s="1"/>
  <c r="AU11" i="5"/>
  <c r="CH36" i="17"/>
  <c r="CH24" i="17"/>
  <c r="CE31" i="17"/>
  <c r="CF30" i="17"/>
  <c r="CE30" i="17" s="1"/>
  <c r="CE25" i="17"/>
  <c r="CF24" i="17"/>
  <c r="CB31" i="17"/>
  <c r="CC30" i="17"/>
  <c r="CB30" i="17" s="1"/>
  <c r="CB25" i="17"/>
  <c r="CC24" i="17"/>
  <c r="C12" i="86"/>
  <c r="BJ53" i="7"/>
  <c r="BI50" i="7"/>
  <c r="BH53" i="7"/>
  <c r="BH50" i="7" s="1"/>
  <c r="BC74" i="8"/>
  <c r="F22" i="66" s="1"/>
  <c r="I22" i="66" s="1"/>
  <c r="N22" i="66" s="1"/>
  <c r="BD51" i="7"/>
  <c r="BD50" i="7" s="1"/>
  <c r="BD129" i="7" s="1"/>
  <c r="C9" i="74"/>
  <c r="BG52" i="7"/>
  <c r="C11" i="74"/>
  <c r="C12" i="74" s="1"/>
  <c r="AG44" i="3"/>
  <c r="AE43" i="3"/>
  <c r="I13" i="66"/>
  <c r="N13" i="66" s="1"/>
  <c r="BB55" i="72"/>
  <c r="BE55" i="72" s="1"/>
  <c r="BR55" i="72" s="1"/>
  <c r="BY55" i="72" s="1"/>
  <c r="BG55" i="72"/>
  <c r="BQ55" i="72"/>
  <c r="BX55" i="72" s="1"/>
  <c r="BF50" i="72"/>
  <c r="BD50" i="72"/>
  <c r="BG50" i="72" s="1"/>
  <c r="AU42" i="8"/>
  <c r="AU80" i="8" s="1"/>
  <c r="AG149" i="7"/>
  <c r="AZ19" i="8"/>
  <c r="BH51" i="11"/>
  <c r="BF131" i="7"/>
  <c r="F18" i="61" s="1"/>
  <c r="BD59" i="7"/>
  <c r="BD131" i="7" s="1"/>
  <c r="I60" i="56"/>
  <c r="N60" i="56" s="1"/>
  <c r="N59" i="56" s="1"/>
  <c r="AU46" i="8"/>
  <c r="AU81" i="8" s="1"/>
  <c r="AU33" i="8"/>
  <c r="AU79" i="8" s="1"/>
  <c r="AT27" i="8"/>
  <c r="AR42" i="8"/>
  <c r="AR80" i="8" s="1"/>
  <c r="AT76" i="8"/>
  <c r="BG72" i="7"/>
  <c r="AL12" i="19"/>
  <c r="BC23" i="8"/>
  <c r="BD55" i="9"/>
  <c r="AT79" i="8"/>
  <c r="AT42" i="8"/>
  <c r="AT80" i="8" s="1"/>
  <c r="AU19" i="8"/>
  <c r="AU78" i="8" s="1"/>
  <c r="AT74" i="8"/>
  <c r="AU24" i="8"/>
  <c r="AU77" i="8" s="1"/>
  <c r="AQ42" i="8"/>
  <c r="AQ80" i="8" s="1"/>
  <c r="AT25" i="8"/>
  <c r="AT17" i="8"/>
  <c r="BD33" i="11"/>
  <c r="BH33" i="11" s="1"/>
  <c r="F16" i="65"/>
  <c r="BC44" i="8"/>
  <c r="BC42" i="8" s="1"/>
  <c r="AR24" i="8"/>
  <c r="AR77" i="8" s="1"/>
  <c r="BD30" i="11"/>
  <c r="BH30" i="11" s="1"/>
  <c r="H35" i="32"/>
  <c r="J35" i="32" s="1"/>
  <c r="J36" i="32" s="1"/>
  <c r="G35" i="32"/>
  <c r="G36" i="32" s="1"/>
  <c r="G39" i="32" s="1"/>
  <c r="BD32" i="11"/>
  <c r="BH32" i="11" s="1"/>
  <c r="BG10" i="7"/>
  <c r="BD29" i="11"/>
  <c r="BH29" i="11" s="1"/>
  <c r="AA38" i="3"/>
  <c r="E18" i="84" s="1"/>
  <c r="BD35" i="11"/>
  <c r="BH35" i="11" s="1"/>
  <c r="BD34" i="11"/>
  <c r="BH34" i="11" s="1"/>
  <c r="AB55" i="8"/>
  <c r="AQ74" i="8"/>
  <c r="AB57" i="8"/>
  <c r="AR33" i="8"/>
  <c r="AR79" i="8" s="1"/>
  <c r="AQ27" i="8"/>
  <c r="AB61" i="8"/>
  <c r="AB62" i="8" s="1"/>
  <c r="AB93" i="8"/>
  <c r="AB94" i="8" s="1"/>
  <c r="BR36" i="17"/>
  <c r="AU135" i="7"/>
  <c r="AU141" i="7" s="1"/>
  <c r="AU144" i="7" s="1"/>
  <c r="AU145" i="7" s="1"/>
  <c r="AR18" i="8"/>
  <c r="AR73" i="8" s="1"/>
  <c r="AQ25" i="8"/>
  <c r="AX74" i="8"/>
  <c r="AQ17" i="8"/>
  <c r="AQ79" i="8"/>
  <c r="AQ76" i="8"/>
  <c r="BB9" i="8"/>
  <c r="BB73" i="8" s="1"/>
  <c r="AZ73" i="8"/>
  <c r="E19" i="32"/>
  <c r="BC50" i="9"/>
  <c r="BF50" i="9" s="1"/>
  <c r="BG58" i="9"/>
  <c r="BB74" i="8"/>
  <c r="BF50" i="7"/>
  <c r="BG50" i="7"/>
  <c r="AF135" i="7"/>
  <c r="AF139" i="7" s="1"/>
  <c r="AG135" i="7"/>
  <c r="AG141" i="7" s="1"/>
  <c r="M28" i="56"/>
  <c r="M38" i="56" s="1"/>
  <c r="BD136" i="7"/>
  <c r="BF31" i="7"/>
  <c r="BF29" i="7"/>
  <c r="BD125" i="7"/>
  <c r="BF13" i="7"/>
  <c r="BF36" i="7"/>
  <c r="BG36" i="7" s="1"/>
  <c r="M48" i="56"/>
  <c r="M58" i="56" s="1"/>
  <c r="H58" i="56"/>
  <c r="BB50" i="7"/>
  <c r="BC51" i="7"/>
  <c r="BC50" i="7" s="1"/>
  <c r="AZ76" i="8"/>
  <c r="BB13" i="8"/>
  <c r="L28" i="56"/>
  <c r="L38" i="56" s="1"/>
  <c r="BF39" i="7"/>
  <c r="BG39" i="7" s="1"/>
  <c r="BB29" i="7"/>
  <c r="BB36" i="7"/>
  <c r="BC36" i="7" s="1"/>
  <c r="AZ136" i="7"/>
  <c r="L48" i="56"/>
  <c r="L58" i="56" s="1"/>
  <c r="E123" i="56"/>
  <c r="D124" i="56"/>
  <c r="B124" i="56" s="1"/>
  <c r="E103" i="56"/>
  <c r="D104" i="56"/>
  <c r="B104" i="56" s="1"/>
  <c r="S39" i="56"/>
  <c r="I40" i="56"/>
  <c r="N40" i="56" s="1"/>
  <c r="N39" i="56" s="1"/>
  <c r="W39" i="56" s="1"/>
  <c r="W59" i="56"/>
  <c r="C20" i="56"/>
  <c r="AD25" i="8"/>
  <c r="AD77" i="8"/>
  <c r="AD86" i="8" s="1"/>
  <c r="AP93" i="8"/>
  <c r="AP94" i="8" s="1"/>
  <c r="AP91" i="8"/>
  <c r="AC86" i="8"/>
  <c r="AD17" i="8"/>
  <c r="AE144" i="7"/>
  <c r="AE145" i="7" s="1"/>
  <c r="AE142" i="7"/>
  <c r="AT144" i="7"/>
  <c r="AT145" i="7" s="1"/>
  <c r="AT142" i="7"/>
  <c r="BR37" i="17"/>
  <c r="AD61" i="19"/>
  <c r="H34" i="84" l="1"/>
  <c r="J34" i="84" s="1"/>
  <c r="G34" i="84"/>
  <c r="CB12" i="115"/>
  <c r="C12" i="115"/>
  <c r="BN12" i="115"/>
  <c r="AP12" i="115"/>
  <c r="R12" i="115"/>
  <c r="CI12" i="115"/>
  <c r="CH12" i="115" s="1"/>
  <c r="CC9" i="115"/>
  <c r="CN8" i="116"/>
  <c r="DP8" i="116"/>
  <c r="AD8" i="116"/>
  <c r="B8" i="116"/>
  <c r="T16" i="98"/>
  <c r="U11" i="98"/>
  <c r="T9" i="98"/>
  <c r="BO46" i="8"/>
  <c r="CD111" i="115" s="1"/>
  <c r="BN46" i="8"/>
  <c r="BM87" i="8"/>
  <c r="BO23" i="8"/>
  <c r="BO20" i="8"/>
  <c r="BN23" i="8"/>
  <c r="BN20" i="8"/>
  <c r="BN26" i="8"/>
  <c r="BO26" i="8"/>
  <c r="BQ34" i="7"/>
  <c r="AK53" i="5"/>
  <c r="BQ16" i="7"/>
  <c r="AK51" i="5"/>
  <c r="J35" i="84"/>
  <c r="CI77" i="115"/>
  <c r="CB77" i="115"/>
  <c r="CH77" i="115" s="1"/>
  <c r="U58" i="116"/>
  <c r="B41" i="117"/>
  <c r="E41" i="117" s="1"/>
  <c r="G41" i="117" s="1"/>
  <c r="T9" i="116"/>
  <c r="T58" i="116" s="1"/>
  <c r="AY58" i="116"/>
  <c r="B43" i="117"/>
  <c r="E43" i="117" s="1"/>
  <c r="G43" i="117" s="1"/>
  <c r="AX9" i="116"/>
  <c r="AX58" i="116" s="1"/>
  <c r="B45" i="117"/>
  <c r="E45" i="117" s="1"/>
  <c r="G45" i="117" s="1"/>
  <c r="DP9" i="116"/>
  <c r="CO58" i="116"/>
  <c r="CN9" i="116"/>
  <c r="CN58" i="116" s="1"/>
  <c r="DG58" i="116"/>
  <c r="B47" i="117"/>
  <c r="E47" i="117" s="1"/>
  <c r="G47" i="117" s="1"/>
  <c r="DF9" i="116"/>
  <c r="DF58" i="116" s="1"/>
  <c r="B49" i="117"/>
  <c r="E49" i="117" s="1"/>
  <c r="G49" i="117" s="1"/>
  <c r="EV9" i="116"/>
  <c r="EV58" i="116" s="1"/>
  <c r="EW58" i="116"/>
  <c r="G37" i="105"/>
  <c r="M34" i="104" s="1"/>
  <c r="E37" i="105"/>
  <c r="K34" i="104" s="1"/>
  <c r="H37" i="105"/>
  <c r="N34" i="104" s="1"/>
  <c r="I15" i="92"/>
  <c r="G15" i="92" s="1"/>
  <c r="K35" i="104" s="1"/>
  <c r="I37" i="105"/>
  <c r="O34" i="104" s="1"/>
  <c r="F37" i="105"/>
  <c r="L34" i="104" s="1"/>
  <c r="J37" i="105"/>
  <c r="P34" i="104" s="1"/>
  <c r="AF18" i="119"/>
  <c r="FZ12" i="116"/>
  <c r="AE18" i="119" s="1"/>
  <c r="FF12" i="116"/>
  <c r="FE12" i="116" s="1"/>
  <c r="EW12" i="116"/>
  <c r="EV12" i="116" s="1"/>
  <c r="EN12" i="116"/>
  <c r="DG12" i="116"/>
  <c r="DF12" i="116" s="1"/>
  <c r="CX12" i="116"/>
  <c r="CW12" i="116" s="1"/>
  <c r="CO12" i="116"/>
  <c r="BH12" i="116"/>
  <c r="BG12" i="116" s="1"/>
  <c r="AY12" i="116"/>
  <c r="AX12" i="116" s="1"/>
  <c r="AP12" i="116"/>
  <c r="U12" i="116"/>
  <c r="T12" i="116" s="1"/>
  <c r="L12" i="116"/>
  <c r="K12" i="116" s="1"/>
  <c r="C12" i="116"/>
  <c r="GJ12" i="116"/>
  <c r="GI12" i="116" s="1"/>
  <c r="AO8" i="116"/>
  <c r="BQ8" i="116"/>
  <c r="BP8" i="116" s="1"/>
  <c r="EM8" i="116"/>
  <c r="FO8" i="116"/>
  <c r="S24" i="98"/>
  <c r="S29" i="98" s="1"/>
  <c r="S34" i="98" s="1"/>
  <c r="T26" i="98"/>
  <c r="S31" i="98"/>
  <c r="S36" i="98" s="1"/>
  <c r="BN18" i="8" s="1"/>
  <c r="S14" i="98"/>
  <c r="S19" i="98" s="1"/>
  <c r="BN9" i="8" s="1"/>
  <c r="S21" i="98"/>
  <c r="S40" i="98" s="1"/>
  <c r="AK54" i="5"/>
  <c r="BQ42" i="7"/>
  <c r="AK52" i="5"/>
  <c r="BR26" i="7"/>
  <c r="G35" i="84"/>
  <c r="G38" i="84" s="1"/>
  <c r="CI71" i="115"/>
  <c r="CB71" i="115"/>
  <c r="CH71" i="115" s="1"/>
  <c r="CH25" i="115"/>
  <c r="L58" i="116"/>
  <c r="B40" i="117"/>
  <c r="E40" i="117" s="1"/>
  <c r="G40" i="117" s="1"/>
  <c r="K9" i="116"/>
  <c r="K58" i="116" s="1"/>
  <c r="B42" i="117"/>
  <c r="E42" i="117" s="1"/>
  <c r="G42" i="117" s="1"/>
  <c r="BQ9" i="116"/>
  <c r="AO9" i="116"/>
  <c r="AO58" i="116" s="1"/>
  <c r="AP58" i="116"/>
  <c r="BQ58" i="116" s="1"/>
  <c r="BH58" i="116"/>
  <c r="B44" i="117"/>
  <c r="E44" i="117" s="1"/>
  <c r="G44" i="117" s="1"/>
  <c r="BG9" i="116"/>
  <c r="BG58" i="116" s="1"/>
  <c r="B46" i="117"/>
  <c r="E46" i="117" s="1"/>
  <c r="G46" i="117" s="1"/>
  <c r="CW9" i="116"/>
  <c r="CW58" i="116" s="1"/>
  <c r="CX58" i="116"/>
  <c r="B48" i="117"/>
  <c r="E48" i="117" s="1"/>
  <c r="G48" i="117" s="1"/>
  <c r="EN58" i="116"/>
  <c r="EM9" i="116"/>
  <c r="EM58" i="116" s="1"/>
  <c r="FO9" i="116"/>
  <c r="FF58" i="116"/>
  <c r="B50" i="117"/>
  <c r="E50" i="117" s="1"/>
  <c r="G50" i="117" s="1"/>
  <c r="FE9" i="116"/>
  <c r="FE58" i="116" s="1"/>
  <c r="C58" i="116"/>
  <c r="AD58" i="116" s="1"/>
  <c r="B39" i="117"/>
  <c r="B9" i="116"/>
  <c r="B58" i="116" s="1"/>
  <c r="AC58" i="116" s="1"/>
  <c r="AD9" i="116"/>
  <c r="F36" i="105"/>
  <c r="J36" i="105"/>
  <c r="G36" i="105"/>
  <c r="E36" i="105"/>
  <c r="K26" i="104" s="1"/>
  <c r="H36" i="105"/>
  <c r="I14" i="92"/>
  <c r="G14" i="92" s="1"/>
  <c r="K27" i="104" s="1"/>
  <c r="I36" i="105"/>
  <c r="BN78" i="8"/>
  <c r="CC38" i="115"/>
  <c r="BM19" i="8"/>
  <c r="BM78" i="8" s="1"/>
  <c r="CB24" i="17"/>
  <c r="CB36" i="17"/>
  <c r="CE24" i="17"/>
  <c r="CE36" i="17"/>
  <c r="BG13" i="7"/>
  <c r="BJ50" i="7"/>
  <c r="BJ61" i="7" s="1"/>
  <c r="BL53" i="7"/>
  <c r="BH129" i="7"/>
  <c r="BH135" i="7" s="1"/>
  <c r="BH61" i="7"/>
  <c r="BJ129" i="7"/>
  <c r="BJ135" i="7" s="1"/>
  <c r="BI129" i="7"/>
  <c r="BI135" i="7" s="1"/>
  <c r="BI61" i="7"/>
  <c r="E21" i="74"/>
  <c r="D13" i="77" s="1"/>
  <c r="E9" i="74"/>
  <c r="E12" i="74" s="1"/>
  <c r="BD56" i="9"/>
  <c r="BC48" i="9" s="1"/>
  <c r="BD56" i="72"/>
  <c r="BP58" i="72"/>
  <c r="AE47" i="3"/>
  <c r="AG47" i="3" s="1"/>
  <c r="AG43" i="3"/>
  <c r="AE39" i="3"/>
  <c r="AU25" i="8"/>
  <c r="AZ78" i="8"/>
  <c r="BB19" i="8"/>
  <c r="BB78" i="8" s="1"/>
  <c r="BB55" i="9"/>
  <c r="BI61" i="9"/>
  <c r="BC80" i="8"/>
  <c r="F16" i="66"/>
  <c r="BG129" i="7"/>
  <c r="BC129" i="7"/>
  <c r="BB129" i="7"/>
  <c r="AA42" i="3"/>
  <c r="BG31" i="7"/>
  <c r="BG125" i="7" s="1"/>
  <c r="BC76" i="8"/>
  <c r="AT51" i="8"/>
  <c r="AT57" i="8" s="1"/>
  <c r="AT86" i="8"/>
  <c r="AT90" i="8" s="1"/>
  <c r="AU86" i="8"/>
  <c r="AU88" i="8" s="1"/>
  <c r="AU17" i="8"/>
  <c r="AU51" i="8" s="1"/>
  <c r="AU57" i="8" s="1"/>
  <c r="BC78" i="8"/>
  <c r="I16" i="65"/>
  <c r="N16" i="61"/>
  <c r="J37" i="32"/>
  <c r="AR25" i="8"/>
  <c r="BH39" i="11"/>
  <c r="BD19" i="7" s="1"/>
  <c r="BD127" i="7" s="1"/>
  <c r="BF129" i="7"/>
  <c r="AQ51" i="8"/>
  <c r="AQ57" i="8" s="1"/>
  <c r="AG139" i="7"/>
  <c r="AR17" i="8"/>
  <c r="AR51" i="8" s="1"/>
  <c r="AR61" i="8" s="1"/>
  <c r="AR62" i="8" s="1"/>
  <c r="BG56" i="9"/>
  <c r="AR86" i="8"/>
  <c r="AR90" i="8" s="1"/>
  <c r="AR93" i="8" s="1"/>
  <c r="AR94" i="8" s="1"/>
  <c r="AU139" i="7"/>
  <c r="AQ86" i="8"/>
  <c r="AQ90" i="8" s="1"/>
  <c r="AU142" i="7"/>
  <c r="BD50" i="9"/>
  <c r="BD18" i="7" s="1"/>
  <c r="BF18" i="7" s="1"/>
  <c r="BD48" i="9"/>
  <c r="BC51" i="9"/>
  <c r="BF51" i="9" s="1"/>
  <c r="BF48" i="9"/>
  <c r="AF141" i="7"/>
  <c r="AF144" i="7" s="1"/>
  <c r="AF145" i="7" s="1"/>
  <c r="BG29" i="7"/>
  <c r="BG123" i="7" s="1"/>
  <c r="F22" i="64" s="1"/>
  <c r="I22" i="64" s="1"/>
  <c r="BF123" i="7"/>
  <c r="BC29" i="7"/>
  <c r="BC123" i="7" s="1"/>
  <c r="BB123" i="7"/>
  <c r="BF125" i="7"/>
  <c r="BB76" i="8"/>
  <c r="C123" i="56"/>
  <c r="C103" i="56"/>
  <c r="C19" i="56"/>
  <c r="B20" i="56"/>
  <c r="AC90" i="8"/>
  <c r="AC88" i="8"/>
  <c r="AD90" i="8"/>
  <c r="AD88" i="8"/>
  <c r="AG144" i="7"/>
  <c r="AG145" i="7" s="1"/>
  <c r="AG142" i="7"/>
  <c r="AC57" i="19"/>
  <c r="AC58" i="19"/>
  <c r="FO58" i="116" l="1"/>
  <c r="CC18" i="115"/>
  <c r="BM9" i="8"/>
  <c r="BN8" i="8"/>
  <c r="BN73" i="8"/>
  <c r="CC150" i="115"/>
  <c r="CI150" i="115" s="1"/>
  <c r="CI38" i="115"/>
  <c r="C38" i="115"/>
  <c r="CB38" i="115"/>
  <c r="M49" i="119"/>
  <c r="AL58" i="116"/>
  <c r="N49" i="119"/>
  <c r="CC58" i="116"/>
  <c r="AM58" i="116"/>
  <c r="AC15" i="119"/>
  <c r="H17" i="120" s="1"/>
  <c r="H16" i="120" s="1"/>
  <c r="FX9" i="116"/>
  <c r="FW9" i="116" s="1"/>
  <c r="FN9" i="116"/>
  <c r="AB15" i="119" s="1"/>
  <c r="AC49" i="119"/>
  <c r="FX58" i="116"/>
  <c r="Q49" i="119"/>
  <c r="BZ58" i="116"/>
  <c r="Q15" i="119"/>
  <c r="D17" i="120" s="1"/>
  <c r="D16" i="120" s="1"/>
  <c r="BP9" i="116"/>
  <c r="P15" i="119" s="1"/>
  <c r="BZ9" i="116"/>
  <c r="BY9" i="116" s="1"/>
  <c r="CC66" i="113"/>
  <c r="BQ26" i="7"/>
  <c r="BR17" i="7"/>
  <c r="BQ35" i="7"/>
  <c r="BR42" i="7"/>
  <c r="BS42" i="7"/>
  <c r="BM18" i="8"/>
  <c r="CC37" i="115"/>
  <c r="S38" i="98"/>
  <c r="AD12" i="116"/>
  <c r="B12" i="116"/>
  <c r="DP12" i="116"/>
  <c r="CN12" i="116"/>
  <c r="DP58" i="116"/>
  <c r="BO79" i="8"/>
  <c r="CD45" i="115"/>
  <c r="BN74" i="8"/>
  <c r="BN104" i="8" s="1"/>
  <c r="Y22" i="65" s="1"/>
  <c r="CC39" i="115"/>
  <c r="CD39" i="115"/>
  <c r="BO74" i="8"/>
  <c r="BO104" i="8" s="1"/>
  <c r="W22" i="66" s="1"/>
  <c r="CD164" i="115"/>
  <c r="CJ164" i="115" s="1"/>
  <c r="CD117" i="115"/>
  <c r="CJ111" i="115"/>
  <c r="V11" i="98"/>
  <c r="U9" i="98"/>
  <c r="U16" i="98"/>
  <c r="AC8" i="116"/>
  <c r="CC8" i="116"/>
  <c r="AM8" i="116"/>
  <c r="AL8" i="116" s="1"/>
  <c r="AP142" i="115"/>
  <c r="AO12" i="115"/>
  <c r="AO142" i="115" s="1"/>
  <c r="C142" i="115"/>
  <c r="AG12" i="115"/>
  <c r="B12" i="115"/>
  <c r="B142" i="115" s="1"/>
  <c r="BN43" i="8"/>
  <c r="L27" i="104"/>
  <c r="M27" i="104" s="1"/>
  <c r="N27" i="104" s="1"/>
  <c r="O27" i="104" s="1"/>
  <c r="P27" i="104" s="1"/>
  <c r="L26" i="104"/>
  <c r="K31" i="104"/>
  <c r="BN45" i="8"/>
  <c r="AC9" i="116"/>
  <c r="M15" i="119" s="1"/>
  <c r="N15" i="119"/>
  <c r="C17" i="120" s="1"/>
  <c r="AM9" i="116"/>
  <c r="AL9" i="116" s="1"/>
  <c r="CC9" i="116"/>
  <c r="B51" i="117"/>
  <c r="E39" i="117"/>
  <c r="FN58" i="116"/>
  <c r="BP58" i="116"/>
  <c r="T31" i="98"/>
  <c r="T36" i="98" s="1"/>
  <c r="T24" i="98"/>
  <c r="T29" i="98" s="1"/>
  <c r="T34" i="98" s="1"/>
  <c r="U26" i="98"/>
  <c r="FN8" i="116"/>
  <c r="FX8" i="116"/>
  <c r="FW8" i="116" s="1"/>
  <c r="BZ8" i="116"/>
  <c r="BY8" i="116" s="1"/>
  <c r="AO12" i="116"/>
  <c r="BQ12" i="116"/>
  <c r="EM12" i="116"/>
  <c r="FO12" i="116"/>
  <c r="L35" i="104"/>
  <c r="M35" i="104" s="1"/>
  <c r="N35" i="104" s="1"/>
  <c r="O35" i="104" s="1"/>
  <c r="P35" i="104" s="1"/>
  <c r="P39" i="104" s="1"/>
  <c r="BO43" i="8"/>
  <c r="K39" i="104"/>
  <c r="Y16" i="66" s="1"/>
  <c r="Y14" i="66" s="1"/>
  <c r="BO45" i="8"/>
  <c r="CD110" i="115" s="1"/>
  <c r="DO58" i="116"/>
  <c r="W15" i="119"/>
  <c r="F17" i="120" s="1"/>
  <c r="F16" i="120" s="1"/>
  <c r="DY9" i="116"/>
  <c r="DX9" i="116" s="1"/>
  <c r="DO9" i="116"/>
  <c r="V15" i="119" s="1"/>
  <c r="J36" i="84"/>
  <c r="BS16" i="7"/>
  <c r="BR16" i="7"/>
  <c r="BQ8" i="7"/>
  <c r="BQ27" i="7"/>
  <c r="BR34" i="7"/>
  <c r="CC101" i="113" s="1"/>
  <c r="BS34" i="7"/>
  <c r="CD101" i="113" s="1"/>
  <c r="CJ101" i="113" s="1"/>
  <c r="CC45" i="115"/>
  <c r="CC155" i="115" s="1"/>
  <c r="BN79" i="8"/>
  <c r="CC42" i="115"/>
  <c r="BN76" i="8"/>
  <c r="BN24" i="8"/>
  <c r="BN17" i="8" s="1"/>
  <c r="CC36" i="115" s="1"/>
  <c r="CI36" i="115" s="1"/>
  <c r="CD42" i="115"/>
  <c r="BO24" i="8"/>
  <c r="BO17" i="8" s="1"/>
  <c r="CD36" i="115" s="1"/>
  <c r="BO76" i="8"/>
  <c r="CC111" i="115"/>
  <c r="BN81" i="8"/>
  <c r="T21" i="98"/>
  <c r="T14" i="98"/>
  <c r="T19" i="98" s="1"/>
  <c r="T38" i="98" s="1"/>
  <c r="DO8" i="116"/>
  <c r="DY8" i="116"/>
  <c r="DX8" i="116" s="1"/>
  <c r="CC121" i="115"/>
  <c r="CB9" i="115"/>
  <c r="C9" i="115"/>
  <c r="R9" i="115"/>
  <c r="CI9" i="115"/>
  <c r="CH9" i="115" s="1"/>
  <c r="CC8" i="115"/>
  <c r="BN9" i="115"/>
  <c r="AP9" i="115"/>
  <c r="R142" i="115"/>
  <c r="AG142" i="115" s="1"/>
  <c r="Q12" i="115"/>
  <c r="Q142" i="115" s="1"/>
  <c r="AF142" i="115" s="1"/>
  <c r="BN142" i="115"/>
  <c r="BM12" i="115"/>
  <c r="BM142" i="115" s="1"/>
  <c r="BM53" i="7"/>
  <c r="BL50" i="7"/>
  <c r="BK53" i="7"/>
  <c r="BK50" i="7" s="1"/>
  <c r="BI141" i="7"/>
  <c r="BI139" i="7"/>
  <c r="BJ141" i="7"/>
  <c r="BJ139" i="7"/>
  <c r="BH141" i="7"/>
  <c r="BH139" i="7"/>
  <c r="BI70" i="7"/>
  <c r="BI71" i="7" s="1"/>
  <c r="BI65" i="7"/>
  <c r="BI67" i="7"/>
  <c r="BI68" i="7"/>
  <c r="BJ67" i="7"/>
  <c r="BJ65" i="7"/>
  <c r="BJ68" i="7"/>
  <c r="BJ70" i="7"/>
  <c r="BJ71" i="7" s="1"/>
  <c r="BH70" i="7"/>
  <c r="BH71" i="7" s="1"/>
  <c r="BH65" i="7"/>
  <c r="BH67" i="7"/>
  <c r="BH68" i="7"/>
  <c r="C13" i="77"/>
  <c r="D11" i="77"/>
  <c r="K16" i="64"/>
  <c r="K14" i="64" s="1"/>
  <c r="N22" i="61"/>
  <c r="I16" i="66"/>
  <c r="N16" i="66" s="1"/>
  <c r="N14" i="66" s="1"/>
  <c r="K14" i="66"/>
  <c r="BV58" i="72"/>
  <c r="CM58" i="72" s="1"/>
  <c r="BO50" i="72"/>
  <c r="BS58" i="72"/>
  <c r="N22" i="64"/>
  <c r="I16" i="64"/>
  <c r="I14" i="64" s="1"/>
  <c r="AE38" i="3"/>
  <c r="AG39" i="3"/>
  <c r="BC48" i="72"/>
  <c r="BG56" i="72"/>
  <c r="F14" i="66"/>
  <c r="AT58" i="8"/>
  <c r="AT55" i="8"/>
  <c r="F14" i="64"/>
  <c r="AT61" i="8"/>
  <c r="AT62" i="8" s="1"/>
  <c r="AT88" i="8"/>
  <c r="AU55" i="8"/>
  <c r="AT93" i="8"/>
  <c r="AT94" i="8" s="1"/>
  <c r="AT91" i="8"/>
  <c r="AU90" i="8"/>
  <c r="AU93" i="8" s="1"/>
  <c r="AU94" i="8" s="1"/>
  <c r="AU58" i="8"/>
  <c r="AU61" i="8"/>
  <c r="AU62" i="8" s="1"/>
  <c r="N16" i="65"/>
  <c r="N16" i="64"/>
  <c r="N14" i="64" s="1"/>
  <c r="AQ61" i="8"/>
  <c r="AQ62" i="8" s="1"/>
  <c r="AQ55" i="8"/>
  <c r="AR91" i="8"/>
  <c r="AQ58" i="8"/>
  <c r="AR55" i="8"/>
  <c r="AR58" i="8"/>
  <c r="AR57" i="8"/>
  <c r="AR88" i="8"/>
  <c r="AQ88" i="8"/>
  <c r="AQ93" i="8"/>
  <c r="AQ94" i="8" s="1"/>
  <c r="AQ91" i="8"/>
  <c r="BF19" i="7"/>
  <c r="BF127" i="7" s="1"/>
  <c r="AF142" i="7"/>
  <c r="BD51" i="9"/>
  <c r="BB51" i="9" s="1"/>
  <c r="BD9" i="7"/>
  <c r="BF9" i="7" s="1"/>
  <c r="C122" i="56"/>
  <c r="B123" i="56"/>
  <c r="B103" i="56"/>
  <c r="C102" i="56"/>
  <c r="B19" i="56"/>
  <c r="AD93" i="8"/>
  <c r="AD94" i="8" s="1"/>
  <c r="AD91" i="8"/>
  <c r="AC93" i="8"/>
  <c r="AC94" i="8" s="1"/>
  <c r="AC91" i="8"/>
  <c r="AC61" i="19"/>
  <c r="CB36" i="115" l="1"/>
  <c r="CH36" i="115" s="1"/>
  <c r="CJ36" i="115"/>
  <c r="BD142" i="115"/>
  <c r="AL142" i="115"/>
  <c r="AP121" i="115"/>
  <c r="AP139" i="115"/>
  <c r="AP174" i="115" s="1"/>
  <c r="AO9" i="115"/>
  <c r="CI8" i="115"/>
  <c r="CH8" i="115" s="1"/>
  <c r="C8" i="115"/>
  <c r="R8" i="115"/>
  <c r="Q8" i="115" s="1"/>
  <c r="CB8" i="115"/>
  <c r="BN8" i="115"/>
  <c r="BM8" i="115" s="1"/>
  <c r="AP8" i="115"/>
  <c r="AO8" i="115" s="1"/>
  <c r="R121" i="115"/>
  <c r="Q9" i="115"/>
  <c r="R139" i="115"/>
  <c r="CD70" i="115"/>
  <c r="CD65" i="115"/>
  <c r="CC70" i="115"/>
  <c r="CC65" i="115"/>
  <c r="CD59" i="115"/>
  <c r="CD69" i="115"/>
  <c r="CD64" i="115"/>
  <c r="CC69" i="115"/>
  <c r="CC64" i="115"/>
  <c r="CD60" i="115"/>
  <c r="CD56" i="115"/>
  <c r="CD53" i="115"/>
  <c r="CD49" i="115"/>
  <c r="CC59" i="115"/>
  <c r="CC54" i="115"/>
  <c r="CC50" i="115"/>
  <c r="CD54" i="115"/>
  <c r="CD50" i="115"/>
  <c r="CC60" i="115"/>
  <c r="CC56" i="115"/>
  <c r="CC51" i="115"/>
  <c r="CC47" i="115"/>
  <c r="CC46" i="115"/>
  <c r="CD68" i="115"/>
  <c r="CD63" i="115"/>
  <c r="CC68" i="115"/>
  <c r="CC63" i="115"/>
  <c r="CD67" i="115"/>
  <c r="CD62" i="115"/>
  <c r="CC67" i="115"/>
  <c r="CC62" i="115"/>
  <c r="CD58" i="115"/>
  <c r="CD57" i="115"/>
  <c r="CD51" i="115"/>
  <c r="CD47" i="115"/>
  <c r="CC57" i="115"/>
  <c r="CC52" i="115"/>
  <c r="CC48" i="115"/>
  <c r="CD52" i="115"/>
  <c r="CD48" i="115"/>
  <c r="CC58" i="115"/>
  <c r="CC53" i="115"/>
  <c r="CC49" i="115"/>
  <c r="CD46" i="115"/>
  <c r="CJ42" i="115"/>
  <c r="D42" i="115"/>
  <c r="CD152" i="115"/>
  <c r="CJ152" i="115" s="1"/>
  <c r="BR128" i="7"/>
  <c r="CC32" i="113"/>
  <c r="V49" i="119"/>
  <c r="DX58" i="116"/>
  <c r="FN12" i="116"/>
  <c r="AB18" i="119" s="1"/>
  <c r="AC18" i="119"/>
  <c r="FX12" i="116"/>
  <c r="FW12" i="116" s="1"/>
  <c r="Q18" i="119"/>
  <c r="BZ12" i="116"/>
  <c r="BY12" i="116" s="1"/>
  <c r="BP12" i="116"/>
  <c r="P18" i="119" s="1"/>
  <c r="U31" i="98"/>
  <c r="U36" i="98" s="1"/>
  <c r="U24" i="98"/>
  <c r="U29" i="98" s="1"/>
  <c r="U34" i="98" s="1"/>
  <c r="V26" i="98"/>
  <c r="T40" i="98"/>
  <c r="AA13" i="65" s="1"/>
  <c r="AB49" i="119"/>
  <c r="FW58" i="116"/>
  <c r="CB8" i="116"/>
  <c r="EB8" i="116"/>
  <c r="CL8" i="116"/>
  <c r="CK8" i="116" s="1"/>
  <c r="U14" i="98"/>
  <c r="U19" i="98" s="1"/>
  <c r="U38" i="98" s="1"/>
  <c r="U21" i="98"/>
  <c r="V16" i="98"/>
  <c r="W11" i="98"/>
  <c r="V9" i="98"/>
  <c r="CD170" i="115"/>
  <c r="CJ170" i="115" s="1"/>
  <c r="CJ117" i="115"/>
  <c r="CC117" i="115"/>
  <c r="D117" i="115"/>
  <c r="CJ39" i="115"/>
  <c r="D39" i="115"/>
  <c r="CD148" i="115"/>
  <c r="Z22" i="65"/>
  <c r="AA22" i="65"/>
  <c r="AB22" i="65" s="1"/>
  <c r="AC22" i="65" s="1"/>
  <c r="AD22" i="65" s="1"/>
  <c r="AE22" i="65" s="1"/>
  <c r="M39" i="104"/>
  <c r="AA16" i="66" s="1"/>
  <c r="AA14" i="66" s="1"/>
  <c r="O39" i="104"/>
  <c r="AC16" i="66" s="1"/>
  <c r="AC14" i="66" s="1"/>
  <c r="W18" i="119"/>
  <c r="DY12" i="116"/>
  <c r="DX12" i="116" s="1"/>
  <c r="DO12" i="116"/>
  <c r="V18" i="119" s="1"/>
  <c r="N18" i="119"/>
  <c r="AM12" i="116"/>
  <c r="AL12" i="116" s="1"/>
  <c r="CC12" i="116"/>
  <c r="AC12" i="116"/>
  <c r="M18" i="119" s="1"/>
  <c r="CC125" i="113"/>
  <c r="BR35" i="7"/>
  <c r="CC118" i="113" s="1"/>
  <c r="CC70" i="113"/>
  <c r="CC68" i="113"/>
  <c r="CC75" i="113"/>
  <c r="CI66" i="113"/>
  <c r="CB66" i="113"/>
  <c r="CH66" i="113" s="1"/>
  <c r="CC67" i="113"/>
  <c r="CC48" i="113"/>
  <c r="T49" i="119"/>
  <c r="CL58" i="116"/>
  <c r="EB58" i="116"/>
  <c r="CH38" i="115"/>
  <c r="CB150" i="115"/>
  <c r="CH150" i="115" s="1"/>
  <c r="BN98" i="8"/>
  <c r="Y13" i="65" s="1"/>
  <c r="Z13" i="65" s="1"/>
  <c r="BM8" i="8"/>
  <c r="BM73" i="8"/>
  <c r="BE142" i="115"/>
  <c r="BK142" i="115" s="1"/>
  <c r="AM142" i="115"/>
  <c r="BN121" i="115"/>
  <c r="BM9" i="115"/>
  <c r="BN139" i="115"/>
  <c r="C121" i="115"/>
  <c r="AG121" i="115" s="1"/>
  <c r="B9" i="115"/>
  <c r="C139" i="115"/>
  <c r="C174" i="115" s="1"/>
  <c r="AG9" i="115"/>
  <c r="CI121" i="115"/>
  <c r="CB121" i="115"/>
  <c r="CH121" i="115" s="1"/>
  <c r="CI111" i="115"/>
  <c r="CB111" i="115"/>
  <c r="CC164" i="115"/>
  <c r="CI164" i="115" s="1"/>
  <c r="CD43" i="115"/>
  <c r="BO77" i="8"/>
  <c r="BO25" i="8"/>
  <c r="CC43" i="115"/>
  <c r="BN25" i="8"/>
  <c r="BN77" i="8"/>
  <c r="BM24" i="8"/>
  <c r="C42" i="115"/>
  <c r="CI42" i="115"/>
  <c r="CB42" i="115"/>
  <c r="CC152" i="115"/>
  <c r="CI152" i="115" s="1"/>
  <c r="CI101" i="113"/>
  <c r="CB101" i="113"/>
  <c r="CH101" i="113" s="1"/>
  <c r="BS128" i="7"/>
  <c r="CD32" i="113"/>
  <c r="CJ110" i="115"/>
  <c r="CD163" i="115"/>
  <c r="CJ163" i="115" s="1"/>
  <c r="D110" i="115"/>
  <c r="CD108" i="115"/>
  <c r="BO42" i="8"/>
  <c r="L39" i="104"/>
  <c r="Z16" i="66" s="1"/>
  <c r="Z14" i="66" s="1"/>
  <c r="P49" i="119"/>
  <c r="BY58" i="116"/>
  <c r="E51" i="117"/>
  <c r="G39" i="117"/>
  <c r="G51" i="117" s="1"/>
  <c r="T15" i="119"/>
  <c r="E17" i="120" s="1"/>
  <c r="E16" i="120" s="1"/>
  <c r="CB9" i="116"/>
  <c r="S15" i="119" s="1"/>
  <c r="CL9" i="116"/>
  <c r="CK9" i="116" s="1"/>
  <c r="EB9" i="116"/>
  <c r="K17" i="120"/>
  <c r="C16" i="120"/>
  <c r="K16" i="120" s="1"/>
  <c r="CC110" i="115"/>
  <c r="BM45" i="8"/>
  <c r="L31" i="104"/>
  <c r="AA16" i="65" s="1"/>
  <c r="AA14" i="65" s="1"/>
  <c r="M26" i="104"/>
  <c r="CC108" i="115"/>
  <c r="BM43" i="8"/>
  <c r="BM42" i="8" s="1"/>
  <c r="BM80" i="8" s="1"/>
  <c r="BN42" i="8"/>
  <c r="AF12" i="115"/>
  <c r="AM12" i="115"/>
  <c r="AL12" i="115" s="1"/>
  <c r="BE12" i="115"/>
  <c r="X22" i="66"/>
  <c r="Y22" i="66"/>
  <c r="Z22" i="66" s="1"/>
  <c r="AA22" i="66" s="1"/>
  <c r="AB22" i="66" s="1"/>
  <c r="AC22" i="66" s="1"/>
  <c r="C39" i="115"/>
  <c r="CB39" i="115"/>
  <c r="CI39" i="115"/>
  <c r="CC148" i="115"/>
  <c r="CI148" i="115" s="1"/>
  <c r="CB45" i="115"/>
  <c r="CD155" i="115"/>
  <c r="W49" i="119"/>
  <c r="DY58" i="116"/>
  <c r="N39" i="104"/>
  <c r="AB16" i="66" s="1"/>
  <c r="AB14" i="66" s="1"/>
  <c r="C37" i="115"/>
  <c r="CI37" i="115"/>
  <c r="CB37" i="115"/>
  <c r="CH37" i="115" s="1"/>
  <c r="CD125" i="113"/>
  <c r="CJ125" i="113" s="1"/>
  <c r="BS35" i="7"/>
  <c r="CD118" i="113" s="1"/>
  <c r="CJ118" i="113" s="1"/>
  <c r="BQ128" i="7"/>
  <c r="BQ17" i="7"/>
  <c r="CB58" i="116"/>
  <c r="C150" i="115"/>
  <c r="C34" i="116" s="1"/>
  <c r="R38" i="115"/>
  <c r="B38" i="115"/>
  <c r="B150" i="115" s="1"/>
  <c r="AG38" i="115"/>
  <c r="CC17" i="115"/>
  <c r="BN51" i="8"/>
  <c r="CI18" i="115"/>
  <c r="CB18" i="115"/>
  <c r="CC147" i="115"/>
  <c r="C18" i="115"/>
  <c r="I14" i="66"/>
  <c r="BM50" i="7"/>
  <c r="BM61" i="7" s="1"/>
  <c r="BO53" i="7"/>
  <c r="BO50" i="7" s="1"/>
  <c r="BK129" i="7"/>
  <c r="BK135" i="7" s="1"/>
  <c r="BK61" i="7"/>
  <c r="BM129" i="7"/>
  <c r="BM135" i="7" s="1"/>
  <c r="BL129" i="7"/>
  <c r="BL135" i="7" s="1"/>
  <c r="BL61" i="7"/>
  <c r="K16" i="61"/>
  <c r="B13" i="77"/>
  <c r="B11" i="77" s="1"/>
  <c r="BH142" i="7"/>
  <c r="BH144" i="7"/>
  <c r="BH145" i="7" s="1"/>
  <c r="BJ142" i="7"/>
  <c r="BJ144" i="7"/>
  <c r="BJ145" i="7" s="1"/>
  <c r="BI142" i="7"/>
  <c r="BI144" i="7"/>
  <c r="BI145" i="7" s="1"/>
  <c r="C11" i="77"/>
  <c r="BR50" i="72"/>
  <c r="BP50" i="72"/>
  <c r="BF48" i="72"/>
  <c r="BC51" i="72"/>
  <c r="BF51" i="72" s="1"/>
  <c r="BD48" i="72"/>
  <c r="BP56" i="72"/>
  <c r="AG38" i="3"/>
  <c r="AE42" i="3"/>
  <c r="AG42" i="3" s="1"/>
  <c r="BY58" i="72"/>
  <c r="BU50" i="72"/>
  <c r="CL50" i="72" s="1"/>
  <c r="AU91" i="8"/>
  <c r="BD121" i="7"/>
  <c r="B122" i="56"/>
  <c r="B102" i="56"/>
  <c r="CC142" i="115" l="1"/>
  <c r="CI142" i="115" s="1"/>
  <c r="CI147" i="115"/>
  <c r="CB17" i="115"/>
  <c r="CI17" i="115"/>
  <c r="B34" i="116"/>
  <c r="L34" i="116"/>
  <c r="CH45" i="115"/>
  <c r="CB155" i="115"/>
  <c r="CH155" i="115" s="1"/>
  <c r="CH39" i="115"/>
  <c r="CB148" i="115"/>
  <c r="CH148" i="115" s="1"/>
  <c r="BD12" i="115"/>
  <c r="BK12" i="115"/>
  <c r="BJ12" i="115" s="1"/>
  <c r="M31" i="104"/>
  <c r="AB16" i="65" s="1"/>
  <c r="AB14" i="65" s="1"/>
  <c r="N26" i="104"/>
  <c r="Z15" i="119"/>
  <c r="G17" i="120" s="1"/>
  <c r="G16" i="120" s="1"/>
  <c r="EK9" i="116"/>
  <c r="EJ9" i="116" s="1"/>
  <c r="EA9" i="116"/>
  <c r="Y15" i="119" s="1"/>
  <c r="CJ108" i="115"/>
  <c r="CD161" i="115"/>
  <c r="CJ161" i="115" s="1"/>
  <c r="D108" i="115"/>
  <c r="D163" i="115"/>
  <c r="D47" i="116" s="1"/>
  <c r="S110" i="115"/>
  <c r="S163" i="115" s="1"/>
  <c r="AQ47" i="116" s="1"/>
  <c r="CH42" i="115"/>
  <c r="CB152" i="115"/>
  <c r="CH152" i="115" s="1"/>
  <c r="R42" i="115"/>
  <c r="AG42" i="115" s="1"/>
  <c r="B42" i="115"/>
  <c r="B152" i="115" s="1"/>
  <c r="C152" i="115"/>
  <c r="C36" i="116" s="1"/>
  <c r="CI43" i="115"/>
  <c r="CB43" i="115"/>
  <c r="CC44" i="115"/>
  <c r="CI44" i="115" s="1"/>
  <c r="C43" i="115"/>
  <c r="CC153" i="115"/>
  <c r="AM121" i="115"/>
  <c r="BE121" i="115"/>
  <c r="AF121" i="115"/>
  <c r="AL121" i="115" s="1"/>
  <c r="BM139" i="115"/>
  <c r="BM121" i="115"/>
  <c r="CI48" i="113"/>
  <c r="CB48" i="113"/>
  <c r="CH48" i="113" s="1"/>
  <c r="CI75" i="113"/>
  <c r="CB75" i="113"/>
  <c r="CC237" i="113"/>
  <c r="CI237" i="113" s="1"/>
  <c r="C75" i="113"/>
  <c r="CB70" i="113"/>
  <c r="CI70" i="113"/>
  <c r="C70" i="113"/>
  <c r="CC232" i="113"/>
  <c r="CI232" i="113" s="1"/>
  <c r="CI125" i="113"/>
  <c r="CB125" i="113"/>
  <c r="CH125" i="113" s="1"/>
  <c r="CJ148" i="115"/>
  <c r="D170" i="115"/>
  <c r="D54" i="116" s="1"/>
  <c r="S117" i="115"/>
  <c r="AH117" i="115" s="1"/>
  <c r="V21" i="98"/>
  <c r="V14" i="98"/>
  <c r="V19" i="98" s="1"/>
  <c r="EA8" i="116"/>
  <c r="EK8" i="116"/>
  <c r="EJ8" i="116" s="1"/>
  <c r="CI32" i="113"/>
  <c r="CC194" i="113"/>
  <c r="CC24" i="113"/>
  <c r="CB32" i="113"/>
  <c r="BN97" i="8"/>
  <c r="CI49" i="115"/>
  <c r="C49" i="115"/>
  <c r="CI58" i="115"/>
  <c r="C58" i="115"/>
  <c r="CJ52" i="115"/>
  <c r="D52" i="115"/>
  <c r="CI52" i="115"/>
  <c r="C52" i="115"/>
  <c r="CD157" i="115"/>
  <c r="CJ157" i="115" s="1"/>
  <c r="CJ47" i="115"/>
  <c r="D47" i="115"/>
  <c r="CJ57" i="115"/>
  <c r="D57" i="115"/>
  <c r="CI62" i="115"/>
  <c r="C62" i="115"/>
  <c r="CJ62" i="115"/>
  <c r="D62" i="115"/>
  <c r="CI63" i="115"/>
  <c r="C63" i="115"/>
  <c r="CJ63" i="115"/>
  <c r="D63" i="115"/>
  <c r="CC156" i="115"/>
  <c r="CI46" i="115"/>
  <c r="C46" i="115"/>
  <c r="CI51" i="115"/>
  <c r="C51" i="115"/>
  <c r="C60" i="115"/>
  <c r="CI60" i="115"/>
  <c r="D54" i="115"/>
  <c r="CJ54" i="115"/>
  <c r="C54" i="115"/>
  <c r="CI54" i="115"/>
  <c r="D49" i="115"/>
  <c r="CJ49" i="115"/>
  <c r="D56" i="115"/>
  <c r="CJ56" i="115"/>
  <c r="CI64" i="115"/>
  <c r="C64" i="115"/>
  <c r="CJ64" i="115"/>
  <c r="D64" i="115"/>
  <c r="CJ59" i="115"/>
  <c r="D59" i="115"/>
  <c r="CI70" i="115"/>
  <c r="C70" i="115"/>
  <c r="CJ70" i="115"/>
  <c r="D70" i="115"/>
  <c r="Q139" i="115"/>
  <c r="Q121" i="115"/>
  <c r="B8" i="115"/>
  <c r="AG8" i="115"/>
  <c r="AO139" i="115"/>
  <c r="AO174" i="115" s="1"/>
  <c r="AO121" i="115"/>
  <c r="CB142" i="115"/>
  <c r="CH142" i="115" s="1"/>
  <c r="BJ142" i="115"/>
  <c r="B18" i="115"/>
  <c r="C147" i="115"/>
  <c r="C31" i="116" s="1"/>
  <c r="R18" i="115"/>
  <c r="AG18" i="115" s="1"/>
  <c r="C17" i="115"/>
  <c r="CB147" i="115"/>
  <c r="CH18" i="115"/>
  <c r="BN55" i="8"/>
  <c r="BN57" i="8"/>
  <c r="BN58" i="8" s="1"/>
  <c r="AG150" i="115"/>
  <c r="AM150" i="115" s="1"/>
  <c r="AM38" i="115"/>
  <c r="AF38" i="115"/>
  <c r="AP38" i="115"/>
  <c r="BE38" i="115" s="1"/>
  <c r="R150" i="115"/>
  <c r="AP34" i="116" s="1"/>
  <c r="Q38" i="115"/>
  <c r="Q150" i="115" s="1"/>
  <c r="S49" i="119"/>
  <c r="EA58" i="116"/>
  <c r="CK58" i="116"/>
  <c r="B37" i="115"/>
  <c r="R37" i="115"/>
  <c r="B39" i="115"/>
  <c r="B148" i="115" s="1"/>
  <c r="R39" i="115"/>
  <c r="C148" i="115"/>
  <c r="C32" i="116" s="1"/>
  <c r="BN80" i="8"/>
  <c r="BN101" i="8" s="1"/>
  <c r="Y16" i="65" s="1"/>
  <c r="CC107" i="115"/>
  <c r="CC120" i="115" s="1"/>
  <c r="CI108" i="115"/>
  <c r="CB108" i="115"/>
  <c r="CC161" i="115"/>
  <c r="CI161" i="115" s="1"/>
  <c r="C108" i="115"/>
  <c r="CI110" i="115"/>
  <c r="CB110" i="115"/>
  <c r="C110" i="115"/>
  <c r="CC163" i="115"/>
  <c r="CI163" i="115" s="1"/>
  <c r="BO80" i="8"/>
  <c r="BO101" i="8" s="1"/>
  <c r="W16" i="66" s="1"/>
  <c r="CD107" i="115"/>
  <c r="CJ32" i="113"/>
  <c r="CD194" i="113"/>
  <c r="BM25" i="8"/>
  <c r="BM77" i="8"/>
  <c r="BM86" i="8" s="1"/>
  <c r="CJ43" i="115"/>
  <c r="D43" i="115"/>
  <c r="CD44" i="115"/>
  <c r="CJ44" i="115" s="1"/>
  <c r="CD153" i="115"/>
  <c r="CH111" i="115"/>
  <c r="CB164" i="115"/>
  <c r="CH164" i="115" s="1"/>
  <c r="AF9" i="115"/>
  <c r="AM9" i="115"/>
  <c r="AL9" i="115" s="1"/>
  <c r="BE9" i="115"/>
  <c r="B139" i="115"/>
  <c r="B174" i="115" s="1"/>
  <c r="B121" i="115"/>
  <c r="BN174" i="115"/>
  <c r="Z49" i="119"/>
  <c r="GA58" i="116"/>
  <c r="EK58" i="116"/>
  <c r="C67" i="113"/>
  <c r="CI67" i="113"/>
  <c r="CB67" i="113"/>
  <c r="CH67" i="113" s="1"/>
  <c r="CI68" i="113"/>
  <c r="C68" i="113"/>
  <c r="CB68" i="113"/>
  <c r="CH68" i="113" s="1"/>
  <c r="CI118" i="113"/>
  <c r="CB118" i="113"/>
  <c r="CH118" i="113" s="1"/>
  <c r="BM17" i="8"/>
  <c r="BM51" i="8" s="1"/>
  <c r="EB12" i="116"/>
  <c r="T18" i="119"/>
  <c r="CL12" i="116"/>
  <c r="CK12" i="116" s="1"/>
  <c r="CB12" i="116"/>
  <c r="S18" i="119" s="1"/>
  <c r="S39" i="115"/>
  <c r="S148" i="115" s="1"/>
  <c r="D148" i="115"/>
  <c r="D32" i="116" s="1"/>
  <c r="AH39" i="115"/>
  <c r="CC170" i="115"/>
  <c r="CI170" i="115" s="1"/>
  <c r="CI117" i="115"/>
  <c r="C117" i="115"/>
  <c r="W9" i="98"/>
  <c r="W16" i="98"/>
  <c r="X11" i="98"/>
  <c r="V31" i="98"/>
  <c r="V36" i="98" s="1"/>
  <c r="V24" i="98"/>
  <c r="V29" i="98" s="1"/>
  <c r="V34" i="98" s="1"/>
  <c r="W26" i="98"/>
  <c r="U40" i="98"/>
  <c r="AB13" i="65" s="1"/>
  <c r="S42" i="115"/>
  <c r="D152" i="115"/>
  <c r="D36" i="116" s="1"/>
  <c r="M36" i="116" s="1"/>
  <c r="V36" i="116" s="1"/>
  <c r="AE36" i="116" s="1"/>
  <c r="CD156" i="115"/>
  <c r="CJ156" i="115" s="1"/>
  <c r="CJ46" i="115"/>
  <c r="D46" i="115"/>
  <c r="CI53" i="115"/>
  <c r="C53" i="115"/>
  <c r="CJ48" i="115"/>
  <c r="D48" i="115"/>
  <c r="CI48" i="115"/>
  <c r="C48" i="115"/>
  <c r="CI57" i="115"/>
  <c r="C57" i="115"/>
  <c r="CJ51" i="115"/>
  <c r="D51" i="115"/>
  <c r="CJ58" i="115"/>
  <c r="D58" i="115"/>
  <c r="CC66" i="115"/>
  <c r="CI67" i="115"/>
  <c r="C67" i="115"/>
  <c r="CJ67" i="115"/>
  <c r="CD66" i="115"/>
  <c r="CJ66" i="115" s="1"/>
  <c r="D67" i="115"/>
  <c r="CI68" i="115"/>
  <c r="C68" i="115"/>
  <c r="CJ68" i="115"/>
  <c r="D68" i="115"/>
  <c r="CC157" i="115"/>
  <c r="CI157" i="115" s="1"/>
  <c r="CI47" i="115"/>
  <c r="C47" i="115"/>
  <c r="CI56" i="115"/>
  <c r="C56" i="115"/>
  <c r="D50" i="115"/>
  <c r="CJ50" i="115"/>
  <c r="C50" i="115"/>
  <c r="CI50" i="115"/>
  <c r="C59" i="115"/>
  <c r="CI59" i="115"/>
  <c r="D53" i="115"/>
  <c r="CJ53" i="115"/>
  <c r="CJ60" i="115"/>
  <c r="D60" i="115"/>
  <c r="CI69" i="115"/>
  <c r="C69" i="115"/>
  <c r="CJ69" i="115"/>
  <c r="D69" i="115"/>
  <c r="CI65" i="115"/>
  <c r="C65" i="115"/>
  <c r="CJ65" i="115"/>
  <c r="D65" i="115"/>
  <c r="R174" i="115"/>
  <c r="AG139" i="115"/>
  <c r="BM141" i="7"/>
  <c r="BM139" i="7"/>
  <c r="BP53" i="7"/>
  <c r="BO61" i="7"/>
  <c r="BN53" i="7"/>
  <c r="BL141" i="7"/>
  <c r="BL139" i="7"/>
  <c r="BK141" i="7"/>
  <c r="BK139" i="7"/>
  <c r="BL68" i="7"/>
  <c r="BL70" i="7"/>
  <c r="BL71" i="7" s="1"/>
  <c r="BL65" i="7"/>
  <c r="BL67" i="7"/>
  <c r="BM70" i="7"/>
  <c r="BM71" i="7" s="1"/>
  <c r="BM65" i="7"/>
  <c r="BM67" i="7"/>
  <c r="BM68" i="7"/>
  <c r="BK67" i="7"/>
  <c r="BK70" i="7"/>
  <c r="BK71" i="7" s="1"/>
  <c r="BK68" i="7"/>
  <c r="BK65" i="7"/>
  <c r="BV50" i="72"/>
  <c r="BX50" i="72"/>
  <c r="BV56" i="72"/>
  <c r="CM56" i="72" s="1"/>
  <c r="BS56" i="72"/>
  <c r="BO48" i="72"/>
  <c r="CB50" i="72"/>
  <c r="B7" i="77" s="1"/>
  <c r="C7" i="77" s="1"/>
  <c r="BG48" i="72"/>
  <c r="BD51" i="72"/>
  <c r="BS50" i="72"/>
  <c r="BW50" i="72"/>
  <c r="BF121" i="7"/>
  <c r="BG9" i="7"/>
  <c r="BG121" i="7" s="1"/>
  <c r="F13" i="64" s="1"/>
  <c r="P25" i="35"/>
  <c r="AH110" i="115" l="1"/>
  <c r="CI120" i="115"/>
  <c r="CC122" i="115"/>
  <c r="CI122" i="115" s="1"/>
  <c r="AF18" i="115"/>
  <c r="AM18" i="115"/>
  <c r="AP18" i="115"/>
  <c r="BE18" i="115" s="1"/>
  <c r="BE139" i="115"/>
  <c r="AG174" i="115"/>
  <c r="AM174" i="115" s="1"/>
  <c r="AM139" i="115"/>
  <c r="B65" i="115"/>
  <c r="B213" i="115" s="1"/>
  <c r="C213" i="115"/>
  <c r="R65" i="115"/>
  <c r="AG65" i="115" s="1"/>
  <c r="B69" i="115"/>
  <c r="B217" i="115" s="1"/>
  <c r="C217" i="115"/>
  <c r="R69" i="115"/>
  <c r="AG69" i="115" s="1"/>
  <c r="B59" i="115"/>
  <c r="B203" i="115" s="1"/>
  <c r="R59" i="115"/>
  <c r="AG59" i="115" s="1"/>
  <c r="C203" i="115"/>
  <c r="S50" i="115"/>
  <c r="S195" i="115" s="1"/>
  <c r="D195" i="115"/>
  <c r="B56" i="115"/>
  <c r="B200" i="115" s="1"/>
  <c r="R56" i="115"/>
  <c r="AG56" i="115" s="1"/>
  <c r="C200" i="115"/>
  <c r="B68" i="115"/>
  <c r="B216" i="115" s="1"/>
  <c r="C216" i="115"/>
  <c r="R68" i="115"/>
  <c r="AG68" i="115" s="1"/>
  <c r="S51" i="115"/>
  <c r="S193" i="115" s="1"/>
  <c r="D193" i="115"/>
  <c r="B48" i="115"/>
  <c r="B192" i="115" s="1"/>
  <c r="C192" i="115"/>
  <c r="R48" i="115"/>
  <c r="AG48" i="115" s="1"/>
  <c r="C197" i="115"/>
  <c r="B53" i="115"/>
  <c r="B197" i="115" s="1"/>
  <c r="R53" i="115"/>
  <c r="AG53" i="115" s="1"/>
  <c r="O27" i="119"/>
  <c r="AN36" i="116"/>
  <c r="X9" i="98"/>
  <c r="X16" i="98"/>
  <c r="B117" i="115"/>
  <c r="B170" i="115" s="1"/>
  <c r="C170" i="115"/>
  <c r="C54" i="116" s="1"/>
  <c r="R117" i="115"/>
  <c r="AG117" i="115" s="1"/>
  <c r="M32" i="116"/>
  <c r="V32" i="116" s="1"/>
  <c r="BM55" i="8"/>
  <c r="BM57" i="8"/>
  <c r="BM58" i="8" s="1"/>
  <c r="B67" i="113"/>
  <c r="R67" i="113"/>
  <c r="AG67" i="113" s="1"/>
  <c r="C66" i="113"/>
  <c r="AF49" i="119"/>
  <c r="GJ58" i="116"/>
  <c r="BK9" i="115"/>
  <c r="BJ9" i="115" s="1"/>
  <c r="BD9" i="115"/>
  <c r="CJ153" i="115"/>
  <c r="CD154" i="115"/>
  <c r="CJ154" i="115" s="1"/>
  <c r="S43" i="115"/>
  <c r="AH43" i="115" s="1"/>
  <c r="D44" i="115"/>
  <c r="D153" i="115"/>
  <c r="BM90" i="8"/>
  <c r="BM88" i="8"/>
  <c r="CJ194" i="113"/>
  <c r="CJ107" i="115"/>
  <c r="CD160" i="115"/>
  <c r="CJ160" i="115" s="1"/>
  <c r="CD120" i="115"/>
  <c r="CH110" i="115"/>
  <c r="CB163" i="115"/>
  <c r="CH163" i="115" s="1"/>
  <c r="Y14" i="65"/>
  <c r="Z16" i="65"/>
  <c r="AG39" i="115"/>
  <c r="Q39" i="115"/>
  <c r="Q148" i="115" s="1"/>
  <c r="R148" i="115"/>
  <c r="AP32" i="116" s="1"/>
  <c r="CD159" i="115"/>
  <c r="Y49" i="119"/>
  <c r="FZ58" i="116"/>
  <c r="EJ58" i="116"/>
  <c r="BN38" i="115"/>
  <c r="AO38" i="115"/>
  <c r="AO150" i="115" s="1"/>
  <c r="AP150" i="115"/>
  <c r="CO34" i="116" s="1"/>
  <c r="AL38" i="115"/>
  <c r="AF150" i="115"/>
  <c r="AL150" i="115" s="1"/>
  <c r="CH147" i="115"/>
  <c r="B31" i="116"/>
  <c r="L31" i="116"/>
  <c r="AF8" i="115"/>
  <c r="AM8" i="115"/>
  <c r="AL8" i="115" s="1"/>
  <c r="BE8" i="115"/>
  <c r="B70" i="115"/>
  <c r="B218" i="115" s="1"/>
  <c r="C218" i="115"/>
  <c r="R70" i="115"/>
  <c r="AG70" i="115" s="1"/>
  <c r="D212" i="115"/>
  <c r="S64" i="115"/>
  <c r="S212" i="115" s="1"/>
  <c r="D194" i="115"/>
  <c r="S49" i="115"/>
  <c r="S194" i="115" s="1"/>
  <c r="AH194" i="115" s="1"/>
  <c r="AN194" i="115" s="1"/>
  <c r="D198" i="115"/>
  <c r="S54" i="115"/>
  <c r="S198" i="115" s="1"/>
  <c r="B46" i="115"/>
  <c r="C156" i="115"/>
  <c r="C40" i="116" s="1"/>
  <c r="R46" i="115"/>
  <c r="AG46" i="115" s="1"/>
  <c r="C190" i="115"/>
  <c r="CI156" i="115"/>
  <c r="CC159" i="115"/>
  <c r="D211" i="115"/>
  <c r="S63" i="115"/>
  <c r="S211" i="115" s="1"/>
  <c r="D61" i="115"/>
  <c r="D210" i="115"/>
  <c r="S62" i="115"/>
  <c r="AH62" i="115" s="1"/>
  <c r="D201" i="115"/>
  <c r="S57" i="115"/>
  <c r="S201" i="115" s="1"/>
  <c r="AH201" i="115" s="1"/>
  <c r="S52" i="115"/>
  <c r="S196" i="115" s="1"/>
  <c r="D196" i="115"/>
  <c r="C194" i="115"/>
  <c r="R49" i="115"/>
  <c r="AG49" i="115" s="1"/>
  <c r="B49" i="115"/>
  <c r="B194" i="115" s="1"/>
  <c r="Y12" i="65"/>
  <c r="BN105" i="8"/>
  <c r="CI24" i="113"/>
  <c r="V40" i="98"/>
  <c r="AC13" i="65" s="1"/>
  <c r="S170" i="115"/>
  <c r="AQ54" i="116" s="1"/>
  <c r="S111" i="115"/>
  <c r="S164" i="115" s="1"/>
  <c r="AQ48" i="116" s="1"/>
  <c r="CD173" i="115"/>
  <c r="CD175" i="115" s="1"/>
  <c r="R70" i="113"/>
  <c r="AG70" i="113" s="1"/>
  <c r="B70" i="113"/>
  <c r="B232" i="113" s="1"/>
  <c r="C232" i="113"/>
  <c r="CH70" i="113"/>
  <c r="CB232" i="113"/>
  <c r="CH232" i="113" s="1"/>
  <c r="C237" i="113"/>
  <c r="B75" i="113"/>
  <c r="B237" i="113" s="1"/>
  <c r="R75" i="113"/>
  <c r="AG75" i="113" s="1"/>
  <c r="CB237" i="113"/>
  <c r="CH237" i="113" s="1"/>
  <c r="CH75" i="113"/>
  <c r="AM42" i="115"/>
  <c r="AG152" i="115"/>
  <c r="AM152" i="115" s="1"/>
  <c r="AP42" i="115"/>
  <c r="BE42" i="115" s="1"/>
  <c r="Q42" i="115"/>
  <c r="Q152" i="115" s="1"/>
  <c r="R152" i="115"/>
  <c r="AP36" i="116" s="1"/>
  <c r="AZ47" i="116"/>
  <c r="BI47" i="116" s="1"/>
  <c r="U34" i="116"/>
  <c r="K34" i="116"/>
  <c r="S65" i="115"/>
  <c r="S213" i="115" s="1"/>
  <c r="D213" i="115"/>
  <c r="S69" i="115"/>
  <c r="S217" i="115" s="1"/>
  <c r="D217" i="115"/>
  <c r="D204" i="115"/>
  <c r="S60" i="115"/>
  <c r="S204" i="115" s="1"/>
  <c r="AH204" i="115" s="1"/>
  <c r="D197" i="115"/>
  <c r="S53" i="115"/>
  <c r="S197" i="115" s="1"/>
  <c r="B50" i="115"/>
  <c r="B195" i="115" s="1"/>
  <c r="C195" i="115"/>
  <c r="R50" i="115"/>
  <c r="AG50" i="115" s="1"/>
  <c r="B47" i="115"/>
  <c r="C191" i="115"/>
  <c r="C157" i="115"/>
  <c r="C41" i="116" s="1"/>
  <c r="R47" i="115"/>
  <c r="AG47" i="115" s="1"/>
  <c r="S68" i="115"/>
  <c r="S216" i="115" s="1"/>
  <c r="AH216" i="115" s="1"/>
  <c r="AN216" i="115" s="1"/>
  <c r="D216" i="115"/>
  <c r="D66" i="115"/>
  <c r="D215" i="115"/>
  <c r="S67" i="115"/>
  <c r="AH67" i="115" s="1"/>
  <c r="C215" i="115"/>
  <c r="R67" i="115"/>
  <c r="AG67" i="115" s="1"/>
  <c r="B67" i="115"/>
  <c r="B215" i="115" s="1"/>
  <c r="C66" i="115"/>
  <c r="CI66" i="115"/>
  <c r="CB66" i="115"/>
  <c r="CH66" i="115" s="1"/>
  <c r="D202" i="115"/>
  <c r="S58" i="115"/>
  <c r="S202" i="115" s="1"/>
  <c r="B57" i="115"/>
  <c r="B201" i="115" s="1"/>
  <c r="C201" i="115"/>
  <c r="R57" i="115"/>
  <c r="AG57" i="115" s="1"/>
  <c r="S48" i="115"/>
  <c r="S192" i="115" s="1"/>
  <c r="D192" i="115"/>
  <c r="D190" i="115"/>
  <c r="D156" i="115"/>
  <c r="D40" i="116" s="1"/>
  <c r="S46" i="115"/>
  <c r="AH46" i="115" s="1"/>
  <c r="AH42" i="115"/>
  <c r="S152" i="115"/>
  <c r="AQ36" i="116" s="1"/>
  <c r="W24" i="98"/>
  <c r="W29" i="98" s="1"/>
  <c r="W34" i="98" s="1"/>
  <c r="W31" i="98"/>
  <c r="W36" i="98" s="1"/>
  <c r="X26" i="98"/>
  <c r="W14" i="98"/>
  <c r="W19" i="98" s="1"/>
  <c r="W21" i="98"/>
  <c r="W40" i="98" s="1"/>
  <c r="AD13" i="65" s="1"/>
  <c r="AN39" i="115"/>
  <c r="AH148" i="115"/>
  <c r="AN148" i="115" s="1"/>
  <c r="AQ39" i="115"/>
  <c r="BF39" i="115" s="1"/>
  <c r="AQ32" i="116"/>
  <c r="Z18" i="119"/>
  <c r="EK12" i="116"/>
  <c r="EJ12" i="116" s="1"/>
  <c r="EA12" i="116"/>
  <c r="Y18" i="119" s="1"/>
  <c r="B68" i="113"/>
  <c r="R68" i="113"/>
  <c r="Q68" i="113" s="1"/>
  <c r="X16" i="66"/>
  <c r="W14" i="66"/>
  <c r="X14" i="66" s="1"/>
  <c r="R110" i="115"/>
  <c r="AG110" i="115" s="1"/>
  <c r="C163" i="115"/>
  <c r="C47" i="116" s="1"/>
  <c r="B110" i="115"/>
  <c r="B163" i="115" s="1"/>
  <c r="C161" i="115"/>
  <c r="C45" i="116" s="1"/>
  <c r="R108" i="115"/>
  <c r="AG108" i="115" s="1"/>
  <c r="C107" i="115"/>
  <c r="B108" i="115"/>
  <c r="B161" i="115" s="1"/>
  <c r="CH108" i="115"/>
  <c r="CB161" i="115"/>
  <c r="CH161" i="115" s="1"/>
  <c r="CI107" i="115"/>
  <c r="CB107" i="115"/>
  <c r="CC160" i="115"/>
  <c r="CI160" i="115" s="1"/>
  <c r="L32" i="116"/>
  <c r="B32" i="116"/>
  <c r="AG37" i="115"/>
  <c r="Q37" i="115"/>
  <c r="AO34" i="116"/>
  <c r="AY34" i="116"/>
  <c r="BE150" i="115"/>
  <c r="BK150" i="115" s="1"/>
  <c r="BK38" i="115"/>
  <c r="BD38" i="115"/>
  <c r="B17" i="115"/>
  <c r="R147" i="115"/>
  <c r="Q18" i="115"/>
  <c r="Q147" i="115" s="1"/>
  <c r="R17" i="115"/>
  <c r="AG17" i="115" s="1"/>
  <c r="B147" i="115"/>
  <c r="Q174" i="115"/>
  <c r="AF139" i="115"/>
  <c r="D218" i="115"/>
  <c r="S70" i="115"/>
  <c r="S218" i="115" s="1"/>
  <c r="D203" i="115"/>
  <c r="S59" i="115"/>
  <c r="S203" i="115" s="1"/>
  <c r="B64" i="115"/>
  <c r="B212" i="115" s="1"/>
  <c r="C212" i="115"/>
  <c r="R64" i="115"/>
  <c r="AG64" i="115" s="1"/>
  <c r="D200" i="115"/>
  <c r="S56" i="115"/>
  <c r="S200" i="115" s="1"/>
  <c r="B54" i="115"/>
  <c r="B198" i="115" s="1"/>
  <c r="C198" i="115"/>
  <c r="R54" i="115"/>
  <c r="AG54" i="115" s="1"/>
  <c r="B60" i="115"/>
  <c r="B204" i="115" s="1"/>
  <c r="R60" i="115"/>
  <c r="AG60" i="115" s="1"/>
  <c r="C204" i="115"/>
  <c r="B51" i="115"/>
  <c r="B193" i="115" s="1"/>
  <c r="C193" i="115"/>
  <c r="R51" i="115"/>
  <c r="AG51" i="115" s="1"/>
  <c r="B63" i="115"/>
  <c r="B211" i="115" s="1"/>
  <c r="C211" i="115"/>
  <c r="R63" i="115"/>
  <c r="AG63" i="115" s="1"/>
  <c r="C61" i="115"/>
  <c r="B62" i="115"/>
  <c r="B210" i="115" s="1"/>
  <c r="R62" i="115"/>
  <c r="AG62" i="115" s="1"/>
  <c r="C210" i="115"/>
  <c r="D191" i="115"/>
  <c r="D157" i="115"/>
  <c r="D41" i="116" s="1"/>
  <c r="S47" i="115"/>
  <c r="AH47" i="115" s="1"/>
  <c r="B52" i="115"/>
  <c r="B196" i="115" s="1"/>
  <c r="C196" i="115"/>
  <c r="R52" i="115"/>
  <c r="AG52" i="115" s="1"/>
  <c r="B58" i="115"/>
  <c r="B202" i="115" s="1"/>
  <c r="C202" i="115"/>
  <c r="R58" i="115"/>
  <c r="AG58" i="115" s="1"/>
  <c r="CH32" i="113"/>
  <c r="CB194" i="113"/>
  <c r="CB43" i="113"/>
  <c r="CB38" i="113"/>
  <c r="CB36" i="113"/>
  <c r="CB33" i="113"/>
  <c r="CB47" i="113"/>
  <c r="CB46" i="113"/>
  <c r="CB40" i="113"/>
  <c r="CB44" i="113"/>
  <c r="CB34" i="113"/>
  <c r="CB42" i="113"/>
  <c r="CI194" i="113"/>
  <c r="V38" i="98"/>
  <c r="AN117" i="115"/>
  <c r="AH170" i="115"/>
  <c r="AN170" i="115" s="1"/>
  <c r="AQ117" i="115"/>
  <c r="BF117" i="115" s="1"/>
  <c r="M54" i="116"/>
  <c r="V54" i="116" s="1"/>
  <c r="BM174" i="115"/>
  <c r="BK121" i="115"/>
  <c r="BD121" i="115"/>
  <c r="BJ121" i="115" s="1"/>
  <c r="CC154" i="115"/>
  <c r="CI154" i="115" s="1"/>
  <c r="CI153" i="115"/>
  <c r="C44" i="115"/>
  <c r="B43" i="115"/>
  <c r="R43" i="115"/>
  <c r="C153" i="115"/>
  <c r="CH43" i="115"/>
  <c r="CB44" i="115"/>
  <c r="CH44" i="115" s="1"/>
  <c r="CB153" i="115"/>
  <c r="B36" i="116"/>
  <c r="L36" i="116"/>
  <c r="AH163" i="115"/>
  <c r="AN163" i="115" s="1"/>
  <c r="AN110" i="115"/>
  <c r="AQ110" i="115"/>
  <c r="BF110" i="115" s="1"/>
  <c r="M47" i="116"/>
  <c r="V47" i="116" s="1"/>
  <c r="S108" i="115"/>
  <c r="AH108" i="115" s="1"/>
  <c r="D161" i="115"/>
  <c r="D45" i="116" s="1"/>
  <c r="D107" i="115"/>
  <c r="O26" i="104"/>
  <c r="N31" i="104"/>
  <c r="AC16" i="65" s="1"/>
  <c r="AC14" i="65" s="1"/>
  <c r="CB120" i="115"/>
  <c r="CH17" i="115"/>
  <c r="CC173" i="115"/>
  <c r="BN86" i="8"/>
  <c r="BN50" i="7"/>
  <c r="BN61" i="7" s="1"/>
  <c r="BP50" i="7"/>
  <c r="BP61" i="7" s="1"/>
  <c r="BP63" i="7" s="1"/>
  <c r="BP138" i="7" s="1"/>
  <c r="BO63" i="7"/>
  <c r="BO65" i="7" s="1"/>
  <c r="BO129" i="7"/>
  <c r="BO135" i="7" s="1"/>
  <c r="BK144" i="7"/>
  <c r="BK145" i="7" s="1"/>
  <c r="BK142" i="7"/>
  <c r="BM144" i="7"/>
  <c r="BM145" i="7" s="1"/>
  <c r="BM142" i="7"/>
  <c r="BL144" i="7"/>
  <c r="BL145" i="7" s="1"/>
  <c r="BL142" i="7"/>
  <c r="BY50" i="72"/>
  <c r="CM50" i="72"/>
  <c r="BG51" i="72"/>
  <c r="BB51" i="72"/>
  <c r="BE51" i="72" s="1"/>
  <c r="BP48" i="72"/>
  <c r="BO51" i="72"/>
  <c r="BR51" i="72" s="1"/>
  <c r="BR48" i="72"/>
  <c r="BY56" i="72"/>
  <c r="BU48" i="72"/>
  <c r="CL48" i="72" s="1"/>
  <c r="CL51" i="72" s="1"/>
  <c r="I13" i="64"/>
  <c r="AP74" i="5"/>
  <c r="AP75" i="5" s="1"/>
  <c r="AO74" i="5"/>
  <c r="AO75" i="5" s="1"/>
  <c r="AN74" i="5"/>
  <c r="AN75" i="5" s="1"/>
  <c r="AM75" i="5"/>
  <c r="AL75" i="5"/>
  <c r="AE54" i="116" l="1"/>
  <c r="AH53" i="115"/>
  <c r="AH63" i="115"/>
  <c r="AH58" i="115"/>
  <c r="AF58" i="115" s="1"/>
  <c r="AL58" i="115" s="1"/>
  <c r="AH196" i="115"/>
  <c r="AN196" i="115" s="1"/>
  <c r="AH54" i="115"/>
  <c r="AE32" i="116"/>
  <c r="AH50" i="115"/>
  <c r="AN50" i="115" s="1"/>
  <c r="AH217" i="115"/>
  <c r="AN217" i="115" s="1"/>
  <c r="AH195" i="115"/>
  <c r="AE47" i="116"/>
  <c r="AH56" i="115"/>
  <c r="AQ56" i="115" s="1"/>
  <c r="BF56" i="115" s="1"/>
  <c r="BL56" i="115" s="1"/>
  <c r="AH70" i="115"/>
  <c r="AF70" i="115" s="1"/>
  <c r="AL70" i="115" s="1"/>
  <c r="AH65" i="115"/>
  <c r="AQ65" i="115" s="1"/>
  <c r="BF65" i="115" s="1"/>
  <c r="BL65" i="115" s="1"/>
  <c r="AH48" i="115"/>
  <c r="AH68" i="115"/>
  <c r="AN68" i="115" s="1"/>
  <c r="AH69" i="115"/>
  <c r="AF69" i="115" s="1"/>
  <c r="AL69" i="115" s="1"/>
  <c r="BR47" i="116"/>
  <c r="CD47" i="116" s="1"/>
  <c r="AH52" i="115"/>
  <c r="AH64" i="115"/>
  <c r="AQ64" i="115" s="1"/>
  <c r="BF64" i="115" s="1"/>
  <c r="BL64" i="115" s="1"/>
  <c r="AH203" i="115"/>
  <c r="AN203" i="115" s="1"/>
  <c r="AH51" i="115"/>
  <c r="AG68" i="113"/>
  <c r="BF163" i="115"/>
  <c r="BL163" i="115" s="1"/>
  <c r="BL110" i="115"/>
  <c r="AM58" i="115"/>
  <c r="AP58" i="115"/>
  <c r="BE58" i="115" s="1"/>
  <c r="BL117" i="115"/>
  <c r="BF170" i="115"/>
  <c r="BL170" i="115" s="1"/>
  <c r="AF52" i="115"/>
  <c r="AL52" i="115" s="1"/>
  <c r="AM52" i="115"/>
  <c r="AP52" i="115"/>
  <c r="AM64" i="115"/>
  <c r="AF64" i="115"/>
  <c r="AL64" i="115" s="1"/>
  <c r="AP64" i="115"/>
  <c r="BF148" i="115"/>
  <c r="BL148" i="115" s="1"/>
  <c r="BL39" i="115"/>
  <c r="AH156" i="115"/>
  <c r="AN156" i="115" s="1"/>
  <c r="AN46" i="115"/>
  <c r="BF46" i="115"/>
  <c r="AQ46" i="115"/>
  <c r="AG157" i="115"/>
  <c r="AM157" i="115" s="1"/>
  <c r="AF47" i="115"/>
  <c r="AM47" i="115"/>
  <c r="AP47" i="115"/>
  <c r="BE47" i="115" s="1"/>
  <c r="AG237" i="113"/>
  <c r="AM237" i="113" s="1"/>
  <c r="AM75" i="113"/>
  <c r="AF75" i="113"/>
  <c r="AP75" i="113"/>
  <c r="BE75" i="113" s="1"/>
  <c r="AM70" i="115"/>
  <c r="BE70" i="115"/>
  <c r="AP70" i="115"/>
  <c r="AM67" i="113"/>
  <c r="AF67" i="113"/>
  <c r="AL67" i="113" s="1"/>
  <c r="AP67" i="113"/>
  <c r="BE67" i="113" s="1"/>
  <c r="AM53" i="115"/>
  <c r="AF53" i="115"/>
  <c r="AL53" i="115" s="1"/>
  <c r="AP53" i="115"/>
  <c r="BE53" i="115" s="1"/>
  <c r="AM69" i="115"/>
  <c r="AP69" i="115"/>
  <c r="BE69" i="115" s="1"/>
  <c r="AH157" i="115"/>
  <c r="AN157" i="115" s="1"/>
  <c r="AN47" i="115"/>
  <c r="AQ47" i="115"/>
  <c r="BF47" i="115" s="1"/>
  <c r="AM17" i="115"/>
  <c r="AF17" i="115"/>
  <c r="AL17" i="115" s="1"/>
  <c r="AG161" i="115"/>
  <c r="AM161" i="115" s="1"/>
  <c r="AF108" i="115"/>
  <c r="AM108" i="115"/>
  <c r="BE108" i="115"/>
  <c r="AP108" i="115"/>
  <c r="AM67" i="115"/>
  <c r="AF67" i="115"/>
  <c r="AL67" i="115" s="1"/>
  <c r="BE67" i="115"/>
  <c r="AP67" i="115"/>
  <c r="BK42" i="115"/>
  <c r="BE152" i="115"/>
  <c r="BK152" i="115" s="1"/>
  <c r="AM70" i="113"/>
  <c r="AF70" i="113"/>
  <c r="AG232" i="113"/>
  <c r="AM232" i="113" s="1"/>
  <c r="AP70" i="113"/>
  <c r="AM48" i="115"/>
  <c r="AP48" i="115"/>
  <c r="BE48" i="115" s="1"/>
  <c r="AM65" i="115"/>
  <c r="AF65" i="115"/>
  <c r="AL65" i="115" s="1"/>
  <c r="AP65" i="115"/>
  <c r="BD18" i="115"/>
  <c r="BK18" i="115"/>
  <c r="BN88" i="8"/>
  <c r="BN90" i="8"/>
  <c r="O31" i="104"/>
  <c r="AD16" i="65" s="1"/>
  <c r="AD14" i="65" s="1"/>
  <c r="P26" i="104"/>
  <c r="P31" i="104" s="1"/>
  <c r="AE16" i="65" s="1"/>
  <c r="AE14" i="65" s="1"/>
  <c r="D160" i="115"/>
  <c r="D44" i="116" s="1"/>
  <c r="S161" i="115"/>
  <c r="AQ45" i="116" s="1"/>
  <c r="S107" i="115"/>
  <c r="S160" i="115" s="1"/>
  <c r="AQ44" i="116" s="1"/>
  <c r="U36" i="116"/>
  <c r="K36" i="116"/>
  <c r="CB154" i="115"/>
  <c r="CH154" i="115" s="1"/>
  <c r="CH153" i="115"/>
  <c r="AG43" i="115"/>
  <c r="R44" i="115"/>
  <c r="Q43" i="115"/>
  <c r="R153" i="115"/>
  <c r="CB252" i="113"/>
  <c r="CC42" i="113"/>
  <c r="CD42" i="113"/>
  <c r="CH42" i="113"/>
  <c r="CB254" i="113"/>
  <c r="CH254" i="113" s="1"/>
  <c r="CC44" i="113"/>
  <c r="CD44" i="113"/>
  <c r="CH44" i="113"/>
  <c r="CB256" i="113"/>
  <c r="CD46" i="113"/>
  <c r="CH46" i="113"/>
  <c r="CC46" i="113"/>
  <c r="CB228" i="113"/>
  <c r="CB195" i="113"/>
  <c r="CC33" i="113"/>
  <c r="CD33" i="113"/>
  <c r="CH33" i="113"/>
  <c r="CH38" i="113"/>
  <c r="CB233" i="113"/>
  <c r="CD38" i="113"/>
  <c r="CC38" i="113"/>
  <c r="CH194" i="113"/>
  <c r="M41" i="116"/>
  <c r="V41" i="116" s="1"/>
  <c r="AE41" i="116" s="1"/>
  <c r="AF62" i="115"/>
  <c r="AL62" i="115" s="1"/>
  <c r="AM62" i="115"/>
  <c r="AP62" i="115"/>
  <c r="R61" i="115"/>
  <c r="AG61" i="115" s="1"/>
  <c r="R210" i="115"/>
  <c r="AG210" i="115" s="1"/>
  <c r="Q62" i="115"/>
  <c r="Q210" i="115" s="1"/>
  <c r="AF210" i="115" s="1"/>
  <c r="B61" i="115"/>
  <c r="B209" i="115" s="1"/>
  <c r="C209" i="115"/>
  <c r="R211" i="115"/>
  <c r="AG211" i="115" s="1"/>
  <c r="Q63" i="115"/>
  <c r="Q211" i="115" s="1"/>
  <c r="AF211" i="115" s="1"/>
  <c r="Q51" i="115"/>
  <c r="Q193" i="115" s="1"/>
  <c r="AF193" i="115" s="1"/>
  <c r="R193" i="115"/>
  <c r="AG193" i="115" s="1"/>
  <c r="R198" i="115"/>
  <c r="AG198" i="115" s="1"/>
  <c r="Q54" i="115"/>
  <c r="Q198" i="115" s="1"/>
  <c r="AF198" i="115" s="1"/>
  <c r="AH200" i="115"/>
  <c r="AN200" i="115" s="1"/>
  <c r="AH59" i="115"/>
  <c r="AF59" i="115" s="1"/>
  <c r="AL59" i="115" s="1"/>
  <c r="AH218" i="115"/>
  <c r="AN218" i="115" s="1"/>
  <c r="AF174" i="115"/>
  <c r="AL174" i="115" s="1"/>
  <c r="BD139" i="115"/>
  <c r="AL139" i="115"/>
  <c r="BJ38" i="115"/>
  <c r="BD150" i="115"/>
  <c r="BJ150" i="115" s="1"/>
  <c r="AX34" i="116"/>
  <c r="BH34" i="116"/>
  <c r="K32" i="116"/>
  <c r="U32" i="116"/>
  <c r="CH107" i="115"/>
  <c r="CB160" i="115"/>
  <c r="CH160" i="115" s="1"/>
  <c r="C160" i="115"/>
  <c r="C44" i="116" s="1"/>
  <c r="B107" i="115"/>
  <c r="B160" i="115" s="1"/>
  <c r="L45" i="116"/>
  <c r="B45" i="116"/>
  <c r="R163" i="115"/>
  <c r="AP47" i="116" s="1"/>
  <c r="Q110" i="115"/>
  <c r="Q163" i="115" s="1"/>
  <c r="AO32" i="116"/>
  <c r="AZ32" i="116"/>
  <c r="W38" i="98"/>
  <c r="AZ36" i="116"/>
  <c r="BI36" i="116" s="1"/>
  <c r="M40" i="116"/>
  <c r="V40" i="116" s="1"/>
  <c r="AF48" i="115"/>
  <c r="AL48" i="115" s="1"/>
  <c r="AN48" i="115"/>
  <c r="AQ48" i="115"/>
  <c r="BF48" i="115" s="1"/>
  <c r="BL48" i="115" s="1"/>
  <c r="AH192" i="115"/>
  <c r="AN192" i="115" s="1"/>
  <c r="R201" i="115"/>
  <c r="AG201" i="115" s="1"/>
  <c r="Q57" i="115"/>
  <c r="Q201" i="115" s="1"/>
  <c r="AF201" i="115" s="1"/>
  <c r="AH202" i="115"/>
  <c r="AN202" i="115" s="1"/>
  <c r="S215" i="115"/>
  <c r="AH215" i="115" s="1"/>
  <c r="AN215" i="115" s="1"/>
  <c r="S66" i="115"/>
  <c r="AH66" i="115" s="1"/>
  <c r="D214" i="115"/>
  <c r="D45" i="115"/>
  <c r="B41" i="116"/>
  <c r="L41" i="116"/>
  <c r="B157" i="115"/>
  <c r="B191" i="115"/>
  <c r="R195" i="115"/>
  <c r="AG195" i="115" s="1"/>
  <c r="Q50" i="115"/>
  <c r="Q195" i="115" s="1"/>
  <c r="AF195" i="115" s="1"/>
  <c r="AH197" i="115"/>
  <c r="AH60" i="115"/>
  <c r="AF60" i="115" s="1"/>
  <c r="AL60" i="115" s="1"/>
  <c r="AN65" i="115"/>
  <c r="AH213" i="115"/>
  <c r="AN213" i="115" s="1"/>
  <c r="T34" i="116"/>
  <c r="AC34" i="116" s="1"/>
  <c r="AD34" i="116"/>
  <c r="AZ54" i="116"/>
  <c r="BI54" i="116" s="1"/>
  <c r="AA12" i="65"/>
  <c r="Y11" i="65"/>
  <c r="Y10" i="65" s="1"/>
  <c r="AH57" i="115"/>
  <c r="AF57" i="115" s="1"/>
  <c r="AL57" i="115" s="1"/>
  <c r="S61" i="115"/>
  <c r="S209" i="115" s="1"/>
  <c r="S210" i="115"/>
  <c r="AH210" i="115" s="1"/>
  <c r="D209" i="115"/>
  <c r="AH211" i="115"/>
  <c r="AN211" i="115" s="1"/>
  <c r="AG156" i="115"/>
  <c r="AM156" i="115" s="1"/>
  <c r="AM46" i="115"/>
  <c r="AF46" i="115"/>
  <c r="AP46" i="115"/>
  <c r="BE46" i="115" s="1"/>
  <c r="R190" i="115"/>
  <c r="AG190" i="115" s="1"/>
  <c r="Q46" i="115"/>
  <c r="R156" i="115"/>
  <c r="AP40" i="116" s="1"/>
  <c r="B190" i="115"/>
  <c r="B156" i="115"/>
  <c r="AH198" i="115"/>
  <c r="AN198" i="115" s="1"/>
  <c r="AH49" i="115"/>
  <c r="AF49" i="115" s="1"/>
  <c r="AL49" i="115" s="1"/>
  <c r="AH212" i="115"/>
  <c r="BK8" i="115"/>
  <c r="BJ8" i="115" s="1"/>
  <c r="BD8" i="115"/>
  <c r="U31" i="116"/>
  <c r="K31" i="116"/>
  <c r="CB173" i="115"/>
  <c r="CX34" i="116"/>
  <c r="CN34" i="116"/>
  <c r="BN150" i="115"/>
  <c r="EN34" i="116" s="1"/>
  <c r="BM38" i="115"/>
  <c r="BM150" i="115" s="1"/>
  <c r="AE49" i="119"/>
  <c r="GI58" i="116"/>
  <c r="CJ120" i="115"/>
  <c r="CD122" i="115"/>
  <c r="CJ122" i="115" s="1"/>
  <c r="BM93" i="8"/>
  <c r="BM94" i="8" s="1"/>
  <c r="BM91" i="8"/>
  <c r="D37" i="116"/>
  <c r="D154" i="115"/>
  <c r="S44" i="115"/>
  <c r="S153" i="115"/>
  <c r="R111" i="115"/>
  <c r="R170" i="115"/>
  <c r="AP54" i="116" s="1"/>
  <c r="Q117" i="115"/>
  <c r="Q170" i="115" s="1"/>
  <c r="AN51" i="115"/>
  <c r="AQ51" i="115"/>
  <c r="AH193" i="115"/>
  <c r="Q68" i="115"/>
  <c r="Q216" i="115" s="1"/>
  <c r="AF216" i="115" s="1"/>
  <c r="R216" i="115"/>
  <c r="AG216" i="115" s="1"/>
  <c r="AM59" i="115"/>
  <c r="AP59" i="115"/>
  <c r="Q59" i="115"/>
  <c r="Q203" i="115" s="1"/>
  <c r="AF203" i="115" s="1"/>
  <c r="R203" i="115"/>
  <c r="AG203" i="115" s="1"/>
  <c r="AM203" i="115" s="1"/>
  <c r="BE174" i="115"/>
  <c r="BK174" i="115" s="1"/>
  <c r="BK139" i="115"/>
  <c r="CC139" i="115"/>
  <c r="CH120" i="115"/>
  <c r="CB122" i="115"/>
  <c r="CH122" i="115" s="1"/>
  <c r="AH161" i="115"/>
  <c r="AN161" i="115" s="1"/>
  <c r="AN108" i="115"/>
  <c r="AQ108" i="115"/>
  <c r="BF108" i="115" s="1"/>
  <c r="M45" i="116"/>
  <c r="V45" i="116" s="1"/>
  <c r="O38" i="119"/>
  <c r="AN47" i="116"/>
  <c r="BO110" i="115"/>
  <c r="BO163" i="115" s="1"/>
  <c r="EO47" i="116" s="1"/>
  <c r="AQ163" i="115"/>
  <c r="CP47" i="116" s="1"/>
  <c r="C37" i="116"/>
  <c r="C154" i="115"/>
  <c r="B44" i="115"/>
  <c r="B153" i="115"/>
  <c r="B154" i="115" s="1"/>
  <c r="O45" i="119"/>
  <c r="AN54" i="116"/>
  <c r="BO117" i="115"/>
  <c r="AQ170" i="115"/>
  <c r="CP54" i="116" s="1"/>
  <c r="CY54" i="116" s="1"/>
  <c r="DH54" i="116" s="1"/>
  <c r="DQ54" i="116" s="1"/>
  <c r="AQ111" i="115"/>
  <c r="AQ164" i="115" s="1"/>
  <c r="CP48" i="116" s="1"/>
  <c r="CH34" i="113"/>
  <c r="CB196" i="113"/>
  <c r="CB198" i="113" s="1"/>
  <c r="CB229" i="113"/>
  <c r="CD34" i="113"/>
  <c r="CC34" i="113"/>
  <c r="CH40" i="113"/>
  <c r="CB244" i="113"/>
  <c r="CC40" i="113"/>
  <c r="CD40" i="113"/>
  <c r="CH47" i="113"/>
  <c r="CB258" i="113"/>
  <c r="CD47" i="113"/>
  <c r="CC47" i="113"/>
  <c r="CH36" i="113"/>
  <c r="CB231" i="113"/>
  <c r="CC36" i="113"/>
  <c r="CD36" i="113"/>
  <c r="CH43" i="113"/>
  <c r="CB253" i="113"/>
  <c r="CH253" i="113" s="1"/>
  <c r="CC43" i="113"/>
  <c r="CD43" i="113"/>
  <c r="R202" i="115"/>
  <c r="AG202" i="115" s="1"/>
  <c r="AM202" i="115" s="1"/>
  <c r="Q58" i="115"/>
  <c r="Q202" i="115" s="1"/>
  <c r="AF202" i="115" s="1"/>
  <c r="R196" i="115"/>
  <c r="AG196" i="115" s="1"/>
  <c r="AM196" i="115" s="1"/>
  <c r="Q52" i="115"/>
  <c r="Q196" i="115" s="1"/>
  <c r="AF196" i="115" s="1"/>
  <c r="S191" i="115"/>
  <c r="AH191" i="115" s="1"/>
  <c r="AN191" i="115" s="1"/>
  <c r="S157" i="115"/>
  <c r="AQ41" i="116" s="1"/>
  <c r="AM63" i="115"/>
  <c r="AF63" i="115"/>
  <c r="AL63" i="115" s="1"/>
  <c r="AP63" i="115"/>
  <c r="BE63" i="115" s="1"/>
  <c r="AM51" i="115"/>
  <c r="AF51" i="115"/>
  <c r="AL51" i="115" s="1"/>
  <c r="BE51" i="115"/>
  <c r="AP51" i="115"/>
  <c r="AM60" i="115"/>
  <c r="BE60" i="115"/>
  <c r="AP60" i="115"/>
  <c r="R204" i="115"/>
  <c r="AG204" i="115" s="1"/>
  <c r="Q60" i="115"/>
  <c r="Q204" i="115" s="1"/>
  <c r="AF204" i="115" s="1"/>
  <c r="AM54" i="115"/>
  <c r="AF54" i="115"/>
  <c r="AL54" i="115" s="1"/>
  <c r="AP54" i="115"/>
  <c r="BE54" i="115" s="1"/>
  <c r="AN56" i="115"/>
  <c r="R212" i="115"/>
  <c r="AG212" i="115" s="1"/>
  <c r="Q64" i="115"/>
  <c r="Q212" i="115" s="1"/>
  <c r="AF212" i="115" s="1"/>
  <c r="AQ70" i="115"/>
  <c r="BF70" i="115" s="1"/>
  <c r="BL70" i="115" s="1"/>
  <c r="Q17" i="115"/>
  <c r="AP31" i="116"/>
  <c r="AF37" i="115"/>
  <c r="AL37" i="115" s="1"/>
  <c r="AM37" i="115"/>
  <c r="AP37" i="115"/>
  <c r="BE37" i="115" s="1"/>
  <c r="R107" i="115"/>
  <c r="AG107" i="115" s="1"/>
  <c r="R161" i="115"/>
  <c r="AP45" i="116" s="1"/>
  <c r="Q108" i="115"/>
  <c r="Q161" i="115" s="1"/>
  <c r="AP110" i="115"/>
  <c r="AG163" i="115"/>
  <c r="AM163" i="115" s="1"/>
  <c r="AM110" i="115"/>
  <c r="AF110" i="115"/>
  <c r="BE110" i="115"/>
  <c r="L47" i="116"/>
  <c r="B47" i="116"/>
  <c r="AM68" i="113"/>
  <c r="AF68" i="113"/>
  <c r="AL68" i="113" s="1"/>
  <c r="AP68" i="113"/>
  <c r="BE68" i="113" s="1"/>
  <c r="AQ148" i="115"/>
  <c r="BO39" i="115"/>
  <c r="BO148" i="115" s="1"/>
  <c r="X24" i="98"/>
  <c r="X29" i="98" s="1"/>
  <c r="X34" i="98" s="1"/>
  <c r="X31" i="98"/>
  <c r="X36" i="98" s="1"/>
  <c r="AN42" i="115"/>
  <c r="AH152" i="115"/>
  <c r="AN152" i="115" s="1"/>
  <c r="AQ42" i="115"/>
  <c r="S156" i="115"/>
  <c r="AQ40" i="116" s="1"/>
  <c r="S190" i="115"/>
  <c r="AH190" i="115" s="1"/>
  <c r="AM57" i="115"/>
  <c r="BE57" i="115"/>
  <c r="AP57" i="115"/>
  <c r="AN58" i="115"/>
  <c r="AQ58" i="115"/>
  <c r="BF58" i="115" s="1"/>
  <c r="BL58" i="115" s="1"/>
  <c r="B66" i="115"/>
  <c r="B214" i="115" s="1"/>
  <c r="C214" i="115"/>
  <c r="C45" i="115"/>
  <c r="Q67" i="115"/>
  <c r="Q215" i="115" s="1"/>
  <c r="AF215" i="115" s="1"/>
  <c r="R215" i="115"/>
  <c r="AG215" i="115" s="1"/>
  <c r="R66" i="115"/>
  <c r="AG66" i="115" s="1"/>
  <c r="AN67" i="115"/>
  <c r="AQ67" i="115"/>
  <c r="BF67" i="115" s="1"/>
  <c r="BL67" i="115" s="1"/>
  <c r="R191" i="115"/>
  <c r="AG191" i="115" s="1"/>
  <c r="AM191" i="115" s="1"/>
  <c r="R157" i="115"/>
  <c r="AP41" i="116" s="1"/>
  <c r="Q47" i="115"/>
  <c r="AM50" i="115"/>
  <c r="AF50" i="115"/>
  <c r="AL50" i="115" s="1"/>
  <c r="AP50" i="115"/>
  <c r="BE50" i="115" s="1"/>
  <c r="AN53" i="115"/>
  <c r="AQ53" i="115"/>
  <c r="BF53" i="115" s="1"/>
  <c r="BL53" i="115" s="1"/>
  <c r="AN204" i="115"/>
  <c r="R38" i="119"/>
  <c r="CA47" i="116"/>
  <c r="AY36" i="116"/>
  <c r="AO36" i="116"/>
  <c r="AO42" i="115"/>
  <c r="AO152" i="115" s="1"/>
  <c r="BN42" i="115"/>
  <c r="AP152" i="115"/>
  <c r="CO36" i="116" s="1"/>
  <c r="AF42" i="115"/>
  <c r="Q75" i="113"/>
  <c r="Q237" i="113" s="1"/>
  <c r="R237" i="113"/>
  <c r="Q70" i="113"/>
  <c r="Q232" i="113" s="1"/>
  <c r="R232" i="113"/>
  <c r="AZ48" i="116"/>
  <c r="BI48" i="116" s="1"/>
  <c r="AM49" i="115"/>
  <c r="AP49" i="115"/>
  <c r="BE49" i="115" s="1"/>
  <c r="R194" i="115"/>
  <c r="AG194" i="115" s="1"/>
  <c r="Q49" i="115"/>
  <c r="Q194" i="115" s="1"/>
  <c r="AF194" i="115" s="1"/>
  <c r="AN52" i="115"/>
  <c r="AQ52" i="115"/>
  <c r="BF52" i="115" s="1"/>
  <c r="BL52" i="115" s="1"/>
  <c r="AN201" i="115"/>
  <c r="AN62" i="115"/>
  <c r="AQ62" i="115"/>
  <c r="BF62" i="115" s="1"/>
  <c r="BL62" i="115" s="1"/>
  <c r="AN63" i="115"/>
  <c r="AQ63" i="115"/>
  <c r="BF63" i="115" s="1"/>
  <c r="BL63" i="115" s="1"/>
  <c r="L40" i="116"/>
  <c r="B40" i="116"/>
  <c r="AN54" i="115"/>
  <c r="AQ54" i="115"/>
  <c r="BF54" i="115" s="1"/>
  <c r="BL54" i="115" s="1"/>
  <c r="Q70" i="115"/>
  <c r="Q218" i="115" s="1"/>
  <c r="AF218" i="115" s="1"/>
  <c r="R218" i="115"/>
  <c r="AG218" i="115" s="1"/>
  <c r="AY32" i="116"/>
  <c r="AM39" i="115"/>
  <c r="AF39" i="115"/>
  <c r="AG148" i="115"/>
  <c r="AM148" i="115" s="1"/>
  <c r="AP39" i="115"/>
  <c r="AF43" i="115"/>
  <c r="AN43" i="115"/>
  <c r="AH44" i="115"/>
  <c r="AN44" i="115" s="1"/>
  <c r="AH153" i="115"/>
  <c r="AQ43" i="115"/>
  <c r="BF43" i="115" s="1"/>
  <c r="B66" i="113"/>
  <c r="C48" i="113"/>
  <c r="Q67" i="113"/>
  <c r="R66" i="113"/>
  <c r="AG66" i="113" s="1"/>
  <c r="O23" i="119"/>
  <c r="AN32" i="116"/>
  <c r="AF117" i="115"/>
  <c r="AG170" i="115"/>
  <c r="AM170" i="115" s="1"/>
  <c r="AM117" i="115"/>
  <c r="AP117" i="115"/>
  <c r="B54" i="116"/>
  <c r="L54" i="116"/>
  <c r="X21" i="98"/>
  <c r="X14" i="98"/>
  <c r="X19" i="98" s="1"/>
  <c r="R197" i="115"/>
  <c r="AG197" i="115" s="1"/>
  <c r="AM197" i="115" s="1"/>
  <c r="Q53" i="115"/>
  <c r="Q197" i="115" s="1"/>
  <c r="AF197" i="115" s="1"/>
  <c r="Q48" i="115"/>
  <c r="Q192" i="115" s="1"/>
  <c r="AF192" i="115" s="1"/>
  <c r="R192" i="115"/>
  <c r="AG192" i="115" s="1"/>
  <c r="AM192" i="115" s="1"/>
  <c r="AM68" i="115"/>
  <c r="AP68" i="115"/>
  <c r="BE68" i="115" s="1"/>
  <c r="AM56" i="115"/>
  <c r="AP56" i="115"/>
  <c r="BE56" i="115" s="1"/>
  <c r="R200" i="115"/>
  <c r="AG200" i="115" s="1"/>
  <c r="Q56" i="115"/>
  <c r="Q200" i="115" s="1"/>
  <c r="AF200" i="115" s="1"/>
  <c r="AQ50" i="115"/>
  <c r="BF50" i="115" s="1"/>
  <c r="BL50" i="115" s="1"/>
  <c r="AN195" i="115"/>
  <c r="R217" i="115"/>
  <c r="AG217" i="115" s="1"/>
  <c r="Q69" i="115"/>
  <c r="Q217" i="115" s="1"/>
  <c r="AF217" i="115" s="1"/>
  <c r="Q65" i="115"/>
  <c r="Q213" i="115" s="1"/>
  <c r="AF213" i="115" s="1"/>
  <c r="R213" i="115"/>
  <c r="AG213" i="115" s="1"/>
  <c r="AM213" i="115" s="1"/>
  <c r="BN18" i="115"/>
  <c r="AO18" i="115"/>
  <c r="AP17" i="115"/>
  <c r="AG147" i="115"/>
  <c r="AM147" i="115" s="1"/>
  <c r="AL18" i="115"/>
  <c r="AF147" i="115"/>
  <c r="AL147" i="115" s="1"/>
  <c r="BP129" i="7"/>
  <c r="BP135" i="7" s="1"/>
  <c r="BN129" i="7"/>
  <c r="BN135" i="7" s="1"/>
  <c r="BO67" i="7"/>
  <c r="BO70" i="7" s="1"/>
  <c r="BO71" i="7" s="1"/>
  <c r="BO138" i="7"/>
  <c r="BP141" i="7"/>
  <c r="BP139" i="7"/>
  <c r="BO68" i="7"/>
  <c r="BP65" i="7"/>
  <c r="BP67" i="7"/>
  <c r="BN63" i="7"/>
  <c r="BN138" i="7" s="1"/>
  <c r="BV48" i="72"/>
  <c r="CM48" i="72" s="1"/>
  <c r="CM51" i="72" s="1"/>
  <c r="CK51" i="72" s="1"/>
  <c r="BX48" i="72"/>
  <c r="BU51" i="72"/>
  <c r="BS48" i="72"/>
  <c r="BW48" i="72"/>
  <c r="BP51" i="72"/>
  <c r="N13" i="64"/>
  <c r="P56" i="34"/>
  <c r="AR74" i="5"/>
  <c r="AQ75" i="5"/>
  <c r="AQ69" i="115" l="1"/>
  <c r="BF69" i="115" s="1"/>
  <c r="BL69" i="115" s="1"/>
  <c r="AN70" i="115"/>
  <c r="AH61" i="115"/>
  <c r="AP147" i="115"/>
  <c r="CO31" i="116" s="1"/>
  <c r="AF56" i="115"/>
  <c r="AL56" i="115" s="1"/>
  <c r="AF68" i="115"/>
  <c r="AL68" i="115" s="1"/>
  <c r="AN69" i="115"/>
  <c r="C219" i="115"/>
  <c r="B219" i="115"/>
  <c r="AE45" i="116"/>
  <c r="BF51" i="115"/>
  <c r="BL51" i="115" s="1"/>
  <c r="AN64" i="115"/>
  <c r="AQ68" i="115"/>
  <c r="BF68" i="115" s="1"/>
  <c r="BL68" i="115" s="1"/>
  <c r="AE40" i="116"/>
  <c r="BK56" i="115"/>
  <c r="BD56" i="115"/>
  <c r="BJ56" i="115" s="1"/>
  <c r="BD68" i="115"/>
  <c r="BJ68" i="115" s="1"/>
  <c r="BK68" i="115"/>
  <c r="BF153" i="115"/>
  <c r="BL43" i="115"/>
  <c r="BD50" i="115"/>
  <c r="BJ50" i="115" s="1"/>
  <c r="BK50" i="115"/>
  <c r="BK37" i="115"/>
  <c r="BD37" i="115"/>
  <c r="BJ37" i="115" s="1"/>
  <c r="BE147" i="115"/>
  <c r="BK147" i="115" s="1"/>
  <c r="BE156" i="115"/>
  <c r="BK156" i="115" s="1"/>
  <c r="BK46" i="115"/>
  <c r="BD46" i="115"/>
  <c r="O32" i="119"/>
  <c r="AN41" i="116"/>
  <c r="BE157" i="115"/>
  <c r="BK157" i="115" s="1"/>
  <c r="BD47" i="115"/>
  <c r="BK47" i="115"/>
  <c r="BD68" i="113"/>
  <c r="BJ68" i="113" s="1"/>
  <c r="BK68" i="113"/>
  <c r="AG160" i="115"/>
  <c r="AM160" i="115" s="1"/>
  <c r="AM107" i="115"/>
  <c r="BL108" i="115"/>
  <c r="BF161" i="115"/>
  <c r="BL161" i="115" s="1"/>
  <c r="AO17" i="115"/>
  <c r="AL217" i="115"/>
  <c r="AQ195" i="115"/>
  <c r="BF195" i="115" s="1"/>
  <c r="BL195" i="115" s="1"/>
  <c r="BO50" i="115"/>
  <c r="BO195" i="115" s="1"/>
  <c r="CD195" i="115" s="1"/>
  <c r="CJ195" i="115" s="1"/>
  <c r="AM200" i="115"/>
  <c r="AL192" i="115"/>
  <c r="K54" i="116"/>
  <c r="U54" i="116"/>
  <c r="AP170" i="115"/>
  <c r="CO54" i="116" s="1"/>
  <c r="BN117" i="115"/>
  <c r="AO117" i="115"/>
  <c r="AO170" i="115" s="1"/>
  <c r="AP111" i="115"/>
  <c r="BE117" i="115"/>
  <c r="AL117" i="115"/>
  <c r="AF170" i="115"/>
  <c r="AL170" i="115" s="1"/>
  <c r="Q66" i="113"/>
  <c r="R48" i="113"/>
  <c r="Q48" i="113" s="1"/>
  <c r="B48" i="113"/>
  <c r="AL43" i="115"/>
  <c r="AF44" i="115"/>
  <c r="AL44" i="115" s="1"/>
  <c r="AF153" i="115"/>
  <c r="BH32" i="116"/>
  <c r="AX32" i="116"/>
  <c r="AM218" i="115"/>
  <c r="AQ212" i="115"/>
  <c r="BO64" i="115"/>
  <c r="BO212" i="115" s="1"/>
  <c r="K40" i="116"/>
  <c r="U40" i="116"/>
  <c r="AQ210" i="115"/>
  <c r="BO62" i="115"/>
  <c r="AQ61" i="115"/>
  <c r="AQ209" i="115" s="1"/>
  <c r="AL194" i="115"/>
  <c r="AP194" i="115"/>
  <c r="BN49" i="115"/>
  <c r="BR48" i="116"/>
  <c r="AL42" i="115"/>
  <c r="AF152" i="115"/>
  <c r="AL152" i="115" s="1"/>
  <c r="BN152" i="115"/>
  <c r="EN36" i="116" s="1"/>
  <c r="BH36" i="116"/>
  <c r="AX36" i="116"/>
  <c r="BO53" i="115"/>
  <c r="BO197" i="115" s="1"/>
  <c r="AQ197" i="115"/>
  <c r="AY41" i="116"/>
  <c r="AO41" i="116"/>
  <c r="BO68" i="115"/>
  <c r="BO216" i="115" s="1"/>
  <c r="AQ216" i="115"/>
  <c r="BF216" i="115" s="1"/>
  <c r="BL216" i="115" s="1"/>
  <c r="Q66" i="115"/>
  <c r="Q214" i="115" s="1"/>
  <c r="R214" i="115"/>
  <c r="R45" i="115"/>
  <c r="AG45" i="115" s="1"/>
  <c r="AL215" i="115"/>
  <c r="B45" i="115"/>
  <c r="B155" i="115" s="1"/>
  <c r="B159" i="115" s="1"/>
  <c r="C36" i="115"/>
  <c r="C155" i="115"/>
  <c r="AP201" i="115"/>
  <c r="BN57" i="115"/>
  <c r="AN190" i="115"/>
  <c r="BO42" i="115"/>
  <c r="BO152" i="115" s="1"/>
  <c r="EO36" i="116" s="1"/>
  <c r="AQ152" i="115"/>
  <c r="CP36" i="116" s="1"/>
  <c r="BF42" i="115"/>
  <c r="BF44" i="115" s="1"/>
  <c r="BL44" i="115" s="1"/>
  <c r="X40" i="98"/>
  <c r="AE13" i="65" s="1"/>
  <c r="EO32" i="116"/>
  <c r="BE163" i="115"/>
  <c r="BK163" i="115" s="1"/>
  <c r="BK110" i="115"/>
  <c r="BD110" i="115"/>
  <c r="BN110" i="115"/>
  <c r="AP163" i="115"/>
  <c r="CO47" i="116" s="1"/>
  <c r="AO110" i="115"/>
  <c r="AO163" i="115" s="1"/>
  <c r="AY45" i="116"/>
  <c r="AO45" i="116"/>
  <c r="BO70" i="115"/>
  <c r="BO218" i="115" s="1"/>
  <c r="AQ218" i="115"/>
  <c r="BF218" i="115" s="1"/>
  <c r="BL218" i="115" s="1"/>
  <c r="AM212" i="115"/>
  <c r="AP198" i="115"/>
  <c r="BN54" i="115"/>
  <c r="AO54" i="115"/>
  <c r="AO198" i="115" s="1"/>
  <c r="AL204" i="115"/>
  <c r="AP204" i="115"/>
  <c r="BN60" i="115"/>
  <c r="AP193" i="115"/>
  <c r="BN51" i="115"/>
  <c r="AO51" i="115"/>
  <c r="AO193" i="115" s="1"/>
  <c r="AP211" i="115"/>
  <c r="BN63" i="115"/>
  <c r="AO63" i="115"/>
  <c r="AO211" i="115" s="1"/>
  <c r="BD211" i="115" s="1"/>
  <c r="AZ41" i="116"/>
  <c r="BI41" i="116" s="1"/>
  <c r="AL196" i="115"/>
  <c r="AL202" i="115"/>
  <c r="CJ43" i="113"/>
  <c r="CD253" i="113"/>
  <c r="CJ253" i="113" s="1"/>
  <c r="D43" i="113"/>
  <c r="CJ36" i="113"/>
  <c r="D36" i="113"/>
  <c r="CI47" i="113"/>
  <c r="C47" i="113"/>
  <c r="CJ40" i="113"/>
  <c r="D40" i="113"/>
  <c r="CI34" i="113"/>
  <c r="C34" i="113"/>
  <c r="DZ54" i="116"/>
  <c r="X45" i="119"/>
  <c r="C38" i="116"/>
  <c r="B37" i="116"/>
  <c r="L37" i="116"/>
  <c r="CY47" i="116"/>
  <c r="DH47" i="116" s="1"/>
  <c r="U38" i="119"/>
  <c r="CM47" i="116"/>
  <c r="CI139" i="115"/>
  <c r="CC174" i="115"/>
  <c r="AL203" i="115"/>
  <c r="AL216" i="115"/>
  <c r="AQ193" i="115"/>
  <c r="BO51" i="115"/>
  <c r="BO193" i="115" s="1"/>
  <c r="AY54" i="116"/>
  <c r="AO54" i="116"/>
  <c r="D38" i="116"/>
  <c r="M37" i="116"/>
  <c r="EW34" i="116"/>
  <c r="EM34" i="116"/>
  <c r="CH173" i="115"/>
  <c r="T31" i="116"/>
  <c r="AC31" i="116" s="1"/>
  <c r="AD31" i="116"/>
  <c r="AN49" i="115"/>
  <c r="AQ49" i="115"/>
  <c r="BF49" i="115" s="1"/>
  <c r="AO40" i="116"/>
  <c r="AY40" i="116"/>
  <c r="AM190" i="115"/>
  <c r="AH209" i="115"/>
  <c r="BR54" i="116"/>
  <c r="N25" i="119"/>
  <c r="AM34" i="116"/>
  <c r="AN60" i="115"/>
  <c r="AQ60" i="115"/>
  <c r="AO60" i="115" s="1"/>
  <c r="AO204" i="115" s="1"/>
  <c r="BD204" i="115" s="1"/>
  <c r="AL195" i="115"/>
  <c r="D155" i="115"/>
  <c r="D36" i="115"/>
  <c r="S214" i="115"/>
  <c r="S45" i="115"/>
  <c r="AM201" i="115"/>
  <c r="BE201" i="115"/>
  <c r="BK201" i="115" s="1"/>
  <c r="BO48" i="115"/>
  <c r="BO192" i="115" s="1"/>
  <c r="AQ192" i="115"/>
  <c r="BF192" i="115" s="1"/>
  <c r="BL192" i="115" s="1"/>
  <c r="BR36" i="116"/>
  <c r="AY47" i="116"/>
  <c r="AO47" i="116"/>
  <c r="L44" i="116"/>
  <c r="B44" i="116"/>
  <c r="AN59" i="115"/>
  <c r="AQ59" i="115"/>
  <c r="BF59" i="115" s="1"/>
  <c r="BL59" i="115" s="1"/>
  <c r="BD198" i="115"/>
  <c r="AL198" i="115"/>
  <c r="AM193" i="115"/>
  <c r="BE193" i="115"/>
  <c r="BK193" i="115" s="1"/>
  <c r="AL211" i="115"/>
  <c r="AF61" i="115"/>
  <c r="AL61" i="115" s="1"/>
  <c r="AM61" i="115"/>
  <c r="AM210" i="115"/>
  <c r="AP210" i="115"/>
  <c r="BE210" i="115" s="1"/>
  <c r="BK210" i="115" s="1"/>
  <c r="BN62" i="115"/>
  <c r="AP61" i="115"/>
  <c r="AO62" i="115"/>
  <c r="AO210" i="115" s="1"/>
  <c r="CI38" i="113"/>
  <c r="C38" i="113"/>
  <c r="CI33" i="113"/>
  <c r="C33" i="113"/>
  <c r="CB255" i="113"/>
  <c r="CJ44" i="113"/>
  <c r="CD254" i="113"/>
  <c r="CJ254" i="113" s="1"/>
  <c r="D44" i="113"/>
  <c r="D42" i="113"/>
  <c r="CD41" i="113"/>
  <c r="CJ42" i="113"/>
  <c r="CB250" i="113"/>
  <c r="Q44" i="115"/>
  <c r="Q153" i="115"/>
  <c r="AM43" i="115"/>
  <c r="AG44" i="115"/>
  <c r="AM44" i="115" s="1"/>
  <c r="AG153" i="115"/>
  <c r="AP43" i="115"/>
  <c r="T36" i="116"/>
  <c r="AC36" i="116" s="1"/>
  <c r="AD36" i="116"/>
  <c r="AZ45" i="116"/>
  <c r="BI45" i="116" s="1"/>
  <c r="M44" i="116"/>
  <c r="V44" i="116" s="1"/>
  <c r="BN65" i="115"/>
  <c r="AP213" i="115"/>
  <c r="BE213" i="115" s="1"/>
  <c r="BK213" i="115" s="1"/>
  <c r="AO65" i="115"/>
  <c r="AO213" i="115" s="1"/>
  <c r="BE65" i="115"/>
  <c r="BN48" i="115"/>
  <c r="AP192" i="115"/>
  <c r="BE192" i="115" s="1"/>
  <c r="BK192" i="115" s="1"/>
  <c r="AO48" i="115"/>
  <c r="AO192" i="115" s="1"/>
  <c r="BD192" i="115" s="1"/>
  <c r="AP215" i="115"/>
  <c r="AP66" i="115"/>
  <c r="BE66" i="115" s="1"/>
  <c r="BN67" i="115"/>
  <c r="AO67" i="115"/>
  <c r="AO215" i="115" s="1"/>
  <c r="BD215" i="115" s="1"/>
  <c r="AP161" i="115"/>
  <c r="CO45" i="116" s="1"/>
  <c r="BN108" i="115"/>
  <c r="AP107" i="115"/>
  <c r="AO108" i="115"/>
  <c r="AO161" i="115" s="1"/>
  <c r="AQ157" i="115"/>
  <c r="CP41" i="116" s="1"/>
  <c r="AQ191" i="115"/>
  <c r="BF191" i="115" s="1"/>
  <c r="BL191" i="115" s="1"/>
  <c r="BO47" i="115"/>
  <c r="AP217" i="115"/>
  <c r="AO69" i="115"/>
  <c r="AO217" i="115" s="1"/>
  <c r="BD217" i="115" s="1"/>
  <c r="BN69" i="115"/>
  <c r="BN53" i="115"/>
  <c r="AP197" i="115"/>
  <c r="BE197" i="115" s="1"/>
  <c r="BK197" i="115" s="1"/>
  <c r="AO53" i="115"/>
  <c r="AO197" i="115" s="1"/>
  <c r="BN67" i="113"/>
  <c r="AO67" i="113"/>
  <c r="AP66" i="113"/>
  <c r="BE66" i="113" s="1"/>
  <c r="AP218" i="115"/>
  <c r="BE218" i="115" s="1"/>
  <c r="BK218" i="115" s="1"/>
  <c r="BN70" i="115"/>
  <c r="AO70" i="115"/>
  <c r="AO218" i="115" s="1"/>
  <c r="AP237" i="113"/>
  <c r="AO75" i="113"/>
  <c r="AO237" i="113" s="1"/>
  <c r="BN75" i="113"/>
  <c r="AL47" i="115"/>
  <c r="AF157" i="115"/>
  <c r="AL157" i="115" s="1"/>
  <c r="AQ190" i="115"/>
  <c r="BF190" i="115" s="1"/>
  <c r="BL190" i="115" s="1"/>
  <c r="BO46" i="115"/>
  <c r="AQ156" i="115"/>
  <c r="CP40" i="116" s="1"/>
  <c r="AP212" i="115"/>
  <c r="BE212" i="115" s="1"/>
  <c r="BK212" i="115" s="1"/>
  <c r="BN64" i="115"/>
  <c r="AO64" i="115"/>
  <c r="AO212" i="115" s="1"/>
  <c r="BN52" i="115"/>
  <c r="AP196" i="115"/>
  <c r="BE196" i="115" s="1"/>
  <c r="BK196" i="115" s="1"/>
  <c r="AO52" i="115"/>
  <c r="AO196" i="115" s="1"/>
  <c r="BD196" i="115" s="1"/>
  <c r="BN58" i="115"/>
  <c r="AP202" i="115"/>
  <c r="BE202" i="115" s="1"/>
  <c r="BK202" i="115" s="1"/>
  <c r="AO58" i="115"/>
  <c r="AO202" i="115" s="1"/>
  <c r="BD202" i="115" s="1"/>
  <c r="BM18" i="115"/>
  <c r="BN17" i="115"/>
  <c r="BD213" i="115"/>
  <c r="AL213" i="115"/>
  <c r="AM217" i="115"/>
  <c r="BE217" i="115"/>
  <c r="BK217" i="115" s="1"/>
  <c r="AL200" i="115"/>
  <c r="AP200" i="115"/>
  <c r="BE200" i="115" s="1"/>
  <c r="BK200" i="115" s="1"/>
  <c r="BN56" i="115"/>
  <c r="AO56" i="115"/>
  <c r="AO200" i="115" s="1"/>
  <c r="BD200" i="115" s="1"/>
  <c r="AP216" i="115"/>
  <c r="AO68" i="115"/>
  <c r="AO216" i="115" s="1"/>
  <c r="BD216" i="115" s="1"/>
  <c r="BN68" i="115"/>
  <c r="BD197" i="115"/>
  <c r="AL197" i="115"/>
  <c r="AM66" i="113"/>
  <c r="AF66" i="113"/>
  <c r="AL66" i="113" s="1"/>
  <c r="AQ44" i="115"/>
  <c r="AQ153" i="115"/>
  <c r="BO43" i="115"/>
  <c r="AH154" i="115"/>
  <c r="AN154" i="115" s="1"/>
  <c r="AN153" i="115"/>
  <c r="BE39" i="115"/>
  <c r="BN39" i="115"/>
  <c r="AO39" i="115"/>
  <c r="AO148" i="115" s="1"/>
  <c r="AP148" i="115"/>
  <c r="CO32" i="116" s="1"/>
  <c r="AL39" i="115"/>
  <c r="AF148" i="115"/>
  <c r="AL148" i="115" s="1"/>
  <c r="BD218" i="115"/>
  <c r="AL218" i="115"/>
  <c r="BO54" i="115"/>
  <c r="BO198" i="115" s="1"/>
  <c r="AQ198" i="115"/>
  <c r="BF198" i="115" s="1"/>
  <c r="BL198" i="115" s="1"/>
  <c r="AQ211" i="115"/>
  <c r="BF211" i="115" s="1"/>
  <c r="BL211" i="115" s="1"/>
  <c r="BO63" i="115"/>
  <c r="BO211" i="115" s="1"/>
  <c r="CD211" i="115" s="1"/>
  <c r="CJ211" i="115" s="1"/>
  <c r="BO52" i="115"/>
  <c r="BO196" i="115" s="1"/>
  <c r="AQ196" i="115"/>
  <c r="BF196" i="115" s="1"/>
  <c r="BL196" i="115" s="1"/>
  <c r="BE194" i="115"/>
  <c r="BK194" i="115" s="1"/>
  <c r="AM194" i="115"/>
  <c r="BK49" i="115"/>
  <c r="CN36" i="116"/>
  <c r="CX36" i="116"/>
  <c r="BO69" i="115"/>
  <c r="BO217" i="115" s="1"/>
  <c r="AQ217" i="115"/>
  <c r="BF217" i="115" s="1"/>
  <c r="BL217" i="115" s="1"/>
  <c r="AP195" i="115"/>
  <c r="AO50" i="115"/>
  <c r="AO195" i="115" s="1"/>
  <c r="BD195" i="115" s="1"/>
  <c r="BN50" i="115"/>
  <c r="Q157" i="115"/>
  <c r="Q191" i="115"/>
  <c r="AF191" i="115" s="1"/>
  <c r="AQ66" i="115"/>
  <c r="AQ215" i="115"/>
  <c r="BF215" i="115" s="1"/>
  <c r="BL215" i="115" s="1"/>
  <c r="BO67" i="115"/>
  <c r="BE215" i="115"/>
  <c r="BK215" i="115" s="1"/>
  <c r="AM215" i="115"/>
  <c r="AM66" i="115"/>
  <c r="BO58" i="115"/>
  <c r="BO202" i="115" s="1"/>
  <c r="AQ202" i="115"/>
  <c r="BF202" i="115" s="1"/>
  <c r="BL202" i="115" s="1"/>
  <c r="BK57" i="115"/>
  <c r="AZ40" i="116"/>
  <c r="BI40" i="116" s="1"/>
  <c r="X38" i="98"/>
  <c r="CP32" i="116"/>
  <c r="AO68" i="113"/>
  <c r="BN68" i="113"/>
  <c r="BM68" i="113" s="1"/>
  <c r="K47" i="116"/>
  <c r="U47" i="116"/>
  <c r="AL110" i="115"/>
  <c r="AF163" i="115"/>
  <c r="AL163" i="115" s="1"/>
  <c r="R160" i="115"/>
  <c r="AP44" i="116" s="1"/>
  <c r="Q107" i="115"/>
  <c r="Q160" i="115" s="1"/>
  <c r="AO37" i="115"/>
  <c r="AO147" i="115" s="1"/>
  <c r="BN37" i="115"/>
  <c r="BM37" i="115" s="1"/>
  <c r="AO31" i="116"/>
  <c r="AY31" i="116"/>
  <c r="BD212" i="115"/>
  <c r="AL212" i="115"/>
  <c r="AQ200" i="115"/>
  <c r="BF200" i="115" s="1"/>
  <c r="BL200" i="115" s="1"/>
  <c r="BO56" i="115"/>
  <c r="BO200" i="115" s="1"/>
  <c r="BK54" i="115"/>
  <c r="BD54" i="115"/>
  <c r="BJ54" i="115" s="1"/>
  <c r="BE204" i="115"/>
  <c r="BK204" i="115" s="1"/>
  <c r="AM204" i="115"/>
  <c r="BK60" i="115"/>
  <c r="BD51" i="115"/>
  <c r="BJ51" i="115" s="1"/>
  <c r="BK51" i="115"/>
  <c r="BK63" i="115"/>
  <c r="BD63" i="115"/>
  <c r="BJ63" i="115" s="1"/>
  <c r="CI43" i="113"/>
  <c r="CC253" i="113"/>
  <c r="CI253" i="113" s="1"/>
  <c r="C43" i="113"/>
  <c r="CI36" i="113"/>
  <c r="C36" i="113"/>
  <c r="CJ47" i="113"/>
  <c r="D47" i="113"/>
  <c r="CI40" i="113"/>
  <c r="C40" i="113"/>
  <c r="CJ34" i="113"/>
  <c r="D34" i="113"/>
  <c r="CY48" i="116"/>
  <c r="DH48" i="116" s="1"/>
  <c r="BO170" i="115"/>
  <c r="EO54" i="116" s="1"/>
  <c r="BO111" i="115"/>
  <c r="BO164" i="115" s="1"/>
  <c r="EO48" i="116" s="1"/>
  <c r="EX47" i="116"/>
  <c r="FG47" i="116" s="1"/>
  <c r="O36" i="119"/>
  <c r="AN45" i="116"/>
  <c r="AQ161" i="115"/>
  <c r="CP45" i="116" s="1"/>
  <c r="BO108" i="115"/>
  <c r="AQ107" i="115"/>
  <c r="AQ160" i="115" s="1"/>
  <c r="CP44" i="116" s="1"/>
  <c r="AP203" i="115"/>
  <c r="BE203" i="115" s="1"/>
  <c r="BK203" i="115" s="1"/>
  <c r="BN59" i="115"/>
  <c r="BE59" i="115"/>
  <c r="AM216" i="115"/>
  <c r="BE216" i="115"/>
  <c r="BK216" i="115" s="1"/>
  <c r="BF193" i="115"/>
  <c r="BL193" i="115" s="1"/>
  <c r="AN193" i="115"/>
  <c r="R164" i="115"/>
  <c r="AP48" i="116" s="1"/>
  <c r="Q111" i="115"/>
  <c r="Q164" i="115" s="1"/>
  <c r="S154" i="115"/>
  <c r="AQ37" i="116"/>
  <c r="DG34" i="116"/>
  <c r="CW34" i="116"/>
  <c r="AN212" i="115"/>
  <c r="BF212" i="115"/>
  <c r="BL212" i="115" s="1"/>
  <c r="Q190" i="115"/>
  <c r="AF190" i="115" s="1"/>
  <c r="Q156" i="115"/>
  <c r="AP156" i="115"/>
  <c r="CO40" i="116" s="1"/>
  <c r="BN46" i="115"/>
  <c r="AP190" i="115"/>
  <c r="BE190" i="115" s="1"/>
  <c r="BK190" i="115" s="1"/>
  <c r="AO46" i="115"/>
  <c r="AL46" i="115"/>
  <c r="AF156" i="115"/>
  <c r="AL156" i="115" s="1"/>
  <c r="AN61" i="115"/>
  <c r="BF61" i="115"/>
  <c r="BL61" i="115" s="1"/>
  <c r="BF210" i="115"/>
  <c r="BL210" i="115" s="1"/>
  <c r="AN210" i="115"/>
  <c r="AN57" i="115"/>
  <c r="AQ57" i="115"/>
  <c r="BF57" i="115" s="1"/>
  <c r="BL57" i="115" s="1"/>
  <c r="AA11" i="65"/>
  <c r="AA10" i="65" s="1"/>
  <c r="AB12" i="65"/>
  <c r="M25" i="119"/>
  <c r="AL34" i="116"/>
  <c r="AQ213" i="115"/>
  <c r="BF213" i="115" s="1"/>
  <c r="BL213" i="115" s="1"/>
  <c r="BO65" i="115"/>
  <c r="BO213" i="115" s="1"/>
  <c r="CD213" i="115" s="1"/>
  <c r="CJ213" i="115" s="1"/>
  <c r="AN197" i="115"/>
  <c r="BF197" i="115"/>
  <c r="BL197" i="115" s="1"/>
  <c r="AM195" i="115"/>
  <c r="BE195" i="115"/>
  <c r="BK195" i="115" s="1"/>
  <c r="U41" i="116"/>
  <c r="T41" i="116" s="1"/>
  <c r="K41" i="116"/>
  <c r="AF66" i="115"/>
  <c r="AL66" i="115" s="1"/>
  <c r="AN66" i="115"/>
  <c r="BF66" i="115"/>
  <c r="BL66" i="115" s="1"/>
  <c r="D219" i="115"/>
  <c r="AL201" i="115"/>
  <c r="O31" i="119"/>
  <c r="AN40" i="116"/>
  <c r="BI32" i="116"/>
  <c r="BR32" i="116" s="1"/>
  <c r="K45" i="116"/>
  <c r="U45" i="116"/>
  <c r="T32" i="116"/>
  <c r="AC32" i="116" s="1"/>
  <c r="AD32" i="116"/>
  <c r="BG34" i="116"/>
  <c r="BP34" i="116" s="1"/>
  <c r="BQ34" i="116"/>
  <c r="BD174" i="115"/>
  <c r="BJ174" i="115" s="1"/>
  <c r="BJ139" i="115"/>
  <c r="CB139" i="115"/>
  <c r="AM198" i="115"/>
  <c r="BE198" i="115"/>
  <c r="BK198" i="115" s="1"/>
  <c r="BD193" i="115"/>
  <c r="AL193" i="115"/>
  <c r="BE211" i="115"/>
  <c r="BK211" i="115" s="1"/>
  <c r="AM211" i="115"/>
  <c r="BD210" i="115"/>
  <c r="AL210" i="115"/>
  <c r="R209" i="115"/>
  <c r="AG209" i="115" s="1"/>
  <c r="AM209" i="115" s="1"/>
  <c r="Q61" i="115"/>
  <c r="Q209" i="115" s="1"/>
  <c r="AF209" i="115" s="1"/>
  <c r="BE62" i="115"/>
  <c r="CJ38" i="113"/>
  <c r="D38" i="113"/>
  <c r="CJ33" i="113"/>
  <c r="D33" i="113"/>
  <c r="CI46" i="113"/>
  <c r="C46" i="113"/>
  <c r="CC45" i="113"/>
  <c r="CJ46" i="113"/>
  <c r="D46" i="113"/>
  <c r="CD45" i="113"/>
  <c r="CI44" i="113"/>
  <c r="CC254" i="113"/>
  <c r="CI254" i="113" s="1"/>
  <c r="C44" i="113"/>
  <c r="CC41" i="113"/>
  <c r="CI42" i="113"/>
  <c r="C42" i="113"/>
  <c r="R154" i="115"/>
  <c r="AP37" i="116"/>
  <c r="AZ44" i="116"/>
  <c r="BI44" i="116" s="1"/>
  <c r="AH107" i="115"/>
  <c r="AF107" i="115" s="1"/>
  <c r="BN91" i="8"/>
  <c r="BN93" i="8"/>
  <c r="BN94" i="8" s="1"/>
  <c r="BJ18" i="115"/>
  <c r="BK48" i="115"/>
  <c r="BD48" i="115"/>
  <c r="BJ48" i="115" s="1"/>
  <c r="BE70" i="113"/>
  <c r="AO70" i="113"/>
  <c r="AO232" i="113" s="1"/>
  <c r="BN70" i="113"/>
  <c r="AP232" i="113"/>
  <c r="AL70" i="113"/>
  <c r="AF232" i="113"/>
  <c r="AL232" i="113" s="1"/>
  <c r="BK67" i="115"/>
  <c r="BD67" i="115"/>
  <c r="BJ67" i="115" s="1"/>
  <c r="BK108" i="115"/>
  <c r="BE161" i="115"/>
  <c r="BK161" i="115" s="1"/>
  <c r="BD108" i="115"/>
  <c r="AL108" i="115"/>
  <c r="AF161" i="115"/>
  <c r="AL161" i="115" s="1"/>
  <c r="BE17" i="115"/>
  <c r="BL47" i="115"/>
  <c r="BF157" i="115"/>
  <c r="BL157" i="115" s="1"/>
  <c r="BK69" i="115"/>
  <c r="BD69" i="115"/>
  <c r="BJ69" i="115" s="1"/>
  <c r="BK53" i="115"/>
  <c r="BD53" i="115"/>
  <c r="BJ53" i="115" s="1"/>
  <c r="BK67" i="113"/>
  <c r="BD67" i="113"/>
  <c r="BJ67" i="113" s="1"/>
  <c r="BD70" i="115"/>
  <c r="BJ70" i="115" s="1"/>
  <c r="BK70" i="115"/>
  <c r="AF237" i="113"/>
  <c r="AL237" i="113" s="1"/>
  <c r="AL75" i="113"/>
  <c r="BE237" i="113"/>
  <c r="BK237" i="113" s="1"/>
  <c r="BD75" i="113"/>
  <c r="BK75" i="113"/>
  <c r="AP191" i="115"/>
  <c r="BE191" i="115" s="1"/>
  <c r="BK191" i="115" s="1"/>
  <c r="BN47" i="115"/>
  <c r="AP157" i="115"/>
  <c r="CO41" i="116" s="1"/>
  <c r="AO47" i="115"/>
  <c r="BF156" i="115"/>
  <c r="BL156" i="115" s="1"/>
  <c r="BL46" i="115"/>
  <c r="BE64" i="115"/>
  <c r="BE52" i="115"/>
  <c r="BK58" i="115"/>
  <c r="BD58" i="115"/>
  <c r="BJ58" i="115" s="1"/>
  <c r="BO141" i="7"/>
  <c r="BO139" i="7"/>
  <c r="BN141" i="7"/>
  <c r="BN139" i="7"/>
  <c r="BP142" i="7"/>
  <c r="BP144" i="7"/>
  <c r="BP145" i="7" s="1"/>
  <c r="BN65" i="7"/>
  <c r="BN67" i="7"/>
  <c r="BP70" i="7"/>
  <c r="BP71" i="7" s="1"/>
  <c r="BP68" i="7"/>
  <c r="BS51" i="72"/>
  <c r="BN51" i="72"/>
  <c r="BQ51" i="72" s="1"/>
  <c r="BX51" i="72" s="1"/>
  <c r="BV51" i="72"/>
  <c r="BY48" i="72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AT10" i="10"/>
  <c r="AU10" i="10"/>
  <c r="AT15" i="10"/>
  <c r="AU15" i="10"/>
  <c r="AE61" i="8"/>
  <c r="AE62" i="8" s="1"/>
  <c r="AE57" i="8"/>
  <c r="AG57" i="8"/>
  <c r="AH57" i="8"/>
  <c r="AJ59" i="8"/>
  <c r="AJ53" i="8"/>
  <c r="AI50" i="8"/>
  <c r="AE31" i="8"/>
  <c r="AE25" i="8"/>
  <c r="AF59" i="8"/>
  <c r="AF53" i="8"/>
  <c r="AF46" i="8"/>
  <c r="AF45" i="8"/>
  <c r="AL69" i="7"/>
  <c r="AL143" i="7" s="1"/>
  <c r="BE143" i="7" s="1"/>
  <c r="AL60" i="7"/>
  <c r="AL134" i="7" s="1"/>
  <c r="BE134" i="7" s="1"/>
  <c r="AL53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H69" i="7"/>
  <c r="AH143" i="7" s="1"/>
  <c r="AH66" i="7"/>
  <c r="AH140" i="7" s="1"/>
  <c r="AH64" i="7"/>
  <c r="AH60" i="7"/>
  <c r="AH134" i="7" s="1"/>
  <c r="AI134" i="7" s="1"/>
  <c r="AH56" i="7"/>
  <c r="AH54" i="7"/>
  <c r="AH53" i="7"/>
  <c r="AH52" i="7"/>
  <c r="AH51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27" i="7" s="1"/>
  <c r="AH18" i="7"/>
  <c r="AH16" i="7"/>
  <c r="AH14" i="7"/>
  <c r="AH13" i="7"/>
  <c r="AH12" i="7"/>
  <c r="AH124" i="7" s="1"/>
  <c r="AH10" i="7"/>
  <c r="AH9" i="7"/>
  <c r="AH40" i="11"/>
  <c r="AH33" i="11" s="1"/>
  <c r="AO64" i="7"/>
  <c r="O45" i="3"/>
  <c r="O41" i="3"/>
  <c r="O40" i="3"/>
  <c r="O74" i="7"/>
  <c r="O76" i="7" s="1"/>
  <c r="R74" i="7"/>
  <c r="R75" i="7"/>
  <c r="R76" i="7"/>
  <c r="Z76" i="7"/>
  <c r="Z78" i="7" s="1"/>
  <c r="O80" i="7"/>
  <c r="R80" i="7"/>
  <c r="L81" i="7"/>
  <c r="R81" i="7"/>
  <c r="O82" i="7"/>
  <c r="R82" i="7"/>
  <c r="Z83" i="7"/>
  <c r="Z85" i="7" s="1"/>
  <c r="AB89" i="7"/>
  <c r="AD89" i="7" s="1"/>
  <c r="U90" i="7"/>
  <c r="U91" i="7"/>
  <c r="Q92" i="7"/>
  <c r="R92" i="7"/>
  <c r="S92" i="7"/>
  <c r="T92" i="7"/>
  <c r="R97" i="7"/>
  <c r="S97" i="7"/>
  <c r="Q99" i="7"/>
  <c r="Q100" i="7"/>
  <c r="R101" i="7"/>
  <c r="S101" i="7"/>
  <c r="E104" i="7"/>
  <c r="L38" i="3"/>
  <c r="BB10" i="3"/>
  <c r="BB15" i="3"/>
  <c r="BB12" i="3" s="1"/>
  <c r="BB25" i="3"/>
  <c r="BB21" i="3" s="1"/>
  <c r="V52" i="8" s="1"/>
  <c r="BB67" i="3"/>
  <c r="BB68" i="3"/>
  <c r="BB69" i="3"/>
  <c r="V64" i="7"/>
  <c r="U52" i="8"/>
  <c r="D10" i="3"/>
  <c r="F10" i="3"/>
  <c r="H10" i="3"/>
  <c r="BA10" i="3"/>
  <c r="H11" i="3"/>
  <c r="BA11" i="3"/>
  <c r="D13" i="3"/>
  <c r="F13" i="3"/>
  <c r="H13" i="3"/>
  <c r="BA13" i="3"/>
  <c r="B15" i="3"/>
  <c r="B12" i="3" s="1"/>
  <c r="C15" i="3"/>
  <c r="C12" i="3" s="1"/>
  <c r="E15" i="3"/>
  <c r="E12" i="3" s="1"/>
  <c r="G15" i="3"/>
  <c r="G12" i="3" s="1"/>
  <c r="I15" i="3"/>
  <c r="I12" i="3" s="1"/>
  <c r="J15" i="3"/>
  <c r="J12" i="3" s="1"/>
  <c r="L15" i="3"/>
  <c r="L12" i="3" s="1"/>
  <c r="M15" i="3"/>
  <c r="M12" i="3" s="1"/>
  <c r="AZ15" i="3"/>
  <c r="AZ12" i="3" s="1"/>
  <c r="D17" i="3"/>
  <c r="F17" i="3"/>
  <c r="H17" i="3"/>
  <c r="BA17" i="3"/>
  <c r="D18" i="3"/>
  <c r="F18" i="3"/>
  <c r="H18" i="3"/>
  <c r="BA18" i="3"/>
  <c r="D19" i="3"/>
  <c r="F19" i="3"/>
  <c r="H19" i="3"/>
  <c r="BA19" i="3"/>
  <c r="B21" i="3"/>
  <c r="B52" i="8" s="1"/>
  <c r="C21" i="3"/>
  <c r="C23" i="11" s="1"/>
  <c r="E21" i="3"/>
  <c r="E52" i="8" s="1"/>
  <c r="G21" i="3"/>
  <c r="I21" i="3"/>
  <c r="J21" i="3"/>
  <c r="J52" i="8" s="1"/>
  <c r="L21" i="3"/>
  <c r="M21" i="3"/>
  <c r="N52" i="8" s="1"/>
  <c r="AZ21" i="3"/>
  <c r="D23" i="3"/>
  <c r="F23" i="3"/>
  <c r="H23" i="3"/>
  <c r="BA23" i="3"/>
  <c r="D24" i="3"/>
  <c r="F24" i="3"/>
  <c r="H24" i="3"/>
  <c r="D25" i="3"/>
  <c r="F25" i="3"/>
  <c r="H25" i="3"/>
  <c r="BA25" i="3"/>
  <c r="D26" i="3"/>
  <c r="F26" i="3"/>
  <c r="H26" i="3"/>
  <c r="BA26" i="3"/>
  <c r="C25" i="36"/>
  <c r="C14" i="36"/>
  <c r="B25" i="36"/>
  <c r="B14" i="36"/>
  <c r="A50" i="8"/>
  <c r="G19" i="35"/>
  <c r="P24" i="35" s="1"/>
  <c r="G31" i="34"/>
  <c r="G48" i="34"/>
  <c r="AI60" i="8"/>
  <c r="R11" i="70" s="1"/>
  <c r="AG60" i="8"/>
  <c r="U9" i="17"/>
  <c r="T9" i="17" s="1"/>
  <c r="AD9" i="17" s="1"/>
  <c r="N47" i="5"/>
  <c r="U10" i="17"/>
  <c r="T10" i="17" s="1"/>
  <c r="AM10" i="17" s="1"/>
  <c r="AP10" i="17" s="1"/>
  <c r="Q23" i="7" s="1"/>
  <c r="N48" i="5"/>
  <c r="N49" i="5"/>
  <c r="B22" i="32"/>
  <c r="D22" i="32" s="1"/>
  <c r="B23" i="32"/>
  <c r="AA52" i="8"/>
  <c r="AH61" i="8"/>
  <c r="AH58" i="8"/>
  <c r="AH55" i="8"/>
  <c r="AG58" i="8"/>
  <c r="AG55" i="8"/>
  <c r="AE58" i="8"/>
  <c r="Z11" i="8"/>
  <c r="AK11" i="8" s="1"/>
  <c r="AM11" i="8"/>
  <c r="AO11" i="8" s="1"/>
  <c r="AM53" i="8"/>
  <c r="AC32" i="6"/>
  <c r="AC28" i="6"/>
  <c r="AH28" i="6" s="1"/>
  <c r="AC21" i="6"/>
  <c r="AH21" i="6" s="1"/>
  <c r="AC9" i="6"/>
  <c r="AB35" i="5"/>
  <c r="AB32" i="5"/>
  <c r="AB23" i="5"/>
  <c r="AG23" i="5" s="1"/>
  <c r="AB16" i="5"/>
  <c r="AO52" i="7"/>
  <c r="AB41" i="5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C31" i="21"/>
  <c r="E31" i="21" s="1"/>
  <c r="C25" i="21"/>
  <c r="E25" i="21" s="1"/>
  <c r="L26" i="21"/>
  <c r="Y14" i="19"/>
  <c r="Z14" i="19"/>
  <c r="Z12" i="19"/>
  <c r="AC12" i="19" s="1"/>
  <c r="AM34" i="17"/>
  <c r="AM33" i="17"/>
  <c r="AM32" i="17"/>
  <c r="AM31" i="17"/>
  <c r="AM28" i="17"/>
  <c r="AM27" i="17"/>
  <c r="AM26" i="17"/>
  <c r="AM25" i="17"/>
  <c r="Y34" i="17"/>
  <c r="Y33" i="17"/>
  <c r="Y32" i="17"/>
  <c r="Y31" i="17"/>
  <c r="Y28" i="17"/>
  <c r="Y27" i="17"/>
  <c r="AB27" i="17" s="1"/>
  <c r="Y26" i="17"/>
  <c r="AB26" i="17" s="1"/>
  <c r="Y25" i="17"/>
  <c r="AN30" i="17"/>
  <c r="AL30" i="17"/>
  <c r="Z30" i="17"/>
  <c r="X30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U42" i="11"/>
  <c r="W41" i="11"/>
  <c r="W45" i="11" s="1"/>
  <c r="U41" i="11"/>
  <c r="W33" i="11"/>
  <c r="W32" i="11"/>
  <c r="U32" i="11"/>
  <c r="W31" i="11"/>
  <c r="U31" i="11"/>
  <c r="W30" i="11"/>
  <c r="U30" i="11"/>
  <c r="W29" i="11"/>
  <c r="U29" i="11"/>
  <c r="I33" i="10"/>
  <c r="I27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L10" i="21"/>
  <c r="G26" i="21" s="1"/>
  <c r="E11" i="21"/>
  <c r="K11" i="21" s="1"/>
  <c r="I11" i="21"/>
  <c r="M11" i="21"/>
  <c r="H27" i="21" s="1"/>
  <c r="E12" i="21"/>
  <c r="G12" i="21"/>
  <c r="L12" i="21" s="1"/>
  <c r="N12" i="21" s="1"/>
  <c r="M12" i="21"/>
  <c r="H28" i="21" s="1"/>
  <c r="C13" i="21"/>
  <c r="D13" i="21"/>
  <c r="G13" i="21"/>
  <c r="I13" i="21" s="1"/>
  <c r="H13" i="21"/>
  <c r="D29" i="21" s="1"/>
  <c r="E14" i="21"/>
  <c r="I14" i="21"/>
  <c r="M14" i="21"/>
  <c r="H30" i="21" s="1"/>
  <c r="E15" i="21"/>
  <c r="I15" i="21"/>
  <c r="M15" i="21"/>
  <c r="H31" i="21" s="1"/>
  <c r="M31" i="21" s="1"/>
  <c r="N31" i="21" s="1"/>
  <c r="N15" i="21"/>
  <c r="P15" i="21" s="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U10" i="19"/>
  <c r="V10" i="19"/>
  <c r="D11" i="19"/>
  <c r="F11" i="19"/>
  <c r="H11" i="19"/>
  <c r="U11" i="19"/>
  <c r="V11" i="19"/>
  <c r="R12" i="19"/>
  <c r="U12" i="19" s="1"/>
  <c r="S12" i="19"/>
  <c r="Y12" i="19"/>
  <c r="Y50" i="19" s="1"/>
  <c r="AB12" i="19"/>
  <c r="U13" i="19"/>
  <c r="V13" i="19"/>
  <c r="R14" i="19"/>
  <c r="AB14" i="19"/>
  <c r="D16" i="19"/>
  <c r="F16" i="19"/>
  <c r="G16" i="19"/>
  <c r="M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 s="1"/>
  <c r="S27" i="19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S30" i="19"/>
  <c r="T30" i="19" s="1"/>
  <c r="U30" i="19"/>
  <c r="V30" i="19"/>
  <c r="AC30" i="19"/>
  <c r="D31" i="19"/>
  <c r="F31" i="19"/>
  <c r="H31" i="19"/>
  <c r="S31" i="19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T33" i="19" s="1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50" i="19" s="1"/>
  <c r="F37" i="19"/>
  <c r="H37" i="19"/>
  <c r="S37" i="19"/>
  <c r="T37" i="19" s="1"/>
  <c r="U37" i="19"/>
  <c r="V37" i="19"/>
  <c r="AC37" i="19"/>
  <c r="D38" i="19"/>
  <c r="F38" i="19"/>
  <c r="H38" i="19"/>
  <c r="S38" i="19"/>
  <c r="T38" i="19" s="1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 s="1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U47" i="19"/>
  <c r="V47" i="19"/>
  <c r="D48" i="19"/>
  <c r="U48" i="19"/>
  <c r="V48" i="19"/>
  <c r="C50" i="19"/>
  <c r="E50" i="19"/>
  <c r="R50" i="19"/>
  <c r="AB50" i="19"/>
  <c r="Y59" i="19"/>
  <c r="C61" i="19"/>
  <c r="B60" i="19" s="1"/>
  <c r="D61" i="19"/>
  <c r="E61" i="19"/>
  <c r="F61" i="19"/>
  <c r="G61" i="19"/>
  <c r="H60" i="19" s="1"/>
  <c r="R61" i="19"/>
  <c r="V61" i="19"/>
  <c r="U57" i="19" s="1"/>
  <c r="X61" i="19"/>
  <c r="W59" i="19" s="1"/>
  <c r="B7" i="32"/>
  <c r="D7" i="32" s="1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V8" i="17" s="1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E10" i="17" s="1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 s="1"/>
  <c r="AV11" i="17"/>
  <c r="AY11" i="17"/>
  <c r="BB11" i="17"/>
  <c r="AA27" i="17" s="1"/>
  <c r="BD11" i="17"/>
  <c r="O12" i="17"/>
  <c r="R12" i="17"/>
  <c r="R8" i="17" s="1"/>
  <c r="U12" i="17"/>
  <c r="X12" i="17"/>
  <c r="AD12" i="17"/>
  <c r="AE12" i="17"/>
  <c r="AF12" i="17"/>
  <c r="O39" i="7" s="1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AY14" i="17" s="1"/>
  <c r="BA14" i="17"/>
  <c r="BC14" i="17"/>
  <c r="H15" i="17"/>
  <c r="K15" i="17"/>
  <c r="N15" i="17"/>
  <c r="Q15" i="17"/>
  <c r="T15" i="17"/>
  <c r="AM15" i="17" s="1"/>
  <c r="AN15" i="17" s="1"/>
  <c r="W15" i="17"/>
  <c r="Z15" i="17"/>
  <c r="AE15" i="17" s="1"/>
  <c r="AF15" i="17"/>
  <c r="AV15" i="17"/>
  <c r="AY15" i="17"/>
  <c r="BB15" i="17"/>
  <c r="BD15" i="17"/>
  <c r="H16" i="17"/>
  <c r="H14" i="17" s="1"/>
  <c r="K16" i="17"/>
  <c r="O16" i="17"/>
  <c r="R16" i="17"/>
  <c r="U16" i="17"/>
  <c r="W16" i="17"/>
  <c r="Z16" i="17"/>
  <c r="AE16" i="17" s="1"/>
  <c r="AD16" i="17"/>
  <c r="AF16" i="17"/>
  <c r="AM16" i="17"/>
  <c r="T32" i="17" s="1"/>
  <c r="AT32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P30" i="8" s="1"/>
  <c r="R30" i="8" s="1"/>
  <c r="AV17" i="17"/>
  <c r="AY17" i="17"/>
  <c r="BB17" i="17"/>
  <c r="BD17" i="17"/>
  <c r="O18" i="17"/>
  <c r="O14" i="17"/>
  <c r="N14" i="17" s="1"/>
  <c r="R18" i="17"/>
  <c r="U18" i="17"/>
  <c r="W18" i="17"/>
  <c r="Z18" i="17"/>
  <c r="AE18" i="17" s="1"/>
  <c r="AD18" i="17"/>
  <c r="AF18" i="17"/>
  <c r="AM18" i="17"/>
  <c r="AP18" i="17" s="1"/>
  <c r="P38" i="8" s="1"/>
  <c r="P39" i="8" s="1"/>
  <c r="R39" i="8" s="1"/>
  <c r="AV18" i="17"/>
  <c r="AY18" i="17"/>
  <c r="BB18" i="17"/>
  <c r="AA34" i="17" s="1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H25" i="17" s="1"/>
  <c r="AZ25" i="17"/>
  <c r="H26" i="17"/>
  <c r="K26" i="17"/>
  <c r="N26" i="17"/>
  <c r="S26" i="17"/>
  <c r="AV26" i="17"/>
  <c r="BH26" i="17" s="1"/>
  <c r="AZ26" i="17"/>
  <c r="N27" i="17"/>
  <c r="P27" i="17" s="1"/>
  <c r="S27" i="17"/>
  <c r="T27" i="17"/>
  <c r="AV27" i="17"/>
  <c r="BH27" i="17" s="1"/>
  <c r="AZ27" i="17"/>
  <c r="N28" i="17"/>
  <c r="S28" i="17"/>
  <c r="AV28" i="17"/>
  <c r="BH28" i="17" s="1"/>
  <c r="AZ28" i="17"/>
  <c r="F30" i="17"/>
  <c r="G30" i="17"/>
  <c r="K30" i="17" s="1"/>
  <c r="M30" i="17"/>
  <c r="O30" i="17"/>
  <c r="S30" i="17"/>
  <c r="AU30" i="17"/>
  <c r="AW30" i="17"/>
  <c r="H31" i="17"/>
  <c r="K31" i="17"/>
  <c r="N31" i="17"/>
  <c r="AV31" i="17"/>
  <c r="AZ31" i="17"/>
  <c r="H32" i="17"/>
  <c r="K32" i="17"/>
  <c r="N32" i="17"/>
  <c r="AV32" i="17"/>
  <c r="AY32" i="17" s="1"/>
  <c r="AZ32" i="17"/>
  <c r="N33" i="17"/>
  <c r="AV33" i="17"/>
  <c r="AZ33" i="17"/>
  <c r="N34" i="17"/>
  <c r="AV34" i="17"/>
  <c r="BH34" i="17" s="1"/>
  <c r="AZ34" i="17"/>
  <c r="F9" i="33"/>
  <c r="H9" i="33"/>
  <c r="G10" i="33"/>
  <c r="I10" i="33" s="1"/>
  <c r="G11" i="33"/>
  <c r="I11" i="33" s="1"/>
  <c r="G12" i="33"/>
  <c r="I12" i="33"/>
  <c r="G13" i="33"/>
  <c r="I13" i="33" s="1"/>
  <c r="F15" i="33"/>
  <c r="H15" i="33"/>
  <c r="G16" i="33"/>
  <c r="I16" i="33" s="1"/>
  <c r="G17" i="33"/>
  <c r="I17" i="33"/>
  <c r="G18" i="33"/>
  <c r="I18" i="33" s="1"/>
  <c r="G19" i="33"/>
  <c r="I19" i="33" s="1"/>
  <c r="D7" i="11"/>
  <c r="I7" i="11" s="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I9" i="11" s="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 s="1"/>
  <c r="AP38" i="11"/>
  <c r="AK39" i="11"/>
  <c r="Q40" i="11"/>
  <c r="Q29" i="11" s="1"/>
  <c r="S41" i="11"/>
  <c r="J42" i="11"/>
  <c r="J45" i="11" s="1"/>
  <c r="K42" i="11"/>
  <c r="O42" i="11" s="1"/>
  <c r="S42" i="11"/>
  <c r="X42" i="11"/>
  <c r="AJ42" i="11"/>
  <c r="AK42" i="11"/>
  <c r="AK45" i="11" s="1"/>
  <c r="AN42" i="11"/>
  <c r="S43" i="11"/>
  <c r="AP44" i="11"/>
  <c r="BC44" i="11" s="1"/>
  <c r="G46" i="11"/>
  <c r="Q46" i="11"/>
  <c r="B6" i="10"/>
  <c r="C6" i="10"/>
  <c r="F6" i="10" s="1"/>
  <c r="H6" i="10"/>
  <c r="N6" i="10"/>
  <c r="P6" i="10"/>
  <c r="AR6" i="10"/>
  <c r="AR7" i="10"/>
  <c r="AR8" i="10"/>
  <c r="AR9" i="10"/>
  <c r="B7" i="10"/>
  <c r="B8" i="10"/>
  <c r="B9" i="10"/>
  <c r="C7" i="10"/>
  <c r="F7" i="10" s="1"/>
  <c r="H7" i="10"/>
  <c r="N7" i="10"/>
  <c r="P7" i="10"/>
  <c r="C8" i="10"/>
  <c r="F8" i="10" s="1"/>
  <c r="H8" i="10"/>
  <c r="N8" i="10"/>
  <c r="P8" i="10"/>
  <c r="C9" i="10"/>
  <c r="H9" i="10"/>
  <c r="N9" i="10"/>
  <c r="P9" i="10"/>
  <c r="E10" i="10"/>
  <c r="G10" i="10"/>
  <c r="I10" i="10"/>
  <c r="J10" i="10"/>
  <c r="K10" i="10"/>
  <c r="M10" i="10"/>
  <c r="N10" i="10" s="1"/>
  <c r="O10" i="10"/>
  <c r="AS10" i="10"/>
  <c r="B11" i="10"/>
  <c r="C11" i="10"/>
  <c r="F11" i="10" s="1"/>
  <c r="C12" i="10"/>
  <c r="F12" i="10" s="1"/>
  <c r="C13" i="10"/>
  <c r="C14" i="10"/>
  <c r="F14" i="10" s="1"/>
  <c r="H11" i="10"/>
  <c r="N11" i="10"/>
  <c r="P11" i="10"/>
  <c r="AR11" i="10"/>
  <c r="B12" i="10"/>
  <c r="H12" i="10"/>
  <c r="N12" i="10"/>
  <c r="P12" i="10"/>
  <c r="AR12" i="10"/>
  <c r="B13" i="10"/>
  <c r="H13" i="10"/>
  <c r="N13" i="10"/>
  <c r="P13" i="10"/>
  <c r="AR13" i="10"/>
  <c r="B14" i="10"/>
  <c r="H14" i="10"/>
  <c r="N14" i="10"/>
  <c r="P14" i="10"/>
  <c r="AR14" i="10"/>
  <c r="E15" i="10"/>
  <c r="G15" i="10"/>
  <c r="I15" i="10"/>
  <c r="J15" i="10"/>
  <c r="K15" i="10"/>
  <c r="M15" i="10"/>
  <c r="O15" i="10"/>
  <c r="AS15" i="10"/>
  <c r="F21" i="10"/>
  <c r="G21" i="10"/>
  <c r="O21" i="10"/>
  <c r="V21" i="10" s="1"/>
  <c r="F22" i="10"/>
  <c r="G22" i="10"/>
  <c r="AA20" i="7" s="1"/>
  <c r="AI20" i="7" s="1"/>
  <c r="O22" i="10"/>
  <c r="V22" i="10" s="1"/>
  <c r="F23" i="10"/>
  <c r="G23" i="10"/>
  <c r="AA29" i="7" s="1"/>
  <c r="AP29" i="7" s="1"/>
  <c r="O23" i="10"/>
  <c r="V23" i="10" s="1"/>
  <c r="F24" i="10"/>
  <c r="G24" i="10"/>
  <c r="AA36" i="7" s="1"/>
  <c r="O24" i="10"/>
  <c r="V24" i="10" s="1"/>
  <c r="E27" i="10"/>
  <c r="F27" i="10" s="1"/>
  <c r="H27" i="10"/>
  <c r="J27" i="10"/>
  <c r="M27" i="10"/>
  <c r="F28" i="10"/>
  <c r="G28" i="10"/>
  <c r="Y10" i="8" s="1"/>
  <c r="Z10" i="8" s="1"/>
  <c r="O28" i="10"/>
  <c r="F29" i="10"/>
  <c r="G29" i="10"/>
  <c r="Y20" i="8" s="1"/>
  <c r="AF20" i="8" s="1"/>
  <c r="O29" i="10"/>
  <c r="F30" i="10"/>
  <c r="G30" i="10"/>
  <c r="Y32" i="8" s="1"/>
  <c r="AF32" i="8" s="1"/>
  <c r="O30" i="10"/>
  <c r="F31" i="10"/>
  <c r="G31" i="10"/>
  <c r="Y35" i="8" s="1"/>
  <c r="Z35" i="8" s="1"/>
  <c r="O31" i="10"/>
  <c r="E33" i="10"/>
  <c r="H33" i="10"/>
  <c r="H34" i="10" s="1"/>
  <c r="J33" i="10"/>
  <c r="J34" i="10" s="1"/>
  <c r="M33" i="10"/>
  <c r="M34" i="10" s="1"/>
  <c r="B9" i="9"/>
  <c r="I9" i="9"/>
  <c r="I20" i="9" s="1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H11" i="9" s="1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 s="1"/>
  <c r="R14" i="9"/>
  <c r="W14" i="9" s="1"/>
  <c r="Y14" i="9"/>
  <c r="AH14" i="9"/>
  <c r="AH25" i="9" s="1"/>
  <c r="AK14" i="9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B17" i="9" s="1"/>
  <c r="J17" i="9"/>
  <c r="L17" i="9"/>
  <c r="P17" i="9"/>
  <c r="Q17" i="9"/>
  <c r="O17" i="9" s="1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H22" i="9" s="1"/>
  <c r="Q59" i="9" s="1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N48" i="9" s="1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AA55" i="9" s="1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M9" i="6"/>
  <c r="D12" i="6"/>
  <c r="F12" i="6"/>
  <c r="F13" i="6" s="1"/>
  <c r="H12" i="6"/>
  <c r="H13" i="6" s="1"/>
  <c r="I12" i="6"/>
  <c r="M12" i="6"/>
  <c r="P12" i="6"/>
  <c r="R12" i="6" s="1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M18" i="6" s="1"/>
  <c r="N18" i="6"/>
  <c r="P18" i="6"/>
  <c r="S18" i="6"/>
  <c r="T18" i="6"/>
  <c r="U18" i="6"/>
  <c r="V18" i="6"/>
  <c r="W18" i="6" s="1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AD21" i="6" s="1"/>
  <c r="D22" i="6"/>
  <c r="F22" i="6"/>
  <c r="H22" i="6"/>
  <c r="M22" i="6"/>
  <c r="O22" i="6"/>
  <c r="Q22" i="6"/>
  <c r="R22" i="6"/>
  <c r="W22" i="6"/>
  <c r="X22" i="6"/>
  <c r="AC22" i="6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J45" i="6" s="1"/>
  <c r="K25" i="6"/>
  <c r="L25" i="6"/>
  <c r="N25" i="6"/>
  <c r="N45" i="6" s="1"/>
  <c r="N46" i="6" s="1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O40" i="6" s="1"/>
  <c r="M40" i="6"/>
  <c r="R40" i="6"/>
  <c r="W40" i="6"/>
  <c r="X40" i="6"/>
  <c r="AC40" i="6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M44" i="6"/>
  <c r="P44" i="6"/>
  <c r="P25" i="6" s="1"/>
  <c r="B45" i="6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W11" i="5" s="1"/>
  <c r="T12" i="5"/>
  <c r="U12" i="5"/>
  <c r="X12" i="5"/>
  <c r="AA12" i="5" s="1"/>
  <c r="Y12" i="5"/>
  <c r="AB12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R17" i="5" s="1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 s="1"/>
  <c r="AG20" i="5" s="1"/>
  <c r="AG17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 s="1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R26" i="5" s="1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2" i="5"/>
  <c r="F32" i="5"/>
  <c r="H32" i="5"/>
  <c r="M32" i="5"/>
  <c r="O32" i="5"/>
  <c r="Q32" i="5"/>
  <c r="R32" i="5"/>
  <c r="V32" i="5"/>
  <c r="W32" i="5"/>
  <c r="D33" i="5"/>
  <c r="F33" i="5"/>
  <c r="H33" i="5"/>
  <c r="M33" i="5"/>
  <c r="O33" i="5"/>
  <c r="Q33" i="5"/>
  <c r="R33" i="5"/>
  <c r="V33" i="5"/>
  <c r="W33" i="5"/>
  <c r="AB33" i="5"/>
  <c r="D34" i="5"/>
  <c r="F34" i="5"/>
  <c r="H34" i="5"/>
  <c r="M34" i="5"/>
  <c r="O34" i="5"/>
  <c r="Q34" i="5"/>
  <c r="R34" i="5"/>
  <c r="V34" i="5"/>
  <c r="W34" i="5"/>
  <c r="AC34" i="5" s="1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R36" i="5"/>
  <c r="W36" i="5"/>
  <c r="D38" i="5"/>
  <c r="F38" i="5"/>
  <c r="H38" i="5"/>
  <c r="M38" i="5"/>
  <c r="O38" i="5"/>
  <c r="Q38" i="5"/>
  <c r="R38" i="5"/>
  <c r="V38" i="5"/>
  <c r="W38" i="5"/>
  <c r="AB38" i="5" s="1"/>
  <c r="D39" i="5"/>
  <c r="F39" i="5"/>
  <c r="H39" i="5"/>
  <c r="M39" i="5"/>
  <c r="O39" i="5"/>
  <c r="Q39" i="5"/>
  <c r="R39" i="5"/>
  <c r="V39" i="5"/>
  <c r="W39" i="5"/>
  <c r="AB39" i="5" s="1"/>
  <c r="D40" i="5"/>
  <c r="F40" i="5"/>
  <c r="M40" i="5"/>
  <c r="Q40" i="5"/>
  <c r="R40" i="5"/>
  <c r="W40" i="5"/>
  <c r="I41" i="5"/>
  <c r="I26" i="5" s="1"/>
  <c r="R41" i="5"/>
  <c r="W41" i="5"/>
  <c r="K42" i="5"/>
  <c r="K26" i="5" s="1"/>
  <c r="R42" i="5"/>
  <c r="W42" i="5"/>
  <c r="U47" i="5"/>
  <c r="U48" i="5"/>
  <c r="U49" i="5"/>
  <c r="U50" i="5"/>
  <c r="B8" i="8"/>
  <c r="C8" i="8"/>
  <c r="L16" i="8"/>
  <c r="M16" i="8" s="1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P10" i="8"/>
  <c r="BP20" i="8" s="1"/>
  <c r="BP32" i="8" s="1"/>
  <c r="BP35" i="8" s="1"/>
  <c r="AI11" i="8"/>
  <c r="AL11" i="8"/>
  <c r="D12" i="8"/>
  <c r="F12" i="8"/>
  <c r="H12" i="8"/>
  <c r="M12" i="8"/>
  <c r="O12" i="8"/>
  <c r="Q12" i="8"/>
  <c r="R12" i="8"/>
  <c r="Y12" i="8"/>
  <c r="Z12" i="8" s="1"/>
  <c r="AL12" i="8"/>
  <c r="BP12" i="8"/>
  <c r="BP22" i="8" s="1"/>
  <c r="D13" i="8"/>
  <c r="F13" i="8"/>
  <c r="H13" i="8"/>
  <c r="M13" i="8"/>
  <c r="O13" i="8"/>
  <c r="AL13" i="8"/>
  <c r="BP13" i="8"/>
  <c r="BP23" i="8" s="1"/>
  <c r="BP29" i="8" s="1"/>
  <c r="BP38" i="8" s="1"/>
  <c r="D14" i="8"/>
  <c r="F14" i="8"/>
  <c r="H14" i="8"/>
  <c r="I14" i="8"/>
  <c r="O14" i="8" s="1"/>
  <c r="M14" i="8"/>
  <c r="M15" i="8" s="1"/>
  <c r="S14" i="8"/>
  <c r="S15" i="8" s="1"/>
  <c r="S8" i="8" s="1"/>
  <c r="AL14" i="8"/>
  <c r="BP14" i="8"/>
  <c r="BP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R18" i="8" s="1"/>
  <c r="BP18" i="8"/>
  <c r="D19" i="8"/>
  <c r="F19" i="8"/>
  <c r="H19" i="8"/>
  <c r="M19" i="8"/>
  <c r="O19" i="8"/>
  <c r="BP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O25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O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C51" i="8" s="1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Q37" i="8" s="1"/>
  <c r="D38" i="8"/>
  <c r="F38" i="8"/>
  <c r="H38" i="8"/>
  <c r="M38" i="8"/>
  <c r="N38" i="8"/>
  <c r="N39" i="8" s="1"/>
  <c r="N40" i="8" s="1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L34" i="8" s="1"/>
  <c r="M34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80" i="8" s="1"/>
  <c r="W86" i="8" s="1"/>
  <c r="AA42" i="8"/>
  <c r="AA80" i="8" s="1"/>
  <c r="Y43" i="8"/>
  <c r="AF43" i="8" s="1"/>
  <c r="AL43" i="8"/>
  <c r="AI44" i="8"/>
  <c r="Z45" i="8"/>
  <c r="AI45" i="8"/>
  <c r="AL45" i="8"/>
  <c r="D46" i="8"/>
  <c r="F46" i="8"/>
  <c r="H46" i="8"/>
  <c r="M46" i="8"/>
  <c r="O46" i="8"/>
  <c r="Q46" i="8"/>
  <c r="R46" i="8"/>
  <c r="S46" i="8"/>
  <c r="Z46" i="8"/>
  <c r="Z81" i="8" s="1"/>
  <c r="AL46" i="8"/>
  <c r="BP46" i="8"/>
  <c r="W52" i="8"/>
  <c r="M53" i="8"/>
  <c r="P53" i="8"/>
  <c r="Q53" i="8" s="1"/>
  <c r="P56" i="8"/>
  <c r="Z56" i="8"/>
  <c r="AO56" i="8"/>
  <c r="AO89" i="8" s="1"/>
  <c r="Z60" i="8"/>
  <c r="Z92" i="8" s="1"/>
  <c r="AH5" i="7"/>
  <c r="W7" i="7"/>
  <c r="X7" i="7"/>
  <c r="O8" i="7"/>
  <c r="D9" i="7"/>
  <c r="F9" i="7"/>
  <c r="H9" i="7"/>
  <c r="M9" i="7"/>
  <c r="N9" i="7"/>
  <c r="P9" i="7"/>
  <c r="Q9" i="7"/>
  <c r="Z9" i="7" s="1"/>
  <c r="D10" i="7"/>
  <c r="F10" i="7"/>
  <c r="H10" i="7"/>
  <c r="M10" i="7"/>
  <c r="N10" i="7"/>
  <c r="P10" i="7"/>
  <c r="R10" i="7"/>
  <c r="S10" i="7"/>
  <c r="Z10" i="7"/>
  <c r="AA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BT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BT29" i="7"/>
  <c r="BT36" i="7" s="1"/>
  <c r="D21" i="7"/>
  <c r="F21" i="7"/>
  <c r="H21" i="7"/>
  <c r="S21" i="7"/>
  <c r="T21" i="7"/>
  <c r="AC21" i="7"/>
  <c r="AP21" i="7"/>
  <c r="AS21" i="7"/>
  <c r="AU21" i="7" s="1"/>
  <c r="AU17" i="7" s="1"/>
  <c r="AU61" i="7" s="1"/>
  <c r="AU70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AR22" i="7" s="1"/>
  <c r="AS22" i="7" s="1"/>
  <c r="D23" i="7"/>
  <c r="F23" i="7"/>
  <c r="H23" i="7"/>
  <c r="M23" i="7"/>
  <c r="N23" i="7"/>
  <c r="P23" i="7"/>
  <c r="W23" i="7"/>
  <c r="W17" i="7" s="1"/>
  <c r="BT23" i="7"/>
  <c r="BT31" i="7" s="1"/>
  <c r="BT39" i="7" s="1"/>
  <c r="D24" i="7"/>
  <c r="F24" i="7"/>
  <c r="F25" i="7" s="1"/>
  <c r="H24" i="7"/>
  <c r="I24" i="7"/>
  <c r="M24" i="7" s="1"/>
  <c r="M25" i="7" s="1"/>
  <c r="N24" i="7"/>
  <c r="N25" i="7" s="1"/>
  <c r="A25" i="7"/>
  <c r="A41" i="7" s="1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BT26" i="7"/>
  <c r="BT34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 s="1"/>
  <c r="I27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0" i="7"/>
  <c r="F50" i="7"/>
  <c r="H50" i="7"/>
  <c r="I50" i="7"/>
  <c r="P50" i="7" s="1"/>
  <c r="N50" i="7"/>
  <c r="Q50" i="7"/>
  <c r="S50" i="7"/>
  <c r="W50" i="7"/>
  <c r="X50" i="7"/>
  <c r="Y50" i="7"/>
  <c r="AJ50" i="7"/>
  <c r="AJ129" i="7" s="1"/>
  <c r="AK50" i="7"/>
  <c r="AK129" i="7" s="1"/>
  <c r="AK135" i="7" s="1"/>
  <c r="M51" i="7"/>
  <c r="P51" i="7"/>
  <c r="R51" i="7"/>
  <c r="Z51" i="7"/>
  <c r="M52" i="7"/>
  <c r="P52" i="7"/>
  <c r="R52" i="7"/>
  <c r="Z52" i="7"/>
  <c r="AA52" i="7"/>
  <c r="M53" i="7"/>
  <c r="U53" i="7"/>
  <c r="AP53" i="7"/>
  <c r="AS53" i="7"/>
  <c r="V54" i="7"/>
  <c r="V50" i="7" s="1"/>
  <c r="Z54" i="7"/>
  <c r="AA54" i="7"/>
  <c r="AB54" i="7" s="1"/>
  <c r="AN54" i="7"/>
  <c r="AO54" i="7"/>
  <c r="D56" i="7"/>
  <c r="F56" i="7"/>
  <c r="H56" i="7"/>
  <c r="M56" i="7"/>
  <c r="N56" i="7"/>
  <c r="P56" i="7"/>
  <c r="AC56" i="7"/>
  <c r="AC130" i="7" s="1"/>
  <c r="AP56" i="7"/>
  <c r="T64" i="7"/>
  <c r="U64" i="7"/>
  <c r="X64" i="7"/>
  <c r="M66" i="7"/>
  <c r="Q66" i="7"/>
  <c r="AC66" i="7"/>
  <c r="AC69" i="7"/>
  <c r="AC143" i="7" s="1"/>
  <c r="Y66" i="7"/>
  <c r="Y140" i="7" s="1"/>
  <c r="G23" i="11"/>
  <c r="G19" i="11" s="1"/>
  <c r="G60" i="3"/>
  <c r="J38" i="3"/>
  <c r="F41" i="3"/>
  <c r="H41" i="3"/>
  <c r="G42" i="3"/>
  <c r="H42" i="3"/>
  <c r="I42" i="3"/>
  <c r="F46" i="3"/>
  <c r="G46" i="3"/>
  <c r="O46" i="3" s="1"/>
  <c r="E48" i="3"/>
  <c r="F48" i="3" s="1"/>
  <c r="I48" i="3"/>
  <c r="I43" i="3" s="1"/>
  <c r="I38" i="3" s="1"/>
  <c r="I39" i="3" s="1"/>
  <c r="L48" i="3"/>
  <c r="L43" i="3" s="1"/>
  <c r="F49" i="3"/>
  <c r="G49" i="3"/>
  <c r="H49" i="3"/>
  <c r="H48" i="3" s="1"/>
  <c r="H43" i="3" s="1"/>
  <c r="F50" i="3"/>
  <c r="G50" i="3"/>
  <c r="O50" i="3" s="1"/>
  <c r="F51" i="3"/>
  <c r="G51" i="3"/>
  <c r="AC51" i="3"/>
  <c r="F58" i="3"/>
  <c r="H58" i="3"/>
  <c r="I58" i="3"/>
  <c r="L58" i="3"/>
  <c r="F59" i="3"/>
  <c r="G59" i="3"/>
  <c r="AA82" i="7" s="1"/>
  <c r="F60" i="3"/>
  <c r="E71" i="56"/>
  <c r="F61" i="3"/>
  <c r="F71" i="56"/>
  <c r="L67" i="3"/>
  <c r="L68" i="3"/>
  <c r="L69" i="3"/>
  <c r="T33" i="17"/>
  <c r="V33" i="17" s="1"/>
  <c r="AP12" i="17"/>
  <c r="Q39" i="7" s="1"/>
  <c r="AO11" i="17"/>
  <c r="AO28" i="17"/>
  <c r="AM30" i="17"/>
  <c r="AM38" i="17" s="1"/>
  <c r="AP11" i="17"/>
  <c r="Q31" i="7" s="1"/>
  <c r="AO33" i="17"/>
  <c r="AA28" i="17"/>
  <c r="AA32" i="17"/>
  <c r="AB25" i="17"/>
  <c r="AB28" i="17"/>
  <c r="AN17" i="17"/>
  <c r="BA28" i="17"/>
  <c r="BA25" i="17"/>
  <c r="AO17" i="17"/>
  <c r="AN12" i="17"/>
  <c r="AN18" i="17"/>
  <c r="P33" i="17"/>
  <c r="AM21" i="8"/>
  <c r="AN21" i="8" s="1"/>
  <c r="AO21" i="8" s="1"/>
  <c r="AM44" i="8"/>
  <c r="AN44" i="8" s="1"/>
  <c r="AO44" i="8" s="1"/>
  <c r="X29" i="11"/>
  <c r="X33" i="11"/>
  <c r="X31" i="11"/>
  <c r="Y29" i="11"/>
  <c r="AC15" i="5"/>
  <c r="I25" i="8"/>
  <c r="I17" i="8"/>
  <c r="AQ12" i="7"/>
  <c r="AR12" i="7" s="1"/>
  <c r="AS12" i="7" s="1"/>
  <c r="O12" i="6"/>
  <c r="I13" i="6"/>
  <c r="H58" i="19"/>
  <c r="H59" i="19"/>
  <c r="B58" i="19"/>
  <c r="T18" i="19"/>
  <c r="S14" i="19"/>
  <c r="AC14" i="19" s="1"/>
  <c r="AO14" i="19" s="1"/>
  <c r="N11" i="21"/>
  <c r="P11" i="21" s="1"/>
  <c r="AO18" i="17"/>
  <c r="H30" i="19"/>
  <c r="N50" i="9"/>
  <c r="I64" i="7"/>
  <c r="M64" i="7" s="1"/>
  <c r="O18" i="6"/>
  <c r="N55" i="9"/>
  <c r="I25" i="9"/>
  <c r="P29" i="10"/>
  <c r="W57" i="19"/>
  <c r="W58" i="19"/>
  <c r="W60" i="19"/>
  <c r="AC13" i="19"/>
  <c r="T31" i="19"/>
  <c r="T27" i="19"/>
  <c r="X12" i="19"/>
  <c r="AK25" i="9"/>
  <c r="AJ32" i="11"/>
  <c r="T61" i="19"/>
  <c r="V14" i="19"/>
  <c r="U14" i="19"/>
  <c r="X14" i="19"/>
  <c r="AM24" i="17"/>
  <c r="AV36" i="17"/>
  <c r="BH36" i="17" s="1"/>
  <c r="AO34" i="17"/>
  <c r="AJ17" i="7"/>
  <c r="I13" i="9"/>
  <c r="H9" i="9"/>
  <c r="BA26" i="17"/>
  <c r="Q23" i="11"/>
  <c r="Q19" i="11" s="1"/>
  <c r="M17" i="5"/>
  <c r="AE9" i="17"/>
  <c r="AH9" i="17"/>
  <c r="AI9" i="17" s="1"/>
  <c r="C45" i="6"/>
  <c r="BA34" i="17"/>
  <c r="AO16" i="17"/>
  <c r="T10" i="19"/>
  <c r="AK13" i="9"/>
  <c r="AY28" i="17"/>
  <c r="AO12" i="17"/>
  <c r="P28" i="17"/>
  <c r="T28" i="17"/>
  <c r="AT28" i="17" s="1"/>
  <c r="AJ8" i="7"/>
  <c r="Y31" i="11"/>
  <c r="H27" i="19"/>
  <c r="C26" i="21"/>
  <c r="I10" i="21"/>
  <c r="AG8" i="17"/>
  <c r="BC28" i="17"/>
  <c r="M30" i="21"/>
  <c r="N30" i="21" s="1"/>
  <c r="AO15" i="17"/>
  <c r="Q56" i="7"/>
  <c r="R56" i="7" s="1"/>
  <c r="M32" i="7"/>
  <c r="AM35" i="8"/>
  <c r="AO35" i="8" s="1"/>
  <c r="AI43" i="8"/>
  <c r="W12" i="6"/>
  <c r="I22" i="9"/>
  <c r="U58" i="19"/>
  <c r="V12" i="19"/>
  <c r="AM12" i="8"/>
  <c r="AO12" i="8" s="1"/>
  <c r="AM13" i="8"/>
  <c r="AP54" i="7"/>
  <c r="AQ54" i="7" s="1"/>
  <c r="X23" i="7"/>
  <c r="X17" i="7" s="1"/>
  <c r="M40" i="7"/>
  <c r="Q16" i="11"/>
  <c r="AM52" i="8"/>
  <c r="AM87" i="8" s="1"/>
  <c r="G40" i="8"/>
  <c r="AM38" i="8"/>
  <c r="AO38" i="8" s="1"/>
  <c r="AM32" i="8"/>
  <c r="AO32" i="8" s="1"/>
  <c r="AO28" i="8"/>
  <c r="AF12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46" i="8"/>
  <c r="AM10" i="8"/>
  <c r="Q101" i="7"/>
  <c r="L35" i="7"/>
  <c r="N35" i="7" s="1"/>
  <c r="AM45" i="8"/>
  <c r="AN45" i="8" s="1"/>
  <c r="AO45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55" i="8"/>
  <c r="AN55" i="8" s="1"/>
  <c r="AN74" i="7"/>
  <c r="AM58" i="8"/>
  <c r="AN58" i="8" s="1"/>
  <c r="AO58" i="8" s="1"/>
  <c r="AE55" i="8"/>
  <c r="AB56" i="7"/>
  <c r="AB130" i="7" s="1"/>
  <c r="AX33" i="17"/>
  <c r="AV30" i="17"/>
  <c r="BH30" i="17" s="1"/>
  <c r="AM9" i="17"/>
  <c r="T25" i="17" s="1"/>
  <c r="BD14" i="17"/>
  <c r="Y42" i="11"/>
  <c r="Y45" i="11" s="1"/>
  <c r="N42" i="11"/>
  <c r="O45" i="11"/>
  <c r="Y19" i="8" s="1"/>
  <c r="Y78" i="8" s="1"/>
  <c r="AF78" i="8" s="1"/>
  <c r="AK9" i="11"/>
  <c r="M55" i="11"/>
  <c r="AN32" i="11" s="1"/>
  <c r="O15" i="11"/>
  <c r="P22" i="10"/>
  <c r="AN20" i="7"/>
  <c r="N15" i="10"/>
  <c r="R33" i="9"/>
  <c r="AK26" i="9"/>
  <c r="AO59" i="115" l="1"/>
  <c r="AO203" i="115" s="1"/>
  <c r="BD203" i="115" s="1"/>
  <c r="BD147" i="115"/>
  <c r="BJ147" i="115" s="1"/>
  <c r="BL49" i="115"/>
  <c r="BD49" i="115"/>
  <c r="BJ49" i="115" s="1"/>
  <c r="BR40" i="116"/>
  <c r="CD40" i="116" s="1"/>
  <c r="CD192" i="115"/>
  <c r="CJ192" i="115" s="1"/>
  <c r="BR41" i="116"/>
  <c r="R32" i="119" s="1"/>
  <c r="CD216" i="115"/>
  <c r="CJ216" i="115" s="1"/>
  <c r="FP47" i="116"/>
  <c r="CD200" i="115"/>
  <c r="CJ200" i="115" s="1"/>
  <c r="AG48" i="113"/>
  <c r="BJ203" i="115"/>
  <c r="BJ195" i="115"/>
  <c r="BJ216" i="115"/>
  <c r="BJ200" i="115"/>
  <c r="BJ202" i="115"/>
  <c r="BD66" i="113"/>
  <c r="BJ66" i="113" s="1"/>
  <c r="BK66" i="113"/>
  <c r="BJ215" i="115"/>
  <c r="BJ192" i="115"/>
  <c r="AM45" i="115"/>
  <c r="AG155" i="115"/>
  <c r="AL107" i="115"/>
  <c r="AF160" i="115"/>
  <c r="AL160" i="115" s="1"/>
  <c r="R23" i="119"/>
  <c r="CA32" i="116"/>
  <c r="CD32" i="116"/>
  <c r="BJ196" i="115"/>
  <c r="BJ217" i="115"/>
  <c r="BJ204" i="115"/>
  <c r="AN52" i="8"/>
  <c r="AJ9" i="17"/>
  <c r="D17" i="8"/>
  <c r="H8" i="8"/>
  <c r="R31" i="9"/>
  <c r="Z14" i="9" s="1"/>
  <c r="I11" i="11"/>
  <c r="G15" i="33"/>
  <c r="I15" i="33" s="1"/>
  <c r="BK52" i="115"/>
  <c r="BD52" i="115"/>
  <c r="BJ52" i="115" s="1"/>
  <c r="AO157" i="115"/>
  <c r="AO191" i="115"/>
  <c r="BN157" i="115"/>
  <c r="EN41" i="116" s="1"/>
  <c r="BN191" i="115"/>
  <c r="CC191" i="115" s="1"/>
  <c r="CI191" i="115" s="1"/>
  <c r="BM47" i="115"/>
  <c r="BJ108" i="115"/>
  <c r="BD161" i="115"/>
  <c r="BJ161" i="115" s="1"/>
  <c r="BM70" i="113"/>
  <c r="BM232" i="113" s="1"/>
  <c r="BN232" i="113"/>
  <c r="BD70" i="113"/>
  <c r="BK70" i="113"/>
  <c r="BE232" i="113"/>
  <c r="BK232" i="113" s="1"/>
  <c r="BR44" i="116"/>
  <c r="AP38" i="116"/>
  <c r="AY37" i="116"/>
  <c r="AO37" i="116"/>
  <c r="R42" i="113"/>
  <c r="B42" i="113"/>
  <c r="C41" i="113"/>
  <c r="CI41" i="113"/>
  <c r="CB41" i="113"/>
  <c r="CH41" i="113" s="1"/>
  <c r="C254" i="113"/>
  <c r="R44" i="113"/>
  <c r="B44" i="113"/>
  <c r="B254" i="113" s="1"/>
  <c r="CJ45" i="113"/>
  <c r="C45" i="113"/>
  <c r="B46" i="113"/>
  <c r="R46" i="113"/>
  <c r="AG46" i="113" s="1"/>
  <c r="S33" i="113"/>
  <c r="BD62" i="115"/>
  <c r="BJ62" i="115" s="1"/>
  <c r="BK62" i="115"/>
  <c r="BJ210" i="115"/>
  <c r="BJ193" i="115"/>
  <c r="Q25" i="119"/>
  <c r="BZ34" i="116"/>
  <c r="N23" i="119"/>
  <c r="AM32" i="116"/>
  <c r="T45" i="116"/>
  <c r="AC45" i="116" s="1"/>
  <c r="AD45" i="116"/>
  <c r="U31" i="119"/>
  <c r="CM40" i="116"/>
  <c r="AC41" i="116"/>
  <c r="AB11" i="65"/>
  <c r="AB10" i="65" s="1"/>
  <c r="AB36" i="65" s="1"/>
  <c r="AB39" i="65" s="1"/>
  <c r="AC12" i="65"/>
  <c r="AQ201" i="115"/>
  <c r="BF201" i="115" s="1"/>
  <c r="BL201" i="115" s="1"/>
  <c r="BO57" i="115"/>
  <c r="BO201" i="115" s="1"/>
  <c r="CX40" i="116"/>
  <c r="CN40" i="116"/>
  <c r="AL190" i="115"/>
  <c r="DF34" i="116"/>
  <c r="DO34" i="116" s="1"/>
  <c r="DP34" i="116"/>
  <c r="AZ37" i="116"/>
  <c r="AQ38" i="116"/>
  <c r="BK59" i="115"/>
  <c r="BD59" i="115"/>
  <c r="BJ59" i="115" s="1"/>
  <c r="BN203" i="115"/>
  <c r="CC203" i="115" s="1"/>
  <c r="CI203" i="115" s="1"/>
  <c r="CY44" i="116"/>
  <c r="DH44" i="116" s="1"/>
  <c r="CY45" i="116"/>
  <c r="DH45" i="116" s="1"/>
  <c r="EX48" i="116"/>
  <c r="FG48" i="116" s="1"/>
  <c r="DQ48" i="116"/>
  <c r="B40" i="113"/>
  <c r="R40" i="113"/>
  <c r="AG40" i="113" s="1"/>
  <c r="S47" i="113"/>
  <c r="B36" i="113"/>
  <c r="R36" i="113"/>
  <c r="AG36" i="113" s="1"/>
  <c r="C253" i="113"/>
  <c r="R43" i="113"/>
  <c r="AG43" i="113" s="1"/>
  <c r="B43" i="113"/>
  <c r="B253" i="113" s="1"/>
  <c r="BJ212" i="115"/>
  <c r="BH31" i="116"/>
  <c r="AX31" i="116"/>
  <c r="T47" i="116"/>
  <c r="AC47" i="116" s="1"/>
  <c r="AD47" i="116"/>
  <c r="CD202" i="115"/>
  <c r="CJ202" i="115" s="1"/>
  <c r="AL191" i="115"/>
  <c r="BD191" i="115"/>
  <c r="BN195" i="115"/>
  <c r="CC195" i="115" s="1"/>
  <c r="CI195" i="115" s="1"/>
  <c r="BM50" i="115"/>
  <c r="BM195" i="115" s="1"/>
  <c r="CB195" i="115" s="1"/>
  <c r="CH195" i="115" s="1"/>
  <c r="CD217" i="115"/>
  <c r="CJ217" i="115" s="1"/>
  <c r="CD196" i="115"/>
  <c r="CJ196" i="115" s="1"/>
  <c r="CD198" i="115"/>
  <c r="CJ198" i="115" s="1"/>
  <c r="BJ218" i="115"/>
  <c r="BK39" i="115"/>
  <c r="BD39" i="115"/>
  <c r="BE148" i="115"/>
  <c r="BK148" i="115" s="1"/>
  <c r="CP37" i="116"/>
  <c r="AQ154" i="115"/>
  <c r="BJ197" i="115"/>
  <c r="BJ213" i="115"/>
  <c r="BM147" i="115"/>
  <c r="BN196" i="115"/>
  <c r="CC196" i="115" s="1"/>
  <c r="CI196" i="115" s="1"/>
  <c r="BM52" i="115"/>
  <c r="BM196" i="115" s="1"/>
  <c r="CB196" i="115" s="1"/>
  <c r="CH196" i="115" s="1"/>
  <c r="BM64" i="115"/>
  <c r="BM212" i="115" s="1"/>
  <c r="CB212" i="115" s="1"/>
  <c r="CH212" i="115" s="1"/>
  <c r="BN212" i="115"/>
  <c r="CC212" i="115" s="1"/>
  <c r="CI212" i="115" s="1"/>
  <c r="CY40" i="116"/>
  <c r="DH40" i="116" s="1"/>
  <c r="BM53" i="115"/>
  <c r="BM197" i="115" s="1"/>
  <c r="CB197" i="115" s="1"/>
  <c r="CH197" i="115" s="1"/>
  <c r="BN197" i="115"/>
  <c r="CC197" i="115" s="1"/>
  <c r="CI197" i="115" s="1"/>
  <c r="BO157" i="115"/>
  <c r="EO41" i="116" s="1"/>
  <c r="BO191" i="115"/>
  <c r="CD191" i="115" s="1"/>
  <c r="CJ191" i="115" s="1"/>
  <c r="CN41" i="116"/>
  <c r="CY41" i="116"/>
  <c r="DH41" i="116" s="1"/>
  <c r="AP160" i="115"/>
  <c r="CO44" i="116" s="1"/>
  <c r="AO107" i="115"/>
  <c r="AO160" i="115" s="1"/>
  <c r="CX45" i="116"/>
  <c r="CN45" i="116"/>
  <c r="BN215" i="115"/>
  <c r="CC215" i="115" s="1"/>
  <c r="CI215" i="115" s="1"/>
  <c r="BN66" i="115"/>
  <c r="BM67" i="115"/>
  <c r="BM215" i="115" s="1"/>
  <c r="CB215" i="115" s="1"/>
  <c r="CH215" i="115" s="1"/>
  <c r="BK65" i="115"/>
  <c r="BD65" i="115"/>
  <c r="BJ65" i="115" s="1"/>
  <c r="AE44" i="116"/>
  <c r="BR45" i="116"/>
  <c r="N27" i="119"/>
  <c r="AM36" i="116"/>
  <c r="BN43" i="115"/>
  <c r="AP44" i="115"/>
  <c r="AO43" i="115"/>
  <c r="AP153" i="115"/>
  <c r="BE43" i="115"/>
  <c r="CJ41" i="113"/>
  <c r="D254" i="113"/>
  <c r="S44" i="113"/>
  <c r="B38" i="113"/>
  <c r="R38" i="113"/>
  <c r="AG38" i="113"/>
  <c r="AP209" i="115"/>
  <c r="BE209" i="115" s="1"/>
  <c r="BK209" i="115" s="1"/>
  <c r="AO61" i="115"/>
  <c r="AO209" i="115" s="1"/>
  <c r="BE61" i="115"/>
  <c r="BO59" i="115"/>
  <c r="BO203" i="115" s="1"/>
  <c r="AQ203" i="115"/>
  <c r="BF203" i="115" s="1"/>
  <c r="BL203" i="115" s="1"/>
  <c r="S36" i="115"/>
  <c r="S120" i="115" s="1"/>
  <c r="S122" i="115" s="1"/>
  <c r="S155" i="115"/>
  <c r="AH45" i="115"/>
  <c r="D39" i="116"/>
  <c r="D159" i="115"/>
  <c r="D43" i="116" s="1"/>
  <c r="BF60" i="115"/>
  <c r="CC34" i="116"/>
  <c r="AN209" i="115"/>
  <c r="BF209" i="115"/>
  <c r="BL209" i="115" s="1"/>
  <c r="BH40" i="116"/>
  <c r="AX40" i="116"/>
  <c r="BO49" i="115"/>
  <c r="BO194" i="115" s="1"/>
  <c r="AQ194" i="115"/>
  <c r="BF194" i="115" s="1"/>
  <c r="BL194" i="115" s="1"/>
  <c r="M22" i="119"/>
  <c r="AL31" i="116"/>
  <c r="FF34" i="116"/>
  <c r="EV34" i="116"/>
  <c r="M38" i="116"/>
  <c r="V37" i="116"/>
  <c r="AX54" i="116"/>
  <c r="BH54" i="116"/>
  <c r="DQ47" i="116"/>
  <c r="B38" i="116"/>
  <c r="S40" i="113"/>
  <c r="R47" i="113"/>
  <c r="B47" i="113"/>
  <c r="S36" i="113"/>
  <c r="D253" i="113"/>
  <c r="S43" i="113"/>
  <c r="BN211" i="115"/>
  <c r="CC211" i="115" s="1"/>
  <c r="CI211" i="115" s="1"/>
  <c r="BM63" i="115"/>
  <c r="BM211" i="115" s="1"/>
  <c r="CB211" i="115" s="1"/>
  <c r="CH211" i="115" s="1"/>
  <c r="CD218" i="115"/>
  <c r="CJ218" i="115" s="1"/>
  <c r="BN163" i="115"/>
  <c r="EN47" i="116" s="1"/>
  <c r="BM110" i="115"/>
  <c r="BM163" i="115" s="1"/>
  <c r="CY36" i="116"/>
  <c r="DH36" i="116" s="1"/>
  <c r="BN201" i="115"/>
  <c r="CC201" i="115" s="1"/>
  <c r="CI201" i="115" s="1"/>
  <c r="BM57" i="115"/>
  <c r="BM201" i="115" s="1"/>
  <c r="AG214" i="115"/>
  <c r="AM214" i="115" s="1"/>
  <c r="R219" i="115"/>
  <c r="AG219" i="115" s="1"/>
  <c r="AM219" i="115" s="1"/>
  <c r="AX41" i="116"/>
  <c r="BH41" i="116"/>
  <c r="CD197" i="115"/>
  <c r="CJ197" i="115" s="1"/>
  <c r="BG36" i="116"/>
  <c r="BP36" i="116" s="1"/>
  <c r="CB36" i="116" s="1"/>
  <c r="BQ36" i="116"/>
  <c r="CC36" i="116" s="1"/>
  <c r="BM42" i="115"/>
  <c r="BM152" i="115" s="1"/>
  <c r="BM49" i="115"/>
  <c r="BM194" i="115" s="1"/>
  <c r="BN194" i="115"/>
  <c r="CC194" i="115" s="1"/>
  <c r="CI194" i="115" s="1"/>
  <c r="BO210" i="115"/>
  <c r="CD210" i="115" s="1"/>
  <c r="CJ210" i="115" s="1"/>
  <c r="BO61" i="115"/>
  <c r="BO209" i="115" s="1"/>
  <c r="CD209" i="115" s="1"/>
  <c r="CJ209" i="115" s="1"/>
  <c r="T40" i="116"/>
  <c r="AD40" i="116"/>
  <c r="CD212" i="115"/>
  <c r="CJ212" i="115" s="1"/>
  <c r="AF154" i="115"/>
  <c r="AL154" i="115" s="1"/>
  <c r="AL153" i="115"/>
  <c r="AF48" i="113"/>
  <c r="AL48" i="113" s="1"/>
  <c r="AM48" i="113"/>
  <c r="BE170" i="115"/>
  <c r="BK170" i="115" s="1"/>
  <c r="BK117" i="115"/>
  <c r="BD117" i="115"/>
  <c r="CN54" i="116"/>
  <c r="CX54" i="116"/>
  <c r="CX31" i="116"/>
  <c r="CN31" i="116"/>
  <c r="BE107" i="115"/>
  <c r="AD41" i="116"/>
  <c r="S22" i="9"/>
  <c r="AJ29" i="11"/>
  <c r="Z8" i="17"/>
  <c r="K14" i="21"/>
  <c r="AM36" i="17"/>
  <c r="E27" i="21"/>
  <c r="BK64" i="115"/>
  <c r="BD64" i="115"/>
  <c r="BJ64" i="115" s="1"/>
  <c r="CX41" i="116"/>
  <c r="BJ75" i="113"/>
  <c r="BD237" i="113"/>
  <c r="BJ237" i="113" s="1"/>
  <c r="BD17" i="115"/>
  <c r="BJ17" i="115" s="1"/>
  <c r="BK17" i="115"/>
  <c r="AH160" i="115"/>
  <c r="AN160" i="115" s="1"/>
  <c r="AN107" i="115"/>
  <c r="BF107" i="115"/>
  <c r="S46" i="113"/>
  <c r="AH46" i="113" s="1"/>
  <c r="D45" i="113"/>
  <c r="CI45" i="113"/>
  <c r="CB45" i="113"/>
  <c r="CH45" i="113" s="1"/>
  <c r="S38" i="113"/>
  <c r="AH38" i="113" s="1"/>
  <c r="BD209" i="115"/>
  <c r="AL209" i="115"/>
  <c r="CB174" i="115"/>
  <c r="CH139" i="115"/>
  <c r="P25" i="119"/>
  <c r="BY34" i="116"/>
  <c r="M23" i="119"/>
  <c r="AL32" i="116"/>
  <c r="CB34" i="116"/>
  <c r="AO156" i="115"/>
  <c r="AO190" i="115"/>
  <c r="BD190" i="115" s="1"/>
  <c r="BM46" i="115"/>
  <c r="BN190" i="115"/>
  <c r="CC190" i="115" s="1"/>
  <c r="CI190" i="115" s="1"/>
  <c r="BN156" i="115"/>
  <c r="EN40" i="116" s="1"/>
  <c r="AO48" i="116"/>
  <c r="AY48" i="116"/>
  <c r="BO161" i="115"/>
  <c r="EO45" i="116" s="1"/>
  <c r="BO107" i="115"/>
  <c r="BO160" i="115" s="1"/>
  <c r="EO44" i="116" s="1"/>
  <c r="FY47" i="116"/>
  <c r="AD38" i="119"/>
  <c r="EX54" i="116"/>
  <c r="FG54" i="116" s="1"/>
  <c r="S34" i="113"/>
  <c r="AH34" i="113" s="1"/>
  <c r="AY44" i="116"/>
  <c r="AO44" i="116"/>
  <c r="CY32" i="116"/>
  <c r="R31" i="119"/>
  <c r="CA40" i="116"/>
  <c r="BD57" i="115"/>
  <c r="BJ57" i="115" s="1"/>
  <c r="BK66" i="115"/>
  <c r="BD66" i="115"/>
  <c r="BJ66" i="115" s="1"/>
  <c r="BO66" i="115"/>
  <c r="BO215" i="115"/>
  <c r="CD215" i="115" s="1"/>
  <c r="CJ215" i="115" s="1"/>
  <c r="AQ45" i="115"/>
  <c r="AQ214" i="115"/>
  <c r="DG36" i="116"/>
  <c r="CX32" i="116"/>
  <c r="CN32" i="116"/>
  <c r="BM39" i="115"/>
  <c r="BM148" i="115" s="1"/>
  <c r="BN148" i="115"/>
  <c r="EN32" i="116" s="1"/>
  <c r="BO44" i="115"/>
  <c r="BO153" i="115"/>
  <c r="BN216" i="115"/>
  <c r="CC216" i="115" s="1"/>
  <c r="CI216" i="115" s="1"/>
  <c r="BM68" i="115"/>
  <c r="BM216" i="115" s="1"/>
  <c r="CB216" i="115" s="1"/>
  <c r="CH216" i="115" s="1"/>
  <c r="BN200" i="115"/>
  <c r="CC200" i="115" s="1"/>
  <c r="CI200" i="115" s="1"/>
  <c r="BM56" i="115"/>
  <c r="BM200" i="115" s="1"/>
  <c r="CB200" i="115" s="1"/>
  <c r="CH200" i="115" s="1"/>
  <c r="BM17" i="115"/>
  <c r="BN147" i="115"/>
  <c r="BN202" i="115"/>
  <c r="CC202" i="115" s="1"/>
  <c r="CI202" i="115" s="1"/>
  <c r="BM58" i="115"/>
  <c r="BM202" i="115" s="1"/>
  <c r="CB202" i="115" s="1"/>
  <c r="CH202" i="115" s="1"/>
  <c r="BO156" i="115"/>
  <c r="EO40" i="116" s="1"/>
  <c r="BO190" i="115"/>
  <c r="CD190" i="115" s="1"/>
  <c r="CJ190" i="115" s="1"/>
  <c r="BM75" i="113"/>
  <c r="BM237" i="113" s="1"/>
  <c r="BN237" i="113"/>
  <c r="BN218" i="115"/>
  <c r="CC218" i="115" s="1"/>
  <c r="CI218" i="115" s="1"/>
  <c r="BM70" i="115"/>
  <c r="BM218" i="115" s="1"/>
  <c r="CB218" i="115" s="1"/>
  <c r="CH218" i="115" s="1"/>
  <c r="AO66" i="113"/>
  <c r="AP48" i="113"/>
  <c r="AO48" i="113" s="1"/>
  <c r="BM67" i="113"/>
  <c r="BN66" i="113"/>
  <c r="BN217" i="115"/>
  <c r="CC217" i="115" s="1"/>
  <c r="CI217" i="115" s="1"/>
  <c r="BM69" i="115"/>
  <c r="BM217" i="115" s="1"/>
  <c r="CB217" i="115" s="1"/>
  <c r="CH217" i="115" s="1"/>
  <c r="BN161" i="115"/>
  <c r="EN45" i="116" s="1"/>
  <c r="BN107" i="115"/>
  <c r="BM108" i="115"/>
  <c r="BM161" i="115" s="1"/>
  <c r="AP214" i="115"/>
  <c r="AP45" i="115"/>
  <c r="AO66" i="115"/>
  <c r="AO214" i="115" s="1"/>
  <c r="BN192" i="115"/>
  <c r="CC192" i="115" s="1"/>
  <c r="CI192" i="115" s="1"/>
  <c r="BM48" i="115"/>
  <c r="BM192" i="115" s="1"/>
  <c r="CB192" i="115" s="1"/>
  <c r="CH192" i="115" s="1"/>
  <c r="BN213" i="115"/>
  <c r="CC213" i="115" s="1"/>
  <c r="CI213" i="115" s="1"/>
  <c r="BM65" i="115"/>
  <c r="BM213" i="115" s="1"/>
  <c r="CB213" i="115" s="1"/>
  <c r="CH213" i="115" s="1"/>
  <c r="M27" i="119"/>
  <c r="AL36" i="116"/>
  <c r="AM153" i="115"/>
  <c r="AG154" i="115"/>
  <c r="AM154" i="115" s="1"/>
  <c r="Q154" i="115"/>
  <c r="S42" i="113"/>
  <c r="D41" i="113"/>
  <c r="CB260" i="113"/>
  <c r="R33" i="113"/>
  <c r="B33" i="113"/>
  <c r="BN210" i="115"/>
  <c r="CC210" i="115" s="1"/>
  <c r="CI210" i="115" s="1"/>
  <c r="BM62" i="115"/>
  <c r="BM210" i="115" s="1"/>
  <c r="CB210" i="115" s="1"/>
  <c r="CH210" i="115" s="1"/>
  <c r="BN61" i="115"/>
  <c r="BJ211" i="115"/>
  <c r="BJ198" i="115"/>
  <c r="K44" i="116"/>
  <c r="U44" i="116"/>
  <c r="BH47" i="116"/>
  <c r="AX47" i="116"/>
  <c r="R27" i="119"/>
  <c r="CA36" i="116"/>
  <c r="CD36" i="116"/>
  <c r="AH214" i="115"/>
  <c r="AN214" i="115" s="1"/>
  <c r="S219" i="115"/>
  <c r="AH219" i="115" s="1"/>
  <c r="AN219" i="115" s="1"/>
  <c r="AH36" i="115"/>
  <c r="AQ204" i="115"/>
  <c r="BF204" i="115" s="1"/>
  <c r="BL204" i="115" s="1"/>
  <c r="BO60" i="115"/>
  <c r="BO204" i="115" s="1"/>
  <c r="CD204" i="115" s="1"/>
  <c r="CJ204" i="115" s="1"/>
  <c r="R45" i="119"/>
  <c r="CA54" i="116"/>
  <c r="CD54" i="116"/>
  <c r="N22" i="119"/>
  <c r="AM31" i="116"/>
  <c r="CD193" i="115"/>
  <c r="CJ193" i="115" s="1"/>
  <c r="CI174" i="115"/>
  <c r="CC175" i="115"/>
  <c r="U37" i="116"/>
  <c r="L38" i="116"/>
  <c r="K37" i="116"/>
  <c r="K38" i="116" s="1"/>
  <c r="B34" i="113"/>
  <c r="R34" i="113"/>
  <c r="AG34" i="113" s="1"/>
  <c r="CA41" i="116"/>
  <c r="BN193" i="115"/>
  <c r="CC193" i="115" s="1"/>
  <c r="CI193" i="115" s="1"/>
  <c r="BM51" i="115"/>
  <c r="BM193" i="115" s="1"/>
  <c r="CB193" i="115" s="1"/>
  <c r="CH193" i="115" s="1"/>
  <c r="BN204" i="115"/>
  <c r="CC204" i="115" s="1"/>
  <c r="CI204" i="115" s="1"/>
  <c r="BN198" i="115"/>
  <c r="CC198" i="115" s="1"/>
  <c r="CI198" i="115" s="1"/>
  <c r="BM54" i="115"/>
  <c r="BM198" i="115" s="1"/>
  <c r="CB198" i="115" s="1"/>
  <c r="CH198" i="115" s="1"/>
  <c r="BH45" i="116"/>
  <c r="AX45" i="116"/>
  <c r="CX47" i="116"/>
  <c r="CN47" i="116"/>
  <c r="BJ110" i="115"/>
  <c r="BD163" i="115"/>
  <c r="BJ163" i="115" s="1"/>
  <c r="EX32" i="116"/>
  <c r="BL42" i="115"/>
  <c r="BF152" i="115"/>
  <c r="BL152" i="115" s="1"/>
  <c r="BD42" i="115"/>
  <c r="EX36" i="116"/>
  <c r="FG36" i="116" s="1"/>
  <c r="AO57" i="115"/>
  <c r="AO201" i="115" s="1"/>
  <c r="BD201" i="115" s="1"/>
  <c r="C39" i="116"/>
  <c r="C159" i="115"/>
  <c r="C43" i="116" s="1"/>
  <c r="B36" i="115"/>
  <c r="R36" i="115"/>
  <c r="Q45" i="115"/>
  <c r="Q155" i="115" s="1"/>
  <c r="Q159" i="115" s="1"/>
  <c r="R155" i="115"/>
  <c r="AF214" i="115"/>
  <c r="Q219" i="115"/>
  <c r="AF219" i="115" s="1"/>
  <c r="EM36" i="116"/>
  <c r="EW36" i="116"/>
  <c r="CA48" i="116"/>
  <c r="R39" i="119"/>
  <c r="AO49" i="115"/>
  <c r="AO194" i="115" s="1"/>
  <c r="BD194" i="115" s="1"/>
  <c r="AC40" i="116"/>
  <c r="BG32" i="116"/>
  <c r="BP32" i="116" s="1"/>
  <c r="BQ32" i="116"/>
  <c r="AP164" i="115"/>
  <c r="CO48" i="116" s="1"/>
  <c r="AO111" i="115"/>
  <c r="AO164" i="115" s="1"/>
  <c r="BN170" i="115"/>
  <c r="EN54" i="116" s="1"/>
  <c r="BN111" i="115"/>
  <c r="BM117" i="115"/>
  <c r="BM170" i="115" s="1"/>
  <c r="T54" i="116"/>
  <c r="AC54" i="116" s="1"/>
  <c r="AD54" i="116"/>
  <c r="BJ47" i="115"/>
  <c r="BD157" i="115"/>
  <c r="BJ157" i="115" s="1"/>
  <c r="CD41" i="116"/>
  <c r="BJ46" i="115"/>
  <c r="BD156" i="115"/>
  <c r="BJ156" i="115" s="1"/>
  <c r="BL153" i="115"/>
  <c r="BF154" i="115"/>
  <c r="BL154" i="115" s="1"/>
  <c r="O10" i="70"/>
  <c r="D27" i="7"/>
  <c r="BO144" i="7"/>
  <c r="BO145" i="7" s="1"/>
  <c r="BO142" i="7"/>
  <c r="P13" i="6"/>
  <c r="W13" i="6" s="1"/>
  <c r="BN142" i="7"/>
  <c r="BN144" i="7"/>
  <c r="BN145" i="7" s="1"/>
  <c r="V28" i="17"/>
  <c r="R39" i="7"/>
  <c r="Z39" i="7"/>
  <c r="N30" i="17"/>
  <c r="N38" i="17" s="1"/>
  <c r="AZ24" i="17"/>
  <c r="AF14" i="17"/>
  <c r="AC14" i="17" s="1"/>
  <c r="U14" i="17"/>
  <c r="T14" i="17" s="1"/>
  <c r="W28" i="17"/>
  <c r="BD8" i="17"/>
  <c r="AA25" i="17"/>
  <c r="AO31" i="17"/>
  <c r="BB8" i="17"/>
  <c r="AO32" i="17"/>
  <c r="BN68" i="7"/>
  <c r="BN70" i="7"/>
  <c r="BN71" i="7" s="1"/>
  <c r="P15" i="10"/>
  <c r="P10" i="10"/>
  <c r="V27" i="10"/>
  <c r="AH46" i="11"/>
  <c r="AJ60" i="72"/>
  <c r="AJ58" i="9"/>
  <c r="AJ59" i="9" s="1"/>
  <c r="AJ58" i="72"/>
  <c r="AJ59" i="72" s="1"/>
  <c r="AB24" i="9"/>
  <c r="AB15" i="9" s="1"/>
  <c r="Z15" i="9" s="1"/>
  <c r="AB24" i="72"/>
  <c r="K52" i="8"/>
  <c r="S24" i="72"/>
  <c r="L42" i="3"/>
  <c r="AJ56" i="72"/>
  <c r="AJ57" i="72" s="1"/>
  <c r="BT51" i="72"/>
  <c r="BW51" i="72" s="1"/>
  <c r="BY51" i="72"/>
  <c r="P24" i="9"/>
  <c r="P24" i="72"/>
  <c r="Z32" i="8"/>
  <c r="H35" i="8"/>
  <c r="D14" i="10"/>
  <c r="L8" i="8"/>
  <c r="AF10" i="8"/>
  <c r="M50" i="7"/>
  <c r="V17" i="7"/>
  <c r="C61" i="7"/>
  <c r="P25" i="17"/>
  <c r="D9" i="10"/>
  <c r="F12" i="5"/>
  <c r="AR40" i="5"/>
  <c r="AC21" i="5"/>
  <c r="W17" i="5"/>
  <c r="Q17" i="5"/>
  <c r="D17" i="5"/>
  <c r="M26" i="5"/>
  <c r="F15" i="61"/>
  <c r="AP14" i="19"/>
  <c r="AQ14" i="19" s="1"/>
  <c r="AO10" i="19"/>
  <c r="T42" i="19"/>
  <c r="T41" i="19"/>
  <c r="W14" i="19"/>
  <c r="AD14" i="19" s="1"/>
  <c r="AF14" i="19" s="1"/>
  <c r="U59" i="19"/>
  <c r="R26" i="8"/>
  <c r="D71" i="56"/>
  <c r="D74" i="56" s="1"/>
  <c r="B23" i="63"/>
  <c r="G52" i="8"/>
  <c r="M52" i="8" s="1"/>
  <c r="AF35" i="8"/>
  <c r="S39" i="7"/>
  <c r="F31" i="8"/>
  <c r="M31" i="8"/>
  <c r="C15" i="10"/>
  <c r="D11" i="10"/>
  <c r="O31" i="8"/>
  <c r="F25" i="8"/>
  <c r="F17" i="8" s="1"/>
  <c r="AI52" i="7"/>
  <c r="AH123" i="7"/>
  <c r="AH128" i="7"/>
  <c r="AH33" i="7"/>
  <c r="AO10" i="17"/>
  <c r="W15" i="11"/>
  <c r="B15" i="10"/>
  <c r="D12" i="10"/>
  <c r="D13" i="10"/>
  <c r="Q10" i="11"/>
  <c r="Q8" i="11"/>
  <c r="Q11" i="11"/>
  <c r="Q9" i="11"/>
  <c r="Q7" i="11"/>
  <c r="AD12" i="19"/>
  <c r="AM12" i="19" s="1"/>
  <c r="AE12" i="19"/>
  <c r="I31" i="21"/>
  <c r="P31" i="21"/>
  <c r="AD14" i="17"/>
  <c r="D17" i="7"/>
  <c r="AO24" i="17"/>
  <c r="AM37" i="17"/>
  <c r="O13" i="6"/>
  <c r="BT28" i="17"/>
  <c r="BN28" i="17"/>
  <c r="BL28" i="17"/>
  <c r="U33" i="17"/>
  <c r="Y29" i="8" s="1"/>
  <c r="Z29" i="8" s="1"/>
  <c r="AT33" i="17"/>
  <c r="P27" i="7"/>
  <c r="P32" i="17"/>
  <c r="I34" i="10"/>
  <c r="Y36" i="17"/>
  <c r="AN10" i="17"/>
  <c r="AO9" i="17"/>
  <c r="R41" i="8"/>
  <c r="AF28" i="8"/>
  <c r="Z22" i="8"/>
  <c r="AM22" i="8" s="1"/>
  <c r="AN22" i="8" s="1"/>
  <c r="AN75" i="8" s="1"/>
  <c r="G41" i="7"/>
  <c r="M62" i="9"/>
  <c r="V62" i="9" s="1"/>
  <c r="V50" i="19"/>
  <c r="Y60" i="8"/>
  <c r="AX28" i="17"/>
  <c r="I26" i="9"/>
  <c r="N14" i="21"/>
  <c r="P14" i="21" s="1"/>
  <c r="BT34" i="17"/>
  <c r="BN34" i="17"/>
  <c r="BL34" i="17"/>
  <c r="O38" i="8"/>
  <c r="AA26" i="17"/>
  <c r="C52" i="8"/>
  <c r="C55" i="8" s="1"/>
  <c r="I12" i="21"/>
  <c r="P12" i="21" s="1"/>
  <c r="O27" i="10"/>
  <c r="Y37" i="10" s="1"/>
  <c r="K21" i="61" s="1"/>
  <c r="AC8" i="19"/>
  <c r="AE8" i="19" s="1"/>
  <c r="AN8" i="19" s="1"/>
  <c r="L13" i="21"/>
  <c r="G29" i="21" s="1"/>
  <c r="L29" i="21" s="1"/>
  <c r="B59" i="19"/>
  <c r="P21" i="10"/>
  <c r="Q31" i="11"/>
  <c r="BA27" i="17"/>
  <c r="F81" i="56"/>
  <c r="F83" i="56" s="1"/>
  <c r="K71" i="56"/>
  <c r="K81" i="56" s="1"/>
  <c r="F73" i="56"/>
  <c r="C71" i="56"/>
  <c r="D81" i="56"/>
  <c r="K64" i="7"/>
  <c r="F33" i="7"/>
  <c r="F15" i="7"/>
  <c r="F8" i="7" s="1"/>
  <c r="F40" i="8"/>
  <c r="F34" i="8" s="1"/>
  <c r="M25" i="8"/>
  <c r="H12" i="5"/>
  <c r="AD32" i="6"/>
  <c r="M51" i="9"/>
  <c r="AI20" i="8"/>
  <c r="AJ20" i="8" s="1"/>
  <c r="V29" i="10"/>
  <c r="H15" i="10"/>
  <c r="N9" i="11"/>
  <c r="I8" i="11"/>
  <c r="W27" i="17"/>
  <c r="AT27" i="17"/>
  <c r="AV24" i="17"/>
  <c r="AV14" i="17"/>
  <c r="Z14" i="17"/>
  <c r="AE14" i="17" s="1"/>
  <c r="AY8" i="17"/>
  <c r="W8" i="17"/>
  <c r="K15" i="21"/>
  <c r="E13" i="21"/>
  <c r="E30" i="21"/>
  <c r="U92" i="7"/>
  <c r="AH125" i="7"/>
  <c r="AI29" i="7"/>
  <c r="AK61" i="7"/>
  <c r="AK65" i="7" s="1"/>
  <c r="M76" i="9"/>
  <c r="BT25" i="17"/>
  <c r="BN25" i="17"/>
  <c r="BL25" i="17"/>
  <c r="J71" i="56"/>
  <c r="J81" i="56" s="1"/>
  <c r="J83" i="56" s="1"/>
  <c r="E81" i="56"/>
  <c r="E83" i="56" s="1"/>
  <c r="E73" i="56"/>
  <c r="AI35" i="8"/>
  <c r="AJ35" i="8" s="1"/>
  <c r="V31" i="10"/>
  <c r="BA32" i="17"/>
  <c r="BC32" i="17" s="1"/>
  <c r="BH32" i="17"/>
  <c r="AR64" i="7"/>
  <c r="P32" i="7"/>
  <c r="P33" i="7" s="1"/>
  <c r="AP16" i="17"/>
  <c r="P23" i="8" s="1"/>
  <c r="C28" i="21"/>
  <c r="E28" i="21" s="1"/>
  <c r="H13" i="9"/>
  <c r="F9" i="10"/>
  <c r="F10" i="10" s="1"/>
  <c r="AI10" i="8"/>
  <c r="AK10" i="8" s="1"/>
  <c r="V28" i="10"/>
  <c r="AO42" i="11"/>
  <c r="BA42" i="11"/>
  <c r="BG42" i="11"/>
  <c r="AJ31" i="11"/>
  <c r="BA33" i="17"/>
  <c r="BB33" i="17" s="1"/>
  <c r="BH33" i="17"/>
  <c r="AY31" i="17"/>
  <c r="BH31" i="17"/>
  <c r="Q8" i="17"/>
  <c r="K31" i="21"/>
  <c r="AO32" i="11"/>
  <c r="BG32" i="11"/>
  <c r="BA32" i="11"/>
  <c r="AD10" i="17"/>
  <c r="AA69" i="7"/>
  <c r="AP69" i="7" s="1"/>
  <c r="AQ69" i="7" s="1"/>
  <c r="Y42" i="8"/>
  <c r="G28" i="21"/>
  <c r="L28" i="21" s="1"/>
  <c r="AC38" i="19"/>
  <c r="AE38" i="19" s="1"/>
  <c r="AN38" i="19" s="1"/>
  <c r="BA31" i="17"/>
  <c r="AY27" i="17"/>
  <c r="I34" i="8"/>
  <c r="O34" i="8" s="1"/>
  <c r="AD15" i="17"/>
  <c r="BT26" i="17"/>
  <c r="BN26" i="17"/>
  <c r="BL26" i="17"/>
  <c r="O33" i="10"/>
  <c r="Y38" i="10" s="1"/>
  <c r="C29" i="21"/>
  <c r="H57" i="19"/>
  <c r="Q12" i="6"/>
  <c r="Q13" i="6" s="1"/>
  <c r="M10" i="21"/>
  <c r="N10" i="21" s="1"/>
  <c r="P10" i="21" s="1"/>
  <c r="N33" i="7"/>
  <c r="F27" i="7"/>
  <c r="H8" i="7"/>
  <c r="O15" i="8"/>
  <c r="T45" i="6"/>
  <c r="AI32" i="8"/>
  <c r="AK32" i="8" s="1"/>
  <c r="V30" i="10"/>
  <c r="G9" i="33"/>
  <c r="I9" i="33" s="1"/>
  <c r="P34" i="17"/>
  <c r="H24" i="17"/>
  <c r="M56" i="11"/>
  <c r="AN31" i="11" s="1"/>
  <c r="AH121" i="7"/>
  <c r="BA61" i="9"/>
  <c r="AG42" i="6"/>
  <c r="AH42" i="6" s="1"/>
  <c r="AG40" i="6"/>
  <c r="AD31" i="6"/>
  <c r="AG31" i="6"/>
  <c r="AD20" i="6"/>
  <c r="AG20" i="6"/>
  <c r="AG14" i="6"/>
  <c r="AH14" i="6" s="1"/>
  <c r="AG43" i="6"/>
  <c r="AD38" i="6"/>
  <c r="AG38" i="6"/>
  <c r="AG33" i="6"/>
  <c r="AH33" i="6" s="1"/>
  <c r="AG29" i="6"/>
  <c r="AH29" i="6" s="1"/>
  <c r="F17" i="65" s="1"/>
  <c r="AG24" i="6"/>
  <c r="AH24" i="6" s="1"/>
  <c r="AG22" i="6"/>
  <c r="AH22" i="6" s="1"/>
  <c r="AH18" i="6" s="1"/>
  <c r="AG16" i="6"/>
  <c r="AG15" i="6"/>
  <c r="AG9" i="6"/>
  <c r="AG12" i="6" s="1"/>
  <c r="AG28" i="6"/>
  <c r="AB11" i="5"/>
  <c r="AF8" i="5"/>
  <c r="AF41" i="5"/>
  <c r="AC38" i="5"/>
  <c r="AF30" i="5"/>
  <c r="AF22" i="5"/>
  <c r="AF19" i="5"/>
  <c r="AF15" i="5"/>
  <c r="AF14" i="5"/>
  <c r="AF32" i="5"/>
  <c r="AY81" i="8"/>
  <c r="AP9" i="17"/>
  <c r="Q13" i="7" s="1"/>
  <c r="Z13" i="7" s="1"/>
  <c r="AN9" i="17"/>
  <c r="Z56" i="7"/>
  <c r="AH15" i="7"/>
  <c r="Z66" i="7"/>
  <c r="M41" i="7"/>
  <c r="AH8" i="7"/>
  <c r="M9" i="21"/>
  <c r="N9" i="21" s="1"/>
  <c r="P9" i="21" s="1"/>
  <c r="I25" i="7"/>
  <c r="M25" i="21"/>
  <c r="M29" i="21" s="1"/>
  <c r="N29" i="21" s="1"/>
  <c r="D27" i="8"/>
  <c r="H17" i="8"/>
  <c r="AN46" i="8"/>
  <c r="AM81" i="8"/>
  <c r="AO52" i="8"/>
  <c r="AO87" i="8" s="1"/>
  <c r="AN87" i="8"/>
  <c r="AF42" i="8"/>
  <c r="Y80" i="8"/>
  <c r="AF80" i="8" s="1"/>
  <c r="AO13" i="8"/>
  <c r="BA43" i="8"/>
  <c r="AW43" i="8"/>
  <c r="W87" i="8"/>
  <c r="W88" i="8" s="1"/>
  <c r="AL81" i="8"/>
  <c r="W90" i="8"/>
  <c r="AL75" i="8"/>
  <c r="AI92" i="8"/>
  <c r="BA60" i="8"/>
  <c r="AI85" i="8"/>
  <c r="BA50" i="8"/>
  <c r="AW50" i="8"/>
  <c r="AO55" i="8"/>
  <c r="Z75" i="8"/>
  <c r="AK45" i="8"/>
  <c r="O17" i="8"/>
  <c r="F15" i="8"/>
  <c r="F8" i="8" s="1"/>
  <c r="H15" i="8"/>
  <c r="V51" i="8"/>
  <c r="D8" i="8"/>
  <c r="AO10" i="8"/>
  <c r="Y56" i="8"/>
  <c r="Y89" i="8" s="1"/>
  <c r="AF89" i="8" s="1"/>
  <c r="Z89" i="8"/>
  <c r="BA45" i="8"/>
  <c r="AX42" i="8"/>
  <c r="AX80" i="8" s="1"/>
  <c r="AL74" i="8"/>
  <c r="AA87" i="8"/>
  <c r="AG61" i="8"/>
  <c r="AG92" i="8"/>
  <c r="AG93" i="8" s="1"/>
  <c r="AG94" i="8" s="1"/>
  <c r="AY30" i="8"/>
  <c r="F27" i="8"/>
  <c r="Y75" i="8"/>
  <c r="AF75" i="8" s="1"/>
  <c r="Y74" i="8"/>
  <c r="AF74" i="8" s="1"/>
  <c r="AN53" i="8"/>
  <c r="AO53" i="8" s="1"/>
  <c r="AH62" i="8"/>
  <c r="AA143" i="7"/>
  <c r="AM143" i="7" s="1"/>
  <c r="AA66" i="7"/>
  <c r="AA140" i="7" s="1"/>
  <c r="AI140" i="7" s="1"/>
  <c r="AC140" i="7"/>
  <c r="AJ35" i="7"/>
  <c r="AJ126" i="7"/>
  <c r="AJ135" i="7" s="1"/>
  <c r="AB10" i="7"/>
  <c r="AA123" i="7"/>
  <c r="BA143" i="7"/>
  <c r="AB124" i="7"/>
  <c r="AH126" i="7"/>
  <c r="AK141" i="7"/>
  <c r="AK139" i="7"/>
  <c r="AP28" i="7"/>
  <c r="AA124" i="7"/>
  <c r="AI124" i="7" s="1"/>
  <c r="AO136" i="7"/>
  <c r="AI56" i="7"/>
  <c r="AH130" i="7"/>
  <c r="AI130" i="7" s="1"/>
  <c r="AH136" i="7"/>
  <c r="AM134" i="7"/>
  <c r="BA134" i="7"/>
  <c r="AI143" i="7"/>
  <c r="R50" i="7"/>
  <c r="N17" i="7"/>
  <c r="B61" i="7"/>
  <c r="AH27" i="7"/>
  <c r="H27" i="7"/>
  <c r="Z50" i="7"/>
  <c r="Y129" i="7"/>
  <c r="Y135" i="7" s="1"/>
  <c r="S56" i="7"/>
  <c r="AB52" i="7"/>
  <c r="I17" i="7"/>
  <c r="AI54" i="7"/>
  <c r="AP52" i="7"/>
  <c r="AB29" i="7"/>
  <c r="C10" i="10"/>
  <c r="AH17" i="7"/>
  <c r="U8" i="17"/>
  <c r="T8" i="17" s="1"/>
  <c r="P24" i="7"/>
  <c r="P25" i="7" s="1"/>
  <c r="H41" i="7"/>
  <c r="D35" i="7"/>
  <c r="BE60" i="7"/>
  <c r="BA60" i="7"/>
  <c r="BA69" i="7"/>
  <c r="BE69" i="7"/>
  <c r="BT42" i="7"/>
  <c r="BP16" i="8"/>
  <c r="BP26" i="8" s="1"/>
  <c r="BP33" i="8" s="1"/>
  <c r="AQ56" i="7"/>
  <c r="F41" i="7"/>
  <c r="M8" i="7"/>
  <c r="N8" i="7"/>
  <c r="D6" i="10"/>
  <c r="AX25" i="17"/>
  <c r="AT25" i="17"/>
  <c r="R31" i="7"/>
  <c r="Z31" i="7"/>
  <c r="S31" i="7"/>
  <c r="O40" i="7"/>
  <c r="P39" i="7"/>
  <c r="U28" i="17"/>
  <c r="AA39" i="7" s="1"/>
  <c r="AA40" i="7" s="1"/>
  <c r="AP40" i="7" s="1"/>
  <c r="BB27" i="17"/>
  <c r="BB26" i="17"/>
  <c r="AN23" i="7" s="1"/>
  <c r="BB25" i="17"/>
  <c r="S24" i="17"/>
  <c r="O8" i="17"/>
  <c r="N8" i="17" s="1"/>
  <c r="AY26" i="17"/>
  <c r="AY25" i="17"/>
  <c r="AF8" i="17"/>
  <c r="AC8" i="17" s="1"/>
  <c r="AE8" i="17" s="1"/>
  <c r="BB34" i="17"/>
  <c r="AI38" i="8" s="1"/>
  <c r="AK38" i="8" s="1"/>
  <c r="AZ30" i="17"/>
  <c r="H30" i="17"/>
  <c r="W14" i="17"/>
  <c r="AA31" i="17"/>
  <c r="AA33" i="17"/>
  <c r="AO25" i="17"/>
  <c r="AO27" i="17"/>
  <c r="V25" i="17"/>
  <c r="W25" i="17"/>
  <c r="S13" i="7"/>
  <c r="BC25" i="17"/>
  <c r="AC27" i="5"/>
  <c r="W26" i="5"/>
  <c r="AB26" i="5"/>
  <c r="V26" i="5"/>
  <c r="Y45" i="5"/>
  <c r="U45" i="5"/>
  <c r="U54" i="5" s="1"/>
  <c r="AA54" i="5" s="1"/>
  <c r="S45" i="5"/>
  <c r="S46" i="5" s="1"/>
  <c r="N45" i="5"/>
  <c r="N46" i="5" s="1"/>
  <c r="K45" i="5"/>
  <c r="K46" i="5" s="1"/>
  <c r="E45" i="5"/>
  <c r="B45" i="5"/>
  <c r="I12" i="5"/>
  <c r="I45" i="5"/>
  <c r="AA45" i="5"/>
  <c r="AA46" i="5" s="1"/>
  <c r="X45" i="5"/>
  <c r="X46" i="5" s="1"/>
  <c r="T45" i="5"/>
  <c r="T46" i="5" s="1"/>
  <c r="P45" i="5"/>
  <c r="P47" i="5" s="1"/>
  <c r="Q16" i="7" s="1"/>
  <c r="S16" i="7" s="1"/>
  <c r="L45" i="5"/>
  <c r="J45" i="5"/>
  <c r="G45" i="5"/>
  <c r="C45" i="5"/>
  <c r="V17" i="5"/>
  <c r="AC8" i="5"/>
  <c r="F26" i="5"/>
  <c r="F17" i="5"/>
  <c r="H17" i="5"/>
  <c r="AC18" i="5"/>
  <c r="AC16" i="5"/>
  <c r="K55" i="9"/>
  <c r="Q32" i="11"/>
  <c r="L68" i="9"/>
  <c r="Y32" i="11"/>
  <c r="W39" i="11"/>
  <c r="M54" i="11"/>
  <c r="AN33" i="11" s="1"/>
  <c r="AC61" i="3"/>
  <c r="AC60" i="3"/>
  <c r="AC59" i="3"/>
  <c r="AC49" i="3"/>
  <c r="S39" i="11"/>
  <c r="J39" i="11"/>
  <c r="AB15" i="11"/>
  <c r="O19" i="7" s="1"/>
  <c r="O17" i="7" s="1"/>
  <c r="O61" i="7" s="1"/>
  <c r="S15" i="11"/>
  <c r="AO31" i="11"/>
  <c r="M53" i="11"/>
  <c r="AN29" i="11" s="1"/>
  <c r="S45" i="11"/>
  <c r="I10" i="11"/>
  <c r="F33" i="10"/>
  <c r="E34" i="10"/>
  <c r="F34" i="10" s="1"/>
  <c r="P23" i="10"/>
  <c r="D7" i="10"/>
  <c r="G27" i="10"/>
  <c r="H10" i="10"/>
  <c r="AR15" i="10"/>
  <c r="AR10" i="10"/>
  <c r="Q13" i="11"/>
  <c r="AD41" i="19"/>
  <c r="AM41" i="19" s="1"/>
  <c r="AE41" i="19"/>
  <c r="AN41" i="19" s="1"/>
  <c r="AD39" i="19"/>
  <c r="AM39" i="19" s="1"/>
  <c r="AE39" i="19"/>
  <c r="AN39" i="19" s="1"/>
  <c r="AE36" i="19"/>
  <c r="AN36" i="19" s="1"/>
  <c r="AD36" i="19"/>
  <c r="AM36" i="19" s="1"/>
  <c r="AE30" i="19"/>
  <c r="AN30" i="19" s="1"/>
  <c r="AD30" i="19"/>
  <c r="AM30" i="19" s="1"/>
  <c r="AD27" i="19"/>
  <c r="AM27" i="19" s="1"/>
  <c r="AE27" i="19"/>
  <c r="AN27" i="19" s="1"/>
  <c r="AE24" i="19"/>
  <c r="AN24" i="19" s="1"/>
  <c r="AD24" i="19"/>
  <c r="AM24" i="19" s="1"/>
  <c r="AE18" i="19"/>
  <c r="AN18" i="19" s="1"/>
  <c r="AD18" i="19"/>
  <c r="AM18" i="19" s="1"/>
  <c r="AE16" i="19"/>
  <c r="AN16" i="19" s="1"/>
  <c r="AD16" i="19"/>
  <c r="AM16" i="19" s="1"/>
  <c r="AE9" i="19"/>
  <c r="AN9" i="19" s="1"/>
  <c r="AD9" i="19"/>
  <c r="AM9" i="19" s="1"/>
  <c r="AD38" i="19"/>
  <c r="AM38" i="19" s="1"/>
  <c r="AE42" i="19"/>
  <c r="AN42" i="19" s="1"/>
  <c r="AD42" i="19"/>
  <c r="AM42" i="19" s="1"/>
  <c r="AD8" i="19"/>
  <c r="AM8" i="19" s="1"/>
  <c r="AD13" i="19"/>
  <c r="AM13" i="19" s="1"/>
  <c r="AE13" i="19"/>
  <c r="AN13" i="19" s="1"/>
  <c r="AD37" i="19"/>
  <c r="AM37" i="19" s="1"/>
  <c r="AE37" i="19"/>
  <c r="AN37" i="19" s="1"/>
  <c r="AD35" i="19"/>
  <c r="AM35" i="19" s="1"/>
  <c r="AE35" i="19"/>
  <c r="AN35" i="19" s="1"/>
  <c r="AD33" i="19"/>
  <c r="AM33" i="19" s="1"/>
  <c r="AE33" i="19"/>
  <c r="AN33" i="19" s="1"/>
  <c r="AD31" i="19"/>
  <c r="AM31" i="19" s="1"/>
  <c r="AE31" i="19"/>
  <c r="AN31" i="19" s="1"/>
  <c r="AD29" i="19"/>
  <c r="AM29" i="19" s="1"/>
  <c r="AE29" i="19"/>
  <c r="AN29" i="19" s="1"/>
  <c r="AE26" i="19"/>
  <c r="AN26" i="19" s="1"/>
  <c r="AD26" i="19"/>
  <c r="AM26" i="19" s="1"/>
  <c r="AD25" i="19"/>
  <c r="AE25" i="19"/>
  <c r="AD23" i="19"/>
  <c r="AM23" i="19" s="1"/>
  <c r="AE23" i="19"/>
  <c r="AN23" i="19" s="1"/>
  <c r="AD19" i="19"/>
  <c r="AM19" i="19" s="1"/>
  <c r="AE19" i="19"/>
  <c r="AN19" i="19" s="1"/>
  <c r="AD17" i="19"/>
  <c r="AM17" i="19" s="1"/>
  <c r="AE17" i="19"/>
  <c r="AN17" i="19" s="1"/>
  <c r="AE28" i="19"/>
  <c r="AN28" i="19" s="1"/>
  <c r="AD28" i="19"/>
  <c r="AM28" i="19" s="1"/>
  <c r="AA60" i="19"/>
  <c r="AA57" i="19"/>
  <c r="AA58" i="19"/>
  <c r="S11" i="19"/>
  <c r="S50" i="19" s="1"/>
  <c r="D37" i="19"/>
  <c r="H16" i="19"/>
  <c r="Q58" i="19"/>
  <c r="Y58" i="19" s="1"/>
  <c r="X17" i="19" s="1"/>
  <c r="Q60" i="19"/>
  <c r="Y60" i="19" s="1"/>
  <c r="Q57" i="19"/>
  <c r="Y57" i="19" s="1"/>
  <c r="W22" i="19" s="1"/>
  <c r="Q59" i="19"/>
  <c r="G50" i="19"/>
  <c r="M30" i="19"/>
  <c r="AC10" i="19"/>
  <c r="AC11" i="19" s="1"/>
  <c r="D50" i="19"/>
  <c r="F50" i="19"/>
  <c r="Z50" i="19"/>
  <c r="F25" i="6"/>
  <c r="R18" i="6"/>
  <c r="K45" i="6"/>
  <c r="K46" i="6" s="1"/>
  <c r="AD9" i="6"/>
  <c r="AD28" i="6"/>
  <c r="Y13" i="9"/>
  <c r="AI42" i="8"/>
  <c r="AK43" i="8"/>
  <c r="R23" i="7"/>
  <c r="T23" i="7"/>
  <c r="AL20" i="7"/>
  <c r="Q29" i="8"/>
  <c r="R29" i="8"/>
  <c r="R31" i="8" s="1"/>
  <c r="AV38" i="17"/>
  <c r="BH38" i="17" s="1"/>
  <c r="AK67" i="7"/>
  <c r="AK68" i="7"/>
  <c r="AK70" i="7"/>
  <c r="AE14" i="19"/>
  <c r="W8" i="19"/>
  <c r="W26" i="19"/>
  <c r="W13" i="19"/>
  <c r="W35" i="19"/>
  <c r="W43" i="19"/>
  <c r="W48" i="19"/>
  <c r="AD48" i="19" s="1"/>
  <c r="AM48" i="19" s="1"/>
  <c r="W42" i="19"/>
  <c r="W18" i="19"/>
  <c r="W21" i="19"/>
  <c r="W47" i="19"/>
  <c r="W44" i="19"/>
  <c r="W32" i="19"/>
  <c r="W40" i="19"/>
  <c r="W37" i="19"/>
  <c r="W20" i="19"/>
  <c r="W33" i="19"/>
  <c r="W19" i="19"/>
  <c r="W29" i="19"/>
  <c r="W45" i="19"/>
  <c r="W16" i="19"/>
  <c r="AP36" i="7"/>
  <c r="AI36" i="7"/>
  <c r="AB36" i="7"/>
  <c r="AP20" i="7"/>
  <c r="AB20" i="7"/>
  <c r="AC20" i="7"/>
  <c r="V32" i="17"/>
  <c r="U32" i="17"/>
  <c r="Y23" i="8" s="1"/>
  <c r="AX32" i="17"/>
  <c r="P31" i="8"/>
  <c r="P27" i="8" s="1"/>
  <c r="P34" i="8"/>
  <c r="AJ43" i="8"/>
  <c r="X25" i="19"/>
  <c r="X45" i="19"/>
  <c r="H17" i="7"/>
  <c r="N51" i="8"/>
  <c r="AK9" i="17"/>
  <c r="X41" i="19"/>
  <c r="X35" i="19"/>
  <c r="X26" i="19"/>
  <c r="R38" i="8"/>
  <c r="R40" i="8" s="1"/>
  <c r="Q38" i="8"/>
  <c r="T31" i="17"/>
  <c r="AT31" i="17" s="1"/>
  <c r="AP15" i="17"/>
  <c r="P31" i="17"/>
  <c r="T39" i="19"/>
  <c r="W39" i="19"/>
  <c r="M27" i="21"/>
  <c r="N27" i="21" s="1"/>
  <c r="P27" i="21" s="1"/>
  <c r="I27" i="21"/>
  <c r="P26" i="17"/>
  <c r="T26" i="17"/>
  <c r="AT26" i="17" s="1"/>
  <c r="K13" i="21"/>
  <c r="I30" i="21"/>
  <c r="P30" i="21" s="1"/>
  <c r="J61" i="7"/>
  <c r="O8" i="8"/>
  <c r="M52" i="11"/>
  <c r="AA15" i="9"/>
  <c r="Y61" i="7"/>
  <c r="Y67" i="7" s="1"/>
  <c r="E61" i="7"/>
  <c r="W51" i="8"/>
  <c r="W57" i="8" s="1"/>
  <c r="G51" i="8"/>
  <c r="G55" i="8" s="1"/>
  <c r="N36" i="17"/>
  <c r="U25" i="17"/>
  <c r="AA13" i="7" s="1"/>
  <c r="AP13" i="7" s="1"/>
  <c r="R37" i="9"/>
  <c r="Y33" i="11"/>
  <c r="Y39" i="11" s="1"/>
  <c r="AK10" i="11"/>
  <c r="Q32" i="7"/>
  <c r="O39" i="8"/>
  <c r="AH10" i="17"/>
  <c r="Q40" i="7"/>
  <c r="AY33" i="17"/>
  <c r="AI28" i="7"/>
  <c r="H26" i="21"/>
  <c r="I26" i="21" s="1"/>
  <c r="A33" i="7"/>
  <c r="A49" i="7" s="1"/>
  <c r="D34" i="8"/>
  <c r="Z43" i="8"/>
  <c r="Z42" i="8" s="1"/>
  <c r="R42" i="8"/>
  <c r="B51" i="8"/>
  <c r="B55" i="8" s="1"/>
  <c r="R37" i="8"/>
  <c r="AI10" i="7"/>
  <c r="B10" i="10"/>
  <c r="F17" i="7"/>
  <c r="V27" i="17"/>
  <c r="M13" i="9"/>
  <c r="I15" i="8"/>
  <c r="I8" i="8" s="1"/>
  <c r="I51" i="8" s="1"/>
  <c r="AP10" i="7"/>
  <c r="M33" i="7"/>
  <c r="W9" i="19"/>
  <c r="W36" i="19"/>
  <c r="E26" i="21"/>
  <c r="AX27" i="17"/>
  <c r="I15" i="7"/>
  <c r="I8" i="7" s="1"/>
  <c r="I61" i="7" s="1"/>
  <c r="P14" i="7"/>
  <c r="P8" i="7" s="1"/>
  <c r="W41" i="19"/>
  <c r="Y30" i="17"/>
  <c r="Y38" i="17" s="1"/>
  <c r="AN16" i="17"/>
  <c r="AY34" i="17"/>
  <c r="D45" i="6"/>
  <c r="M39" i="8"/>
  <c r="M40" i="8" s="1"/>
  <c r="AO26" i="17"/>
  <c r="D8" i="10"/>
  <c r="P24" i="10"/>
  <c r="P28" i="10"/>
  <c r="AC12" i="6"/>
  <c r="Q18" i="8"/>
  <c r="W12" i="19"/>
  <c r="T12" i="19"/>
  <c r="P31" i="10"/>
  <c r="T34" i="17"/>
  <c r="AT34" i="17" s="1"/>
  <c r="G33" i="10"/>
  <c r="P30" i="10"/>
  <c r="X18" i="6"/>
  <c r="Q33" i="11"/>
  <c r="O17" i="5"/>
  <c r="Q30" i="11"/>
  <c r="BB28" i="17"/>
  <c r="BB24" i="17" s="1"/>
  <c r="BA24" i="17" s="1"/>
  <c r="Y24" i="17"/>
  <c r="N24" i="17"/>
  <c r="N37" i="17" s="1"/>
  <c r="U27" i="17"/>
  <c r="AA31" i="7" s="1"/>
  <c r="P52" i="8"/>
  <c r="S52" i="8" s="1"/>
  <c r="AH50" i="7"/>
  <c r="AH129" i="7" s="1"/>
  <c r="M17" i="7"/>
  <c r="G61" i="7"/>
  <c r="M17" i="8"/>
  <c r="AC32" i="5"/>
  <c r="AB45" i="6"/>
  <c r="AB46" i="6" s="1"/>
  <c r="AD15" i="6"/>
  <c r="R13" i="6"/>
  <c r="AH55" i="9"/>
  <c r="X55" i="9"/>
  <c r="K51" i="9"/>
  <c r="Y17" i="9"/>
  <c r="I17" i="9"/>
  <c r="R14" i="17"/>
  <c r="Q14" i="17" s="1"/>
  <c r="BB14" i="17"/>
  <c r="W61" i="19"/>
  <c r="U50" i="19"/>
  <c r="E29" i="21"/>
  <c r="AB55" i="9"/>
  <c r="G49" i="34"/>
  <c r="P55" i="34" s="1"/>
  <c r="V55" i="8"/>
  <c r="S24" i="9"/>
  <c r="S26" i="9" s="1"/>
  <c r="O51" i="3"/>
  <c r="B11" i="32"/>
  <c r="D11" i="32" s="1"/>
  <c r="AH29" i="11"/>
  <c r="G58" i="3"/>
  <c r="P52" i="9" s="1"/>
  <c r="T52" i="9" s="1"/>
  <c r="D20" i="32"/>
  <c r="W55" i="8"/>
  <c r="AH31" i="11"/>
  <c r="O64" i="7"/>
  <c r="P64" i="7" s="1"/>
  <c r="G64" i="7"/>
  <c r="N64" i="7" s="1"/>
  <c r="AH23" i="11"/>
  <c r="AG19" i="11" s="1"/>
  <c r="AK19" i="11" s="1"/>
  <c r="AK22" i="11" s="1"/>
  <c r="P19" i="8" s="1"/>
  <c r="W64" i="7"/>
  <c r="I47" i="3"/>
  <c r="I44" i="3"/>
  <c r="AJ60" i="9"/>
  <c r="AJ62" i="9" s="1"/>
  <c r="AD64" i="7"/>
  <c r="C64" i="7"/>
  <c r="C65" i="7" s="1"/>
  <c r="F21" i="3"/>
  <c r="BB14" i="3"/>
  <c r="BB9" i="3"/>
  <c r="V58" i="8"/>
  <c r="AH32" i="11"/>
  <c r="G48" i="3"/>
  <c r="AA64" i="7" s="1"/>
  <c r="AA136" i="7" s="1"/>
  <c r="AL52" i="8"/>
  <c r="E64" i="7"/>
  <c r="M58" i="3"/>
  <c r="M57" i="3" s="1"/>
  <c r="H15" i="3"/>
  <c r="AC64" i="7"/>
  <c r="AC136" i="7" s="1"/>
  <c r="Y23" i="11"/>
  <c r="Y19" i="11" s="1"/>
  <c r="D21" i="3"/>
  <c r="P25" i="9"/>
  <c r="P26" i="9"/>
  <c r="O52" i="8"/>
  <c r="N55" i="8"/>
  <c r="H21" i="3"/>
  <c r="L44" i="3"/>
  <c r="H80" i="7"/>
  <c r="L47" i="3"/>
  <c r="F15" i="3"/>
  <c r="BA21" i="3"/>
  <c r="G18" i="11"/>
  <c r="E43" i="3"/>
  <c r="M58" i="72" s="1"/>
  <c r="M59" i="72" s="1"/>
  <c r="V59" i="72" s="1"/>
  <c r="Q64" i="7"/>
  <c r="J64" i="7"/>
  <c r="N58" i="8"/>
  <c r="Y64" i="7"/>
  <c r="Y136" i="7" s="1"/>
  <c r="B6" i="32"/>
  <c r="D15" i="3"/>
  <c r="BA15" i="3"/>
  <c r="L23" i="11"/>
  <c r="L19" i="11" s="1"/>
  <c r="AP19" i="11" s="1"/>
  <c r="AM42" i="11" s="1"/>
  <c r="B64" i="7"/>
  <c r="AF19" i="8"/>
  <c r="E32" i="21"/>
  <c r="Y82" i="7"/>
  <c r="Y84" i="7" s="1"/>
  <c r="Z82" i="7"/>
  <c r="Z84" i="7" s="1"/>
  <c r="H35" i="7"/>
  <c r="F35" i="7"/>
  <c r="P35" i="7"/>
  <c r="M35" i="7"/>
  <c r="N27" i="7"/>
  <c r="M27" i="7"/>
  <c r="I28" i="21"/>
  <c r="M28" i="21"/>
  <c r="M14" i="3"/>
  <c r="M9" i="3"/>
  <c r="J9" i="3"/>
  <c r="J27" i="3" s="1"/>
  <c r="J14" i="3"/>
  <c r="G9" i="3"/>
  <c r="P19" i="72" s="1"/>
  <c r="G14" i="3"/>
  <c r="H12" i="3"/>
  <c r="D12" i="3"/>
  <c r="C9" i="3"/>
  <c r="C14" i="3"/>
  <c r="Q30" i="8"/>
  <c r="L61" i="7"/>
  <c r="U51" i="8"/>
  <c r="J51" i="8"/>
  <c r="J55" i="8" s="1"/>
  <c r="E51" i="8"/>
  <c r="H51" i="8" s="1"/>
  <c r="H44" i="3"/>
  <c r="H38" i="3"/>
  <c r="H39" i="3" s="1"/>
  <c r="H47" i="3"/>
  <c r="AR56" i="7"/>
  <c r="AS56" i="7" s="1"/>
  <c r="AH35" i="7"/>
  <c r="AJ61" i="7"/>
  <c r="AR38" i="7"/>
  <c r="AS38" i="7" s="1"/>
  <c r="W58" i="8"/>
  <c r="M26" i="21"/>
  <c r="N26" i="21" s="1"/>
  <c r="K10" i="21"/>
  <c r="K9" i="21"/>
  <c r="E16" i="21"/>
  <c r="F9" i="21" s="1"/>
  <c r="AN28" i="7"/>
  <c r="BA12" i="3"/>
  <c r="AZ9" i="3"/>
  <c r="AB19" i="72" s="1"/>
  <c r="AZ14" i="3"/>
  <c r="L9" i="3"/>
  <c r="L27" i="3" s="1"/>
  <c r="L14" i="3"/>
  <c r="I9" i="3"/>
  <c r="I27" i="3" s="1"/>
  <c r="I14" i="3"/>
  <c r="E9" i="3"/>
  <c r="E14" i="3"/>
  <c r="F12" i="3"/>
  <c r="B9" i="3"/>
  <c r="B14" i="3"/>
  <c r="N24" i="35"/>
  <c r="M24" i="35"/>
  <c r="I24" i="35"/>
  <c r="E24" i="35"/>
  <c r="O24" i="35"/>
  <c r="K24" i="35"/>
  <c r="G24" i="35"/>
  <c r="D24" i="35"/>
  <c r="H24" i="35"/>
  <c r="L24" i="35"/>
  <c r="F24" i="35"/>
  <c r="J24" i="35"/>
  <c r="AL54" i="7"/>
  <c r="B57" i="19"/>
  <c r="B61" i="19" s="1"/>
  <c r="AA75" i="7"/>
  <c r="O49" i="3"/>
  <c r="O61" i="3"/>
  <c r="AJ56" i="9"/>
  <c r="AJ57" i="9" s="1"/>
  <c r="D61" i="7"/>
  <c r="V61" i="7"/>
  <c r="AJ45" i="8"/>
  <c r="AK42" i="8"/>
  <c r="AL42" i="8"/>
  <c r="L27" i="8"/>
  <c r="M27" i="8" s="1"/>
  <c r="M8" i="8"/>
  <c r="O26" i="5"/>
  <c r="M12" i="5"/>
  <c r="F15" i="10"/>
  <c r="AB51" i="9"/>
  <c r="AK28" i="8"/>
  <c r="AK75" i="8" s="1"/>
  <c r="O59" i="3"/>
  <c r="O60" i="3"/>
  <c r="P75" i="9"/>
  <c r="AR54" i="7"/>
  <c r="AS54" i="7" s="1"/>
  <c r="AD29" i="6"/>
  <c r="D25" i="6"/>
  <c r="N50" i="6"/>
  <c r="N41" i="8" s="1"/>
  <c r="O41" i="8" s="1"/>
  <c r="R25" i="6"/>
  <c r="R45" i="6" s="1"/>
  <c r="R46" i="6" s="1"/>
  <c r="R33" i="8"/>
  <c r="D18" i="6"/>
  <c r="I25" i="6"/>
  <c r="I45" i="6" s="1"/>
  <c r="H41" i="6"/>
  <c r="V45" i="6"/>
  <c r="V46" i="6" s="1"/>
  <c r="Q40" i="6"/>
  <c r="Q25" i="6" s="1"/>
  <c r="H25" i="6"/>
  <c r="E45" i="6"/>
  <c r="F45" i="6" s="1"/>
  <c r="X44" i="6"/>
  <c r="X25" i="6" s="1"/>
  <c r="AD40" i="6"/>
  <c r="P45" i="6"/>
  <c r="W25" i="6"/>
  <c r="G45" i="6"/>
  <c r="G41" i="8" s="1"/>
  <c r="S45" i="6"/>
  <c r="S46" i="6" s="1"/>
  <c r="AD33" i="6"/>
  <c r="AD26" i="6"/>
  <c r="U45" i="6"/>
  <c r="W23" i="6"/>
  <c r="AD22" i="6"/>
  <c r="H18" i="6"/>
  <c r="M13" i="6"/>
  <c r="AD19" i="6"/>
  <c r="AC18" i="6"/>
  <c r="L45" i="6"/>
  <c r="L46" i="6" s="1"/>
  <c r="AB47" i="6"/>
  <c r="AB50" i="6"/>
  <c r="AB48" i="6"/>
  <c r="AB49" i="6"/>
  <c r="AD30" i="6"/>
  <c r="AD27" i="6"/>
  <c r="M25" i="6"/>
  <c r="AD24" i="6"/>
  <c r="Q18" i="6"/>
  <c r="F18" i="6"/>
  <c r="AD16" i="6"/>
  <c r="X12" i="6"/>
  <c r="AD14" i="6"/>
  <c r="X13" i="6"/>
  <c r="AD13" i="6" s="1"/>
  <c r="AC25" i="6"/>
  <c r="AD42" i="6"/>
  <c r="R16" i="8"/>
  <c r="O29" i="6"/>
  <c r="V12" i="5"/>
  <c r="Q11" i="5"/>
  <c r="Q12" i="5" s="1"/>
  <c r="AC14" i="5"/>
  <c r="AC33" i="5"/>
  <c r="H26" i="5"/>
  <c r="D26" i="5"/>
  <c r="AC24" i="5"/>
  <c r="R12" i="5"/>
  <c r="O12" i="5"/>
  <c r="AC31" i="5"/>
  <c r="AC30" i="5"/>
  <c r="AB17" i="5"/>
  <c r="AC19" i="5"/>
  <c r="AC11" i="5"/>
  <c r="Q26" i="5"/>
  <c r="AC39" i="5"/>
  <c r="P48" i="5"/>
  <c r="Q26" i="7" s="1"/>
  <c r="S26" i="7" s="1"/>
  <c r="AC20" i="5"/>
  <c r="W12" i="5"/>
  <c r="AH20" i="9"/>
  <c r="Q57" i="9" s="1"/>
  <c r="S9" i="7"/>
  <c r="AH13" i="9"/>
  <c r="AH17" i="9"/>
  <c r="H14" i="9"/>
  <c r="M17" i="9"/>
  <c r="K75" i="9"/>
  <c r="P78" i="9"/>
  <c r="L79" i="9"/>
  <c r="M79" i="9"/>
  <c r="P77" i="9"/>
  <c r="R9" i="7"/>
  <c r="X51" i="9"/>
  <c r="AK17" i="9"/>
  <c r="B13" i="9"/>
  <c r="K76" i="9"/>
  <c r="K78" i="9"/>
  <c r="AA51" i="9"/>
  <c r="N51" i="9"/>
  <c r="H17" i="9"/>
  <c r="AK22" i="9"/>
  <c r="AK20" i="9"/>
  <c r="K73" i="9"/>
  <c r="K77" i="9"/>
  <c r="P73" i="9"/>
  <c r="V61" i="9"/>
  <c r="AH51" i="9"/>
  <c r="R36" i="9"/>
  <c r="R11" i="9"/>
  <c r="W11" i="9" s="1"/>
  <c r="Q13" i="9"/>
  <c r="O13" i="9" s="1"/>
  <c r="AA14" i="9"/>
  <c r="AN62" i="9"/>
  <c r="R38" i="9"/>
  <c r="AB14" i="9"/>
  <c r="AB17" i="9" s="1"/>
  <c r="Q24" i="7"/>
  <c r="S23" i="7"/>
  <c r="Z23" i="7"/>
  <c r="P40" i="8"/>
  <c r="Q39" i="8"/>
  <c r="BM60" i="115" l="1"/>
  <c r="BM204" i="115" s="1"/>
  <c r="CB204" i="115" s="1"/>
  <c r="CH204" i="115" s="1"/>
  <c r="CW36" i="116"/>
  <c r="DF36" i="116"/>
  <c r="CD201" i="115"/>
  <c r="CJ201" i="115" s="1"/>
  <c r="CD203" i="115"/>
  <c r="CJ203" i="115" s="1"/>
  <c r="DQ41" i="116"/>
  <c r="DZ41" i="116" s="1"/>
  <c r="DQ44" i="116"/>
  <c r="BJ190" i="115"/>
  <c r="T27" i="119"/>
  <c r="CL36" i="116"/>
  <c r="AN34" i="113"/>
  <c r="AQ34" i="113"/>
  <c r="AN38" i="113"/>
  <c r="AQ38" i="113"/>
  <c r="BF38" i="113" s="1"/>
  <c r="V25" i="119"/>
  <c r="DX34" i="116"/>
  <c r="M36" i="119"/>
  <c r="AL45" i="116"/>
  <c r="AN60" i="72"/>
  <c r="AN60" i="9"/>
  <c r="K26" i="21"/>
  <c r="M45" i="119"/>
  <c r="AL54" i="116"/>
  <c r="BN164" i="115"/>
  <c r="EN48" i="116" s="1"/>
  <c r="BM111" i="115"/>
  <c r="BM164" i="115" s="1"/>
  <c r="P23" i="119"/>
  <c r="BY32" i="116"/>
  <c r="CB194" i="115"/>
  <c r="CH194" i="115" s="1"/>
  <c r="BJ194" i="115"/>
  <c r="FF36" i="116"/>
  <c r="EV36" i="116"/>
  <c r="AL219" i="115"/>
  <c r="R159" i="115"/>
  <c r="AP43" i="116" s="1"/>
  <c r="AP39" i="116"/>
  <c r="R173" i="115"/>
  <c r="R175" i="115" s="1"/>
  <c r="Q36" i="115"/>
  <c r="Q120" i="115" s="1"/>
  <c r="R120" i="115"/>
  <c r="R122" i="115" s="1"/>
  <c r="AG36" i="115"/>
  <c r="L39" i="116"/>
  <c r="B39" i="116"/>
  <c r="FP36" i="116"/>
  <c r="BJ42" i="115"/>
  <c r="BD152" i="115"/>
  <c r="BJ152" i="115" s="1"/>
  <c r="DG47" i="116"/>
  <c r="CW47" i="116"/>
  <c r="BG45" i="116"/>
  <c r="BP45" i="116" s="1"/>
  <c r="BQ45" i="116"/>
  <c r="CC45" i="116" s="1"/>
  <c r="Q34" i="113"/>
  <c r="U38" i="116"/>
  <c r="T37" i="116"/>
  <c r="T38" i="116" s="1"/>
  <c r="CM54" i="116"/>
  <c r="U45" i="119"/>
  <c r="EC54" i="116"/>
  <c r="U27" i="119"/>
  <c r="CM36" i="116"/>
  <c r="BG47" i="116"/>
  <c r="BP47" i="116" s="1"/>
  <c r="BQ47" i="116"/>
  <c r="AH42" i="113"/>
  <c r="S41" i="113"/>
  <c r="AH41" i="113" s="1"/>
  <c r="Q173" i="115"/>
  <c r="S27" i="119"/>
  <c r="CK36" i="116"/>
  <c r="AP36" i="115"/>
  <c r="AO45" i="115"/>
  <c r="AO155" i="115" s="1"/>
  <c r="AO159" i="115" s="1"/>
  <c r="AP155" i="115"/>
  <c r="EW45" i="116"/>
  <c r="EM45" i="116"/>
  <c r="EX40" i="116"/>
  <c r="FG40" i="116" s="1"/>
  <c r="BO154" i="115"/>
  <c r="EO37" i="116"/>
  <c r="EM32" i="116"/>
  <c r="EW32" i="116"/>
  <c r="DG32" i="116"/>
  <c r="CW32" i="116"/>
  <c r="AQ36" i="115"/>
  <c r="AQ120" i="115" s="1"/>
  <c r="AQ122" i="115" s="1"/>
  <c r="AQ155" i="115"/>
  <c r="BO214" i="115"/>
  <c r="BO45" i="115"/>
  <c r="FP54" i="116"/>
  <c r="EX44" i="116"/>
  <c r="FG44" i="116" s="1"/>
  <c r="FP44" i="116" s="1"/>
  <c r="EA34" i="116"/>
  <c r="S25" i="119"/>
  <c r="CK34" i="116"/>
  <c r="AN46" i="113"/>
  <c r="AQ46" i="113"/>
  <c r="BF46" i="113" s="1"/>
  <c r="S45" i="113"/>
  <c r="S32" i="113" s="1"/>
  <c r="BF160" i="115"/>
  <c r="BL160" i="115" s="1"/>
  <c r="BL107" i="115"/>
  <c r="DG41" i="116"/>
  <c r="CW41" i="116"/>
  <c r="BE160" i="115"/>
  <c r="BK160" i="115" s="1"/>
  <c r="BK107" i="115"/>
  <c r="BD107" i="115"/>
  <c r="BE48" i="113"/>
  <c r="N31" i="119"/>
  <c r="AM40" i="116"/>
  <c r="P27" i="119"/>
  <c r="BY36" i="116"/>
  <c r="BG41" i="116"/>
  <c r="BP41" i="116" s="1"/>
  <c r="BQ41" i="116"/>
  <c r="DQ36" i="116"/>
  <c r="EW47" i="116"/>
  <c r="EM47" i="116"/>
  <c r="AH43" i="113"/>
  <c r="S253" i="113"/>
  <c r="AH36" i="113"/>
  <c r="AF36" i="113" s="1"/>
  <c r="BG54" i="116"/>
  <c r="BP54" i="116" s="1"/>
  <c r="BQ54" i="116"/>
  <c r="V38" i="116"/>
  <c r="AE37" i="116"/>
  <c r="CD194" i="115"/>
  <c r="CJ194" i="115" s="1"/>
  <c r="BG40" i="116"/>
  <c r="BP40" i="116" s="1"/>
  <c r="CB40" i="116" s="1"/>
  <c r="BQ40" i="116"/>
  <c r="BL60" i="115"/>
  <c r="BD60" i="115"/>
  <c r="BJ60" i="115" s="1"/>
  <c r="M39" i="116"/>
  <c r="V39" i="116" s="1"/>
  <c r="AQ39" i="116"/>
  <c r="S159" i="115"/>
  <c r="AQ43" i="116" s="1"/>
  <c r="S173" i="115"/>
  <c r="S175" i="115" s="1"/>
  <c r="BD61" i="115"/>
  <c r="BJ61" i="115" s="1"/>
  <c r="BK61" i="115"/>
  <c r="Q38" i="113"/>
  <c r="CO37" i="116"/>
  <c r="AP154" i="115"/>
  <c r="O35" i="119"/>
  <c r="AN44" i="116"/>
  <c r="CD44" i="116"/>
  <c r="BN214" i="115"/>
  <c r="BM66" i="115"/>
  <c r="BM214" i="115" s="1"/>
  <c r="BN45" i="115"/>
  <c r="DG45" i="116"/>
  <c r="DP45" i="116" s="1"/>
  <c r="CW45" i="116"/>
  <c r="CX44" i="116"/>
  <c r="CN44" i="116"/>
  <c r="DQ40" i="116"/>
  <c r="CY37" i="116"/>
  <c r="CP38" i="116"/>
  <c r="BJ39" i="115"/>
  <c r="BD148" i="115"/>
  <c r="BJ148" i="115" s="1"/>
  <c r="BJ191" i="115"/>
  <c r="M38" i="119"/>
  <c r="AL47" i="116"/>
  <c r="CB47" i="116"/>
  <c r="Q36" i="113"/>
  <c r="Q40" i="113"/>
  <c r="FP48" i="116"/>
  <c r="DQ45" i="116"/>
  <c r="BM59" i="115"/>
  <c r="BM203" i="115" s="1"/>
  <c r="CB203" i="115" s="1"/>
  <c r="CH203" i="115" s="1"/>
  <c r="DY34" i="116"/>
  <c r="W25" i="119"/>
  <c r="CW40" i="116"/>
  <c r="DG40" i="116"/>
  <c r="AH33" i="113"/>
  <c r="Q46" i="113"/>
  <c r="R45" i="113"/>
  <c r="AG45" i="113" s="1"/>
  <c r="B45" i="113"/>
  <c r="C32" i="113"/>
  <c r="B41" i="113"/>
  <c r="AY38" i="116"/>
  <c r="AX37" i="116"/>
  <c r="AX38" i="116" s="1"/>
  <c r="BH37" i="116"/>
  <c r="R35" i="119"/>
  <c r="CA44" i="116"/>
  <c r="BM191" i="115"/>
  <c r="CB191" i="115" s="1"/>
  <c r="CH191" i="115" s="1"/>
  <c r="BM157" i="115"/>
  <c r="EW41" i="116"/>
  <c r="AD37" i="116"/>
  <c r="U23" i="119"/>
  <c r="CM32" i="116"/>
  <c r="BE45" i="115"/>
  <c r="U32" i="119"/>
  <c r="CM41" i="116"/>
  <c r="N45" i="119"/>
  <c r="AM54" i="116"/>
  <c r="CC54" i="116"/>
  <c r="EM54" i="116"/>
  <c r="EW54" i="116"/>
  <c r="CX48" i="116"/>
  <c r="CN48" i="116"/>
  <c r="BZ32" i="116"/>
  <c r="Q23" i="119"/>
  <c r="M31" i="119"/>
  <c r="AL40" i="116"/>
  <c r="BD214" i="115"/>
  <c r="AL214" i="115"/>
  <c r="L43" i="116"/>
  <c r="B43" i="116"/>
  <c r="CB201" i="115"/>
  <c r="CH201" i="115" s="1"/>
  <c r="BJ201" i="115"/>
  <c r="FG32" i="116"/>
  <c r="FP32" i="116" s="1"/>
  <c r="AM34" i="113"/>
  <c r="AF34" i="113"/>
  <c r="AP34" i="113"/>
  <c r="AN36" i="115"/>
  <c r="BF36" i="115"/>
  <c r="BL36" i="115" s="1"/>
  <c r="T44" i="116"/>
  <c r="AC44" i="116" s="1"/>
  <c r="AD44" i="116"/>
  <c r="BN209" i="115"/>
  <c r="CC209" i="115" s="1"/>
  <c r="CI209" i="115" s="1"/>
  <c r="BM61" i="115"/>
  <c r="BM209" i="115" s="1"/>
  <c r="AG33" i="113"/>
  <c r="Q33" i="113"/>
  <c r="AO219" i="115"/>
  <c r="BD219" i="115" s="1"/>
  <c r="BJ219" i="115" s="1"/>
  <c r="BE214" i="115"/>
  <c r="BK214" i="115" s="1"/>
  <c r="AP219" i="115"/>
  <c r="BE219" i="115" s="1"/>
  <c r="BK219" i="115" s="1"/>
  <c r="BN160" i="115"/>
  <c r="EN44" i="116" s="1"/>
  <c r="BM107" i="115"/>
  <c r="BM160" i="115" s="1"/>
  <c r="BM66" i="113"/>
  <c r="BN48" i="113"/>
  <c r="BM48" i="113" s="1"/>
  <c r="EN31" i="116"/>
  <c r="BF214" i="115"/>
  <c r="BL214" i="115" s="1"/>
  <c r="AQ219" i="115"/>
  <c r="BF219" i="115" s="1"/>
  <c r="BL219" i="115" s="1"/>
  <c r="DH32" i="116"/>
  <c r="BH44" i="116"/>
  <c r="AX44" i="116"/>
  <c r="EX45" i="116"/>
  <c r="FG45" i="116" s="1"/>
  <c r="AX48" i="116"/>
  <c r="BH48" i="116"/>
  <c r="BG48" i="116" s="1"/>
  <c r="EM40" i="116"/>
  <c r="EW40" i="116"/>
  <c r="BM156" i="115"/>
  <c r="BM190" i="115"/>
  <c r="CB190" i="115" s="1"/>
  <c r="CH190" i="115" s="1"/>
  <c r="CB32" i="116"/>
  <c r="CH174" i="115"/>
  <c r="CB175" i="115"/>
  <c r="CH175" i="115" s="1"/>
  <c r="CB209" i="115"/>
  <c r="CH209" i="115" s="1"/>
  <c r="BJ209" i="115"/>
  <c r="D32" i="113"/>
  <c r="N32" i="119"/>
  <c r="AM41" i="116"/>
  <c r="CC41" i="116"/>
  <c r="DG31" i="116"/>
  <c r="CW31" i="116"/>
  <c r="CW54" i="116"/>
  <c r="DG54" i="116"/>
  <c r="DF54" i="116" s="1"/>
  <c r="BJ117" i="115"/>
  <c r="BD170" i="115"/>
  <c r="BJ170" i="115" s="1"/>
  <c r="BZ36" i="116"/>
  <c r="Q27" i="119"/>
  <c r="AG47" i="113"/>
  <c r="Q47" i="113"/>
  <c r="AH40" i="113"/>
  <c r="AC37" i="116"/>
  <c r="DZ47" i="116"/>
  <c r="X38" i="119"/>
  <c r="EC47" i="116"/>
  <c r="FE34" i="116"/>
  <c r="FN34" i="116" s="1"/>
  <c r="FO34" i="116"/>
  <c r="T25" i="119"/>
  <c r="CL34" i="116"/>
  <c r="EB34" i="116"/>
  <c r="M43" i="116"/>
  <c r="V43" i="116" s="1"/>
  <c r="AH155" i="115"/>
  <c r="AN45" i="115"/>
  <c r="BF45" i="115"/>
  <c r="AM38" i="113"/>
  <c r="AF38" i="113"/>
  <c r="AP38" i="113"/>
  <c r="AH44" i="113"/>
  <c r="S254" i="113"/>
  <c r="BK43" i="115"/>
  <c r="BE44" i="115"/>
  <c r="BK44" i="115" s="1"/>
  <c r="BD43" i="115"/>
  <c r="BE153" i="115"/>
  <c r="AO44" i="115"/>
  <c r="AO153" i="115"/>
  <c r="BN44" i="115"/>
  <c r="BM43" i="115"/>
  <c r="BN153" i="115"/>
  <c r="R36" i="119"/>
  <c r="CA45" i="116"/>
  <c r="CD45" i="116"/>
  <c r="X32" i="119"/>
  <c r="EM41" i="116"/>
  <c r="EX41" i="116"/>
  <c r="FG41" i="116" s="1"/>
  <c r="N38" i="119"/>
  <c r="AM47" i="116"/>
  <c r="CC47" i="116"/>
  <c r="BG31" i="116"/>
  <c r="BP31" i="116" s="1"/>
  <c r="BQ31" i="116"/>
  <c r="AM43" i="113"/>
  <c r="AG253" i="113"/>
  <c r="AM253" i="113" s="1"/>
  <c r="AF43" i="113"/>
  <c r="AP43" i="113"/>
  <c r="BE43" i="113" s="1"/>
  <c r="R41" i="113"/>
  <c r="Q41" i="113" s="1"/>
  <c r="R253" i="113"/>
  <c r="Q43" i="113"/>
  <c r="Q253" i="113" s="1"/>
  <c r="AM36" i="113"/>
  <c r="AP36" i="113"/>
  <c r="AH47" i="113"/>
  <c r="AM40" i="113"/>
  <c r="AF40" i="113"/>
  <c r="AP40" i="113"/>
  <c r="DZ48" i="116"/>
  <c r="X39" i="119"/>
  <c r="DZ44" i="116"/>
  <c r="X35" i="119"/>
  <c r="AZ38" i="116"/>
  <c r="BI37" i="116"/>
  <c r="AD12" i="65"/>
  <c r="AC11" i="65"/>
  <c r="AC10" i="65" s="1"/>
  <c r="AC36" i="65" s="1"/>
  <c r="AC39" i="65" s="1"/>
  <c r="M32" i="119"/>
  <c r="AL41" i="116"/>
  <c r="CB41" i="116"/>
  <c r="N36" i="119"/>
  <c r="AM45" i="116"/>
  <c r="CC32" i="116"/>
  <c r="AM46" i="113"/>
  <c r="AF46" i="113"/>
  <c r="AP46" i="113"/>
  <c r="AG44" i="113"/>
  <c r="R254" i="113"/>
  <c r="Q44" i="113"/>
  <c r="Q254" i="113" s="1"/>
  <c r="AG42" i="113"/>
  <c r="Q42" i="113"/>
  <c r="AO38" i="116"/>
  <c r="BJ70" i="113"/>
  <c r="BD232" i="113"/>
  <c r="BJ232" i="113" s="1"/>
  <c r="AG159" i="115"/>
  <c r="AM159" i="115" s="1"/>
  <c r="AM155" i="115"/>
  <c r="AF45" i="115"/>
  <c r="DP36" i="116"/>
  <c r="AW10" i="8"/>
  <c r="I71" i="56"/>
  <c r="N71" i="56" s="1"/>
  <c r="N81" i="56" s="1"/>
  <c r="D73" i="56"/>
  <c r="I17" i="65"/>
  <c r="N17" i="65" s="1"/>
  <c r="B11" i="102"/>
  <c r="D11" i="102" s="1"/>
  <c r="AJ60" i="8"/>
  <c r="O11" i="70"/>
  <c r="O12" i="70" s="1"/>
  <c r="O20" i="70" s="1"/>
  <c r="K17" i="65"/>
  <c r="AH25" i="6"/>
  <c r="AH45" i="6" s="1"/>
  <c r="AG14" i="5"/>
  <c r="AG45" i="5" s="1"/>
  <c r="AG46" i="5" s="1"/>
  <c r="AF17" i="5"/>
  <c r="AA30" i="17"/>
  <c r="K14" i="61"/>
  <c r="V33" i="10"/>
  <c r="V34" i="10" s="1"/>
  <c r="P27" i="10"/>
  <c r="P20" i="72"/>
  <c r="AP20" i="72" s="1"/>
  <c r="AN57" i="72" s="1"/>
  <c r="P21" i="72"/>
  <c r="P22" i="72" s="1"/>
  <c r="AP22" i="72" s="1"/>
  <c r="AN59" i="72" s="1"/>
  <c r="P26" i="72"/>
  <c r="P25" i="72"/>
  <c r="AB9" i="72"/>
  <c r="AB21" i="72"/>
  <c r="AB11" i="72" s="1"/>
  <c r="AC11" i="72" s="1"/>
  <c r="AC13" i="72" s="1"/>
  <c r="S25" i="72"/>
  <c r="S26" i="72"/>
  <c r="AP26" i="72" s="1"/>
  <c r="AB14" i="72"/>
  <c r="AB15" i="72"/>
  <c r="Z15" i="72" s="1"/>
  <c r="AA15" i="72" s="1"/>
  <c r="AJ63" i="72"/>
  <c r="AQ63" i="72" s="1"/>
  <c r="AJ62" i="72"/>
  <c r="AQ62" i="72" s="1"/>
  <c r="AQ60" i="72"/>
  <c r="AJ32" i="8"/>
  <c r="D10" i="10"/>
  <c r="D15" i="10"/>
  <c r="H61" i="7"/>
  <c r="AB66" i="7"/>
  <c r="AB140" i="7" s="1"/>
  <c r="AP66" i="7"/>
  <c r="AQ66" i="7" s="1"/>
  <c r="AR66" i="7" s="1"/>
  <c r="AS66" i="7" s="1"/>
  <c r="J65" i="7"/>
  <c r="AM69" i="7"/>
  <c r="N11" i="70"/>
  <c r="AI69" i="7"/>
  <c r="AB13" i="7"/>
  <c r="AG50" i="5"/>
  <c r="BD42" i="7" s="1"/>
  <c r="BF42" i="7" s="1"/>
  <c r="BG42" i="7" s="1"/>
  <c r="AG49" i="5"/>
  <c r="BD34" i="7" s="1"/>
  <c r="BF34" i="7" s="1"/>
  <c r="BG34" i="7" s="1"/>
  <c r="AG48" i="5"/>
  <c r="BD26" i="7" s="1"/>
  <c r="BF26" i="7" s="1"/>
  <c r="AG47" i="5"/>
  <c r="BD16" i="7" s="1"/>
  <c r="P46" i="5"/>
  <c r="U51" i="5"/>
  <c r="AA51" i="5" s="1"/>
  <c r="AA47" i="5" s="1"/>
  <c r="F14" i="61"/>
  <c r="U53" i="5"/>
  <c r="AA53" i="5" s="1"/>
  <c r="AA49" i="5" s="1"/>
  <c r="U52" i="5"/>
  <c r="AA52" i="5" s="1"/>
  <c r="AA48" i="5" s="1"/>
  <c r="Z16" i="7"/>
  <c r="R16" i="7"/>
  <c r="X39" i="19"/>
  <c r="X24" i="19"/>
  <c r="AO11" i="19"/>
  <c r="X29" i="19"/>
  <c r="X40" i="19"/>
  <c r="W30" i="19"/>
  <c r="W27" i="19"/>
  <c r="AF27" i="19" s="1"/>
  <c r="W24" i="19"/>
  <c r="P8" i="70" s="1"/>
  <c r="W23" i="19"/>
  <c r="AF23" i="19" s="1"/>
  <c r="W34" i="19"/>
  <c r="H52" i="8"/>
  <c r="C23" i="63"/>
  <c r="B24" i="63"/>
  <c r="B25" i="63" s="1"/>
  <c r="S25" i="9"/>
  <c r="AF29" i="8"/>
  <c r="BA10" i="8"/>
  <c r="AW32" i="8"/>
  <c r="AJ10" i="8"/>
  <c r="BA20" i="8"/>
  <c r="V26" i="17"/>
  <c r="F51" i="8"/>
  <c r="AR69" i="7"/>
  <c r="AS69" i="7" s="1"/>
  <c r="M61" i="7"/>
  <c r="AI123" i="7"/>
  <c r="AP25" i="9"/>
  <c r="D52" i="8"/>
  <c r="D55" i="8"/>
  <c r="B12" i="32"/>
  <c r="D12" i="32" s="1"/>
  <c r="D13" i="32" s="1"/>
  <c r="F52" i="8"/>
  <c r="F55" i="8" s="1"/>
  <c r="Y30" i="8"/>
  <c r="AF30" i="8" s="1"/>
  <c r="BA32" i="8"/>
  <c r="Z61" i="19"/>
  <c r="T50" i="19"/>
  <c r="BA37" i="17"/>
  <c r="BL24" i="17"/>
  <c r="BT24" i="17"/>
  <c r="AO29" i="11"/>
  <c r="BG29" i="11"/>
  <c r="BA29" i="11"/>
  <c r="T13" i="7"/>
  <c r="U13" i="7" s="1"/>
  <c r="X9" i="19"/>
  <c r="AK20" i="8"/>
  <c r="X28" i="19"/>
  <c r="X19" i="19"/>
  <c r="X22" i="19"/>
  <c r="W11" i="19"/>
  <c r="AW20" i="8"/>
  <c r="Y92" i="8"/>
  <c r="AF92" i="8" s="1"/>
  <c r="AO22" i="8"/>
  <c r="AO75" i="8" s="1"/>
  <c r="BC32" i="11"/>
  <c r="BB32" i="11"/>
  <c r="BN33" i="17"/>
  <c r="BC33" i="17"/>
  <c r="BT33" i="17"/>
  <c r="BL33" i="17"/>
  <c r="O83" i="56"/>
  <c r="AV37" i="17"/>
  <c r="BH37" i="17" s="1"/>
  <c r="BH24" i="17"/>
  <c r="AY24" i="17"/>
  <c r="H71" i="56"/>
  <c r="H81" i="56" s="1"/>
  <c r="C81" i="56"/>
  <c r="AA14" i="7"/>
  <c r="Q52" i="9"/>
  <c r="Y9" i="8" s="1"/>
  <c r="Q14" i="7"/>
  <c r="T14" i="7" s="1"/>
  <c r="U14" i="7" s="1"/>
  <c r="AF12" i="19"/>
  <c r="X37" i="19"/>
  <c r="O40" i="8"/>
  <c r="BC31" i="17"/>
  <c r="AK35" i="8"/>
  <c r="X30" i="19"/>
  <c r="X27" i="19"/>
  <c r="X13" i="19"/>
  <c r="X43" i="19"/>
  <c r="X44" i="19"/>
  <c r="X16" i="19"/>
  <c r="T11" i="19"/>
  <c r="AC50" i="19"/>
  <c r="AH60" i="19" s="1"/>
  <c r="D45" i="5"/>
  <c r="BA35" i="8"/>
  <c r="AF60" i="8"/>
  <c r="BP26" i="17"/>
  <c r="BO26" i="17"/>
  <c r="BB23" i="7" s="1"/>
  <c r="BB24" i="7" s="1"/>
  <c r="O71" i="56"/>
  <c r="O81" i="56" s="1"/>
  <c r="I81" i="56"/>
  <c r="I73" i="56"/>
  <c r="N73" i="56" s="1"/>
  <c r="N72" i="56" s="1"/>
  <c r="B74" i="56"/>
  <c r="C73" i="56"/>
  <c r="K12" i="21"/>
  <c r="I16" i="21"/>
  <c r="J12" i="21" s="1"/>
  <c r="AC58" i="3"/>
  <c r="B71" i="56"/>
  <c r="AO33" i="11"/>
  <c r="BG33" i="11"/>
  <c r="BA33" i="11"/>
  <c r="O34" i="10"/>
  <c r="BB42" i="11"/>
  <c r="BA30" i="11"/>
  <c r="BC42" i="11"/>
  <c r="BP28" i="17"/>
  <c r="BO28" i="17"/>
  <c r="AZ39" i="7" s="1"/>
  <c r="BB39" i="7" s="1"/>
  <c r="R13" i="7"/>
  <c r="X33" i="19"/>
  <c r="X32" i="19"/>
  <c r="AI74" i="8"/>
  <c r="AW74" i="8" s="1"/>
  <c r="BB31" i="11"/>
  <c r="BG31" i="11"/>
  <c r="AD12" i="6"/>
  <c r="O25" i="6"/>
  <c r="AD8" i="17"/>
  <c r="Y65" i="7"/>
  <c r="AY30" i="17"/>
  <c r="AP8" i="17"/>
  <c r="AM8" i="17" s="1"/>
  <c r="AN8" i="17" s="1"/>
  <c r="N28" i="21"/>
  <c r="P28" i="21" s="1"/>
  <c r="Y52" i="8"/>
  <c r="Y87" i="8" s="1"/>
  <c r="AF87" i="8" s="1"/>
  <c r="AA24" i="17"/>
  <c r="Y37" i="17"/>
  <c r="X10" i="19"/>
  <c r="X20" i="19"/>
  <c r="X23" i="19"/>
  <c r="X47" i="19"/>
  <c r="X34" i="19"/>
  <c r="X11" i="19"/>
  <c r="AW35" i="8"/>
  <c r="AM60" i="8"/>
  <c r="AG25" i="6"/>
  <c r="BT31" i="17"/>
  <c r="BN31" i="17"/>
  <c r="BL31" i="17"/>
  <c r="BB31" i="17"/>
  <c r="Q23" i="8"/>
  <c r="P24" i="8"/>
  <c r="S24" i="8" s="1"/>
  <c r="T24" i="8" s="1"/>
  <c r="R23" i="8"/>
  <c r="BT32" i="17"/>
  <c r="BN32" i="17"/>
  <c r="BL32" i="17"/>
  <c r="BB32" i="17"/>
  <c r="AI23" i="8" s="1"/>
  <c r="BP25" i="17"/>
  <c r="BO25" i="17"/>
  <c r="D83" i="56"/>
  <c r="D84" i="56"/>
  <c r="P71" i="56"/>
  <c r="P81" i="56" s="1"/>
  <c r="BT27" i="17"/>
  <c r="BN27" i="17"/>
  <c r="BL27" i="17"/>
  <c r="BC27" i="17"/>
  <c r="BP34" i="17"/>
  <c r="BO34" i="17"/>
  <c r="AV38" i="8" s="1"/>
  <c r="AX38" i="8" s="1"/>
  <c r="AX39" i="8" s="1"/>
  <c r="AG12" i="19"/>
  <c r="AN12" i="19"/>
  <c r="AD18" i="6"/>
  <c r="K48" i="6"/>
  <c r="K26" i="8" s="1"/>
  <c r="K17" i="8" s="1"/>
  <c r="AG18" i="6"/>
  <c r="AC17" i="5"/>
  <c r="AF11" i="5"/>
  <c r="AF26" i="5"/>
  <c r="M13" i="21"/>
  <c r="H25" i="21"/>
  <c r="I25" i="21" s="1"/>
  <c r="N25" i="21"/>
  <c r="W61" i="8"/>
  <c r="W62" i="8" s="1"/>
  <c r="AL80" i="8"/>
  <c r="AL87" i="8"/>
  <c r="AM42" i="8"/>
  <c r="AM80" i="8" s="1"/>
  <c r="Z80" i="8"/>
  <c r="AI80" i="8"/>
  <c r="BA42" i="8"/>
  <c r="AV42" i="8"/>
  <c r="AW45" i="8"/>
  <c r="AJ85" i="8"/>
  <c r="AW85" i="8"/>
  <c r="BA85" i="8"/>
  <c r="W93" i="8"/>
  <c r="W94" i="8" s="1"/>
  <c r="W91" i="8"/>
  <c r="E55" i="8"/>
  <c r="H55" i="8" s="1"/>
  <c r="D51" i="8"/>
  <c r="AK80" i="8"/>
  <c r="AG62" i="8"/>
  <c r="AJ92" i="8"/>
  <c r="BA92" i="8"/>
  <c r="AW92" i="8"/>
  <c r="AO46" i="8"/>
  <c r="AO81" i="8" s="1"/>
  <c r="AN81" i="8"/>
  <c r="S22" i="8"/>
  <c r="T22" i="8" s="1"/>
  <c r="L51" i="8"/>
  <c r="L55" i="8" s="1"/>
  <c r="M55" i="8" s="1"/>
  <c r="Q52" i="8"/>
  <c r="N37" i="8"/>
  <c r="O37" i="8" s="1"/>
  <c r="BA38" i="8"/>
  <c r="AD136" i="7"/>
  <c r="AI13" i="7"/>
  <c r="AI136" i="7"/>
  <c r="AH135" i="7"/>
  <c r="AB123" i="7"/>
  <c r="AL28" i="7"/>
  <c r="AM28" i="7" s="1"/>
  <c r="AN124" i="7"/>
  <c r="Y141" i="7"/>
  <c r="Y139" i="7"/>
  <c r="AK144" i="7"/>
  <c r="AK145" i="7" s="1"/>
  <c r="AK142" i="7"/>
  <c r="AJ139" i="7"/>
  <c r="AJ141" i="7"/>
  <c r="F61" i="7"/>
  <c r="Y68" i="7"/>
  <c r="BE54" i="7"/>
  <c r="BA54" i="7"/>
  <c r="P26" i="21"/>
  <c r="BC26" i="17"/>
  <c r="AQ20" i="7"/>
  <c r="AR20" i="7" s="1"/>
  <c r="AS20" i="7" s="1"/>
  <c r="BA28" i="7"/>
  <c r="AM20" i="7"/>
  <c r="BE20" i="7"/>
  <c r="BA20" i="7"/>
  <c r="BP41" i="8"/>
  <c r="G65" i="7"/>
  <c r="S23" i="8"/>
  <c r="T23" i="8" s="1"/>
  <c r="S18" i="8"/>
  <c r="T18" i="8" s="1"/>
  <c r="S20" i="8"/>
  <c r="T20" i="8" s="1"/>
  <c r="S19" i="8"/>
  <c r="T19" i="8" s="1"/>
  <c r="R52" i="8"/>
  <c r="R27" i="8"/>
  <c r="Y70" i="7"/>
  <c r="Y71" i="7" s="1"/>
  <c r="P61" i="7"/>
  <c r="AC30" i="7"/>
  <c r="AD30" i="7" s="1"/>
  <c r="AI39" i="7"/>
  <c r="P19" i="7"/>
  <c r="P17" i="7" s="1"/>
  <c r="AB40" i="7"/>
  <c r="AL23" i="7"/>
  <c r="AB39" i="7"/>
  <c r="AP39" i="7"/>
  <c r="P40" i="7"/>
  <c r="P41" i="7" s="1"/>
  <c r="O41" i="7"/>
  <c r="F45" i="5"/>
  <c r="R45" i="5"/>
  <c r="R46" i="5" s="1"/>
  <c r="Q45" i="5"/>
  <c r="H45" i="5"/>
  <c r="G42" i="7"/>
  <c r="V45" i="5"/>
  <c r="V46" i="5" s="1"/>
  <c r="U46" i="5"/>
  <c r="AB45" i="5"/>
  <c r="M45" i="5"/>
  <c r="M46" i="5" s="1"/>
  <c r="W45" i="5"/>
  <c r="W46" i="5" s="1"/>
  <c r="O45" i="5"/>
  <c r="O46" i="5" s="1"/>
  <c r="N50" i="5"/>
  <c r="P49" i="5"/>
  <c r="Q34" i="7" s="1"/>
  <c r="T34" i="7" s="1"/>
  <c r="U34" i="7" s="1"/>
  <c r="BA62" i="9"/>
  <c r="AC38" i="7"/>
  <c r="AD38" i="7" s="1"/>
  <c r="AC48" i="3"/>
  <c r="Q19" i="8"/>
  <c r="P33" i="10"/>
  <c r="G34" i="10"/>
  <c r="Z60" i="19"/>
  <c r="AF48" i="19"/>
  <c r="H50" i="19"/>
  <c r="M50" i="19"/>
  <c r="W31" i="19"/>
  <c r="AF31" i="19" s="1"/>
  <c r="W25" i="19"/>
  <c r="W38" i="19"/>
  <c r="AF38" i="19" s="1"/>
  <c r="W17" i="19"/>
  <c r="AF17" i="19" s="1"/>
  <c r="W10" i="19"/>
  <c r="W46" i="19"/>
  <c r="W28" i="19"/>
  <c r="AF28" i="19" s="1"/>
  <c r="X48" i="19"/>
  <c r="AE48" i="19" s="1"/>
  <c r="X21" i="19"/>
  <c r="X38" i="19"/>
  <c r="X42" i="19"/>
  <c r="X46" i="19"/>
  <c r="X8" i="19"/>
  <c r="X18" i="19"/>
  <c r="X31" i="19"/>
  <c r="X36" i="19"/>
  <c r="AF42" i="19"/>
  <c r="AF41" i="19"/>
  <c r="AF8" i="19"/>
  <c r="AF39" i="19"/>
  <c r="U34" i="17"/>
  <c r="Y38" i="8" s="1"/>
  <c r="AX34" i="17"/>
  <c r="V34" i="17"/>
  <c r="N13" i="9"/>
  <c r="K13" i="9"/>
  <c r="AN42" i="8"/>
  <c r="AI10" i="17"/>
  <c r="AJ10" i="17"/>
  <c r="R32" i="7"/>
  <c r="R33" i="7" s="1"/>
  <c r="Z32" i="7"/>
  <c r="S32" i="7"/>
  <c r="S33" i="7" s="1"/>
  <c r="Q33" i="7"/>
  <c r="AX26" i="17"/>
  <c r="U26" i="17"/>
  <c r="W26" i="17"/>
  <c r="J27" i="21"/>
  <c r="K27" i="21"/>
  <c r="AP14" i="17"/>
  <c r="AM14" i="17" s="1"/>
  <c r="P13" i="8"/>
  <c r="AF23" i="8"/>
  <c r="Y24" i="8"/>
  <c r="AI40" i="7"/>
  <c r="AA41" i="7"/>
  <c r="AA11" i="9"/>
  <c r="H45" i="6"/>
  <c r="R19" i="8"/>
  <c r="BC34" i="17"/>
  <c r="AF18" i="19"/>
  <c r="AF26" i="19"/>
  <c r="AF30" i="19"/>
  <c r="O51" i="8"/>
  <c r="AA32" i="7"/>
  <c r="AC32" i="7" s="1"/>
  <c r="AD32" i="7" s="1"/>
  <c r="AP31" i="7"/>
  <c r="AB31" i="7"/>
  <c r="AI31" i="7"/>
  <c r="I55" i="8"/>
  <c r="I58" i="8"/>
  <c r="N59" i="8" s="1"/>
  <c r="R40" i="7"/>
  <c r="R41" i="7" s="1"/>
  <c r="Q41" i="7"/>
  <c r="S40" i="7"/>
  <c r="S41" i="7" s="1"/>
  <c r="Z40" i="7"/>
  <c r="J30" i="21"/>
  <c r="K30" i="21"/>
  <c r="V31" i="17"/>
  <c r="AX31" i="17"/>
  <c r="U31" i="17"/>
  <c r="AI29" i="8"/>
  <c r="AF33" i="19"/>
  <c r="AF29" i="19"/>
  <c r="AF21" i="19"/>
  <c r="AF22" i="19"/>
  <c r="AF35" i="19"/>
  <c r="AF20" i="19"/>
  <c r="AF37" i="19"/>
  <c r="AF19" i="19"/>
  <c r="AF34" i="19"/>
  <c r="AF32" i="19"/>
  <c r="AF16" i="19"/>
  <c r="AF36" i="19"/>
  <c r="AG14" i="19"/>
  <c r="AK71" i="7"/>
  <c r="AJ42" i="8"/>
  <c r="R34" i="8"/>
  <c r="AO30" i="17"/>
  <c r="AF24" i="19"/>
  <c r="AI64" i="7"/>
  <c r="G43" i="3"/>
  <c r="P54" i="9"/>
  <c r="T54" i="9" s="1"/>
  <c r="T16" i="7"/>
  <c r="U16" i="7" s="1"/>
  <c r="AC37" i="7"/>
  <c r="AD37" i="7" s="1"/>
  <c r="D64" i="7"/>
  <c r="AJ61" i="9"/>
  <c r="AQ61" i="9" s="1"/>
  <c r="L46" i="11"/>
  <c r="O65" i="7"/>
  <c r="AC40" i="7"/>
  <c r="AD40" i="7" s="1"/>
  <c r="V60" i="9"/>
  <c r="S74" i="7"/>
  <c r="P74" i="7" s="1"/>
  <c r="AC36" i="7"/>
  <c r="AP64" i="7"/>
  <c r="AQ64" i="7" s="1"/>
  <c r="AS64" i="7" s="1"/>
  <c r="AP26" i="9"/>
  <c r="AC10" i="7"/>
  <c r="AQ10" i="7" s="1"/>
  <c r="AR10" i="7" s="1"/>
  <c r="AS10" i="7" s="1"/>
  <c r="AC39" i="7"/>
  <c r="O68" i="7"/>
  <c r="AC28" i="7"/>
  <c r="AC11" i="7"/>
  <c r="AD11" i="7" s="1"/>
  <c r="AC53" i="7"/>
  <c r="AD53" i="7" s="1"/>
  <c r="Q96" i="7"/>
  <c r="AC52" i="7"/>
  <c r="AQ52" i="7" s="1"/>
  <c r="O58" i="3"/>
  <c r="AI52" i="8"/>
  <c r="AI87" i="8" s="1"/>
  <c r="AM46" i="11"/>
  <c r="AL42" i="11" s="1"/>
  <c r="AP42" i="11" s="1"/>
  <c r="AP45" i="11" s="1"/>
  <c r="AI19" i="8" s="1"/>
  <c r="AI78" i="8" s="1"/>
  <c r="H64" i="7"/>
  <c r="F64" i="7"/>
  <c r="AN64" i="7"/>
  <c r="M43" i="3"/>
  <c r="M47" i="3" s="1"/>
  <c r="BB27" i="3"/>
  <c r="W36" i="7"/>
  <c r="W39" i="7"/>
  <c r="X39" i="7" s="1"/>
  <c r="W13" i="7"/>
  <c r="X13" i="7" s="1"/>
  <c r="W31" i="7"/>
  <c r="X31" i="7" s="1"/>
  <c r="W10" i="7"/>
  <c r="X10" i="7" s="1"/>
  <c r="W56" i="7"/>
  <c r="X56" i="7" s="1"/>
  <c r="W29" i="7"/>
  <c r="W9" i="7"/>
  <c r="AC31" i="7"/>
  <c r="BA60" i="9"/>
  <c r="E65" i="7"/>
  <c r="T9" i="7"/>
  <c r="U9" i="7" s="1"/>
  <c r="O48" i="3"/>
  <c r="AC29" i="7"/>
  <c r="AQ29" i="7" s="1"/>
  <c r="AC12" i="7"/>
  <c r="AB64" i="7"/>
  <c r="AB136" i="7" s="1"/>
  <c r="L42" i="11"/>
  <c r="AC13" i="7"/>
  <c r="AQ13" i="7" s="1"/>
  <c r="AK52" i="8"/>
  <c r="G44" i="3"/>
  <c r="E80" i="7"/>
  <c r="E82" i="7" s="1"/>
  <c r="T10" i="7"/>
  <c r="U10" i="7" s="1"/>
  <c r="T51" i="7"/>
  <c r="T52" i="7"/>
  <c r="U52" i="7" s="1"/>
  <c r="T40" i="7"/>
  <c r="T32" i="7"/>
  <c r="T29" i="7"/>
  <c r="U29" i="7" s="1"/>
  <c r="T36" i="7"/>
  <c r="U36" i="7" s="1"/>
  <c r="T28" i="7"/>
  <c r="U28" i="7" s="1"/>
  <c r="T12" i="7"/>
  <c r="U12" i="7" s="1"/>
  <c r="S64" i="7"/>
  <c r="T54" i="7"/>
  <c r="U54" i="7" s="1"/>
  <c r="R64" i="7"/>
  <c r="T56" i="7"/>
  <c r="U56" i="7" s="1"/>
  <c r="T39" i="7"/>
  <c r="U39" i="7" s="1"/>
  <c r="T31" i="7"/>
  <c r="U31" i="7" s="1"/>
  <c r="D21" i="32"/>
  <c r="B24" i="32"/>
  <c r="Z64" i="7"/>
  <c r="E44" i="3"/>
  <c r="E38" i="3"/>
  <c r="M56" i="72" s="1"/>
  <c r="M57" i="72" s="1"/>
  <c r="V57" i="72" s="1"/>
  <c r="M58" i="9"/>
  <c r="M59" i="9" s="1"/>
  <c r="V59" i="9" s="1"/>
  <c r="E47" i="3"/>
  <c r="F43" i="3"/>
  <c r="G40" i="11"/>
  <c r="B65" i="7"/>
  <c r="D65" i="7" s="1"/>
  <c r="F14" i="3"/>
  <c r="N32" i="21"/>
  <c r="AC51" i="19"/>
  <c r="AI28" i="8"/>
  <c r="AM28" i="8"/>
  <c r="AM75" i="8" s="1"/>
  <c r="V68" i="7"/>
  <c r="V65" i="7"/>
  <c r="AM54" i="7"/>
  <c r="Q24" i="35"/>
  <c r="E27" i="3"/>
  <c r="F9" i="3"/>
  <c r="F27" i="3" s="1"/>
  <c r="G16" i="11"/>
  <c r="AZ27" i="3"/>
  <c r="BA9" i="3"/>
  <c r="AH16" i="11"/>
  <c r="AB19" i="9"/>
  <c r="AJ70" i="7"/>
  <c r="AJ68" i="7"/>
  <c r="AH61" i="7"/>
  <c r="AJ65" i="7"/>
  <c r="AJ67" i="7"/>
  <c r="U55" i="8"/>
  <c r="U58" i="8"/>
  <c r="L65" i="7"/>
  <c r="N61" i="7"/>
  <c r="Q31" i="8"/>
  <c r="Q27" i="8" s="1"/>
  <c r="C16" i="11"/>
  <c r="D9" i="3"/>
  <c r="G27" i="3"/>
  <c r="H9" i="3"/>
  <c r="P19" i="9"/>
  <c r="L16" i="11"/>
  <c r="K28" i="21"/>
  <c r="F28" i="21"/>
  <c r="AL52" i="9"/>
  <c r="AL54" i="9"/>
  <c r="Y75" i="7"/>
  <c r="Z75" i="7"/>
  <c r="Z77" i="7" s="1"/>
  <c r="N55" i="34"/>
  <c r="L55" i="34"/>
  <c r="J55" i="34"/>
  <c r="H55" i="34"/>
  <c r="F55" i="34"/>
  <c r="O55" i="34"/>
  <c r="M55" i="34"/>
  <c r="K55" i="34"/>
  <c r="I55" i="34"/>
  <c r="G55" i="34"/>
  <c r="E55" i="34"/>
  <c r="F27" i="21"/>
  <c r="F14" i="21"/>
  <c r="F31" i="21"/>
  <c r="F12" i="21"/>
  <c r="F11" i="21"/>
  <c r="F13" i="21"/>
  <c r="F30" i="21"/>
  <c r="F15" i="21"/>
  <c r="F25" i="21"/>
  <c r="Z58" i="19"/>
  <c r="F23" i="36" s="1"/>
  <c r="F25" i="36" s="1"/>
  <c r="Z59" i="19"/>
  <c r="Z57" i="19"/>
  <c r="I65" i="7"/>
  <c r="I68" i="7"/>
  <c r="M68" i="7" s="1"/>
  <c r="M27" i="3"/>
  <c r="Y16" i="11"/>
  <c r="BA14" i="3"/>
  <c r="F10" i="21"/>
  <c r="F29" i="21"/>
  <c r="D14" i="3"/>
  <c r="F26" i="21"/>
  <c r="K47" i="6"/>
  <c r="K16" i="8" s="1"/>
  <c r="K8" i="8" s="1"/>
  <c r="K50" i="6"/>
  <c r="K41" i="8" s="1"/>
  <c r="K34" i="8" s="1"/>
  <c r="K49" i="6"/>
  <c r="K33" i="8" s="1"/>
  <c r="K27" i="8" s="1"/>
  <c r="AD25" i="6"/>
  <c r="O45" i="6"/>
  <c r="O46" i="6" s="1"/>
  <c r="X45" i="6"/>
  <c r="X48" i="6" s="1"/>
  <c r="W45" i="6"/>
  <c r="W46" i="6" s="1"/>
  <c r="P46" i="6"/>
  <c r="Q45" i="6"/>
  <c r="Q46" i="6" s="1"/>
  <c r="M45" i="6"/>
  <c r="M46" i="6" s="1"/>
  <c r="H41" i="8"/>
  <c r="M41" i="8"/>
  <c r="G37" i="8"/>
  <c r="X49" i="6"/>
  <c r="AC45" i="6"/>
  <c r="L46" i="5"/>
  <c r="L48" i="5" s="1"/>
  <c r="AA50" i="5"/>
  <c r="T26" i="7"/>
  <c r="Z26" i="7"/>
  <c r="R26" i="7"/>
  <c r="K49" i="5"/>
  <c r="K34" i="7" s="1"/>
  <c r="K27" i="7" s="1"/>
  <c r="L49" i="5"/>
  <c r="K48" i="5"/>
  <c r="K26" i="7" s="1"/>
  <c r="K17" i="7" s="1"/>
  <c r="K47" i="5"/>
  <c r="K16" i="7" s="1"/>
  <c r="K8" i="7" s="1"/>
  <c r="L50" i="5"/>
  <c r="K50" i="5"/>
  <c r="K42" i="7" s="1"/>
  <c r="K35" i="7" s="1"/>
  <c r="AC26" i="5"/>
  <c r="Q46" i="5"/>
  <c r="AL48" i="9"/>
  <c r="AL50" i="9"/>
  <c r="K79" i="9"/>
  <c r="N17" i="9"/>
  <c r="K17" i="9"/>
  <c r="L69" i="9"/>
  <c r="AQ62" i="9"/>
  <c r="AC14" i="9"/>
  <c r="Z86" i="7"/>
  <c r="T100" i="7" s="1"/>
  <c r="AA84" i="7"/>
  <c r="AA83" i="7" s="1"/>
  <c r="Z24" i="7"/>
  <c r="S24" i="7"/>
  <c r="S25" i="7" s="1"/>
  <c r="T24" i="7"/>
  <c r="T25" i="7" s="1"/>
  <c r="Q25" i="7"/>
  <c r="R24" i="7"/>
  <c r="R25" i="7" s="1"/>
  <c r="Q40" i="8"/>
  <c r="Q34" i="8"/>
  <c r="DO36" i="116" l="1"/>
  <c r="DX36" i="116" s="1"/>
  <c r="V27" i="119"/>
  <c r="EA36" i="116"/>
  <c r="AE43" i="116"/>
  <c r="EC41" i="116"/>
  <c r="FP40" i="116"/>
  <c r="FP41" i="116"/>
  <c r="BP48" i="116"/>
  <c r="P39" i="119" s="1"/>
  <c r="DF45" i="116"/>
  <c r="DO45" i="116" s="1"/>
  <c r="DO54" i="116"/>
  <c r="DX54" i="116" s="1"/>
  <c r="AH45" i="113"/>
  <c r="BE253" i="113"/>
  <c r="BK253" i="113" s="1"/>
  <c r="BK43" i="113"/>
  <c r="AM45" i="113"/>
  <c r="AF45" i="113"/>
  <c r="AL45" i="113" s="1"/>
  <c r="AP45" i="113"/>
  <c r="BE45" i="113" s="1"/>
  <c r="BL46" i="113"/>
  <c r="BY48" i="116"/>
  <c r="FY32" i="116"/>
  <c r="AD23" i="119"/>
  <c r="AG45" i="6"/>
  <c r="W27" i="119"/>
  <c r="DY36" i="116"/>
  <c r="AM42" i="113"/>
  <c r="AF42" i="113"/>
  <c r="AP42" i="113"/>
  <c r="BE46" i="113"/>
  <c r="AO46" i="113"/>
  <c r="BN46" i="113"/>
  <c r="T23" i="119"/>
  <c r="CL32" i="116"/>
  <c r="S32" i="119"/>
  <c r="CK41" i="116"/>
  <c r="AE12" i="65"/>
  <c r="AE11" i="65" s="1"/>
  <c r="AE10" i="65" s="1"/>
  <c r="AE36" i="65" s="1"/>
  <c r="AE39" i="65" s="1"/>
  <c r="AD11" i="65"/>
  <c r="AD10" i="65" s="1"/>
  <c r="AD36" i="65" s="1"/>
  <c r="AD39" i="65" s="1"/>
  <c r="BE40" i="113"/>
  <c r="BN40" i="113"/>
  <c r="BE36" i="113"/>
  <c r="BN36" i="113"/>
  <c r="Q22" i="119"/>
  <c r="BZ31" i="116"/>
  <c r="CC31" i="116"/>
  <c r="P22" i="119"/>
  <c r="BY31" i="116"/>
  <c r="CB31" i="116"/>
  <c r="U36" i="119"/>
  <c r="CM45" i="116"/>
  <c r="EC45" i="116"/>
  <c r="BM44" i="115"/>
  <c r="BM153" i="115"/>
  <c r="AO154" i="115"/>
  <c r="AO173" i="115"/>
  <c r="BK153" i="115"/>
  <c r="BE154" i="115"/>
  <c r="BK154" i="115" s="1"/>
  <c r="BE38" i="113"/>
  <c r="AO38" i="113"/>
  <c r="BN38" i="113"/>
  <c r="BF155" i="115"/>
  <c r="BL45" i="115"/>
  <c r="AH159" i="115"/>
  <c r="AN159" i="115" s="1"/>
  <c r="AN155" i="115"/>
  <c r="FX34" i="116"/>
  <c r="AC25" i="119"/>
  <c r="AA38" i="119"/>
  <c r="EL47" i="116"/>
  <c r="GB47" i="116"/>
  <c r="AM47" i="113"/>
  <c r="AF47" i="113"/>
  <c r="AP47" i="113"/>
  <c r="T32" i="119"/>
  <c r="CL41" i="116"/>
  <c r="AN45" i="113"/>
  <c r="AH32" i="113"/>
  <c r="AQ45" i="113"/>
  <c r="BF45" i="113" s="1"/>
  <c r="BL45" i="113" s="1"/>
  <c r="S23" i="119"/>
  <c r="CK32" i="116"/>
  <c r="EV40" i="116"/>
  <c r="FF40" i="116"/>
  <c r="FP45" i="116"/>
  <c r="EW31" i="116"/>
  <c r="EM31" i="116"/>
  <c r="EW44" i="116"/>
  <c r="EM44" i="116"/>
  <c r="N35" i="119"/>
  <c r="AM44" i="116"/>
  <c r="AL34" i="113"/>
  <c r="K43" i="116"/>
  <c r="U43" i="116"/>
  <c r="CB214" i="115"/>
  <c r="CH214" i="115" s="1"/>
  <c r="BJ214" i="115"/>
  <c r="DG48" i="116"/>
  <c r="CW48" i="116"/>
  <c r="EV54" i="116"/>
  <c r="FF54" i="116"/>
  <c r="T45" i="119"/>
  <c r="CL54" i="116"/>
  <c r="BK45" i="115"/>
  <c r="BD45" i="115"/>
  <c r="BE155" i="115"/>
  <c r="N28" i="119"/>
  <c r="AM37" i="116"/>
  <c r="AD38" i="116"/>
  <c r="FF41" i="116"/>
  <c r="EV41" i="116"/>
  <c r="AG41" i="113"/>
  <c r="AN33" i="113"/>
  <c r="AQ33" i="113"/>
  <c r="BF33" i="113" s="1"/>
  <c r="X36" i="119"/>
  <c r="DZ45" i="116"/>
  <c r="S38" i="119"/>
  <c r="CK47" i="116"/>
  <c r="CW44" i="116"/>
  <c r="DG44" i="116"/>
  <c r="DY45" i="116"/>
  <c r="W36" i="119"/>
  <c r="BM219" i="115"/>
  <c r="CB219" i="115" s="1"/>
  <c r="CH219" i="115" s="1"/>
  <c r="U35" i="119"/>
  <c r="CM44" i="116"/>
  <c r="EC44" i="116"/>
  <c r="CN37" i="116"/>
  <c r="CX37" i="116"/>
  <c r="CO38" i="116"/>
  <c r="AZ43" i="116"/>
  <c r="BI43" i="116" s="1"/>
  <c r="BR43" i="116" s="1"/>
  <c r="CD43" i="116" s="1"/>
  <c r="AE39" i="116"/>
  <c r="BZ40" i="116"/>
  <c r="Q31" i="119"/>
  <c r="P45" i="119"/>
  <c r="BY54" i="116"/>
  <c r="AN36" i="113"/>
  <c r="AQ36" i="113"/>
  <c r="BF36" i="113" s="1"/>
  <c r="AH253" i="113"/>
  <c r="AN253" i="113" s="1"/>
  <c r="AN43" i="113"/>
  <c r="AQ43" i="113"/>
  <c r="BF43" i="113" s="1"/>
  <c r="BZ41" i="116"/>
  <c r="Q32" i="119"/>
  <c r="CC40" i="116"/>
  <c r="BJ107" i="115"/>
  <c r="BD160" i="115"/>
  <c r="BJ160" i="115" s="1"/>
  <c r="DF41" i="116"/>
  <c r="DO41" i="116" s="1"/>
  <c r="EA41" i="116" s="1"/>
  <c r="DP41" i="116"/>
  <c r="BO36" i="115"/>
  <c r="BO120" i="115" s="1"/>
  <c r="BO122" i="115" s="1"/>
  <c r="BO155" i="115"/>
  <c r="AQ159" i="115"/>
  <c r="CP43" i="116" s="1"/>
  <c r="CP39" i="116"/>
  <c r="AQ173" i="115"/>
  <c r="AQ175" i="115" s="1"/>
  <c r="DF32" i="116"/>
  <c r="DO32" i="116" s="1"/>
  <c r="DP32" i="116"/>
  <c r="EB32" i="116" s="1"/>
  <c r="EV32" i="116"/>
  <c r="FF32" i="116"/>
  <c r="EO38" i="116"/>
  <c r="EX37" i="116"/>
  <c r="FF45" i="116"/>
  <c r="EV45" i="116"/>
  <c r="Y27" i="119"/>
  <c r="EJ36" i="116"/>
  <c r="AN41" i="113"/>
  <c r="AQ41" i="113"/>
  <c r="BF41" i="113" s="1"/>
  <c r="BL41" i="113" s="1"/>
  <c r="AN42" i="113"/>
  <c r="AQ42" i="113"/>
  <c r="BF42" i="113" s="1"/>
  <c r="Q38" i="119"/>
  <c r="BZ47" i="116"/>
  <c r="P36" i="119"/>
  <c r="BY45" i="116"/>
  <c r="DF47" i="116"/>
  <c r="DO47" i="116" s="1"/>
  <c r="DP47" i="116"/>
  <c r="K39" i="116"/>
  <c r="U39" i="116"/>
  <c r="AY43" i="116"/>
  <c r="AO43" i="116"/>
  <c r="FE36" i="116"/>
  <c r="FO36" i="116"/>
  <c r="EW48" i="116"/>
  <c r="EM48" i="116"/>
  <c r="AM52" i="72"/>
  <c r="AM54" i="72"/>
  <c r="BA60" i="72"/>
  <c r="DP54" i="116"/>
  <c r="BL38" i="113"/>
  <c r="BO34" i="113"/>
  <c r="EB36" i="116"/>
  <c r="AL45" i="115"/>
  <c r="AF155" i="115"/>
  <c r="AM44" i="113"/>
  <c r="AG254" i="113"/>
  <c r="AM254" i="113" s="1"/>
  <c r="AF44" i="113"/>
  <c r="AP44" i="113"/>
  <c r="AL46" i="113"/>
  <c r="T36" i="119"/>
  <c r="CL45" i="116"/>
  <c r="EB45" i="116"/>
  <c r="BI38" i="116"/>
  <c r="BR37" i="116"/>
  <c r="CD37" i="116" s="1"/>
  <c r="DX45" i="116"/>
  <c r="V36" i="119"/>
  <c r="AL40" i="113"/>
  <c r="AN47" i="113"/>
  <c r="AQ47" i="113"/>
  <c r="AL36" i="113"/>
  <c r="AP253" i="113"/>
  <c r="BN43" i="113"/>
  <c r="AO43" i="113"/>
  <c r="AO253" i="113" s="1"/>
  <c r="AL43" i="113"/>
  <c r="AF253" i="113"/>
  <c r="AL253" i="113" s="1"/>
  <c r="T38" i="119"/>
  <c r="EB47" i="116"/>
  <c r="CL47" i="116"/>
  <c r="FY41" i="116"/>
  <c r="AD32" i="119"/>
  <c r="EN37" i="116"/>
  <c r="EM37" i="116" s="1"/>
  <c r="BN154" i="115"/>
  <c r="BJ43" i="115"/>
  <c r="BD44" i="115"/>
  <c r="BJ44" i="115" s="1"/>
  <c r="BD153" i="115"/>
  <c r="AH254" i="113"/>
  <c r="AN254" i="113" s="1"/>
  <c r="AN44" i="113"/>
  <c r="AQ44" i="113"/>
  <c r="BF44" i="113" s="1"/>
  <c r="AL38" i="113"/>
  <c r="O34" i="119"/>
  <c r="AN43" i="116"/>
  <c r="Z25" i="119"/>
  <c r="EK34" i="116"/>
  <c r="GA34" i="116"/>
  <c r="AB25" i="119"/>
  <c r="FW34" i="116"/>
  <c r="M28" i="119"/>
  <c r="AC38" i="116"/>
  <c r="AL37" i="116"/>
  <c r="AN40" i="113"/>
  <c r="AQ40" i="113"/>
  <c r="BF40" i="113" s="1"/>
  <c r="V45" i="119"/>
  <c r="DF31" i="116"/>
  <c r="DP31" i="116"/>
  <c r="BG44" i="116"/>
  <c r="BP44" i="116" s="1"/>
  <c r="BQ44" i="116"/>
  <c r="AM33" i="113"/>
  <c r="AF33" i="113"/>
  <c r="AP33" i="113"/>
  <c r="BE33" i="113" s="1"/>
  <c r="M35" i="119"/>
  <c r="AL44" i="116"/>
  <c r="CB44" i="116"/>
  <c r="BE34" i="113"/>
  <c r="AO34" i="113"/>
  <c r="BN34" i="113"/>
  <c r="S31" i="119"/>
  <c r="CK40" i="116"/>
  <c r="AA32" i="119"/>
  <c r="GB41" i="116"/>
  <c r="EL41" i="116"/>
  <c r="BG37" i="116"/>
  <c r="BH38" i="116"/>
  <c r="BQ37" i="116"/>
  <c r="C24" i="113"/>
  <c r="B32" i="113"/>
  <c r="Q45" i="113"/>
  <c r="R32" i="113"/>
  <c r="DF40" i="116"/>
  <c r="DO40" i="116" s="1"/>
  <c r="DP40" i="116"/>
  <c r="FY48" i="116"/>
  <c r="AD39" i="119"/>
  <c r="CY38" i="116"/>
  <c r="DH37" i="116"/>
  <c r="DZ40" i="116"/>
  <c r="X31" i="119"/>
  <c r="EC40" i="116"/>
  <c r="BN36" i="115"/>
  <c r="BM45" i="115"/>
  <c r="BM155" i="115" s="1"/>
  <c r="BM159" i="115" s="1"/>
  <c r="BN155" i="115"/>
  <c r="BN173" i="115" s="1"/>
  <c r="BN175" i="115" s="1"/>
  <c r="CC214" i="115"/>
  <c r="CI214" i="115" s="1"/>
  <c r="BN219" i="115"/>
  <c r="CC219" i="115" s="1"/>
  <c r="CI219" i="115" s="1"/>
  <c r="AZ39" i="116"/>
  <c r="AQ57" i="116"/>
  <c r="P31" i="119"/>
  <c r="BY40" i="116"/>
  <c r="O28" i="119"/>
  <c r="AE38" i="116"/>
  <c r="AN37" i="116"/>
  <c r="Q45" i="119"/>
  <c r="BZ54" i="116"/>
  <c r="EV47" i="116"/>
  <c r="FF47" i="116"/>
  <c r="DZ36" i="116"/>
  <c r="X27" i="119"/>
  <c r="BY41" i="116"/>
  <c r="P32" i="119"/>
  <c r="BD48" i="113"/>
  <c r="BJ48" i="113" s="1"/>
  <c r="BK48" i="113"/>
  <c r="BO46" i="113"/>
  <c r="FZ34" i="116"/>
  <c r="Y25" i="119"/>
  <c r="EJ34" i="116"/>
  <c r="FY44" i="116"/>
  <c r="AD35" i="119"/>
  <c r="FY54" i="116"/>
  <c r="AD45" i="119"/>
  <c r="BO219" i="115"/>
  <c r="CD219" i="115" s="1"/>
  <c r="CJ219" i="115" s="1"/>
  <c r="CD214" i="115"/>
  <c r="CJ214" i="115" s="1"/>
  <c r="FY40" i="116"/>
  <c r="AD31" i="119"/>
  <c r="CO39" i="116"/>
  <c r="AP159" i="115"/>
  <c r="CO43" i="116" s="1"/>
  <c r="AP173" i="115"/>
  <c r="AP175" i="115" s="1"/>
  <c r="AO36" i="115"/>
  <c r="AO120" i="115" s="1"/>
  <c r="AP120" i="115"/>
  <c r="AP122" i="115" s="1"/>
  <c r="Q175" i="115"/>
  <c r="Q180" i="115"/>
  <c r="P38" i="119"/>
  <c r="BY47" i="116"/>
  <c r="EC36" i="116"/>
  <c r="AA45" i="119"/>
  <c r="EL54" i="116"/>
  <c r="GB54" i="116"/>
  <c r="Q36" i="119"/>
  <c r="BZ45" i="116"/>
  <c r="FY36" i="116"/>
  <c r="AD27" i="119"/>
  <c r="AM36" i="115"/>
  <c r="AF36" i="115"/>
  <c r="AL36" i="115" s="1"/>
  <c r="BE36" i="115"/>
  <c r="Q127" i="115"/>
  <c r="Q122" i="115"/>
  <c r="AO39" i="116"/>
  <c r="AY39" i="116"/>
  <c r="AP57" i="116"/>
  <c r="CB54" i="116"/>
  <c r="CB45" i="116"/>
  <c r="BO38" i="113"/>
  <c r="BQ48" i="116"/>
  <c r="BF34" i="113"/>
  <c r="DQ32" i="116"/>
  <c r="Q15" i="7"/>
  <c r="P12" i="70"/>
  <c r="P20" i="70" s="1"/>
  <c r="W8" i="70"/>
  <c r="AH46" i="6"/>
  <c r="AH47" i="6"/>
  <c r="AZ16" i="8" s="1"/>
  <c r="AH49" i="6"/>
  <c r="AZ33" i="8" s="1"/>
  <c r="BB33" i="8" s="1"/>
  <c r="BC33" i="8" s="1"/>
  <c r="AH48" i="6"/>
  <c r="AZ26" i="8" s="1"/>
  <c r="BB26" i="8" s="1"/>
  <c r="BC26" i="8" s="1"/>
  <c r="AH50" i="6"/>
  <c r="AZ41" i="8" s="1"/>
  <c r="BB41" i="8" s="1"/>
  <c r="Q17" i="65"/>
  <c r="R17" i="65" s="1"/>
  <c r="R14" i="65" s="1"/>
  <c r="O17" i="65"/>
  <c r="O14" i="65" s="1"/>
  <c r="F14" i="77"/>
  <c r="AP25" i="72"/>
  <c r="M39" i="3"/>
  <c r="AC14" i="72"/>
  <c r="AC17" i="72" s="1"/>
  <c r="AB17" i="72"/>
  <c r="Z9" i="72"/>
  <c r="AA9" i="72" s="1"/>
  <c r="AB13" i="72"/>
  <c r="AQ57" i="72"/>
  <c r="BA57" i="72"/>
  <c r="AC43" i="3"/>
  <c r="AN58" i="72"/>
  <c r="G38" i="3"/>
  <c r="Q58" i="72"/>
  <c r="AQ59" i="72"/>
  <c r="L68" i="72"/>
  <c r="BA59" i="72"/>
  <c r="Z30" i="8"/>
  <c r="Z31" i="8" s="1"/>
  <c r="AJ74" i="8"/>
  <c r="AI75" i="8"/>
  <c r="AW75" i="8" s="1"/>
  <c r="R10" i="70"/>
  <c r="Y31" i="8"/>
  <c r="W11" i="70"/>
  <c r="N12" i="70"/>
  <c r="BE28" i="7"/>
  <c r="Z14" i="7"/>
  <c r="AB14" i="7"/>
  <c r="N14" i="61"/>
  <c r="I14" i="61"/>
  <c r="BD128" i="7"/>
  <c r="BF16" i="7"/>
  <c r="BF128" i="7" s="1"/>
  <c r="W50" i="19"/>
  <c r="Q58" i="9"/>
  <c r="P50" i="9" s="1"/>
  <c r="C24" i="63"/>
  <c r="D23" i="63"/>
  <c r="AK74" i="8"/>
  <c r="R14" i="7"/>
  <c r="R8" i="7" s="1"/>
  <c r="S14" i="7"/>
  <c r="S8" i="7" s="1"/>
  <c r="AC14" i="7"/>
  <c r="AD14" i="7" s="1"/>
  <c r="AD126" i="7" s="1"/>
  <c r="V52" i="9"/>
  <c r="BA74" i="8"/>
  <c r="P17" i="8"/>
  <c r="AW38" i="8"/>
  <c r="H65" i="7"/>
  <c r="T25" i="8"/>
  <c r="M71" i="56"/>
  <c r="M81" i="56" s="1"/>
  <c r="X87" i="6"/>
  <c r="Y87" i="6" s="1"/>
  <c r="X88" i="6"/>
  <c r="Y88" i="6" s="1"/>
  <c r="BB30" i="17"/>
  <c r="AI13" i="8"/>
  <c r="AI76" i="8" s="1"/>
  <c r="BA76" i="8" s="1"/>
  <c r="BB25" i="7"/>
  <c r="AZ24" i="7"/>
  <c r="AZ25" i="7" s="1"/>
  <c r="AA15" i="7"/>
  <c r="AP15" i="7" s="1"/>
  <c r="K16" i="21"/>
  <c r="J28" i="21"/>
  <c r="B84" i="56"/>
  <c r="C83" i="56"/>
  <c r="B81" i="56"/>
  <c r="G71" i="56"/>
  <c r="G81" i="56" s="1"/>
  <c r="W72" i="56"/>
  <c r="W112" i="56"/>
  <c r="W92" i="56"/>
  <c r="BL37" i="17"/>
  <c r="AI14" i="7"/>
  <c r="M51" i="8"/>
  <c r="P55" i="9"/>
  <c r="U55" i="9" s="1"/>
  <c r="AF52" i="8"/>
  <c r="F65" i="7"/>
  <c r="P25" i="21"/>
  <c r="AX40" i="8"/>
  <c r="AV39" i="8"/>
  <c r="AV40" i="8" s="1"/>
  <c r="BP27" i="17"/>
  <c r="BO27" i="17"/>
  <c r="AZ31" i="7" s="1"/>
  <c r="Q24" i="8"/>
  <c r="Q25" i="8" s="1"/>
  <c r="R24" i="8"/>
  <c r="R25" i="8" s="1"/>
  <c r="P25" i="8"/>
  <c r="BP31" i="17"/>
  <c r="BO31" i="17"/>
  <c r="P37" i="17"/>
  <c r="P24" i="17"/>
  <c r="BB30" i="11"/>
  <c r="BC30" i="11"/>
  <c r="BB33" i="11"/>
  <c r="BA43" i="11"/>
  <c r="BC33" i="11"/>
  <c r="I83" i="56"/>
  <c r="N83" i="56" s="1"/>
  <c r="N82" i="56" s="1"/>
  <c r="I84" i="56"/>
  <c r="G84" i="56" s="1"/>
  <c r="AG48" i="19"/>
  <c r="AN48" i="19"/>
  <c r="J11" i="21"/>
  <c r="J14" i="21"/>
  <c r="J15" i="21"/>
  <c r="J10" i="21"/>
  <c r="J13" i="21"/>
  <c r="J9" i="21"/>
  <c r="BB29" i="11"/>
  <c r="BA41" i="11"/>
  <c r="BC29" i="11"/>
  <c r="AI24" i="8"/>
  <c r="BA23" i="8"/>
  <c r="AN60" i="8"/>
  <c r="AN92" i="8" s="1"/>
  <c r="AM92" i="8"/>
  <c r="P34" i="10"/>
  <c r="AP14" i="7"/>
  <c r="Q54" i="9"/>
  <c r="Q55" i="9" s="1"/>
  <c r="O43" i="3"/>
  <c r="Z52" i="8"/>
  <c r="Z87" i="8" s="1"/>
  <c r="J26" i="21"/>
  <c r="AF45" i="5"/>
  <c r="AF48" i="5" s="1"/>
  <c r="BP32" i="17"/>
  <c r="BO32" i="17"/>
  <c r="AJ23" i="8"/>
  <c r="BC39" i="7"/>
  <c r="BC40" i="7" s="1"/>
  <c r="BC41" i="7" s="1"/>
  <c r="BB40" i="7"/>
  <c r="J31" i="21"/>
  <c r="B73" i="56"/>
  <c r="B72" i="56" s="1"/>
  <c r="C72" i="56"/>
  <c r="O82" i="56"/>
  <c r="BP33" i="17"/>
  <c r="BO33" i="17"/>
  <c r="AX29" i="8" s="1"/>
  <c r="AX30" i="8" s="1"/>
  <c r="AX50" i="9"/>
  <c r="AX52" i="9"/>
  <c r="BE52" i="9" s="1"/>
  <c r="AX48" i="9"/>
  <c r="AZ48" i="9" s="1"/>
  <c r="AO54" i="9"/>
  <c r="AG46" i="6"/>
  <c r="AG47" i="6"/>
  <c r="AG49" i="6"/>
  <c r="AX33" i="8" s="1"/>
  <c r="AG50" i="6"/>
  <c r="AG48" i="6"/>
  <c r="AB46" i="5"/>
  <c r="N13" i="21"/>
  <c r="H29" i="21"/>
  <c r="I29" i="21" s="1"/>
  <c r="J25" i="21"/>
  <c r="K25" i="21"/>
  <c r="AK87" i="8"/>
  <c r="AJ87" i="8"/>
  <c r="BA87" i="8"/>
  <c r="AW87" i="8"/>
  <c r="AO42" i="8"/>
  <c r="AO80" i="8" s="1"/>
  <c r="AN80" i="8"/>
  <c r="AV80" i="8"/>
  <c r="AW80" i="8" s="1"/>
  <c r="AW42" i="8"/>
  <c r="AJ80" i="8"/>
  <c r="BA80" i="8"/>
  <c r="BA75" i="8"/>
  <c r="AJ78" i="8"/>
  <c r="BA78" i="8"/>
  <c r="T17" i="8"/>
  <c r="T51" i="8" s="1"/>
  <c r="T58" i="8" s="1"/>
  <c r="S25" i="8"/>
  <c r="S17" i="8"/>
  <c r="S51" i="8" s="1"/>
  <c r="S55" i="8" s="1"/>
  <c r="AJ28" i="8"/>
  <c r="BA28" i="8"/>
  <c r="AW28" i="8"/>
  <c r="BA19" i="8"/>
  <c r="AJ52" i="8"/>
  <c r="AW52" i="8"/>
  <c r="BA52" i="8"/>
  <c r="BA29" i="8"/>
  <c r="AD13" i="7"/>
  <c r="AN136" i="7"/>
  <c r="Y144" i="7"/>
  <c r="Y145" i="7" s="1"/>
  <c r="Y142" i="7"/>
  <c r="AL124" i="7"/>
  <c r="BE124" i="7" s="1"/>
  <c r="AH141" i="7"/>
  <c r="AH139" i="7"/>
  <c r="AD12" i="7"/>
  <c r="AC124" i="7"/>
  <c r="AD10" i="7"/>
  <c r="AC123" i="7"/>
  <c r="AJ144" i="7"/>
  <c r="AJ145" i="7" s="1"/>
  <c r="AJ142" i="7"/>
  <c r="BE23" i="7"/>
  <c r="BA23" i="7"/>
  <c r="P65" i="7"/>
  <c r="AN52" i="7"/>
  <c r="AE27" i="7"/>
  <c r="AB41" i="7"/>
  <c r="W49" i="5"/>
  <c r="AA34" i="7" s="1"/>
  <c r="AB34" i="7" s="1"/>
  <c r="W48" i="5"/>
  <c r="AA26" i="7" s="1"/>
  <c r="W47" i="5"/>
  <c r="AA16" i="7" s="1"/>
  <c r="AI16" i="7" s="1"/>
  <c r="H42" i="7"/>
  <c r="G38" i="7"/>
  <c r="H38" i="7" s="1"/>
  <c r="U8" i="7"/>
  <c r="AC45" i="5"/>
  <c r="P50" i="5"/>
  <c r="O42" i="7"/>
  <c r="R34" i="7"/>
  <c r="Z34" i="7"/>
  <c r="S34" i="7"/>
  <c r="AI34" i="7"/>
  <c r="AX54" i="9"/>
  <c r="AZ50" i="9"/>
  <c r="BE50" i="9"/>
  <c r="AD29" i="7"/>
  <c r="AQ40" i="7"/>
  <c r="AR40" i="7" s="1"/>
  <c r="AS40" i="7" s="1"/>
  <c r="AC33" i="7"/>
  <c r="X50" i="19"/>
  <c r="AO50" i="19"/>
  <c r="AO51" i="19" s="1"/>
  <c r="AI30" i="8"/>
  <c r="AJ29" i="8"/>
  <c r="AK29" i="8"/>
  <c r="Y13" i="8"/>
  <c r="Y76" i="8" s="1"/>
  <c r="AF76" i="8" s="1"/>
  <c r="U30" i="17"/>
  <c r="T30" i="17" s="1"/>
  <c r="AT30" i="17" s="1"/>
  <c r="AA33" i="7"/>
  <c r="AI32" i="7"/>
  <c r="AB32" i="7"/>
  <c r="AP32" i="7"/>
  <c r="AQ32" i="7" s="1"/>
  <c r="AF13" i="19"/>
  <c r="AD10" i="19"/>
  <c r="AP41" i="7"/>
  <c r="AI41" i="7"/>
  <c r="AF24" i="8"/>
  <c r="Y25" i="8"/>
  <c r="AZ25" i="8" s="1"/>
  <c r="P14" i="8"/>
  <c r="Q13" i="8"/>
  <c r="R13" i="8"/>
  <c r="F16" i="21"/>
  <c r="AF9" i="19"/>
  <c r="Z41" i="7"/>
  <c r="AO14" i="17"/>
  <c r="AN14" i="17"/>
  <c r="P38" i="17"/>
  <c r="P30" i="17"/>
  <c r="AA23" i="7"/>
  <c r="AA125" i="7" s="1"/>
  <c r="AI125" i="7" s="1"/>
  <c r="U24" i="17"/>
  <c r="Z33" i="7"/>
  <c r="Q27" i="7"/>
  <c r="AK10" i="17"/>
  <c r="AJ8" i="17"/>
  <c r="AF38" i="8"/>
  <c r="Z38" i="8"/>
  <c r="Y39" i="8"/>
  <c r="AJ38" i="8"/>
  <c r="G47" i="3"/>
  <c r="AD36" i="7"/>
  <c r="AQ36" i="7"/>
  <c r="AR36" i="7" s="1"/>
  <c r="AS36" i="7" s="1"/>
  <c r="AD39" i="7"/>
  <c r="AD41" i="7" s="1"/>
  <c r="AQ39" i="7"/>
  <c r="AR39" i="7" s="1"/>
  <c r="AS39" i="7" s="1"/>
  <c r="AC41" i="7"/>
  <c r="AD28" i="7"/>
  <c r="AQ28" i="7"/>
  <c r="AR28" i="7" s="1"/>
  <c r="AJ19" i="8"/>
  <c r="X9" i="7"/>
  <c r="X8" i="7" s="1"/>
  <c r="W8" i="7"/>
  <c r="AN13" i="7"/>
  <c r="H74" i="7"/>
  <c r="AL64" i="7"/>
  <c r="AL136" i="7" s="1"/>
  <c r="BE136" i="7" s="1"/>
  <c r="T74" i="7"/>
  <c r="AN39" i="7"/>
  <c r="AN10" i="7"/>
  <c r="AN31" i="7"/>
  <c r="AN36" i="7"/>
  <c r="AN29" i="7"/>
  <c r="X36" i="7"/>
  <c r="X35" i="7" s="1"/>
  <c r="W35" i="7"/>
  <c r="O44" i="3"/>
  <c r="AN58" i="9"/>
  <c r="AQ60" i="9"/>
  <c r="AM52" i="9"/>
  <c r="AD31" i="7"/>
  <c r="AQ31" i="7"/>
  <c r="AR31" i="7" s="1"/>
  <c r="AS31" i="7" s="1"/>
  <c r="X29" i="7"/>
  <c r="X27" i="7" s="1"/>
  <c r="W27" i="7"/>
  <c r="AM54" i="9"/>
  <c r="AP54" i="9" s="1"/>
  <c r="T33" i="7"/>
  <c r="T27" i="7" s="1"/>
  <c r="U32" i="7"/>
  <c r="U27" i="7" s="1"/>
  <c r="G39" i="3"/>
  <c r="O39" i="3" s="1"/>
  <c r="L40" i="11"/>
  <c r="Q56" i="9"/>
  <c r="G32" i="11"/>
  <c r="G31" i="11"/>
  <c r="G33" i="11"/>
  <c r="G29" i="11"/>
  <c r="E39" i="3"/>
  <c r="M56" i="9"/>
  <c r="M57" i="9" s="1"/>
  <c r="V57" i="9" s="1"/>
  <c r="F38" i="3"/>
  <c r="E42" i="3"/>
  <c r="D24" i="32"/>
  <c r="B25" i="32"/>
  <c r="D25" i="32" s="1"/>
  <c r="U51" i="7"/>
  <c r="T50" i="7"/>
  <c r="T80" i="7"/>
  <c r="T8" i="7"/>
  <c r="G80" i="7"/>
  <c r="T41" i="7"/>
  <c r="U40" i="7"/>
  <c r="U41" i="7" s="1"/>
  <c r="AO52" i="9"/>
  <c r="P20" i="9"/>
  <c r="AP20" i="9" s="1"/>
  <c r="AN57" i="9" s="1"/>
  <c r="P21" i="9"/>
  <c r="P22" i="9" s="1"/>
  <c r="AP22" i="9" s="1"/>
  <c r="AN59" i="9" s="1"/>
  <c r="C7" i="11"/>
  <c r="C11" i="11"/>
  <c r="C9" i="11"/>
  <c r="C10" i="11"/>
  <c r="C8" i="11"/>
  <c r="N65" i="7"/>
  <c r="M65" i="7"/>
  <c r="AB9" i="9"/>
  <c r="AB21" i="9"/>
  <c r="AB11" i="9" s="1"/>
  <c r="AC11" i="9" s="1"/>
  <c r="F32" i="21"/>
  <c r="Y10" i="11"/>
  <c r="Y11" i="11"/>
  <c r="Y7" i="11"/>
  <c r="Y9" i="11"/>
  <c r="AR29" i="7"/>
  <c r="AS29" i="7" s="1"/>
  <c r="Y77" i="7"/>
  <c r="AA77" i="7" s="1"/>
  <c r="Q95" i="7"/>
  <c r="Q97" i="7" s="1"/>
  <c r="L10" i="11"/>
  <c r="L8" i="11"/>
  <c r="L7" i="11"/>
  <c r="L9" i="11"/>
  <c r="L11" i="11"/>
  <c r="AR52" i="7"/>
  <c r="AH70" i="7"/>
  <c r="AH65" i="7"/>
  <c r="AH68" i="7"/>
  <c r="AH67" i="7"/>
  <c r="AJ71" i="7"/>
  <c r="AG7" i="11"/>
  <c r="AK7" i="11" s="1"/>
  <c r="AG11" i="11"/>
  <c r="AK11" i="11" s="1"/>
  <c r="G9" i="11"/>
  <c r="G11" i="11"/>
  <c r="G10" i="11"/>
  <c r="G7" i="11"/>
  <c r="G8" i="11"/>
  <c r="P68" i="7"/>
  <c r="Z15" i="7"/>
  <c r="Q8" i="7"/>
  <c r="Z8" i="7" s="1"/>
  <c r="K51" i="8"/>
  <c r="K55" i="8" s="1"/>
  <c r="X47" i="6"/>
  <c r="Y16" i="8" s="1"/>
  <c r="X46" i="6"/>
  <c r="AB53" i="6" s="1"/>
  <c r="X50" i="6"/>
  <c r="Y41" i="8" s="1"/>
  <c r="Y33" i="8"/>
  <c r="Z33" i="8" s="1"/>
  <c r="AD45" i="6"/>
  <c r="AC46" i="6"/>
  <c r="Y26" i="8"/>
  <c r="H37" i="8"/>
  <c r="M37" i="8"/>
  <c r="L47" i="5"/>
  <c r="K61" i="7"/>
  <c r="K65" i="7" s="1"/>
  <c r="AO50" i="9"/>
  <c r="AO48" i="9"/>
  <c r="Z9" i="8"/>
  <c r="AF9" i="8"/>
  <c r="AC17" i="9"/>
  <c r="P9" i="8"/>
  <c r="U100" i="7"/>
  <c r="Z25" i="7"/>
  <c r="AR13" i="7"/>
  <c r="AS13" i="7" s="1"/>
  <c r="BL40" i="113" l="1"/>
  <c r="BF254" i="113"/>
  <c r="BL254" i="113" s="1"/>
  <c r="BL44" i="113"/>
  <c r="EM38" i="116"/>
  <c r="Z23" i="119"/>
  <c r="EK32" i="116"/>
  <c r="Y32" i="119"/>
  <c r="EJ41" i="116"/>
  <c r="BK45" i="113"/>
  <c r="BD45" i="113"/>
  <c r="BJ45" i="113" s="1"/>
  <c r="DZ32" i="116"/>
  <c r="X23" i="119"/>
  <c r="EC32" i="116"/>
  <c r="BZ48" i="116"/>
  <c r="Q39" i="119"/>
  <c r="S45" i="119"/>
  <c r="EA54" i="116"/>
  <c r="CK54" i="116"/>
  <c r="AP59" i="116"/>
  <c r="BH39" i="116"/>
  <c r="AX39" i="116"/>
  <c r="AX57" i="116" s="1"/>
  <c r="AY57" i="116"/>
  <c r="AY59" i="116" s="1"/>
  <c r="BK36" i="115"/>
  <c r="BD36" i="115"/>
  <c r="BJ36" i="115" s="1"/>
  <c r="AA27" i="119"/>
  <c r="EL36" i="116"/>
  <c r="GB36" i="116"/>
  <c r="AO122" i="115"/>
  <c r="AO127" i="115"/>
  <c r="CN43" i="116"/>
  <c r="CX43" i="116"/>
  <c r="DH38" i="116"/>
  <c r="DQ37" i="116"/>
  <c r="DX40" i="116"/>
  <c r="V31" i="119"/>
  <c r="Q28" i="119"/>
  <c r="BZ37" i="116"/>
  <c r="BQ38" i="116"/>
  <c r="BG38" i="116"/>
  <c r="BP37" i="116"/>
  <c r="GK41" i="116"/>
  <c r="AG32" i="119"/>
  <c r="EA40" i="116"/>
  <c r="BM34" i="113"/>
  <c r="BK34" i="113"/>
  <c r="BD34" i="113"/>
  <c r="BN33" i="113"/>
  <c r="AO33" i="113"/>
  <c r="AL33" i="113"/>
  <c r="Q35" i="119"/>
  <c r="BZ44" i="116"/>
  <c r="DY31" i="116"/>
  <c r="W22" i="119"/>
  <c r="U34" i="119"/>
  <c r="CM43" i="116"/>
  <c r="BN253" i="113"/>
  <c r="BF47" i="113"/>
  <c r="BO47" i="113"/>
  <c r="BE44" i="113"/>
  <c r="AP254" i="113"/>
  <c r="AO44" i="113"/>
  <c r="AO254" i="113" s="1"/>
  <c r="BN44" i="113"/>
  <c r="AL155" i="115"/>
  <c r="AF159" i="115"/>
  <c r="AL159" i="115" s="1"/>
  <c r="Z27" i="119"/>
  <c r="EK36" i="116"/>
  <c r="GA36" i="116"/>
  <c r="DY54" i="116"/>
  <c r="W45" i="119"/>
  <c r="AP54" i="72"/>
  <c r="AN54" i="72"/>
  <c r="FF48" i="116"/>
  <c r="EV48" i="116"/>
  <c r="FN36" i="116"/>
  <c r="T39" i="116"/>
  <c r="AD39" i="116"/>
  <c r="DY47" i="116"/>
  <c r="W38" i="119"/>
  <c r="BO42" i="113"/>
  <c r="FG37" i="116"/>
  <c r="EX38" i="116"/>
  <c r="V23" i="119"/>
  <c r="DX32" i="116"/>
  <c r="CY39" i="116"/>
  <c r="CP57" i="116"/>
  <c r="BO159" i="115"/>
  <c r="EO43" i="116" s="1"/>
  <c r="EO39" i="116"/>
  <c r="BO173" i="115"/>
  <c r="BO175" i="115" s="1"/>
  <c r="DY41" i="116"/>
  <c r="W32" i="119"/>
  <c r="T31" i="119"/>
  <c r="EB40" i="116"/>
  <c r="CL40" i="116"/>
  <c r="AQ253" i="113"/>
  <c r="BO43" i="113"/>
  <c r="BO253" i="113" s="1"/>
  <c r="BO36" i="113"/>
  <c r="BM36" i="113" s="1"/>
  <c r="O30" i="119"/>
  <c r="AN39" i="116"/>
  <c r="CW37" i="116"/>
  <c r="CW38" i="116" s="1"/>
  <c r="DG37" i="116"/>
  <c r="CX38" i="116"/>
  <c r="AA35" i="119"/>
  <c r="EL44" i="116"/>
  <c r="GB44" i="116"/>
  <c r="DF44" i="116"/>
  <c r="DO44" i="116" s="1"/>
  <c r="DP44" i="116"/>
  <c r="BO33" i="113"/>
  <c r="AM41" i="113"/>
  <c r="AF41" i="113"/>
  <c r="AL41" i="113" s="1"/>
  <c r="AP41" i="113"/>
  <c r="AO41" i="113" s="1"/>
  <c r="FE41" i="116"/>
  <c r="FN41" i="116" s="1"/>
  <c r="FO41" i="116"/>
  <c r="AM38" i="116"/>
  <c r="N29" i="119"/>
  <c r="BJ45" i="115"/>
  <c r="BD155" i="115"/>
  <c r="DF48" i="116"/>
  <c r="DO48" i="116" s="1"/>
  <c r="DP48" i="116"/>
  <c r="CC44" i="116"/>
  <c r="EV31" i="116"/>
  <c r="FF31" i="116"/>
  <c r="FE40" i="116"/>
  <c r="FN40" i="116" s="1"/>
  <c r="FO40" i="116"/>
  <c r="EA32" i="116"/>
  <c r="BE47" i="113"/>
  <c r="BN47" i="113"/>
  <c r="AO47" i="113"/>
  <c r="BM38" i="113"/>
  <c r="AO175" i="115"/>
  <c r="AO180" i="115"/>
  <c r="BM154" i="115"/>
  <c r="BM173" i="115"/>
  <c r="AA36" i="119"/>
  <c r="EL45" i="116"/>
  <c r="GB45" i="116"/>
  <c r="T22" i="119"/>
  <c r="EB31" i="116"/>
  <c r="CL31" i="116"/>
  <c r="BD36" i="113"/>
  <c r="BK36" i="113"/>
  <c r="BK40" i="113"/>
  <c r="BD40" i="113"/>
  <c r="BK46" i="113"/>
  <c r="BD46" i="113"/>
  <c r="AL42" i="113"/>
  <c r="AG32" i="113"/>
  <c r="DO31" i="116"/>
  <c r="BL34" i="113"/>
  <c r="S36" i="119"/>
  <c r="EA45" i="116"/>
  <c r="CK45" i="116"/>
  <c r="AO57" i="116"/>
  <c r="AO70" i="116" s="1"/>
  <c r="GK54" i="116"/>
  <c r="AG45" i="119"/>
  <c r="CN39" i="116"/>
  <c r="CX39" i="116"/>
  <c r="AE25" i="119"/>
  <c r="GI34" i="116"/>
  <c r="FE47" i="116"/>
  <c r="FN47" i="116" s="1"/>
  <c r="FO47" i="116"/>
  <c r="GA47" i="116" s="1"/>
  <c r="U28" i="119"/>
  <c r="CD38" i="116"/>
  <c r="CM37" i="116"/>
  <c r="EC37" i="116"/>
  <c r="AN38" i="116"/>
  <c r="O29" i="119"/>
  <c r="AQ59" i="116"/>
  <c r="BI39" i="116"/>
  <c r="BI57" i="116" s="1"/>
  <c r="AZ57" i="116"/>
  <c r="BN159" i="115"/>
  <c r="EN43" i="116" s="1"/>
  <c r="EN39" i="116"/>
  <c r="BM36" i="115"/>
  <c r="BM120" i="115" s="1"/>
  <c r="BN120" i="115"/>
  <c r="BN122" i="115" s="1"/>
  <c r="AA31" i="119"/>
  <c r="GB40" i="116"/>
  <c r="EL40" i="116"/>
  <c r="DY40" i="116"/>
  <c r="W31" i="119"/>
  <c r="Q32" i="113"/>
  <c r="R24" i="113"/>
  <c r="S35" i="119"/>
  <c r="CK44" i="116"/>
  <c r="EA44" i="116"/>
  <c r="BK33" i="113"/>
  <c r="BD33" i="113"/>
  <c r="P35" i="119"/>
  <c r="BY44" i="116"/>
  <c r="BO40" i="113"/>
  <c r="M29" i="119"/>
  <c r="AL38" i="116"/>
  <c r="GJ34" i="116"/>
  <c r="AF25" i="119"/>
  <c r="AQ254" i="113"/>
  <c r="BO44" i="113"/>
  <c r="BO254" i="113" s="1"/>
  <c r="BD154" i="115"/>
  <c r="BJ154" i="115" s="1"/>
  <c r="BJ153" i="115"/>
  <c r="EW37" i="116"/>
  <c r="EN38" i="116"/>
  <c r="Z38" i="119"/>
  <c r="EK47" i="116"/>
  <c r="R28" i="119"/>
  <c r="BR38" i="116"/>
  <c r="CA37" i="116"/>
  <c r="Z36" i="119"/>
  <c r="EK45" i="116"/>
  <c r="AL44" i="113"/>
  <c r="AF254" i="113"/>
  <c r="AL254" i="113" s="1"/>
  <c r="AP52" i="72"/>
  <c r="AM55" i="72"/>
  <c r="AP55" i="72" s="1"/>
  <c r="AN52" i="72"/>
  <c r="AC27" i="119"/>
  <c r="FX36" i="116"/>
  <c r="BH43" i="116"/>
  <c r="AX43" i="116"/>
  <c r="AC39" i="116"/>
  <c r="DX47" i="116"/>
  <c r="V38" i="119"/>
  <c r="BL42" i="113"/>
  <c r="FE45" i="116"/>
  <c r="FN45" i="116" s="1"/>
  <c r="FO45" i="116"/>
  <c r="FE32" i="116"/>
  <c r="FN32" i="116" s="1"/>
  <c r="FO32" i="116"/>
  <c r="GA32" i="116" s="1"/>
  <c r="W23" i="119"/>
  <c r="DY32" i="116"/>
  <c r="CY43" i="116"/>
  <c r="DH43" i="116" s="1"/>
  <c r="DX41" i="116"/>
  <c r="V32" i="119"/>
  <c r="BL43" i="113"/>
  <c r="BF253" i="113"/>
  <c r="BL253" i="113" s="1"/>
  <c r="BL36" i="113"/>
  <c r="R34" i="119"/>
  <c r="CA43" i="116"/>
  <c r="CO57" i="116"/>
  <c r="CN38" i="116"/>
  <c r="CN57" i="116"/>
  <c r="CN70" i="116" s="1"/>
  <c r="EA47" i="116"/>
  <c r="BL33" i="113"/>
  <c r="CC37" i="116"/>
  <c r="BE159" i="115"/>
  <c r="BK159" i="115" s="1"/>
  <c r="BK155" i="115"/>
  <c r="EB54" i="116"/>
  <c r="FE54" i="116"/>
  <c r="FN54" i="116" s="1"/>
  <c r="FO54" i="116"/>
  <c r="T43" i="116"/>
  <c r="AC43" i="116" s="1"/>
  <c r="AD43" i="116"/>
  <c r="FF44" i="116"/>
  <c r="EV44" i="116"/>
  <c r="EN57" i="116"/>
  <c r="FY45" i="116"/>
  <c r="AD36" i="119"/>
  <c r="BO45" i="113"/>
  <c r="AQ32" i="113"/>
  <c r="AN32" i="113"/>
  <c r="BF32" i="113"/>
  <c r="EB41" i="116"/>
  <c r="AL47" i="113"/>
  <c r="GK47" i="116"/>
  <c r="AG38" i="119"/>
  <c r="BL155" i="115"/>
  <c r="BF159" i="115"/>
  <c r="BL159" i="115" s="1"/>
  <c r="BK38" i="113"/>
  <c r="BD38" i="113"/>
  <c r="EA31" i="116"/>
  <c r="S22" i="119"/>
  <c r="CK31" i="116"/>
  <c r="AO36" i="113"/>
  <c r="AO40" i="113"/>
  <c r="BM46" i="113"/>
  <c r="BE42" i="113"/>
  <c r="AO42" i="113"/>
  <c r="BN42" i="113"/>
  <c r="AP32" i="113"/>
  <c r="AO45" i="113"/>
  <c r="BN45" i="113"/>
  <c r="BD43" i="113"/>
  <c r="AO60" i="8"/>
  <c r="AO92" i="8" s="1"/>
  <c r="BC79" i="8"/>
  <c r="F11" i="77"/>
  <c r="E14" i="77"/>
  <c r="E11" i="77" s="1"/>
  <c r="L20" i="87"/>
  <c r="K20" i="87" s="1"/>
  <c r="Q14" i="65"/>
  <c r="Z14" i="65" s="1"/>
  <c r="AZ79" i="8"/>
  <c r="BB16" i="8"/>
  <c r="BB79" i="8" s="1"/>
  <c r="AQ14" i="7"/>
  <c r="AR14" i="7" s="1"/>
  <c r="AC39" i="3"/>
  <c r="AM40" i="11"/>
  <c r="M38" i="3"/>
  <c r="B18" i="84" s="1"/>
  <c r="V58" i="72"/>
  <c r="P50" i="72"/>
  <c r="AQ58" i="72"/>
  <c r="AM50" i="72"/>
  <c r="BA58" i="72"/>
  <c r="AA51" i="7"/>
  <c r="Q56" i="72"/>
  <c r="V58" i="9"/>
  <c r="AJ75" i="8"/>
  <c r="R12" i="70"/>
  <c r="R20" i="70" s="1"/>
  <c r="W10" i="70"/>
  <c r="AB16" i="7"/>
  <c r="N20" i="70"/>
  <c r="W12" i="70"/>
  <c r="AF47" i="5"/>
  <c r="BB16" i="7" s="1"/>
  <c r="BC16" i="7" s="1"/>
  <c r="BG16" i="7"/>
  <c r="BG128" i="7" s="1"/>
  <c r="AB48" i="5"/>
  <c r="AB52" i="5" s="1"/>
  <c r="AC16" i="7"/>
  <c r="AP34" i="7"/>
  <c r="AP16" i="7"/>
  <c r="C25" i="63"/>
  <c r="D25" i="63" s="1"/>
  <c r="D36" i="63" s="1"/>
  <c r="D24" i="63"/>
  <c r="AO52" i="19"/>
  <c r="BC39" i="11"/>
  <c r="BB19" i="7" s="1"/>
  <c r="BB127" i="7" s="1"/>
  <c r="V54" i="9"/>
  <c r="Y18" i="8"/>
  <c r="Y73" i="8" s="1"/>
  <c r="AF73" i="8" s="1"/>
  <c r="AW29" i="8"/>
  <c r="Q17" i="8"/>
  <c r="S58" i="8"/>
  <c r="Z20" i="8"/>
  <c r="AM20" i="8" s="1"/>
  <c r="Z24" i="8"/>
  <c r="AM24" i="8" s="1"/>
  <c r="AM77" i="8" s="1"/>
  <c r="L71" i="56"/>
  <c r="L81" i="56" s="1"/>
  <c r="T55" i="9"/>
  <c r="N84" i="56"/>
  <c r="L84" i="56" s="1"/>
  <c r="Z23" i="8"/>
  <c r="AA23" i="8" s="1"/>
  <c r="W82" i="56"/>
  <c r="W102" i="56"/>
  <c r="W122" i="56"/>
  <c r="C82" i="56"/>
  <c r="R82" i="56" s="1"/>
  <c r="B83" i="56"/>
  <c r="B82" i="56" s="1"/>
  <c r="BA30" i="17"/>
  <c r="BC30" i="17" s="1"/>
  <c r="BA36" i="17"/>
  <c r="BE48" i="9"/>
  <c r="AF50" i="5"/>
  <c r="BB42" i="7" s="1"/>
  <c r="AF49" i="5"/>
  <c r="BB34" i="7" s="1"/>
  <c r="BC34" i="7" s="1"/>
  <c r="BB41" i="7"/>
  <c r="AZ40" i="7"/>
  <c r="AZ41" i="7" s="1"/>
  <c r="BO30" i="17"/>
  <c r="BC39" i="8"/>
  <c r="BC34" i="8" s="1"/>
  <c r="R17" i="8"/>
  <c r="BG24" i="7"/>
  <c r="BG17" i="7" s="1"/>
  <c r="AN54" i="9"/>
  <c r="AQ54" i="9" s="1"/>
  <c r="AC34" i="7"/>
  <c r="AD34" i="7" s="1"/>
  <c r="Z19" i="8"/>
  <c r="Z78" i="8" s="1"/>
  <c r="Z21" i="8"/>
  <c r="AA21" i="8" s="1"/>
  <c r="AZ52" i="9"/>
  <c r="AF46" i="5"/>
  <c r="BO24" i="17"/>
  <c r="AK57" i="19" s="1"/>
  <c r="BB41" i="11"/>
  <c r="BC41" i="11"/>
  <c r="J16" i="21"/>
  <c r="AX23" i="8"/>
  <c r="AY23" i="8" s="1"/>
  <c r="AW23" i="8"/>
  <c r="AJ24" i="8"/>
  <c r="AI25" i="8"/>
  <c r="AX31" i="8"/>
  <c r="AV30" i="8"/>
  <c r="AV31" i="8" s="1"/>
  <c r="BC30" i="8" s="1"/>
  <c r="BC27" i="8" s="1"/>
  <c r="AZ125" i="7"/>
  <c r="BB13" i="7"/>
  <c r="BC13" i="7" s="1"/>
  <c r="BB43" i="11"/>
  <c r="BC43" i="11"/>
  <c r="BB31" i="7"/>
  <c r="BB32" i="7" s="1"/>
  <c r="BA13" i="8"/>
  <c r="AK13" i="8"/>
  <c r="AB54" i="6"/>
  <c r="X52" i="6"/>
  <c r="AC48" i="6" s="1"/>
  <c r="V74" i="6" s="1"/>
  <c r="BG50" i="9"/>
  <c r="BB18" i="7"/>
  <c r="AX9" i="8"/>
  <c r="BB9" i="7"/>
  <c r="BC9" i="7" s="1"/>
  <c r="BC121" i="7" s="1"/>
  <c r="AX41" i="8"/>
  <c r="AX34" i="8" s="1"/>
  <c r="AV34" i="8"/>
  <c r="AX16" i="8"/>
  <c r="AV79" i="8"/>
  <c r="AC47" i="6"/>
  <c r="V64" i="6" s="1"/>
  <c r="AD46" i="6"/>
  <c r="AX26" i="8"/>
  <c r="AY26" i="8" s="1"/>
  <c r="AY33" i="8"/>
  <c r="AY27" i="8" s="1"/>
  <c r="AX27" i="8"/>
  <c r="BB26" i="7"/>
  <c r="AC46" i="5"/>
  <c r="P13" i="21"/>
  <c r="N16" i="21"/>
  <c r="O13" i="21" s="1"/>
  <c r="K29" i="21"/>
  <c r="I32" i="21"/>
  <c r="J29" i="21"/>
  <c r="J32" i="21" s="1"/>
  <c r="P29" i="21"/>
  <c r="AJ76" i="8"/>
  <c r="AF16" i="8"/>
  <c r="Y79" i="8"/>
  <c r="AF79" i="8" s="1"/>
  <c r="T55" i="8"/>
  <c r="AN123" i="7"/>
  <c r="AD125" i="7"/>
  <c r="AM136" i="7"/>
  <c r="BA136" i="7"/>
  <c r="AH144" i="7"/>
  <c r="AH142" i="7"/>
  <c r="AM124" i="7"/>
  <c r="BA124" i="7"/>
  <c r="AN125" i="7"/>
  <c r="AD123" i="7"/>
  <c r="AD124" i="7"/>
  <c r="AL52" i="7"/>
  <c r="BE52" i="7" s="1"/>
  <c r="BE64" i="7"/>
  <c r="BA64" i="7"/>
  <c r="Z16" i="8"/>
  <c r="AS52" i="7"/>
  <c r="AS28" i="7"/>
  <c r="AE25" i="7"/>
  <c r="AE17" i="7" s="1"/>
  <c r="AE8" i="7"/>
  <c r="U50" i="7"/>
  <c r="AE41" i="7"/>
  <c r="AE35" i="7" s="1"/>
  <c r="AF33" i="7"/>
  <c r="BD33" i="7" s="1"/>
  <c r="AA27" i="7"/>
  <c r="AB27" i="7" s="1"/>
  <c r="AQ41" i="7"/>
  <c r="Q42" i="7"/>
  <c r="W50" i="5"/>
  <c r="AA42" i="7" s="1"/>
  <c r="AP42" i="7" s="1"/>
  <c r="P42" i="7"/>
  <c r="O38" i="7"/>
  <c r="P38" i="7" s="1"/>
  <c r="AZ51" i="9"/>
  <c r="BG48" i="9"/>
  <c r="BG52" i="9"/>
  <c r="AZ54" i="9"/>
  <c r="BE54" i="9"/>
  <c r="BA59" i="9"/>
  <c r="AQ58" i="9"/>
  <c r="BA58" i="9"/>
  <c r="BA57" i="9"/>
  <c r="O47" i="3"/>
  <c r="AC47" i="3"/>
  <c r="Z39" i="8"/>
  <c r="Z40" i="8" s="1"/>
  <c r="Y40" i="8"/>
  <c r="AF39" i="8"/>
  <c r="AA24" i="7"/>
  <c r="AA126" i="7" s="1"/>
  <c r="AI126" i="7" s="1"/>
  <c r="AI23" i="7"/>
  <c r="AB23" i="7"/>
  <c r="AB125" i="7" s="1"/>
  <c r="AP23" i="7"/>
  <c r="AC23" i="7"/>
  <c r="AC125" i="7" s="1"/>
  <c r="AM23" i="7"/>
  <c r="P15" i="8"/>
  <c r="P8" i="8" s="1"/>
  <c r="P51" i="8" s="1"/>
  <c r="R14" i="8"/>
  <c r="R15" i="8" s="1"/>
  <c r="Q14" i="8"/>
  <c r="Q15" i="8" s="1"/>
  <c r="AI33" i="7"/>
  <c r="AP33" i="7"/>
  <c r="AQ33" i="7" s="1"/>
  <c r="AF13" i="8"/>
  <c r="Z13" i="8"/>
  <c r="Y14" i="8"/>
  <c r="Y77" i="8" s="1"/>
  <c r="AF77" i="8" s="1"/>
  <c r="AJ13" i="8"/>
  <c r="D26" i="32"/>
  <c r="AN51" i="7" s="1"/>
  <c r="AO51" i="7" s="1"/>
  <c r="AH8" i="17"/>
  <c r="AI8" i="17" s="1"/>
  <c r="AK8" i="17"/>
  <c r="AO8" i="17"/>
  <c r="S27" i="7"/>
  <c r="Z27" i="7"/>
  <c r="R27" i="7"/>
  <c r="T24" i="17"/>
  <c r="AT24" i="17" s="1"/>
  <c r="T36" i="17"/>
  <c r="AD11" i="19"/>
  <c r="AF10" i="19"/>
  <c r="AR32" i="7"/>
  <c r="AS32" i="7" s="1"/>
  <c r="T38" i="17"/>
  <c r="AT38" i="17" s="1"/>
  <c r="AX30" i="17"/>
  <c r="V30" i="17"/>
  <c r="AK30" i="8"/>
  <c r="AJ30" i="8"/>
  <c r="AI31" i="8"/>
  <c r="E75" i="7"/>
  <c r="AP10" i="11"/>
  <c r="AM32" i="11" s="1"/>
  <c r="AL32" i="11" s="1"/>
  <c r="AP32" i="11" s="1"/>
  <c r="AO29" i="7"/>
  <c r="AO13" i="7"/>
  <c r="AO31" i="7"/>
  <c r="AL31" i="7" s="1"/>
  <c r="AN32" i="7"/>
  <c r="AN40" i="7"/>
  <c r="AO39" i="7"/>
  <c r="AL39" i="7" s="1"/>
  <c r="E74" i="7"/>
  <c r="L74" i="7" s="1"/>
  <c r="L76" i="7" s="1"/>
  <c r="AN14" i="7"/>
  <c r="X61" i="7"/>
  <c r="AO10" i="7"/>
  <c r="AP52" i="9"/>
  <c r="AN52" i="9"/>
  <c r="BA52" i="9" s="1"/>
  <c r="AO36" i="7"/>
  <c r="AM64" i="7"/>
  <c r="AM55" i="9"/>
  <c r="AP55" i="9" s="1"/>
  <c r="AP9" i="11"/>
  <c r="AM31" i="11" s="1"/>
  <c r="AL31" i="11" s="1"/>
  <c r="AP31" i="11" s="1"/>
  <c r="W61" i="7"/>
  <c r="V56" i="9"/>
  <c r="P48" i="9"/>
  <c r="T50" i="9"/>
  <c r="Q50" i="9"/>
  <c r="Q80" i="7"/>
  <c r="L80" i="7"/>
  <c r="L82" i="7" s="1"/>
  <c r="K33" i="11"/>
  <c r="O33" i="11" s="1"/>
  <c r="K32" i="11"/>
  <c r="O32" i="11" s="1"/>
  <c r="K31" i="11"/>
  <c r="O31" i="11" s="1"/>
  <c r="AK15" i="11"/>
  <c r="Q19" i="7" s="1"/>
  <c r="S19" i="7" s="1"/>
  <c r="AH71" i="7"/>
  <c r="Q18" i="7"/>
  <c r="AC13" i="9"/>
  <c r="AQ59" i="9"/>
  <c r="AM50" i="9"/>
  <c r="L67" i="9"/>
  <c r="AP8" i="11"/>
  <c r="AA76" i="7"/>
  <c r="S81" i="7"/>
  <c r="Z9" i="9"/>
  <c r="AA9" i="9" s="1"/>
  <c r="AB13" i="9"/>
  <c r="AQ57" i="9"/>
  <c r="AP11" i="11"/>
  <c r="AM33" i="11" s="1"/>
  <c r="AL33" i="11" s="1"/>
  <c r="AP33" i="11" s="1"/>
  <c r="AP7" i="11"/>
  <c r="Z79" i="7"/>
  <c r="T99" i="7" s="1"/>
  <c r="X54" i="6"/>
  <c r="AC50" i="6" s="1"/>
  <c r="V113" i="6" s="1"/>
  <c r="X53" i="6"/>
  <c r="AC49" i="6" s="1"/>
  <c r="V100" i="6" s="1"/>
  <c r="AB52" i="6"/>
  <c r="AC51" i="6"/>
  <c r="AF26" i="8"/>
  <c r="Z26" i="8"/>
  <c r="AM26" i="8" s="1"/>
  <c r="AF41" i="8"/>
  <c r="Z41" i="8"/>
  <c r="Y34" i="8"/>
  <c r="AF34" i="8" s="1"/>
  <c r="AF33" i="8"/>
  <c r="Z27" i="8"/>
  <c r="Y27" i="8"/>
  <c r="AF27" i="8" s="1"/>
  <c r="AC26" i="7"/>
  <c r="AI26" i="7"/>
  <c r="AP26" i="7"/>
  <c r="AB26" i="7"/>
  <c r="AB47" i="5"/>
  <c r="AB51" i="5" s="1"/>
  <c r="AB49" i="5"/>
  <c r="Q9" i="8"/>
  <c r="R9" i="8"/>
  <c r="V55" i="9"/>
  <c r="O55" i="9"/>
  <c r="S55" i="9" s="1"/>
  <c r="AQ15" i="7"/>
  <c r="AS14" i="7"/>
  <c r="DQ43" i="116" l="1"/>
  <c r="AX59" i="116"/>
  <c r="AX70" i="116"/>
  <c r="GJ32" i="116"/>
  <c r="AF23" i="119"/>
  <c r="FW47" i="116"/>
  <c r="AB38" i="119"/>
  <c r="BM45" i="113"/>
  <c r="AO32" i="113"/>
  <c r="AP24" i="113"/>
  <c r="BK42" i="113"/>
  <c r="BD42" i="113"/>
  <c r="BJ38" i="113"/>
  <c r="Z32" i="119"/>
  <c r="EK41" i="116"/>
  <c r="GA41" i="116"/>
  <c r="EN59" i="116"/>
  <c r="FE44" i="116"/>
  <c r="FN44" i="116" s="1"/>
  <c r="FO44" i="116"/>
  <c r="AL43" i="116"/>
  <c r="M34" i="119"/>
  <c r="FW54" i="116"/>
  <c r="AB45" i="119"/>
  <c r="T28" i="119"/>
  <c r="CC38" i="116"/>
  <c r="CL37" i="116"/>
  <c r="Y38" i="119"/>
  <c r="EJ47" i="116"/>
  <c r="FZ47" i="116"/>
  <c r="CO59" i="116"/>
  <c r="AB23" i="119"/>
  <c r="FW32" i="116"/>
  <c r="AB36" i="119"/>
  <c r="FW45" i="116"/>
  <c r="CA38" i="116"/>
  <c r="R29" i="119"/>
  <c r="GJ47" i="116"/>
  <c r="AF38" i="119"/>
  <c r="FF37" i="116"/>
  <c r="EV37" i="116"/>
  <c r="EW38" i="116"/>
  <c r="BM127" i="115"/>
  <c r="BM122" i="115"/>
  <c r="EM43" i="116"/>
  <c r="EW43" i="116"/>
  <c r="BI59" i="116"/>
  <c r="AA28" i="119"/>
  <c r="EL37" i="116"/>
  <c r="EC38" i="116"/>
  <c r="CM38" i="116"/>
  <c r="U29" i="119"/>
  <c r="FX47" i="116"/>
  <c r="AC38" i="119"/>
  <c r="DG39" i="116"/>
  <c r="CW39" i="116"/>
  <c r="CW57" i="116" s="1"/>
  <c r="AO59" i="116"/>
  <c r="AM32" i="113"/>
  <c r="AG24" i="113"/>
  <c r="AM24" i="113" s="1"/>
  <c r="BE32" i="113"/>
  <c r="AF32" i="113"/>
  <c r="Z22" i="119"/>
  <c r="EK31" i="116"/>
  <c r="GK45" i="116"/>
  <c r="AG36" i="119"/>
  <c r="BM47" i="113"/>
  <c r="BK47" i="113"/>
  <c r="BD47" i="113"/>
  <c r="FX40" i="116"/>
  <c r="AC31" i="119"/>
  <c r="T35" i="119"/>
  <c r="EB44" i="116"/>
  <c r="CL44" i="116"/>
  <c r="DX48" i="116"/>
  <c r="V39" i="119"/>
  <c r="FW41" i="116"/>
  <c r="AB32" i="119"/>
  <c r="BE41" i="113"/>
  <c r="DY44" i="116"/>
  <c r="W35" i="119"/>
  <c r="GK44" i="116"/>
  <c r="AG35" i="119"/>
  <c r="EX39" i="116"/>
  <c r="EO57" i="116"/>
  <c r="CP59" i="116"/>
  <c r="DH39" i="116"/>
  <c r="CY57" i="116"/>
  <c r="BO41" i="113"/>
  <c r="N30" i="119"/>
  <c r="AM39" i="116"/>
  <c r="FE48" i="116"/>
  <c r="FN48" i="116" s="1"/>
  <c r="FO48" i="116"/>
  <c r="BN254" i="113"/>
  <c r="BM44" i="113"/>
  <c r="BM254" i="113" s="1"/>
  <c r="BL47" i="113"/>
  <c r="BJ34" i="113"/>
  <c r="P28" i="119"/>
  <c r="BP38" i="116"/>
  <c r="BY37" i="116"/>
  <c r="CB37" i="116"/>
  <c r="BZ38" i="116"/>
  <c r="Q29" i="119"/>
  <c r="DG43" i="116"/>
  <c r="CW43" i="116"/>
  <c r="GK36" i="116"/>
  <c r="AG27" i="119"/>
  <c r="FZ41" i="116"/>
  <c r="BR39" i="116"/>
  <c r="BJ43" i="113"/>
  <c r="BD253" i="113"/>
  <c r="BJ253" i="113" s="1"/>
  <c r="BM42" i="113"/>
  <c r="BN41" i="113"/>
  <c r="BM41" i="113" s="1"/>
  <c r="Y22" i="119"/>
  <c r="EJ31" i="116"/>
  <c r="BL32" i="113"/>
  <c r="BO32" i="113"/>
  <c r="N34" i="119"/>
  <c r="AM43" i="116"/>
  <c r="FX54" i="116"/>
  <c r="AC45" i="119"/>
  <c r="Z45" i="119"/>
  <c r="GA54" i="116"/>
  <c r="EK54" i="116"/>
  <c r="CN59" i="116"/>
  <c r="X34" i="119"/>
  <c r="DZ43" i="116"/>
  <c r="FX32" i="116"/>
  <c r="AC23" i="119"/>
  <c r="FX45" i="116"/>
  <c r="AC36" i="119"/>
  <c r="M30" i="119"/>
  <c r="AL39" i="116"/>
  <c r="BG43" i="116"/>
  <c r="BP43" i="116" s="1"/>
  <c r="BQ43" i="116"/>
  <c r="CC43" i="116" s="1"/>
  <c r="AQ52" i="72"/>
  <c r="AN55" i="72"/>
  <c r="BA52" i="72"/>
  <c r="GA45" i="116"/>
  <c r="BJ33" i="113"/>
  <c r="Y35" i="119"/>
  <c r="EJ44" i="116"/>
  <c r="GK40" i="116"/>
  <c r="AG31" i="119"/>
  <c r="EW39" i="116"/>
  <c r="EW57" i="116" s="1"/>
  <c r="EM39" i="116"/>
  <c r="AZ59" i="116"/>
  <c r="BR57" i="116"/>
  <c r="Y36" i="119"/>
  <c r="EJ45" i="116"/>
  <c r="FZ45" i="116"/>
  <c r="V22" i="119"/>
  <c r="DX31" i="116"/>
  <c r="BJ46" i="113"/>
  <c r="BJ40" i="113"/>
  <c r="BM40" i="113"/>
  <c r="BJ36" i="113"/>
  <c r="BM180" i="115"/>
  <c r="BM175" i="115"/>
  <c r="FZ32" i="116"/>
  <c r="Y23" i="119"/>
  <c r="EJ32" i="116"/>
  <c r="FW40" i="116"/>
  <c r="AB31" i="119"/>
  <c r="FE31" i="116"/>
  <c r="FN31" i="116" s="1"/>
  <c r="FO31" i="116"/>
  <c r="DY48" i="116"/>
  <c r="W39" i="119"/>
  <c r="BD159" i="115"/>
  <c r="BJ159" i="115" s="1"/>
  <c r="BJ155" i="115"/>
  <c r="FX41" i="116"/>
  <c r="AC32" i="119"/>
  <c r="DX44" i="116"/>
  <c r="V35" i="119"/>
  <c r="CX57" i="116"/>
  <c r="CX59" i="116" s="1"/>
  <c r="DF37" i="116"/>
  <c r="DG38" i="116"/>
  <c r="DG57" i="116"/>
  <c r="DG59" i="116" s="1"/>
  <c r="DP37" i="116"/>
  <c r="EB37" i="116" s="1"/>
  <c r="Z31" i="119"/>
  <c r="GA40" i="116"/>
  <c r="EK40" i="116"/>
  <c r="EX43" i="116"/>
  <c r="FG43" i="116" s="1"/>
  <c r="FE37" i="116"/>
  <c r="FE38" i="116" s="1"/>
  <c r="FG38" i="116"/>
  <c r="FP37" i="116"/>
  <c r="AB27" i="119"/>
  <c r="FW36" i="116"/>
  <c r="FZ36" i="116"/>
  <c r="AQ54" i="72"/>
  <c r="BA54" i="72"/>
  <c r="GJ36" i="116"/>
  <c r="AF27" i="119"/>
  <c r="BK44" i="113"/>
  <c r="BE254" i="113"/>
  <c r="BK254" i="113" s="1"/>
  <c r="BD44" i="113"/>
  <c r="BM43" i="113"/>
  <c r="BM253" i="113" s="1"/>
  <c r="EC43" i="116"/>
  <c r="BM33" i="113"/>
  <c r="Y31" i="119"/>
  <c r="EJ40" i="116"/>
  <c r="FZ40" i="116"/>
  <c r="X28" i="119"/>
  <c r="DQ38" i="116"/>
  <c r="DZ37" i="116"/>
  <c r="BG39" i="116"/>
  <c r="BH57" i="116"/>
  <c r="BH59" i="116" s="1"/>
  <c r="BQ39" i="116"/>
  <c r="Y45" i="119"/>
  <c r="FZ54" i="116"/>
  <c r="EJ54" i="116"/>
  <c r="AA23" i="119"/>
  <c r="GB32" i="116"/>
  <c r="EL32" i="116"/>
  <c r="Z76" i="8"/>
  <c r="BN30" i="17"/>
  <c r="AK58" i="19"/>
  <c r="AK61" i="19" s="1"/>
  <c r="AN56" i="72"/>
  <c r="AC38" i="3"/>
  <c r="B19" i="32"/>
  <c r="M42" i="3"/>
  <c r="AN56" i="9"/>
  <c r="O38" i="3"/>
  <c r="AI51" i="7"/>
  <c r="AA50" i="7"/>
  <c r="AB51" i="7"/>
  <c r="AP51" i="7"/>
  <c r="AC51" i="7"/>
  <c r="V56" i="72"/>
  <c r="P48" i="72"/>
  <c r="AN50" i="72"/>
  <c r="AP50" i="72"/>
  <c r="Q50" i="72"/>
  <c r="V50" i="72" s="1"/>
  <c r="T50" i="72"/>
  <c r="Q8" i="8"/>
  <c r="Q51" i="8" s="1"/>
  <c r="W20" i="70"/>
  <c r="V21" i="70"/>
  <c r="AN26" i="7"/>
  <c r="AL26" i="7" s="1"/>
  <c r="BE26" i="7" s="1"/>
  <c r="D39" i="63"/>
  <c r="F32" i="63" s="1"/>
  <c r="G34" i="63" s="1"/>
  <c r="L21" i="87" s="1"/>
  <c r="AQ16" i="7"/>
  <c r="AR16" i="7" s="1"/>
  <c r="AS16" i="7" s="1"/>
  <c r="AI39" i="8"/>
  <c r="AW39" i="8" s="1"/>
  <c r="AZ40" i="8"/>
  <c r="BG33" i="7"/>
  <c r="BG32" i="7" s="1"/>
  <c r="BF33" i="7"/>
  <c r="BF32" i="7" s="1"/>
  <c r="AK39" i="8"/>
  <c r="AK40" i="8" s="1"/>
  <c r="BB40" i="8"/>
  <c r="BB39" i="8" s="1"/>
  <c r="AZ39" i="8" s="1"/>
  <c r="AM52" i="7"/>
  <c r="AW30" i="8"/>
  <c r="AV27" i="8"/>
  <c r="Z18" i="8"/>
  <c r="Z73" i="8" s="1"/>
  <c r="AP27" i="7"/>
  <c r="AZ127" i="7"/>
  <c r="AC42" i="7"/>
  <c r="AC35" i="7" s="1"/>
  <c r="AI27" i="7"/>
  <c r="Y17" i="8"/>
  <c r="AF17" i="8" s="1"/>
  <c r="AZ17" i="7"/>
  <c r="AZ128" i="7"/>
  <c r="BA52" i="7"/>
  <c r="AC27" i="7"/>
  <c r="AQ34" i="7"/>
  <c r="AR34" i="7" s="1"/>
  <c r="AS34" i="7" s="1"/>
  <c r="AA20" i="8"/>
  <c r="AA74" i="8" s="1"/>
  <c r="AF18" i="8"/>
  <c r="AA24" i="8"/>
  <c r="AA77" i="8" s="1"/>
  <c r="Z25" i="8"/>
  <c r="BB25" i="8" s="1"/>
  <c r="BB24" i="8" s="1"/>
  <c r="AI18" i="8"/>
  <c r="BA18" i="8" s="1"/>
  <c r="AM19" i="8"/>
  <c r="AM78" i="8" s="1"/>
  <c r="Z74" i="8"/>
  <c r="BC31" i="7"/>
  <c r="BC32" i="7" s="1"/>
  <c r="BC33" i="7" s="1"/>
  <c r="AM23" i="8"/>
  <c r="AM76" i="8" s="1"/>
  <c r="AY76" i="8"/>
  <c r="AY24" i="8"/>
  <c r="BC14" i="7"/>
  <c r="BN24" i="17"/>
  <c r="BN36" i="17"/>
  <c r="BP36" i="17" s="1"/>
  <c r="BF17" i="7"/>
  <c r="BD24" i="7"/>
  <c r="BD17" i="7" s="1"/>
  <c r="BP30" i="17"/>
  <c r="BN38" i="17"/>
  <c r="BF40" i="7"/>
  <c r="BG40" i="7"/>
  <c r="BG41" i="7" s="1"/>
  <c r="BG35" i="7" s="1"/>
  <c r="AA35" i="7"/>
  <c r="AZ35" i="7"/>
  <c r="AX13" i="8"/>
  <c r="AX14" i="8" s="1"/>
  <c r="AV76" i="8"/>
  <c r="AW76" i="8" s="1"/>
  <c r="AW13" i="8"/>
  <c r="BL36" i="17"/>
  <c r="AB42" i="7"/>
  <c r="AB128" i="7" s="1"/>
  <c r="BB27" i="8"/>
  <c r="BB33" i="7"/>
  <c r="BB27" i="7" s="1"/>
  <c r="BC45" i="11"/>
  <c r="BL30" i="17"/>
  <c r="BT30" i="17"/>
  <c r="BA38" i="17"/>
  <c r="AA19" i="8"/>
  <c r="AA78" i="8" s="1"/>
  <c r="BB125" i="7"/>
  <c r="BB14" i="7"/>
  <c r="AX24" i="8"/>
  <c r="AZ121" i="7"/>
  <c r="X100" i="6"/>
  <c r="Y100" i="6" s="1"/>
  <c r="V104" i="6"/>
  <c r="V105" i="6"/>
  <c r="V101" i="6"/>
  <c r="V102" i="6"/>
  <c r="V107" i="6"/>
  <c r="V106" i="6"/>
  <c r="V108" i="6"/>
  <c r="V110" i="6"/>
  <c r="V112" i="6"/>
  <c r="X64" i="6"/>
  <c r="V65" i="6"/>
  <c r="V66" i="6"/>
  <c r="V67" i="6"/>
  <c r="V68" i="6"/>
  <c r="V70" i="6"/>
  <c r="V71" i="6"/>
  <c r="V73" i="6"/>
  <c r="V123" i="6"/>
  <c r="V124" i="6" s="1"/>
  <c r="V75" i="6"/>
  <c r="V76" i="6"/>
  <c r="V77" i="6"/>
  <c r="V78" i="6"/>
  <c r="V79" i="6"/>
  <c r="V80" i="6"/>
  <c r="V81" i="6"/>
  <c r="V83" i="6"/>
  <c r="V84" i="6"/>
  <c r="V85" i="6"/>
  <c r="V86" i="6"/>
  <c r="X74" i="6"/>
  <c r="Y74" i="6" s="1"/>
  <c r="V89" i="6"/>
  <c r="V91" i="6"/>
  <c r="V92" i="6"/>
  <c r="V93" i="6"/>
  <c r="V94" i="6"/>
  <c r="V96" i="6"/>
  <c r="V97" i="6"/>
  <c r="V98" i="6"/>
  <c r="V99" i="6"/>
  <c r="X113" i="6"/>
  <c r="Y113" i="6" s="1"/>
  <c r="V115" i="6"/>
  <c r="V117" i="6"/>
  <c r="V119" i="6"/>
  <c r="V121" i="6"/>
  <c r="V114" i="6"/>
  <c r="V116" i="6"/>
  <c r="V122" i="6"/>
  <c r="BG54" i="9"/>
  <c r="BB17" i="7"/>
  <c r="BB121" i="7"/>
  <c r="AX79" i="8"/>
  <c r="AY79" i="8"/>
  <c r="BC42" i="7"/>
  <c r="BC35" i="7" s="1"/>
  <c r="BB35" i="7"/>
  <c r="BB128" i="7"/>
  <c r="K32" i="21"/>
  <c r="P32" i="21"/>
  <c r="O10" i="21"/>
  <c r="O29" i="21"/>
  <c r="O26" i="21"/>
  <c r="O25" i="21"/>
  <c r="O32" i="21" s="1"/>
  <c r="O15" i="21"/>
  <c r="O27" i="21"/>
  <c r="O12" i="21"/>
  <c r="O30" i="21"/>
  <c r="O31" i="21"/>
  <c r="P16" i="21"/>
  <c r="O14" i="21"/>
  <c r="O28" i="21"/>
  <c r="O11" i="21"/>
  <c r="O9" i="21"/>
  <c r="AL23" i="8"/>
  <c r="AL76" i="8" s="1"/>
  <c r="AA76" i="8"/>
  <c r="AN20" i="8"/>
  <c r="AM74" i="8"/>
  <c r="Y86" i="8"/>
  <c r="AZ30" i="8"/>
  <c r="Z79" i="8"/>
  <c r="R8" i="8"/>
  <c r="R51" i="8" s="1"/>
  <c r="Z34" i="8"/>
  <c r="AW31" i="8"/>
  <c r="AO125" i="7"/>
  <c r="AH145" i="7"/>
  <c r="AO123" i="7"/>
  <c r="AA128" i="7"/>
  <c r="AI128" i="7" s="1"/>
  <c r="AB50" i="5"/>
  <c r="AN42" i="7" s="1"/>
  <c r="AO42" i="7" s="1"/>
  <c r="AI42" i="7"/>
  <c r="AV33" i="7"/>
  <c r="AV27" i="7" s="1"/>
  <c r="AY27" i="7"/>
  <c r="BE39" i="7"/>
  <c r="BA39" i="7"/>
  <c r="BE31" i="7"/>
  <c r="BA31" i="7"/>
  <c r="AV126" i="7"/>
  <c r="AV135" i="7" s="1"/>
  <c r="AD27" i="7"/>
  <c r="AG27" i="7"/>
  <c r="BC36" i="17"/>
  <c r="AT36" i="17"/>
  <c r="AR41" i="7"/>
  <c r="T42" i="7"/>
  <c r="T35" i="7" s="1"/>
  <c r="R42" i="7"/>
  <c r="Z42" i="7"/>
  <c r="S42" i="7"/>
  <c r="Q35" i="7"/>
  <c r="AX51" i="9"/>
  <c r="BE51" i="9" s="1"/>
  <c r="BG51" i="9"/>
  <c r="BA54" i="9"/>
  <c r="AZ55" i="9"/>
  <c r="Z19" i="7"/>
  <c r="AK31" i="8"/>
  <c r="AF14" i="8"/>
  <c r="Z14" i="8"/>
  <c r="Y15" i="8"/>
  <c r="AZ15" i="8" s="1"/>
  <c r="AQ23" i="7"/>
  <c r="AR23" i="7" s="1"/>
  <c r="AS23" i="7" s="1"/>
  <c r="AO38" i="17"/>
  <c r="V38" i="17"/>
  <c r="AA38" i="17"/>
  <c r="AX38" i="17"/>
  <c r="AF11" i="19"/>
  <c r="AD50" i="19"/>
  <c r="AH57" i="19" s="1"/>
  <c r="T37" i="17"/>
  <c r="AT37" i="17" s="1"/>
  <c r="V24" i="17"/>
  <c r="AX24" i="17"/>
  <c r="BC24" i="17"/>
  <c r="AR33" i="7"/>
  <c r="AS33" i="7" s="1"/>
  <c r="AI24" i="7"/>
  <c r="AP24" i="7"/>
  <c r="AB24" i="7"/>
  <c r="AB126" i="7" s="1"/>
  <c r="AC24" i="7"/>
  <c r="AA25" i="7"/>
  <c r="T19" i="7"/>
  <c r="AN15" i="7"/>
  <c r="R19" i="7"/>
  <c r="AM31" i="7"/>
  <c r="AL36" i="7"/>
  <c r="AI9" i="8"/>
  <c r="AQ52" i="9"/>
  <c r="AN41" i="7"/>
  <c r="AL13" i="7"/>
  <c r="AL125" i="7" s="1"/>
  <c r="BE125" i="7" s="1"/>
  <c r="AO14" i="7"/>
  <c r="W68" i="7"/>
  <c r="W65" i="7"/>
  <c r="E89" i="7"/>
  <c r="G74" i="7"/>
  <c r="Q74" i="7" s="1"/>
  <c r="AL10" i="7"/>
  <c r="AM39" i="7"/>
  <c r="AO32" i="7"/>
  <c r="AL29" i="7"/>
  <c r="X68" i="7"/>
  <c r="X65" i="7"/>
  <c r="AO40" i="7"/>
  <c r="AN33" i="7"/>
  <c r="AN55" i="9"/>
  <c r="E76" i="7"/>
  <c r="E86" i="7" s="1"/>
  <c r="AO50" i="7"/>
  <c r="AA18" i="7"/>
  <c r="V50" i="9"/>
  <c r="P51" i="9"/>
  <c r="T51" i="9" s="1"/>
  <c r="Q48" i="9"/>
  <c r="T48" i="9"/>
  <c r="L29" i="11"/>
  <c r="K29" i="11" s="1"/>
  <c r="O29" i="11" s="1"/>
  <c r="O39" i="11" s="1"/>
  <c r="AA19" i="7" s="1"/>
  <c r="AN24" i="8"/>
  <c r="AL51" i="7"/>
  <c r="BE51" i="7" s="1"/>
  <c r="AN50" i="7"/>
  <c r="AN129" i="7" s="1"/>
  <c r="U99" i="7"/>
  <c r="U101" i="7" s="1"/>
  <c r="T101" i="7"/>
  <c r="Z18" i="7"/>
  <c r="R18" i="7"/>
  <c r="T18" i="7"/>
  <c r="S18" i="7"/>
  <c r="S17" i="7" s="1"/>
  <c r="Q17" i="7"/>
  <c r="AP50" i="9"/>
  <c r="AN50" i="9"/>
  <c r="BA50" i="9" s="1"/>
  <c r="AM29" i="11"/>
  <c r="AL29" i="11" s="1"/>
  <c r="AP29" i="11" s="1"/>
  <c r="AP39" i="11" s="1"/>
  <c r="AI26" i="8"/>
  <c r="AC52" i="6"/>
  <c r="AI33" i="8"/>
  <c r="AC53" i="6"/>
  <c r="AI41" i="8"/>
  <c r="AC54" i="6"/>
  <c r="AA26" i="8"/>
  <c r="AA79" i="8" s="1"/>
  <c r="AN26" i="8"/>
  <c r="AO26" i="8" s="1"/>
  <c r="AO79" i="8" s="1"/>
  <c r="AK16" i="8"/>
  <c r="AI16" i="8"/>
  <c r="AB53" i="5"/>
  <c r="AN16" i="7"/>
  <c r="AN34" i="7"/>
  <c r="AO34" i="7" s="1"/>
  <c r="AQ26" i="7"/>
  <c r="AR26" i="7" s="1"/>
  <c r="AS26" i="7" s="1"/>
  <c r="P55" i="8"/>
  <c r="Q55" i="8" s="1"/>
  <c r="P58" i="8"/>
  <c r="AR15" i="7"/>
  <c r="FP43" i="116" l="1"/>
  <c r="CW59" i="116"/>
  <c r="CW70" i="116"/>
  <c r="Z28" i="119"/>
  <c r="EK37" i="116"/>
  <c r="EB38" i="116"/>
  <c r="EW59" i="116"/>
  <c r="CL43" i="116"/>
  <c r="T34" i="119"/>
  <c r="P34" i="119"/>
  <c r="BY43" i="116"/>
  <c r="CB43" i="116"/>
  <c r="FW44" i="116"/>
  <c r="AB35" i="119"/>
  <c r="FZ44" i="116"/>
  <c r="GK32" i="116"/>
  <c r="AG23" i="119"/>
  <c r="AE27" i="119"/>
  <c r="GI36" i="116"/>
  <c r="DF38" i="116"/>
  <c r="DO37" i="116"/>
  <c r="FX31" i="116"/>
  <c r="AC22" i="119"/>
  <c r="AB22" i="119"/>
  <c r="FW31" i="116"/>
  <c r="GI45" i="116"/>
  <c r="AE36" i="119"/>
  <c r="R48" i="119"/>
  <c r="CA57" i="116"/>
  <c r="BR59" i="116"/>
  <c r="EM57" i="116"/>
  <c r="EM70" i="116" s="1"/>
  <c r="R30" i="119"/>
  <c r="CA39" i="116"/>
  <c r="CD39" i="116"/>
  <c r="BQ57" i="116"/>
  <c r="DF43" i="116"/>
  <c r="DO43" i="116" s="1"/>
  <c r="DP43" i="116"/>
  <c r="FW48" i="116"/>
  <c r="AB39" i="119"/>
  <c r="DH57" i="116"/>
  <c r="DQ39" i="116"/>
  <c r="EO59" i="116"/>
  <c r="FG39" i="116"/>
  <c r="FG57" i="116" s="1"/>
  <c r="EX57" i="116"/>
  <c r="BK41" i="113"/>
  <c r="BD41" i="113"/>
  <c r="BJ41" i="113" s="1"/>
  <c r="Z35" i="119"/>
  <c r="EK44" i="116"/>
  <c r="GA44" i="116"/>
  <c r="GA31" i="116"/>
  <c r="BD32" i="113"/>
  <c r="BK32" i="113"/>
  <c r="BE24" i="113"/>
  <c r="BK24" i="113" s="1"/>
  <c r="EL38" i="116"/>
  <c r="AA29" i="119"/>
  <c r="FO37" i="116"/>
  <c r="GA37" i="116" s="1"/>
  <c r="FF38" i="116"/>
  <c r="GJ41" i="116"/>
  <c r="AF32" i="119"/>
  <c r="BN32" i="113"/>
  <c r="GI54" i="116"/>
  <c r="AE45" i="119"/>
  <c r="CC39" i="116"/>
  <c r="Q30" i="119"/>
  <c r="BZ39" i="116"/>
  <c r="BG57" i="116"/>
  <c r="BG70" i="116" s="1"/>
  <c r="BP39" i="116"/>
  <c r="DZ38" i="116"/>
  <c r="X29" i="119"/>
  <c r="GI40" i="116"/>
  <c r="AE31" i="119"/>
  <c r="AA34" i="119"/>
  <c r="EL43" i="116"/>
  <c r="GB43" i="116"/>
  <c r="BJ44" i="113"/>
  <c r="BD254" i="113"/>
  <c r="BJ254" i="113" s="1"/>
  <c r="AD28" i="119"/>
  <c r="FP38" i="116"/>
  <c r="AD29" i="119" s="1"/>
  <c r="FY37" i="116"/>
  <c r="FY43" i="116"/>
  <c r="AD34" i="119"/>
  <c r="GJ40" i="116"/>
  <c r="AF31" i="119"/>
  <c r="W28" i="119"/>
  <c r="DY37" i="116"/>
  <c r="DP38" i="116"/>
  <c r="AE23" i="119"/>
  <c r="GI32" i="116"/>
  <c r="EV39" i="116"/>
  <c r="EV57" i="116" s="1"/>
  <c r="FF39" i="116"/>
  <c r="GJ45" i="116"/>
  <c r="AF36" i="119"/>
  <c r="AL55" i="72"/>
  <c r="AO55" i="72" s="1"/>
  <c r="AQ55" i="72"/>
  <c r="BA55" i="72"/>
  <c r="Q34" i="119"/>
  <c r="BZ43" i="116"/>
  <c r="GJ54" i="116"/>
  <c r="AF45" i="119"/>
  <c r="FZ31" i="116"/>
  <c r="GI41" i="116"/>
  <c r="AE32" i="119"/>
  <c r="S28" i="119"/>
  <c r="CB38" i="116"/>
  <c r="EA37" i="116"/>
  <c r="CK37" i="116"/>
  <c r="P29" i="119"/>
  <c r="BY38" i="116"/>
  <c r="FX48" i="116"/>
  <c r="AC39" i="119"/>
  <c r="CY59" i="116"/>
  <c r="DQ57" i="116"/>
  <c r="FP39" i="116"/>
  <c r="BJ47" i="113"/>
  <c r="AL32" i="113"/>
  <c r="DF39" i="116"/>
  <c r="DO39" i="116" s="1"/>
  <c r="DP39" i="116"/>
  <c r="GB37" i="116"/>
  <c r="EV43" i="116"/>
  <c r="FF43" i="116"/>
  <c r="FE43" i="116" s="1"/>
  <c r="EV38" i="116"/>
  <c r="FN37" i="116"/>
  <c r="DP57" i="116"/>
  <c r="GI47" i="116"/>
  <c r="AE38" i="119"/>
  <c r="CL38" i="116"/>
  <c r="T29" i="119"/>
  <c r="FX44" i="116"/>
  <c r="AC35" i="119"/>
  <c r="BJ42" i="113"/>
  <c r="AJ39" i="8"/>
  <c r="AI40" i="8"/>
  <c r="BA39" i="8"/>
  <c r="AL60" i="19"/>
  <c r="AM60" i="19" s="1"/>
  <c r="AL57" i="19"/>
  <c r="AL58" i="19"/>
  <c r="K21" i="87"/>
  <c r="K17" i="87" s="1"/>
  <c r="L17" i="87"/>
  <c r="AQ51" i="7"/>
  <c r="AR51" i="7" s="1"/>
  <c r="AS51" i="7" s="1"/>
  <c r="BA56" i="9"/>
  <c r="AQ56" i="9"/>
  <c r="AM48" i="9"/>
  <c r="AQ56" i="72"/>
  <c r="BA56" i="72"/>
  <c r="AM48" i="72"/>
  <c r="AC42" i="3"/>
  <c r="O42" i="3"/>
  <c r="AQ50" i="72"/>
  <c r="BA50" i="72"/>
  <c r="Q48" i="72"/>
  <c r="T48" i="72"/>
  <c r="P51" i="72"/>
  <c r="T51" i="72" s="1"/>
  <c r="AC50" i="7"/>
  <c r="AC129" i="7" s="1"/>
  <c r="AD51" i="7"/>
  <c r="AD50" i="7" s="1"/>
  <c r="AD129" i="7" s="1"/>
  <c r="AA129" i="7"/>
  <c r="AI129" i="7" s="1"/>
  <c r="AI50" i="7"/>
  <c r="AP50" i="7"/>
  <c r="AQ50" i="7" s="1"/>
  <c r="AR50" i="7" s="1"/>
  <c r="AB50" i="7"/>
  <c r="AB129" i="7" s="1"/>
  <c r="F12" i="63"/>
  <c r="BB47" i="8" s="1"/>
  <c r="N18" i="65"/>
  <c r="N14" i="65" s="1"/>
  <c r="F22" i="63"/>
  <c r="I18" i="65" s="1"/>
  <c r="AQ27" i="7"/>
  <c r="AR27" i="7" s="1"/>
  <c r="AS27" i="7" s="1"/>
  <c r="BB34" i="8"/>
  <c r="Z17" i="8"/>
  <c r="BA26" i="7"/>
  <c r="AM26" i="7"/>
  <c r="AM18" i="8"/>
  <c r="AM73" i="8" s="1"/>
  <c r="AM86" i="8" s="1"/>
  <c r="AM90" i="8" s="1"/>
  <c r="U42" i="7"/>
  <c r="U35" i="7" s="1"/>
  <c r="U61" i="7" s="1"/>
  <c r="U65" i="7" s="1"/>
  <c r="AA18" i="8"/>
  <c r="AA73" i="8" s="1"/>
  <c r="AA86" i="8" s="1"/>
  <c r="AA88" i="8" s="1"/>
  <c r="AB35" i="7"/>
  <c r="AQ42" i="7"/>
  <c r="AR42" i="7" s="1"/>
  <c r="AS42" i="7" s="1"/>
  <c r="BC125" i="7"/>
  <c r="AJ18" i="8"/>
  <c r="AI35" i="7"/>
  <c r="AB54" i="5"/>
  <c r="AP35" i="7"/>
  <c r="AQ35" i="7" s="1"/>
  <c r="AC128" i="7"/>
  <c r="AD42" i="7"/>
  <c r="AD128" i="7" s="1"/>
  <c r="AV139" i="7"/>
  <c r="AV141" i="7"/>
  <c r="AN19" i="8"/>
  <c r="AO19" i="8" s="1"/>
  <c r="AO78" i="8" s="1"/>
  <c r="AN19" i="7"/>
  <c r="AN127" i="7" s="1"/>
  <c r="BM39" i="11"/>
  <c r="BN39" i="11" s="1"/>
  <c r="AK23" i="8"/>
  <c r="AK76" i="8" s="1"/>
  <c r="AL19" i="8"/>
  <c r="AL78" i="8" s="1"/>
  <c r="AX76" i="8"/>
  <c r="AA25" i="8"/>
  <c r="BC25" i="8" s="1"/>
  <c r="BC24" i="8" s="1"/>
  <c r="AL24" i="8"/>
  <c r="AL77" i="8" s="1"/>
  <c r="AI73" i="8"/>
  <c r="BA73" i="8" s="1"/>
  <c r="AN23" i="8"/>
  <c r="AN76" i="8" s="1"/>
  <c r="AZ32" i="7"/>
  <c r="AZ33" i="7" s="1"/>
  <c r="AZ27" i="7" s="1"/>
  <c r="BC27" i="7"/>
  <c r="BL38" i="17"/>
  <c r="BC126" i="7"/>
  <c r="BC15" i="7"/>
  <c r="BC8" i="7" s="1"/>
  <c r="BC38" i="17"/>
  <c r="AZ14" i="7"/>
  <c r="BB15" i="7"/>
  <c r="BB8" i="7" s="1"/>
  <c r="BB126" i="7"/>
  <c r="AZ34" i="8"/>
  <c r="AX15" i="8"/>
  <c r="AX8" i="8" s="1"/>
  <c r="AV14" i="8"/>
  <c r="AX77" i="8"/>
  <c r="BD40" i="7"/>
  <c r="BD41" i="7" s="1"/>
  <c r="BD35" i="7" s="1"/>
  <c r="BF41" i="7"/>
  <c r="BF35" i="7" s="1"/>
  <c r="BP38" i="17"/>
  <c r="AY77" i="8"/>
  <c r="AY25" i="8"/>
  <c r="AN56" i="7"/>
  <c r="AN130" i="7" s="1"/>
  <c r="O16" i="21"/>
  <c r="AX25" i="8"/>
  <c r="AV24" i="8"/>
  <c r="AV78" i="8"/>
  <c r="AW78" i="8" s="1"/>
  <c r="AX19" i="8"/>
  <c r="AX78" i="8" s="1"/>
  <c r="AW19" i="8"/>
  <c r="BP24" i="17"/>
  <c r="BN37" i="17"/>
  <c r="BP37" i="17" s="1"/>
  <c r="X122" i="6"/>
  <c r="Y122" i="6" s="1"/>
  <c r="Z122" i="6"/>
  <c r="X114" i="6"/>
  <c r="Y114" i="6" s="1"/>
  <c r="Z114" i="6"/>
  <c r="X121" i="6"/>
  <c r="Y121" i="6" s="1"/>
  <c r="Z121" i="6"/>
  <c r="AC121" i="6"/>
  <c r="AM121" i="6"/>
  <c r="AO121" i="6"/>
  <c r="AS121" i="6"/>
  <c r="AW121" i="6"/>
  <c r="AY121" i="6"/>
  <c r="AT121" i="6"/>
  <c r="AB121" i="6"/>
  <c r="AN121" i="6"/>
  <c r="AR121" i="6"/>
  <c r="V120" i="6"/>
  <c r="X120" i="6" s="1"/>
  <c r="AX121" i="6"/>
  <c r="X117" i="6"/>
  <c r="Y117" i="6" s="1"/>
  <c r="Z117" i="6"/>
  <c r="X98" i="6"/>
  <c r="Y98" i="6" s="1"/>
  <c r="Z98" i="6"/>
  <c r="X96" i="6"/>
  <c r="Y96" i="6" s="1"/>
  <c r="Z96" i="6"/>
  <c r="AC96" i="6"/>
  <c r="AM96" i="6"/>
  <c r="AO96" i="6"/>
  <c r="AS96" i="6"/>
  <c r="AW96" i="6"/>
  <c r="AY96" i="6"/>
  <c r="V95" i="6"/>
  <c r="AB96" i="6"/>
  <c r="AN96" i="6"/>
  <c r="AR96" i="6"/>
  <c r="AT96" i="6"/>
  <c r="AX96" i="6"/>
  <c r="X93" i="6"/>
  <c r="Y93" i="6" s="1"/>
  <c r="Z93" i="6"/>
  <c r="V90" i="6"/>
  <c r="AB91" i="6"/>
  <c r="AN91" i="6"/>
  <c r="AW91" i="6"/>
  <c r="X91" i="6"/>
  <c r="Y91" i="6" s="1"/>
  <c r="Z91" i="6"/>
  <c r="AC91" i="6"/>
  <c r="AM91" i="6"/>
  <c r="AT91" i="6"/>
  <c r="AX91" i="6"/>
  <c r="Z85" i="6"/>
  <c r="X85" i="6"/>
  <c r="Y85" i="6" s="1"/>
  <c r="Z83" i="6"/>
  <c r="X83" i="6"/>
  <c r="Y83" i="6" s="1"/>
  <c r="X80" i="6"/>
  <c r="Y80" i="6" s="1"/>
  <c r="Z80" i="6"/>
  <c r="X78" i="6"/>
  <c r="Y78" i="6" s="1"/>
  <c r="Z78" i="6"/>
  <c r="X76" i="6"/>
  <c r="Y76" i="6" s="1"/>
  <c r="V72" i="6"/>
  <c r="AB73" i="6"/>
  <c r="AB72" i="6" s="1"/>
  <c r="AN73" i="6"/>
  <c r="AN72" i="6" s="1"/>
  <c r="AR73" i="6"/>
  <c r="AT73" i="6"/>
  <c r="AT72" i="6" s="1"/>
  <c r="AX73" i="6"/>
  <c r="AX72" i="6" s="1"/>
  <c r="Z73" i="6"/>
  <c r="AM73" i="6"/>
  <c r="AY73" i="6"/>
  <c r="X73" i="6"/>
  <c r="Y73" i="6" s="1"/>
  <c r="AC73" i="6"/>
  <c r="AC72" i="6" s="1"/>
  <c r="AO73" i="6"/>
  <c r="AO72" i="6" s="1"/>
  <c r="AS73" i="6"/>
  <c r="AS72" i="6" s="1"/>
  <c r="AW73" i="6"/>
  <c r="X70" i="6"/>
  <c r="Y70" i="6" s="1"/>
  <c r="Z70" i="6"/>
  <c r="V69" i="6"/>
  <c r="X65" i="6"/>
  <c r="Z65" i="6"/>
  <c r="Y65" i="6"/>
  <c r="X110" i="6"/>
  <c r="Y110" i="6" s="1"/>
  <c r="Z110" i="6"/>
  <c r="V109" i="6"/>
  <c r="X106" i="6"/>
  <c r="Y106" i="6" s="1"/>
  <c r="Z106" i="6"/>
  <c r="X102" i="6"/>
  <c r="Y102" i="6" s="1"/>
  <c r="AR102" i="6"/>
  <c r="X104" i="6"/>
  <c r="Y104" i="6" s="1"/>
  <c r="Z104" i="6"/>
  <c r="X116" i="6"/>
  <c r="Y116" i="6" s="1"/>
  <c r="Z116" i="6"/>
  <c r="X119" i="6"/>
  <c r="Y119" i="6" s="1"/>
  <c r="Y118" i="6" s="1"/>
  <c r="Z119" i="6"/>
  <c r="V118" i="6"/>
  <c r="X118" i="6" s="1"/>
  <c r="X115" i="6"/>
  <c r="Y115" i="6" s="1"/>
  <c r="X99" i="6"/>
  <c r="Y99" i="6" s="1"/>
  <c r="Z99" i="6"/>
  <c r="X97" i="6"/>
  <c r="Y97" i="6" s="1"/>
  <c r="Z97" i="6"/>
  <c r="X94" i="6"/>
  <c r="Y94" i="6" s="1"/>
  <c r="Z94" i="6"/>
  <c r="X92" i="6"/>
  <c r="Y92" i="6" s="1"/>
  <c r="Z92" i="6"/>
  <c r="X89" i="6"/>
  <c r="Y89" i="6" s="1"/>
  <c r="Z89" i="6"/>
  <c r="X86" i="6"/>
  <c r="Y86" i="6" s="1"/>
  <c r="Z86" i="6"/>
  <c r="X84" i="6"/>
  <c r="Y84" i="6" s="1"/>
  <c r="Z84" i="6"/>
  <c r="Z81" i="6"/>
  <c r="X81" i="6"/>
  <c r="Y81" i="6" s="1"/>
  <c r="Z79" i="6"/>
  <c r="X79" i="6"/>
  <c r="Y79" i="6" s="1"/>
  <c r="Z77" i="6"/>
  <c r="X77" i="6"/>
  <c r="Y77" i="6" s="1"/>
  <c r="Z75" i="6"/>
  <c r="X75" i="6"/>
  <c r="Y75" i="6" s="1"/>
  <c r="X71" i="6"/>
  <c r="Z71" i="6"/>
  <c r="Y71" i="6"/>
  <c r="X68" i="6"/>
  <c r="Y68" i="6" s="1"/>
  <c r="Z68" i="6"/>
  <c r="X66" i="6"/>
  <c r="Y66" i="6" s="1"/>
  <c r="X112" i="6"/>
  <c r="Y112" i="6" s="1"/>
  <c r="Z112" i="6"/>
  <c r="V111" i="6"/>
  <c r="X108" i="6"/>
  <c r="Y108" i="6" s="1"/>
  <c r="Z108" i="6"/>
  <c r="X107" i="6"/>
  <c r="Y107" i="6" s="1"/>
  <c r="Z107" i="6"/>
  <c r="X101" i="6"/>
  <c r="Y101" i="6" s="1"/>
  <c r="Z101" i="6"/>
  <c r="X105" i="6"/>
  <c r="Y105" i="6" s="1"/>
  <c r="Z105" i="6"/>
  <c r="X123" i="6"/>
  <c r="X124" i="6" s="1"/>
  <c r="Y64" i="6"/>
  <c r="Y123" i="6" s="1"/>
  <c r="Y124" i="6" s="1"/>
  <c r="X67" i="6"/>
  <c r="Z67" i="6"/>
  <c r="Y67" i="6"/>
  <c r="AX18" i="8"/>
  <c r="AV73" i="8"/>
  <c r="AW18" i="8"/>
  <c r="BC128" i="7"/>
  <c r="AI79" i="8"/>
  <c r="BA79" i="8" s="1"/>
  <c r="Z15" i="8"/>
  <c r="Z77" i="8"/>
  <c r="Z86" i="8" s="1"/>
  <c r="AO24" i="8"/>
  <c r="AO77" i="8" s="1"/>
  <c r="AN77" i="8"/>
  <c r="BA30" i="8"/>
  <c r="AF86" i="8"/>
  <c r="Y88" i="8"/>
  <c r="AF88" i="8" s="1"/>
  <c r="Y90" i="8"/>
  <c r="AO20" i="8"/>
  <c r="AO74" i="8" s="1"/>
  <c r="AN74" i="8"/>
  <c r="AI27" i="8"/>
  <c r="AJ27" i="8" s="1"/>
  <c r="BA33" i="8"/>
  <c r="AW33" i="8"/>
  <c r="AW26" i="8"/>
  <c r="BA26" i="8"/>
  <c r="BA9" i="8"/>
  <c r="AW9" i="8"/>
  <c r="AW16" i="8"/>
  <c r="BA16" i="8"/>
  <c r="AJ41" i="8"/>
  <c r="BA41" i="8"/>
  <c r="AW41" i="8"/>
  <c r="AW40" i="8"/>
  <c r="BA40" i="8"/>
  <c r="AO129" i="7"/>
  <c r="AC19" i="7"/>
  <c r="AC127" i="7" s="1"/>
  <c r="AA127" i="7"/>
  <c r="AI127" i="7" s="1"/>
  <c r="AM125" i="7"/>
  <c r="BA125" i="7"/>
  <c r="AC25" i="7"/>
  <c r="AC126" i="7"/>
  <c r="AN128" i="7"/>
  <c r="AL123" i="7"/>
  <c r="BE123" i="7" s="1"/>
  <c r="AO126" i="7"/>
  <c r="BE36" i="7"/>
  <c r="BA36" i="7"/>
  <c r="BE29" i="7"/>
  <c r="BA29" i="7"/>
  <c r="BE10" i="7"/>
  <c r="BA10" i="7"/>
  <c r="BA13" i="7"/>
  <c r="BE13" i="7"/>
  <c r="BA51" i="7"/>
  <c r="AV15" i="7"/>
  <c r="AV8" i="7" s="1"/>
  <c r="AV61" i="7" s="1"/>
  <c r="AS15" i="7"/>
  <c r="AS41" i="7"/>
  <c r="AF27" i="7"/>
  <c r="R35" i="7"/>
  <c r="S35" i="7"/>
  <c r="S61" i="7" s="1"/>
  <c r="Z35" i="7"/>
  <c r="AX55" i="9"/>
  <c r="BE55" i="9" s="1"/>
  <c r="BG55" i="9"/>
  <c r="AQ55" i="9"/>
  <c r="BA55" i="9"/>
  <c r="AJ33" i="8"/>
  <c r="AN25" i="7"/>
  <c r="AP25" i="7"/>
  <c r="AI25" i="7"/>
  <c r="AN24" i="7"/>
  <c r="AN126" i="7" s="1"/>
  <c r="AX37" i="17"/>
  <c r="AA37" i="17"/>
  <c r="V37" i="17"/>
  <c r="AO37" i="17"/>
  <c r="BC37" i="17"/>
  <c r="AD51" i="19"/>
  <c r="AF50" i="19"/>
  <c r="AI15" i="8"/>
  <c r="Y8" i="8"/>
  <c r="AQ24" i="7"/>
  <c r="AR24" i="7" s="1"/>
  <c r="AS24" i="7" s="1"/>
  <c r="AI19" i="7"/>
  <c r="R17" i="7"/>
  <c r="AL55" i="9"/>
  <c r="AO55" i="9" s="1"/>
  <c r="T17" i="7"/>
  <c r="T61" i="7" s="1"/>
  <c r="T65" i="7" s="1"/>
  <c r="T68" i="7" s="1"/>
  <c r="AM36" i="7"/>
  <c r="AM10" i="7"/>
  <c r="AO15" i="7"/>
  <c r="AL14" i="7"/>
  <c r="AL40" i="7"/>
  <c r="AO41" i="7"/>
  <c r="AP19" i="7"/>
  <c r="AB19" i="7"/>
  <c r="AB127" i="7" s="1"/>
  <c r="AL32" i="7"/>
  <c r="AO33" i="7"/>
  <c r="AO27" i="7" s="1"/>
  <c r="AJ9" i="8"/>
  <c r="AK9" i="8"/>
  <c r="AM29" i="7"/>
  <c r="AM13" i="7"/>
  <c r="AM51" i="7"/>
  <c r="AL50" i="7"/>
  <c r="AL129" i="7" s="1"/>
  <c r="BE129" i="7" s="1"/>
  <c r="V48" i="9"/>
  <c r="Q51" i="9"/>
  <c r="AA9" i="7"/>
  <c r="AA121" i="7" s="1"/>
  <c r="AI18" i="7"/>
  <c r="AC18" i="7"/>
  <c r="AP18" i="7"/>
  <c r="AA17" i="7"/>
  <c r="AB18" i="7"/>
  <c r="AQ50" i="9"/>
  <c r="AN18" i="7"/>
  <c r="Q61" i="7"/>
  <c r="Z17" i="7"/>
  <c r="AI17" i="8"/>
  <c r="AJ26" i="8"/>
  <c r="AI34" i="8"/>
  <c r="AJ16" i="8"/>
  <c r="AM16" i="8"/>
  <c r="AM79" i="8" s="1"/>
  <c r="AO16" i="7"/>
  <c r="AL34" i="7"/>
  <c r="AN27" i="7"/>
  <c r="AL42" i="7"/>
  <c r="AN35" i="7"/>
  <c r="P59" i="8"/>
  <c r="Q58" i="8"/>
  <c r="FN43" i="116" l="1"/>
  <c r="EV59" i="116"/>
  <c r="EV70" i="116"/>
  <c r="AF28" i="119"/>
  <c r="GJ37" i="116"/>
  <c r="GA38" i="116"/>
  <c r="AB28" i="119"/>
  <c r="FN38" i="116"/>
  <c r="FW37" i="116"/>
  <c r="AB34" i="119"/>
  <c r="FW43" i="116"/>
  <c r="AG28" i="119"/>
  <c r="GK37" i="116"/>
  <c r="GB38" i="116"/>
  <c r="DX39" i="116"/>
  <c r="V30" i="119"/>
  <c r="X48" i="119"/>
  <c r="DQ59" i="116"/>
  <c r="DZ57" i="116"/>
  <c r="EA38" i="116"/>
  <c r="Y28" i="119"/>
  <c r="EJ37" i="116"/>
  <c r="FZ37" i="116"/>
  <c r="DY38" i="116"/>
  <c r="W29" i="119"/>
  <c r="GK43" i="116"/>
  <c r="AG34" i="119"/>
  <c r="BG59" i="116"/>
  <c r="BP57" i="116"/>
  <c r="BP70" i="116" s="1"/>
  <c r="BM32" i="113"/>
  <c r="BN24" i="113"/>
  <c r="BJ32" i="113"/>
  <c r="GJ31" i="116"/>
  <c r="AF22" i="119"/>
  <c r="GJ44" i="116"/>
  <c r="AF35" i="119"/>
  <c r="FG59" i="116"/>
  <c r="X30" i="119"/>
  <c r="DZ39" i="116"/>
  <c r="W34" i="119"/>
  <c r="DY43" i="116"/>
  <c r="BZ57" i="116"/>
  <c r="Q48" i="119"/>
  <c r="BQ59" i="116"/>
  <c r="EM59" i="116"/>
  <c r="CA59" i="116"/>
  <c r="R50" i="119"/>
  <c r="DF57" i="116"/>
  <c r="DF70" i="116" s="1"/>
  <c r="GI44" i="116"/>
  <c r="AE35" i="119"/>
  <c r="FO43" i="116"/>
  <c r="EK38" i="116"/>
  <c r="Z29" i="119"/>
  <c r="DY57" i="116"/>
  <c r="W48" i="119"/>
  <c r="DP59" i="116"/>
  <c r="DY39" i="116"/>
  <c r="W30" i="119"/>
  <c r="FY39" i="116"/>
  <c r="AD30" i="119"/>
  <c r="S29" i="119"/>
  <c r="CK38" i="116"/>
  <c r="AE22" i="119"/>
  <c r="GI31" i="116"/>
  <c r="FE39" i="116"/>
  <c r="FE57" i="116" s="1"/>
  <c r="FO39" i="116"/>
  <c r="FF57" i="116"/>
  <c r="P30" i="119"/>
  <c r="BY39" i="116"/>
  <c r="CB39" i="116"/>
  <c r="T30" i="119"/>
  <c r="CL39" i="116"/>
  <c r="EB39" i="116"/>
  <c r="AC28" i="119"/>
  <c r="FX37" i="116"/>
  <c r="FO38" i="116"/>
  <c r="AC29" i="119" s="1"/>
  <c r="EX59" i="116"/>
  <c r="FP57" i="116"/>
  <c r="DH59" i="116"/>
  <c r="V34" i="119"/>
  <c r="DX43" i="116"/>
  <c r="U30" i="119"/>
  <c r="CM39" i="116"/>
  <c r="EC39" i="116"/>
  <c r="FN39" i="116"/>
  <c r="V28" i="119"/>
  <c r="DO38" i="116"/>
  <c r="DX37" i="116"/>
  <c r="CK43" i="116"/>
  <c r="S34" i="119"/>
  <c r="EA43" i="116"/>
  <c r="EB43" i="116"/>
  <c r="AM88" i="8"/>
  <c r="AQ18" i="19"/>
  <c r="AQ22" i="19"/>
  <c r="AQ28" i="19"/>
  <c r="AQ34" i="19"/>
  <c r="AQ49" i="19"/>
  <c r="AQ13" i="19"/>
  <c r="AQ8" i="19"/>
  <c r="AQ19" i="19"/>
  <c r="AQ25" i="19"/>
  <c r="AQ29" i="19"/>
  <c r="AQ35" i="19"/>
  <c r="AQ16" i="19"/>
  <c r="AQ9" i="19"/>
  <c r="AQ20" i="19"/>
  <c r="AQ24" i="19"/>
  <c r="AQ44" i="19"/>
  <c r="AQ47" i="19"/>
  <c r="AQ46" i="19"/>
  <c r="AQ43" i="19"/>
  <c r="AQ45" i="19"/>
  <c r="AQ27" i="19"/>
  <c r="AQ31" i="19"/>
  <c r="AQ39" i="19"/>
  <c r="AQ48" i="19"/>
  <c r="AQ23" i="19"/>
  <c r="AQ32" i="19"/>
  <c r="AQ36" i="19"/>
  <c r="AQ40" i="19"/>
  <c r="AQ17" i="19"/>
  <c r="AQ33" i="19"/>
  <c r="AQ37" i="19"/>
  <c r="AQ41" i="19"/>
  <c r="AQ21" i="19"/>
  <c r="AQ26" i="19"/>
  <c r="AQ30" i="19"/>
  <c r="AQ38" i="19"/>
  <c r="AQ42" i="19"/>
  <c r="AQ10" i="19"/>
  <c r="AQ11" i="19"/>
  <c r="AM58" i="19"/>
  <c r="AZ46" i="8" s="1"/>
  <c r="AP13" i="19"/>
  <c r="AP18" i="19"/>
  <c r="AP20" i="19"/>
  <c r="AP24" i="19"/>
  <c r="AP28" i="19"/>
  <c r="AP34" i="19"/>
  <c r="AP49" i="19"/>
  <c r="AP9" i="19"/>
  <c r="AP16" i="19"/>
  <c r="AP19" i="19"/>
  <c r="AP22" i="19"/>
  <c r="AP25" i="19"/>
  <c r="AP29" i="19"/>
  <c r="AP35" i="19"/>
  <c r="AP8" i="19"/>
  <c r="AP44" i="19"/>
  <c r="AP47" i="19"/>
  <c r="AP46" i="19"/>
  <c r="AP43" i="19"/>
  <c r="AP45" i="19"/>
  <c r="AP27" i="19"/>
  <c r="AP31" i="19"/>
  <c r="AP39" i="19"/>
  <c r="AP48" i="19"/>
  <c r="AP23" i="19"/>
  <c r="AP32" i="19"/>
  <c r="AP36" i="19"/>
  <c r="AP40" i="19"/>
  <c r="AP17" i="19"/>
  <c r="AP33" i="19"/>
  <c r="AP37" i="19"/>
  <c r="AP41" i="19"/>
  <c r="AP21" i="19"/>
  <c r="AP26" i="19"/>
  <c r="AP30" i="19"/>
  <c r="AP38" i="19"/>
  <c r="AP42" i="19"/>
  <c r="AL61" i="19"/>
  <c r="AP10" i="19"/>
  <c r="AP11" i="19"/>
  <c r="AM57" i="19"/>
  <c r="AS50" i="7"/>
  <c r="AP48" i="9"/>
  <c r="AM51" i="9"/>
  <c r="AP51" i="9" s="1"/>
  <c r="AN48" i="9"/>
  <c r="AP48" i="72"/>
  <c r="AN48" i="72"/>
  <c r="AM51" i="72"/>
  <c r="AP51" i="72" s="1"/>
  <c r="I14" i="65"/>
  <c r="K14" i="65"/>
  <c r="V48" i="72"/>
  <c r="Q51" i="72"/>
  <c r="AZ47" i="8"/>
  <c r="AZ82" i="8" s="1"/>
  <c r="BB82" i="8"/>
  <c r="F18" i="65" s="1"/>
  <c r="F14" i="65" s="1"/>
  <c r="AM17" i="8"/>
  <c r="AM51" i="8" s="1"/>
  <c r="F36" i="63"/>
  <c r="U68" i="7"/>
  <c r="AN18" i="8"/>
  <c r="AN73" i="8" s="1"/>
  <c r="AN86" i="8" s="1"/>
  <c r="Z8" i="8"/>
  <c r="Z51" i="8" s="1"/>
  <c r="Z61" i="8" s="1"/>
  <c r="Z62" i="8" s="1"/>
  <c r="BB15" i="8"/>
  <c r="BB14" i="8" s="1"/>
  <c r="AL18" i="8"/>
  <c r="AL73" i="8" s="1"/>
  <c r="AA17" i="8"/>
  <c r="AA51" i="8" s="1"/>
  <c r="AA55" i="8" s="1"/>
  <c r="BF27" i="7"/>
  <c r="AL25" i="8"/>
  <c r="AK24" i="8"/>
  <c r="AK25" i="8" s="1"/>
  <c r="AO23" i="8"/>
  <c r="AO76" i="8" s="1"/>
  <c r="AD35" i="7"/>
  <c r="AL19" i="7"/>
  <c r="AL127" i="7" s="1"/>
  <c r="AV144" i="7"/>
  <c r="AV145" i="7" s="1"/>
  <c r="AV142" i="7"/>
  <c r="AN78" i="8"/>
  <c r="AW73" i="8"/>
  <c r="AJ79" i="8"/>
  <c r="AJ73" i="8"/>
  <c r="AK19" i="8"/>
  <c r="AK78" i="8" s="1"/>
  <c r="AY19" i="8"/>
  <c r="AY78" i="8" s="1"/>
  <c r="BG27" i="7"/>
  <c r="AW24" i="8"/>
  <c r="AV25" i="8"/>
  <c r="AV17" i="8"/>
  <c r="AW17" i="8" s="1"/>
  <c r="AV15" i="8"/>
  <c r="AW15" i="8" s="1"/>
  <c r="AV77" i="8"/>
  <c r="AQ25" i="7"/>
  <c r="AR25" i="7" s="1"/>
  <c r="Y120" i="6"/>
  <c r="AC17" i="7"/>
  <c r="AQ19" i="7"/>
  <c r="AR19" i="7" s="1"/>
  <c r="AZ15" i="7"/>
  <c r="BF14" i="7" s="1"/>
  <c r="AZ126" i="7"/>
  <c r="AC67" i="6"/>
  <c r="AM67" i="6"/>
  <c r="AO67" i="6"/>
  <c r="AS67" i="6"/>
  <c r="AW67" i="6"/>
  <c r="AY67" i="6"/>
  <c r="AB67" i="6"/>
  <c r="AD67" i="6" s="1"/>
  <c r="AN67" i="6"/>
  <c r="AR67" i="6"/>
  <c r="AT67" i="6"/>
  <c r="AX67" i="6"/>
  <c r="AB105" i="6"/>
  <c r="AN105" i="6"/>
  <c r="AR105" i="6"/>
  <c r="AC105" i="6"/>
  <c r="AD105" i="6" s="1"/>
  <c r="AM105" i="6"/>
  <c r="AO105" i="6"/>
  <c r="AS105" i="6"/>
  <c r="AW105" i="6"/>
  <c r="AY105" i="6"/>
  <c r="AT105" i="6"/>
  <c r="AX105" i="6"/>
  <c r="AC107" i="6"/>
  <c r="AM107" i="6"/>
  <c r="AO107" i="6"/>
  <c r="AS107" i="6"/>
  <c r="AW107" i="6"/>
  <c r="AY107" i="6"/>
  <c r="AB107" i="6"/>
  <c r="AD107" i="6" s="1"/>
  <c r="AN107" i="6"/>
  <c r="AR107" i="6"/>
  <c r="AT107" i="6"/>
  <c r="AX107" i="6"/>
  <c r="X111" i="6"/>
  <c r="Y111" i="6" s="1"/>
  <c r="AC71" i="6"/>
  <c r="AM71" i="6"/>
  <c r="AO71" i="6"/>
  <c r="AS71" i="6"/>
  <c r="AW71" i="6"/>
  <c r="AY71" i="6"/>
  <c r="AB71" i="6"/>
  <c r="AN71" i="6"/>
  <c r="AR71" i="6"/>
  <c r="AT71" i="6"/>
  <c r="AX71" i="6"/>
  <c r="AB79" i="6"/>
  <c r="AN79" i="6"/>
  <c r="AR79" i="6"/>
  <c r="AT79" i="6"/>
  <c r="AX79" i="6"/>
  <c r="AM79" i="6"/>
  <c r="AY79" i="6"/>
  <c r="AC79" i="6"/>
  <c r="AO79" i="6"/>
  <c r="AS79" i="6"/>
  <c r="AW79" i="6"/>
  <c r="AZ79" i="6" s="1"/>
  <c r="AB86" i="6"/>
  <c r="AN86" i="6"/>
  <c r="AR86" i="6"/>
  <c r="AT86" i="6"/>
  <c r="AX86" i="6"/>
  <c r="AC86" i="6"/>
  <c r="AO86" i="6"/>
  <c r="AS86" i="6"/>
  <c r="AW86" i="6"/>
  <c r="AM86" i="6"/>
  <c r="AY86" i="6"/>
  <c r="AC94" i="6"/>
  <c r="AM94" i="6"/>
  <c r="AO94" i="6"/>
  <c r="AS94" i="6"/>
  <c r="AW94" i="6"/>
  <c r="AY94" i="6"/>
  <c r="AB94" i="6"/>
  <c r="AN94" i="6"/>
  <c r="AR94" i="6"/>
  <c r="AT94" i="6"/>
  <c r="AX94" i="6"/>
  <c r="AC99" i="6"/>
  <c r="AM99" i="6"/>
  <c r="AO99" i="6"/>
  <c r="AS99" i="6"/>
  <c r="AW99" i="6"/>
  <c r="AY99" i="6"/>
  <c r="AB99" i="6"/>
  <c r="AN99" i="6"/>
  <c r="AR99" i="6"/>
  <c r="AT99" i="6"/>
  <c r="AX99" i="6"/>
  <c r="AC116" i="6"/>
  <c r="AM116" i="6"/>
  <c r="AO116" i="6"/>
  <c r="AS116" i="6"/>
  <c r="AW116" i="6"/>
  <c r="AY116" i="6"/>
  <c r="AT116" i="6"/>
  <c r="AX116" i="6"/>
  <c r="AB116" i="6"/>
  <c r="AD116" i="6" s="1"/>
  <c r="AN116" i="6"/>
  <c r="AR116" i="6"/>
  <c r="AB104" i="6"/>
  <c r="AN104" i="6"/>
  <c r="AR104" i="6"/>
  <c r="AT104" i="6"/>
  <c r="AX104" i="6"/>
  <c r="AC104" i="6"/>
  <c r="AM104" i="6"/>
  <c r="AO104" i="6"/>
  <c r="AS104" i="6"/>
  <c r="AW104" i="6"/>
  <c r="AY104" i="6"/>
  <c r="AT102" i="6"/>
  <c r="AX102" i="6"/>
  <c r="AS102" i="6"/>
  <c r="AU102" i="6" s="1"/>
  <c r="AV102" i="6" s="1"/>
  <c r="AW102" i="6"/>
  <c r="AY102" i="6"/>
  <c r="X109" i="6"/>
  <c r="Y109" i="6" s="1"/>
  <c r="X69" i="6"/>
  <c r="Y69" i="6" s="1"/>
  <c r="AY72" i="6"/>
  <c r="BA73" i="6"/>
  <c r="AD73" i="6"/>
  <c r="Z72" i="6"/>
  <c r="AD72" i="6" s="1"/>
  <c r="AB80" i="6"/>
  <c r="AN80" i="6"/>
  <c r="AR80" i="6"/>
  <c r="AT80" i="6"/>
  <c r="AX80" i="6"/>
  <c r="AC80" i="6"/>
  <c r="AO80" i="6"/>
  <c r="AS80" i="6"/>
  <c r="AW80" i="6"/>
  <c r="AM80" i="6"/>
  <c r="AY80" i="6"/>
  <c r="AB83" i="6"/>
  <c r="AD83" i="6" s="1"/>
  <c r="AN83" i="6"/>
  <c r="AR83" i="6"/>
  <c r="AT83" i="6"/>
  <c r="AX83" i="6"/>
  <c r="AM83" i="6"/>
  <c r="AY83" i="6"/>
  <c r="AC83" i="6"/>
  <c r="AO83" i="6"/>
  <c r="AS83" i="6"/>
  <c r="AW83" i="6"/>
  <c r="AU91" i="6"/>
  <c r="AC93" i="6"/>
  <c r="AM93" i="6"/>
  <c r="AO93" i="6"/>
  <c r="AS93" i="6"/>
  <c r="AW93" i="6"/>
  <c r="AY93" i="6"/>
  <c r="AB93" i="6"/>
  <c r="AN93" i="6"/>
  <c r="AR93" i="6"/>
  <c r="AT93" i="6"/>
  <c r="AX93" i="6"/>
  <c r="AU96" i="6"/>
  <c r="X95" i="6"/>
  <c r="Y95" i="6" s="1"/>
  <c r="AZ96" i="6"/>
  <c r="AC98" i="6"/>
  <c r="AM98" i="6"/>
  <c r="AO98" i="6"/>
  <c r="AS98" i="6"/>
  <c r="AW98" i="6"/>
  <c r="AY98" i="6"/>
  <c r="AB98" i="6"/>
  <c r="AN98" i="6"/>
  <c r="AR98" i="6"/>
  <c r="AU98" i="6" s="1"/>
  <c r="AT98" i="6"/>
  <c r="AX98" i="6"/>
  <c r="AU121" i="6"/>
  <c r="BA121" i="6"/>
  <c r="AP121" i="6"/>
  <c r="Z120" i="6"/>
  <c r="AD121" i="6"/>
  <c r="AQ121" i="6" s="1"/>
  <c r="AV121" i="6" s="1"/>
  <c r="AC114" i="6"/>
  <c r="AM114" i="6"/>
  <c r="AO114" i="6"/>
  <c r="Z115" i="6"/>
  <c r="AD114" i="6"/>
  <c r="AB114" i="6"/>
  <c r="AN114" i="6"/>
  <c r="X90" i="6"/>
  <c r="AC101" i="6"/>
  <c r="AM101" i="6"/>
  <c r="AO101" i="6"/>
  <c r="AB101" i="6"/>
  <c r="AN101" i="6"/>
  <c r="AC108" i="6"/>
  <c r="AM108" i="6"/>
  <c r="AO108" i="6"/>
  <c r="AS108" i="6"/>
  <c r="AW108" i="6"/>
  <c r="AY108" i="6"/>
  <c r="AT108" i="6"/>
  <c r="AX108" i="6"/>
  <c r="AB108" i="6"/>
  <c r="AD108" i="6" s="1"/>
  <c r="AN108" i="6"/>
  <c r="AR108" i="6"/>
  <c r="Z111" i="6"/>
  <c r="AC112" i="6"/>
  <c r="AC111" i="6" s="1"/>
  <c r="AM112" i="6"/>
  <c r="AO112" i="6"/>
  <c r="AO111" i="6" s="1"/>
  <c r="AS112" i="6"/>
  <c r="AS111" i="6" s="1"/>
  <c r="AW112" i="6"/>
  <c r="AY112" i="6"/>
  <c r="AT112" i="6"/>
  <c r="AT111" i="6" s="1"/>
  <c r="AX112" i="6"/>
  <c r="AX111" i="6" s="1"/>
  <c r="AB112" i="6"/>
  <c r="AB111" i="6" s="1"/>
  <c r="AN112" i="6"/>
  <c r="AN111" i="6" s="1"/>
  <c r="AR112" i="6"/>
  <c r="AC68" i="6"/>
  <c r="AM68" i="6"/>
  <c r="AO68" i="6"/>
  <c r="AS68" i="6"/>
  <c r="AW68" i="6"/>
  <c r="AY68" i="6"/>
  <c r="AB68" i="6"/>
  <c r="AD68" i="6" s="1"/>
  <c r="AN68" i="6"/>
  <c r="AR68" i="6"/>
  <c r="AT68" i="6"/>
  <c r="AX68" i="6"/>
  <c r="AB75" i="6"/>
  <c r="AN75" i="6"/>
  <c r="AM75" i="6"/>
  <c r="AC75" i="6"/>
  <c r="AO75" i="6"/>
  <c r="Z76" i="6"/>
  <c r="AB77" i="6"/>
  <c r="AN77" i="6"/>
  <c r="AR77" i="6"/>
  <c r="AT77" i="6"/>
  <c r="AX77" i="6"/>
  <c r="AM77" i="6"/>
  <c r="AY77" i="6"/>
  <c r="AC77" i="6"/>
  <c r="AO77" i="6"/>
  <c r="AS77" i="6"/>
  <c r="AW77" i="6"/>
  <c r="AZ77" i="6" s="1"/>
  <c r="AB81" i="6"/>
  <c r="AN81" i="6"/>
  <c r="AR81" i="6"/>
  <c r="AT81" i="6"/>
  <c r="AX81" i="6"/>
  <c r="AM81" i="6"/>
  <c r="AY81" i="6"/>
  <c r="AC81" i="6"/>
  <c r="AO81" i="6"/>
  <c r="AS81" i="6"/>
  <c r="AW81" i="6"/>
  <c r="AZ81" i="6" s="1"/>
  <c r="AB84" i="6"/>
  <c r="AN84" i="6"/>
  <c r="AR84" i="6"/>
  <c r="AT84" i="6"/>
  <c r="AX84" i="6"/>
  <c r="AC84" i="6"/>
  <c r="AO84" i="6"/>
  <c r="AS84" i="6"/>
  <c r="AW84" i="6"/>
  <c r="AM84" i="6"/>
  <c r="AY84" i="6"/>
  <c r="AB89" i="6"/>
  <c r="AN89" i="6"/>
  <c r="AR89" i="6"/>
  <c r="AT89" i="6"/>
  <c r="AX89" i="6"/>
  <c r="AC89" i="6"/>
  <c r="AM89" i="6"/>
  <c r="AO89" i="6"/>
  <c r="AS89" i="6"/>
  <c r="AW89" i="6"/>
  <c r="AY89" i="6"/>
  <c r="AC92" i="6"/>
  <c r="AM92" i="6"/>
  <c r="AO92" i="6"/>
  <c r="AO90" i="6" s="1"/>
  <c r="AS92" i="6"/>
  <c r="AW92" i="6"/>
  <c r="AY92" i="6"/>
  <c r="AB92" i="6"/>
  <c r="AB90" i="6" s="1"/>
  <c r="AN92" i="6"/>
  <c r="AR92" i="6"/>
  <c r="AT92" i="6"/>
  <c r="AT90" i="6" s="1"/>
  <c r="AX92" i="6"/>
  <c r="AC97" i="6"/>
  <c r="AM97" i="6"/>
  <c r="AO97" i="6"/>
  <c r="AO95" i="6" s="1"/>
  <c r="AS97" i="6"/>
  <c r="AW97" i="6"/>
  <c r="AY97" i="6"/>
  <c r="AB97" i="6"/>
  <c r="AB95" i="6" s="1"/>
  <c r="AN97" i="6"/>
  <c r="AN95" i="6" s="1"/>
  <c r="AR97" i="6"/>
  <c r="AT97" i="6"/>
  <c r="AX97" i="6"/>
  <c r="AX95" i="6" s="1"/>
  <c r="Z118" i="6"/>
  <c r="AC119" i="6"/>
  <c r="AC118" i="6" s="1"/>
  <c r="AM119" i="6"/>
  <c r="AO119" i="6"/>
  <c r="AO118" i="6" s="1"/>
  <c r="AS119" i="6"/>
  <c r="AS118" i="6" s="1"/>
  <c r="AW119" i="6"/>
  <c r="AY119" i="6"/>
  <c r="AB119" i="6"/>
  <c r="AB118" i="6" s="1"/>
  <c r="AN119" i="6"/>
  <c r="AN118" i="6" s="1"/>
  <c r="AR119" i="6"/>
  <c r="AT119" i="6"/>
  <c r="AT118" i="6" s="1"/>
  <c r="AX119" i="6"/>
  <c r="AX118" i="6" s="1"/>
  <c r="AC106" i="6"/>
  <c r="AM106" i="6"/>
  <c r="AO106" i="6"/>
  <c r="AS106" i="6"/>
  <c r="AW106" i="6"/>
  <c r="AY106" i="6"/>
  <c r="AT106" i="6"/>
  <c r="AX106" i="6"/>
  <c r="AB106" i="6"/>
  <c r="AD106" i="6" s="1"/>
  <c r="AN106" i="6"/>
  <c r="AR106" i="6"/>
  <c r="Z109" i="6"/>
  <c r="AC110" i="6"/>
  <c r="AC109" i="6" s="1"/>
  <c r="AM110" i="6"/>
  <c r="AO110" i="6"/>
  <c r="AO109" i="6" s="1"/>
  <c r="AS110" i="6"/>
  <c r="AS109" i="6" s="1"/>
  <c r="AW110" i="6"/>
  <c r="AY110" i="6"/>
  <c r="AT110" i="6"/>
  <c r="AT109" i="6" s="1"/>
  <c r="AX110" i="6"/>
  <c r="AX109" i="6" s="1"/>
  <c r="AB110" i="6"/>
  <c r="AB109" i="6" s="1"/>
  <c r="AN110" i="6"/>
  <c r="AN109" i="6" s="1"/>
  <c r="AR110" i="6"/>
  <c r="AC65" i="6"/>
  <c r="AM65" i="6"/>
  <c r="AO65" i="6"/>
  <c r="Z66" i="6"/>
  <c r="AB65" i="6"/>
  <c r="AD65" i="6" s="1"/>
  <c r="AN65" i="6"/>
  <c r="Z69" i="6"/>
  <c r="AC70" i="6"/>
  <c r="AM70" i="6"/>
  <c r="AO70" i="6"/>
  <c r="AS70" i="6"/>
  <c r="AW70" i="6"/>
  <c r="AY70" i="6"/>
  <c r="AB70" i="6"/>
  <c r="AN70" i="6"/>
  <c r="AR70" i="6"/>
  <c r="AT70" i="6"/>
  <c r="AT69" i="6" s="1"/>
  <c r="AX70" i="6"/>
  <c r="AZ73" i="6"/>
  <c r="AW72" i="6"/>
  <c r="AZ72" i="6" s="1"/>
  <c r="AP73" i="6"/>
  <c r="AM72" i="6"/>
  <c r="AP72" i="6" s="1"/>
  <c r="AR72" i="6"/>
  <c r="AU72" i="6" s="1"/>
  <c r="AU73" i="6"/>
  <c r="X72" i="6"/>
  <c r="Y72" i="6" s="1"/>
  <c r="AB78" i="6"/>
  <c r="AN78" i="6"/>
  <c r="AR78" i="6"/>
  <c r="AT78" i="6"/>
  <c r="AX78" i="6"/>
  <c r="AC78" i="6"/>
  <c r="AD78" i="6" s="1"/>
  <c r="AO78" i="6"/>
  <c r="AS78" i="6"/>
  <c r="AW78" i="6"/>
  <c r="AM78" i="6"/>
  <c r="AY78" i="6"/>
  <c r="AB85" i="6"/>
  <c r="AD85" i="6" s="1"/>
  <c r="AN85" i="6"/>
  <c r="AR85" i="6"/>
  <c r="AT85" i="6"/>
  <c r="AX85" i="6"/>
  <c r="AM85" i="6"/>
  <c r="AY85" i="6"/>
  <c r="AC85" i="6"/>
  <c r="AO85" i="6"/>
  <c r="AS85" i="6"/>
  <c r="AW85" i="6"/>
  <c r="AZ85" i="6" s="1"/>
  <c r="AP91" i="6"/>
  <c r="AD91" i="6"/>
  <c r="Z90" i="6"/>
  <c r="BA96" i="6"/>
  <c r="AP96" i="6"/>
  <c r="Z95" i="6"/>
  <c r="AD96" i="6"/>
  <c r="AQ96" i="6" s="1"/>
  <c r="AC117" i="6"/>
  <c r="AM117" i="6"/>
  <c r="AO117" i="6"/>
  <c r="AS117" i="6"/>
  <c r="AW117" i="6"/>
  <c r="AY117" i="6"/>
  <c r="AB117" i="6"/>
  <c r="AN117" i="6"/>
  <c r="AR117" i="6"/>
  <c r="AT117" i="6"/>
  <c r="AX117" i="6"/>
  <c r="AZ121" i="6"/>
  <c r="AC122" i="6"/>
  <c r="AM122" i="6"/>
  <c r="AO122" i="6"/>
  <c r="AO120" i="6" s="1"/>
  <c r="AS122" i="6"/>
  <c r="AS120" i="6" s="1"/>
  <c r="AW122" i="6"/>
  <c r="AY122" i="6"/>
  <c r="AY120" i="6" s="1"/>
  <c r="AB122" i="6"/>
  <c r="AB120" i="6" s="1"/>
  <c r="AT122" i="6"/>
  <c r="AT120" i="6" s="1"/>
  <c r="AX122" i="6"/>
  <c r="AX120" i="6" s="1"/>
  <c r="AN122" i="6"/>
  <c r="AN120" i="6" s="1"/>
  <c r="AR122" i="6"/>
  <c r="AX90" i="6"/>
  <c r="Y90" i="6"/>
  <c r="AT95" i="6"/>
  <c r="AS95" i="6"/>
  <c r="AC120" i="6"/>
  <c r="AL16" i="8"/>
  <c r="AA90" i="8"/>
  <c r="AA93" i="8" s="1"/>
  <c r="AA94" i="8" s="1"/>
  <c r="AY18" i="8"/>
  <c r="AX17" i="8"/>
  <c r="AX73" i="8"/>
  <c r="AW79" i="8"/>
  <c r="AZ27" i="8"/>
  <c r="BA31" i="8"/>
  <c r="AF90" i="8"/>
  <c r="Y93" i="8"/>
  <c r="Y91" i="8"/>
  <c r="AF91" i="8" s="1"/>
  <c r="Z90" i="8"/>
  <c r="Z88" i="8"/>
  <c r="AM93" i="8"/>
  <c r="AM94" i="8" s="1"/>
  <c r="AM91" i="8"/>
  <c r="AW27" i="8"/>
  <c r="AW34" i="8"/>
  <c r="BA34" i="8"/>
  <c r="AA135" i="7"/>
  <c r="AI121" i="7"/>
  <c r="AM129" i="7"/>
  <c r="BA129" i="7"/>
  <c r="AY126" i="7"/>
  <c r="AL16" i="7"/>
  <c r="AL128" i="7" s="1"/>
  <c r="BE128" i="7" s="1"/>
  <c r="AO128" i="7"/>
  <c r="AM123" i="7"/>
  <c r="BA123" i="7"/>
  <c r="BE42" i="7"/>
  <c r="BA42" i="7"/>
  <c r="BA34" i="7"/>
  <c r="BE34" i="7"/>
  <c r="BA40" i="7"/>
  <c r="BE40" i="7"/>
  <c r="BA32" i="7"/>
  <c r="BA14" i="7"/>
  <c r="BE50" i="7"/>
  <c r="BA50" i="7"/>
  <c r="AT15" i="7"/>
  <c r="AT8" i="7" s="1"/>
  <c r="AT61" i="7" s="1"/>
  <c r="R61" i="7"/>
  <c r="AG30" i="19"/>
  <c r="AG20" i="19"/>
  <c r="AG37" i="19"/>
  <c r="AG28" i="19"/>
  <c r="AG38" i="19"/>
  <c r="AG29" i="19"/>
  <c r="AG23" i="19"/>
  <c r="AG19" i="19"/>
  <c r="AG32" i="19"/>
  <c r="AG33" i="19"/>
  <c r="AG21" i="19"/>
  <c r="AG36" i="19"/>
  <c r="AG27" i="19"/>
  <c r="AG17" i="19"/>
  <c r="AG42" i="19"/>
  <c r="AG41" i="19"/>
  <c r="AG9" i="19"/>
  <c r="AG34" i="19"/>
  <c r="AG39" i="19"/>
  <c r="AG8" i="19"/>
  <c r="AG24" i="19"/>
  <c r="AG26" i="19"/>
  <c r="AG22" i="19"/>
  <c r="AG35" i="19"/>
  <c r="AG31" i="19"/>
  <c r="AG18" i="19"/>
  <c r="AF8" i="8"/>
  <c r="Y51" i="8"/>
  <c r="AK15" i="8"/>
  <c r="AI14" i="8"/>
  <c r="AI77" i="8" s="1"/>
  <c r="AL24" i="7"/>
  <c r="AL126" i="7" s="1"/>
  <c r="AL33" i="7"/>
  <c r="AM32" i="7"/>
  <c r="AM14" i="7"/>
  <c r="AL15" i="7"/>
  <c r="AM40" i="7"/>
  <c r="AL41" i="7"/>
  <c r="AQ18" i="7"/>
  <c r="AR18" i="7" s="1"/>
  <c r="AS18" i="7" s="1"/>
  <c r="AO35" i="7"/>
  <c r="V51" i="9"/>
  <c r="O51" i="9"/>
  <c r="S51" i="9" s="1"/>
  <c r="AB17" i="7"/>
  <c r="AP17" i="7"/>
  <c r="AI17" i="7"/>
  <c r="AM50" i="7"/>
  <c r="AA8" i="7"/>
  <c r="AB9" i="7"/>
  <c r="AB121" i="7" s="1"/>
  <c r="AB135" i="7" s="1"/>
  <c r="AP9" i="7"/>
  <c r="AI9" i="7"/>
  <c r="AC9" i="7"/>
  <c r="Q68" i="7"/>
  <c r="Z61" i="7"/>
  <c r="Q65" i="7"/>
  <c r="AK26" i="8"/>
  <c r="AL41" i="8"/>
  <c r="AL34" i="8" s="1"/>
  <c r="AK33" i="8"/>
  <c r="AK27" i="8" s="1"/>
  <c r="AK41" i="8"/>
  <c r="AK34" i="8" s="1"/>
  <c r="AL18" i="7"/>
  <c r="AN17" i="7"/>
  <c r="AL26" i="8"/>
  <c r="AL17" i="8" s="1"/>
  <c r="AL33" i="8"/>
  <c r="AL27" i="8" s="1"/>
  <c r="AJ34" i="8"/>
  <c r="AJ17" i="8"/>
  <c r="AM34" i="7"/>
  <c r="AM42" i="7"/>
  <c r="AL27" i="7"/>
  <c r="AR35" i="7"/>
  <c r="AS35" i="7" s="1"/>
  <c r="AK18" i="8"/>
  <c r="FE59" i="116" l="1"/>
  <c r="FE70" i="116"/>
  <c r="AD79" i="6"/>
  <c r="Y34" i="119"/>
  <c r="EJ43" i="116"/>
  <c r="FZ43" i="116"/>
  <c r="V29" i="119"/>
  <c r="DX38" i="116"/>
  <c r="FW39" i="116"/>
  <c r="AB30" i="119"/>
  <c r="AD48" i="119"/>
  <c r="FY57" i="116"/>
  <c r="FP59" i="116"/>
  <c r="Z30" i="119"/>
  <c r="GA39" i="116"/>
  <c r="EK39" i="116"/>
  <c r="FF59" i="116"/>
  <c r="FO57" i="116"/>
  <c r="AC34" i="119"/>
  <c r="FX43" i="116"/>
  <c r="FN57" i="116"/>
  <c r="FN70" i="116" s="1"/>
  <c r="Q50" i="119"/>
  <c r="BZ59" i="116"/>
  <c r="BP59" i="116"/>
  <c r="BY57" i="116"/>
  <c r="P48" i="119"/>
  <c r="FZ38" i="116"/>
  <c r="AE28" i="119"/>
  <c r="GI37" i="116"/>
  <c r="EK43" i="116"/>
  <c r="Z34" i="119"/>
  <c r="GA43" i="116"/>
  <c r="AA30" i="119"/>
  <c r="EL39" i="116"/>
  <c r="GB39" i="116"/>
  <c r="CK39" i="116"/>
  <c r="S30" i="119"/>
  <c r="EA39" i="116"/>
  <c r="FX39" i="116"/>
  <c r="AC30" i="119"/>
  <c r="W50" i="119"/>
  <c r="DY59" i="116"/>
  <c r="DF59" i="116"/>
  <c r="DO57" i="116"/>
  <c r="DO70" i="116" s="1"/>
  <c r="Y29" i="119"/>
  <c r="EJ38" i="116"/>
  <c r="DZ59" i="116"/>
  <c r="X50" i="119"/>
  <c r="GK38" i="116"/>
  <c r="AG29" i="119"/>
  <c r="AB29" i="119"/>
  <c r="FW38" i="116"/>
  <c r="GJ38" i="116"/>
  <c r="AF29" i="119"/>
  <c r="AO18" i="8"/>
  <c r="AO73" i="8" s="1"/>
  <c r="AO86" i="8" s="1"/>
  <c r="AO88" i="8" s="1"/>
  <c r="AN17" i="8"/>
  <c r="AP77" i="6"/>
  <c r="AD112" i="6"/>
  <c r="AP98" i="6"/>
  <c r="AN90" i="6"/>
  <c r="AD99" i="6"/>
  <c r="AD86" i="6"/>
  <c r="AD71" i="6"/>
  <c r="AD122" i="6"/>
  <c r="AU85" i="6"/>
  <c r="BA78" i="6"/>
  <c r="AU78" i="6"/>
  <c r="AD98" i="6"/>
  <c r="AQ98" i="6" s="1"/>
  <c r="AD93" i="6"/>
  <c r="AD94" i="6"/>
  <c r="BD56" i="7"/>
  <c r="AM61" i="19"/>
  <c r="B8" i="77"/>
  <c r="C8" i="77" s="1"/>
  <c r="F13" i="61"/>
  <c r="B10" i="77"/>
  <c r="C10" i="77" s="1"/>
  <c r="I13" i="61"/>
  <c r="N13" i="61"/>
  <c r="AP50" i="19"/>
  <c r="F8" i="77"/>
  <c r="F13" i="65"/>
  <c r="I13" i="65"/>
  <c r="F10" i="77"/>
  <c r="E10" i="77" s="1"/>
  <c r="N13" i="65"/>
  <c r="F22" i="65"/>
  <c r="I22" i="65" s="1"/>
  <c r="N22" i="65" s="1"/>
  <c r="F22" i="61"/>
  <c r="BB46" i="8"/>
  <c r="BB81" i="8" s="1"/>
  <c r="AZ81" i="8"/>
  <c r="AO17" i="8"/>
  <c r="AQ48" i="72"/>
  <c r="BA48" i="72"/>
  <c r="AN51" i="72"/>
  <c r="BA48" i="9"/>
  <c r="AQ48" i="9"/>
  <c r="AN9" i="7"/>
  <c r="AN51" i="9"/>
  <c r="O51" i="72"/>
  <c r="S51" i="72" s="1"/>
  <c r="V51" i="72"/>
  <c r="Z58" i="8"/>
  <c r="Z57" i="8"/>
  <c r="AM127" i="7"/>
  <c r="BE127" i="7"/>
  <c r="AM19" i="7"/>
  <c r="Z55" i="8"/>
  <c r="AA58" i="8"/>
  <c r="AA61" i="8"/>
  <c r="AA62" i="8" s="1"/>
  <c r="BA16" i="7"/>
  <c r="AA57" i="8"/>
  <c r="BA19" i="7"/>
  <c r="BA127" i="7"/>
  <c r="BE19" i="7"/>
  <c r="AS19" i="7"/>
  <c r="BD32" i="7"/>
  <c r="AU122" i="6"/>
  <c r="AV96" i="6"/>
  <c r="AC69" i="6"/>
  <c r="Z100" i="6"/>
  <c r="AD89" i="6"/>
  <c r="AU108" i="6"/>
  <c r="AD101" i="6"/>
  <c r="AD104" i="6"/>
  <c r="BA86" i="6"/>
  <c r="AU86" i="6"/>
  <c r="AU79" i="6"/>
  <c r="AP105" i="6"/>
  <c r="AU67" i="6"/>
  <c r="AP67" i="6"/>
  <c r="AQ67" i="6" s="1"/>
  <c r="AV67" i="6" s="1"/>
  <c r="BG14" i="7"/>
  <c r="AZ8" i="7"/>
  <c r="AQ17" i="7"/>
  <c r="AD117" i="6"/>
  <c r="AN69" i="6"/>
  <c r="AS69" i="6"/>
  <c r="AD110" i="6"/>
  <c r="AU106" i="6"/>
  <c r="AC90" i="6"/>
  <c r="AZ83" i="6"/>
  <c r="BC14" i="8"/>
  <c r="AV8" i="8"/>
  <c r="AV51" i="8" s="1"/>
  <c r="AW25" i="8"/>
  <c r="AM16" i="7"/>
  <c r="AS25" i="7"/>
  <c r="AP122" i="6"/>
  <c r="AQ122" i="6" s="1"/>
  <c r="AV122" i="6" s="1"/>
  <c r="AX69" i="6"/>
  <c r="AB69" i="6"/>
  <c r="AO69" i="6"/>
  <c r="AC95" i="6"/>
  <c r="AP84" i="6"/>
  <c r="AD81" i="6"/>
  <c r="AQ81" i="6" s="1"/>
  <c r="AU93" i="6"/>
  <c r="AP93" i="6"/>
  <c r="AQ93" i="6" s="1"/>
  <c r="AD80" i="6"/>
  <c r="AU99" i="6"/>
  <c r="AP99" i="6"/>
  <c r="AQ99" i="6" s="1"/>
  <c r="AU94" i="6"/>
  <c r="AP94" i="6"/>
  <c r="AQ94" i="6" s="1"/>
  <c r="AU71" i="6"/>
  <c r="AP71" i="6"/>
  <c r="AQ71" i="6" s="1"/>
  <c r="AA91" i="8"/>
  <c r="AD70" i="6"/>
  <c r="AD69" i="6"/>
  <c r="AP106" i="6"/>
  <c r="AD119" i="6"/>
  <c r="AD118" i="6"/>
  <c r="AZ92" i="6"/>
  <c r="AZ89" i="6"/>
  <c r="AD84" i="6"/>
  <c r="AQ84" i="6" s="1"/>
  <c r="AP81" i="6"/>
  <c r="AD77" i="6"/>
  <c r="AQ77" i="6" s="1"/>
  <c r="AD75" i="6"/>
  <c r="AP108" i="6"/>
  <c r="AQ108" i="6" s="1"/>
  <c r="AU83" i="6"/>
  <c r="BA80" i="6"/>
  <c r="AU80" i="6"/>
  <c r="BA102" i="6"/>
  <c r="BA104" i="6"/>
  <c r="AP104" i="6"/>
  <c r="AQ104" i="6" s="1"/>
  <c r="AU116" i="6"/>
  <c r="AQ106" i="6"/>
  <c r="AZ97" i="6"/>
  <c r="AZ68" i="6"/>
  <c r="AY95" i="6"/>
  <c r="AP116" i="6"/>
  <c r="AQ116" i="6" s="1"/>
  <c r="AV116" i="6" s="1"/>
  <c r="AY69" i="6"/>
  <c r="BA70" i="6"/>
  <c r="AC66" i="6"/>
  <c r="AM66" i="6"/>
  <c r="AO66" i="6"/>
  <c r="AB66" i="6"/>
  <c r="AN66" i="6"/>
  <c r="AN64" i="6" s="1"/>
  <c r="AW69" i="6"/>
  <c r="AZ69" i="6" s="1"/>
  <c r="AZ70" i="6"/>
  <c r="AU110" i="6"/>
  <c r="AR109" i="6"/>
  <c r="AU109" i="6" s="1"/>
  <c r="AY109" i="6"/>
  <c r="BA110" i="6"/>
  <c r="AM109" i="6"/>
  <c r="AP109" i="6" s="1"/>
  <c r="AP110" i="6"/>
  <c r="AU119" i="6"/>
  <c r="AR118" i="6"/>
  <c r="AU118" i="6" s="1"/>
  <c r="AW118" i="6"/>
  <c r="AZ119" i="6"/>
  <c r="AR90" i="6"/>
  <c r="AU92" i="6"/>
  <c r="AB76" i="6"/>
  <c r="AN76" i="6"/>
  <c r="AC76" i="6"/>
  <c r="AO76" i="6"/>
  <c r="AM76" i="6"/>
  <c r="AP75" i="6"/>
  <c r="AQ75" i="6" s="1"/>
  <c r="AU112" i="6"/>
  <c r="AR111" i="6"/>
  <c r="AU111" i="6" s="1"/>
  <c r="AY111" i="6"/>
  <c r="BA112" i="6"/>
  <c r="AM111" i="6"/>
  <c r="AP111" i="6" s="1"/>
  <c r="AP112" i="6"/>
  <c r="AC115" i="6"/>
  <c r="AM115" i="6"/>
  <c r="AO115" i="6"/>
  <c r="AO113" i="6" s="1"/>
  <c r="AB115" i="6"/>
  <c r="AN115" i="6"/>
  <c r="AN113" i="6" s="1"/>
  <c r="AP114" i="6"/>
  <c r="AQ114" i="6" s="1"/>
  <c r="BA117" i="6"/>
  <c r="AP117" i="6"/>
  <c r="AD90" i="6"/>
  <c r="AZ78" i="6"/>
  <c r="Z64" i="6"/>
  <c r="AZ122" i="6"/>
  <c r="AW120" i="6"/>
  <c r="AZ120" i="6" s="1"/>
  <c r="AU117" i="6"/>
  <c r="AZ117" i="6"/>
  <c r="AD95" i="6"/>
  <c r="AM95" i="6"/>
  <c r="AP95" i="6" s="1"/>
  <c r="AQ91" i="6"/>
  <c r="AV91" i="6" s="1"/>
  <c r="AY91" i="6" s="1"/>
  <c r="AM90" i="6"/>
  <c r="AP90" i="6" s="1"/>
  <c r="AP85" i="6"/>
  <c r="AQ85" i="6" s="1"/>
  <c r="AV85" i="6" s="1"/>
  <c r="AP78" i="6"/>
  <c r="AQ78" i="6" s="1"/>
  <c r="AV78" i="6" s="1"/>
  <c r="AD109" i="6"/>
  <c r="AZ106" i="6"/>
  <c r="AU97" i="6"/>
  <c r="AD97" i="6"/>
  <c r="BA97" i="6"/>
  <c r="AP97" i="6"/>
  <c r="AD92" i="6"/>
  <c r="BA92" i="6"/>
  <c r="AS90" i="6"/>
  <c r="AP92" i="6"/>
  <c r="BA89" i="6"/>
  <c r="AP89" i="6"/>
  <c r="AQ89" i="6" s="1"/>
  <c r="AU89" i="6"/>
  <c r="BA84" i="6"/>
  <c r="AZ84" i="6"/>
  <c r="AU84" i="6"/>
  <c r="AV84" i="6" s="1"/>
  <c r="BA81" i="6"/>
  <c r="AU81" i="6"/>
  <c r="BA77" i="6"/>
  <c r="AU77" i="6"/>
  <c r="AC74" i="6"/>
  <c r="AU68" i="6"/>
  <c r="BA68" i="6"/>
  <c r="AP68" i="6"/>
  <c r="AQ68" i="6" s="1"/>
  <c r="AV68" i="6" s="1"/>
  <c r="AD111" i="6"/>
  <c r="AQ111" i="6" s="1"/>
  <c r="AV111" i="6" s="1"/>
  <c r="AZ108" i="6"/>
  <c r="AO100" i="6"/>
  <c r="AC100" i="6"/>
  <c r="AB113" i="6"/>
  <c r="Z113" i="6"/>
  <c r="AD120" i="6"/>
  <c r="AM120" i="6"/>
  <c r="AP120" i="6" s="1"/>
  <c r="AZ98" i="6"/>
  <c r="AW95" i="6"/>
  <c r="AZ93" i="6"/>
  <c r="AW90" i="6"/>
  <c r="AP83" i="6"/>
  <c r="AQ83" i="6" s="1"/>
  <c r="AV83" i="6" s="1"/>
  <c r="AP80" i="6"/>
  <c r="AQ73" i="6"/>
  <c r="AV73" i="6" s="1"/>
  <c r="BA72" i="6"/>
  <c r="AZ102" i="6"/>
  <c r="AZ104" i="6"/>
  <c r="AZ116" i="6"/>
  <c r="AZ99" i="6"/>
  <c r="AZ94" i="6"/>
  <c r="AP86" i="6"/>
  <c r="AP79" i="6"/>
  <c r="AZ71" i="6"/>
  <c r="AU107" i="6"/>
  <c r="AZ107" i="6"/>
  <c r="AZ105" i="6"/>
  <c r="AZ67" i="6"/>
  <c r="AU70" i="6"/>
  <c r="AR69" i="6"/>
  <c r="AM69" i="6"/>
  <c r="AP70" i="6"/>
  <c r="AQ70" i="6" s="1"/>
  <c r="AM64" i="6"/>
  <c r="AP65" i="6"/>
  <c r="AW109" i="6"/>
  <c r="AZ110" i="6"/>
  <c r="AY118" i="6"/>
  <c r="BA119" i="6"/>
  <c r="AM118" i="6"/>
  <c r="AP118" i="6" s="1"/>
  <c r="AP119" i="6"/>
  <c r="AW111" i="6"/>
  <c r="AZ111" i="6" s="1"/>
  <c r="AZ112" i="6"/>
  <c r="AP101" i="6"/>
  <c r="BA122" i="6"/>
  <c r="BA85" i="6"/>
  <c r="AQ65" i="6"/>
  <c r="BA106" i="6"/>
  <c r="AQ119" i="6"/>
  <c r="AV119" i="6" s="1"/>
  <c r="AO74" i="6"/>
  <c r="Z74" i="6"/>
  <c r="AN74" i="6"/>
  <c r="AQ112" i="6"/>
  <c r="AV112" i="6" s="1"/>
  <c r="BA108" i="6"/>
  <c r="AN100" i="6"/>
  <c r="AB100" i="6"/>
  <c r="AD100" i="6"/>
  <c r="AC113" i="6"/>
  <c r="AR120" i="6"/>
  <c r="AU120" i="6" s="1"/>
  <c r="AV98" i="6"/>
  <c r="BA98" i="6"/>
  <c r="AR95" i="6"/>
  <c r="AU95" i="6" s="1"/>
  <c r="BA93" i="6"/>
  <c r="BA83" i="6"/>
  <c r="AZ80" i="6"/>
  <c r="AQ80" i="6"/>
  <c r="AV80" i="6" s="1"/>
  <c r="AQ72" i="6"/>
  <c r="AV72" i="6" s="1"/>
  <c r="AU104" i="6"/>
  <c r="BA116" i="6"/>
  <c r="BA99" i="6"/>
  <c r="BA94" i="6"/>
  <c r="AZ86" i="6"/>
  <c r="AQ86" i="6"/>
  <c r="BA79" i="6"/>
  <c r="AQ79" i="6"/>
  <c r="AV79" i="6" s="1"/>
  <c r="BA71" i="6"/>
  <c r="BA107" i="6"/>
  <c r="AP107" i="6"/>
  <c r="AQ107" i="6" s="1"/>
  <c r="AV107" i="6" s="1"/>
  <c r="BA105" i="6"/>
  <c r="AU105" i="6"/>
  <c r="AQ105" i="6"/>
  <c r="BA67" i="6"/>
  <c r="BA27" i="8"/>
  <c r="AN16" i="8"/>
  <c r="AN79" i="8" s="1"/>
  <c r="AL8" i="8"/>
  <c r="AL51" i="8" s="1"/>
  <c r="AY73" i="8"/>
  <c r="AY86" i="8" s="1"/>
  <c r="AY88" i="8" s="1"/>
  <c r="AY17" i="8"/>
  <c r="AY51" i="8" s="1"/>
  <c r="BE16" i="7"/>
  <c r="AJ77" i="8"/>
  <c r="AW77" i="8"/>
  <c r="AK79" i="8"/>
  <c r="AO90" i="8"/>
  <c r="Z93" i="8"/>
  <c r="Z94" i="8" s="1"/>
  <c r="Z91" i="8"/>
  <c r="Y94" i="8"/>
  <c r="AF94" i="8" s="1"/>
  <c r="AF93" i="8"/>
  <c r="AN90" i="8"/>
  <c r="AN88" i="8"/>
  <c r="AL79" i="8"/>
  <c r="AL86" i="8" s="1"/>
  <c r="AK73" i="8"/>
  <c r="AW14" i="8"/>
  <c r="AM126" i="7"/>
  <c r="BA126" i="7"/>
  <c r="AC8" i="7"/>
  <c r="AC61" i="7" s="1"/>
  <c r="AC67" i="7" s="1"/>
  <c r="AC121" i="7"/>
  <c r="AC135" i="7" s="1"/>
  <c r="AM128" i="7"/>
  <c r="BA128" i="7"/>
  <c r="AA141" i="7"/>
  <c r="AA139" i="7"/>
  <c r="AI139" i="7" s="1"/>
  <c r="AI135" i="7"/>
  <c r="AB139" i="7"/>
  <c r="AB141" i="7"/>
  <c r="BE18" i="7"/>
  <c r="BA18" i="7"/>
  <c r="BA33" i="7"/>
  <c r="BA24" i="7"/>
  <c r="BE24" i="7"/>
  <c r="BA41" i="7"/>
  <c r="BE41" i="7"/>
  <c r="BA15" i="7"/>
  <c r="AQ50" i="19"/>
  <c r="AG16" i="19"/>
  <c r="AG13" i="19"/>
  <c r="AE10" i="19"/>
  <c r="AK14" i="8"/>
  <c r="AK77" i="8" s="1"/>
  <c r="AF51" i="8"/>
  <c r="Y58" i="8"/>
  <c r="AF58" i="8" s="1"/>
  <c r="Y61" i="8"/>
  <c r="Y55" i="8"/>
  <c r="AF55" i="8" s="1"/>
  <c r="Y57" i="8"/>
  <c r="AM24" i="7"/>
  <c r="AL25" i="7"/>
  <c r="AJ14" i="8"/>
  <c r="AI8" i="8"/>
  <c r="AO56" i="7"/>
  <c r="AL35" i="7"/>
  <c r="AM35" i="7" s="1"/>
  <c r="AM33" i="7"/>
  <c r="AM41" i="7"/>
  <c r="AM15" i="7"/>
  <c r="AD9" i="7"/>
  <c r="AD121" i="7" s="1"/>
  <c r="AD135" i="7" s="1"/>
  <c r="AQ9" i="7"/>
  <c r="AR9" i="7" s="1"/>
  <c r="AS9" i="7" s="1"/>
  <c r="AB8" i="7"/>
  <c r="AP8" i="7"/>
  <c r="AI8" i="7"/>
  <c r="AA61" i="7"/>
  <c r="Z68" i="7"/>
  <c r="R68" i="7"/>
  <c r="AL17" i="7"/>
  <c r="BE17" i="7" s="1"/>
  <c r="AM18" i="7"/>
  <c r="R65" i="7"/>
  <c r="Z65" i="7"/>
  <c r="S65" i="7"/>
  <c r="AM27" i="7"/>
  <c r="AK17" i="8"/>
  <c r="AN51" i="8"/>
  <c r="AO51" i="8" s="1"/>
  <c r="AM61" i="8"/>
  <c r="GK39" i="116" l="1"/>
  <c r="AG30" i="119"/>
  <c r="AE29" i="119"/>
  <c r="GI38" i="116"/>
  <c r="FX57" i="116"/>
  <c r="AC48" i="119"/>
  <c r="FO59" i="116"/>
  <c r="GI43" i="116"/>
  <c r="AE34" i="119"/>
  <c r="V48" i="119"/>
  <c r="DO59" i="116"/>
  <c r="DX57" i="116"/>
  <c r="EJ39" i="116"/>
  <c r="Y30" i="119"/>
  <c r="FZ39" i="116"/>
  <c r="AF34" i="119"/>
  <c r="GJ43" i="116"/>
  <c r="BY59" i="116"/>
  <c r="P50" i="119"/>
  <c r="FN59" i="116"/>
  <c r="FW57" i="116"/>
  <c r="AB48" i="119"/>
  <c r="AF30" i="119"/>
  <c r="GJ39" i="116"/>
  <c r="FY59" i="116"/>
  <c r="AD50" i="119"/>
  <c r="AQ92" i="6"/>
  <c r="AV92" i="6" s="1"/>
  <c r="AQ109" i="6"/>
  <c r="AV109" i="6" s="1"/>
  <c r="AV71" i="6"/>
  <c r="AV94" i="6"/>
  <c r="AV99" i="6"/>
  <c r="AV93" i="6"/>
  <c r="AO64" i="6"/>
  <c r="AQ110" i="6"/>
  <c r="AB64" i="6"/>
  <c r="E8" i="77"/>
  <c r="E4" i="77" s="1"/>
  <c r="F4" i="77"/>
  <c r="K13" i="65" s="1"/>
  <c r="O13" i="65" s="1"/>
  <c r="BF56" i="7"/>
  <c r="BF130" i="7" s="1"/>
  <c r="BD130" i="7"/>
  <c r="BG56" i="7"/>
  <c r="BG130" i="7" s="1"/>
  <c r="AP51" i="19"/>
  <c r="BA51" i="9"/>
  <c r="AQ51" i="9"/>
  <c r="AL51" i="9"/>
  <c r="AO51" i="9" s="1"/>
  <c r="AL51" i="72"/>
  <c r="AO51" i="72" s="1"/>
  <c r="BA51" i="72"/>
  <c r="AQ51" i="72"/>
  <c r="AN121" i="7"/>
  <c r="AN135" i="7" s="1"/>
  <c r="AN139" i="7" s="1"/>
  <c r="AO9" i="7"/>
  <c r="AN8" i="7"/>
  <c r="AN61" i="7" s="1"/>
  <c r="AN66" i="7" s="1"/>
  <c r="AN140" i="7" s="1"/>
  <c r="AN141" i="7" s="1"/>
  <c r="BE32" i="7"/>
  <c r="BB17" i="8"/>
  <c r="AZ24" i="8"/>
  <c r="BB8" i="8"/>
  <c r="AZ14" i="8"/>
  <c r="BB77" i="8"/>
  <c r="BG15" i="7"/>
  <c r="BG8" i="7" s="1"/>
  <c r="BG126" i="7"/>
  <c r="AQ101" i="6"/>
  <c r="AV77" i="6"/>
  <c r="AC64" i="6"/>
  <c r="AC123" i="6" s="1"/>
  <c r="AC124" i="6" s="1"/>
  <c r="AV106" i="6"/>
  <c r="BC17" i="8"/>
  <c r="BC8" i="8"/>
  <c r="BC77" i="8"/>
  <c r="AR17" i="7"/>
  <c r="AS17" i="7" s="1"/>
  <c r="AQ8" i="7"/>
  <c r="AR8" i="7" s="1"/>
  <c r="AS8" i="7" s="1"/>
  <c r="AV86" i="6"/>
  <c r="AM100" i="6"/>
  <c r="AQ118" i="6"/>
  <c r="AV118" i="6" s="1"/>
  <c r="AZ109" i="6"/>
  <c r="AP69" i="6"/>
  <c r="AQ69" i="6" s="1"/>
  <c r="AQ120" i="6"/>
  <c r="AQ117" i="6"/>
  <c r="AD66" i="6"/>
  <c r="AV108" i="6"/>
  <c r="BF126" i="7"/>
  <c r="BF15" i="7"/>
  <c r="BF8" i="7" s="1"/>
  <c r="BD14" i="7"/>
  <c r="AC65" i="7"/>
  <c r="AC68" i="7" s="1"/>
  <c r="AU69" i="6"/>
  <c r="AZ95" i="6"/>
  <c r="AV81" i="6"/>
  <c r="AV105" i="6"/>
  <c r="AQ95" i="6"/>
  <c r="AV117" i="6"/>
  <c r="AD115" i="6"/>
  <c r="AD76" i="6"/>
  <c r="AV120" i="6"/>
  <c r="AQ90" i="6"/>
  <c r="AR101" i="6"/>
  <c r="AR75" i="6"/>
  <c r="AR65" i="6"/>
  <c r="AP100" i="6"/>
  <c r="AQ100" i="6" s="1"/>
  <c r="AV104" i="6"/>
  <c r="AB74" i="6"/>
  <c r="AD74" i="6" s="1"/>
  <c r="AD113" i="6"/>
  <c r="AQ97" i="6"/>
  <c r="AV97" i="6" s="1"/>
  <c r="AV110" i="6"/>
  <c r="AP115" i="6"/>
  <c r="AM74" i="6"/>
  <c r="AP74" i="6" s="1"/>
  <c r="AP76" i="6"/>
  <c r="AQ76" i="6" s="1"/>
  <c r="AP66" i="6"/>
  <c r="BA120" i="6"/>
  <c r="AR114" i="6"/>
  <c r="AP64" i="6"/>
  <c r="BA91" i="6"/>
  <c r="AY90" i="6"/>
  <c r="BA90" i="6" s="1"/>
  <c r="AZ91" i="6"/>
  <c r="AD64" i="6"/>
  <c r="Z123" i="6"/>
  <c r="BA118" i="6"/>
  <c r="AO123" i="6"/>
  <c r="AO124" i="6" s="1"/>
  <c r="AN123" i="6"/>
  <c r="AN124" i="6" s="1"/>
  <c r="AV95" i="6"/>
  <c r="AV70" i="6"/>
  <c r="AM113" i="6"/>
  <c r="AP113" i="6" s="1"/>
  <c r="BA111" i="6"/>
  <c r="AU90" i="6"/>
  <c r="AZ118" i="6"/>
  <c r="BA109" i="6"/>
  <c r="AQ66" i="6"/>
  <c r="BA69" i="6"/>
  <c r="BA95" i="6"/>
  <c r="AV89" i="6"/>
  <c r="AY55" i="8"/>
  <c r="AY56" i="8"/>
  <c r="AY89" i="8" s="1"/>
  <c r="AY90" i="8" s="1"/>
  <c r="AC70" i="7"/>
  <c r="AC71" i="7" s="1"/>
  <c r="AL88" i="8"/>
  <c r="AL90" i="8"/>
  <c r="P83" i="56" s="1"/>
  <c r="AN93" i="8"/>
  <c r="AN94" i="8" s="1"/>
  <c r="AN91" i="8"/>
  <c r="AO93" i="8"/>
  <c r="AO94" i="8" s="1"/>
  <c r="AO91" i="8"/>
  <c r="AW8" i="8"/>
  <c r="AD141" i="7"/>
  <c r="AD139" i="7"/>
  <c r="AO130" i="7"/>
  <c r="AB144" i="7"/>
  <c r="AB145" i="7" s="1"/>
  <c r="AB142" i="7"/>
  <c r="AA144" i="7"/>
  <c r="AA142" i="7"/>
  <c r="AI142" i="7" s="1"/>
  <c r="AI141" i="7"/>
  <c r="AC141" i="7"/>
  <c r="AC139" i="7"/>
  <c r="BA25" i="7"/>
  <c r="BE25" i="7"/>
  <c r="AT68" i="7"/>
  <c r="AT67" i="7"/>
  <c r="AT65" i="7"/>
  <c r="AD8" i="7"/>
  <c r="AD61" i="7" s="1"/>
  <c r="AD68" i="7" s="1"/>
  <c r="AE11" i="19"/>
  <c r="AG10" i="19"/>
  <c r="AE50" i="19"/>
  <c r="AH58" i="19" s="1"/>
  <c r="AJ8" i="8"/>
  <c r="AK8" i="8"/>
  <c r="AL56" i="7"/>
  <c r="AL130" i="7" s="1"/>
  <c r="AM25" i="7"/>
  <c r="Y62" i="8"/>
  <c r="AF61" i="8"/>
  <c r="AA68" i="7"/>
  <c r="AP61" i="7"/>
  <c r="AQ61" i="7" s="1"/>
  <c r="AA65" i="7"/>
  <c r="AB61" i="7"/>
  <c r="AA67" i="7"/>
  <c r="AI61" i="7"/>
  <c r="AM17" i="7"/>
  <c r="AL58" i="8"/>
  <c r="AL61" i="8"/>
  <c r="AL57" i="8"/>
  <c r="AL55" i="8"/>
  <c r="AN61" i="8"/>
  <c r="AO61" i="8" s="1"/>
  <c r="FW59" i="116" l="1"/>
  <c r="AB50" i="119"/>
  <c r="AE30" i="119"/>
  <c r="GI39" i="116"/>
  <c r="V50" i="119"/>
  <c r="DX59" i="116"/>
  <c r="AC50" i="119"/>
  <c r="FX59" i="116"/>
  <c r="BG61" i="7"/>
  <c r="AN68" i="7"/>
  <c r="H75" i="7" s="1"/>
  <c r="H76" i="7"/>
  <c r="G76" i="7" s="1"/>
  <c r="G75" i="7" s="1"/>
  <c r="AV90" i="6"/>
  <c r="AV69" i="6"/>
  <c r="AN70" i="7"/>
  <c r="M10" i="56" s="1"/>
  <c r="M9" i="56" s="1"/>
  <c r="AN67" i="7"/>
  <c r="M20" i="56" s="1"/>
  <c r="M19" i="56" s="1"/>
  <c r="V19" i="56" s="1"/>
  <c r="AO121" i="7"/>
  <c r="AO135" i="7" s="1"/>
  <c r="AO139" i="7" s="1"/>
  <c r="AO8" i="7"/>
  <c r="AL9" i="7"/>
  <c r="AN65" i="7"/>
  <c r="BE130" i="7"/>
  <c r="AQ51" i="19"/>
  <c r="BC86" i="8"/>
  <c r="BC88" i="8" s="1"/>
  <c r="F12" i="66"/>
  <c r="BF135" i="7"/>
  <c r="BF139" i="7" s="1"/>
  <c r="F12" i="61"/>
  <c r="BG135" i="7"/>
  <c r="BG139" i="7" s="1"/>
  <c r="F12" i="64"/>
  <c r="M12" i="64" s="1"/>
  <c r="M11" i="64" s="1"/>
  <c r="BB86" i="8"/>
  <c r="BB88" i="8" s="1"/>
  <c r="F12" i="65"/>
  <c r="BB51" i="8"/>
  <c r="BF61" i="7"/>
  <c r="BF66" i="7" s="1"/>
  <c r="F28" i="61" s="1"/>
  <c r="H28" i="61" s="1"/>
  <c r="BD27" i="7"/>
  <c r="BE33" i="7"/>
  <c r="AI46" i="8"/>
  <c r="AH61" i="19"/>
  <c r="BC51" i="8"/>
  <c r="AQ115" i="6"/>
  <c r="AR115" i="6" s="1"/>
  <c r="AR113" i="6" s="1"/>
  <c r="AZ77" i="8"/>
  <c r="BA14" i="8"/>
  <c r="BD126" i="7"/>
  <c r="BD15" i="7"/>
  <c r="BE14" i="7"/>
  <c r="AZ17" i="8"/>
  <c r="BA17" i="8" s="1"/>
  <c r="BA25" i="8"/>
  <c r="BA24" i="8"/>
  <c r="AQ74" i="6"/>
  <c r="AZ90" i="6"/>
  <c r="AS114" i="6"/>
  <c r="AW114" i="6"/>
  <c r="AY114" i="6"/>
  <c r="AT114" i="6"/>
  <c r="AX114" i="6"/>
  <c r="AY57" i="8"/>
  <c r="AQ64" i="6"/>
  <c r="AM123" i="6"/>
  <c r="AB123" i="6"/>
  <c r="AB124" i="6" s="1"/>
  <c r="AQ113" i="6"/>
  <c r="AR66" i="6"/>
  <c r="Z124" i="6"/>
  <c r="AS65" i="6"/>
  <c r="AW65" i="6"/>
  <c r="AY65" i="6"/>
  <c r="AR64" i="6"/>
  <c r="AT65" i="6"/>
  <c r="AX65" i="6"/>
  <c r="AR76" i="6"/>
  <c r="AR74" i="6" s="1"/>
  <c r="AT75" i="6"/>
  <c r="AX75" i="6"/>
  <c r="AY75" i="6"/>
  <c r="AS75" i="6"/>
  <c r="AW75" i="6"/>
  <c r="AS101" i="6"/>
  <c r="AS100" i="6" s="1"/>
  <c r="AW101" i="6"/>
  <c r="AY101" i="6"/>
  <c r="AR100" i="6"/>
  <c r="AT101" i="6"/>
  <c r="AT100" i="6" s="1"/>
  <c r="AX101" i="6"/>
  <c r="AX100" i="6" s="1"/>
  <c r="AY58" i="8"/>
  <c r="AY61" i="8"/>
  <c r="AY62" i="8" s="1"/>
  <c r="V9" i="56"/>
  <c r="P103" i="56"/>
  <c r="AY91" i="8"/>
  <c r="AY93" i="8"/>
  <c r="K83" i="56"/>
  <c r="P82" i="56"/>
  <c r="AL93" i="8"/>
  <c r="AL91" i="8"/>
  <c r="AM130" i="7"/>
  <c r="AC144" i="7"/>
  <c r="AC145" i="7" s="1"/>
  <c r="AC142" i="7"/>
  <c r="AA145" i="7"/>
  <c r="AI145" i="7" s="1"/>
  <c r="AI144" i="7"/>
  <c r="AD144" i="7"/>
  <c r="AD145" i="7" s="1"/>
  <c r="AD142" i="7"/>
  <c r="AN144" i="7"/>
  <c r="AN145" i="7" s="1"/>
  <c r="AN142" i="7"/>
  <c r="BE56" i="7"/>
  <c r="AD70" i="7"/>
  <c r="AA70" i="7" s="1"/>
  <c r="AD65" i="7"/>
  <c r="AD67" i="7"/>
  <c r="AG11" i="19"/>
  <c r="AE51" i="19"/>
  <c r="AG50" i="19"/>
  <c r="AF62" i="8"/>
  <c r="AM62" i="8"/>
  <c r="AN62" i="8" s="1"/>
  <c r="AO62" i="8" s="1"/>
  <c r="AM56" i="7"/>
  <c r="S80" i="7"/>
  <c r="AP65" i="7"/>
  <c r="AQ65" i="7" s="1"/>
  <c r="AI65" i="7"/>
  <c r="AB65" i="7"/>
  <c r="AI67" i="7"/>
  <c r="AI68" i="7"/>
  <c r="AP68" i="7"/>
  <c r="AQ68" i="7" s="1"/>
  <c r="AB68" i="7"/>
  <c r="AR61" i="7"/>
  <c r="AR70" i="7" s="1"/>
  <c r="AL62" i="8"/>
  <c r="G77" i="7"/>
  <c r="T77" i="7"/>
  <c r="M12" i="65" l="1"/>
  <c r="M11" i="65" s="1"/>
  <c r="R12" i="65"/>
  <c r="R11" i="65" s="1"/>
  <c r="H20" i="56"/>
  <c r="H19" i="56" s="1"/>
  <c r="J19" i="56" s="1"/>
  <c r="T76" i="7"/>
  <c r="Q76" i="7" s="1"/>
  <c r="Q75" i="7" s="1"/>
  <c r="T95" i="7" s="1"/>
  <c r="AN71" i="7"/>
  <c r="T75" i="7" s="1"/>
  <c r="M23" i="65"/>
  <c r="H12" i="66"/>
  <c r="H11" i="66" s="1"/>
  <c r="M12" i="66"/>
  <c r="M11" i="66" s="1"/>
  <c r="M32" i="66" s="1"/>
  <c r="W32" i="66" s="1"/>
  <c r="D60" i="116" s="1"/>
  <c r="M60" i="116" s="1"/>
  <c r="V60" i="116" s="1"/>
  <c r="M10" i="64"/>
  <c r="M32" i="64" s="1"/>
  <c r="M23" i="64"/>
  <c r="H12" i="61"/>
  <c r="H11" i="61" s="1"/>
  <c r="H10" i="61" s="1"/>
  <c r="M12" i="61"/>
  <c r="M11" i="61" s="1"/>
  <c r="H10" i="66"/>
  <c r="H38" i="66" s="1"/>
  <c r="H40" i="66" s="1"/>
  <c r="H43" i="66" s="1"/>
  <c r="K12" i="65"/>
  <c r="O12" i="65" s="1"/>
  <c r="H12" i="65"/>
  <c r="H11" i="65" s="1"/>
  <c r="K12" i="64"/>
  <c r="H12" i="64"/>
  <c r="H11" i="64" s="1"/>
  <c r="K12" i="61"/>
  <c r="K12" i="66"/>
  <c r="K11" i="66" s="1"/>
  <c r="AL8" i="7"/>
  <c r="AM8" i="7" s="1"/>
  <c r="AO61" i="7"/>
  <c r="AL121" i="7"/>
  <c r="BE9" i="7"/>
  <c r="AM9" i="7"/>
  <c r="BA9" i="7"/>
  <c r="AD71" i="7"/>
  <c r="BD135" i="7"/>
  <c r="BE126" i="7"/>
  <c r="I12" i="66"/>
  <c r="F11" i="66"/>
  <c r="BG141" i="7"/>
  <c r="BG142" i="7" s="1"/>
  <c r="I12" i="64"/>
  <c r="F11" i="64"/>
  <c r="F11" i="61"/>
  <c r="F23" i="61" s="1"/>
  <c r="I12" i="61"/>
  <c r="I12" i="65"/>
  <c r="F11" i="65"/>
  <c r="BF140" i="7"/>
  <c r="BF141" i="7" s="1"/>
  <c r="BF144" i="7" s="1"/>
  <c r="BF145" i="7" s="1"/>
  <c r="BF147" i="7" s="1"/>
  <c r="BF149" i="7" s="1"/>
  <c r="BD66" i="7"/>
  <c r="BD140" i="7" s="1"/>
  <c r="BE27" i="7"/>
  <c r="AU100" i="6"/>
  <c r="AV100" i="6" s="1"/>
  <c r="AD124" i="6"/>
  <c r="BB55" i="8"/>
  <c r="BB56" i="8"/>
  <c r="BC55" i="8"/>
  <c r="BC58" i="8"/>
  <c r="AZ86" i="8"/>
  <c r="BA77" i="8"/>
  <c r="BD8" i="7"/>
  <c r="BE15" i="7"/>
  <c r="AZ8" i="8"/>
  <c r="AZ51" i="8" s="1"/>
  <c r="BA15" i="8"/>
  <c r="BA46" i="8"/>
  <c r="AI81" i="8"/>
  <c r="AU65" i="6"/>
  <c r="AV65" i="6" s="1"/>
  <c r="AY100" i="6"/>
  <c r="BA101" i="6"/>
  <c r="AZ75" i="6"/>
  <c r="BA75" i="6"/>
  <c r="BA65" i="6"/>
  <c r="AS66" i="6"/>
  <c r="AU66" i="6" s="1"/>
  <c r="AV66" i="6" s="1"/>
  <c r="AW66" i="6"/>
  <c r="AW64" i="6" s="1"/>
  <c r="AY66" i="6"/>
  <c r="AY64" i="6" s="1"/>
  <c r="AT66" i="6"/>
  <c r="AT64" i="6" s="1"/>
  <c r="AX66" i="6"/>
  <c r="AX64" i="6" s="1"/>
  <c r="AM124" i="6"/>
  <c r="AP124" i="6" s="1"/>
  <c r="AP123" i="6"/>
  <c r="AZ114" i="6"/>
  <c r="AU101" i="6"/>
  <c r="AV101" i="6" s="1"/>
  <c r="AD123" i="6"/>
  <c r="AW100" i="6"/>
  <c r="AZ101" i="6"/>
  <c r="AT76" i="6"/>
  <c r="AT74" i="6" s="1"/>
  <c r="AX76" i="6"/>
  <c r="AX74" i="6" s="1"/>
  <c r="AS76" i="6"/>
  <c r="AW76" i="6"/>
  <c r="AU76" i="6"/>
  <c r="AV76" i="6" s="1"/>
  <c r="AY76" i="6"/>
  <c r="AR123" i="6"/>
  <c r="AZ65" i="6"/>
  <c r="BA114" i="6"/>
  <c r="AS115" i="6"/>
  <c r="AW115" i="6"/>
  <c r="AY115" i="6"/>
  <c r="AY113" i="6" s="1"/>
  <c r="AT115" i="6"/>
  <c r="AT113" i="6" s="1"/>
  <c r="AX115" i="6"/>
  <c r="AX113" i="6" s="1"/>
  <c r="AS74" i="6"/>
  <c r="AU75" i="6"/>
  <c r="AV75" i="6" s="1"/>
  <c r="AS64" i="6"/>
  <c r="AU114" i="6"/>
  <c r="AV114" i="6" s="1"/>
  <c r="P93" i="56"/>
  <c r="AY94" i="8"/>
  <c r="K103" i="56"/>
  <c r="K102" i="56" s="1"/>
  <c r="T102" i="56" s="1"/>
  <c r="P102" i="56"/>
  <c r="X102" i="56" s="1"/>
  <c r="AL94" i="8"/>
  <c r="P73" i="56"/>
  <c r="X82" i="56"/>
  <c r="R19" i="56"/>
  <c r="AS61" i="7"/>
  <c r="AA71" i="7"/>
  <c r="AP70" i="7"/>
  <c r="AQ70" i="7" s="1"/>
  <c r="AS70" i="7" s="1"/>
  <c r="AI70" i="7"/>
  <c r="AR68" i="7"/>
  <c r="AS68" i="7" s="1"/>
  <c r="P80" i="7"/>
  <c r="S82" i="7"/>
  <c r="P82" i="7" s="1"/>
  <c r="AR65" i="7"/>
  <c r="AS65" i="7" s="1"/>
  <c r="Q77" i="7"/>
  <c r="AE60" i="116" l="1"/>
  <c r="AQ60" i="116"/>
  <c r="R10" i="65"/>
  <c r="R23" i="65"/>
  <c r="I21" i="56"/>
  <c r="G21" i="56" s="1"/>
  <c r="N21" i="56" s="1"/>
  <c r="L21" i="56" s="1"/>
  <c r="BE8" i="7"/>
  <c r="H23" i="66"/>
  <c r="H32" i="66"/>
  <c r="P32" i="66" s="1"/>
  <c r="H23" i="61"/>
  <c r="AU115" i="6"/>
  <c r="AV115" i="6" s="1"/>
  <c r="BA76" i="6"/>
  <c r="AS113" i="6"/>
  <c r="AU113" i="6" s="1"/>
  <c r="AV113" i="6" s="1"/>
  <c r="K11" i="65"/>
  <c r="K28" i="65" s="1"/>
  <c r="M28" i="65" s="1"/>
  <c r="M10" i="65" s="1"/>
  <c r="M10" i="66"/>
  <c r="M38" i="66" s="1"/>
  <c r="M23" i="66"/>
  <c r="H23" i="65"/>
  <c r="H10" i="64"/>
  <c r="H23" i="64"/>
  <c r="H32" i="61"/>
  <c r="P32" i="61" s="1"/>
  <c r="H38" i="61"/>
  <c r="H40" i="61" s="1"/>
  <c r="H43" i="61" s="1"/>
  <c r="N12" i="61"/>
  <c r="O11" i="65"/>
  <c r="O28" i="65" s="1"/>
  <c r="O10" i="65" s="1"/>
  <c r="O39" i="65" s="1"/>
  <c r="K28" i="66"/>
  <c r="K10" i="66" s="1"/>
  <c r="K38" i="66" s="1"/>
  <c r="K23" i="66"/>
  <c r="BE121" i="7"/>
  <c r="BA121" i="7"/>
  <c r="AM121" i="7"/>
  <c r="AL135" i="7"/>
  <c r="BE135" i="7" s="1"/>
  <c r="AO66" i="7"/>
  <c r="AO67" i="7" s="1"/>
  <c r="P20" i="56" s="1"/>
  <c r="AL61" i="7"/>
  <c r="AO68" i="7"/>
  <c r="AO65" i="7"/>
  <c r="BD139" i="7"/>
  <c r="BD141" i="7"/>
  <c r="I11" i="66"/>
  <c r="N12" i="66"/>
  <c r="F10" i="66"/>
  <c r="F38" i="66" s="1"/>
  <c r="F23" i="66"/>
  <c r="BG144" i="7"/>
  <c r="BG145" i="7" s="1"/>
  <c r="F10" i="61"/>
  <c r="F10" i="64"/>
  <c r="F23" i="64"/>
  <c r="I11" i="61"/>
  <c r="N12" i="64"/>
  <c r="I11" i="64"/>
  <c r="N12" i="65"/>
  <c r="I11" i="65"/>
  <c r="F23" i="65"/>
  <c r="AQ124" i="6"/>
  <c r="BD61" i="7"/>
  <c r="BF142" i="7"/>
  <c r="BB58" i="8"/>
  <c r="BB63" i="8"/>
  <c r="BB61" i="8"/>
  <c r="BC61" i="8"/>
  <c r="BC62" i="8" s="1"/>
  <c r="AJ81" i="8"/>
  <c r="BA81" i="8"/>
  <c r="AI86" i="8"/>
  <c r="BC57" i="8"/>
  <c r="BC89" i="8"/>
  <c r="BC90" i="8" s="1"/>
  <c r="BB57" i="8"/>
  <c r="AZ56" i="8"/>
  <c r="AZ89" i="8" s="1"/>
  <c r="AZ90" i="8" s="1"/>
  <c r="BB89" i="8"/>
  <c r="BA8" i="8"/>
  <c r="AZ88" i="8"/>
  <c r="AU74" i="6"/>
  <c r="AV74" i="6" s="1"/>
  <c r="AZ100" i="6"/>
  <c r="BA64" i="6"/>
  <c r="AZ64" i="6"/>
  <c r="AS123" i="6"/>
  <c r="AS124" i="6" s="1"/>
  <c r="AZ115" i="6"/>
  <c r="AU64" i="6"/>
  <c r="AV64" i="6" s="1"/>
  <c r="AQ123" i="6"/>
  <c r="AW113" i="6"/>
  <c r="AZ113" i="6" s="1"/>
  <c r="AZ66" i="6"/>
  <c r="AY74" i="6"/>
  <c r="BA100" i="6"/>
  <c r="AR124" i="6"/>
  <c r="AX123" i="6"/>
  <c r="AX124" i="6" s="1"/>
  <c r="BA115" i="6"/>
  <c r="AZ76" i="6"/>
  <c r="AT123" i="6"/>
  <c r="AT124" i="6" s="1"/>
  <c r="BA66" i="6"/>
  <c r="AW74" i="6"/>
  <c r="AZ74" i="6" s="1"/>
  <c r="K93" i="56"/>
  <c r="K92" i="56" s="1"/>
  <c r="T92" i="56" s="1"/>
  <c r="P92" i="56"/>
  <c r="K73" i="56"/>
  <c r="P72" i="56"/>
  <c r="J20" i="56"/>
  <c r="O20" i="56" s="1"/>
  <c r="O19" i="56" s="1"/>
  <c r="E39" i="56"/>
  <c r="E59" i="56"/>
  <c r="AK46" i="8"/>
  <c r="AK81" i="8" s="1"/>
  <c r="AK86" i="8" s="1"/>
  <c r="AJ46" i="8"/>
  <c r="AI51" i="8"/>
  <c r="AI71" i="7"/>
  <c r="AP71" i="7"/>
  <c r="AQ71" i="7" s="1"/>
  <c r="S75" i="7"/>
  <c r="S76" i="7" s="1"/>
  <c r="P76" i="7" s="1"/>
  <c r="P75" i="7" s="1"/>
  <c r="P77" i="7" s="1"/>
  <c r="P81" i="7"/>
  <c r="P83" i="7" s="1"/>
  <c r="U95" i="7"/>
  <c r="AZ60" i="116" l="1"/>
  <c r="AQ62" i="116"/>
  <c r="O51" i="119"/>
  <c r="AN60" i="116"/>
  <c r="M32" i="65"/>
  <c r="Y32" i="65" s="1"/>
  <c r="K10" i="65"/>
  <c r="C34" i="94" s="1"/>
  <c r="C31" i="94" s="1"/>
  <c r="Y34" i="65" s="1"/>
  <c r="K23" i="65"/>
  <c r="F37" i="64"/>
  <c r="F38" i="64" s="1"/>
  <c r="G38" i="64" s="1"/>
  <c r="H38" i="64" s="1"/>
  <c r="C42" i="90"/>
  <c r="C39" i="90" s="1"/>
  <c r="P34" i="64" s="1"/>
  <c r="N11" i="66"/>
  <c r="N10" i="66" s="1"/>
  <c r="N38" i="66" s="1"/>
  <c r="P12" i="66"/>
  <c r="O23" i="65"/>
  <c r="N11" i="65"/>
  <c r="N28" i="65" s="1"/>
  <c r="N10" i="65" s="1"/>
  <c r="N39" i="65" s="1"/>
  <c r="Q12" i="65"/>
  <c r="F38" i="61"/>
  <c r="F40" i="61" s="1"/>
  <c r="J39" i="61" s="1"/>
  <c r="J40" i="61" s="1"/>
  <c r="J43" i="61" s="1"/>
  <c r="C27" i="90"/>
  <c r="C24" i="90" s="1"/>
  <c r="P34" i="61" s="1"/>
  <c r="H37" i="64"/>
  <c r="H32" i="64"/>
  <c r="P32" i="64" s="1"/>
  <c r="G39" i="64"/>
  <c r="G42" i="64" s="1"/>
  <c r="N11" i="64"/>
  <c r="P12" i="64"/>
  <c r="AJ32" i="61"/>
  <c r="N11" i="61"/>
  <c r="N23" i="61" s="1"/>
  <c r="P12" i="61"/>
  <c r="P11" i="61" s="1"/>
  <c r="P10" i="61" s="1"/>
  <c r="K39" i="61"/>
  <c r="K42" i="61" s="1"/>
  <c r="AO70" i="7"/>
  <c r="AO71" i="7" s="1"/>
  <c r="H81" i="7" s="1"/>
  <c r="AL65" i="7"/>
  <c r="AM65" i="7" s="1"/>
  <c r="AM61" i="7"/>
  <c r="AO140" i="7"/>
  <c r="AO141" i="7" s="1"/>
  <c r="AL66" i="7"/>
  <c r="K20" i="56"/>
  <c r="P19" i="56"/>
  <c r="X19" i="56" s="1"/>
  <c r="AL139" i="7"/>
  <c r="AM139" i="7" s="1"/>
  <c r="AM135" i="7"/>
  <c r="F40" i="66"/>
  <c r="BD142" i="7"/>
  <c r="BD144" i="7"/>
  <c r="BD145" i="7" s="1"/>
  <c r="I10" i="66"/>
  <c r="I38" i="66" s="1"/>
  <c r="I23" i="66"/>
  <c r="N23" i="66"/>
  <c r="N28" i="61"/>
  <c r="N10" i="61" s="1"/>
  <c r="N38" i="61" s="1"/>
  <c r="I10" i="64"/>
  <c r="I37" i="64" s="1"/>
  <c r="I23" i="64"/>
  <c r="N23" i="64"/>
  <c r="N10" i="64"/>
  <c r="N37" i="64" s="1"/>
  <c r="I23" i="61"/>
  <c r="I28" i="61"/>
  <c r="I10" i="61" s="1"/>
  <c r="I38" i="61" s="1"/>
  <c r="BB90" i="8"/>
  <c r="M123" i="56" s="1"/>
  <c r="F28" i="65"/>
  <c r="I23" i="65"/>
  <c r="I28" i="65"/>
  <c r="I10" i="65" s="1"/>
  <c r="I39" i="65" s="1"/>
  <c r="BB62" i="8"/>
  <c r="AZ64" i="8" s="1"/>
  <c r="AZ65" i="8"/>
  <c r="BC63" i="8"/>
  <c r="BB65" i="8"/>
  <c r="L123" i="56"/>
  <c r="AZ93" i="8"/>
  <c r="AZ91" i="8"/>
  <c r="BA86" i="8"/>
  <c r="AJ86" i="8"/>
  <c r="AI88" i="8"/>
  <c r="AZ58" i="8"/>
  <c r="AZ61" i="8"/>
  <c r="AZ62" i="8" s="1"/>
  <c r="AZ57" i="8"/>
  <c r="AZ55" i="8"/>
  <c r="P123" i="56"/>
  <c r="BC93" i="8"/>
  <c r="BC91" i="8"/>
  <c r="AU124" i="6"/>
  <c r="AV124" i="6" s="1"/>
  <c r="AW123" i="6"/>
  <c r="BA113" i="6"/>
  <c r="AU123" i="6"/>
  <c r="AV123" i="6" s="1"/>
  <c r="BA74" i="6"/>
  <c r="AY123" i="6"/>
  <c r="X72" i="56"/>
  <c r="X92" i="56"/>
  <c r="E60" i="56"/>
  <c r="D61" i="56"/>
  <c r="D41" i="56"/>
  <c r="B41" i="56" s="1"/>
  <c r="E40" i="56"/>
  <c r="AK88" i="8"/>
  <c r="BA51" i="8"/>
  <c r="AI55" i="8"/>
  <c r="AJ51" i="8"/>
  <c r="AK51" i="8"/>
  <c r="AR71" i="7"/>
  <c r="AS71" i="7" s="1"/>
  <c r="BI60" i="116" l="1"/>
  <c r="AZ62" i="116"/>
  <c r="Y35" i="65"/>
  <c r="AA35" i="65" s="1"/>
  <c r="AA36" i="65" s="1"/>
  <c r="AA39" i="65" s="1"/>
  <c r="K36" i="65"/>
  <c r="K39" i="65" s="1"/>
  <c r="M56" i="65" s="1"/>
  <c r="N23" i="65"/>
  <c r="F49" i="61"/>
  <c r="P11" i="66"/>
  <c r="I39" i="61"/>
  <c r="I42" i="61" s="1"/>
  <c r="F43" i="61"/>
  <c r="P10" i="66"/>
  <c r="P11" i="64"/>
  <c r="P10" i="64" s="1"/>
  <c r="P35" i="64" s="1"/>
  <c r="P37" i="64" s="1"/>
  <c r="Q11" i="65"/>
  <c r="Q23" i="65" s="1"/>
  <c r="Z12" i="65"/>
  <c r="H82" i="7"/>
  <c r="G82" i="7" s="1"/>
  <c r="G81" i="7" s="1"/>
  <c r="G83" i="7" s="1"/>
  <c r="P10" i="56"/>
  <c r="K10" i="56" s="1"/>
  <c r="H39" i="64"/>
  <c r="H42" i="64" s="1"/>
  <c r="F39" i="64"/>
  <c r="K38" i="64" s="1"/>
  <c r="K41" i="64" s="1"/>
  <c r="P23" i="66"/>
  <c r="P35" i="61"/>
  <c r="P38" i="61" s="1"/>
  <c r="F10" i="65"/>
  <c r="C34" i="90" s="1"/>
  <c r="C31" i="90" s="1"/>
  <c r="Q34" i="65" s="1"/>
  <c r="H28" i="65"/>
  <c r="H10" i="65" s="1"/>
  <c r="F39" i="65"/>
  <c r="F41" i="65" s="1"/>
  <c r="K40" i="65" s="1"/>
  <c r="P23" i="61"/>
  <c r="K39" i="66"/>
  <c r="K40" i="66" s="1"/>
  <c r="J39" i="66"/>
  <c r="AL140" i="7"/>
  <c r="BE66" i="7"/>
  <c r="BE139" i="7"/>
  <c r="AL68" i="7"/>
  <c r="AM68" i="7" s="1"/>
  <c r="AL67" i="7"/>
  <c r="P9" i="56"/>
  <c r="X9" i="56" s="1"/>
  <c r="AO142" i="7"/>
  <c r="AO144" i="7"/>
  <c r="AO145" i="7" s="1"/>
  <c r="AL70" i="7"/>
  <c r="F46" i="66"/>
  <c r="F43" i="66"/>
  <c r="I39" i="66"/>
  <c r="I42" i="66" s="1"/>
  <c r="BB93" i="8"/>
  <c r="M113" i="56" s="1"/>
  <c r="M112" i="56" s="1"/>
  <c r="BB91" i="8"/>
  <c r="BC65" i="8"/>
  <c r="BC64" i="8" s="1"/>
  <c r="BP64" i="8" s="1"/>
  <c r="BC94" i="8"/>
  <c r="P113" i="56"/>
  <c r="P122" i="56"/>
  <c r="X122" i="56" s="1"/>
  <c r="K123" i="56"/>
  <c r="K122" i="56" s="1"/>
  <c r="T122" i="56" s="1"/>
  <c r="L122" i="56"/>
  <c r="G123" i="56"/>
  <c r="G122" i="56" s="1"/>
  <c r="Q122" i="56" s="1"/>
  <c r="BA88" i="8"/>
  <c r="AJ88" i="8"/>
  <c r="L113" i="56"/>
  <c r="L112" i="56" s="1"/>
  <c r="AZ94" i="8"/>
  <c r="M122" i="56"/>
  <c r="H123" i="56"/>
  <c r="H122" i="56" s="1"/>
  <c r="BA123" i="6"/>
  <c r="AY124" i="6"/>
  <c r="AW124" i="6"/>
  <c r="AZ123" i="6"/>
  <c r="C40" i="56"/>
  <c r="B40" i="56" s="1"/>
  <c r="B39" i="56" s="1"/>
  <c r="B61" i="56"/>
  <c r="C60" i="56"/>
  <c r="BA55" i="8"/>
  <c r="AJ55" i="8"/>
  <c r="AK55" i="8"/>
  <c r="AK56" i="8"/>
  <c r="CP60" i="116" l="1"/>
  <c r="BI62" i="116"/>
  <c r="BR62" i="116" s="1"/>
  <c r="BR60" i="116"/>
  <c r="Y36" i="65"/>
  <c r="C60" i="116"/>
  <c r="F48" i="64"/>
  <c r="I40" i="61"/>
  <c r="I49" i="61" s="1"/>
  <c r="I38" i="64"/>
  <c r="I39" i="64" s="1"/>
  <c r="N38" i="64" s="1"/>
  <c r="N41" i="64" s="1"/>
  <c r="J38" i="64"/>
  <c r="J39" i="64" s="1"/>
  <c r="J42" i="64" s="1"/>
  <c r="P23" i="64"/>
  <c r="P35" i="66"/>
  <c r="P38" i="66"/>
  <c r="Q10" i="65"/>
  <c r="Z10" i="65" s="1"/>
  <c r="Z11" i="65"/>
  <c r="P39" i="66"/>
  <c r="P45" i="66" s="1"/>
  <c r="Y39" i="65"/>
  <c r="Y40" i="65" s="1"/>
  <c r="C26" i="116" s="1"/>
  <c r="F42" i="64"/>
  <c r="O39" i="66"/>
  <c r="O40" i="66" s="1"/>
  <c r="K42" i="66"/>
  <c r="H39" i="65"/>
  <c r="H41" i="65" s="1"/>
  <c r="H32" i="65"/>
  <c r="Q32" i="65" s="1"/>
  <c r="K43" i="66"/>
  <c r="K46" i="66"/>
  <c r="F48" i="66"/>
  <c r="K45" i="66"/>
  <c r="K47" i="66" s="1"/>
  <c r="J42" i="66"/>
  <c r="J40" i="66"/>
  <c r="J43" i="66" s="1"/>
  <c r="L10" i="56"/>
  <c r="L9" i="56" s="1"/>
  <c r="U9" i="56" s="1"/>
  <c r="AL71" i="7"/>
  <c r="AM71" i="7" s="1"/>
  <c r="AM70" i="7"/>
  <c r="AM140" i="7"/>
  <c r="BE140" i="7"/>
  <c r="AL141" i="7"/>
  <c r="L20" i="56"/>
  <c r="AM67" i="7"/>
  <c r="K43" i="65"/>
  <c r="K41" i="65"/>
  <c r="P40" i="65" s="1"/>
  <c r="P41" i="65" s="1"/>
  <c r="P44" i="65" s="1"/>
  <c r="I41" i="64"/>
  <c r="I40" i="66"/>
  <c r="I46" i="66" s="1"/>
  <c r="N45" i="66" s="1"/>
  <c r="F44" i="65"/>
  <c r="I40" i="65"/>
  <c r="I41" i="65" s="1"/>
  <c r="I49" i="65" s="1"/>
  <c r="F49" i="65"/>
  <c r="F47" i="66"/>
  <c r="I45" i="66"/>
  <c r="N39" i="61"/>
  <c r="N42" i="61" s="1"/>
  <c r="BB94" i="8"/>
  <c r="BB97" i="8" s="1"/>
  <c r="BB98" i="8" s="1"/>
  <c r="I48" i="64"/>
  <c r="N39" i="64"/>
  <c r="N42" i="64" s="1"/>
  <c r="BA124" i="6"/>
  <c r="C39" i="56"/>
  <c r="I124" i="56"/>
  <c r="G124" i="56" s="1"/>
  <c r="N124" i="56" s="1"/>
  <c r="L124" i="56" s="1"/>
  <c r="R122" i="56"/>
  <c r="J122" i="56"/>
  <c r="J123" i="56" s="1"/>
  <c r="O123" i="56" s="1"/>
  <c r="O122" i="56" s="1"/>
  <c r="K113" i="56"/>
  <c r="K112" i="56" s="1"/>
  <c r="T112" i="56" s="1"/>
  <c r="P112" i="56"/>
  <c r="X112" i="56" s="1"/>
  <c r="AZ124" i="6"/>
  <c r="C59" i="56"/>
  <c r="B60" i="56"/>
  <c r="B59" i="56" s="1"/>
  <c r="AK61" i="8"/>
  <c r="T82" i="7" s="1"/>
  <c r="Q82" i="7" s="1"/>
  <c r="AK89" i="8"/>
  <c r="AK90" i="8" s="1"/>
  <c r="M83" i="56" s="1"/>
  <c r="AK57" i="8"/>
  <c r="AK58" i="8"/>
  <c r="AI56" i="8"/>
  <c r="CA62" i="116" l="1"/>
  <c r="D37" i="120"/>
  <c r="R53" i="119"/>
  <c r="R51" i="119"/>
  <c r="CA60" i="116"/>
  <c r="CD60" i="116"/>
  <c r="CY60" i="116"/>
  <c r="CP62" i="116"/>
  <c r="B26" i="116"/>
  <c r="AP26" i="116"/>
  <c r="L26" i="116"/>
  <c r="U26" i="116"/>
  <c r="BH26" i="116"/>
  <c r="C24" i="116"/>
  <c r="C20" i="116"/>
  <c r="B60" i="116"/>
  <c r="L60" i="116"/>
  <c r="I42" i="64"/>
  <c r="Q36" i="65"/>
  <c r="Q39" i="65" s="1"/>
  <c r="R31" i="65" s="1"/>
  <c r="R32" i="65" s="1"/>
  <c r="I43" i="61"/>
  <c r="Z39" i="65"/>
  <c r="P40" i="66"/>
  <c r="W39" i="66" s="1"/>
  <c r="W45" i="66" s="1"/>
  <c r="D25" i="116" s="1"/>
  <c r="P42" i="66"/>
  <c r="K48" i="66"/>
  <c r="J48" i="66"/>
  <c r="K51" i="66"/>
  <c r="O46" i="66"/>
  <c r="O43" i="66"/>
  <c r="O40" i="65"/>
  <c r="O41" i="65" s="1"/>
  <c r="O44" i="65" s="1"/>
  <c r="Q40" i="65"/>
  <c r="O43" i="65"/>
  <c r="K44" i="65"/>
  <c r="K49" i="65"/>
  <c r="G20" i="56"/>
  <c r="G19" i="56" s="1"/>
  <c r="Q19" i="56" s="1"/>
  <c r="L19" i="56"/>
  <c r="U19" i="56" s="1"/>
  <c r="AL144" i="7"/>
  <c r="AM141" i="7"/>
  <c r="AL142" i="7"/>
  <c r="BE141" i="7"/>
  <c r="I47" i="66"/>
  <c r="I48" i="66"/>
  <c r="N39" i="66"/>
  <c r="I43" i="65"/>
  <c r="N40" i="65"/>
  <c r="N43" i="65" s="1"/>
  <c r="I44" i="65"/>
  <c r="I43" i="66"/>
  <c r="N40" i="61"/>
  <c r="N43" i="61" s="1"/>
  <c r="N48" i="64"/>
  <c r="AK62" i="8"/>
  <c r="T81" i="7" s="1"/>
  <c r="H83" i="56"/>
  <c r="M82" i="56"/>
  <c r="AI89" i="8"/>
  <c r="AK93" i="8"/>
  <c r="AK91" i="8"/>
  <c r="AI57" i="8"/>
  <c r="AI61" i="8"/>
  <c r="AI58" i="8"/>
  <c r="G86" i="7"/>
  <c r="Q81" i="7"/>
  <c r="G89" i="7"/>
  <c r="AQ25" i="116" l="1"/>
  <c r="BI25" i="116"/>
  <c r="V25" i="116"/>
  <c r="B25" i="116"/>
  <c r="M25" i="116"/>
  <c r="D19" i="116"/>
  <c r="DH60" i="116"/>
  <c r="CY62" i="116"/>
  <c r="U51" i="119"/>
  <c r="CM60" i="116"/>
  <c r="AP24" i="116"/>
  <c r="AP18" i="116" s="1"/>
  <c r="L24" i="116"/>
  <c r="B24" i="116"/>
  <c r="U24" i="116"/>
  <c r="BH24" i="116"/>
  <c r="C18" i="116"/>
  <c r="T26" i="116"/>
  <c r="U20" i="116"/>
  <c r="T20" i="116" s="1"/>
  <c r="AO26" i="116"/>
  <c r="AP20" i="116"/>
  <c r="U60" i="116"/>
  <c r="K60" i="116"/>
  <c r="B20" i="116"/>
  <c r="BG26" i="116"/>
  <c r="BH20" i="116"/>
  <c r="BG20" i="116" s="1"/>
  <c r="K26" i="116"/>
  <c r="AY26" i="116"/>
  <c r="L20" i="116"/>
  <c r="K20" i="116" s="1"/>
  <c r="Z36" i="65"/>
  <c r="P43" i="66"/>
  <c r="W42" i="66"/>
  <c r="P46" i="66"/>
  <c r="P47" i="66" s="1"/>
  <c r="N40" i="66"/>
  <c r="N46" i="66" s="1"/>
  <c r="N47" i="66" s="1"/>
  <c r="Q41" i="65"/>
  <c r="AM142" i="7"/>
  <c r="BE142" i="7"/>
  <c r="AL145" i="7"/>
  <c r="AM144" i="7"/>
  <c r="BE144" i="7"/>
  <c r="N42" i="66"/>
  <c r="N41" i="65"/>
  <c r="N44" i="65" s="1"/>
  <c r="N49" i="61"/>
  <c r="V82" i="56"/>
  <c r="V122" i="56"/>
  <c r="AK94" i="8"/>
  <c r="M73" i="56"/>
  <c r="AJ89" i="8"/>
  <c r="BA89" i="8"/>
  <c r="AI90" i="8"/>
  <c r="L83" i="56" s="1"/>
  <c r="Q83" i="7"/>
  <c r="T96" i="7"/>
  <c r="AJ58" i="8"/>
  <c r="H89" i="7"/>
  <c r="G90" i="7"/>
  <c r="H86" i="7"/>
  <c r="G87" i="7"/>
  <c r="AJ61" i="8"/>
  <c r="AI62" i="8"/>
  <c r="AC20" i="116" l="1"/>
  <c r="B19" i="116"/>
  <c r="D21" i="116"/>
  <c r="BG25" i="116"/>
  <c r="BI19" i="116"/>
  <c r="EO60" i="116"/>
  <c r="DH62" i="116"/>
  <c r="DQ60" i="116"/>
  <c r="AZ25" i="116"/>
  <c r="K25" i="116"/>
  <c r="M19" i="116"/>
  <c r="T25" i="116"/>
  <c r="V19" i="116"/>
  <c r="AO25" i="116"/>
  <c r="AQ19" i="116"/>
  <c r="AX26" i="116"/>
  <c r="AY20" i="116"/>
  <c r="AX20" i="116" s="1"/>
  <c r="AC26" i="116"/>
  <c r="AL26" i="116" s="1"/>
  <c r="AL20" i="116"/>
  <c r="AO20" i="116"/>
  <c r="C21" i="116"/>
  <c r="B18" i="116"/>
  <c r="AY24" i="116"/>
  <c r="K24" i="116"/>
  <c r="L18" i="116"/>
  <c r="AD60" i="116"/>
  <c r="T60" i="116"/>
  <c r="AC60" i="116" s="1"/>
  <c r="AP60" i="116"/>
  <c r="BG24" i="116"/>
  <c r="BH18" i="116"/>
  <c r="AO24" i="116"/>
  <c r="AD20" i="116"/>
  <c r="T24" i="116"/>
  <c r="U18" i="116"/>
  <c r="Q44" i="65"/>
  <c r="N43" i="66"/>
  <c r="N48" i="66"/>
  <c r="Q49" i="65"/>
  <c r="AM145" i="7"/>
  <c r="BE145" i="7"/>
  <c r="N49" i="65"/>
  <c r="L82" i="56"/>
  <c r="G83" i="56"/>
  <c r="G82" i="56" s="1"/>
  <c r="Q82" i="56" s="1"/>
  <c r="H73" i="56"/>
  <c r="H72" i="56" s="1"/>
  <c r="M72" i="56"/>
  <c r="AJ90" i="8"/>
  <c r="AI93" i="8"/>
  <c r="L73" i="56" s="1"/>
  <c r="AI91" i="8"/>
  <c r="BA90" i="8"/>
  <c r="AJ62" i="8"/>
  <c r="U96" i="7"/>
  <c r="U97" i="7" s="1"/>
  <c r="T97" i="7"/>
  <c r="D55" i="34"/>
  <c r="AQ21" i="116" l="1"/>
  <c r="AO19" i="116"/>
  <c r="V21" i="116"/>
  <c r="V22" i="116" s="1"/>
  <c r="T19" i="116"/>
  <c r="K19" i="116"/>
  <c r="M21" i="116"/>
  <c r="M22" i="116" s="1"/>
  <c r="AX25" i="116"/>
  <c r="AZ19" i="116"/>
  <c r="BI21" i="116"/>
  <c r="BG19" i="116"/>
  <c r="D22" i="116"/>
  <c r="AE21" i="116"/>
  <c r="AE19" i="116"/>
  <c r="BQ20" i="116"/>
  <c r="X51" i="119"/>
  <c r="DZ60" i="116"/>
  <c r="EC60" i="116"/>
  <c r="EX60" i="116"/>
  <c r="EO62" i="116"/>
  <c r="AC19" i="116"/>
  <c r="DQ62" i="116"/>
  <c r="AP21" i="116"/>
  <c r="AO18" i="116"/>
  <c r="AY60" i="116"/>
  <c r="AO60" i="116"/>
  <c r="AP62" i="116"/>
  <c r="T18" i="116"/>
  <c r="U21" i="116"/>
  <c r="AD26" i="116"/>
  <c r="AM26" i="116" s="1"/>
  <c r="AM20" i="116"/>
  <c r="CC20" i="116"/>
  <c r="M51" i="119"/>
  <c r="AL60" i="116"/>
  <c r="K18" i="116"/>
  <c r="L21" i="116"/>
  <c r="AX24" i="116"/>
  <c r="AY18" i="116"/>
  <c r="AD18" i="116"/>
  <c r="BP20" i="116"/>
  <c r="BG18" i="116"/>
  <c r="BH21" i="116"/>
  <c r="N51" i="119"/>
  <c r="AM60" i="116"/>
  <c r="B21" i="116"/>
  <c r="C22" i="116"/>
  <c r="AD21" i="116"/>
  <c r="BQ26" i="116"/>
  <c r="BZ26" i="116" s="1"/>
  <c r="BZ20" i="116"/>
  <c r="AC18" i="116"/>
  <c r="Y43" i="65"/>
  <c r="Y41" i="65"/>
  <c r="L72" i="56"/>
  <c r="G73" i="56"/>
  <c r="G72" i="56" s="1"/>
  <c r="Q72" i="56" s="1"/>
  <c r="V72" i="56"/>
  <c r="V112" i="56"/>
  <c r="I74" i="56"/>
  <c r="G74" i="56" s="1"/>
  <c r="N74" i="56" s="1"/>
  <c r="L74" i="56" s="1"/>
  <c r="R72" i="56"/>
  <c r="J72" i="56"/>
  <c r="U82" i="56"/>
  <c r="U122" i="56"/>
  <c r="AJ91" i="8"/>
  <c r="BA91" i="8"/>
  <c r="AI94" i="8"/>
  <c r="AJ93" i="8"/>
  <c r="BA93" i="8"/>
  <c r="Q55" i="34"/>
  <c r="DZ62" i="116" l="1"/>
  <c r="F37" i="120"/>
  <c r="K24" i="121" s="1"/>
  <c r="X53" i="119"/>
  <c r="FG60" i="116"/>
  <c r="EX62" i="116"/>
  <c r="C27" i="120"/>
  <c r="AE22" i="116"/>
  <c r="AN22" i="116" s="1"/>
  <c r="AN21" i="116"/>
  <c r="AC25" i="116"/>
  <c r="AL25" i="116" s="1"/>
  <c r="AL19" i="116"/>
  <c r="AA51" i="119"/>
  <c r="EL60" i="116"/>
  <c r="AE25" i="116"/>
  <c r="AN25" i="116" s="1"/>
  <c r="AN19" i="116"/>
  <c r="BI22" i="116"/>
  <c r="BI63" i="116"/>
  <c r="BI64" i="116" s="1"/>
  <c r="BI65" i="116" s="1"/>
  <c r="AX19" i="116"/>
  <c r="BP19" i="116" s="1"/>
  <c r="AZ21" i="116"/>
  <c r="BR19" i="116"/>
  <c r="CD19" i="116" s="1"/>
  <c r="AQ22" i="116"/>
  <c r="AQ63" i="116"/>
  <c r="C26" i="120"/>
  <c r="AD24" i="116"/>
  <c r="AM24" i="116" s="1"/>
  <c r="AM18" i="116"/>
  <c r="CL20" i="116"/>
  <c r="CC26" i="116"/>
  <c r="CL26" i="116" s="1"/>
  <c r="AX60" i="116"/>
  <c r="BH60" i="116"/>
  <c r="AY62" i="116"/>
  <c r="C25" i="120"/>
  <c r="B13" i="121" s="1"/>
  <c r="AD22" i="116"/>
  <c r="AM22" i="116" s="1"/>
  <c r="AM21" i="116"/>
  <c r="B22" i="116"/>
  <c r="BH22" i="116"/>
  <c r="BG21" i="116"/>
  <c r="BG22" i="116" s="1"/>
  <c r="BP26" i="116"/>
  <c r="BY26" i="116" s="1"/>
  <c r="BY20" i="116"/>
  <c r="CB20" i="116"/>
  <c r="AX18" i="116"/>
  <c r="BP18" i="116" s="1"/>
  <c r="CB18" i="116" s="1"/>
  <c r="AY21" i="116"/>
  <c r="L22" i="116"/>
  <c r="K21" i="116"/>
  <c r="K22" i="116" s="1"/>
  <c r="T21" i="116"/>
  <c r="T22" i="116" s="1"/>
  <c r="U22" i="116"/>
  <c r="AO62" i="116"/>
  <c r="BQ18" i="116"/>
  <c r="CO26" i="116"/>
  <c r="AA40" i="65"/>
  <c r="AC24" i="116"/>
  <c r="AL24" i="116" s="1"/>
  <c r="AL18" i="116"/>
  <c r="AO21" i="116"/>
  <c r="AP22" i="116"/>
  <c r="AP63" i="116"/>
  <c r="Y44" i="65"/>
  <c r="Y49" i="65"/>
  <c r="E92" i="56"/>
  <c r="E112" i="56"/>
  <c r="J73" i="56"/>
  <c r="O73" i="56" s="1"/>
  <c r="O72" i="56" s="1"/>
  <c r="U72" i="56"/>
  <c r="U112" i="56"/>
  <c r="AJ94" i="8"/>
  <c r="BA94" i="8"/>
  <c r="BP25" i="116" l="1"/>
  <c r="BY25" i="116" s="1"/>
  <c r="BY19" i="116"/>
  <c r="CB19" i="116"/>
  <c r="AQ64" i="116"/>
  <c r="AZ22" i="116"/>
  <c r="AZ63" i="116"/>
  <c r="AZ64" i="116" s="1"/>
  <c r="AZ65" i="116" s="1"/>
  <c r="CD25" i="116"/>
  <c r="CM25" i="116" s="1"/>
  <c r="CM19" i="116"/>
  <c r="R24" i="121"/>
  <c r="M24" i="121"/>
  <c r="P24" i="121"/>
  <c r="Q24" i="121"/>
  <c r="L24" i="121"/>
  <c r="G13" i="121"/>
  <c r="H13" i="121"/>
  <c r="C13" i="121"/>
  <c r="D13" i="121"/>
  <c r="F13" i="121"/>
  <c r="BR21" i="116"/>
  <c r="BR25" i="116"/>
  <c r="CA25" i="116" s="1"/>
  <c r="CA19" i="116"/>
  <c r="B14" i="121"/>
  <c r="FG62" i="116"/>
  <c r="FP60" i="116"/>
  <c r="AO22" i="116"/>
  <c r="CK18" i="116"/>
  <c r="CB24" i="116"/>
  <c r="CK24" i="116" s="1"/>
  <c r="AX21" i="116"/>
  <c r="AX22" i="116" s="1"/>
  <c r="AY22" i="116"/>
  <c r="AY63" i="116"/>
  <c r="AX63" i="116" s="1"/>
  <c r="AP64" i="116"/>
  <c r="AO63" i="116"/>
  <c r="EN26" i="116"/>
  <c r="CN26" i="116"/>
  <c r="CO24" i="116"/>
  <c r="CX26" i="116"/>
  <c r="DG26" i="116"/>
  <c r="EW26" i="116"/>
  <c r="FF26" i="116"/>
  <c r="CO20" i="116"/>
  <c r="BP24" i="116"/>
  <c r="BY24" i="116" s="1"/>
  <c r="BY18" i="116"/>
  <c r="C24" i="120"/>
  <c r="BG60" i="116"/>
  <c r="BP60" i="116" s="1"/>
  <c r="CO60" i="116"/>
  <c r="BH62" i="116"/>
  <c r="BQ60" i="116"/>
  <c r="BQ21" i="116"/>
  <c r="D26" i="120"/>
  <c r="BQ24" i="116"/>
  <c r="BZ24" i="116" s="1"/>
  <c r="BZ18" i="116"/>
  <c r="CB26" i="116"/>
  <c r="CK26" i="116" s="1"/>
  <c r="CK20" i="116"/>
  <c r="AX62" i="116"/>
  <c r="AC21" i="116"/>
  <c r="CC18" i="116"/>
  <c r="AA41" i="65"/>
  <c r="AA43" i="65"/>
  <c r="E113" i="56"/>
  <c r="D114" i="56"/>
  <c r="D94" i="56"/>
  <c r="E93" i="56"/>
  <c r="AJ11" i="19"/>
  <c r="AJ50" i="19" s="1"/>
  <c r="AJ51" i="19" s="1"/>
  <c r="AJ14" i="19"/>
  <c r="AK14" i="19" s="1"/>
  <c r="S24" i="121" l="1"/>
  <c r="N24" i="121"/>
  <c r="H14" i="121"/>
  <c r="G14" i="121"/>
  <c r="G12" i="121" s="1"/>
  <c r="F14" i="121"/>
  <c r="D14" i="121"/>
  <c r="C14" i="121"/>
  <c r="E14" i="121"/>
  <c r="I13" i="121"/>
  <c r="F12" i="121"/>
  <c r="B12" i="121"/>
  <c r="H12" i="121"/>
  <c r="FP62" i="116"/>
  <c r="BR64" i="116"/>
  <c r="AQ65" i="116"/>
  <c r="AD51" i="119"/>
  <c r="FY60" i="116"/>
  <c r="GB60" i="116"/>
  <c r="D27" i="120"/>
  <c r="BR22" i="116"/>
  <c r="CA22" i="116" s="1"/>
  <c r="CA21" i="116"/>
  <c r="CD21" i="116"/>
  <c r="E13" i="121"/>
  <c r="J13" i="121" s="1"/>
  <c r="D12" i="121"/>
  <c r="C12" i="121"/>
  <c r="BR63" i="116"/>
  <c r="CB25" i="116"/>
  <c r="CK25" i="116" s="1"/>
  <c r="CK19" i="116"/>
  <c r="BG62" i="116"/>
  <c r="BP62" i="116" s="1"/>
  <c r="BH63" i="116"/>
  <c r="BQ62" i="116"/>
  <c r="P51" i="119"/>
  <c r="BY60" i="116"/>
  <c r="CB60" i="116"/>
  <c r="FE26" i="116"/>
  <c r="FF20" i="116"/>
  <c r="FE20" i="116" s="1"/>
  <c r="DF26" i="116"/>
  <c r="DG20" i="116"/>
  <c r="DF20" i="116" s="1"/>
  <c r="EM26" i="116"/>
  <c r="EN20" i="116"/>
  <c r="E26" i="120"/>
  <c r="CC24" i="116"/>
  <c r="CL24" i="116" s="1"/>
  <c r="CL18" i="116"/>
  <c r="Q51" i="119"/>
  <c r="BZ60" i="116"/>
  <c r="CC60" i="116"/>
  <c r="CX60" i="116"/>
  <c r="CN60" i="116"/>
  <c r="CO62" i="116"/>
  <c r="CN20" i="116"/>
  <c r="EV26" i="116"/>
  <c r="EW20" i="116"/>
  <c r="EV20" i="116" s="1"/>
  <c r="CW26" i="116"/>
  <c r="CX20" i="116"/>
  <c r="CW20" i="116" s="1"/>
  <c r="AP65" i="116"/>
  <c r="AO64" i="116"/>
  <c r="AY64" i="116"/>
  <c r="BQ63" i="116"/>
  <c r="AL21" i="116"/>
  <c r="AC22" i="116"/>
  <c r="AL22" i="116" s="1"/>
  <c r="D25" i="120"/>
  <c r="BZ21" i="116"/>
  <c r="BQ22" i="116"/>
  <c r="BZ22" i="116" s="1"/>
  <c r="CC21" i="116"/>
  <c r="FF24" i="116"/>
  <c r="DG24" i="116"/>
  <c r="CN24" i="116"/>
  <c r="EW24" i="116"/>
  <c r="CX24" i="116"/>
  <c r="EN24" i="116"/>
  <c r="CO18" i="116"/>
  <c r="BP21" i="116"/>
  <c r="AA49" i="65"/>
  <c r="AB40" i="65"/>
  <c r="AA44" i="65"/>
  <c r="B94" i="56"/>
  <c r="C93" i="56"/>
  <c r="B114" i="56"/>
  <c r="C113" i="56"/>
  <c r="AM14" i="19"/>
  <c r="AL14" i="19"/>
  <c r="AK10" i="19"/>
  <c r="I14" i="121" l="1"/>
  <c r="J14" i="121" s="1"/>
  <c r="FY62" i="116"/>
  <c r="H37" i="120"/>
  <c r="AD53" i="119"/>
  <c r="I12" i="121"/>
  <c r="CA63" i="116"/>
  <c r="R54" i="119"/>
  <c r="E27" i="120"/>
  <c r="CM21" i="116"/>
  <c r="CD22" i="116"/>
  <c r="CM22" i="116" s="1"/>
  <c r="GK60" i="116"/>
  <c r="AG51" i="119"/>
  <c r="R55" i="119"/>
  <c r="BR65" i="116"/>
  <c r="CA64" i="116"/>
  <c r="E12" i="121"/>
  <c r="J12" i="121" s="1"/>
  <c r="BP22" i="116"/>
  <c r="BY22" i="116" s="1"/>
  <c r="BY21" i="116"/>
  <c r="EM24" i="116"/>
  <c r="EN18" i="116"/>
  <c r="EV24" i="116"/>
  <c r="EW18" i="116"/>
  <c r="DF24" i="116"/>
  <c r="DG18" i="116"/>
  <c r="E25" i="120"/>
  <c r="E24" i="120" s="1"/>
  <c r="CC22" i="116"/>
  <c r="CL22" i="116" s="1"/>
  <c r="CL21" i="116"/>
  <c r="AX64" i="116"/>
  <c r="AY65" i="116"/>
  <c r="AO65" i="116"/>
  <c r="CN62" i="116"/>
  <c r="CO21" i="116"/>
  <c r="CN18" i="116"/>
  <c r="CW24" i="116"/>
  <c r="CX18" i="116"/>
  <c r="FE24" i="116"/>
  <c r="FF18" i="116"/>
  <c r="D24" i="120"/>
  <c r="BZ63" i="116"/>
  <c r="Q54" i="119"/>
  <c r="CW60" i="116"/>
  <c r="DG60" i="116"/>
  <c r="CX62" i="116"/>
  <c r="CW62" i="116" s="1"/>
  <c r="FO20" i="116"/>
  <c r="EM20" i="116"/>
  <c r="FN20" i="116" s="1"/>
  <c r="S51" i="119"/>
  <c r="CK60" i="116"/>
  <c r="BH64" i="116"/>
  <c r="BQ64" i="116" s="1"/>
  <c r="BG63" i="116"/>
  <c r="BP63" i="116" s="1"/>
  <c r="DO20" i="116"/>
  <c r="T51" i="119"/>
  <c r="CL60" i="116"/>
  <c r="BZ62" i="116"/>
  <c r="D36" i="120"/>
  <c r="D35" i="120" s="1"/>
  <c r="Q53" i="119"/>
  <c r="BY62" i="116"/>
  <c r="P53" i="119"/>
  <c r="CB21" i="116"/>
  <c r="DP20" i="116"/>
  <c r="AB43" i="65"/>
  <c r="AB41" i="65"/>
  <c r="B113" i="56"/>
  <c r="C112" i="56"/>
  <c r="H113" i="56"/>
  <c r="H112" i="56" s="1"/>
  <c r="C92" i="56"/>
  <c r="B93" i="56"/>
  <c r="AN14" i="19"/>
  <c r="AL10" i="19"/>
  <c r="AM10" i="19"/>
  <c r="AK11" i="19"/>
  <c r="AM11" i="19" s="1"/>
  <c r="CA65" i="116" l="1"/>
  <c r="R56" i="119"/>
  <c r="DP26" i="116"/>
  <c r="DY26" i="116" s="1"/>
  <c r="DY20" i="116"/>
  <c r="EB20" i="116"/>
  <c r="BY63" i="116"/>
  <c r="P54" i="119"/>
  <c r="FX20" i="116"/>
  <c r="FO26" i="116"/>
  <c r="FX26" i="116" s="1"/>
  <c r="DF60" i="116"/>
  <c r="DO60" i="116" s="1"/>
  <c r="EN60" i="116"/>
  <c r="DG62" i="116"/>
  <c r="DP60" i="116"/>
  <c r="CK21" i="116"/>
  <c r="CB22" i="116"/>
  <c r="CK22" i="116" s="1"/>
  <c r="Q55" i="119"/>
  <c r="BQ65" i="116"/>
  <c r="BZ64" i="116"/>
  <c r="BH65" i="116"/>
  <c r="BG64" i="116"/>
  <c r="FN26" i="116"/>
  <c r="FW26" i="116" s="1"/>
  <c r="FW20" i="116"/>
  <c r="D43" i="120"/>
  <c r="CO22" i="116"/>
  <c r="CO63" i="116"/>
  <c r="AX65" i="116"/>
  <c r="DX20" i="116"/>
  <c r="DO26" i="116"/>
  <c r="DX26" i="116" s="1"/>
  <c r="EA20" i="116"/>
  <c r="FE18" i="116"/>
  <c r="FF21" i="116"/>
  <c r="CW18" i="116"/>
  <c r="CX21" i="116"/>
  <c r="DF18" i="116"/>
  <c r="DG21" i="116"/>
  <c r="EV18" i="116"/>
  <c r="EW21" i="116"/>
  <c r="EN21" i="116"/>
  <c r="EM18" i="116"/>
  <c r="FO18" i="116"/>
  <c r="DP18" i="116"/>
  <c r="AC40" i="65"/>
  <c r="AB44" i="65"/>
  <c r="AB49" i="65"/>
  <c r="B92" i="56"/>
  <c r="I114" i="56"/>
  <c r="G114" i="56" s="1"/>
  <c r="N114" i="56" s="1"/>
  <c r="L114" i="56" s="1"/>
  <c r="R112" i="56"/>
  <c r="J112" i="56"/>
  <c r="J113" i="56" s="1"/>
  <c r="O113" i="56" s="1"/>
  <c r="O112" i="56" s="1"/>
  <c r="B112" i="56"/>
  <c r="G113" i="56"/>
  <c r="G112" i="56" s="1"/>
  <c r="AK50" i="19"/>
  <c r="AL11" i="19"/>
  <c r="AN11" i="19" s="1"/>
  <c r="AN10" i="19"/>
  <c r="DO18" i="116" l="1"/>
  <c r="DX18" i="116"/>
  <c r="DO24" i="116"/>
  <c r="DX24" i="116" s="1"/>
  <c r="EA18" i="116"/>
  <c r="F26" i="120"/>
  <c r="DY18" i="116"/>
  <c r="DP24" i="116"/>
  <c r="DY24" i="116" s="1"/>
  <c r="EB18" i="116"/>
  <c r="H26" i="120"/>
  <c r="FX18" i="116"/>
  <c r="FO24" i="116"/>
  <c r="FX24" i="116" s="1"/>
  <c r="BZ65" i="116"/>
  <c r="Q56" i="119"/>
  <c r="DF62" i="116"/>
  <c r="DO62" i="116" s="1"/>
  <c r="DP62" i="116"/>
  <c r="EW22" i="116"/>
  <c r="DG22" i="116"/>
  <c r="DG63" i="116"/>
  <c r="CX22" i="116"/>
  <c r="CX63" i="116"/>
  <c r="FF22" i="116"/>
  <c r="FZ20" i="116"/>
  <c r="EJ20" i="116"/>
  <c r="EA26" i="116"/>
  <c r="EJ26" i="116" s="1"/>
  <c r="CO64" i="116"/>
  <c r="BG65" i="116"/>
  <c r="BP64" i="116"/>
  <c r="W51" i="119"/>
  <c r="DY60" i="116"/>
  <c r="EB60" i="116"/>
  <c r="EW60" i="116"/>
  <c r="EM60" i="116"/>
  <c r="EN62" i="116"/>
  <c r="GA20" i="116"/>
  <c r="EB26" i="116"/>
  <c r="EK26" i="116" s="1"/>
  <c r="EK20" i="116"/>
  <c r="FN18" i="116"/>
  <c r="DP21" i="116"/>
  <c r="FO21" i="116"/>
  <c r="EN22" i="116"/>
  <c r="EN63" i="116"/>
  <c r="V51" i="119"/>
  <c r="DX60" i="116"/>
  <c r="EA60" i="116"/>
  <c r="AC41" i="65"/>
  <c r="AC49" i="65" s="1"/>
  <c r="AC43" i="65"/>
  <c r="AL50" i="19"/>
  <c r="AL51" i="19" s="1"/>
  <c r="Q112" i="56"/>
  <c r="AJ57" i="19"/>
  <c r="AK51" i="19"/>
  <c r="AM50" i="19"/>
  <c r="K26" i="120" l="1"/>
  <c r="FF60" i="116"/>
  <c r="EV60" i="116"/>
  <c r="EW62" i="116"/>
  <c r="CX64" i="116"/>
  <c r="DX62" i="116"/>
  <c r="V53" i="119"/>
  <c r="Y51" i="119"/>
  <c r="EJ60" i="116"/>
  <c r="H25" i="120"/>
  <c r="FX21" i="116"/>
  <c r="FO22" i="116"/>
  <c r="FX22" i="116" s="1"/>
  <c r="FN24" i="116"/>
  <c r="FW24" i="116" s="1"/>
  <c r="FW18" i="116"/>
  <c r="EM62" i="116"/>
  <c r="Z51" i="119"/>
  <c r="EK60" i="116"/>
  <c r="CO65" i="116"/>
  <c r="DY62" i="116"/>
  <c r="F36" i="120"/>
  <c r="W53" i="119"/>
  <c r="G26" i="120"/>
  <c r="EB24" i="116"/>
  <c r="EK24" i="116" s="1"/>
  <c r="EK18" i="116"/>
  <c r="GA18" i="116"/>
  <c r="EA24" i="116"/>
  <c r="EJ24" i="116" s="1"/>
  <c r="EJ18" i="116"/>
  <c r="FZ18" i="116"/>
  <c r="DP63" i="116"/>
  <c r="DG64" i="116"/>
  <c r="EN64" i="116"/>
  <c r="F25" i="120"/>
  <c r="K13" i="121" s="1"/>
  <c r="DP22" i="116"/>
  <c r="DY22" i="116" s="1"/>
  <c r="DY21" i="116"/>
  <c r="EB21" i="116"/>
  <c r="GA26" i="116"/>
  <c r="GJ26" i="116" s="1"/>
  <c r="GJ20" i="116"/>
  <c r="P55" i="119"/>
  <c r="BY64" i="116"/>
  <c r="BY70" i="116"/>
  <c r="BP65" i="116"/>
  <c r="FZ26" i="116"/>
  <c r="GI26" i="116" s="1"/>
  <c r="GI20" i="116"/>
  <c r="AD40" i="65"/>
  <c r="AC44" i="65"/>
  <c r="AN50" i="19"/>
  <c r="AJ58" i="19"/>
  <c r="AX51" i="8" s="1"/>
  <c r="AV81" i="8"/>
  <c r="AW46" i="8"/>
  <c r="AZ130" i="7"/>
  <c r="BB56" i="7"/>
  <c r="BA56" i="7"/>
  <c r="AJ61" i="19"/>
  <c r="R13" i="121" l="1"/>
  <c r="M13" i="121"/>
  <c r="P13" i="121"/>
  <c r="Q13" i="121"/>
  <c r="L13" i="121"/>
  <c r="F35" i="120"/>
  <c r="K23" i="121"/>
  <c r="K25" i="120"/>
  <c r="DG65" i="116"/>
  <c r="DY63" i="116"/>
  <c r="W54" i="119"/>
  <c r="GI18" i="116"/>
  <c r="FZ24" i="116"/>
  <c r="GI24" i="116" s="1"/>
  <c r="EV62" i="116"/>
  <c r="EW63" i="116"/>
  <c r="FE60" i="116"/>
  <c r="FN60" i="116" s="1"/>
  <c r="FF62" i="116"/>
  <c r="FO60" i="116"/>
  <c r="DP64" i="116"/>
  <c r="P56" i="119"/>
  <c r="BY65" i="116"/>
  <c r="G25" i="120"/>
  <c r="GA21" i="116"/>
  <c r="EK21" i="116"/>
  <c r="EB22" i="116"/>
  <c r="EK22" i="116" s="1"/>
  <c r="EN65" i="116"/>
  <c r="I26" i="120"/>
  <c r="GA24" i="116"/>
  <c r="GJ24" i="116" s="1"/>
  <c r="GJ18" i="116"/>
  <c r="CX65" i="116"/>
  <c r="AD41" i="65"/>
  <c r="AD49" i="65" s="1"/>
  <c r="AD43" i="65"/>
  <c r="BB130" i="7"/>
  <c r="BB135" i="7" s="1"/>
  <c r="BB139" i="7" s="1"/>
  <c r="BB61" i="7"/>
  <c r="AX81" i="8"/>
  <c r="AX86" i="8" s="1"/>
  <c r="AX88" i="8" s="1"/>
  <c r="BC56" i="7"/>
  <c r="AV55" i="8"/>
  <c r="AW55" i="8" s="1"/>
  <c r="AW51" i="8"/>
  <c r="AZ135" i="7"/>
  <c r="BA130" i="7"/>
  <c r="AW81" i="8"/>
  <c r="AV86" i="8"/>
  <c r="BA17" i="7"/>
  <c r="Q23" i="121" l="1"/>
  <c r="Q22" i="121" s="1"/>
  <c r="K22" i="121"/>
  <c r="P23" i="121"/>
  <c r="L23" i="121"/>
  <c r="L22" i="121" s="1"/>
  <c r="M23" i="121"/>
  <c r="M22" i="121" s="1"/>
  <c r="R23" i="121"/>
  <c r="R22" i="121" s="1"/>
  <c r="S13" i="121"/>
  <c r="N13" i="121"/>
  <c r="O13" i="121" s="1"/>
  <c r="T13" i="121" s="1"/>
  <c r="W55" i="119"/>
  <c r="DY64" i="116"/>
  <c r="DP65" i="116"/>
  <c r="FE62" i="116"/>
  <c r="FN62" i="116" s="1"/>
  <c r="FF63" i="116"/>
  <c r="FO63" i="116" s="1"/>
  <c r="FO62" i="116"/>
  <c r="EW64" i="116"/>
  <c r="I25" i="120"/>
  <c r="GA22" i="116"/>
  <c r="GJ22" i="116" s="1"/>
  <c r="GJ21" i="116"/>
  <c r="AC51" i="119"/>
  <c r="FX60" i="116"/>
  <c r="GA60" i="116"/>
  <c r="AB51" i="119"/>
  <c r="FW60" i="116"/>
  <c r="FZ60" i="116"/>
  <c r="AE40" i="65"/>
  <c r="AD44" i="65"/>
  <c r="BC130" i="7"/>
  <c r="BC135" i="7" s="1"/>
  <c r="BC139" i="7" s="1"/>
  <c r="BC61" i="7"/>
  <c r="AZ139" i="7"/>
  <c r="BA139" i="7" s="1"/>
  <c r="BA135" i="7"/>
  <c r="AV88" i="8"/>
  <c r="AW88" i="8" s="1"/>
  <c r="AW86" i="8"/>
  <c r="AX56" i="8"/>
  <c r="AX58" i="8" s="1"/>
  <c r="AX55" i="8"/>
  <c r="BA8" i="7"/>
  <c r="N22" i="121" l="1"/>
  <c r="N23" i="121"/>
  <c r="S23" i="121"/>
  <c r="P22" i="121"/>
  <c r="S22" i="121" s="1"/>
  <c r="GJ60" i="116"/>
  <c r="AF51" i="119"/>
  <c r="FX62" i="116"/>
  <c r="H36" i="120"/>
  <c r="H35" i="120" s="1"/>
  <c r="AC53" i="119"/>
  <c r="FW62" i="116"/>
  <c r="AB53" i="119"/>
  <c r="GI60" i="116"/>
  <c r="AE51" i="119"/>
  <c r="FX63" i="116"/>
  <c r="AC54" i="119"/>
  <c r="EW65" i="116"/>
  <c r="FF64" i="116"/>
  <c r="FO64" i="116" s="1"/>
  <c r="DY65" i="116"/>
  <c r="W56" i="119"/>
  <c r="AE41" i="65"/>
  <c r="AE44" i="65" s="1"/>
  <c r="AE43" i="65"/>
  <c r="AX61" i="8"/>
  <c r="AX62" i="8" s="1"/>
  <c r="AX57" i="8"/>
  <c r="AX89" i="8"/>
  <c r="AX90" i="8" s="1"/>
  <c r="AV56" i="8"/>
  <c r="BA27" i="7"/>
  <c r="AC55" i="119" l="1"/>
  <c r="FO65" i="116"/>
  <c r="FX64" i="116"/>
  <c r="FF65" i="116"/>
  <c r="AE49" i="65"/>
  <c r="AV61" i="8"/>
  <c r="AV62" i="8" s="1"/>
  <c r="AV89" i="8"/>
  <c r="AW56" i="8"/>
  <c r="AV58" i="8"/>
  <c r="AW58" i="8" s="1"/>
  <c r="AV57" i="8"/>
  <c r="AW57" i="8" s="1"/>
  <c r="AX93" i="8"/>
  <c r="M103" i="56"/>
  <c r="AX91" i="8"/>
  <c r="AF41" i="7"/>
  <c r="AG41" i="7"/>
  <c r="FX65" i="116" l="1"/>
  <c r="AC56" i="119"/>
  <c r="M102" i="56"/>
  <c r="V102" i="56" s="1"/>
  <c r="H103" i="56"/>
  <c r="H102" i="56" s="1"/>
  <c r="M93" i="56"/>
  <c r="AX94" i="8"/>
  <c r="AX97" i="8" s="1"/>
  <c r="AX98" i="8" s="1"/>
  <c r="AV90" i="8"/>
  <c r="AW89" i="8"/>
  <c r="BA35" i="7"/>
  <c r="R102" i="56" l="1"/>
  <c r="I104" i="56"/>
  <c r="G104" i="56" s="1"/>
  <c r="N104" i="56" s="1"/>
  <c r="L104" i="56" s="1"/>
  <c r="J102" i="56"/>
  <c r="J103" i="56" s="1"/>
  <c r="O103" i="56" s="1"/>
  <c r="O102" i="56" s="1"/>
  <c r="AV93" i="8"/>
  <c r="AV91" i="8"/>
  <c r="AW91" i="8" s="1"/>
  <c r="L103" i="56"/>
  <c r="AW90" i="8"/>
  <c r="M92" i="56"/>
  <c r="V92" i="56" s="1"/>
  <c r="H93" i="56"/>
  <c r="H92" i="56" s="1"/>
  <c r="L93" i="56" l="1"/>
  <c r="AV94" i="8"/>
  <c r="AW94" i="8" s="1"/>
  <c r="AW93" i="8"/>
  <c r="L102" i="56"/>
  <c r="U102" i="56" s="1"/>
  <c r="G103" i="56"/>
  <c r="G102" i="56" s="1"/>
  <c r="Q102" i="56" s="1"/>
  <c r="J92" i="56"/>
  <c r="J93" i="56" s="1"/>
  <c r="O93" i="56" s="1"/>
  <c r="O92" i="56" s="1"/>
  <c r="I94" i="56"/>
  <c r="G94" i="56" s="1"/>
  <c r="N94" i="56" s="1"/>
  <c r="L94" i="56" s="1"/>
  <c r="R92" i="56"/>
  <c r="L92" i="56" l="1"/>
  <c r="U92" i="56" s="1"/>
  <c r="G93" i="56"/>
  <c r="G92" i="56" s="1"/>
  <c r="Q92" i="56" s="1"/>
  <c r="BE35" i="7" l="1"/>
  <c r="AF8" i="7" l="1"/>
  <c r="AG8" i="7"/>
  <c r="AF35" i="7"/>
  <c r="AG35" i="7"/>
  <c r="AG61" i="7" l="1"/>
  <c r="AF61" i="7"/>
  <c r="AF70" i="7" s="1"/>
  <c r="BA56" i="8"/>
  <c r="BA57" i="8" l="1"/>
  <c r="BA58" i="8"/>
  <c r="BA61" i="8"/>
  <c r="BA62" i="8" l="1"/>
  <c r="AD27" i="8"/>
  <c r="AD51" i="8" s="1"/>
  <c r="AD55" i="8" s="1"/>
  <c r="AC27" i="8"/>
  <c r="AC51" i="8" s="1"/>
  <c r="AC58" i="8" l="1"/>
  <c r="AC57" i="8"/>
  <c r="AC55" i="8"/>
  <c r="AC61" i="8"/>
  <c r="AC62" i="8" s="1"/>
  <c r="AD58" i="8"/>
  <c r="AD57" i="8"/>
  <c r="AD61" i="8"/>
  <c r="AD62" i="8" s="1"/>
  <c r="AF67" i="7"/>
  <c r="AG68" i="7"/>
  <c r="AF71" i="7" l="1"/>
  <c r="AG70" i="7"/>
  <c r="AE70" i="7" s="1"/>
  <c r="AF65" i="7"/>
  <c r="AF68" i="7" s="1"/>
  <c r="AG65" i="7"/>
  <c r="AG67" i="7"/>
  <c r="AG71" i="7" l="1"/>
  <c r="AE71" i="7"/>
  <c r="AE61" i="7" s="1"/>
  <c r="AE68" i="7" l="1"/>
  <c r="AE67" i="7"/>
  <c r="AE65" i="7"/>
  <c r="AV67" i="7"/>
  <c r="AU65" i="7"/>
  <c r="AU68" i="7" s="1"/>
  <c r="AV70" i="7" l="1"/>
  <c r="AV68" i="7"/>
  <c r="AV65" i="7"/>
  <c r="AU67" i="7"/>
  <c r="AU71" i="7"/>
  <c r="BC66" i="7"/>
  <c r="BG67" i="7"/>
  <c r="P60" i="56" s="1"/>
  <c r="BF67" i="7"/>
  <c r="M60" i="56" s="1"/>
  <c r="AV71" i="7" l="1"/>
  <c r="AT70" i="7"/>
  <c r="AT71" i="7" s="1"/>
  <c r="K60" i="56"/>
  <c r="K59" i="56" s="1"/>
  <c r="T59" i="56" s="1"/>
  <c r="P59" i="56"/>
  <c r="X59" i="56" s="1"/>
  <c r="M59" i="56"/>
  <c r="V59" i="56" s="1"/>
  <c r="H60" i="56"/>
  <c r="H59" i="56" s="1"/>
  <c r="BB66" i="7"/>
  <c r="BB140" i="7" s="1"/>
  <c r="BB141" i="7" s="1"/>
  <c r="BG70" i="7"/>
  <c r="AZ61" i="7"/>
  <c r="BA61" i="7" s="1"/>
  <c r="BF70" i="7"/>
  <c r="L50" i="56" s="1"/>
  <c r="BC67" i="7"/>
  <c r="P40" i="56" s="1"/>
  <c r="BC65" i="7"/>
  <c r="BB65" i="7"/>
  <c r="BF68" i="7"/>
  <c r="BF65" i="7"/>
  <c r="BG68" i="7"/>
  <c r="BC70" i="7"/>
  <c r="BG65" i="7"/>
  <c r="BB68" i="7" l="1"/>
  <c r="BD114" i="7"/>
  <c r="BG114" i="7" s="1"/>
  <c r="BG113" i="7" s="1"/>
  <c r="BT113" i="7" s="1"/>
  <c r="BU19" i="7"/>
  <c r="BF71" i="7"/>
  <c r="BD113" i="7" s="1"/>
  <c r="M50" i="56"/>
  <c r="M49" i="56" s="1"/>
  <c r="V49" i="56" s="1"/>
  <c r="BG71" i="7"/>
  <c r="P50" i="56"/>
  <c r="R59" i="56"/>
  <c r="J59" i="56"/>
  <c r="J60" i="56" s="1"/>
  <c r="O60" i="56" s="1"/>
  <c r="O59" i="56" s="1"/>
  <c r="I61" i="56"/>
  <c r="G61" i="56" s="1"/>
  <c r="N61" i="56" s="1"/>
  <c r="L61" i="56" s="1"/>
  <c r="K40" i="56"/>
  <c r="P39" i="56"/>
  <c r="X39" i="56" s="1"/>
  <c r="BC71" i="7"/>
  <c r="P30" i="56"/>
  <c r="BC68" i="7"/>
  <c r="BC140" i="7"/>
  <c r="BC141" i="7" s="1"/>
  <c r="BB144" i="7"/>
  <c r="BB145" i="7" s="1"/>
  <c r="BB147" i="7" s="1"/>
  <c r="BB149" i="7" s="1"/>
  <c r="BB142" i="7"/>
  <c r="AZ66" i="7"/>
  <c r="AZ67" i="7" s="1"/>
  <c r="BB70" i="7"/>
  <c r="BB67" i="7"/>
  <c r="M40" i="56" s="1"/>
  <c r="AZ65" i="7"/>
  <c r="BA65" i="7" s="1"/>
  <c r="BE61" i="7"/>
  <c r="BD65" i="7"/>
  <c r="BE65" i="7" s="1"/>
  <c r="BD67" i="7"/>
  <c r="BD68" i="7"/>
  <c r="BE68" i="7" s="1"/>
  <c r="BD70" i="7"/>
  <c r="L49" i="56" s="1"/>
  <c r="U49" i="56" s="1"/>
  <c r="M39" i="56" l="1"/>
  <c r="V39" i="56" s="1"/>
  <c r="H40" i="56"/>
  <c r="H39" i="56" s="1"/>
  <c r="BE67" i="7"/>
  <c r="L60" i="56"/>
  <c r="BB71" i="7"/>
  <c r="M30" i="56"/>
  <c r="M29" i="56" s="1"/>
  <c r="V29" i="56" s="1"/>
  <c r="K50" i="56"/>
  <c r="K49" i="56" s="1"/>
  <c r="T49" i="56" s="1"/>
  <c r="P49" i="56"/>
  <c r="X49" i="56" s="1"/>
  <c r="K30" i="56"/>
  <c r="K29" i="56" s="1"/>
  <c r="T29" i="56" s="1"/>
  <c r="P29" i="56"/>
  <c r="X29" i="56" s="1"/>
  <c r="BA67" i="7"/>
  <c r="L40" i="56"/>
  <c r="BA66" i="7"/>
  <c r="AZ140" i="7"/>
  <c r="BC144" i="7"/>
  <c r="BC145" i="7" s="1"/>
  <c r="BC142" i="7"/>
  <c r="AZ70" i="7"/>
  <c r="AZ68" i="7"/>
  <c r="BA68" i="7" s="1"/>
  <c r="BE70" i="7"/>
  <c r="BD71" i="7"/>
  <c r="BE71" i="7" s="1"/>
  <c r="AW60" i="8"/>
  <c r="L59" i="56" l="1"/>
  <c r="U59" i="56" s="1"/>
  <c r="G60" i="56"/>
  <c r="G59" i="56" s="1"/>
  <c r="Q59" i="56" s="1"/>
  <c r="R39" i="56"/>
  <c r="I41" i="56"/>
  <c r="G41" i="56" s="1"/>
  <c r="N41" i="56" s="1"/>
  <c r="L41" i="56" s="1"/>
  <c r="J39" i="56"/>
  <c r="J40" i="56" s="1"/>
  <c r="O40" i="56" s="1"/>
  <c r="O39" i="56" s="1"/>
  <c r="BA70" i="7"/>
  <c r="L30" i="56"/>
  <c r="G40" i="56"/>
  <c r="G39" i="56" s="1"/>
  <c r="Q39" i="56" s="1"/>
  <c r="L39" i="56"/>
  <c r="U39" i="56" s="1"/>
  <c r="BA140" i="7"/>
  <c r="AZ141" i="7"/>
  <c r="AZ71" i="7"/>
  <c r="BA71" i="7" s="1"/>
  <c r="AW62" i="8"/>
  <c r="AW61" i="8"/>
  <c r="L29" i="56" l="1"/>
  <c r="U29" i="56" s="1"/>
  <c r="BA141" i="7"/>
  <c r="AZ144" i="7"/>
  <c r="AZ142" i="7"/>
  <c r="BA142" i="7" s="1"/>
  <c r="AZ145" i="7" l="1"/>
  <c r="BA145" i="7" s="1"/>
  <c r="BA144" i="7"/>
  <c r="B11" i="56"/>
  <c r="C10" i="56"/>
  <c r="H10" i="56" s="1"/>
  <c r="C9" i="56" l="1"/>
  <c r="H9" i="56"/>
  <c r="B10" i="56"/>
  <c r="G10" i="56" l="1"/>
  <c r="G9" i="56" s="1"/>
  <c r="I11" i="56"/>
  <c r="G11" i="56" s="1"/>
  <c r="N11" i="56" s="1"/>
  <c r="L11" i="56" s="1"/>
  <c r="R9" i="56"/>
  <c r="J9" i="56"/>
  <c r="B9" i="56"/>
  <c r="J10" i="56" l="1"/>
  <c r="O10" i="56" s="1"/>
  <c r="O9" i="56" s="1"/>
  <c r="E49" i="56"/>
  <c r="E29" i="56"/>
  <c r="Q9" i="56"/>
  <c r="D31" i="56" l="1"/>
  <c r="B31" i="56" s="1"/>
  <c r="E30" i="56"/>
  <c r="E50" i="56"/>
  <c r="D51" i="56"/>
  <c r="B51" i="56" s="1"/>
  <c r="C30" i="56" l="1"/>
  <c r="C29" i="56" s="1"/>
  <c r="C50" i="56"/>
  <c r="K39" i="56"/>
  <c r="T39" i="56" s="1"/>
  <c r="B30" i="56" l="1"/>
  <c r="G30" i="56" s="1"/>
  <c r="G29" i="56" s="1"/>
  <c r="H30" i="56"/>
  <c r="H29" i="56" s="1"/>
  <c r="I31" i="56" s="1"/>
  <c r="G31" i="56" s="1"/>
  <c r="N31" i="56" s="1"/>
  <c r="L31" i="56" s="1"/>
  <c r="B50" i="56"/>
  <c r="H50" i="56"/>
  <c r="H49" i="56" s="1"/>
  <c r="C49" i="56"/>
  <c r="B29" i="56" l="1"/>
  <c r="Q29" i="56" s="1"/>
  <c r="R29" i="56"/>
  <c r="J29" i="56"/>
  <c r="J30" i="56" s="1"/>
  <c r="O30" i="56" s="1"/>
  <c r="O29" i="56" s="1"/>
  <c r="G50" i="56"/>
  <c r="G49" i="56" s="1"/>
  <c r="B49" i="56"/>
  <c r="I51" i="56"/>
  <c r="G51" i="56" s="1"/>
  <c r="N51" i="56" s="1"/>
  <c r="L51" i="56" s="1"/>
  <c r="R49" i="56"/>
  <c r="J49" i="56"/>
  <c r="J50" i="56" s="1"/>
  <c r="O50" i="56" s="1"/>
  <c r="O49" i="56" s="1"/>
  <c r="Q49" i="56" l="1"/>
  <c r="AJ38" i="3"/>
  <c r="CC56" i="72" l="1"/>
  <c r="CC57" i="72" s="1"/>
  <c r="CB56" i="72"/>
  <c r="CA48" i="72" s="1"/>
  <c r="AJ42" i="3"/>
  <c r="CD57" i="72" l="1"/>
  <c r="CA51" i="72" l="1"/>
  <c r="CB48" i="72"/>
  <c r="CC48" i="72" s="1"/>
  <c r="B6" i="77" l="1"/>
  <c r="CD48" i="72"/>
  <c r="CB51" i="72"/>
  <c r="B5" i="77" l="1"/>
  <c r="B4" i="77" s="1"/>
  <c r="D6" i="77"/>
  <c r="D5" i="77" s="1"/>
  <c r="D4" i="77" s="1"/>
  <c r="K13" i="64" s="1"/>
  <c r="K11" i="64" s="1"/>
  <c r="C6" i="77"/>
  <c r="C5" i="77" s="1"/>
  <c r="C4" i="77" s="1"/>
  <c r="BZ51" i="72"/>
  <c r="K13" i="61" l="1"/>
  <c r="K10" i="64"/>
  <c r="K35" i="64" s="1"/>
  <c r="K23" i="64"/>
  <c r="AY8" i="7"/>
  <c r="AY121" i="7"/>
  <c r="K37" i="64" l="1"/>
  <c r="K39" i="64" s="1"/>
  <c r="K11" i="61"/>
  <c r="K28" i="61" s="1"/>
  <c r="M28" i="61" s="1"/>
  <c r="M10" i="61" s="1"/>
  <c r="M32" i="61" s="1"/>
  <c r="W32" i="61" s="1"/>
  <c r="K42" i="64" l="1"/>
  <c r="O38" i="64"/>
  <c r="O39" i="64" s="1"/>
  <c r="O42" i="64" s="1"/>
  <c r="P38" i="64"/>
  <c r="K23" i="61"/>
  <c r="K10" i="61"/>
  <c r="C27" i="94" s="1"/>
  <c r="C24" i="94" s="1"/>
  <c r="W34" i="61" s="1"/>
  <c r="C72" i="114" s="1"/>
  <c r="AX8" i="7"/>
  <c r="AW9" i="7"/>
  <c r="AW121" i="7" s="1"/>
  <c r="AX121" i="7"/>
  <c r="B72" i="114" l="1"/>
  <c r="L72" i="114"/>
  <c r="K35" i="61"/>
  <c r="K38" i="61" s="1"/>
  <c r="P41" i="64"/>
  <c r="P39" i="64"/>
  <c r="P42" i="64" s="1"/>
  <c r="AW8" i="7"/>
  <c r="U72" i="114" l="1"/>
  <c r="K72" i="114"/>
  <c r="AD72" i="114"/>
  <c r="K40" i="61"/>
  <c r="P39" i="61" s="1"/>
  <c r="P42" i="61" s="1"/>
  <c r="M55" i="61"/>
  <c r="AY128" i="7"/>
  <c r="AX128" i="7"/>
  <c r="AW42" i="7"/>
  <c r="M58" i="118" l="1"/>
  <c r="AM72" i="114"/>
  <c r="T72" i="114"/>
  <c r="AC72" i="114" s="1"/>
  <c r="AP72" i="114"/>
  <c r="O39" i="61"/>
  <c r="O40" i="61" s="1"/>
  <c r="O43" i="61" s="1"/>
  <c r="K43" i="61"/>
  <c r="K49" i="61"/>
  <c r="P40" i="61"/>
  <c r="W39" i="61" s="1"/>
  <c r="AW128" i="7"/>
  <c r="AW35" i="7"/>
  <c r="AX61" i="7"/>
  <c r="AX70" i="7" s="1"/>
  <c r="AX130" i="7"/>
  <c r="AX135" i="7" s="1"/>
  <c r="L58" i="118" l="1"/>
  <c r="AL72" i="114"/>
  <c r="AY72" i="114"/>
  <c r="AO72" i="114"/>
  <c r="C35" i="114"/>
  <c r="W58" i="61"/>
  <c r="W59" i="61" s="1"/>
  <c r="W60" i="61" s="1"/>
  <c r="P43" i="61"/>
  <c r="P49" i="61"/>
  <c r="P55" i="61" s="1"/>
  <c r="AX71" i="7"/>
  <c r="AX139" i="7"/>
  <c r="AX141" i="7"/>
  <c r="AX65" i="7"/>
  <c r="AX68" i="7" s="1"/>
  <c r="AX67" i="7"/>
  <c r="BH72" i="114" l="1"/>
  <c r="AX72" i="114"/>
  <c r="C34" i="114"/>
  <c r="BH35" i="114"/>
  <c r="U35" i="114"/>
  <c r="AY35" i="114"/>
  <c r="AP35" i="114"/>
  <c r="L35" i="114"/>
  <c r="B35" i="114"/>
  <c r="C30" i="114"/>
  <c r="C29" i="114"/>
  <c r="C26" i="114"/>
  <c r="AX142" i="7"/>
  <c r="AX144" i="7"/>
  <c r="AX145" i="7" s="1"/>
  <c r="AY61" i="7"/>
  <c r="AY67" i="7" s="1"/>
  <c r="AY130" i="7"/>
  <c r="AY135" i="7" s="1"/>
  <c r="AW56" i="7"/>
  <c r="AW61" i="7" s="1"/>
  <c r="CO72" i="114" l="1"/>
  <c r="BG72" i="114"/>
  <c r="BP72" i="114" s="1"/>
  <c r="BQ72" i="114"/>
  <c r="B26" i="114"/>
  <c r="B30" i="114"/>
  <c r="K35" i="114"/>
  <c r="L29" i="114"/>
  <c r="L26" i="114"/>
  <c r="K26" i="114" s="1"/>
  <c r="L30" i="114"/>
  <c r="K30" i="114" s="1"/>
  <c r="AY30" i="114"/>
  <c r="AX30" i="114" s="1"/>
  <c r="AY29" i="114"/>
  <c r="AY26" i="114"/>
  <c r="AX26" i="114" s="1"/>
  <c r="AX35" i="114"/>
  <c r="BH26" i="114"/>
  <c r="BG26" i="114" s="1"/>
  <c r="BG35" i="114"/>
  <c r="BH30" i="114"/>
  <c r="BG30" i="114" s="1"/>
  <c r="BH29" i="114"/>
  <c r="B29" i="114"/>
  <c r="C28" i="114"/>
  <c r="AO35" i="114"/>
  <c r="AP29" i="114"/>
  <c r="AP26" i="114"/>
  <c r="AP30" i="114"/>
  <c r="U29" i="114"/>
  <c r="U26" i="114"/>
  <c r="T26" i="114" s="1"/>
  <c r="T35" i="114"/>
  <c r="U30" i="114"/>
  <c r="T30" i="114" s="1"/>
  <c r="AY34" i="114"/>
  <c r="AP34" i="114"/>
  <c r="L34" i="114"/>
  <c r="BH34" i="114"/>
  <c r="U34" i="114"/>
  <c r="B34" i="114"/>
  <c r="C25" i="114"/>
  <c r="AW67" i="7"/>
  <c r="AW68" i="7"/>
  <c r="AW65" i="7"/>
  <c r="AY141" i="7"/>
  <c r="AY139" i="7"/>
  <c r="AY68" i="7"/>
  <c r="AY65" i="7"/>
  <c r="AW130" i="7"/>
  <c r="AW135" i="7" s="1"/>
  <c r="AY70" i="7"/>
  <c r="CN72" i="114" l="1"/>
  <c r="CX72" i="114"/>
  <c r="P58" i="118"/>
  <c r="BZ72" i="114"/>
  <c r="CC72" i="114"/>
  <c r="BY72" i="114"/>
  <c r="O58" i="118"/>
  <c r="CB72" i="114"/>
  <c r="AD29" i="114"/>
  <c r="AM29" i="114" s="1"/>
  <c r="B25" i="114"/>
  <c r="C31" i="114"/>
  <c r="BH25" i="114"/>
  <c r="BG34" i="114"/>
  <c r="AO34" i="114"/>
  <c r="AP25" i="114"/>
  <c r="BQ30" i="114"/>
  <c r="BZ30" i="114" s="1"/>
  <c r="AO30" i="114"/>
  <c r="BP30" i="114" s="1"/>
  <c r="BY30" i="114" s="1"/>
  <c r="AO29" i="114"/>
  <c r="BQ29" i="114"/>
  <c r="BZ29" i="114" s="1"/>
  <c r="AP28" i="114"/>
  <c r="B28" i="114"/>
  <c r="AC30" i="114"/>
  <c r="AC26" i="114"/>
  <c r="T34" i="114"/>
  <c r="U25" i="114"/>
  <c r="L25" i="114"/>
  <c r="K34" i="114"/>
  <c r="AX34" i="114"/>
  <c r="AY25" i="114"/>
  <c r="T29" i="114"/>
  <c r="U28" i="114"/>
  <c r="T28" i="114" s="1"/>
  <c r="AO26" i="114"/>
  <c r="BP26" i="114" s="1"/>
  <c r="BQ26" i="114"/>
  <c r="BG29" i="114"/>
  <c r="BH28" i="114"/>
  <c r="BG28" i="114" s="1"/>
  <c r="AY28" i="114"/>
  <c r="AX28" i="114" s="1"/>
  <c r="AX29" i="114"/>
  <c r="K29" i="114"/>
  <c r="L28" i="114"/>
  <c r="K28" i="114" s="1"/>
  <c r="AC29" i="114"/>
  <c r="AD30" i="114"/>
  <c r="AD26" i="114"/>
  <c r="AW70" i="7"/>
  <c r="AW71" i="7" s="1"/>
  <c r="AY71" i="7"/>
  <c r="AW139" i="7"/>
  <c r="AW141" i="7"/>
  <c r="AY142" i="7"/>
  <c r="AY144" i="7"/>
  <c r="AY145" i="7" s="1"/>
  <c r="AY31" i="114" l="1"/>
  <c r="S58" i="118"/>
  <c r="CL72" i="114"/>
  <c r="R58" i="118"/>
  <c r="CK72" i="114"/>
  <c r="DG72" i="114"/>
  <c r="CW72" i="114"/>
  <c r="CC29" i="114"/>
  <c r="CL29" i="114" s="1"/>
  <c r="AM26" i="114"/>
  <c r="CC26" i="114"/>
  <c r="AL29" i="114"/>
  <c r="BY26" i="114"/>
  <c r="L31" i="114"/>
  <c r="K25" i="114"/>
  <c r="AL30" i="114"/>
  <c r="CB30" i="114"/>
  <c r="AO25" i="114"/>
  <c r="BQ25" i="114"/>
  <c r="D22" i="120" s="1"/>
  <c r="AP31" i="114"/>
  <c r="C32" i="114"/>
  <c r="AC28" i="114"/>
  <c r="AM30" i="114"/>
  <c r="CC30" i="114"/>
  <c r="BZ26" i="114"/>
  <c r="AX25" i="114"/>
  <c r="T25" i="114"/>
  <c r="AC25" i="114" s="1"/>
  <c r="U31" i="114"/>
  <c r="AL26" i="114"/>
  <c r="CB26" i="114"/>
  <c r="AO28" i="114"/>
  <c r="BP28" i="114" s="1"/>
  <c r="BY28" i="114" s="1"/>
  <c r="BQ28" i="114"/>
  <c r="BZ28" i="114" s="1"/>
  <c r="BG25" i="114"/>
  <c r="BH31" i="114"/>
  <c r="AD28" i="114"/>
  <c r="BP29" i="114"/>
  <c r="BY29" i="114" s="1"/>
  <c r="AD25" i="114"/>
  <c r="C22" i="120" s="1"/>
  <c r="AW142" i="7"/>
  <c r="AW144" i="7"/>
  <c r="AW145" i="7" s="1"/>
  <c r="W58" i="3"/>
  <c r="BR52" i="7"/>
  <c r="CC140" i="113" s="1"/>
  <c r="BS52" i="7"/>
  <c r="CD140" i="113" s="1"/>
  <c r="BR53" i="7"/>
  <c r="CC141" i="113" s="1"/>
  <c r="BS53" i="7"/>
  <c r="CD141" i="113" s="1"/>
  <c r="CJ141" i="113" l="1"/>
  <c r="CD202" i="113"/>
  <c r="CJ202" i="113" s="1"/>
  <c r="D141" i="113"/>
  <c r="CJ140" i="113"/>
  <c r="CD201" i="113"/>
  <c r="CJ201" i="113" s="1"/>
  <c r="D140" i="113"/>
  <c r="W57" i="3"/>
  <c r="G37" i="65"/>
  <c r="G39" i="65" s="1"/>
  <c r="G41" i="65" s="1"/>
  <c r="E13" i="88"/>
  <c r="CI141" i="113"/>
  <c r="CC202" i="113"/>
  <c r="CI202" i="113" s="1"/>
  <c r="CB141" i="113"/>
  <c r="C141" i="113"/>
  <c r="CI140" i="113"/>
  <c r="CC201" i="113"/>
  <c r="CI201" i="113" s="1"/>
  <c r="CB140" i="113"/>
  <c r="C140" i="113"/>
  <c r="DF72" i="114"/>
  <c r="DO72" i="114" s="1"/>
  <c r="EN72" i="114"/>
  <c r="DP72" i="114"/>
  <c r="AD31" i="114"/>
  <c r="AD32" i="114" s="1"/>
  <c r="AM32" i="114" s="1"/>
  <c r="AL25" i="114"/>
  <c r="AC34" i="114"/>
  <c r="AL34" i="114" s="1"/>
  <c r="BH32" i="114"/>
  <c r="CK26" i="114"/>
  <c r="CB28" i="114"/>
  <c r="AL28" i="114"/>
  <c r="BQ31" i="114"/>
  <c r="D21" i="120" s="1"/>
  <c r="AP32" i="114"/>
  <c r="AM25" i="114"/>
  <c r="AD34" i="114"/>
  <c r="AM34" i="114" s="1"/>
  <c r="CC25" i="114"/>
  <c r="E22" i="120" s="1"/>
  <c r="AM28" i="114"/>
  <c r="CC28" i="114"/>
  <c r="CC35" i="114" s="1"/>
  <c r="CL35" i="114" s="1"/>
  <c r="U32" i="114"/>
  <c r="AY32" i="114"/>
  <c r="CL30" i="114"/>
  <c r="BZ25" i="114"/>
  <c r="BQ34" i="114"/>
  <c r="BZ34" i="114" s="1"/>
  <c r="CK30" i="114"/>
  <c r="CL26" i="114"/>
  <c r="AC35" i="114"/>
  <c r="AL35" i="114" s="1"/>
  <c r="BQ35" i="114"/>
  <c r="BZ35" i="114" s="1"/>
  <c r="BP35" i="114"/>
  <c r="BY35" i="114" s="1"/>
  <c r="CB29" i="114"/>
  <c r="L32" i="114"/>
  <c r="BP25" i="114"/>
  <c r="AD35" i="114"/>
  <c r="AM35" i="114" s="1"/>
  <c r="BS50" i="7"/>
  <c r="BR50" i="7"/>
  <c r="BR28" i="7"/>
  <c r="CC95" i="113" s="1"/>
  <c r="BS28" i="7"/>
  <c r="CD95" i="113" s="1"/>
  <c r="CJ95" i="113" l="1"/>
  <c r="D95" i="113"/>
  <c r="C201" i="113"/>
  <c r="C56" i="114" s="1"/>
  <c r="R140" i="113"/>
  <c r="AG140" i="113" s="1"/>
  <c r="B140" i="113"/>
  <c r="B201" i="113" s="1"/>
  <c r="C138" i="113"/>
  <c r="C199" i="113" s="1"/>
  <c r="C54" i="114" s="1"/>
  <c r="CH141" i="113"/>
  <c r="CB202" i="113"/>
  <c r="CH202" i="113" s="1"/>
  <c r="BR129" i="7"/>
  <c r="CC138" i="113"/>
  <c r="CI95" i="113"/>
  <c r="CB95" i="113"/>
  <c r="CH95" i="113" s="1"/>
  <c r="C95" i="113"/>
  <c r="CC189" i="113"/>
  <c r="CI189" i="113" s="1"/>
  <c r="BS129" i="7"/>
  <c r="BS151" i="7" s="1"/>
  <c r="W16" i="64" s="1"/>
  <c r="CD138" i="113"/>
  <c r="CH140" i="113"/>
  <c r="CB201" i="113"/>
  <c r="CH201" i="113" s="1"/>
  <c r="C202" i="113"/>
  <c r="C57" i="114" s="1"/>
  <c r="R141" i="113"/>
  <c r="AG141" i="113" s="1"/>
  <c r="B15" i="88"/>
  <c r="B14" i="88"/>
  <c r="C45" i="96"/>
  <c r="D45" i="96"/>
  <c r="D201" i="113"/>
  <c r="D56" i="114" s="1"/>
  <c r="S140" i="113"/>
  <c r="AH140" i="113" s="1"/>
  <c r="D138" i="113"/>
  <c r="B141" i="113"/>
  <c r="B202" i="113" s="1"/>
  <c r="D202" i="113"/>
  <c r="D57" i="114" s="1"/>
  <c r="S141" i="113"/>
  <c r="AM31" i="114"/>
  <c r="C21" i="120"/>
  <c r="B10" i="121" s="1"/>
  <c r="DX72" i="114"/>
  <c r="U58" i="118"/>
  <c r="EA72" i="114"/>
  <c r="DY72" i="114"/>
  <c r="V58" i="118"/>
  <c r="EB72" i="114"/>
  <c r="EW72" i="114"/>
  <c r="EM72" i="114"/>
  <c r="CK29" i="114"/>
  <c r="BP34" i="114"/>
  <c r="BY34" i="114" s="1"/>
  <c r="BY25" i="114"/>
  <c r="CL28" i="114"/>
  <c r="CC34" i="114"/>
  <c r="CL34" i="114" s="1"/>
  <c r="CL25" i="114"/>
  <c r="CB25" i="114"/>
  <c r="BZ31" i="114"/>
  <c r="BQ32" i="114"/>
  <c r="BZ32" i="114" s="1"/>
  <c r="CK28" i="114"/>
  <c r="CB35" i="114"/>
  <c r="CK35" i="114" s="1"/>
  <c r="CC31" i="114"/>
  <c r="E21" i="120" s="1"/>
  <c r="W14" i="64"/>
  <c r="X14" i="64" s="1"/>
  <c r="X16" i="64"/>
  <c r="BR151" i="7"/>
  <c r="W16" i="61"/>
  <c r="BR30" i="7"/>
  <c r="BS30" i="7"/>
  <c r="BS12" i="7"/>
  <c r="CD28" i="113" s="1"/>
  <c r="CD189" i="113" s="1"/>
  <c r="CJ189" i="113" s="1"/>
  <c r="AN140" i="113" l="1"/>
  <c r="AH201" i="113"/>
  <c r="AN201" i="113" s="1"/>
  <c r="AQ140" i="113"/>
  <c r="BR27" i="7"/>
  <c r="CC94" i="113" s="1"/>
  <c r="CC97" i="113"/>
  <c r="BS27" i="7"/>
  <c r="CD94" i="113" s="1"/>
  <c r="CJ94" i="113" s="1"/>
  <c r="CD97" i="113"/>
  <c r="F10" i="121"/>
  <c r="H10" i="121"/>
  <c r="G10" i="121"/>
  <c r="C10" i="121"/>
  <c r="D10" i="121"/>
  <c r="E10" i="121" s="1"/>
  <c r="AH141" i="113"/>
  <c r="S202" i="113"/>
  <c r="AQ57" i="114" s="1"/>
  <c r="M56" i="114"/>
  <c r="V56" i="114" s="1"/>
  <c r="R202" i="113"/>
  <c r="AP57" i="114" s="1"/>
  <c r="Q141" i="113"/>
  <c r="Q202" i="113" s="1"/>
  <c r="CJ138" i="113"/>
  <c r="CD199" i="113"/>
  <c r="CJ199" i="113" s="1"/>
  <c r="R95" i="113"/>
  <c r="AG95" i="113" s="1"/>
  <c r="B95" i="113"/>
  <c r="C189" i="113"/>
  <c r="C44" i="114" s="1"/>
  <c r="R201" i="113"/>
  <c r="AP56" i="114" s="1"/>
  <c r="Q140" i="113"/>
  <c r="Q201" i="113" s="1"/>
  <c r="R138" i="113"/>
  <c r="S95" i="113"/>
  <c r="AH95" i="113" s="1"/>
  <c r="M57" i="114"/>
  <c r="V57" i="114" s="1"/>
  <c r="B138" i="113"/>
  <c r="B199" i="113" s="1"/>
  <c r="D199" i="113"/>
  <c r="D54" i="114" s="1"/>
  <c r="B54" i="114" s="1"/>
  <c r="S201" i="113"/>
  <c r="AQ56" i="114" s="1"/>
  <c r="S138" i="113"/>
  <c r="S199" i="113" s="1"/>
  <c r="AQ54" i="114" s="1"/>
  <c r="AM141" i="113"/>
  <c r="AG202" i="113"/>
  <c r="AM202" i="113" s="1"/>
  <c r="AF141" i="113"/>
  <c r="AP141" i="113"/>
  <c r="BE141" i="113" s="1"/>
  <c r="L57" i="114"/>
  <c r="B57" i="114"/>
  <c r="CI138" i="113"/>
  <c r="CC199" i="113"/>
  <c r="CI199" i="113" s="1"/>
  <c r="CB138" i="113"/>
  <c r="L54" i="114"/>
  <c r="AM140" i="113"/>
  <c r="AG201" i="113"/>
  <c r="AM201" i="113" s="1"/>
  <c r="AF140" i="113"/>
  <c r="AP140" i="113"/>
  <c r="BE140" i="113" s="1"/>
  <c r="L56" i="114"/>
  <c r="B56" i="114"/>
  <c r="Y58" i="118"/>
  <c r="EK72" i="114"/>
  <c r="FF72" i="114"/>
  <c r="EV72" i="114"/>
  <c r="X58" i="118"/>
  <c r="EJ72" i="114"/>
  <c r="CD24" i="113"/>
  <c r="CB24" i="113" s="1"/>
  <c r="CJ28" i="113"/>
  <c r="D28" i="113"/>
  <c r="CB28" i="113"/>
  <c r="CL31" i="114"/>
  <c r="CC32" i="114"/>
  <c r="CL32" i="114" s="1"/>
  <c r="CB34" i="114"/>
  <c r="CK34" i="114" s="1"/>
  <c r="CK25" i="114"/>
  <c r="W14" i="61"/>
  <c r="X14" i="61" s="1"/>
  <c r="X16" i="61"/>
  <c r="BS124" i="7"/>
  <c r="BR124" i="7"/>
  <c r="BR8" i="7"/>
  <c r="BS8" i="7"/>
  <c r="AM95" i="113" l="1"/>
  <c r="AF95" i="113"/>
  <c r="AL95" i="113" s="1"/>
  <c r="AG189" i="113"/>
  <c r="AM189" i="113" s="1"/>
  <c r="AP95" i="113"/>
  <c r="D24" i="113"/>
  <c r="D189" i="113"/>
  <c r="D44" i="114" s="1"/>
  <c r="B44" i="114" s="1"/>
  <c r="U56" i="114"/>
  <c r="K56" i="114"/>
  <c r="BK140" i="113"/>
  <c r="BE201" i="113"/>
  <c r="BK201" i="113" s="1"/>
  <c r="U54" i="114"/>
  <c r="K57" i="114"/>
  <c r="U57" i="114"/>
  <c r="BE202" i="113"/>
  <c r="BK202" i="113" s="1"/>
  <c r="BK141" i="113"/>
  <c r="AZ54" i="114"/>
  <c r="BI54" i="114" s="1"/>
  <c r="AH138" i="113"/>
  <c r="AN95" i="113"/>
  <c r="AQ95" i="113"/>
  <c r="AG138" i="113"/>
  <c r="R199" i="113"/>
  <c r="AP54" i="114" s="1"/>
  <c r="Q138" i="113"/>
  <c r="Q199" i="113" s="1"/>
  <c r="AO56" i="114"/>
  <c r="AY56" i="114"/>
  <c r="L44" i="114"/>
  <c r="AE56" i="114"/>
  <c r="AZ57" i="114"/>
  <c r="BI57" i="114" s="1"/>
  <c r="I10" i="121"/>
  <c r="J10" i="121" s="1"/>
  <c r="CJ97" i="113"/>
  <c r="D97" i="113"/>
  <c r="CD188" i="113"/>
  <c r="CI97" i="113"/>
  <c r="CB97" i="113"/>
  <c r="C97" i="113"/>
  <c r="CC188" i="113"/>
  <c r="AO140" i="113"/>
  <c r="AO201" i="113" s="1"/>
  <c r="AQ201" i="113"/>
  <c r="CP56" i="114" s="1"/>
  <c r="BO140" i="113"/>
  <c r="CH28" i="113"/>
  <c r="CB189" i="113"/>
  <c r="AP201" i="113"/>
  <c r="CO56" i="114" s="1"/>
  <c r="BN140" i="113"/>
  <c r="AP138" i="113"/>
  <c r="AL140" i="113"/>
  <c r="AF201" i="113"/>
  <c r="AL201" i="113" s="1"/>
  <c r="CH138" i="113"/>
  <c r="CB199" i="113"/>
  <c r="CH199" i="113" s="1"/>
  <c r="AP202" i="113"/>
  <c r="CO57" i="114" s="1"/>
  <c r="BN141" i="113"/>
  <c r="AL141" i="113"/>
  <c r="AF202" i="113"/>
  <c r="AL202" i="113" s="1"/>
  <c r="AZ56" i="114"/>
  <c r="BI56" i="114" s="1"/>
  <c r="M54" i="114"/>
  <c r="V54" i="114" s="1"/>
  <c r="AE57" i="114"/>
  <c r="Q95" i="113"/>
  <c r="R189" i="113"/>
  <c r="AP44" i="114" s="1"/>
  <c r="AO57" i="114"/>
  <c r="AY57" i="114"/>
  <c r="AN141" i="113"/>
  <c r="AH202" i="113"/>
  <c r="AN202" i="113" s="1"/>
  <c r="AQ141" i="113"/>
  <c r="AO141" i="113" s="1"/>
  <c r="AO202" i="113" s="1"/>
  <c r="CI94" i="113"/>
  <c r="CB94" i="113"/>
  <c r="CH94" i="113" s="1"/>
  <c r="BF140" i="113"/>
  <c r="FE72" i="114"/>
  <c r="FN72" i="114" s="1"/>
  <c r="FO72" i="114"/>
  <c r="CH24" i="113"/>
  <c r="CJ24" i="113"/>
  <c r="B24" i="113"/>
  <c r="S28" i="113"/>
  <c r="S189" i="113" s="1"/>
  <c r="AQ44" i="114" s="1"/>
  <c r="B28" i="113"/>
  <c r="B189" i="113" s="1"/>
  <c r="W42" i="61"/>
  <c r="BQ61" i="7"/>
  <c r="BQ130" i="7"/>
  <c r="BQ135" i="7"/>
  <c r="BR56" i="7"/>
  <c r="BS56" i="7"/>
  <c r="BR54" i="114" l="1"/>
  <c r="Q41" i="118" s="1"/>
  <c r="BR57" i="114"/>
  <c r="Q44" i="118" s="1"/>
  <c r="BS61" i="7"/>
  <c r="BS63" i="7" s="1"/>
  <c r="CD144" i="113"/>
  <c r="BF141" i="113"/>
  <c r="BH57" i="114"/>
  <c r="BG57" i="114" s="1"/>
  <c r="AX57" i="114"/>
  <c r="N44" i="118"/>
  <c r="AN57" i="114"/>
  <c r="BN201" i="113"/>
  <c r="EN56" i="114" s="1"/>
  <c r="BM140" i="113"/>
  <c r="BM201" i="113" s="1"/>
  <c r="BN138" i="113"/>
  <c r="BO201" i="113"/>
  <c r="EO56" i="114" s="1"/>
  <c r="CH97" i="113"/>
  <c r="CB188" i="113"/>
  <c r="CJ188" i="113"/>
  <c r="S97" i="113"/>
  <c r="D188" i="113"/>
  <c r="D94" i="113"/>
  <c r="N43" i="118"/>
  <c r="AN56" i="114"/>
  <c r="U44" i="114"/>
  <c r="AO54" i="114"/>
  <c r="AY54" i="114"/>
  <c r="BO95" i="113"/>
  <c r="T54" i="114"/>
  <c r="AD54" i="114"/>
  <c r="M44" i="114"/>
  <c r="V44" i="114" s="1"/>
  <c r="BR61" i="7"/>
  <c r="BR63" i="7" s="1"/>
  <c r="CC144" i="113"/>
  <c r="AZ44" i="114"/>
  <c r="BI44" i="114" s="1"/>
  <c r="BL140" i="113"/>
  <c r="BF201" i="113"/>
  <c r="BL201" i="113" s="1"/>
  <c r="BO141" i="113"/>
  <c r="BO202" i="113" s="1"/>
  <c r="EO57" i="114" s="1"/>
  <c r="AQ202" i="113"/>
  <c r="CP57" i="114" s="1"/>
  <c r="BP57" i="114"/>
  <c r="O44" i="118" s="1"/>
  <c r="AO44" i="114"/>
  <c r="AY44" i="114"/>
  <c r="AE54" i="114"/>
  <c r="BR56" i="114"/>
  <c r="Q43" i="118" s="1"/>
  <c r="BN202" i="113"/>
  <c r="EN57" i="114" s="1"/>
  <c r="CX57" i="114"/>
  <c r="CN57" i="114"/>
  <c r="AP199" i="113"/>
  <c r="CO54" i="114" s="1"/>
  <c r="CN56" i="114"/>
  <c r="CX56" i="114"/>
  <c r="AQ138" i="113"/>
  <c r="AQ199" i="113" s="1"/>
  <c r="CP54" i="114" s="1"/>
  <c r="CY56" i="114"/>
  <c r="DH56" i="114" s="1"/>
  <c r="DQ56" i="114" s="1"/>
  <c r="CI188" i="113"/>
  <c r="B97" i="113"/>
  <c r="B188" i="113" s="1"/>
  <c r="R97" i="113"/>
  <c r="C188" i="113"/>
  <c r="C94" i="113"/>
  <c r="AD44" i="114"/>
  <c r="AX56" i="114"/>
  <c r="BH56" i="114"/>
  <c r="AM138" i="113"/>
  <c r="AG199" i="113"/>
  <c r="AM199" i="113" s="1"/>
  <c r="AF138" i="113"/>
  <c r="BE138" i="113"/>
  <c r="BF95" i="113"/>
  <c r="BL95" i="113" s="1"/>
  <c r="AH199" i="113"/>
  <c r="AN199" i="113" s="1"/>
  <c r="AN138" i="113"/>
  <c r="T57" i="114"/>
  <c r="AC57" i="114" s="1"/>
  <c r="AD57" i="114"/>
  <c r="K54" i="114"/>
  <c r="AC54" i="114" s="1"/>
  <c r="BD140" i="113"/>
  <c r="AD56" i="114"/>
  <c r="T56" i="114"/>
  <c r="AC56" i="114" s="1"/>
  <c r="BE95" i="113"/>
  <c r="BN95" i="113"/>
  <c r="AO95" i="113"/>
  <c r="AP189" i="113"/>
  <c r="CO44" i="114" s="1"/>
  <c r="AB58" i="118"/>
  <c r="FX72" i="114"/>
  <c r="GA72" i="114"/>
  <c r="FW72" i="114"/>
  <c r="AA58" i="118"/>
  <c r="FZ72" i="114"/>
  <c r="Q28" i="113"/>
  <c r="Q189" i="113" s="1"/>
  <c r="S24" i="113"/>
  <c r="AH28" i="113"/>
  <c r="AH189" i="113" s="1"/>
  <c r="AN189" i="113" s="1"/>
  <c r="CH189" i="113"/>
  <c r="BS130" i="7"/>
  <c r="BS135" i="7" s="1"/>
  <c r="BR67" i="7"/>
  <c r="BR138" i="7"/>
  <c r="BR65" i="7"/>
  <c r="BQ63" i="7"/>
  <c r="BS67" i="7"/>
  <c r="BS65" i="7"/>
  <c r="BS138" i="7"/>
  <c r="BS147" i="7"/>
  <c r="BR130" i="7"/>
  <c r="BM141" i="113" l="1"/>
  <c r="BM202" i="113" s="1"/>
  <c r="BR44" i="114"/>
  <c r="Q31" i="118" s="1"/>
  <c r="AE44" i="114"/>
  <c r="AN44" i="114" s="1"/>
  <c r="AF28" i="113"/>
  <c r="AF189" i="113" s="1"/>
  <c r="BF138" i="113"/>
  <c r="CD57" i="114"/>
  <c r="AQ28" i="113"/>
  <c r="AQ24" i="113" s="1"/>
  <c r="AO24" i="113" s="1"/>
  <c r="BQ57" i="114"/>
  <c r="CC57" i="114" s="1"/>
  <c r="K44" i="114"/>
  <c r="DZ56" i="114"/>
  <c r="W43" i="118"/>
  <c r="AL28" i="113"/>
  <c r="CX44" i="114"/>
  <c r="BN189" i="113"/>
  <c r="EN44" i="114" s="1"/>
  <c r="AL56" i="114"/>
  <c r="L43" i="118"/>
  <c r="BJ140" i="113"/>
  <c r="BD201" i="113"/>
  <c r="BJ201" i="113" s="1"/>
  <c r="M44" i="118"/>
  <c r="AM57" i="114"/>
  <c r="BF199" i="113"/>
  <c r="BL199" i="113" s="1"/>
  <c r="BL138" i="113"/>
  <c r="BK138" i="113"/>
  <c r="BE199" i="113"/>
  <c r="BK199" i="113" s="1"/>
  <c r="BD138" i="113"/>
  <c r="BG56" i="114"/>
  <c r="BP56" i="114" s="1"/>
  <c r="BQ56" i="114"/>
  <c r="B94" i="113"/>
  <c r="AG97" i="113"/>
  <c r="Q97" i="113"/>
  <c r="Q188" i="113" s="1"/>
  <c r="R188" i="113"/>
  <c r="R94" i="113"/>
  <c r="CY54" i="114"/>
  <c r="DH54" i="114" s="1"/>
  <c r="DQ54" i="114"/>
  <c r="CW56" i="114"/>
  <c r="DG56" i="114"/>
  <c r="AO138" i="113"/>
  <c r="AO199" i="113" s="1"/>
  <c r="DG57" i="114"/>
  <c r="N41" i="118"/>
  <c r="CD54" i="114"/>
  <c r="AN54" i="114"/>
  <c r="BH44" i="114"/>
  <c r="BG44" i="114" s="1"/>
  <c r="AX44" i="114"/>
  <c r="CY57" i="114"/>
  <c r="DH57" i="114" s="1"/>
  <c r="CI144" i="113"/>
  <c r="CC205" i="113"/>
  <c r="CB144" i="113"/>
  <c r="CC153" i="113"/>
  <c r="N31" i="118"/>
  <c r="CD44" i="114"/>
  <c r="M41" i="118"/>
  <c r="AM54" i="114"/>
  <c r="CD56" i="114"/>
  <c r="D43" i="114"/>
  <c r="CH188" i="113"/>
  <c r="BO138" i="113"/>
  <c r="BO199" i="113" s="1"/>
  <c r="EO54" i="114" s="1"/>
  <c r="EX54" i="114" s="1"/>
  <c r="FG54" i="114" s="1"/>
  <c r="FP54" i="114" s="1"/>
  <c r="BN199" i="113"/>
  <c r="EN54" i="114" s="1"/>
  <c r="EM56" i="114"/>
  <c r="EW56" i="114"/>
  <c r="T44" i="118"/>
  <c r="BL141" i="113"/>
  <c r="BF202" i="113"/>
  <c r="BL202" i="113" s="1"/>
  <c r="BD141" i="113"/>
  <c r="BK95" i="113"/>
  <c r="BD95" i="113"/>
  <c r="BJ95" i="113" s="1"/>
  <c r="BE189" i="113"/>
  <c r="BK189" i="113" s="1"/>
  <c r="M43" i="118"/>
  <c r="AM56" i="114"/>
  <c r="CC56" i="114"/>
  <c r="L41" i="118"/>
  <c r="AL54" i="114"/>
  <c r="AL57" i="114"/>
  <c r="L44" i="118"/>
  <c r="CB57" i="114"/>
  <c r="AL138" i="113"/>
  <c r="AF199" i="113"/>
  <c r="AL199" i="113" s="1"/>
  <c r="M31" i="118"/>
  <c r="AM44" i="114"/>
  <c r="C43" i="114"/>
  <c r="CN54" i="114"/>
  <c r="CX54" i="114"/>
  <c r="EW57" i="114"/>
  <c r="EM57" i="114"/>
  <c r="BQ44" i="114"/>
  <c r="BZ57" i="114"/>
  <c r="EX57" i="114"/>
  <c r="FG57" i="114" s="1"/>
  <c r="BM95" i="113"/>
  <c r="BH54" i="114"/>
  <c r="AX54" i="114"/>
  <c r="T44" i="114"/>
  <c r="AC44" i="114" s="1"/>
  <c r="AH97" i="113"/>
  <c r="S188" i="113"/>
  <c r="S94" i="113"/>
  <c r="AH94" i="113" s="1"/>
  <c r="EX56" i="114"/>
  <c r="FG56" i="114" s="1"/>
  <c r="CJ144" i="113"/>
  <c r="CD205" i="113"/>
  <c r="CD153" i="113"/>
  <c r="AD58" i="118"/>
  <c r="GI72" i="114"/>
  <c r="GJ72" i="114"/>
  <c r="AE58" i="118"/>
  <c r="AH24" i="113"/>
  <c r="AN28" i="113"/>
  <c r="Q24" i="113"/>
  <c r="BO28" i="113"/>
  <c r="BO189" i="113" s="1"/>
  <c r="EO44" i="114" s="1"/>
  <c r="AO28" i="113"/>
  <c r="AO189" i="113" s="1"/>
  <c r="BS139" i="7"/>
  <c r="BS141" i="7"/>
  <c r="BS70" i="7"/>
  <c r="BS68" i="7"/>
  <c r="BR68" i="7"/>
  <c r="BR70" i="7"/>
  <c r="BR135" i="7"/>
  <c r="W12" i="61"/>
  <c r="BR147" i="7"/>
  <c r="BR155" i="7" s="1"/>
  <c r="BS155" i="7"/>
  <c r="W12" i="64"/>
  <c r="BQ65" i="7"/>
  <c r="BQ138" i="7"/>
  <c r="BQ67" i="7"/>
  <c r="BR139" i="7"/>
  <c r="BR141" i="7"/>
  <c r="AQ189" i="113" l="1"/>
  <c r="CP44" i="114" s="1"/>
  <c r="BF28" i="113"/>
  <c r="P44" i="118"/>
  <c r="BM138" i="113"/>
  <c r="BM199" i="113" s="1"/>
  <c r="DQ57" i="114"/>
  <c r="EC57" i="114" s="1"/>
  <c r="BP44" i="114"/>
  <c r="O31" i="118" s="1"/>
  <c r="CW57" i="114"/>
  <c r="FP57" i="114"/>
  <c r="GB57" i="114" s="1"/>
  <c r="AF44" i="118" s="1"/>
  <c r="O43" i="118"/>
  <c r="CB56" i="114"/>
  <c r="BL28" i="113"/>
  <c r="BF189" i="113"/>
  <c r="BL189" i="113" s="1"/>
  <c r="EX44" i="114"/>
  <c r="FG44" i="114" s="1"/>
  <c r="CJ205" i="113"/>
  <c r="CD214" i="113"/>
  <c r="FP56" i="114"/>
  <c r="AN97" i="113"/>
  <c r="AH188" i="113"/>
  <c r="AQ97" i="113"/>
  <c r="AL44" i="114"/>
  <c r="L31" i="118"/>
  <c r="CB44" i="114"/>
  <c r="BG54" i="114"/>
  <c r="BP54" i="114" s="1"/>
  <c r="BQ54" i="114"/>
  <c r="BZ44" i="114"/>
  <c r="P31" i="118"/>
  <c r="DG54" i="114"/>
  <c r="CW54" i="114"/>
  <c r="CC44" i="114"/>
  <c r="Z44" i="118"/>
  <c r="EW54" i="114"/>
  <c r="EM54" i="114"/>
  <c r="T43" i="118"/>
  <c r="EC56" i="114"/>
  <c r="T31" i="118"/>
  <c r="CH144" i="113"/>
  <c r="CB205" i="113"/>
  <c r="CB153" i="113"/>
  <c r="EC54" i="114"/>
  <c r="T41" i="118"/>
  <c r="DF57" i="114"/>
  <c r="DP57" i="114"/>
  <c r="AP43" i="114"/>
  <c r="AM97" i="113"/>
  <c r="AF97" i="113"/>
  <c r="AG188" i="113"/>
  <c r="AP97" i="113"/>
  <c r="S44" i="118"/>
  <c r="CL57" i="114"/>
  <c r="EB57" i="114"/>
  <c r="DG44" i="114"/>
  <c r="CD155" i="113"/>
  <c r="CJ155" i="113" s="1"/>
  <c r="CJ153" i="113"/>
  <c r="AQ43" i="114"/>
  <c r="AN94" i="113"/>
  <c r="EV57" i="114"/>
  <c r="FF57" i="114"/>
  <c r="L43" i="114"/>
  <c r="B43" i="114"/>
  <c r="R44" i="118"/>
  <c r="S43" i="118"/>
  <c r="CL56" i="114"/>
  <c r="CY44" i="114"/>
  <c r="DH44" i="114" s="1"/>
  <c r="BJ141" i="113"/>
  <c r="BD202" i="113"/>
  <c r="BJ202" i="113" s="1"/>
  <c r="FF56" i="114"/>
  <c r="FE56" i="114" s="1"/>
  <c r="EV56" i="114"/>
  <c r="AC41" i="118"/>
  <c r="FY54" i="114"/>
  <c r="M43" i="114"/>
  <c r="CC155" i="113"/>
  <c r="CI155" i="113" s="1"/>
  <c r="CI153" i="113"/>
  <c r="CI205" i="113"/>
  <c r="CC214" i="113"/>
  <c r="DZ57" i="114"/>
  <c r="W44" i="118"/>
  <c r="DF56" i="114"/>
  <c r="DO56" i="114" s="1"/>
  <c r="DP56" i="114"/>
  <c r="DZ54" i="114"/>
  <c r="W41" i="118"/>
  <c r="Q94" i="113"/>
  <c r="AG94" i="113"/>
  <c r="P43" i="118"/>
  <c r="BZ56" i="114"/>
  <c r="BJ138" i="113"/>
  <c r="BD199" i="113"/>
  <c r="BJ199" i="113" s="1"/>
  <c r="EW44" i="114"/>
  <c r="EM44" i="114"/>
  <c r="CN44" i="114"/>
  <c r="AF24" i="113"/>
  <c r="AL24" i="113" s="1"/>
  <c r="AN24" i="113"/>
  <c r="BM28" i="113"/>
  <c r="BM189" i="113" s="1"/>
  <c r="BO24" i="113"/>
  <c r="BD28" i="113"/>
  <c r="BF24" i="113"/>
  <c r="AL189" i="113"/>
  <c r="BQ139" i="7"/>
  <c r="BQ141" i="7"/>
  <c r="X12" i="64"/>
  <c r="W11" i="64"/>
  <c r="Y12" i="64"/>
  <c r="BR142" i="7"/>
  <c r="BR144" i="7"/>
  <c r="BR145" i="7" s="1"/>
  <c r="BQ68" i="7"/>
  <c r="BQ70" i="7"/>
  <c r="BQ71" i="7" s="1"/>
  <c r="X12" i="61"/>
  <c r="Y12" i="61"/>
  <c r="W11" i="61"/>
  <c r="BS142" i="7"/>
  <c r="BS144" i="7"/>
  <c r="BS145" i="7" s="1"/>
  <c r="AC44" i="118" l="1"/>
  <c r="DO57" i="114"/>
  <c r="EA57" i="114" s="1"/>
  <c r="X44" i="118" s="1"/>
  <c r="FY57" i="114"/>
  <c r="FN56" i="114"/>
  <c r="FW56" i="114" s="1"/>
  <c r="O41" i="118"/>
  <c r="CB54" i="114"/>
  <c r="BJ28" i="113"/>
  <c r="BD189" i="113"/>
  <c r="FF44" i="114"/>
  <c r="EV44" i="114"/>
  <c r="DY56" i="114"/>
  <c r="V43" i="118"/>
  <c r="CI214" i="113"/>
  <c r="CC216" i="113"/>
  <c r="CI216" i="113" s="1"/>
  <c r="V43" i="114"/>
  <c r="AE43" i="114" s="1"/>
  <c r="EB56" i="114"/>
  <c r="AZ43" i="114"/>
  <c r="CW44" i="114"/>
  <c r="AO97" i="113"/>
  <c r="AO188" i="113" s="1"/>
  <c r="BN97" i="113"/>
  <c r="AP188" i="113"/>
  <c r="AP94" i="113"/>
  <c r="BE97" i="113"/>
  <c r="AO43" i="114"/>
  <c r="AY43" i="114"/>
  <c r="U44" i="118"/>
  <c r="GB54" i="114"/>
  <c r="AF41" i="118" s="1"/>
  <c r="Z41" i="118"/>
  <c r="CL44" i="114"/>
  <c r="S31" i="118"/>
  <c r="DF54" i="114"/>
  <c r="DO54" i="114" s="1"/>
  <c r="DP54" i="114"/>
  <c r="BZ54" i="114"/>
  <c r="P41" i="118"/>
  <c r="CC54" i="114"/>
  <c r="R31" i="118"/>
  <c r="AN188" i="113"/>
  <c r="CD216" i="113"/>
  <c r="CJ216" i="113" s="1"/>
  <c r="CJ214" i="113"/>
  <c r="FP44" i="114"/>
  <c r="EA56" i="114"/>
  <c r="R43" i="118"/>
  <c r="FO56" i="114"/>
  <c r="AM94" i="113"/>
  <c r="BE94" i="113"/>
  <c r="AF94" i="113"/>
  <c r="AL94" i="113" s="1"/>
  <c r="U43" i="118"/>
  <c r="DX56" i="114"/>
  <c r="DQ44" i="114"/>
  <c r="U43" i="114"/>
  <c r="K43" i="114"/>
  <c r="FE57" i="114"/>
  <c r="FN57" i="114" s="1"/>
  <c r="FO57" i="114"/>
  <c r="GA57" i="114" s="1"/>
  <c r="DF44" i="114"/>
  <c r="DP44" i="114"/>
  <c r="Y44" i="118"/>
  <c r="EK57" i="114"/>
  <c r="AM188" i="113"/>
  <c r="AL97" i="113"/>
  <c r="AF188" i="113"/>
  <c r="DY57" i="114"/>
  <c r="V44" i="118"/>
  <c r="CH153" i="113"/>
  <c r="CB155" i="113"/>
  <c r="CH155" i="113" s="1"/>
  <c r="CH205" i="113"/>
  <c r="CB214" i="113"/>
  <c r="Z43" i="118"/>
  <c r="GB56" i="114"/>
  <c r="AF43" i="118" s="1"/>
  <c r="FF54" i="114"/>
  <c r="EV54" i="114"/>
  <c r="BO97" i="113"/>
  <c r="AQ188" i="113"/>
  <c r="AQ94" i="113"/>
  <c r="BF94" i="113" s="1"/>
  <c r="BL94" i="113" s="1"/>
  <c r="BF97" i="113"/>
  <c r="FY56" i="114"/>
  <c r="AC43" i="118"/>
  <c r="BD24" i="113"/>
  <c r="BJ24" i="113" s="1"/>
  <c r="BL24" i="113"/>
  <c r="BM24" i="113"/>
  <c r="BJ189" i="113"/>
  <c r="Y11" i="61"/>
  <c r="Z12" i="61"/>
  <c r="Z12" i="64"/>
  <c r="Y11" i="64"/>
  <c r="W23" i="61"/>
  <c r="X11" i="61"/>
  <c r="W10" i="61"/>
  <c r="W23" i="64"/>
  <c r="X11" i="64"/>
  <c r="W10" i="64"/>
  <c r="BQ142" i="7"/>
  <c r="BQ144" i="7"/>
  <c r="BQ145" i="7" s="1"/>
  <c r="AA43" i="118" l="1"/>
  <c r="DX57" i="114"/>
  <c r="DO44" i="114"/>
  <c r="U31" i="118" s="1"/>
  <c r="EA44" i="114"/>
  <c r="AA44" i="118"/>
  <c r="FW57" i="114"/>
  <c r="FZ57" i="114"/>
  <c r="AD44" i="118" s="1"/>
  <c r="BO188" i="113"/>
  <c r="BO94" i="113"/>
  <c r="FE54" i="114"/>
  <c r="FN54" i="114" s="1"/>
  <c r="FO54" i="114"/>
  <c r="GJ57" i="114"/>
  <c r="AE44" i="118"/>
  <c r="DY44" i="114"/>
  <c r="V31" i="118"/>
  <c r="AB44" i="118"/>
  <c r="FX57" i="114"/>
  <c r="AD43" i="114"/>
  <c r="N30" i="118"/>
  <c r="AN43" i="114"/>
  <c r="BK94" i="113"/>
  <c r="BD94" i="113"/>
  <c r="BJ94" i="113" s="1"/>
  <c r="FX56" i="114"/>
  <c r="AB43" i="118"/>
  <c r="FZ56" i="114"/>
  <c r="AD43" i="118" s="1"/>
  <c r="X43" i="118"/>
  <c r="S41" i="118"/>
  <c r="EB54" i="114"/>
  <c r="CL54" i="114"/>
  <c r="U41" i="118"/>
  <c r="DX54" i="114"/>
  <c r="BH43" i="114"/>
  <c r="BQ43" i="114" s="1"/>
  <c r="AX43" i="114"/>
  <c r="BK97" i="113"/>
  <c r="BD97" i="113"/>
  <c r="BE188" i="113"/>
  <c r="CO43" i="114"/>
  <c r="BI43" i="114"/>
  <c r="Y43" i="118"/>
  <c r="EK56" i="114"/>
  <c r="GA56" i="114"/>
  <c r="T43" i="114"/>
  <c r="AC43" i="114" s="1"/>
  <c r="FE44" i="114"/>
  <c r="FN44" i="114" s="1"/>
  <c r="FO44" i="114"/>
  <c r="BL97" i="113"/>
  <c r="BF188" i="113"/>
  <c r="CP43" i="114"/>
  <c r="CB216" i="113"/>
  <c r="CH216" i="113" s="1"/>
  <c r="CH214" i="113"/>
  <c r="AL188" i="113"/>
  <c r="W31" i="118"/>
  <c r="DZ44" i="114"/>
  <c r="EC44" i="114"/>
  <c r="FY44" i="114"/>
  <c r="AC31" i="118"/>
  <c r="DY54" i="114"/>
  <c r="V41" i="118"/>
  <c r="EB44" i="114"/>
  <c r="AO94" i="113"/>
  <c r="BM97" i="113"/>
  <c r="BM188" i="113" s="1"/>
  <c r="BN188" i="113"/>
  <c r="BN94" i="113"/>
  <c r="BM94" i="113" s="1"/>
  <c r="EA54" i="114"/>
  <c r="R41" i="118"/>
  <c r="X10" i="61"/>
  <c r="W35" i="61"/>
  <c r="Z11" i="64"/>
  <c r="AA12" i="64"/>
  <c r="Y23" i="61"/>
  <c r="Y10" i="61"/>
  <c r="Y35" i="61" s="1"/>
  <c r="Y38" i="61" s="1"/>
  <c r="W35" i="64"/>
  <c r="X10" i="64"/>
  <c r="Y23" i="64"/>
  <c r="Y10" i="64"/>
  <c r="Y35" i="64" s="1"/>
  <c r="Y37" i="64" s="1"/>
  <c r="Z11" i="61"/>
  <c r="AA12" i="61"/>
  <c r="DX44" i="114" l="1"/>
  <c r="AL43" i="114"/>
  <c r="L30" i="118"/>
  <c r="GA44" i="114"/>
  <c r="Y31" i="118"/>
  <c r="EK44" i="114"/>
  <c r="BL188" i="113"/>
  <c r="FX44" i="114"/>
  <c r="AB31" i="118"/>
  <c r="GJ56" i="114"/>
  <c r="AE43" i="118"/>
  <c r="BR43" i="114"/>
  <c r="BK188" i="113"/>
  <c r="AA41" i="118"/>
  <c r="FW54" i="114"/>
  <c r="EO43" i="114"/>
  <c r="FZ54" i="114"/>
  <c r="AD41" i="118" s="1"/>
  <c r="X41" i="118"/>
  <c r="EN43" i="114"/>
  <c r="P30" i="118"/>
  <c r="BZ43" i="114"/>
  <c r="Z31" i="118"/>
  <c r="GB44" i="114"/>
  <c r="CY43" i="114"/>
  <c r="AA31" i="118"/>
  <c r="FW44" i="114"/>
  <c r="CN43" i="114"/>
  <c r="CX43" i="114"/>
  <c r="BJ97" i="113"/>
  <c r="BD188" i="113"/>
  <c r="BG43" i="114"/>
  <c r="BP43" i="114" s="1"/>
  <c r="Y41" i="118"/>
  <c r="EK54" i="114"/>
  <c r="GA54" i="114"/>
  <c r="AM43" i="114"/>
  <c r="M30" i="118"/>
  <c r="CC43" i="114"/>
  <c r="FX54" i="114"/>
  <c r="AB41" i="118"/>
  <c r="FZ44" i="114"/>
  <c r="AD31" i="118" s="1"/>
  <c r="X31" i="118"/>
  <c r="Z23" i="61"/>
  <c r="Z10" i="61"/>
  <c r="Z35" i="61" s="1"/>
  <c r="Z38" i="61" s="1"/>
  <c r="X35" i="64"/>
  <c r="W37" i="64"/>
  <c r="Z23" i="64"/>
  <c r="Z10" i="64"/>
  <c r="Z35" i="64" s="1"/>
  <c r="Z37" i="64" s="1"/>
  <c r="AA11" i="61"/>
  <c r="AB12" i="61"/>
  <c r="AA11" i="64"/>
  <c r="AB12" i="64"/>
  <c r="X35" i="61"/>
  <c r="W38" i="61"/>
  <c r="W61" i="61"/>
  <c r="GJ54" i="114" l="1"/>
  <c r="AE41" i="118"/>
  <c r="O30" i="118"/>
  <c r="BY43" i="114"/>
  <c r="D4" i="122"/>
  <c r="AF31" i="118"/>
  <c r="EM43" i="114"/>
  <c r="EW43" i="114"/>
  <c r="EX43" i="114"/>
  <c r="S30" i="118"/>
  <c r="CL43" i="114"/>
  <c r="BJ188" i="113"/>
  <c r="DG43" i="114"/>
  <c r="CW43" i="114"/>
  <c r="DH43" i="114"/>
  <c r="CA43" i="114"/>
  <c r="Q30" i="118"/>
  <c r="CD43" i="114"/>
  <c r="GJ44" i="114"/>
  <c r="C4" i="122"/>
  <c r="AE31" i="118"/>
  <c r="CB43" i="114"/>
  <c r="X38" i="61"/>
  <c r="W40" i="61"/>
  <c r="CO35" i="114" s="1"/>
  <c r="AC12" i="64"/>
  <c r="AC11" i="64" s="1"/>
  <c r="AB11" i="64"/>
  <c r="AC12" i="61"/>
  <c r="AC11" i="61" s="1"/>
  <c r="AB11" i="61"/>
  <c r="AA23" i="64"/>
  <c r="AA10" i="64"/>
  <c r="AA35" i="64" s="1"/>
  <c r="AA37" i="64" s="1"/>
  <c r="AA23" i="61"/>
  <c r="AA10" i="61"/>
  <c r="AA35" i="61" s="1"/>
  <c r="AA38" i="61" s="1"/>
  <c r="Z38" i="64"/>
  <c r="Z39" i="64" s="1"/>
  <c r="X37" i="64"/>
  <c r="W38" i="64"/>
  <c r="Z39" i="61"/>
  <c r="Z40" i="61" s="1"/>
  <c r="R30" i="118" l="1"/>
  <c r="CK43" i="114"/>
  <c r="C5" i="122"/>
  <c r="C8" i="122"/>
  <c r="B4" i="122"/>
  <c r="I4" i="122" s="1"/>
  <c r="T30" i="118"/>
  <c r="CM43" i="114"/>
  <c r="DF43" i="114"/>
  <c r="DO43" i="114" s="1"/>
  <c r="EV43" i="114"/>
  <c r="FF43" i="114"/>
  <c r="DQ43" i="114"/>
  <c r="FG43" i="114"/>
  <c r="D8" i="122"/>
  <c r="D5" i="122"/>
  <c r="DP43" i="114"/>
  <c r="EW35" i="114"/>
  <c r="CX35" i="114"/>
  <c r="CN35" i="114"/>
  <c r="CO29" i="114"/>
  <c r="CO26" i="114"/>
  <c r="FF35" i="114"/>
  <c r="EN35" i="114"/>
  <c r="DG35" i="114"/>
  <c r="CO30" i="114"/>
  <c r="CO34" i="114"/>
  <c r="W41" i="64"/>
  <c r="D36" i="114"/>
  <c r="Z42" i="64"/>
  <c r="AA38" i="64"/>
  <c r="AA41" i="64" s="1"/>
  <c r="Z43" i="61"/>
  <c r="AA39" i="61"/>
  <c r="Z49" i="61"/>
  <c r="AC23" i="61"/>
  <c r="AC10" i="61"/>
  <c r="AC35" i="61" s="1"/>
  <c r="AC38" i="61" s="1"/>
  <c r="AC23" i="64"/>
  <c r="AC10" i="64"/>
  <c r="AC35" i="64" s="1"/>
  <c r="AC37" i="64" s="1"/>
  <c r="W39" i="64"/>
  <c r="CP36" i="114" s="1"/>
  <c r="AB10" i="61"/>
  <c r="AB35" i="61" s="1"/>
  <c r="AB38" i="61" s="1"/>
  <c r="AB23" i="61"/>
  <c r="AB10" i="64"/>
  <c r="AB35" i="64" s="1"/>
  <c r="AB37" i="64" s="1"/>
  <c r="AB23" i="64"/>
  <c r="W49" i="61"/>
  <c r="W55" i="61" s="1"/>
  <c r="W43" i="61"/>
  <c r="Y39" i="61"/>
  <c r="AA40" i="61"/>
  <c r="U30" i="118" l="1"/>
  <c r="DX43" i="114"/>
  <c r="EA43" i="114"/>
  <c r="FE43" i="114"/>
  <c r="FN43" i="114" s="1"/>
  <c r="FO43" i="114"/>
  <c r="B8" i="122"/>
  <c r="I8" i="122" s="1"/>
  <c r="DY43" i="114"/>
  <c r="V30" i="118"/>
  <c r="EB43" i="114"/>
  <c r="FP43" i="114"/>
  <c r="AA39" i="64"/>
  <c r="D9" i="122"/>
  <c r="D13" i="122" s="1"/>
  <c r="D6" i="122"/>
  <c r="DZ43" i="114"/>
  <c r="W30" i="118"/>
  <c r="EC43" i="114"/>
  <c r="C9" i="122"/>
  <c r="C6" i="122"/>
  <c r="B5" i="122"/>
  <c r="I5" i="122" s="1"/>
  <c r="CN30" i="114"/>
  <c r="EM35" i="114"/>
  <c r="EN29" i="114"/>
  <c r="EN26" i="114"/>
  <c r="EN30" i="114"/>
  <c r="CN26" i="114"/>
  <c r="EV35" i="114"/>
  <c r="EW30" i="114"/>
  <c r="EV30" i="114" s="1"/>
  <c r="EW29" i="114"/>
  <c r="EW26" i="114"/>
  <c r="EV26" i="114" s="1"/>
  <c r="FG36" i="114"/>
  <c r="EO36" i="114"/>
  <c r="DH36" i="114"/>
  <c r="EX36" i="114"/>
  <c r="CY36" i="114"/>
  <c r="CN36" i="114"/>
  <c r="CP27" i="114"/>
  <c r="AZ36" i="114"/>
  <c r="AQ36" i="114"/>
  <c r="M36" i="114"/>
  <c r="BI36" i="114"/>
  <c r="V36" i="114"/>
  <c r="B36" i="114"/>
  <c r="D27" i="114"/>
  <c r="CN34" i="114"/>
  <c r="FF34" i="114"/>
  <c r="EN34" i="114"/>
  <c r="DG34" i="114"/>
  <c r="EW34" i="114"/>
  <c r="CX34" i="114"/>
  <c r="CO25" i="114"/>
  <c r="DG26" i="114"/>
  <c r="DF26" i="114" s="1"/>
  <c r="DF35" i="114"/>
  <c r="DG30" i="114"/>
  <c r="DF30" i="114" s="1"/>
  <c r="DG29" i="114"/>
  <c r="FF30" i="114"/>
  <c r="FE30" i="114" s="1"/>
  <c r="FF26" i="114"/>
  <c r="FE26" i="114" s="1"/>
  <c r="FF29" i="114"/>
  <c r="FE35" i="114"/>
  <c r="CN29" i="114"/>
  <c r="CO28" i="114"/>
  <c r="CW35" i="114"/>
  <c r="CX29" i="114"/>
  <c r="DP29" i="114" s="1"/>
  <c r="CX26" i="114"/>
  <c r="CW26" i="114" s="1"/>
  <c r="CX30" i="114"/>
  <c r="CW30" i="114" s="1"/>
  <c r="AB38" i="64"/>
  <c r="AB41" i="64" s="1"/>
  <c r="AA42" i="64"/>
  <c r="W42" i="64"/>
  <c r="Y38" i="64"/>
  <c r="AA43" i="61"/>
  <c r="AB39" i="61"/>
  <c r="Y42" i="61"/>
  <c r="Y40" i="61"/>
  <c r="Y49" i="61" s="1"/>
  <c r="AA42" i="61"/>
  <c r="AA49" i="61"/>
  <c r="AB39" i="64"/>
  <c r="C10" i="122" l="1"/>
  <c r="B6" i="122"/>
  <c r="I6" i="122" s="1"/>
  <c r="C7" i="122"/>
  <c r="Z30" i="118"/>
  <c r="EL43" i="114"/>
  <c r="GB43" i="114"/>
  <c r="D15" i="122"/>
  <c r="D19" i="122" s="1"/>
  <c r="FY43" i="114"/>
  <c r="AC30" i="118"/>
  <c r="Y30" i="118"/>
  <c r="EK43" i="114"/>
  <c r="GA43" i="114"/>
  <c r="FX43" i="114"/>
  <c r="AB30" i="118"/>
  <c r="AA30" i="118"/>
  <c r="FW43" i="114"/>
  <c r="C13" i="122"/>
  <c r="B9" i="122"/>
  <c r="I9" i="122" s="1"/>
  <c r="D10" i="122"/>
  <c r="D7" i="122"/>
  <c r="C11" i="122"/>
  <c r="FZ43" i="114"/>
  <c r="X30" i="118"/>
  <c r="EJ43" i="114"/>
  <c r="DP30" i="114"/>
  <c r="DY29" i="114"/>
  <c r="EB29" i="114"/>
  <c r="EK29" i="114" s="1"/>
  <c r="DF29" i="114"/>
  <c r="DO29" i="114" s="1"/>
  <c r="DG28" i="114"/>
  <c r="DF28" i="114" s="1"/>
  <c r="CN25" i="114"/>
  <c r="CO31" i="114"/>
  <c r="EV34" i="114"/>
  <c r="EW25" i="114"/>
  <c r="EM34" i="114"/>
  <c r="EN25" i="114"/>
  <c r="BG36" i="114"/>
  <c r="BI27" i="114"/>
  <c r="AO36" i="114"/>
  <c r="AQ27" i="114"/>
  <c r="CP31" i="114"/>
  <c r="CN27" i="114"/>
  <c r="CW36" i="114"/>
  <c r="CY27" i="114"/>
  <c r="DF36" i="114"/>
  <c r="DH27" i="114"/>
  <c r="FE36" i="114"/>
  <c r="FG27" i="114"/>
  <c r="EV29" i="114"/>
  <c r="EW28" i="114"/>
  <c r="EV28" i="114" s="1"/>
  <c r="EM26" i="114"/>
  <c r="FN26" i="114" s="1"/>
  <c r="FO26" i="114"/>
  <c r="DY30" i="114"/>
  <c r="EB30" i="114"/>
  <c r="EK30" i="114" s="1"/>
  <c r="CW29" i="114"/>
  <c r="CX28" i="114"/>
  <c r="CW28" i="114" s="1"/>
  <c r="CN28" i="114"/>
  <c r="FE29" i="114"/>
  <c r="FF28" i="114"/>
  <c r="FE28" i="114" s="1"/>
  <c r="CX25" i="114"/>
  <c r="CW34" i="114"/>
  <c r="DF34" i="114"/>
  <c r="DG25" i="114"/>
  <c r="FE34" i="114"/>
  <c r="FF25" i="114"/>
  <c r="D31" i="114"/>
  <c r="B27" i="114"/>
  <c r="T36" i="114"/>
  <c r="V27" i="114"/>
  <c r="K36" i="114"/>
  <c r="M27" i="114"/>
  <c r="AZ27" i="114"/>
  <c r="AX36" i="114"/>
  <c r="EV36" i="114"/>
  <c r="EX27" i="114"/>
  <c r="EM36" i="114"/>
  <c r="EO27" i="114"/>
  <c r="FO30" i="114"/>
  <c r="EM30" i="114"/>
  <c r="FN30" i="114" s="1"/>
  <c r="EM29" i="114"/>
  <c r="FO29" i="114"/>
  <c r="EN28" i="114"/>
  <c r="DO26" i="114"/>
  <c r="DP26" i="114"/>
  <c r="DO30" i="114"/>
  <c r="AC38" i="64"/>
  <c r="AB42" i="64"/>
  <c r="AB42" i="61"/>
  <c r="AB40" i="61"/>
  <c r="AB49" i="61" s="1"/>
  <c r="Y43" i="61"/>
  <c r="Z42" i="61"/>
  <c r="Y41" i="64"/>
  <c r="Y39" i="64"/>
  <c r="FN29" i="114" l="1"/>
  <c r="AE27" i="114"/>
  <c r="DP28" i="114"/>
  <c r="D14" i="122"/>
  <c r="D11" i="122"/>
  <c r="D12" i="122" s="1"/>
  <c r="C15" i="122"/>
  <c r="B13" i="122"/>
  <c r="I13" i="122" s="1"/>
  <c r="GK43" i="114"/>
  <c r="AF30" i="118"/>
  <c r="AD30" i="118"/>
  <c r="GI43" i="114"/>
  <c r="GJ43" i="114"/>
  <c r="AE30" i="118"/>
  <c r="B7" i="122"/>
  <c r="C12" i="122"/>
  <c r="C14" i="122"/>
  <c r="B10" i="122"/>
  <c r="I10" i="122" s="1"/>
  <c r="DX29" i="114"/>
  <c r="EA29" i="114"/>
  <c r="DY26" i="114"/>
  <c r="DP35" i="114"/>
  <c r="DY35" i="114" s="1"/>
  <c r="EB26" i="114"/>
  <c r="GA26" i="114" s="1"/>
  <c r="DX26" i="114"/>
  <c r="EA26" i="114"/>
  <c r="GA29" i="114"/>
  <c r="GJ29" i="114" s="1"/>
  <c r="FX29" i="114"/>
  <c r="FP27" i="114"/>
  <c r="EM27" i="114"/>
  <c r="EO31" i="114"/>
  <c r="EX31" i="114"/>
  <c r="EV27" i="114"/>
  <c r="M31" i="114"/>
  <c r="K27" i="114"/>
  <c r="V31" i="114"/>
  <c r="T27" i="114"/>
  <c r="D32" i="114"/>
  <c r="B31" i="114"/>
  <c r="CW25" i="114"/>
  <c r="CX31" i="114"/>
  <c r="CP32" i="114"/>
  <c r="BR27" i="114"/>
  <c r="CD27" i="114" s="1"/>
  <c r="AQ31" i="114"/>
  <c r="AO27" i="114"/>
  <c r="BI31" i="114"/>
  <c r="BG27" i="114"/>
  <c r="EM25" i="114"/>
  <c r="FO25" i="114"/>
  <c r="H22" i="120" s="1"/>
  <c r="EN31" i="114"/>
  <c r="EV25" i="114"/>
  <c r="EW31" i="114"/>
  <c r="CO32" i="114"/>
  <c r="CN31" i="114"/>
  <c r="DO28" i="114"/>
  <c r="DO35" i="114" s="1"/>
  <c r="DX35" i="114" s="1"/>
  <c r="DX30" i="114"/>
  <c r="EA30" i="114"/>
  <c r="EM28" i="114"/>
  <c r="FN28" i="114" s="1"/>
  <c r="FO28" i="114"/>
  <c r="FO35" i="114" s="1"/>
  <c r="FX35" i="114" s="1"/>
  <c r="GA30" i="114"/>
  <c r="GJ30" i="114" s="1"/>
  <c r="FX30" i="114"/>
  <c r="AZ31" i="114"/>
  <c r="AX27" i="114"/>
  <c r="AN27" i="114"/>
  <c r="AE36" i="114"/>
  <c r="AN36" i="114" s="1"/>
  <c r="FE25" i="114"/>
  <c r="FF31" i="114"/>
  <c r="DF25" i="114"/>
  <c r="DO25" i="114" s="1"/>
  <c r="DG31" i="114"/>
  <c r="DY28" i="114"/>
  <c r="EB28" i="114"/>
  <c r="EK28" i="114" s="1"/>
  <c r="FX26" i="114"/>
  <c r="FE27" i="114"/>
  <c r="FG31" i="114"/>
  <c r="DH31" i="114"/>
  <c r="DF27" i="114"/>
  <c r="CY31" i="114"/>
  <c r="CW27" i="114"/>
  <c r="DQ27" i="114"/>
  <c r="DP25" i="114"/>
  <c r="F22" i="120" s="1"/>
  <c r="Y42" i="64"/>
  <c r="Z41" i="64"/>
  <c r="AB43" i="61"/>
  <c r="AC39" i="61"/>
  <c r="AC41" i="64"/>
  <c r="AC39" i="64"/>
  <c r="AC42" i="64" s="1"/>
  <c r="AE31" i="114" l="1"/>
  <c r="C23" i="120" s="1"/>
  <c r="DO27" i="114"/>
  <c r="C18" i="122"/>
  <c r="B14" i="122"/>
  <c r="I14" i="122" s="1"/>
  <c r="I7" i="122"/>
  <c r="C16" i="122"/>
  <c r="C17" i="122" s="1"/>
  <c r="D18" i="122"/>
  <c r="D16" i="122"/>
  <c r="D17" i="122" s="1"/>
  <c r="B11" i="121"/>
  <c r="C20" i="120"/>
  <c r="B15" i="122"/>
  <c r="I15" i="122" s="1"/>
  <c r="C19" i="122"/>
  <c r="B19" i="122" s="1"/>
  <c r="I19" i="122" s="1"/>
  <c r="B11" i="122"/>
  <c r="I11" i="122" s="1"/>
  <c r="K22" i="120"/>
  <c r="CY32" i="114"/>
  <c r="FG32" i="114"/>
  <c r="EX32" i="114"/>
  <c r="DH32" i="114"/>
  <c r="AC27" i="114"/>
  <c r="AC36" i="114" s="1"/>
  <c r="AL36" i="114" s="1"/>
  <c r="DP31" i="114"/>
  <c r="DY31" i="114" s="1"/>
  <c r="DO36" i="114"/>
  <c r="DX36" i="114" s="1"/>
  <c r="DX27" i="114"/>
  <c r="DO34" i="114"/>
  <c r="DX34" i="114" s="1"/>
  <c r="DX25" i="114"/>
  <c r="EA25" i="114"/>
  <c r="DY25" i="114"/>
  <c r="DP34" i="114"/>
  <c r="DY34" i="114" s="1"/>
  <c r="EB25" i="114"/>
  <c r="G22" i="120" s="1"/>
  <c r="DQ36" i="114"/>
  <c r="DZ36" i="114" s="1"/>
  <c r="DZ27" i="114"/>
  <c r="DF31" i="114"/>
  <c r="DF32" i="114" s="1"/>
  <c r="DG32" i="114"/>
  <c r="FO31" i="114"/>
  <c r="H21" i="120" s="1"/>
  <c r="FF32" i="114"/>
  <c r="FE31" i="114"/>
  <c r="FE32" i="114" s="1"/>
  <c r="EC27" i="114"/>
  <c r="CM27" i="114"/>
  <c r="CD36" i="114"/>
  <c r="CM36" i="114" s="1"/>
  <c r="AZ32" i="114"/>
  <c r="AX31" i="114"/>
  <c r="AX32" i="114" s="1"/>
  <c r="CN32" i="114"/>
  <c r="FO34" i="114"/>
  <c r="FX34" i="114" s="1"/>
  <c r="FX25" i="114"/>
  <c r="BR36" i="114"/>
  <c r="CA36" i="114" s="1"/>
  <c r="CA27" i="114"/>
  <c r="EO32" i="114"/>
  <c r="FP31" i="114"/>
  <c r="H23" i="120" s="1"/>
  <c r="FP36" i="114"/>
  <c r="FY36" i="114" s="1"/>
  <c r="FY27" i="114"/>
  <c r="EK26" i="114"/>
  <c r="EB35" i="114"/>
  <c r="EK35" i="114" s="1"/>
  <c r="FN35" i="114"/>
  <c r="BP27" i="114"/>
  <c r="GJ26" i="114"/>
  <c r="GA28" i="114"/>
  <c r="GJ28" i="114" s="1"/>
  <c r="FX28" i="114"/>
  <c r="FZ30" i="114"/>
  <c r="EJ30" i="114"/>
  <c r="DX28" i="114"/>
  <c r="EA28" i="114"/>
  <c r="EW32" i="114"/>
  <c r="EV31" i="114"/>
  <c r="EV32" i="114" s="1"/>
  <c r="EN32" i="114"/>
  <c r="EM31" i="114"/>
  <c r="BI32" i="114"/>
  <c r="BG31" i="114"/>
  <c r="BG32" i="114" s="1"/>
  <c r="AQ32" i="114"/>
  <c r="BR31" i="114"/>
  <c r="AO31" i="114"/>
  <c r="CW31" i="114"/>
  <c r="CW32" i="114" s="1"/>
  <c r="CX32" i="114"/>
  <c r="B32" i="114"/>
  <c r="AE32" i="114"/>
  <c r="AN32" i="114" s="1"/>
  <c r="AN31" i="114"/>
  <c r="V32" i="114"/>
  <c r="T31" i="114"/>
  <c r="M32" i="114"/>
  <c r="K31" i="114"/>
  <c r="FZ26" i="114"/>
  <c r="EA35" i="114"/>
  <c r="EJ35" i="114" s="1"/>
  <c r="EJ26" i="114"/>
  <c r="FZ29" i="114"/>
  <c r="EJ29" i="114"/>
  <c r="FN25" i="114"/>
  <c r="FN34" i="114" s="1"/>
  <c r="DQ31" i="114"/>
  <c r="F23" i="120" s="1"/>
  <c r="FN27" i="114"/>
  <c r="FN36" i="114" s="1"/>
  <c r="AC42" i="61"/>
  <c r="AC40" i="61"/>
  <c r="AC43" i="61" s="1"/>
  <c r="AL27" i="114" l="1"/>
  <c r="H20" i="120"/>
  <c r="B17" i="122"/>
  <c r="I17" i="122" s="1"/>
  <c r="D20" i="122"/>
  <c r="D21" i="122" s="1"/>
  <c r="D22" i="122" s="1"/>
  <c r="CD31" i="114"/>
  <c r="E23" i="120" s="1"/>
  <c r="E20" i="120" s="1"/>
  <c r="D23" i="120"/>
  <c r="C19" i="120"/>
  <c r="M11" i="121"/>
  <c r="C11" i="121"/>
  <c r="C9" i="121" s="1"/>
  <c r="Q11" i="121"/>
  <c r="G11" i="121"/>
  <c r="G9" i="121" s="1"/>
  <c r="D11" i="121"/>
  <c r="H11" i="121"/>
  <c r="H9" i="121" s="1"/>
  <c r="P11" i="121"/>
  <c r="K11" i="121"/>
  <c r="R11" i="121"/>
  <c r="F11" i="121"/>
  <c r="L11" i="121"/>
  <c r="B9" i="121"/>
  <c r="B16" i="122"/>
  <c r="I16" i="122" s="1"/>
  <c r="B12" i="122"/>
  <c r="I12" i="122" s="1"/>
  <c r="B18" i="122"/>
  <c r="I18" i="122" s="1"/>
  <c r="C20" i="122"/>
  <c r="DP32" i="114"/>
  <c r="DY32" i="114" s="1"/>
  <c r="F21" i="120"/>
  <c r="K10" i="121" s="1"/>
  <c r="EB31" i="114"/>
  <c r="G21" i="120" s="1"/>
  <c r="K32" i="114"/>
  <c r="T32" i="114"/>
  <c r="EC31" i="114"/>
  <c r="G23" i="120" s="1"/>
  <c r="DZ31" i="114"/>
  <c r="DQ32" i="114"/>
  <c r="DZ32" i="114" s="1"/>
  <c r="AO32" i="114"/>
  <c r="BP31" i="114"/>
  <c r="FP32" i="114"/>
  <c r="FY32" i="114" s="1"/>
  <c r="FY31" i="114"/>
  <c r="GB27" i="114"/>
  <c r="EL27" i="114"/>
  <c r="EC36" i="114"/>
  <c r="EL36" i="114" s="1"/>
  <c r="EB34" i="114"/>
  <c r="EK34" i="114" s="1"/>
  <c r="EK25" i="114"/>
  <c r="GA25" i="114"/>
  <c r="I22" i="120" s="1"/>
  <c r="EJ25" i="114"/>
  <c r="EA34" i="114"/>
  <c r="EJ34" i="114" s="1"/>
  <c r="FZ25" i="114"/>
  <c r="FZ34" i="114" s="1"/>
  <c r="AC31" i="114"/>
  <c r="GA35" i="114"/>
  <c r="GJ35" i="114" s="1"/>
  <c r="DO31" i="114"/>
  <c r="BR32" i="114"/>
  <c r="CA32" i="114" s="1"/>
  <c r="CA31" i="114"/>
  <c r="EM32" i="114"/>
  <c r="FN31" i="114"/>
  <c r="FN32" i="114" s="1"/>
  <c r="FZ28" i="114"/>
  <c r="FZ35" i="114" s="1"/>
  <c r="EJ28" i="114"/>
  <c r="CB27" i="114"/>
  <c r="BP36" i="114"/>
  <c r="BY36" i="114" s="1"/>
  <c r="BY27" i="114"/>
  <c r="FO32" i="114"/>
  <c r="FX32" i="114" s="1"/>
  <c r="FX31" i="114"/>
  <c r="EB32" i="114"/>
  <c r="EK32" i="114" s="1"/>
  <c r="EK31" i="114"/>
  <c r="GA31" i="114"/>
  <c r="I21" i="120" s="1"/>
  <c r="AC49" i="61"/>
  <c r="BO51" i="8"/>
  <c r="BO55" i="8" s="1"/>
  <c r="BO81" i="8"/>
  <c r="BO97" i="8" s="1"/>
  <c r="B20" i="122" l="1"/>
  <c r="I20" i="122" s="1"/>
  <c r="CD32" i="114"/>
  <c r="CM32" i="114" s="1"/>
  <c r="CM31" i="114"/>
  <c r="G20" i="120"/>
  <c r="R10" i="121"/>
  <c r="R9" i="121" s="1"/>
  <c r="M10" i="121"/>
  <c r="M9" i="121" s="1"/>
  <c r="L10" i="121"/>
  <c r="L9" i="121" s="1"/>
  <c r="P10" i="121"/>
  <c r="Q10" i="121"/>
  <c r="Q9" i="121" s="1"/>
  <c r="C21" i="122"/>
  <c r="S11" i="121"/>
  <c r="E11" i="121"/>
  <c r="D9" i="121"/>
  <c r="D20" i="120"/>
  <c r="K23" i="120"/>
  <c r="B8" i="121"/>
  <c r="E9" i="121"/>
  <c r="I11" i="121"/>
  <c r="F9" i="121"/>
  <c r="K9" i="121"/>
  <c r="N11" i="121"/>
  <c r="H8" i="121"/>
  <c r="G8" i="121"/>
  <c r="C8" i="121"/>
  <c r="E19" i="120"/>
  <c r="F20" i="120"/>
  <c r="K21" i="120"/>
  <c r="GA32" i="114"/>
  <c r="GJ32" i="114" s="1"/>
  <c r="GJ31" i="114"/>
  <c r="DO32" i="114"/>
  <c r="DX32" i="114" s="1"/>
  <c r="DX31" i="114"/>
  <c r="GA34" i="114"/>
  <c r="GJ34" i="114" s="1"/>
  <c r="GJ25" i="114"/>
  <c r="BP32" i="114"/>
  <c r="BY32" i="114" s="1"/>
  <c r="BY31" i="114"/>
  <c r="EC32" i="114"/>
  <c r="EL32" i="114" s="1"/>
  <c r="EL31" i="114"/>
  <c r="GB31" i="114"/>
  <c r="I23" i="120" s="1"/>
  <c r="I20" i="120" s="1"/>
  <c r="CB36" i="114"/>
  <c r="CK36" i="114" s="1"/>
  <c r="CK27" i="114"/>
  <c r="EA27" i="114"/>
  <c r="CB31" i="114"/>
  <c r="AC32" i="114"/>
  <c r="AL32" i="114" s="1"/>
  <c r="AL31" i="114"/>
  <c r="GB36" i="114"/>
  <c r="GK36" i="114" s="1"/>
  <c r="GK27" i="114"/>
  <c r="BO105" i="8"/>
  <c r="W12" i="66"/>
  <c r="BO86" i="8"/>
  <c r="BO57" i="8"/>
  <c r="BO58" i="8" s="1"/>
  <c r="J11" i="121" l="1"/>
  <c r="N10" i="121"/>
  <c r="O10" i="121" s="1"/>
  <c r="N9" i="121"/>
  <c r="O11" i="121"/>
  <c r="T11" i="121" s="1"/>
  <c r="D8" i="121"/>
  <c r="E8" i="121" s="1"/>
  <c r="S10" i="121"/>
  <c r="T10" i="121" s="1"/>
  <c r="P9" i="121"/>
  <c r="F8" i="121"/>
  <c r="I8" i="121" s="1"/>
  <c r="I9" i="121"/>
  <c r="J9" i="121" s="1"/>
  <c r="D19" i="120"/>
  <c r="C22" i="122"/>
  <c r="B22" i="122" s="1"/>
  <c r="I22" i="122" s="1"/>
  <c r="B21" i="122"/>
  <c r="I21" i="122" s="1"/>
  <c r="K20" i="120"/>
  <c r="EA36" i="114"/>
  <c r="EJ27" i="114"/>
  <c r="FZ27" i="114"/>
  <c r="FZ36" i="114" s="1"/>
  <c r="GB32" i="114"/>
  <c r="GK32" i="114" s="1"/>
  <c r="GK31" i="114"/>
  <c r="CB32" i="114"/>
  <c r="CK32" i="114" s="1"/>
  <c r="EA31" i="114"/>
  <c r="CK31" i="114"/>
  <c r="BO90" i="8"/>
  <c r="BO88" i="8"/>
  <c r="X12" i="66"/>
  <c r="Y12" i="66"/>
  <c r="W11" i="66"/>
  <c r="O9" i="121" l="1"/>
  <c r="J8" i="121"/>
  <c r="S9" i="121"/>
  <c r="T9" i="121" s="1"/>
  <c r="EJ36" i="114"/>
  <c r="EA32" i="114"/>
  <c r="FZ31" i="114"/>
  <c r="FZ32" i="114" s="1"/>
  <c r="EJ31" i="114"/>
  <c r="X11" i="66"/>
  <c r="W10" i="66"/>
  <c r="BO93" i="8"/>
  <c r="BO94" i="8" s="1"/>
  <c r="BO91" i="8"/>
  <c r="Y11" i="66"/>
  <c r="Z12" i="66"/>
  <c r="EJ32" i="114" l="1"/>
  <c r="Z11" i="66"/>
  <c r="AA12" i="66"/>
  <c r="Y10" i="66"/>
  <c r="Y35" i="66" s="1"/>
  <c r="Y38" i="66" s="1"/>
  <c r="Y23" i="66"/>
  <c r="X10" i="66"/>
  <c r="W35" i="66"/>
  <c r="Z23" i="66" l="1"/>
  <c r="Z10" i="66"/>
  <c r="Z35" i="66" s="1"/>
  <c r="Z38" i="66" s="1"/>
  <c r="W38" i="66"/>
  <c r="W54" i="66"/>
  <c r="X35" i="66"/>
  <c r="AA11" i="66"/>
  <c r="AB12" i="66"/>
  <c r="AA23" i="66" l="1"/>
  <c r="AA10" i="66"/>
  <c r="AA35" i="66" s="1"/>
  <c r="AA38" i="66" s="1"/>
  <c r="AB11" i="66"/>
  <c r="AC12" i="66"/>
  <c r="AC11" i="66" s="1"/>
  <c r="W40" i="66"/>
  <c r="CP25" i="116" s="1"/>
  <c r="X38" i="66"/>
  <c r="Z39" i="66"/>
  <c r="Z40" i="66"/>
  <c r="FG25" i="116" l="1"/>
  <c r="CN25" i="116"/>
  <c r="CY25" i="116"/>
  <c r="EO25" i="116"/>
  <c r="DH25" i="116"/>
  <c r="EX25" i="116"/>
  <c r="CP19" i="116"/>
  <c r="Z43" i="66"/>
  <c r="AA39" i="66"/>
  <c r="Z46" i="66"/>
  <c r="AC23" i="66"/>
  <c r="AC10" i="66"/>
  <c r="AC35" i="66" s="1"/>
  <c r="AC38" i="66" s="1"/>
  <c r="Z45" i="66"/>
  <c r="Z48" i="66" s="1"/>
  <c r="W43" i="66"/>
  <c r="Y39" i="66"/>
  <c r="W46" i="66"/>
  <c r="W47" i="66" s="1"/>
  <c r="AB23" i="66"/>
  <c r="AB10" i="66"/>
  <c r="AB35" i="66" s="1"/>
  <c r="AB38" i="66" s="1"/>
  <c r="AA40" i="66"/>
  <c r="W48" i="66" l="1"/>
  <c r="EV25" i="116"/>
  <c r="EX19" i="116"/>
  <c r="EM25" i="116"/>
  <c r="EO19" i="116"/>
  <c r="CP21" i="116"/>
  <c r="CN19" i="116"/>
  <c r="DF25" i="116"/>
  <c r="DH19" i="116"/>
  <c r="CW25" i="116"/>
  <c r="CY19" i="116"/>
  <c r="FE25" i="116"/>
  <c r="FG19" i="116"/>
  <c r="Y45" i="66"/>
  <c r="Y42" i="66"/>
  <c r="Y40" i="66"/>
  <c r="Z47" i="66"/>
  <c r="AA43" i="66"/>
  <c r="AA46" i="66"/>
  <c r="AB39" i="66"/>
  <c r="AA45" i="66"/>
  <c r="AA42" i="66"/>
  <c r="AA48" i="66"/>
  <c r="AB40" i="66"/>
  <c r="FE19" i="116" l="1"/>
  <c r="FG21" i="116"/>
  <c r="CY21" i="116"/>
  <c r="DQ21" i="116" s="1"/>
  <c r="CW19" i="116"/>
  <c r="DO19" i="116" s="1"/>
  <c r="DF19" i="116"/>
  <c r="DH21" i="116"/>
  <c r="DQ19" i="116"/>
  <c r="CP22" i="116"/>
  <c r="CP63" i="116"/>
  <c r="CN21" i="116"/>
  <c r="FP19" i="116"/>
  <c r="EO21" i="116"/>
  <c r="EM19" i="116"/>
  <c r="EX21" i="116"/>
  <c r="EV19" i="116"/>
  <c r="AB43" i="66"/>
  <c r="AC39" i="66"/>
  <c r="AB46" i="66"/>
  <c r="AB42" i="66"/>
  <c r="AB45" i="66"/>
  <c r="AB48" i="66" s="1"/>
  <c r="Y46" i="66"/>
  <c r="Y47" i="66" s="1"/>
  <c r="Y43" i="66"/>
  <c r="Z42" i="66"/>
  <c r="AA47" i="66"/>
  <c r="EX22" i="116" l="1"/>
  <c r="EX63" i="116"/>
  <c r="EV21" i="116"/>
  <c r="EV22" i="116" s="1"/>
  <c r="EO22" i="116"/>
  <c r="FP21" i="116"/>
  <c r="EO63" i="116"/>
  <c r="EM21" i="116"/>
  <c r="CN22" i="116"/>
  <c r="DZ19" i="116"/>
  <c r="DQ25" i="116"/>
  <c r="DZ25" i="116" s="1"/>
  <c r="EC19" i="116"/>
  <c r="DH22" i="116"/>
  <c r="DH63" i="116"/>
  <c r="DF21" i="116"/>
  <c r="DF22" i="116" s="1"/>
  <c r="FG22" i="116"/>
  <c r="FG63" i="116"/>
  <c r="FE21" i="116"/>
  <c r="FE22" i="116" s="1"/>
  <c r="FN19" i="116"/>
  <c r="FY19" i="116"/>
  <c r="FP25" i="116"/>
  <c r="FY25" i="116" s="1"/>
  <c r="CP64" i="116"/>
  <c r="CN63" i="116"/>
  <c r="F27" i="120"/>
  <c r="DQ22" i="116"/>
  <c r="DZ22" i="116" s="1"/>
  <c r="DZ21" i="116"/>
  <c r="EC21" i="116"/>
  <c r="DO25" i="116"/>
  <c r="DX25" i="116" s="1"/>
  <c r="DX19" i="116"/>
  <c r="EA19" i="116"/>
  <c r="CY22" i="116"/>
  <c r="CY63" i="116"/>
  <c r="CW21" i="116"/>
  <c r="CW22" i="116" s="1"/>
  <c r="AC42" i="66"/>
  <c r="AC45" i="66"/>
  <c r="AC40" i="66"/>
  <c r="Y48" i="66"/>
  <c r="AB47" i="66"/>
  <c r="CY64" i="116" l="1"/>
  <c r="CW63" i="116"/>
  <c r="FZ19" i="116"/>
  <c r="EA25" i="116"/>
  <c r="EJ25" i="116" s="1"/>
  <c r="EJ19" i="116"/>
  <c r="G27" i="120"/>
  <c r="G24" i="120" s="1"/>
  <c r="G19" i="120" s="1"/>
  <c r="GB21" i="116"/>
  <c r="EL21" i="116"/>
  <c r="EC22" i="116"/>
  <c r="EL22" i="116" s="1"/>
  <c r="DQ63" i="116"/>
  <c r="DH64" i="116"/>
  <c r="DF63" i="116"/>
  <c r="DO63" i="116" s="1"/>
  <c r="EC25" i="116"/>
  <c r="EL25" i="116" s="1"/>
  <c r="GB19" i="116"/>
  <c r="EL19" i="116"/>
  <c r="EO64" i="116"/>
  <c r="FP63" i="116"/>
  <c r="EM63" i="116"/>
  <c r="EX64" i="116"/>
  <c r="EV63" i="116"/>
  <c r="K14" i="121"/>
  <c r="F24" i="120"/>
  <c r="CP65" i="116"/>
  <c r="CN64" i="116"/>
  <c r="FN25" i="116"/>
  <c r="FW25" i="116" s="1"/>
  <c r="FW19" i="116"/>
  <c r="FG64" i="116"/>
  <c r="FE63" i="116"/>
  <c r="FN63" i="116" s="1"/>
  <c r="DO21" i="116"/>
  <c r="FN21" i="116"/>
  <c r="EM22" i="116"/>
  <c r="H27" i="120"/>
  <c r="H24" i="120" s="1"/>
  <c r="FY21" i="116"/>
  <c r="FP22" i="116"/>
  <c r="FY22" i="116" s="1"/>
  <c r="AC43" i="66"/>
  <c r="AC46" i="66"/>
  <c r="AC47" i="66" s="1"/>
  <c r="DX63" i="116" l="1"/>
  <c r="V54" i="119"/>
  <c r="H43" i="120"/>
  <c r="H19" i="120"/>
  <c r="FN22" i="116"/>
  <c r="FW22" i="116" s="1"/>
  <c r="FW21" i="116"/>
  <c r="AB54" i="119"/>
  <c r="FW63" i="116"/>
  <c r="CN65" i="116"/>
  <c r="F43" i="120"/>
  <c r="K24" i="120"/>
  <c r="F19" i="120"/>
  <c r="K19" i="120" s="1"/>
  <c r="Q14" i="121"/>
  <c r="Q12" i="121" s="1"/>
  <c r="P14" i="121"/>
  <c r="R14" i="121"/>
  <c r="R12" i="121" s="1"/>
  <c r="M14" i="121"/>
  <c r="M12" i="121" s="1"/>
  <c r="L14" i="121"/>
  <c r="L12" i="121" s="1"/>
  <c r="K12" i="121"/>
  <c r="EX65" i="116"/>
  <c r="EV64" i="116"/>
  <c r="FY63" i="116"/>
  <c r="AD54" i="119"/>
  <c r="DQ64" i="116"/>
  <c r="DH65" i="116"/>
  <c r="DF64" i="116"/>
  <c r="DO22" i="116"/>
  <c r="DX22" i="116" s="1"/>
  <c r="EA21" i="116"/>
  <c r="DX21" i="116"/>
  <c r="FG65" i="116"/>
  <c r="FE64" i="116"/>
  <c r="K27" i="120"/>
  <c r="FP64" i="116"/>
  <c r="EO65" i="116"/>
  <c r="EM64" i="116"/>
  <c r="GB25" i="116"/>
  <c r="GK25" i="116" s="1"/>
  <c r="GK19" i="116"/>
  <c r="DZ63" i="116"/>
  <c r="X54" i="119"/>
  <c r="I27" i="120"/>
  <c r="I24" i="120" s="1"/>
  <c r="I19" i="120" s="1"/>
  <c r="GK21" i="116"/>
  <c r="GB22" i="116"/>
  <c r="GK22" i="116" s="1"/>
  <c r="FZ25" i="116"/>
  <c r="GI25" i="116" s="1"/>
  <c r="GI19" i="116"/>
  <c r="CY65" i="116"/>
  <c r="CW64" i="116"/>
  <c r="AC48" i="66"/>
  <c r="CW65" i="116" l="1"/>
  <c r="EA22" i="116"/>
  <c r="EJ22" i="116" s="1"/>
  <c r="EJ21" i="116"/>
  <c r="FZ21" i="116"/>
  <c r="DF65" i="116"/>
  <c r="X55" i="119"/>
  <c r="DQ65" i="116"/>
  <c r="DZ64" i="116"/>
  <c r="N14" i="121"/>
  <c r="O14" i="121" s="1"/>
  <c r="M30" i="121"/>
  <c r="M8" i="121"/>
  <c r="S14" i="121"/>
  <c r="P12" i="121"/>
  <c r="EM65" i="116"/>
  <c r="FN64" i="116"/>
  <c r="AD55" i="119"/>
  <c r="FP65" i="116"/>
  <c r="FY64" i="116"/>
  <c r="FE65" i="116"/>
  <c r="EV65" i="116"/>
  <c r="K30" i="121"/>
  <c r="N12" i="121"/>
  <c r="O12" i="121" s="1"/>
  <c r="K8" i="121"/>
  <c r="L30" i="121"/>
  <c r="N30" i="121" s="1"/>
  <c r="L8" i="121"/>
  <c r="R30" i="121"/>
  <c r="R8" i="121"/>
  <c r="Q30" i="121"/>
  <c r="Q8" i="121"/>
  <c r="DO64" i="116"/>
  <c r="B14" i="113"/>
  <c r="L19" i="118" s="1"/>
  <c r="T14" i="121" l="1"/>
  <c r="DX64" i="116"/>
  <c r="DO65" i="116"/>
  <c r="V55" i="119"/>
  <c r="DX70" i="116"/>
  <c r="N8" i="121"/>
  <c r="O8" i="121" s="1"/>
  <c r="FY65" i="116"/>
  <c r="AD56" i="119"/>
  <c r="AB55" i="119"/>
  <c r="FW70" i="116"/>
  <c r="FW64" i="116"/>
  <c r="FN65" i="116"/>
  <c r="S12" i="121"/>
  <c r="T12" i="121" s="1"/>
  <c r="P30" i="121"/>
  <c r="S30" i="121" s="1"/>
  <c r="P8" i="121"/>
  <c r="S8" i="121" s="1"/>
  <c r="DZ65" i="116"/>
  <c r="X56" i="119"/>
  <c r="GI21" i="116"/>
  <c r="FZ22" i="116"/>
  <c r="GI22" i="116" s="1"/>
  <c r="B176" i="113"/>
  <c r="B215" i="113" s="1"/>
  <c r="V56" i="119" l="1"/>
  <c r="DX65" i="116"/>
  <c r="AB56" i="119"/>
  <c r="FW65" i="116"/>
  <c r="T8" i="121"/>
  <c r="CH172" i="113"/>
  <c r="FQ24" i="114" l="1"/>
  <c r="GC24" i="114" s="1"/>
  <c r="FQ25" i="114"/>
  <c r="FQ29" i="114"/>
  <c r="GC29" i="114" s="1"/>
  <c r="GI29" i="114" s="1"/>
  <c r="FQ28" i="114"/>
  <c r="FW28" i="114" s="1"/>
  <c r="FQ30" i="114"/>
  <c r="FW30" i="114" s="1"/>
  <c r="FQ27" i="114"/>
  <c r="FQ26" i="114"/>
  <c r="FQ31" i="114"/>
  <c r="GC28" i="114" l="1"/>
  <c r="GI28" i="114" s="1"/>
  <c r="FW29" i="114"/>
  <c r="FW31" i="114"/>
  <c r="FQ32" i="114"/>
  <c r="FW32" i="114" s="1"/>
  <c r="FQ35" i="114"/>
  <c r="FW35" i="114" s="1"/>
  <c r="FW25" i="114"/>
  <c r="FQ34" i="114"/>
  <c r="FW34" i="114" s="1"/>
  <c r="FQ33" i="114"/>
  <c r="FW33" i="114" s="1"/>
  <c r="FW27" i="114"/>
  <c r="FQ36" i="114"/>
  <c r="FW36" i="114" s="1"/>
  <c r="GI24" i="114"/>
  <c r="GC33" i="114"/>
  <c r="GI33" i="114" s="1"/>
  <c r="GC26" i="114"/>
  <c r="GC27" i="114"/>
  <c r="GC31" i="114"/>
  <c r="GC32" i="114" s="1"/>
  <c r="GI32" i="114" s="1"/>
  <c r="GC30" i="114"/>
  <c r="GI30" i="114" s="1"/>
  <c r="GC25" i="114"/>
  <c r="GC34" i="114" s="1"/>
  <c r="GI34" i="114" s="1"/>
  <c r="FW26" i="114"/>
  <c r="FW24" i="114"/>
  <c r="GI26" i="114" l="1"/>
  <c r="GC35" i="114"/>
  <c r="GI35" i="114" s="1"/>
  <c r="GI27" i="114"/>
  <c r="GC36" i="114"/>
  <c r="GI36" i="114" s="1"/>
  <c r="GI25" i="114"/>
  <c r="GI31" i="114"/>
  <c r="CD137" i="113" l="1"/>
  <c r="CD136" i="113"/>
  <c r="CD131" i="113"/>
  <c r="CD130" i="113"/>
  <c r="CH244" i="113"/>
  <c r="CC130" i="113"/>
  <c r="CD129" i="113"/>
  <c r="CH233" i="113"/>
  <c r="CD128" i="113"/>
  <c r="CH231" i="113"/>
  <c r="CC128" i="113"/>
  <c r="CD127" i="113"/>
  <c r="CH196" i="113"/>
  <c r="CH229" i="113"/>
  <c r="CD126" i="113"/>
  <c r="CD133" i="113"/>
  <c r="CC131" i="113"/>
  <c r="CH239" i="113"/>
  <c r="CC137" i="113"/>
  <c r="CH259" i="113"/>
  <c r="CC126" i="113"/>
  <c r="CH256" i="113"/>
  <c r="CH250" i="113"/>
  <c r="CH255" i="113"/>
  <c r="CC136" i="113"/>
  <c r="CC129" i="113"/>
  <c r="CC127" i="113"/>
  <c r="CD135" i="113"/>
  <c r="CC133" i="113"/>
  <c r="CC135" i="113"/>
  <c r="CI135" i="113" l="1"/>
  <c r="CC256" i="113"/>
  <c r="CJ135" i="113"/>
  <c r="CD256" i="113"/>
  <c r="CI129" i="113"/>
  <c r="CC233" i="113"/>
  <c r="CI233" i="113" s="1"/>
  <c r="CJ133" i="113"/>
  <c r="CD252" i="113"/>
  <c r="CJ127" i="113"/>
  <c r="CD229" i="113"/>
  <c r="CJ229" i="113" s="1"/>
  <c r="CD196" i="113"/>
  <c r="CJ196" i="113" s="1"/>
  <c r="CI130" i="113"/>
  <c r="CC244" i="113"/>
  <c r="CI244" i="113" s="1"/>
  <c r="CJ130" i="113"/>
  <c r="CD244" i="113"/>
  <c r="CJ244" i="113" s="1"/>
  <c r="CJ136" i="113"/>
  <c r="CD258" i="113"/>
  <c r="CJ258" i="113" s="1"/>
  <c r="CI133" i="113"/>
  <c r="CC252" i="113"/>
  <c r="CI127" i="113"/>
  <c r="CC196" i="113"/>
  <c r="CI196" i="113" s="1"/>
  <c r="CC229" i="113"/>
  <c r="CI229" i="113" s="1"/>
  <c r="CI136" i="113"/>
  <c r="CC258" i="113"/>
  <c r="CI258" i="113" s="1"/>
  <c r="CI126" i="113"/>
  <c r="CC228" i="113"/>
  <c r="CI228" i="113" s="1"/>
  <c r="CC195" i="113"/>
  <c r="CI137" i="113"/>
  <c r="CC259" i="113"/>
  <c r="CI259" i="113" s="1"/>
  <c r="CI131" i="113"/>
  <c r="CC239" i="113"/>
  <c r="CI239" i="113" s="1"/>
  <c r="CJ126" i="113"/>
  <c r="CD195" i="113"/>
  <c r="CD228" i="113"/>
  <c r="CI128" i="113"/>
  <c r="CC231" i="113"/>
  <c r="CI231" i="113" s="1"/>
  <c r="CJ128" i="113"/>
  <c r="CD231" i="113"/>
  <c r="CJ231" i="113" s="1"/>
  <c r="CJ129" i="113"/>
  <c r="CD233" i="113"/>
  <c r="CJ233" i="113" s="1"/>
  <c r="CJ131" i="113"/>
  <c r="CD239" i="113"/>
  <c r="CJ239" i="113" s="1"/>
  <c r="CJ137" i="113"/>
  <c r="CD259" i="113"/>
  <c r="CJ259" i="113" s="1"/>
  <c r="CH198" i="113"/>
  <c r="CC132" i="113"/>
  <c r="CI132" i="113" s="1"/>
  <c r="C133" i="113"/>
  <c r="C252" i="113" s="1"/>
  <c r="C250" i="113" s="1"/>
  <c r="D135" i="113"/>
  <c r="D256" i="113" s="1"/>
  <c r="C129" i="113"/>
  <c r="C233" i="113" s="1"/>
  <c r="C126" i="113"/>
  <c r="CD132" i="113"/>
  <c r="CJ132" i="113" s="1"/>
  <c r="D133" i="113"/>
  <c r="D252" i="113" s="1"/>
  <c r="D250" i="113" s="1"/>
  <c r="D126" i="113"/>
  <c r="C128" i="113"/>
  <c r="C231" i="113" s="1"/>
  <c r="D129" i="113"/>
  <c r="D233" i="113" s="1"/>
  <c r="D130" i="113"/>
  <c r="D244" i="113" s="1"/>
  <c r="D131" i="113"/>
  <c r="D239" i="113" s="1"/>
  <c r="CC134" i="113"/>
  <c r="CI134" i="113" s="1"/>
  <c r="C135" i="113"/>
  <c r="C256" i="113" s="1"/>
  <c r="C127" i="113"/>
  <c r="C136" i="113"/>
  <c r="C258" i="113" s="1"/>
  <c r="C137" i="113"/>
  <c r="C259" i="113" s="1"/>
  <c r="C131" i="113"/>
  <c r="C239" i="113" s="1"/>
  <c r="D127" i="113"/>
  <c r="D128" i="113"/>
  <c r="D231" i="113" s="1"/>
  <c r="C130" i="113"/>
  <c r="C244" i="113" s="1"/>
  <c r="D136" i="113"/>
  <c r="D258" i="113" s="1"/>
  <c r="D137" i="113"/>
  <c r="D259" i="113" s="1"/>
  <c r="CD134" i="113"/>
  <c r="CJ134" i="113" s="1"/>
  <c r="CH258" i="113"/>
  <c r="CH252" i="113"/>
  <c r="CH195" i="113"/>
  <c r="CH260" i="113"/>
  <c r="CH228" i="113"/>
  <c r="D229" i="113" l="1"/>
  <c r="D196" i="113"/>
  <c r="D51" i="114" s="1"/>
  <c r="C196" i="113"/>
  <c r="C51" i="114" s="1"/>
  <c r="C229" i="113"/>
  <c r="C228" i="113"/>
  <c r="C195" i="113"/>
  <c r="C50" i="114" s="1"/>
  <c r="D255" i="113"/>
  <c r="CJ228" i="113"/>
  <c r="CJ252" i="113"/>
  <c r="CD250" i="113"/>
  <c r="CJ250" i="113" s="1"/>
  <c r="CD255" i="113"/>
  <c r="CJ255" i="113" s="1"/>
  <c r="CJ256" i="113"/>
  <c r="CC255" i="113"/>
  <c r="CI256" i="113"/>
  <c r="C255" i="113"/>
  <c r="D195" i="113"/>
  <c r="D50" i="114" s="1"/>
  <c r="D228" i="113"/>
  <c r="CJ195" i="113"/>
  <c r="CD198" i="113"/>
  <c r="CJ198" i="113" s="1"/>
  <c r="CI195" i="113"/>
  <c r="CC198" i="113"/>
  <c r="CI198" i="113" s="1"/>
  <c r="CI252" i="113"/>
  <c r="CC250" i="113"/>
  <c r="CI250" i="113" s="1"/>
  <c r="S131" i="113"/>
  <c r="S130" i="113"/>
  <c r="S129" i="113"/>
  <c r="R128" i="113"/>
  <c r="R231" i="113" s="1"/>
  <c r="B128" i="113"/>
  <c r="S126" i="113"/>
  <c r="S133" i="113"/>
  <c r="D132" i="113"/>
  <c r="S137" i="113"/>
  <c r="S136" i="113"/>
  <c r="B130" i="113"/>
  <c r="R130" i="113"/>
  <c r="R244" i="113" s="1"/>
  <c r="S128" i="113"/>
  <c r="S127" i="113"/>
  <c r="B131" i="113"/>
  <c r="R131" i="113"/>
  <c r="R239" i="113" s="1"/>
  <c r="B137" i="113"/>
  <c r="R137" i="113"/>
  <c r="R259" i="113" s="1"/>
  <c r="AG137" i="113"/>
  <c r="R136" i="113"/>
  <c r="R258" i="113" s="1"/>
  <c r="B136" i="113"/>
  <c r="B127" i="113"/>
  <c r="B196" i="113" s="1"/>
  <c r="R127" i="113"/>
  <c r="B135" i="113"/>
  <c r="R135" i="113"/>
  <c r="R256" i="113" s="1"/>
  <c r="C134" i="113"/>
  <c r="B126" i="113"/>
  <c r="B195" i="113" s="1"/>
  <c r="R126" i="113"/>
  <c r="B129" i="113"/>
  <c r="R129" i="113"/>
  <c r="S135" i="113"/>
  <c r="S256" i="113" s="1"/>
  <c r="D134" i="113"/>
  <c r="B133" i="113"/>
  <c r="R133" i="113"/>
  <c r="C132" i="113"/>
  <c r="CB134" i="113"/>
  <c r="CH134" i="113" s="1"/>
  <c r="CB132" i="113"/>
  <c r="CH132" i="113" s="1"/>
  <c r="AG131" i="113" l="1"/>
  <c r="C260" i="113"/>
  <c r="AH135" i="113"/>
  <c r="AN135" i="113" s="1"/>
  <c r="R255" i="113"/>
  <c r="D260" i="113"/>
  <c r="AH256" i="113"/>
  <c r="AM137" i="113"/>
  <c r="AG259" i="113"/>
  <c r="AM259" i="113" s="1"/>
  <c r="AM131" i="113"/>
  <c r="AG239" i="113"/>
  <c r="AM239" i="113" s="1"/>
  <c r="S229" i="113"/>
  <c r="S196" i="113"/>
  <c r="AQ51" i="114" s="1"/>
  <c r="AH136" i="113"/>
  <c r="S258" i="113"/>
  <c r="AH126" i="113"/>
  <c r="S228" i="113"/>
  <c r="S195" i="113"/>
  <c r="AQ50" i="114" s="1"/>
  <c r="AH130" i="113"/>
  <c r="AQ130" i="113" s="1"/>
  <c r="S244" i="113"/>
  <c r="CI255" i="113"/>
  <c r="CC260" i="113"/>
  <c r="CI260" i="113" s="1"/>
  <c r="CD260" i="113"/>
  <c r="CJ260" i="113" s="1"/>
  <c r="L50" i="114"/>
  <c r="B50" i="114"/>
  <c r="M51" i="114"/>
  <c r="V51" i="114" s="1"/>
  <c r="AG133" i="113"/>
  <c r="AP133" i="113" s="1"/>
  <c r="AP252" i="113" s="1"/>
  <c r="AP250" i="113" s="1"/>
  <c r="R252" i="113"/>
  <c r="R250" i="113" s="1"/>
  <c r="R196" i="113"/>
  <c r="AP51" i="114" s="1"/>
  <c r="R229" i="113"/>
  <c r="Q129" i="113"/>
  <c r="Q233" i="113" s="1"/>
  <c r="R233" i="113"/>
  <c r="R228" i="113"/>
  <c r="R195" i="113"/>
  <c r="AP50" i="114" s="1"/>
  <c r="AH128" i="113"/>
  <c r="S231" i="113"/>
  <c r="AH137" i="113"/>
  <c r="AQ137" i="113" s="1"/>
  <c r="S259" i="113"/>
  <c r="S132" i="113"/>
  <c r="AH132" i="113" s="1"/>
  <c r="AN132" i="113" s="1"/>
  <c r="S252" i="113"/>
  <c r="S250" i="113" s="1"/>
  <c r="AH129" i="113"/>
  <c r="AQ129" i="113" s="1"/>
  <c r="S233" i="113"/>
  <c r="AH131" i="113"/>
  <c r="AF131" i="113" s="1"/>
  <c r="S239" i="113"/>
  <c r="M50" i="114"/>
  <c r="V50" i="114" s="1"/>
  <c r="L51" i="114"/>
  <c r="B51" i="114"/>
  <c r="Q136" i="113"/>
  <c r="Q258" i="113" s="1"/>
  <c r="Q131" i="113"/>
  <c r="Q239" i="113" s="1"/>
  <c r="AG129" i="113"/>
  <c r="AQ128" i="113"/>
  <c r="B132" i="113"/>
  <c r="B252" i="113"/>
  <c r="B250" i="113" s="1"/>
  <c r="B233" i="113"/>
  <c r="Q126" i="113"/>
  <c r="B228" i="113"/>
  <c r="B134" i="113"/>
  <c r="B256" i="113"/>
  <c r="B229" i="113"/>
  <c r="B259" i="113"/>
  <c r="AP131" i="113"/>
  <c r="B239" i="113"/>
  <c r="B244" i="113"/>
  <c r="AQ136" i="113"/>
  <c r="AQ126" i="113"/>
  <c r="AQ131" i="113"/>
  <c r="Q133" i="113"/>
  <c r="Q252" i="113" s="1"/>
  <c r="Q250" i="113" s="1"/>
  <c r="R132" i="113"/>
  <c r="AP129" i="113"/>
  <c r="AP233" i="113" s="1"/>
  <c r="Q135" i="113"/>
  <c r="Q256" i="113" s="1"/>
  <c r="R134" i="113"/>
  <c r="AG134" i="113" s="1"/>
  <c r="AM134" i="113" s="1"/>
  <c r="B258" i="113"/>
  <c r="AF137" i="113"/>
  <c r="AP137" i="113"/>
  <c r="AP259" i="113" s="1"/>
  <c r="B231" i="113"/>
  <c r="Q128" i="113"/>
  <c r="Q231" i="113" s="1"/>
  <c r="C125" i="113"/>
  <c r="C194" i="113" s="1"/>
  <c r="AG126" i="113"/>
  <c r="AG135" i="113"/>
  <c r="Q127" i="113"/>
  <c r="AG127" i="113"/>
  <c r="AG136" i="113"/>
  <c r="Q137" i="113"/>
  <c r="Q259" i="113" s="1"/>
  <c r="AH127" i="113"/>
  <c r="Q130" i="113"/>
  <c r="Q244" i="113" s="1"/>
  <c r="AG130" i="113"/>
  <c r="S134" i="113"/>
  <c r="S125" i="113" s="1"/>
  <c r="AH133" i="113"/>
  <c r="D125" i="113"/>
  <c r="D194" i="113" s="1"/>
  <c r="AG128" i="113"/>
  <c r="AF129" i="113" l="1"/>
  <c r="AQ135" i="113"/>
  <c r="S255" i="113"/>
  <c r="S260" i="113" s="1"/>
  <c r="Q132" i="113"/>
  <c r="R260" i="113"/>
  <c r="AE50" i="114"/>
  <c r="S118" i="113"/>
  <c r="S153" i="113" s="1"/>
  <c r="S155" i="113" s="1"/>
  <c r="S194" i="113"/>
  <c r="AN133" i="113"/>
  <c r="AH252" i="113"/>
  <c r="AN127" i="113"/>
  <c r="AH196" i="113"/>
  <c r="AN196" i="113" s="1"/>
  <c r="AH229" i="113"/>
  <c r="AN229" i="113" s="1"/>
  <c r="AM128" i="113"/>
  <c r="AG231" i="113"/>
  <c r="AM231" i="113" s="1"/>
  <c r="D198" i="113"/>
  <c r="D53" i="114" s="1"/>
  <c r="D49" i="114"/>
  <c r="D214" i="113"/>
  <c r="D216" i="113" s="1"/>
  <c r="AM127" i="113"/>
  <c r="AG229" i="113"/>
  <c r="AM229" i="113" s="1"/>
  <c r="AG196" i="113"/>
  <c r="AM196" i="113" s="1"/>
  <c r="AM135" i="113"/>
  <c r="AG256" i="113"/>
  <c r="C49" i="114"/>
  <c r="C198" i="113"/>
  <c r="C53" i="114" s="1"/>
  <c r="C214" i="113"/>
  <c r="C216" i="113" s="1"/>
  <c r="Q255" i="113"/>
  <c r="AL129" i="113"/>
  <c r="AF233" i="113"/>
  <c r="BO131" i="113"/>
  <c r="BO239" i="113" s="1"/>
  <c r="AQ239" i="113"/>
  <c r="BO129" i="113"/>
  <c r="BO233" i="113" s="1"/>
  <c r="AQ233" i="113"/>
  <c r="BO136" i="113"/>
  <c r="BO258" i="113" s="1"/>
  <c r="AQ258" i="113"/>
  <c r="AL131" i="113"/>
  <c r="AF239" i="113"/>
  <c r="Q228" i="113"/>
  <c r="Q195" i="113"/>
  <c r="BO128" i="113"/>
  <c r="BO231" i="113" s="1"/>
  <c r="AQ231" i="113"/>
  <c r="K51" i="114"/>
  <c r="U51" i="114"/>
  <c r="AN131" i="113"/>
  <c r="AH239" i="113"/>
  <c r="AN239" i="113" s="1"/>
  <c r="AN129" i="113"/>
  <c r="AH233" i="113"/>
  <c r="AN233" i="113" s="1"/>
  <c r="AN137" i="113"/>
  <c r="AH259" i="113"/>
  <c r="AN259" i="113" s="1"/>
  <c r="AN128" i="113"/>
  <c r="AH231" i="113"/>
  <c r="AN231" i="113" s="1"/>
  <c r="AO51" i="114"/>
  <c r="AY51" i="114"/>
  <c r="AE51" i="114"/>
  <c r="K50" i="114"/>
  <c r="U50" i="114"/>
  <c r="AZ50" i="114"/>
  <c r="BI50" i="114" s="1"/>
  <c r="AN126" i="113"/>
  <c r="AH195" i="113"/>
  <c r="AN195" i="113" s="1"/>
  <c r="AH228" i="113"/>
  <c r="AN136" i="113"/>
  <c r="AH258" i="113"/>
  <c r="AN258" i="113" s="1"/>
  <c r="AN256" i="113"/>
  <c r="AM130" i="113"/>
  <c r="AG244" i="113"/>
  <c r="AM244" i="113" s="1"/>
  <c r="AM136" i="113"/>
  <c r="AG258" i="113"/>
  <c r="AM258" i="113" s="1"/>
  <c r="Q196" i="113"/>
  <c r="Q229" i="113"/>
  <c r="AM126" i="113"/>
  <c r="AG228" i="113"/>
  <c r="AM228" i="113" s="1"/>
  <c r="AG195" i="113"/>
  <c r="AM195" i="113" s="1"/>
  <c r="AL137" i="113"/>
  <c r="AF259" i="113"/>
  <c r="BF135" i="113"/>
  <c r="AQ256" i="113"/>
  <c r="BO130" i="113"/>
  <c r="BO244" i="113" s="1"/>
  <c r="AQ244" i="113"/>
  <c r="AQ228" i="113"/>
  <c r="AQ195" i="113"/>
  <c r="CP50" i="114" s="1"/>
  <c r="BE131" i="113"/>
  <c r="AP239" i="113"/>
  <c r="BO137" i="113"/>
  <c r="BO259" i="113" s="1"/>
  <c r="AQ259" i="113"/>
  <c r="AM129" i="113"/>
  <c r="AG233" i="113"/>
  <c r="AM233" i="113" s="1"/>
  <c r="N37" i="118"/>
  <c r="AN50" i="114"/>
  <c r="AO50" i="114"/>
  <c r="AY50" i="114"/>
  <c r="AM133" i="113"/>
  <c r="AG252" i="113"/>
  <c r="AN130" i="113"/>
  <c r="AH244" i="113"/>
  <c r="AN244" i="113" s="1"/>
  <c r="AZ51" i="114"/>
  <c r="BI51" i="114" s="1"/>
  <c r="B255" i="113"/>
  <c r="B260" i="113" s="1"/>
  <c r="D118" i="113"/>
  <c r="D153" i="113" s="1"/>
  <c r="D155" i="113" s="1"/>
  <c r="AH125" i="113"/>
  <c r="AF130" i="113"/>
  <c r="AP130" i="113"/>
  <c r="AP244" i="113" s="1"/>
  <c r="AF135" i="113"/>
  <c r="AP135" i="113"/>
  <c r="AP256" i="113" s="1"/>
  <c r="AF126" i="113"/>
  <c r="AP126" i="113"/>
  <c r="AO137" i="113"/>
  <c r="AO259" i="113" s="1"/>
  <c r="BN137" i="113"/>
  <c r="BO126" i="113"/>
  <c r="AQ133" i="113"/>
  <c r="AF136" i="113"/>
  <c r="AP136" i="113"/>
  <c r="C118" i="113"/>
  <c r="C153" i="113" s="1"/>
  <c r="C155" i="113" s="1"/>
  <c r="B125" i="113"/>
  <c r="B194" i="113" s="1"/>
  <c r="AL259" i="113"/>
  <c r="AO129" i="113"/>
  <c r="AO233" i="113" s="1"/>
  <c r="BN129" i="113"/>
  <c r="Q134" i="113"/>
  <c r="BE129" i="113"/>
  <c r="BF131" i="113"/>
  <c r="BF239" i="113" s="1"/>
  <c r="BL239" i="113" s="1"/>
  <c r="BF130" i="113"/>
  <c r="BF129" i="113"/>
  <c r="BF126" i="113"/>
  <c r="BF136" i="113"/>
  <c r="AH134" i="113"/>
  <c r="AN134" i="113" s="1"/>
  <c r="AF133" i="113"/>
  <c r="AG132" i="113"/>
  <c r="AM132" i="113" s="1"/>
  <c r="BF137" i="113"/>
  <c r="BF128" i="113"/>
  <c r="AF128" i="113"/>
  <c r="AP128" i="113"/>
  <c r="AQ127" i="113"/>
  <c r="AF127" i="113"/>
  <c r="AP127" i="113"/>
  <c r="AL233" i="113"/>
  <c r="AQ134" i="113"/>
  <c r="BO135" i="113"/>
  <c r="AO131" i="113"/>
  <c r="AO239" i="113" s="1"/>
  <c r="BN131" i="113"/>
  <c r="AL239" i="113"/>
  <c r="AF134" i="113"/>
  <c r="AL134" i="113" s="1"/>
  <c r="AO133" i="113"/>
  <c r="AO252" i="113" s="1"/>
  <c r="AO250" i="113" s="1"/>
  <c r="BN133" i="113"/>
  <c r="BN252" i="113" s="1"/>
  <c r="BN250" i="113" s="1"/>
  <c r="AP132" i="113"/>
  <c r="BE137" i="113"/>
  <c r="BE259" i="113" s="1"/>
  <c r="BK259" i="113" s="1"/>
  <c r="R125" i="113"/>
  <c r="BE133" i="113"/>
  <c r="AH255" i="113" l="1"/>
  <c r="AN255" i="113" s="1"/>
  <c r="BR50" i="114"/>
  <c r="BM131" i="113"/>
  <c r="BM239" i="113" s="1"/>
  <c r="BN239" i="113"/>
  <c r="BO134" i="113"/>
  <c r="BO256" i="113"/>
  <c r="BO255" i="113" s="1"/>
  <c r="AL127" i="113"/>
  <c r="AF196" i="113"/>
  <c r="AL196" i="113" s="1"/>
  <c r="AF229" i="113"/>
  <c r="BE128" i="113"/>
  <c r="BE231" i="113" s="1"/>
  <c r="BK231" i="113" s="1"/>
  <c r="AP231" i="113"/>
  <c r="BL128" i="113"/>
  <c r="BF231" i="113"/>
  <c r="BL231" i="113" s="1"/>
  <c r="BL126" i="113"/>
  <c r="BF195" i="113"/>
  <c r="BL195" i="113" s="1"/>
  <c r="BF228" i="113"/>
  <c r="BL130" i="113"/>
  <c r="BF244" i="113"/>
  <c r="BL244" i="113" s="1"/>
  <c r="BK129" i="113"/>
  <c r="BE233" i="113"/>
  <c r="BK233" i="113" s="1"/>
  <c r="BM129" i="113"/>
  <c r="BM233" i="113" s="1"/>
  <c r="BN233" i="113"/>
  <c r="AL136" i="113"/>
  <c r="AF258" i="113"/>
  <c r="AL258" i="113" s="1"/>
  <c r="BO228" i="113"/>
  <c r="BO195" i="113"/>
  <c r="EO50" i="114" s="1"/>
  <c r="AL126" i="113"/>
  <c r="AF228" i="113"/>
  <c r="AF195" i="113"/>
  <c r="AL135" i="113"/>
  <c r="AF256" i="113"/>
  <c r="AL130" i="113"/>
  <c r="AF244" i="113"/>
  <c r="BR51" i="114"/>
  <c r="Q38" i="118" s="1"/>
  <c r="BH50" i="114"/>
  <c r="AX50" i="114"/>
  <c r="BK131" i="113"/>
  <c r="BE239" i="113"/>
  <c r="BK239" i="113" s="1"/>
  <c r="BL135" i="113"/>
  <c r="BF256" i="113"/>
  <c r="AN228" i="113"/>
  <c r="L49" i="114"/>
  <c r="B49" i="114"/>
  <c r="C69" i="114"/>
  <c r="M53" i="114"/>
  <c r="V53" i="114" s="1"/>
  <c r="AN252" i="113"/>
  <c r="AH250" i="113"/>
  <c r="AN250" i="113" s="1"/>
  <c r="S198" i="113"/>
  <c r="AQ53" i="114" s="1"/>
  <c r="AQ49" i="114"/>
  <c r="S214" i="113"/>
  <c r="S216" i="113" s="1"/>
  <c r="BK133" i="113"/>
  <c r="BE252" i="113"/>
  <c r="R118" i="113"/>
  <c r="R194" i="113"/>
  <c r="AP229" i="113"/>
  <c r="AP196" i="113"/>
  <c r="CO51" i="114" s="1"/>
  <c r="BF127" i="113"/>
  <c r="AQ229" i="113"/>
  <c r="AQ196" i="113"/>
  <c r="CP51" i="114" s="1"/>
  <c r="AL128" i="113"/>
  <c r="AF231" i="113"/>
  <c r="BL137" i="113"/>
  <c r="BF259" i="113"/>
  <c r="BL259" i="113" s="1"/>
  <c r="AL133" i="113"/>
  <c r="AF252" i="113"/>
  <c r="AF250" i="113" s="1"/>
  <c r="BL136" i="113"/>
  <c r="BF258" i="113"/>
  <c r="BL258" i="113" s="1"/>
  <c r="BL129" i="113"/>
  <c r="BF233" i="113"/>
  <c r="BL233" i="113" s="1"/>
  <c r="B198" i="113"/>
  <c r="B214" i="113"/>
  <c r="BE136" i="113"/>
  <c r="BD136" i="113" s="1"/>
  <c r="AP258" i="113"/>
  <c r="BF133" i="113"/>
  <c r="AQ252" i="113"/>
  <c r="AQ250" i="113" s="1"/>
  <c r="BM137" i="113"/>
  <c r="BM259" i="113" s="1"/>
  <c r="BN259" i="113"/>
  <c r="BE126" i="113"/>
  <c r="AP195" i="113"/>
  <c r="CO50" i="114" s="1"/>
  <c r="AP228" i="113"/>
  <c r="AP255" i="113"/>
  <c r="AN125" i="113"/>
  <c r="AH194" i="113"/>
  <c r="AM252" i="113"/>
  <c r="AG250" i="113"/>
  <c r="AM250" i="113" s="1"/>
  <c r="CY50" i="114"/>
  <c r="DH50" i="114" s="1"/>
  <c r="AQ255" i="113"/>
  <c r="T50" i="114"/>
  <c r="AC50" i="114" s="1"/>
  <c r="AD50" i="114"/>
  <c r="N38" i="118"/>
  <c r="AN51" i="114"/>
  <c r="CD51" i="114"/>
  <c r="BH51" i="114"/>
  <c r="BG51" i="114" s="1"/>
  <c r="AX51" i="114"/>
  <c r="T51" i="114"/>
  <c r="AC51" i="114" s="1"/>
  <c r="AD51" i="114"/>
  <c r="Q260" i="113"/>
  <c r="L53" i="114"/>
  <c r="B53" i="114"/>
  <c r="AG255" i="113"/>
  <c r="AM256" i="113"/>
  <c r="M49" i="114"/>
  <c r="D69" i="114"/>
  <c r="BD137" i="113"/>
  <c r="BK137" i="113"/>
  <c r="BD128" i="113"/>
  <c r="BK128" i="113"/>
  <c r="BD131" i="113"/>
  <c r="BL131" i="113"/>
  <c r="BD126" i="113"/>
  <c r="Q118" i="113"/>
  <c r="R153" i="113"/>
  <c r="B153" i="113"/>
  <c r="AH153" i="113"/>
  <c r="Q125" i="113"/>
  <c r="Q194" i="113" s="1"/>
  <c r="AG118" i="113"/>
  <c r="AM118" i="113" s="1"/>
  <c r="BN132" i="113"/>
  <c r="AL229" i="113"/>
  <c r="BO127" i="113"/>
  <c r="BN128" i="113"/>
  <c r="AO128" i="113"/>
  <c r="AO231" i="113" s="1"/>
  <c r="AL231" i="113"/>
  <c r="BN136" i="113"/>
  <c r="AO136" i="113"/>
  <c r="AO258" i="113" s="1"/>
  <c r="AO135" i="113"/>
  <c r="AO256" i="113" s="1"/>
  <c r="BN135" i="113"/>
  <c r="BN256" i="113" s="1"/>
  <c r="AP134" i="113"/>
  <c r="AL244" i="113"/>
  <c r="AH118" i="113"/>
  <c r="AN118" i="113" s="1"/>
  <c r="BD133" i="113"/>
  <c r="BF134" i="113"/>
  <c r="BL134" i="113" s="1"/>
  <c r="BE135" i="113"/>
  <c r="BE256" i="113" s="1"/>
  <c r="AO127" i="113"/>
  <c r="BN127" i="113"/>
  <c r="BE132" i="113"/>
  <c r="BK132" i="113" s="1"/>
  <c r="AF132" i="113"/>
  <c r="AL132" i="113" s="1"/>
  <c r="B118" i="113"/>
  <c r="BO133" i="113"/>
  <c r="AQ132" i="113"/>
  <c r="AQ125" i="113" s="1"/>
  <c r="BN126" i="113"/>
  <c r="AO126" i="113"/>
  <c r="AL195" i="113"/>
  <c r="BN130" i="113"/>
  <c r="AO130" i="113"/>
  <c r="AO244" i="113" s="1"/>
  <c r="BE127" i="113"/>
  <c r="BD129" i="113"/>
  <c r="AG125" i="113"/>
  <c r="BE130" i="113"/>
  <c r="BE244" i="113" s="1"/>
  <c r="BK244" i="113" s="1"/>
  <c r="AO255" i="113" l="1"/>
  <c r="AP260" i="113"/>
  <c r="DQ50" i="114"/>
  <c r="AE53" i="114"/>
  <c r="AN53" i="114" s="1"/>
  <c r="Q37" i="118"/>
  <c r="CD50" i="114"/>
  <c r="T37" i="118" s="1"/>
  <c r="BJ136" i="113"/>
  <c r="BD258" i="113"/>
  <c r="BN195" i="113"/>
  <c r="EN50" i="114" s="1"/>
  <c r="BN228" i="113"/>
  <c r="BO132" i="113"/>
  <c r="BO125" i="113" s="1"/>
  <c r="BO252" i="113"/>
  <c r="BO250" i="113" s="1"/>
  <c r="AM125" i="113"/>
  <c r="AG194" i="113"/>
  <c r="BE196" i="113"/>
  <c r="BK196" i="113" s="1"/>
  <c r="BE229" i="113"/>
  <c r="BK229" i="113" s="1"/>
  <c r="BM130" i="113"/>
  <c r="BM244" i="113" s="1"/>
  <c r="BN244" i="113"/>
  <c r="AO228" i="113"/>
  <c r="AO260" i="113" s="1"/>
  <c r="AO195" i="113"/>
  <c r="BF125" i="113"/>
  <c r="AQ194" i="113"/>
  <c r="BN229" i="113"/>
  <c r="BN196" i="113"/>
  <c r="EN51" i="114" s="1"/>
  <c r="BK256" i="113"/>
  <c r="BJ133" i="113"/>
  <c r="BD252" i="113"/>
  <c r="BD250" i="113" s="1"/>
  <c r="BM136" i="113"/>
  <c r="BM258" i="113" s="1"/>
  <c r="BN258" i="113"/>
  <c r="BN255" i="113" s="1"/>
  <c r="BO229" i="113"/>
  <c r="BO196" i="113"/>
  <c r="EO51" i="114" s="1"/>
  <c r="D74" i="114"/>
  <c r="D71" i="114"/>
  <c r="V49" i="114"/>
  <c r="M69" i="114"/>
  <c r="AM255" i="113"/>
  <c r="AG260" i="113"/>
  <c r="AM260" i="113" s="1"/>
  <c r="AL51" i="114"/>
  <c r="L38" i="118"/>
  <c r="BP51" i="114"/>
  <c r="O38" i="118" s="1"/>
  <c r="AM50" i="114"/>
  <c r="M37" i="118"/>
  <c r="AQ260" i="113"/>
  <c r="BK126" i="113"/>
  <c r="BE195" i="113"/>
  <c r="BK195" i="113" s="1"/>
  <c r="BE228" i="113"/>
  <c r="BK228" i="113" s="1"/>
  <c r="BL133" i="113"/>
  <c r="BF252" i="113"/>
  <c r="BK136" i="113"/>
  <c r="BE258" i="113"/>
  <c r="BK258" i="113" s="1"/>
  <c r="CN51" i="114"/>
  <c r="CX51" i="114"/>
  <c r="AP49" i="114"/>
  <c r="R198" i="113"/>
  <c r="AP53" i="114" s="1"/>
  <c r="R214" i="113"/>
  <c r="R216" i="113" s="1"/>
  <c r="BK252" i="113"/>
  <c r="BE250" i="113"/>
  <c r="BK250" i="113" s="1"/>
  <c r="AZ53" i="114"/>
  <c r="BI53" i="114" s="1"/>
  <c r="K49" i="114"/>
  <c r="U49" i="114"/>
  <c r="L69" i="114"/>
  <c r="AH260" i="113"/>
  <c r="AN260" i="113" s="1"/>
  <c r="BG50" i="114"/>
  <c r="BP50" i="114" s="1"/>
  <c r="O37" i="118" s="1"/>
  <c r="BQ50" i="114"/>
  <c r="AF255" i="113"/>
  <c r="AF260" i="113" s="1"/>
  <c r="BJ129" i="113"/>
  <c r="BD233" i="113"/>
  <c r="AO229" i="113"/>
  <c r="AO196" i="113"/>
  <c r="BM128" i="113"/>
  <c r="BM231" i="113" s="1"/>
  <c r="BN231" i="113"/>
  <c r="Q198" i="113"/>
  <c r="Q214" i="113"/>
  <c r="BJ126" i="113"/>
  <c r="BD195" i="113"/>
  <c r="BJ195" i="113" s="1"/>
  <c r="BD228" i="113"/>
  <c r="BJ131" i="113"/>
  <c r="BD239" i="113"/>
  <c r="BJ239" i="113" s="1"/>
  <c r="BJ128" i="113"/>
  <c r="BD231" i="113"/>
  <c r="BJ231" i="113" s="1"/>
  <c r="BJ137" i="113"/>
  <c r="BD259" i="113"/>
  <c r="BJ259" i="113" s="1"/>
  <c r="U53" i="114"/>
  <c r="K53" i="114"/>
  <c r="AM51" i="114"/>
  <c r="M38" i="118"/>
  <c r="T38" i="118"/>
  <c r="AL50" i="114"/>
  <c r="L37" i="118"/>
  <c r="W37" i="118"/>
  <c r="DZ50" i="114"/>
  <c r="AH198" i="113"/>
  <c r="AN198" i="113" s="1"/>
  <c r="AN194" i="113"/>
  <c r="AH214" i="113"/>
  <c r="CX50" i="114"/>
  <c r="CN50" i="114"/>
  <c r="B216" i="113"/>
  <c r="B221" i="113"/>
  <c r="CY51" i="114"/>
  <c r="DH51" i="114" s="1"/>
  <c r="BL127" i="113"/>
  <c r="BF229" i="113"/>
  <c r="BL229" i="113" s="1"/>
  <c r="BF196" i="113"/>
  <c r="BL196" i="113" s="1"/>
  <c r="AZ49" i="114"/>
  <c r="AQ69" i="114"/>
  <c r="B69" i="114"/>
  <c r="C71" i="114"/>
  <c r="C74" i="114"/>
  <c r="BF255" i="113"/>
  <c r="BL255" i="113" s="1"/>
  <c r="BL256" i="113"/>
  <c r="EX50" i="114"/>
  <c r="FG50" i="114" s="1"/>
  <c r="BL228" i="113"/>
  <c r="BO260" i="113"/>
  <c r="BQ51" i="114"/>
  <c r="BD130" i="113"/>
  <c r="BK130" i="113"/>
  <c r="BD127" i="113"/>
  <c r="BK127" i="113"/>
  <c r="BD135" i="113"/>
  <c r="BK135" i="113"/>
  <c r="B155" i="113"/>
  <c r="B160" i="113"/>
  <c r="BM127" i="113"/>
  <c r="AH155" i="113"/>
  <c r="AN155" i="113" s="1"/>
  <c r="AN153" i="113"/>
  <c r="Q153" i="113"/>
  <c r="Q160" i="113" s="1"/>
  <c r="R155" i="113"/>
  <c r="AG153" i="113"/>
  <c r="BJ258" i="113"/>
  <c r="AL255" i="113"/>
  <c r="AL256" i="113"/>
  <c r="AF125" i="113"/>
  <c r="BM126" i="113"/>
  <c r="BF132" i="113"/>
  <c r="BL132" i="113" s="1"/>
  <c r="AF118" i="113"/>
  <c r="AL118" i="113" s="1"/>
  <c r="BM135" i="113"/>
  <c r="BM256" i="113" s="1"/>
  <c r="BN134" i="113"/>
  <c r="BM134" i="113" s="1"/>
  <c r="BJ228" i="113"/>
  <c r="AO132" i="113"/>
  <c r="BJ233" i="113"/>
  <c r="AL228" i="113"/>
  <c r="AQ118" i="113"/>
  <c r="AO134" i="113"/>
  <c r="BE134" i="113"/>
  <c r="AL252" i="113"/>
  <c r="AL250" i="113"/>
  <c r="BM133" i="113"/>
  <c r="BM252" i="113" s="1"/>
  <c r="BM250" i="113" s="1"/>
  <c r="AP125" i="113"/>
  <c r="AP194" i="113" s="1"/>
  <c r="BM255" i="113" l="1"/>
  <c r="N40" i="118"/>
  <c r="BM132" i="113"/>
  <c r="BD132" i="113"/>
  <c r="BJ132" i="113" s="1"/>
  <c r="DQ51" i="114"/>
  <c r="EC51" i="114" s="1"/>
  <c r="BN260" i="113"/>
  <c r="B71" i="114"/>
  <c r="EC50" i="114"/>
  <c r="Z37" i="118" s="1"/>
  <c r="Z38" i="118"/>
  <c r="CO49" i="114"/>
  <c r="AP198" i="113"/>
  <c r="CO53" i="114" s="1"/>
  <c r="AP214" i="113"/>
  <c r="AP216" i="113" s="1"/>
  <c r="AL125" i="113"/>
  <c r="AF194" i="113"/>
  <c r="BZ51" i="114"/>
  <c r="P38" i="118"/>
  <c r="FP50" i="114"/>
  <c r="AH216" i="113"/>
  <c r="AN216" i="113" s="1"/>
  <c r="AN214" i="113"/>
  <c r="CB50" i="114"/>
  <c r="CC51" i="114"/>
  <c r="T53" i="114"/>
  <c r="AC53" i="114" s="1"/>
  <c r="AD53" i="114"/>
  <c r="Q221" i="113"/>
  <c r="AF221" i="113" s="1"/>
  <c r="AL221" i="113" s="1"/>
  <c r="Q216" i="113"/>
  <c r="P37" i="118"/>
  <c r="BZ50" i="114"/>
  <c r="T49" i="114"/>
  <c r="AC49" i="114" s="1"/>
  <c r="U69" i="114"/>
  <c r="AD49" i="114"/>
  <c r="BR53" i="114"/>
  <c r="AO49" i="114"/>
  <c r="AY49" i="114"/>
  <c r="AP69" i="114"/>
  <c r="CW51" i="114"/>
  <c r="DG51" i="114"/>
  <c r="BL252" i="113"/>
  <c r="BF250" i="113"/>
  <c r="CC50" i="114"/>
  <c r="CB51" i="114"/>
  <c r="V69" i="114"/>
  <c r="AE49" i="114"/>
  <c r="D75" i="114"/>
  <c r="D76" i="114" s="1"/>
  <c r="EW51" i="114"/>
  <c r="EM51" i="114"/>
  <c r="AQ198" i="113"/>
  <c r="CP53" i="114" s="1"/>
  <c r="CP49" i="114"/>
  <c r="AQ214" i="113"/>
  <c r="AQ216" i="113" s="1"/>
  <c r="AG198" i="113"/>
  <c r="AM198" i="113" s="1"/>
  <c r="AM194" i="113"/>
  <c r="AG214" i="113"/>
  <c r="BM195" i="113"/>
  <c r="BM228" i="113"/>
  <c r="BM196" i="113"/>
  <c r="BM229" i="113"/>
  <c r="BJ135" i="113"/>
  <c r="BD256" i="113"/>
  <c r="BD255" i="113" s="1"/>
  <c r="BJ127" i="113"/>
  <c r="BD196" i="113"/>
  <c r="BJ196" i="113" s="1"/>
  <c r="BD229" i="113"/>
  <c r="BJ229" i="113" s="1"/>
  <c r="BJ130" i="113"/>
  <c r="BD244" i="113"/>
  <c r="BJ244" i="113" s="1"/>
  <c r="B74" i="114"/>
  <c r="C75" i="114"/>
  <c r="C76" i="114" s="1"/>
  <c r="AQ74" i="114"/>
  <c r="AQ71" i="114"/>
  <c r="BI49" i="114"/>
  <c r="BI69" i="114" s="1"/>
  <c r="AZ69" i="114"/>
  <c r="DZ51" i="114"/>
  <c r="W38" i="118"/>
  <c r="CW50" i="114"/>
  <c r="DG50" i="114"/>
  <c r="L71" i="114"/>
  <c r="K69" i="114"/>
  <c r="L74" i="114"/>
  <c r="AY53" i="114"/>
  <c r="AO53" i="114"/>
  <c r="M74" i="114"/>
  <c r="M71" i="114"/>
  <c r="EX51" i="114"/>
  <c r="FG51" i="114" s="1"/>
  <c r="BE255" i="113"/>
  <c r="BL125" i="113"/>
  <c r="BF194" i="113"/>
  <c r="BO118" i="113"/>
  <c r="BO153" i="113" s="1"/>
  <c r="BO155" i="113" s="1"/>
  <c r="BO194" i="113"/>
  <c r="EW50" i="114"/>
  <c r="EM50" i="114"/>
  <c r="BD134" i="113"/>
  <c r="BJ134" i="113" s="1"/>
  <c r="BK134" i="113"/>
  <c r="AG155" i="113"/>
  <c r="AM155" i="113" s="1"/>
  <c r="AM153" i="113"/>
  <c r="AF160" i="113"/>
  <c r="Q155" i="113"/>
  <c r="AQ153" i="113"/>
  <c r="AQ155" i="113" s="1"/>
  <c r="AF153" i="113"/>
  <c r="AO125" i="113"/>
  <c r="AO194" i="113" s="1"/>
  <c r="AP118" i="113"/>
  <c r="AP153" i="113" s="1"/>
  <c r="AP155" i="113" s="1"/>
  <c r="BJ252" i="113"/>
  <c r="BJ250" i="113"/>
  <c r="BJ255" i="113"/>
  <c r="BJ256" i="113"/>
  <c r="AL260" i="113"/>
  <c r="BF118" i="113"/>
  <c r="BL118" i="113" s="1"/>
  <c r="BE125" i="113"/>
  <c r="BE194" i="113" s="1"/>
  <c r="BN125" i="113"/>
  <c r="BN194" i="113" s="1"/>
  <c r="BD260" i="113" l="1"/>
  <c r="BM260" i="113"/>
  <c r="K71" i="114"/>
  <c r="C77" i="114"/>
  <c r="B76" i="114"/>
  <c r="D77" i="114"/>
  <c r="EN49" i="114"/>
  <c r="BN198" i="113"/>
  <c r="EN53" i="114" s="1"/>
  <c r="BN214" i="113"/>
  <c r="BN216" i="113" s="1"/>
  <c r="FF50" i="114"/>
  <c r="EV50" i="114"/>
  <c r="FP51" i="114"/>
  <c r="BH53" i="114"/>
  <c r="AX53" i="114"/>
  <c r="DF50" i="114"/>
  <c r="DO50" i="114" s="1"/>
  <c r="DP50" i="114"/>
  <c r="AZ74" i="114"/>
  <c r="AZ71" i="114"/>
  <c r="CY53" i="114"/>
  <c r="DH53" i="114" s="1"/>
  <c r="N36" i="118"/>
  <c r="AN49" i="114"/>
  <c r="AE69" i="114"/>
  <c r="R38" i="118"/>
  <c r="BL250" i="113"/>
  <c r="BF260" i="113"/>
  <c r="BL260" i="113" s="1"/>
  <c r="DF51" i="114"/>
  <c r="DP51" i="114"/>
  <c r="AP71" i="114"/>
  <c r="AO69" i="114"/>
  <c r="AP74" i="114"/>
  <c r="BH49" i="114"/>
  <c r="AX49" i="114"/>
  <c r="AY69" i="114"/>
  <c r="Q40" i="118"/>
  <c r="CD53" i="114"/>
  <c r="U71" i="114"/>
  <c r="T69" i="114"/>
  <c r="U74" i="114"/>
  <c r="M40" i="118"/>
  <c r="AM53" i="114"/>
  <c r="CL51" i="114"/>
  <c r="S38" i="118"/>
  <c r="EB51" i="114"/>
  <c r="FY50" i="114"/>
  <c r="AC37" i="118"/>
  <c r="GB50" i="114"/>
  <c r="AF37" i="118" s="1"/>
  <c r="CN49" i="114"/>
  <c r="CX49" i="114"/>
  <c r="CO69" i="114"/>
  <c r="BE198" i="113"/>
  <c r="BK198" i="113" s="1"/>
  <c r="BK194" i="113"/>
  <c r="BE214" i="113"/>
  <c r="AO198" i="113"/>
  <c r="AO214" i="113"/>
  <c r="BO198" i="113"/>
  <c r="EO53" i="114" s="1"/>
  <c r="EO49" i="114"/>
  <c r="BO214" i="113"/>
  <c r="BO216" i="113" s="1"/>
  <c r="BF198" i="113"/>
  <c r="BL198" i="113" s="1"/>
  <c r="BL194" i="113"/>
  <c r="BF214" i="113"/>
  <c r="BK255" i="113"/>
  <c r="BE260" i="113"/>
  <c r="BK260" i="113" s="1"/>
  <c r="M75" i="114"/>
  <c r="M76" i="114" s="1"/>
  <c r="K74" i="114"/>
  <c r="L75" i="114"/>
  <c r="L76" i="114" s="1"/>
  <c r="BI74" i="114"/>
  <c r="BI71" i="114"/>
  <c r="AQ75" i="114"/>
  <c r="AQ76" i="114" s="1"/>
  <c r="B75" i="114"/>
  <c r="AM214" i="113"/>
  <c r="AG216" i="113"/>
  <c r="AM216" i="113" s="1"/>
  <c r="CY49" i="114"/>
  <c r="CP69" i="114"/>
  <c r="FF51" i="114"/>
  <c r="EV51" i="114"/>
  <c r="V74" i="114"/>
  <c r="V71" i="114"/>
  <c r="CL50" i="114"/>
  <c r="S37" i="118"/>
  <c r="EB50" i="114"/>
  <c r="DO51" i="114"/>
  <c r="M36" i="118"/>
  <c r="AM49" i="114"/>
  <c r="AD69" i="114"/>
  <c r="AL49" i="114"/>
  <c r="L36" i="118"/>
  <c r="L40" i="118"/>
  <c r="AL53" i="114"/>
  <c r="R37" i="118"/>
  <c r="EA50" i="114"/>
  <c r="AF198" i="113"/>
  <c r="AF214" i="113"/>
  <c r="AF216" i="113" s="1"/>
  <c r="CX53" i="114"/>
  <c r="CN53" i="114"/>
  <c r="BR49" i="114"/>
  <c r="BE153" i="113"/>
  <c r="BE155" i="113" s="1"/>
  <c r="BK155" i="113" s="1"/>
  <c r="AF155" i="113"/>
  <c r="AL155" i="113" s="1"/>
  <c r="AL153" i="113"/>
  <c r="AL160" i="113"/>
  <c r="BD125" i="113"/>
  <c r="BK125" i="113"/>
  <c r="AO153" i="113"/>
  <c r="BF153" i="113"/>
  <c r="BL153" i="113" s="1"/>
  <c r="BJ260" i="113"/>
  <c r="BM125" i="113"/>
  <c r="BM194" i="113" s="1"/>
  <c r="BN118" i="113"/>
  <c r="AL194" i="113"/>
  <c r="AL198" i="113"/>
  <c r="AO118" i="113"/>
  <c r="BE118" i="113"/>
  <c r="BK153" i="113" l="1"/>
  <c r="AO71" i="114"/>
  <c r="T71" i="114"/>
  <c r="M77" i="114"/>
  <c r="BM198" i="113"/>
  <c r="BM214" i="113"/>
  <c r="Q36" i="118"/>
  <c r="BR69" i="114"/>
  <c r="X37" i="118"/>
  <c r="AM69" i="114"/>
  <c r="AD71" i="114"/>
  <c r="M55" i="118"/>
  <c r="AC69" i="114"/>
  <c r="DX51" i="114"/>
  <c r="U38" i="118"/>
  <c r="FE51" i="114"/>
  <c r="FN51" i="114" s="1"/>
  <c r="FO51" i="114"/>
  <c r="AQ77" i="114"/>
  <c r="L77" i="114"/>
  <c r="K76" i="114"/>
  <c r="K77" i="114" s="1"/>
  <c r="EX53" i="114"/>
  <c r="FG53" i="114" s="1"/>
  <c r="CN69" i="114"/>
  <c r="CO71" i="114"/>
  <c r="CO74" i="114"/>
  <c r="DG49" i="114"/>
  <c r="CW49" i="114"/>
  <c r="CX69" i="114"/>
  <c r="T40" i="118"/>
  <c r="AX69" i="114"/>
  <c r="AY71" i="114"/>
  <c r="AY74" i="114"/>
  <c r="BG49" i="114"/>
  <c r="BP49" i="114" s="1"/>
  <c r="BH69" i="114"/>
  <c r="BQ49" i="114"/>
  <c r="V38" i="118"/>
  <c r="DY51" i="114"/>
  <c r="EA51" i="114"/>
  <c r="N55" i="118"/>
  <c r="AN69" i="114"/>
  <c r="AE71" i="114"/>
  <c r="CD49" i="114"/>
  <c r="DQ53" i="114"/>
  <c r="DY50" i="114"/>
  <c r="V37" i="118"/>
  <c r="FY51" i="114"/>
  <c r="AC38" i="118"/>
  <c r="GB51" i="114"/>
  <c r="AF38" i="118" s="1"/>
  <c r="FE50" i="114"/>
  <c r="FN50" i="114" s="1"/>
  <c r="FO50" i="114"/>
  <c r="GA50" i="114" s="1"/>
  <c r="EM53" i="114"/>
  <c r="EW53" i="114"/>
  <c r="B77" i="114"/>
  <c r="BJ125" i="113"/>
  <c r="BD194" i="113"/>
  <c r="CW53" i="114"/>
  <c r="DG53" i="114"/>
  <c r="Y37" i="118"/>
  <c r="EK50" i="114"/>
  <c r="AE74" i="114"/>
  <c r="V75" i="114"/>
  <c r="AE75" i="114" s="1"/>
  <c r="CP74" i="114"/>
  <c r="CP71" i="114"/>
  <c r="DH49" i="114"/>
  <c r="CY69" i="114"/>
  <c r="BR74" i="114"/>
  <c r="BI75" i="114"/>
  <c r="BI76" i="114" s="1"/>
  <c r="BI77" i="114" s="1"/>
  <c r="K75" i="114"/>
  <c r="BF216" i="113"/>
  <c r="BL216" i="113" s="1"/>
  <c r="BL214" i="113"/>
  <c r="EX49" i="114"/>
  <c r="EO69" i="114"/>
  <c r="AO221" i="113"/>
  <c r="BD221" i="113" s="1"/>
  <c r="AO216" i="113"/>
  <c r="BK214" i="113"/>
  <c r="BE216" i="113"/>
  <c r="BK216" i="113" s="1"/>
  <c r="DP49" i="114"/>
  <c r="Y38" i="118"/>
  <c r="EK51" i="114"/>
  <c r="GA51" i="114"/>
  <c r="T74" i="114"/>
  <c r="AC74" i="114" s="1"/>
  <c r="U75" i="114"/>
  <c r="AO74" i="114"/>
  <c r="AP75" i="114"/>
  <c r="AZ75" i="114"/>
  <c r="BR75" i="114" s="1"/>
  <c r="Q61" i="118" s="1"/>
  <c r="DX50" i="114"/>
  <c r="U37" i="118"/>
  <c r="BG53" i="114"/>
  <c r="BP53" i="114" s="1"/>
  <c r="BQ53" i="114"/>
  <c r="EM49" i="114"/>
  <c r="EW49" i="114"/>
  <c r="EN69" i="114"/>
  <c r="AD74" i="114"/>
  <c r="AO155" i="113"/>
  <c r="AO160" i="113"/>
  <c r="BD160" i="113" s="1"/>
  <c r="BD118" i="113"/>
  <c r="BJ118" i="113" s="1"/>
  <c r="BK118" i="113"/>
  <c r="BD153" i="113"/>
  <c r="BF155" i="113"/>
  <c r="BL155" i="113" s="1"/>
  <c r="BM118" i="113"/>
  <c r="BN153" i="113"/>
  <c r="BN155" i="113" s="1"/>
  <c r="AL216" i="113"/>
  <c r="AL214" i="113"/>
  <c r="BJ194" i="113"/>
  <c r="V76" i="114" l="1"/>
  <c r="V77" i="114" s="1"/>
  <c r="CN71" i="114"/>
  <c r="AX71" i="114"/>
  <c r="O40" i="118"/>
  <c r="CB53" i="114"/>
  <c r="AO75" i="114"/>
  <c r="T75" i="114"/>
  <c r="AC75" i="114" s="1"/>
  <c r="AD75" i="114"/>
  <c r="AE38" i="118"/>
  <c r="GJ51" i="114"/>
  <c r="EO74" i="114"/>
  <c r="EO71" i="114"/>
  <c r="FG49" i="114"/>
  <c r="FG69" i="114" s="1"/>
  <c r="EX69" i="114"/>
  <c r="D34" i="120"/>
  <c r="Q60" i="118"/>
  <c r="CY74" i="114"/>
  <c r="CY71" i="114"/>
  <c r="C34" i="120"/>
  <c r="B21" i="121" s="1"/>
  <c r="N60" i="118"/>
  <c r="CD74" i="114"/>
  <c r="AN74" i="114"/>
  <c r="AE37" i="118"/>
  <c r="GJ50" i="114"/>
  <c r="DF53" i="114"/>
  <c r="DO53" i="114" s="1"/>
  <c r="DP53" i="114"/>
  <c r="BD198" i="113"/>
  <c r="BJ198" i="113" s="1"/>
  <c r="BD214" i="113"/>
  <c r="BD216" i="113" s="1"/>
  <c r="BJ216" i="113" s="1"/>
  <c r="FW50" i="114"/>
  <c r="AA37" i="118"/>
  <c r="T36" i="118"/>
  <c r="CD69" i="114"/>
  <c r="FZ51" i="114"/>
  <c r="AD38" i="118" s="1"/>
  <c r="X38" i="118"/>
  <c r="BH71" i="114"/>
  <c r="BG69" i="114"/>
  <c r="BH74" i="114"/>
  <c r="AX74" i="114"/>
  <c r="AY75" i="114"/>
  <c r="AX75" i="114" s="1"/>
  <c r="CN74" i="114"/>
  <c r="CO75" i="114"/>
  <c r="FX51" i="114"/>
  <c r="AB38" i="118"/>
  <c r="L55" i="118"/>
  <c r="AC71" i="114"/>
  <c r="AL69" i="114"/>
  <c r="M57" i="118"/>
  <c r="AM71" i="114"/>
  <c r="FZ50" i="114"/>
  <c r="AD37" i="118" s="1"/>
  <c r="Q55" i="118"/>
  <c r="BR71" i="114"/>
  <c r="Q57" i="118" s="1"/>
  <c r="BM221" i="113"/>
  <c r="CB221" i="113" s="1"/>
  <c r="CH221" i="113" s="1"/>
  <c r="BM216" i="113"/>
  <c r="AE76" i="114"/>
  <c r="C33" i="120"/>
  <c r="AM74" i="114"/>
  <c r="M60" i="118"/>
  <c r="EN71" i="114"/>
  <c r="EM69" i="114"/>
  <c r="EN74" i="114"/>
  <c r="EV49" i="114"/>
  <c r="FF49" i="114"/>
  <c r="EW69" i="114"/>
  <c r="BZ53" i="114"/>
  <c r="P40" i="118"/>
  <c r="CC53" i="114"/>
  <c r="AZ76" i="114"/>
  <c r="AP76" i="114"/>
  <c r="U76" i="114"/>
  <c r="AL74" i="114"/>
  <c r="L60" i="118"/>
  <c r="V36" i="118"/>
  <c r="DY49" i="114"/>
  <c r="DP69" i="114"/>
  <c r="FP49" i="114"/>
  <c r="DH69" i="114"/>
  <c r="DQ49" i="114"/>
  <c r="CP75" i="114"/>
  <c r="CP76" i="114" s="1"/>
  <c r="N61" i="118"/>
  <c r="CD75" i="114"/>
  <c r="AN75" i="114"/>
  <c r="EV53" i="114"/>
  <c r="FF53" i="114"/>
  <c r="AB37" i="118"/>
  <c r="FX50" i="114"/>
  <c r="DZ53" i="114"/>
  <c r="W40" i="118"/>
  <c r="AN71" i="114"/>
  <c r="N57" i="118"/>
  <c r="P36" i="118"/>
  <c r="BZ49" i="114"/>
  <c r="BQ69" i="114"/>
  <c r="CC49" i="114"/>
  <c r="O36" i="118"/>
  <c r="CB49" i="114"/>
  <c r="EC53" i="114"/>
  <c r="CX71" i="114"/>
  <c r="CW69" i="114"/>
  <c r="CX74" i="114"/>
  <c r="DF49" i="114"/>
  <c r="DO49" i="114" s="1"/>
  <c r="DG69" i="114"/>
  <c r="FP53" i="114"/>
  <c r="AA38" i="118"/>
  <c r="FW51" i="114"/>
  <c r="BD155" i="113"/>
  <c r="BJ155" i="113" s="1"/>
  <c r="BJ153" i="113"/>
  <c r="BM153" i="113"/>
  <c r="BJ214" i="113"/>
  <c r="CH206" i="113"/>
  <c r="AY76" i="114" l="1"/>
  <c r="CW71" i="114"/>
  <c r="EM71" i="114"/>
  <c r="BG71" i="114"/>
  <c r="CP77" i="114"/>
  <c r="DF69" i="114"/>
  <c r="DG71" i="114"/>
  <c r="DG74" i="114"/>
  <c r="FY53" i="114"/>
  <c r="AC40" i="118"/>
  <c r="DX49" i="114"/>
  <c r="U36" i="118"/>
  <c r="Z40" i="118"/>
  <c r="GB53" i="114"/>
  <c r="AF40" i="118" s="1"/>
  <c r="P55" i="118"/>
  <c r="BP69" i="114"/>
  <c r="BZ69" i="114"/>
  <c r="BQ71" i="114"/>
  <c r="T61" i="118"/>
  <c r="DZ49" i="114"/>
  <c r="W36" i="118"/>
  <c r="DQ69" i="114"/>
  <c r="DO69" i="114" s="1"/>
  <c r="FY49" i="114"/>
  <c r="AC36" i="118"/>
  <c r="FP69" i="114"/>
  <c r="AP77" i="114"/>
  <c r="AO76" i="114"/>
  <c r="CL53" i="114"/>
  <c r="S40" i="118"/>
  <c r="EB53" i="114"/>
  <c r="FE49" i="114"/>
  <c r="FN49" i="114" s="1"/>
  <c r="FF69" i="114"/>
  <c r="FO49" i="114"/>
  <c r="EM74" i="114"/>
  <c r="EN75" i="114"/>
  <c r="B20" i="121"/>
  <c r="C32" i="120"/>
  <c r="C42" i="120" s="1"/>
  <c r="L57" i="118"/>
  <c r="AL71" i="114"/>
  <c r="CN75" i="114"/>
  <c r="AY77" i="114"/>
  <c r="AX76" i="114"/>
  <c r="AX77" i="114" s="1"/>
  <c r="T55" i="118"/>
  <c r="CD71" i="114"/>
  <c r="T57" i="118" s="1"/>
  <c r="DX53" i="114"/>
  <c r="U40" i="118"/>
  <c r="E34" i="120"/>
  <c r="T60" i="118"/>
  <c r="F21" i="121"/>
  <c r="G21" i="121"/>
  <c r="D21" i="121"/>
  <c r="H21" i="121"/>
  <c r="C21" i="121"/>
  <c r="CY75" i="114"/>
  <c r="FG74" i="114"/>
  <c r="FG71" i="114"/>
  <c r="EO75" i="114"/>
  <c r="EO76" i="114" s="1"/>
  <c r="R40" i="118"/>
  <c r="EA53" i="114"/>
  <c r="CW74" i="114"/>
  <c r="CX75" i="114"/>
  <c r="CX76" i="114" s="1"/>
  <c r="EA49" i="114"/>
  <c r="R36" i="118"/>
  <c r="S36" i="118"/>
  <c r="CL49" i="114"/>
  <c r="EB49" i="114"/>
  <c r="CC69" i="114"/>
  <c r="FE53" i="114"/>
  <c r="FN53" i="114" s="1"/>
  <c r="FO53" i="114"/>
  <c r="DH74" i="114"/>
  <c r="DH71" i="114"/>
  <c r="V55" i="118"/>
  <c r="DY69" i="114"/>
  <c r="DP71" i="114"/>
  <c r="U77" i="114"/>
  <c r="T76" i="114"/>
  <c r="AD76" i="114"/>
  <c r="AZ77" i="114"/>
  <c r="BR76" i="114"/>
  <c r="CD76" i="114" s="1"/>
  <c r="EV69" i="114"/>
  <c r="EW71" i="114"/>
  <c r="EW74" i="114"/>
  <c r="N62" i="118"/>
  <c r="AE77" i="114"/>
  <c r="AN76" i="114"/>
  <c r="CO76" i="114"/>
  <c r="BG74" i="114"/>
  <c r="BP74" i="114" s="1"/>
  <c r="BH75" i="114"/>
  <c r="BG75" i="114" s="1"/>
  <c r="BP75" i="114" s="1"/>
  <c r="O61" i="118" s="1"/>
  <c r="BQ74" i="114"/>
  <c r="EC49" i="114"/>
  <c r="DY53" i="114"/>
  <c r="V40" i="118"/>
  <c r="EX74" i="114"/>
  <c r="EX75" i="114" s="1"/>
  <c r="EX76" i="114" s="1"/>
  <c r="EX77" i="114" s="1"/>
  <c r="EX71" i="114"/>
  <c r="M61" i="118"/>
  <c r="AM75" i="114"/>
  <c r="L61" i="118"/>
  <c r="AL75" i="114"/>
  <c r="BM155" i="113"/>
  <c r="BM160" i="113"/>
  <c r="CB160" i="113" s="1"/>
  <c r="CH160" i="113" s="1"/>
  <c r="CH207" i="113"/>
  <c r="CH211" i="113"/>
  <c r="CB156" i="115"/>
  <c r="CD61" i="115"/>
  <c r="CC61" i="115"/>
  <c r="CB75" i="114" l="1"/>
  <c r="BH76" i="114"/>
  <c r="BH77" i="114" s="1"/>
  <c r="I21" i="121"/>
  <c r="DF71" i="114"/>
  <c r="EV71" i="114"/>
  <c r="Z36" i="118"/>
  <c r="GB49" i="114"/>
  <c r="EC69" i="114"/>
  <c r="O60" i="118"/>
  <c r="CB74" i="114"/>
  <c r="AN77" i="114"/>
  <c r="N63" i="118"/>
  <c r="EV74" i="114"/>
  <c r="EW75" i="114"/>
  <c r="EV75" i="114" s="1"/>
  <c r="T77" i="114"/>
  <c r="AC76" i="114"/>
  <c r="DY71" i="114"/>
  <c r="V57" i="118"/>
  <c r="AA40" i="118"/>
  <c r="FW53" i="114"/>
  <c r="Y36" i="118"/>
  <c r="EK49" i="114"/>
  <c r="GA49" i="114"/>
  <c r="EB69" i="114"/>
  <c r="FZ49" i="114"/>
  <c r="AD36" i="118" s="1"/>
  <c r="X36" i="118"/>
  <c r="EA69" i="114"/>
  <c r="CX77" i="114"/>
  <c r="X40" i="118"/>
  <c r="FZ53" i="114"/>
  <c r="AD40" i="118" s="1"/>
  <c r="BQ75" i="114"/>
  <c r="EO77" i="114"/>
  <c r="FP74" i="114"/>
  <c r="FG75" i="114"/>
  <c r="FG76" i="114" s="1"/>
  <c r="FG77" i="114" s="1"/>
  <c r="CW75" i="114"/>
  <c r="G20" i="121"/>
  <c r="G19" i="121" s="1"/>
  <c r="H20" i="121"/>
  <c r="C20" i="121"/>
  <c r="C19" i="121" s="1"/>
  <c r="B19" i="121"/>
  <c r="F20" i="121"/>
  <c r="D20" i="121"/>
  <c r="D19" i="121" s="1"/>
  <c r="EM75" i="114"/>
  <c r="FE69" i="114"/>
  <c r="FF71" i="114"/>
  <c r="FF74" i="114"/>
  <c r="Y40" i="118"/>
  <c r="GA53" i="114"/>
  <c r="EK53" i="114"/>
  <c r="FY69" i="114"/>
  <c r="AC55" i="118"/>
  <c r="FP71" i="114"/>
  <c r="BZ71" i="114"/>
  <c r="P57" i="118"/>
  <c r="BP71" i="114"/>
  <c r="O57" i="118" s="1"/>
  <c r="O55" i="118"/>
  <c r="DF74" i="114"/>
  <c r="DO74" i="114" s="1"/>
  <c r="DG75" i="114"/>
  <c r="R61" i="118"/>
  <c r="P60" i="118"/>
  <c r="D33" i="120"/>
  <c r="BZ74" i="114"/>
  <c r="CC74" i="114"/>
  <c r="CO77" i="114"/>
  <c r="CN76" i="114"/>
  <c r="T62" i="118"/>
  <c r="CD77" i="114"/>
  <c r="T63" i="118" s="1"/>
  <c r="Q62" i="118"/>
  <c r="BR77" i="114"/>
  <c r="Q63" i="118" s="1"/>
  <c r="M62" i="118"/>
  <c r="AD77" i="114"/>
  <c r="AM76" i="114"/>
  <c r="U55" i="118"/>
  <c r="DX69" i="114"/>
  <c r="DO71" i="114"/>
  <c r="DQ74" i="114"/>
  <c r="DH75" i="114"/>
  <c r="AB40" i="118"/>
  <c r="FX53" i="114"/>
  <c r="S55" i="118"/>
  <c r="CL69" i="114"/>
  <c r="CB69" i="114"/>
  <c r="CC71" i="114"/>
  <c r="FP75" i="114"/>
  <c r="CY76" i="114"/>
  <c r="E21" i="121"/>
  <c r="H19" i="121"/>
  <c r="EN76" i="114"/>
  <c r="FO74" i="114"/>
  <c r="AB36" i="118"/>
  <c r="FX49" i="114"/>
  <c r="FO69" i="114"/>
  <c r="FW49" i="114"/>
  <c r="AA36" i="118"/>
  <c r="AO77" i="114"/>
  <c r="BQ76" i="114"/>
  <c r="W55" i="118"/>
  <c r="DZ69" i="114"/>
  <c r="DQ71" i="114"/>
  <c r="DP74" i="114"/>
  <c r="CB159" i="115"/>
  <c r="CH159" i="115" s="1"/>
  <c r="CH156" i="115"/>
  <c r="CF45" i="115"/>
  <c r="CI61" i="115"/>
  <c r="CG45" i="115"/>
  <c r="CJ61" i="115"/>
  <c r="CB61" i="115"/>
  <c r="CH61" i="115" s="1"/>
  <c r="EW76" i="114" l="1"/>
  <c r="BG76" i="114"/>
  <c r="FE71" i="114"/>
  <c r="J21" i="121"/>
  <c r="F33" i="120"/>
  <c r="DY74" i="114"/>
  <c r="V60" i="118"/>
  <c r="P62" i="118"/>
  <c r="BQ77" i="114"/>
  <c r="BZ76" i="114"/>
  <c r="H33" i="120"/>
  <c r="FX74" i="114"/>
  <c r="AB60" i="118"/>
  <c r="G29" i="121"/>
  <c r="FY75" i="114"/>
  <c r="AC61" i="118"/>
  <c r="CB71" i="114"/>
  <c r="R57" i="118" s="1"/>
  <c r="R55" i="118"/>
  <c r="DZ74" i="114"/>
  <c r="F34" i="120"/>
  <c r="K21" i="121" s="1"/>
  <c r="W60" i="118"/>
  <c r="EC74" i="114"/>
  <c r="AM77" i="114"/>
  <c r="M63" i="118"/>
  <c r="DF75" i="114"/>
  <c r="DO75" i="114" s="1"/>
  <c r="FY71" i="114"/>
  <c r="AC57" i="118"/>
  <c r="AE40" i="118"/>
  <c r="GJ53" i="114"/>
  <c r="FE74" i="114"/>
  <c r="FN74" i="114" s="1"/>
  <c r="FF75" i="114"/>
  <c r="FF76" i="114" s="1"/>
  <c r="D29" i="121"/>
  <c r="E19" i="121"/>
  <c r="B29" i="121"/>
  <c r="C29" i="121"/>
  <c r="FP76" i="114"/>
  <c r="P61" i="118"/>
  <c r="BZ75" i="114"/>
  <c r="CC75" i="114"/>
  <c r="X55" i="118"/>
  <c r="EA71" i="114"/>
  <c r="X57" i="118" s="1"/>
  <c r="GJ49" i="114"/>
  <c r="AE36" i="118"/>
  <c r="GA69" i="114"/>
  <c r="EV76" i="114"/>
  <c r="EV77" i="114" s="1"/>
  <c r="EW77" i="114"/>
  <c r="R60" i="118"/>
  <c r="EA74" i="114"/>
  <c r="Z55" i="118"/>
  <c r="EC71" i="114"/>
  <c r="Z57" i="118" s="1"/>
  <c r="DZ71" i="114"/>
  <c r="W57" i="118"/>
  <c r="AB55" i="118"/>
  <c r="FX69" i="114"/>
  <c r="FN69" i="114"/>
  <c r="FO71" i="114"/>
  <c r="EN77" i="114"/>
  <c r="EM76" i="114"/>
  <c r="H29" i="121"/>
  <c r="CY77" i="114"/>
  <c r="S57" i="118"/>
  <c r="CL71" i="114"/>
  <c r="DH76" i="114"/>
  <c r="DH77" i="114" s="1"/>
  <c r="DQ75" i="114"/>
  <c r="DX71" i="114"/>
  <c r="U57" i="118"/>
  <c r="CC76" i="114"/>
  <c r="CN77" i="114"/>
  <c r="E33" i="120"/>
  <c r="E32" i="120" s="1"/>
  <c r="E42" i="120" s="1"/>
  <c r="CL74" i="114"/>
  <c r="S60" i="118"/>
  <c r="EB74" i="114"/>
  <c r="D32" i="120"/>
  <c r="DG76" i="114"/>
  <c r="DX74" i="114"/>
  <c r="U60" i="118"/>
  <c r="E20" i="121"/>
  <c r="F19" i="121"/>
  <c r="I20" i="121"/>
  <c r="FY74" i="114"/>
  <c r="H34" i="120"/>
  <c r="AC60" i="118"/>
  <c r="CW76" i="114"/>
  <c r="CW77" i="114" s="1"/>
  <c r="EK69" i="114"/>
  <c r="EB71" i="114"/>
  <c r="Y55" i="118"/>
  <c r="L62" i="118"/>
  <c r="AC77" i="114"/>
  <c r="AL76" i="114"/>
  <c r="AF36" i="118"/>
  <c r="GB69" i="114"/>
  <c r="DP75" i="114"/>
  <c r="CJ45" i="115"/>
  <c r="CG155" i="115"/>
  <c r="CI45" i="115"/>
  <c r="CF155" i="115"/>
  <c r="CB166" i="115"/>
  <c r="CH166" i="115" s="1"/>
  <c r="CB165" i="115"/>
  <c r="CH165" i="115" s="1"/>
  <c r="CB170" i="115"/>
  <c r="CH170" i="115" s="1"/>
  <c r="K33" i="120" l="1"/>
  <c r="BG77" i="114"/>
  <c r="BP76" i="114"/>
  <c r="FE76" i="114"/>
  <c r="FE77" i="114" s="1"/>
  <c r="FF77" i="114"/>
  <c r="FO76" i="114"/>
  <c r="V61" i="118"/>
  <c r="DY75" i="114"/>
  <c r="EK71" i="114"/>
  <c r="Y57" i="118"/>
  <c r="J20" i="121"/>
  <c r="DF76" i="114"/>
  <c r="DF77" i="114" s="1"/>
  <c r="DG77" i="114"/>
  <c r="DP76" i="114"/>
  <c r="EB76" i="114" s="1"/>
  <c r="D31" i="120"/>
  <c r="D42" i="120"/>
  <c r="DZ75" i="114"/>
  <c r="W61" i="118"/>
  <c r="EC75" i="114"/>
  <c r="DQ76" i="114"/>
  <c r="EM77" i="114"/>
  <c r="AA55" i="118"/>
  <c r="FW69" i="114"/>
  <c r="FN71" i="114"/>
  <c r="S61" i="118"/>
  <c r="CL75" i="114"/>
  <c r="EB75" i="114"/>
  <c r="E29" i="121"/>
  <c r="FW74" i="114"/>
  <c r="AA60" i="118"/>
  <c r="GB74" i="114"/>
  <c r="G34" i="120"/>
  <c r="Z60" i="118"/>
  <c r="R21" i="121"/>
  <c r="M21" i="121"/>
  <c r="P21" i="121"/>
  <c r="Q21" i="121"/>
  <c r="L21" i="121"/>
  <c r="AF55" i="118"/>
  <c r="GB71" i="114"/>
  <c r="AF57" i="118" s="1"/>
  <c r="AL77" i="114"/>
  <c r="L63" i="118"/>
  <c r="I19" i="121"/>
  <c r="J19" i="121" s="1"/>
  <c r="F29" i="121"/>
  <c r="G33" i="120"/>
  <c r="EK74" i="114"/>
  <c r="Y60" i="118"/>
  <c r="GA74" i="114"/>
  <c r="S62" i="118"/>
  <c r="CC77" i="114"/>
  <c r="CL76" i="114"/>
  <c r="AB57" i="118"/>
  <c r="FX71" i="114"/>
  <c r="X60" i="118"/>
  <c r="FZ74" i="114"/>
  <c r="AD60" i="118" s="1"/>
  <c r="GJ69" i="114"/>
  <c r="GA71" i="114"/>
  <c r="AE55" i="118"/>
  <c r="FZ69" i="114"/>
  <c r="AC62" i="118"/>
  <c r="FY76" i="114"/>
  <c r="FP77" i="114"/>
  <c r="FE75" i="114"/>
  <c r="FN75" i="114" s="1"/>
  <c r="FO75" i="114"/>
  <c r="U61" i="118"/>
  <c r="DX75" i="114"/>
  <c r="EA75" i="114"/>
  <c r="H32" i="120"/>
  <c r="P63" i="118"/>
  <c r="BZ77" i="114"/>
  <c r="K20" i="121"/>
  <c r="F32" i="120"/>
  <c r="CF173" i="115"/>
  <c r="CI155" i="115"/>
  <c r="CF159" i="115"/>
  <c r="CI159" i="115" s="1"/>
  <c r="CG173" i="115"/>
  <c r="CJ155" i="115"/>
  <c r="CG159" i="115"/>
  <c r="CJ159" i="115" s="1"/>
  <c r="C111" i="115"/>
  <c r="D111" i="115"/>
  <c r="DO76" i="114" l="1"/>
  <c r="FN76" i="114"/>
  <c r="G32" i="120"/>
  <c r="G42" i="120" s="1"/>
  <c r="O62" i="118"/>
  <c r="BP77" i="114"/>
  <c r="O63" i="118" s="1"/>
  <c r="CB76" i="114"/>
  <c r="S21" i="121"/>
  <c r="N21" i="121"/>
  <c r="O21" i="121" s="1"/>
  <c r="T21" i="121" s="1"/>
  <c r="R20" i="121"/>
  <c r="R19" i="121" s="1"/>
  <c r="Q20" i="121"/>
  <c r="Q19" i="121" s="1"/>
  <c r="P20" i="121"/>
  <c r="M20" i="121"/>
  <c r="M19" i="121" s="1"/>
  <c r="L20" i="121"/>
  <c r="K19" i="121"/>
  <c r="FX75" i="114"/>
  <c r="AB61" i="118"/>
  <c r="FY77" i="114"/>
  <c r="AC63" i="118"/>
  <c r="I33" i="120"/>
  <c r="GJ74" i="114"/>
  <c r="AE60" i="118"/>
  <c r="I29" i="121"/>
  <c r="J29" i="121" s="1"/>
  <c r="I34" i="120"/>
  <c r="AF60" i="118"/>
  <c r="Y61" i="118"/>
  <c r="GA75" i="114"/>
  <c r="EK75" i="114"/>
  <c r="AA62" i="118"/>
  <c r="FW76" i="114"/>
  <c r="FN77" i="114"/>
  <c r="Z61" i="118"/>
  <c r="GB75" i="114"/>
  <c r="AF61" i="118" s="1"/>
  <c r="F31" i="120"/>
  <c r="F42" i="120"/>
  <c r="H31" i="120"/>
  <c r="H42" i="120"/>
  <c r="X61" i="118"/>
  <c r="FZ75" i="114"/>
  <c r="AD61" i="118" s="1"/>
  <c r="FW75" i="114"/>
  <c r="AA61" i="118"/>
  <c r="AD55" i="118"/>
  <c r="FZ71" i="114"/>
  <c r="AD57" i="118" s="1"/>
  <c r="GJ71" i="114"/>
  <c r="AE57" i="118"/>
  <c r="Y62" i="118"/>
  <c r="GA76" i="114"/>
  <c r="EB77" i="114"/>
  <c r="EK76" i="114"/>
  <c r="S63" i="118"/>
  <c r="CL77" i="114"/>
  <c r="U62" i="118"/>
  <c r="DX76" i="114"/>
  <c r="DO77" i="114"/>
  <c r="EA76" i="114"/>
  <c r="FW71" i="114"/>
  <c r="AA57" i="118"/>
  <c r="W62" i="118"/>
  <c r="DZ76" i="114"/>
  <c r="DQ77" i="114"/>
  <c r="EC76" i="114"/>
  <c r="V62" i="118"/>
  <c r="DP77" i="114"/>
  <c r="DY76" i="114"/>
  <c r="AB62" i="118"/>
  <c r="FO77" i="114"/>
  <c r="FX76" i="114"/>
  <c r="D164" i="115"/>
  <c r="C164" i="115"/>
  <c r="C48" i="116" s="1"/>
  <c r="CJ173" i="115"/>
  <c r="CG175" i="115"/>
  <c r="CJ175" i="115" s="1"/>
  <c r="C173" i="115"/>
  <c r="C175" i="115" s="1"/>
  <c r="CI173" i="115"/>
  <c r="CF175" i="115"/>
  <c r="CI175" i="115" s="1"/>
  <c r="D48" i="116"/>
  <c r="D173" i="115"/>
  <c r="D175" i="115" s="1"/>
  <c r="AH111" i="115"/>
  <c r="AH164" i="115" s="1"/>
  <c r="D120" i="115"/>
  <c r="C120" i="115"/>
  <c r="AG111" i="115"/>
  <c r="B111" i="115"/>
  <c r="R62" i="118" l="1"/>
  <c r="CB77" i="114"/>
  <c r="R63" i="118" s="1"/>
  <c r="AB63" i="118"/>
  <c r="FX77" i="114"/>
  <c r="DZ77" i="114"/>
  <c r="W63" i="118"/>
  <c r="U63" i="118"/>
  <c r="DX77" i="114"/>
  <c r="Y63" i="118"/>
  <c r="EK77" i="114"/>
  <c r="AA63" i="118"/>
  <c r="FW77" i="114"/>
  <c r="GJ75" i="114"/>
  <c r="AE61" i="118"/>
  <c r="K18" i="121"/>
  <c r="K29" i="121"/>
  <c r="M18" i="121"/>
  <c r="M29" i="121"/>
  <c r="M28" i="121" s="1"/>
  <c r="M37" i="121" s="1"/>
  <c r="M38" i="121" s="1"/>
  <c r="Q18" i="121"/>
  <c r="Q29" i="121"/>
  <c r="Q28" i="121" s="1"/>
  <c r="Q37" i="121" s="1"/>
  <c r="Q38" i="121" s="1"/>
  <c r="V63" i="118"/>
  <c r="DY77" i="114"/>
  <c r="Z62" i="118"/>
  <c r="GB76" i="114"/>
  <c r="EC77" i="114"/>
  <c r="Z63" i="118" s="1"/>
  <c r="X62" i="118"/>
  <c r="EA77" i="114"/>
  <c r="X63" i="118" s="1"/>
  <c r="FZ76" i="114"/>
  <c r="AE62" i="118"/>
  <c r="GJ76" i="114"/>
  <c r="GA77" i="114"/>
  <c r="I32" i="120"/>
  <c r="I42" i="120" s="1"/>
  <c r="N20" i="121"/>
  <c r="O20" i="121" s="1"/>
  <c r="L19" i="121"/>
  <c r="S20" i="121"/>
  <c r="P19" i="121"/>
  <c r="R18" i="121"/>
  <c r="R29" i="121"/>
  <c r="R28" i="121" s="1"/>
  <c r="R37" i="121" s="1"/>
  <c r="R38" i="121" s="1"/>
  <c r="AM111" i="115"/>
  <c r="AG164" i="115"/>
  <c r="AN164" i="115"/>
  <c r="AH173" i="115"/>
  <c r="M48" i="116"/>
  <c r="D57" i="116"/>
  <c r="B48" i="116"/>
  <c r="L48" i="116"/>
  <c r="C57" i="116"/>
  <c r="BF111" i="115"/>
  <c r="AN111" i="115"/>
  <c r="AG120" i="115"/>
  <c r="AM120" i="115" s="1"/>
  <c r="B120" i="115"/>
  <c r="C122" i="115"/>
  <c r="AF111" i="115"/>
  <c r="AL111" i="115" s="1"/>
  <c r="BE111" i="115"/>
  <c r="BE164" i="115" s="1"/>
  <c r="D122" i="115"/>
  <c r="AH120" i="115"/>
  <c r="AN120" i="115" s="1"/>
  <c r="B164" i="115"/>
  <c r="B173" i="115" s="1"/>
  <c r="R40" i="121" l="1"/>
  <c r="R39" i="121"/>
  <c r="P18" i="121"/>
  <c r="S18" i="121" s="1"/>
  <c r="S19" i="121"/>
  <c r="P29" i="121"/>
  <c r="L18" i="121"/>
  <c r="N18" i="121" s="1"/>
  <c r="L29" i="121"/>
  <c r="L28" i="121" s="1"/>
  <c r="L37" i="121" s="1"/>
  <c r="L38" i="121" s="1"/>
  <c r="AD62" i="118"/>
  <c r="FZ77" i="114"/>
  <c r="AD63" i="118" s="1"/>
  <c r="AF62" i="118"/>
  <c r="GB77" i="114"/>
  <c r="AF63" i="118" s="1"/>
  <c r="Q40" i="121"/>
  <c r="Q39" i="121"/>
  <c r="M39" i="121"/>
  <c r="M40" i="121"/>
  <c r="K28" i="121"/>
  <c r="T20" i="121"/>
  <c r="AE63" i="118"/>
  <c r="GJ77" i="114"/>
  <c r="N19" i="121"/>
  <c r="O19" i="121" s="1"/>
  <c r="BK164" i="115"/>
  <c r="BE173" i="115"/>
  <c r="BL111" i="115"/>
  <c r="BF164" i="115"/>
  <c r="B57" i="116"/>
  <c r="B70" i="116" s="1"/>
  <c r="AH175" i="115"/>
  <c r="AN175" i="115" s="1"/>
  <c r="AN173" i="115"/>
  <c r="C62" i="116"/>
  <c r="C59" i="116"/>
  <c r="U48" i="116"/>
  <c r="K48" i="116"/>
  <c r="K57" i="116" s="1"/>
  <c r="L57" i="116"/>
  <c r="D62" i="116"/>
  <c r="D59" i="116"/>
  <c r="V48" i="116"/>
  <c r="M57" i="116"/>
  <c r="AM164" i="115"/>
  <c r="AG173" i="115"/>
  <c r="B175" i="115"/>
  <c r="B180" i="115"/>
  <c r="AF180" i="115" s="1"/>
  <c r="BD111" i="115"/>
  <c r="BJ111" i="115" s="1"/>
  <c r="BK111" i="115"/>
  <c r="AF120" i="115"/>
  <c r="AL120" i="115" s="1"/>
  <c r="AG122" i="115"/>
  <c r="AM122" i="115" s="1"/>
  <c r="BE120" i="115"/>
  <c r="BK120" i="115" s="1"/>
  <c r="BF120" i="115"/>
  <c r="AH122" i="115"/>
  <c r="AN122" i="115" s="1"/>
  <c r="B127" i="115"/>
  <c r="B122" i="115"/>
  <c r="AF164" i="115"/>
  <c r="K59" i="116" l="1"/>
  <c r="K70" i="116"/>
  <c r="N29" i="121"/>
  <c r="O29" i="121" s="1"/>
  <c r="T19" i="121"/>
  <c r="K37" i="121"/>
  <c r="N28" i="121"/>
  <c r="L40" i="121"/>
  <c r="L39" i="121"/>
  <c r="S29" i="121"/>
  <c r="T29" i="121" s="1"/>
  <c r="P28" i="121"/>
  <c r="AF127" i="115"/>
  <c r="AL127" i="115" s="1"/>
  <c r="AF173" i="115"/>
  <c r="AL164" i="115"/>
  <c r="AG175" i="115"/>
  <c r="AM175" i="115" s="1"/>
  <c r="AM173" i="115"/>
  <c r="M62" i="116"/>
  <c r="M63" i="116" s="1"/>
  <c r="M64" i="116" s="1"/>
  <c r="M65" i="116" s="1"/>
  <c r="M59" i="116"/>
  <c r="D63" i="116"/>
  <c r="D64" i="116" s="1"/>
  <c r="B62" i="116"/>
  <c r="C63" i="116"/>
  <c r="C64" i="116" s="1"/>
  <c r="V57" i="116"/>
  <c r="AE48" i="116"/>
  <c r="O39" i="119" s="1"/>
  <c r="L62" i="116"/>
  <c r="L59" i="116"/>
  <c r="T48" i="116"/>
  <c r="T57" i="116" s="1"/>
  <c r="U57" i="116"/>
  <c r="AD48" i="116"/>
  <c r="N39" i="119" s="1"/>
  <c r="B59" i="116"/>
  <c r="AC57" i="116"/>
  <c r="BL164" i="115"/>
  <c r="BF173" i="115"/>
  <c r="BE175" i="115"/>
  <c r="BK175" i="115" s="1"/>
  <c r="BK173" i="115"/>
  <c r="AD57" i="116"/>
  <c r="N48" i="119" s="1"/>
  <c r="BD180" i="115"/>
  <c r="BJ180" i="115" s="1"/>
  <c r="AL180" i="115"/>
  <c r="BF122" i="115"/>
  <c r="BL122" i="115" s="1"/>
  <c r="BL120" i="115"/>
  <c r="BD120" i="115"/>
  <c r="BJ120" i="115" s="1"/>
  <c r="BE122" i="115"/>
  <c r="BK122" i="115" s="1"/>
  <c r="AF122" i="115"/>
  <c r="AL122" i="115" s="1"/>
  <c r="BD164" i="115"/>
  <c r="M48" i="119" l="1"/>
  <c r="AC70" i="116"/>
  <c r="T59" i="116"/>
  <c r="T70" i="116"/>
  <c r="P37" i="121"/>
  <c r="S28" i="121"/>
  <c r="K38" i="121"/>
  <c r="N37" i="121"/>
  <c r="C65" i="116"/>
  <c r="B64" i="116"/>
  <c r="BF175" i="115"/>
  <c r="BL175" i="115" s="1"/>
  <c r="BL173" i="115"/>
  <c r="AC59" i="116"/>
  <c r="CB57" i="116"/>
  <c r="AL57" i="116"/>
  <c r="CC48" i="116"/>
  <c r="T39" i="119" s="1"/>
  <c r="AM48" i="116"/>
  <c r="K62" i="116"/>
  <c r="L63" i="116"/>
  <c r="K63" i="116" s="1"/>
  <c r="V62" i="116"/>
  <c r="V59" i="116"/>
  <c r="AE57" i="116"/>
  <c r="O48" i="119" s="1"/>
  <c r="AF175" i="115"/>
  <c r="AL175" i="115" s="1"/>
  <c r="AL173" i="115"/>
  <c r="BD173" i="115"/>
  <c r="BJ164" i="115"/>
  <c r="CC57" i="116"/>
  <c r="T48" i="119" s="1"/>
  <c r="AM57" i="116"/>
  <c r="AD59" i="116"/>
  <c r="U62" i="116"/>
  <c r="AD62" i="116" s="1"/>
  <c r="U59" i="116"/>
  <c r="CD48" i="116"/>
  <c r="U39" i="119" s="1"/>
  <c r="AN48" i="116"/>
  <c r="B63" i="116"/>
  <c r="D65" i="116"/>
  <c r="AC48" i="116"/>
  <c r="M39" i="119" s="1"/>
  <c r="CB180" i="115"/>
  <c r="CH180" i="115" s="1"/>
  <c r="BD127" i="115"/>
  <c r="BJ127" i="115" s="1"/>
  <c r="BD122" i="115"/>
  <c r="BJ122" i="115" s="1"/>
  <c r="S48" i="119" l="1"/>
  <c r="CB70" i="116"/>
  <c r="K40" i="121"/>
  <c r="N40" i="121" s="1"/>
  <c r="N38" i="121"/>
  <c r="K39" i="121"/>
  <c r="N39" i="121" s="1"/>
  <c r="P38" i="121"/>
  <c r="S37" i="121"/>
  <c r="AM59" i="116"/>
  <c r="N50" i="119"/>
  <c r="AL59" i="116"/>
  <c r="M50" i="119"/>
  <c r="C36" i="120"/>
  <c r="B23" i="121" s="1"/>
  <c r="N53" i="119"/>
  <c r="CC62" i="116"/>
  <c r="AM62" i="116"/>
  <c r="CM48" i="116"/>
  <c r="EC48" i="116"/>
  <c r="AA39" i="119" s="1"/>
  <c r="V63" i="116"/>
  <c r="AE62" i="116"/>
  <c r="EB57" i="116"/>
  <c r="Z48" i="119" s="1"/>
  <c r="CL57" i="116"/>
  <c r="CC59" i="116"/>
  <c r="BD175" i="115"/>
  <c r="BJ175" i="115" s="1"/>
  <c r="BJ173" i="115"/>
  <c r="EB48" i="116"/>
  <c r="Z39" i="119" s="1"/>
  <c r="CL48" i="116"/>
  <c r="EA57" i="116"/>
  <c r="CB59" i="116"/>
  <c r="CK57" i="116"/>
  <c r="B65" i="116"/>
  <c r="L64" i="116"/>
  <c r="AL48" i="116"/>
  <c r="CB48" i="116"/>
  <c r="S39" i="119" s="1"/>
  <c r="T62" i="116"/>
  <c r="AC62" i="116" s="1"/>
  <c r="M53" i="119" s="1"/>
  <c r="U63" i="116"/>
  <c r="AN57" i="116"/>
  <c r="AE59" i="116"/>
  <c r="CD57" i="116"/>
  <c r="U48" i="119" s="1"/>
  <c r="CB127" i="115"/>
  <c r="CH127" i="115" s="1"/>
  <c r="K80" i="114"/>
  <c r="K82" i="114" s="1"/>
  <c r="B82" i="114"/>
  <c r="Y48" i="119" l="1"/>
  <c r="EA70" i="116"/>
  <c r="AN59" i="116"/>
  <c r="O50" i="119"/>
  <c r="G23" i="121"/>
  <c r="F23" i="121"/>
  <c r="D23" i="121"/>
  <c r="E23" i="121" s="1"/>
  <c r="H23" i="121"/>
  <c r="C23" i="121"/>
  <c r="P40" i="121"/>
  <c r="S40" i="121" s="1"/>
  <c r="S38" i="121"/>
  <c r="P39" i="121"/>
  <c r="S39" i="121" s="1"/>
  <c r="C37" i="120"/>
  <c r="B24" i="121" s="1"/>
  <c r="O53" i="119"/>
  <c r="CK59" i="116"/>
  <c r="S50" i="119"/>
  <c r="CL59" i="116"/>
  <c r="T50" i="119"/>
  <c r="E36" i="120"/>
  <c r="T53" i="119"/>
  <c r="C35" i="120"/>
  <c r="K36" i="120"/>
  <c r="EC57" i="116"/>
  <c r="AA48" i="119" s="1"/>
  <c r="CM57" i="116"/>
  <c r="CD59" i="116"/>
  <c r="T63" i="116"/>
  <c r="AC63" i="116" s="1"/>
  <c r="M54" i="119" s="1"/>
  <c r="AD63" i="116"/>
  <c r="N54" i="119" s="1"/>
  <c r="CB62" i="116"/>
  <c r="S53" i="119" s="1"/>
  <c r="AL62" i="116"/>
  <c r="GA57" i="116"/>
  <c r="AF48" i="119" s="1"/>
  <c r="EK57" i="116"/>
  <c r="EB59" i="116"/>
  <c r="V64" i="116"/>
  <c r="AE63" i="116"/>
  <c r="O54" i="119" s="1"/>
  <c r="EB62" i="116"/>
  <c r="CL62" i="116"/>
  <c r="U64" i="116"/>
  <c r="EA48" i="116"/>
  <c r="Y39" i="119" s="1"/>
  <c r="CK48" i="116"/>
  <c r="K64" i="116"/>
  <c r="L65" i="116"/>
  <c r="AD64" i="116"/>
  <c r="N55" i="119" s="1"/>
  <c r="EA59" i="116"/>
  <c r="FZ57" i="116"/>
  <c r="EJ57" i="116"/>
  <c r="GA48" i="116"/>
  <c r="EK48" i="116"/>
  <c r="CD62" i="116"/>
  <c r="AN62" i="116"/>
  <c r="EL48" i="116"/>
  <c r="GB48" i="116"/>
  <c r="T80" i="114"/>
  <c r="AE48" i="119" l="1"/>
  <c r="FZ70" i="116"/>
  <c r="GJ48" i="116"/>
  <c r="AF39" i="119"/>
  <c r="I23" i="121"/>
  <c r="J23" i="121" s="1"/>
  <c r="O23" i="121" s="1"/>
  <c r="T23" i="121" s="1"/>
  <c r="E37" i="120"/>
  <c r="E35" i="120" s="1"/>
  <c r="U53" i="119"/>
  <c r="GK48" i="116"/>
  <c r="AG39" i="119"/>
  <c r="CM59" i="116"/>
  <c r="U50" i="119"/>
  <c r="H24" i="121"/>
  <c r="H22" i="121" s="1"/>
  <c r="C24" i="121"/>
  <c r="C22" i="121" s="1"/>
  <c r="F24" i="121"/>
  <c r="G24" i="121"/>
  <c r="D24" i="121"/>
  <c r="D22" i="121" s="1"/>
  <c r="B22" i="121"/>
  <c r="G22" i="121"/>
  <c r="C43" i="120"/>
  <c r="C31" i="120"/>
  <c r="EK59" i="116"/>
  <c r="Z50" i="119"/>
  <c r="EJ59" i="116"/>
  <c r="Y50" i="119"/>
  <c r="G36" i="120"/>
  <c r="Z53" i="119"/>
  <c r="T82" i="114"/>
  <c r="AO80" i="114"/>
  <c r="EC62" i="116"/>
  <c r="CM62" i="116"/>
  <c r="FZ59" i="116"/>
  <c r="GI57" i="116"/>
  <c r="AD65" i="116"/>
  <c r="CC64" i="116"/>
  <c r="T55" i="119" s="1"/>
  <c r="AM64" i="116"/>
  <c r="K65" i="116"/>
  <c r="FZ48" i="116"/>
  <c r="EJ48" i="116"/>
  <c r="AN63" i="116"/>
  <c r="CD63" i="116"/>
  <c r="U54" i="119" s="1"/>
  <c r="GJ57" i="116"/>
  <c r="GA59" i="116"/>
  <c r="U65" i="116"/>
  <c r="T64" i="116"/>
  <c r="EK62" i="116"/>
  <c r="GA62" i="116"/>
  <c r="V65" i="116"/>
  <c r="AE64" i="116"/>
  <c r="O55" i="119" s="1"/>
  <c r="CC63" i="116"/>
  <c r="T54" i="119" s="1"/>
  <c r="AM63" i="116"/>
  <c r="EL57" i="116"/>
  <c r="GB57" i="116"/>
  <c r="AG48" i="119" s="1"/>
  <c r="EC59" i="116"/>
  <c r="EA62" i="116"/>
  <c r="Y53" i="119" s="1"/>
  <c r="CK62" i="116"/>
  <c r="AL63" i="116"/>
  <c r="CB63" i="116"/>
  <c r="S54" i="119" s="1"/>
  <c r="AC80" i="114"/>
  <c r="E24" i="121" l="1"/>
  <c r="E43" i="120"/>
  <c r="E31" i="120"/>
  <c r="C30" i="121"/>
  <c r="C28" i="121" s="1"/>
  <c r="C37" i="121" s="1"/>
  <c r="C38" i="121" s="1"/>
  <c r="C18" i="121"/>
  <c r="E22" i="121"/>
  <c r="D30" i="121"/>
  <c r="D28" i="121" s="1"/>
  <c r="D37" i="121" s="1"/>
  <c r="D38" i="121" s="1"/>
  <c r="D18" i="121"/>
  <c r="G37" i="120"/>
  <c r="AA53" i="119"/>
  <c r="G35" i="120"/>
  <c r="G43" i="120" s="1"/>
  <c r="B18" i="121"/>
  <c r="B30" i="121"/>
  <c r="I24" i="121"/>
  <c r="EL59" i="116"/>
  <c r="AA50" i="119"/>
  <c r="GI48" i="116"/>
  <c r="AE39" i="119"/>
  <c r="G30" i="121"/>
  <c r="G28" i="121" s="1"/>
  <c r="G37" i="121" s="1"/>
  <c r="G38" i="121" s="1"/>
  <c r="G18" i="121"/>
  <c r="H30" i="121"/>
  <c r="H28" i="121" s="1"/>
  <c r="H37" i="121" s="1"/>
  <c r="H38" i="121" s="1"/>
  <c r="H18" i="121"/>
  <c r="J24" i="121"/>
  <c r="O24" i="121" s="1"/>
  <c r="T24" i="121" s="1"/>
  <c r="F22" i="121"/>
  <c r="GJ62" i="116"/>
  <c r="I36" i="120"/>
  <c r="AF53" i="119"/>
  <c r="GJ59" i="116"/>
  <c r="AF50" i="119"/>
  <c r="AM65" i="116"/>
  <c r="N56" i="119"/>
  <c r="GI59" i="116"/>
  <c r="AE50" i="119"/>
  <c r="AO82" i="114"/>
  <c r="AX80" i="114"/>
  <c r="AL80" i="114"/>
  <c r="FZ62" i="116"/>
  <c r="EJ62" i="116"/>
  <c r="AE65" i="116"/>
  <c r="AN64" i="116"/>
  <c r="CD64" i="116"/>
  <c r="U55" i="119" s="1"/>
  <c r="CK63" i="116"/>
  <c r="EA63" i="116"/>
  <c r="Y54" i="119" s="1"/>
  <c r="EB63" i="116"/>
  <c r="Z54" i="119" s="1"/>
  <c r="CL63" i="116"/>
  <c r="EL62" i="116"/>
  <c r="GB62" i="116"/>
  <c r="GK57" i="116"/>
  <c r="GB59" i="116"/>
  <c r="T65" i="116"/>
  <c r="EC63" i="116"/>
  <c r="AA54" i="119" s="1"/>
  <c r="CM63" i="116"/>
  <c r="CC65" i="116"/>
  <c r="CL64" i="116"/>
  <c r="EB64" i="116"/>
  <c r="Z55" i="119" s="1"/>
  <c r="AC64" i="116"/>
  <c r="M55" i="119" s="1"/>
  <c r="AC82" i="114"/>
  <c r="G31" i="120" l="1"/>
  <c r="GK59" i="116"/>
  <c r="AG50" i="119"/>
  <c r="GK62" i="116"/>
  <c r="I37" i="120"/>
  <c r="AG53" i="119"/>
  <c r="AN65" i="116"/>
  <c r="O56" i="119"/>
  <c r="H40" i="121"/>
  <c r="H39" i="121"/>
  <c r="G40" i="121"/>
  <c r="G39" i="121"/>
  <c r="E30" i="121"/>
  <c r="B28" i="121"/>
  <c r="D40" i="121"/>
  <c r="D39" i="121"/>
  <c r="I35" i="120"/>
  <c r="I22" i="121"/>
  <c r="F30" i="121"/>
  <c r="F18" i="121"/>
  <c r="I18" i="121" s="1"/>
  <c r="E18" i="121"/>
  <c r="J22" i="121"/>
  <c r="O22" i="121" s="1"/>
  <c r="T22" i="121" s="1"/>
  <c r="C39" i="121"/>
  <c r="C40" i="121"/>
  <c r="I43" i="120"/>
  <c r="I31" i="120"/>
  <c r="CL65" i="116"/>
  <c r="T56" i="119"/>
  <c r="GI62" i="116"/>
  <c r="AE53" i="119"/>
  <c r="AL78" i="114"/>
  <c r="AL82" i="114"/>
  <c r="AX82" i="114"/>
  <c r="BG80" i="114"/>
  <c r="EB65" i="116"/>
  <c r="GA64" i="116"/>
  <c r="AF55" i="119" s="1"/>
  <c r="EK64" i="116"/>
  <c r="GB63" i="116"/>
  <c r="EL63" i="116"/>
  <c r="GA63" i="116"/>
  <c r="EK63" i="116"/>
  <c r="CB64" i="116"/>
  <c r="S55" i="119" s="1"/>
  <c r="AL70" i="116"/>
  <c r="AC65" i="116"/>
  <c r="AL64" i="116"/>
  <c r="FZ63" i="116"/>
  <c r="EJ63" i="116"/>
  <c r="EC64" i="116"/>
  <c r="AA55" i="119" s="1"/>
  <c r="CD65" i="116"/>
  <c r="CM64" i="116"/>
  <c r="CM65" i="116" l="1"/>
  <c r="U56" i="119"/>
  <c r="J18" i="121"/>
  <c r="O18" i="121" s="1"/>
  <c r="T18" i="121" s="1"/>
  <c r="I30" i="121"/>
  <c r="J30" i="121" s="1"/>
  <c r="O30" i="121" s="1"/>
  <c r="T30" i="121" s="1"/>
  <c r="F28" i="121"/>
  <c r="GK63" i="116"/>
  <c r="AG54" i="119"/>
  <c r="B37" i="121"/>
  <c r="E28" i="121"/>
  <c r="GI63" i="116"/>
  <c r="AE54" i="119"/>
  <c r="AL65" i="116"/>
  <c r="M56" i="119"/>
  <c r="GJ63" i="116"/>
  <c r="AF54" i="119"/>
  <c r="EK65" i="116"/>
  <c r="Z56" i="119"/>
  <c r="BG82" i="114"/>
  <c r="CN80" i="114"/>
  <c r="BP80" i="114"/>
  <c r="CK70" i="116"/>
  <c r="EA64" i="116"/>
  <c r="Y55" i="119" s="1"/>
  <c r="CB65" i="116"/>
  <c r="CK64" i="116"/>
  <c r="GA65" i="116"/>
  <c r="GJ64" i="116"/>
  <c r="GB64" i="116"/>
  <c r="AG55" i="119" s="1"/>
  <c r="EL64" i="116"/>
  <c r="EC65" i="116"/>
  <c r="EL65" i="116" l="1"/>
  <c r="AA56" i="119"/>
  <c r="F37" i="121"/>
  <c r="I28" i="121"/>
  <c r="J28" i="121" s="1"/>
  <c r="O28" i="121" s="1"/>
  <c r="T28" i="121" s="1"/>
  <c r="B38" i="121"/>
  <c r="E37" i="121"/>
  <c r="CK65" i="116"/>
  <c r="S56" i="119"/>
  <c r="GJ65" i="116"/>
  <c r="AF56" i="119"/>
  <c r="CN82" i="114"/>
  <c r="CW80" i="114"/>
  <c r="BP82" i="114"/>
  <c r="BY80" i="114"/>
  <c r="CB80" i="114"/>
  <c r="FZ64" i="116"/>
  <c r="AE55" i="119" s="1"/>
  <c r="EJ70" i="116"/>
  <c r="EA65" i="116"/>
  <c r="EJ64" i="116"/>
  <c r="GK64" i="116"/>
  <c r="GB65" i="116"/>
  <c r="B40" i="121" l="1"/>
  <c r="E40" i="121" s="1"/>
  <c r="B39" i="121"/>
  <c r="E39" i="121" s="1"/>
  <c r="E38" i="121"/>
  <c r="F38" i="121"/>
  <c r="I37" i="121"/>
  <c r="J37" i="121" s="1"/>
  <c r="O37" i="121" s="1"/>
  <c r="T37" i="121" s="1"/>
  <c r="GK65" i="116"/>
  <c r="AG56" i="119"/>
  <c r="EJ65" i="116"/>
  <c r="Y56" i="119"/>
  <c r="CB82" i="114"/>
  <c r="CK80" i="114"/>
  <c r="BY78" i="114"/>
  <c r="CW82" i="114"/>
  <c r="DF80" i="114"/>
  <c r="GI70" i="116"/>
  <c r="FZ65" i="116"/>
  <c r="GI64" i="116"/>
  <c r="I38" i="121" l="1"/>
  <c r="F39" i="121"/>
  <c r="I39" i="121" s="1"/>
  <c r="J39" i="121" s="1"/>
  <c r="O39" i="121" s="1"/>
  <c r="T39" i="121" s="1"/>
  <c r="F40" i="121"/>
  <c r="I40" i="121" s="1"/>
  <c r="J40" i="121" s="1"/>
  <c r="O40" i="121" s="1"/>
  <c r="T40" i="121" s="1"/>
  <c r="J38" i="121"/>
  <c r="O38" i="121" s="1"/>
  <c r="T38" i="121" s="1"/>
  <c r="GI65" i="116"/>
  <c r="AE56" i="119"/>
  <c r="DF82" i="114"/>
  <c r="EM80" i="114"/>
  <c r="CK78" i="114"/>
  <c r="DO80" i="114"/>
  <c r="EM82" i="114" l="1"/>
  <c r="EV80" i="114"/>
  <c r="EA80" i="114"/>
  <c r="DO82" i="114"/>
  <c r="DX80" i="114"/>
  <c r="EA82" i="114" l="1"/>
  <c r="EJ80" i="114"/>
  <c r="FE80" i="114"/>
  <c r="FE82" i="114" s="1"/>
  <c r="EV82" i="114"/>
  <c r="DX82" i="114"/>
  <c r="DX78" i="114"/>
  <c r="FN80" i="114"/>
  <c r="FW80" i="114" l="1"/>
  <c r="FN82" i="114"/>
  <c r="EJ78" i="114"/>
  <c r="FZ80" i="114"/>
  <c r="FW82" i="114" l="1"/>
  <c r="FW78" i="114"/>
  <c r="FZ82" i="114"/>
  <c r="GI80" i="114"/>
  <c r="GI78" i="114" l="1"/>
  <c r="K34" i="120"/>
  <c r="K42" i="120"/>
  <c r="K32" i="120" l="1"/>
  <c r="K37" i="120"/>
  <c r="K35" i="120"/>
  <c r="H41" i="120"/>
  <c r="H50" i="120" s="1"/>
  <c r="H51" i="120" s="1"/>
  <c r="F41" i="120"/>
  <c r="F50" i="120" s="1"/>
  <c r="F51" i="120" s="1"/>
  <c r="D41" i="120"/>
  <c r="D50" i="120" s="1"/>
  <c r="D51" i="120" s="1"/>
  <c r="K31" i="120"/>
  <c r="E41" i="120"/>
  <c r="E50" i="120" s="1"/>
  <c r="E51" i="120" s="1"/>
  <c r="K43" i="120"/>
  <c r="G41" i="120"/>
  <c r="G50" i="120" s="1"/>
  <c r="G51" i="120" s="1"/>
  <c r="I41" i="120"/>
  <c r="I50" i="120" s="1"/>
  <c r="I51" i="120" s="1"/>
  <c r="C41" i="120" l="1"/>
  <c r="K41" i="120" s="1"/>
  <c r="G52" i="120"/>
  <c r="G53" i="120"/>
  <c r="G56" i="120" s="1"/>
  <c r="F52" i="120"/>
  <c r="F53" i="120"/>
  <c r="F56" i="120" s="1"/>
  <c r="E52" i="120"/>
  <c r="E53" i="120"/>
  <c r="E56" i="120" s="1"/>
  <c r="D52" i="120"/>
  <c r="D53" i="120"/>
  <c r="D56" i="120" s="1"/>
  <c r="I52" i="120"/>
  <c r="I53" i="120"/>
  <c r="I56" i="120" s="1"/>
  <c r="H52" i="120"/>
  <c r="H53" i="120"/>
  <c r="H56" i="120" s="1"/>
  <c r="C50" i="120" l="1"/>
  <c r="C51" i="120" s="1"/>
  <c r="K50" i="120" l="1"/>
  <c r="C52" i="120"/>
  <c r="K52" i="120" s="1"/>
  <c r="K51" i="120"/>
  <c r="C53" i="120"/>
  <c r="K53" i="120" l="1"/>
  <c r="C56" i="120"/>
  <c r="AJ30" i="114" l="1"/>
  <c r="CI30" i="114" s="1"/>
  <c r="EH30" i="114" s="1"/>
  <c r="GG30" i="114" s="1"/>
  <c r="AI30" i="114"/>
  <c r="CH30" i="114" s="1"/>
  <c r="EG30" i="114" s="1"/>
  <c r="GF30" i="114" s="1"/>
  <c r="I28" i="114"/>
  <c r="AJ28" i="114" s="1"/>
  <c r="I31" i="114"/>
  <c r="I32" i="114" s="1"/>
  <c r="AJ35" i="114" l="1"/>
  <c r="CI28" i="114"/>
  <c r="I75" i="114"/>
  <c r="H31" i="114"/>
  <c r="AJ31" i="114"/>
  <c r="H28" i="114"/>
  <c r="I35" i="114"/>
  <c r="AI28" i="114" l="1"/>
  <c r="H35" i="114"/>
  <c r="AI31" i="114"/>
  <c r="H32" i="114"/>
  <c r="AJ32" i="114"/>
  <c r="CI31" i="114"/>
  <c r="AJ75" i="114"/>
  <c r="CI75" i="114" s="1"/>
  <c r="EH75" i="114" s="1"/>
  <c r="GG75" i="114" s="1"/>
  <c r="I76" i="114"/>
  <c r="H75" i="114"/>
  <c r="AI75" i="114" s="1"/>
  <c r="CH75" i="114" s="1"/>
  <c r="EG75" i="114" s="1"/>
  <c r="GF75" i="114" s="1"/>
  <c r="CI35" i="114"/>
  <c r="EH28" i="114"/>
  <c r="EH35" i="114" l="1"/>
  <c r="GG28" i="114"/>
  <c r="GG35" i="114" s="1"/>
  <c r="AI32" i="114"/>
  <c r="CH31" i="114"/>
  <c r="AI35" i="114"/>
  <c r="CH28" i="114"/>
  <c r="AJ76" i="114"/>
  <c r="I77" i="114"/>
  <c r="H76" i="114"/>
  <c r="CI32" i="114"/>
  <c r="EH31" i="114"/>
  <c r="CH35" i="114" l="1"/>
  <c r="EG28" i="114"/>
  <c r="CH32" i="114"/>
  <c r="EG31" i="114"/>
  <c r="GG31" i="114"/>
  <c r="GG32" i="114" s="1"/>
  <c r="EH32" i="114"/>
  <c r="AI76" i="114"/>
  <c r="H77" i="114"/>
  <c r="AJ77" i="114"/>
  <c r="CI76" i="114"/>
  <c r="AI77" i="114" l="1"/>
  <c r="CH76" i="114"/>
  <c r="EG32" i="114"/>
  <c r="GF31" i="114"/>
  <c r="GF32" i="114" s="1"/>
  <c r="EH76" i="114"/>
  <c r="CI77" i="114"/>
  <c r="EG35" i="114"/>
  <c r="GF28" i="114"/>
  <c r="GF35" i="114" s="1"/>
  <c r="EH77" i="114" l="1"/>
  <c r="GG76" i="114"/>
  <c r="GG77" i="114" s="1"/>
  <c r="CH77" i="114"/>
  <c r="EG76" i="114"/>
  <c r="EG77" i="114" l="1"/>
  <c r="GF76" i="114"/>
  <c r="GF77" i="114" l="1"/>
  <c r="BU68" i="114"/>
  <c r="CA68" i="114" s="1"/>
  <c r="BU63" i="114"/>
  <c r="CG63" i="114" s="1"/>
  <c r="EF63" i="114" s="1"/>
  <c r="BU54" i="114"/>
  <c r="CA54" i="114" s="1"/>
  <c r="BU67" i="114"/>
  <c r="CA67" i="114" s="1"/>
  <c r="BU58" i="114"/>
  <c r="CG58" i="114" s="1"/>
  <c r="BU50" i="114"/>
  <c r="CA50" i="114" s="1"/>
  <c r="BU64" i="114"/>
  <c r="CG64" i="114" s="1"/>
  <c r="CM64" i="114" s="1"/>
  <c r="BU65" i="114"/>
  <c r="CG65" i="114" s="1"/>
  <c r="CM65" i="114" s="1"/>
  <c r="BU55" i="114"/>
  <c r="CA55" i="114" s="1"/>
  <c r="BU56" i="114"/>
  <c r="CA56" i="114" s="1"/>
  <c r="BU57" i="114"/>
  <c r="CA57" i="114" s="1"/>
  <c r="BU51" i="114"/>
  <c r="CA51" i="114" s="1"/>
  <c r="BU61" i="114"/>
  <c r="CA61" i="114" s="1"/>
  <c r="BU62" i="114"/>
  <c r="CA62" i="114" s="1"/>
  <c r="BU44" i="114"/>
  <c r="CA44" i="114" s="1"/>
  <c r="BU66" i="114"/>
  <c r="CA66" i="114" s="1"/>
  <c r="BU42" i="114"/>
  <c r="CA42" i="114" s="1"/>
  <c r="BU53" i="114"/>
  <c r="CA53" i="114" s="1"/>
  <c r="BJ64" i="114"/>
  <c r="BS64" i="114" s="1"/>
  <c r="CE64" i="114" s="1"/>
  <c r="BJ42" i="114"/>
  <c r="BS42" i="114" s="1"/>
  <c r="BJ44" i="114"/>
  <c r="BS44" i="114" s="1"/>
  <c r="BJ65" i="114"/>
  <c r="BS65" i="114" s="1"/>
  <c r="CE65" i="114" s="1"/>
  <c r="BJ62" i="114"/>
  <c r="BS62" i="114" s="1"/>
  <c r="BJ67" i="114"/>
  <c r="BS67" i="114" s="1"/>
  <c r="BY67" i="114" s="1"/>
  <c r="BJ60" i="114"/>
  <c r="BS60" i="114" s="1"/>
  <c r="BY60" i="114" s="1"/>
  <c r="BJ57" i="114"/>
  <c r="BS57" i="114" s="1"/>
  <c r="BJ46" i="114"/>
  <c r="BS46" i="114" s="1"/>
  <c r="BU46" i="114"/>
  <c r="CA46" i="114" s="1"/>
  <c r="BJ49" i="114"/>
  <c r="BS49" i="114" s="1"/>
  <c r="BJ50" i="114"/>
  <c r="BS50" i="114" s="1"/>
  <c r="BU49" i="114"/>
  <c r="CA49" i="114" s="1"/>
  <c r="BU60" i="114"/>
  <c r="CA60" i="114" s="1"/>
  <c r="BU52" i="114"/>
  <c r="CA52" i="114" s="1"/>
  <c r="BU47" i="114"/>
  <c r="CA47" i="114" s="1"/>
  <c r="BJ61" i="114"/>
  <c r="BS61" i="114" s="1"/>
  <c r="BY61" i="114" s="1"/>
  <c r="BJ63" i="114"/>
  <c r="BS63" i="114" s="1"/>
  <c r="CE63" i="114" s="1"/>
  <c r="BJ55" i="114"/>
  <c r="BS55" i="114" s="1"/>
  <c r="BJ54" i="114"/>
  <c r="BS54" i="114" s="1"/>
  <c r="BY54" i="114" s="1"/>
  <c r="BJ66" i="114"/>
  <c r="BS66" i="114" s="1"/>
  <c r="BY66" i="114" s="1"/>
  <c r="BJ68" i="114"/>
  <c r="BS68" i="114" s="1"/>
  <c r="BY68" i="114" s="1"/>
  <c r="BJ52" i="114"/>
  <c r="BS52" i="114" s="1"/>
  <c r="BY52" i="114" s="1"/>
  <c r="BJ56" i="114"/>
  <c r="BS56" i="114" s="1"/>
  <c r="BY56" i="114" s="1"/>
  <c r="BJ58" i="114"/>
  <c r="BS58" i="114" s="1"/>
  <c r="BY58" i="114" s="1"/>
  <c r="BJ47" i="114"/>
  <c r="BJ51" i="114"/>
  <c r="BS51" i="114" s="1"/>
  <c r="BJ53" i="114"/>
  <c r="BS53" i="114" s="1"/>
  <c r="BU41" i="114"/>
  <c r="CA41" i="114" s="1"/>
  <c r="BJ41" i="114"/>
  <c r="BS41" i="114" s="1"/>
  <c r="BL69" i="114"/>
  <c r="BJ69" i="114" s="1"/>
  <c r="CG44" i="114" l="1"/>
  <c r="CM44" i="114" s="1"/>
  <c r="BJ48" i="114"/>
  <c r="CG66" i="114"/>
  <c r="CM66" i="114" s="1"/>
  <c r="BJ71" i="114"/>
  <c r="BJ82" i="114"/>
  <c r="CG49" i="114"/>
  <c r="CM49" i="114" s="1"/>
  <c r="BS47" i="114"/>
  <c r="BS48" i="114" s="1"/>
  <c r="BY48" i="114" s="1"/>
  <c r="CG53" i="114"/>
  <c r="CM53" i="114" s="1"/>
  <c r="CG61" i="114"/>
  <c r="CM61" i="114" s="1"/>
  <c r="CG56" i="114"/>
  <c r="CM56" i="114" s="1"/>
  <c r="CE51" i="114"/>
  <c r="BY51" i="114"/>
  <c r="CK63" i="114"/>
  <c r="ED63" i="114"/>
  <c r="BY50" i="114"/>
  <c r="CE50" i="114"/>
  <c r="CE57" i="114"/>
  <c r="BY57" i="114"/>
  <c r="ED65" i="114"/>
  <c r="CK65" i="114"/>
  <c r="BY42" i="114"/>
  <c r="CE42" i="114"/>
  <c r="CK64" i="114"/>
  <c r="ED64" i="114"/>
  <c r="EL63" i="114"/>
  <c r="GE63" i="114"/>
  <c r="GK63" i="114" s="1"/>
  <c r="CE41" i="114"/>
  <c r="BY41" i="114"/>
  <c r="CE53" i="114"/>
  <c r="BY53" i="114"/>
  <c r="BY55" i="114"/>
  <c r="CE55" i="114"/>
  <c r="BY49" i="114"/>
  <c r="CE49" i="114"/>
  <c r="BY46" i="114"/>
  <c r="CE46" i="114"/>
  <c r="CE62" i="114"/>
  <c r="BY62" i="114"/>
  <c r="CE44" i="114"/>
  <c r="BY44" i="114"/>
  <c r="CM58" i="114"/>
  <c r="EF58" i="114"/>
  <c r="BU69" i="114"/>
  <c r="CE58" i="114"/>
  <c r="CE56" i="114"/>
  <c r="CE52" i="114"/>
  <c r="CE68" i="114"/>
  <c r="CE66" i="114"/>
  <c r="CE61" i="114"/>
  <c r="CG52" i="114"/>
  <c r="CE54" i="114"/>
  <c r="CG41" i="114"/>
  <c r="CG42" i="114"/>
  <c r="EF44" i="114"/>
  <c r="CG62" i="114"/>
  <c r="CG51" i="114"/>
  <c r="CG57" i="114"/>
  <c r="EF56" i="114"/>
  <c r="CG55" i="114"/>
  <c r="EF65" i="114"/>
  <c r="EF64" i="114"/>
  <c r="CG68" i="114"/>
  <c r="BL71" i="114"/>
  <c r="CG67" i="114"/>
  <c r="CM63" i="114"/>
  <c r="BU48" i="114"/>
  <c r="CA48" i="114" s="1"/>
  <c r="CA58" i="114"/>
  <c r="BL74" i="114"/>
  <c r="CG47" i="114"/>
  <c r="CG60" i="114"/>
  <c r="CG46" i="114"/>
  <c r="CE60" i="114"/>
  <c r="CE67" i="114"/>
  <c r="CG54" i="114"/>
  <c r="CG50" i="114"/>
  <c r="EF66" i="114" l="1"/>
  <c r="EL66" i="114" s="1"/>
  <c r="EF49" i="114"/>
  <c r="EL49" i="114" s="1"/>
  <c r="BY47" i="114"/>
  <c r="CE47" i="114"/>
  <c r="CK47" i="114" s="1"/>
  <c r="EF61" i="114"/>
  <c r="EL61" i="114" s="1"/>
  <c r="EF53" i="114"/>
  <c r="EL53" i="114" s="1"/>
  <c r="CM47" i="114"/>
  <c r="CG48" i="114"/>
  <c r="CM48" i="114" s="1"/>
  <c r="EF47" i="114"/>
  <c r="CM50" i="114"/>
  <c r="EF50" i="114"/>
  <c r="CK67" i="114"/>
  <c r="ED67" i="114"/>
  <c r="CM46" i="114"/>
  <c r="EF46" i="114"/>
  <c r="CM60" i="114"/>
  <c r="EF60" i="114"/>
  <c r="BU74" i="114"/>
  <c r="BJ74" i="114"/>
  <c r="BS74" i="114" s="1"/>
  <c r="BL75" i="114"/>
  <c r="BL76" i="114" s="1"/>
  <c r="CM67" i="114"/>
  <c r="EF67" i="114"/>
  <c r="EF68" i="114"/>
  <c r="CM68" i="114"/>
  <c r="GE65" i="114"/>
  <c r="GK65" i="114" s="1"/>
  <c r="EL65" i="114"/>
  <c r="EL56" i="114"/>
  <c r="GE56" i="114"/>
  <c r="GK56" i="114" s="1"/>
  <c r="EF51" i="114"/>
  <c r="CM51" i="114"/>
  <c r="EF62" i="114"/>
  <c r="CM62" i="114"/>
  <c r="CM42" i="114"/>
  <c r="EF42" i="114"/>
  <c r="CM41" i="114"/>
  <c r="CG69" i="114"/>
  <c r="EF41" i="114"/>
  <c r="EF52" i="114"/>
  <c r="CM52" i="114"/>
  <c r="ED66" i="114"/>
  <c r="CK66" i="114"/>
  <c r="CK52" i="114"/>
  <c r="ED52" i="114"/>
  <c r="CK58" i="114"/>
  <c r="ED58" i="114"/>
  <c r="CA69" i="114"/>
  <c r="BS69" i="114"/>
  <c r="BS82" i="114" s="1"/>
  <c r="BU71" i="114"/>
  <c r="CA71" i="114" s="1"/>
  <c r="CK44" i="114"/>
  <c r="ED44" i="114"/>
  <c r="CK62" i="114"/>
  <c r="ED62" i="114"/>
  <c r="CK53" i="114"/>
  <c r="ED53" i="114"/>
  <c r="CK41" i="114"/>
  <c r="ED41" i="114"/>
  <c r="GC65" i="114"/>
  <c r="GI65" i="114" s="1"/>
  <c r="EJ65" i="114"/>
  <c r="CK57" i="114"/>
  <c r="ED57" i="114"/>
  <c r="CK51" i="114"/>
  <c r="ED51" i="114"/>
  <c r="CM54" i="114"/>
  <c r="EF54" i="114"/>
  <c r="CK60" i="114"/>
  <c r="ED60" i="114"/>
  <c r="GE64" i="114"/>
  <c r="GK64" i="114" s="1"/>
  <c r="EL64" i="114"/>
  <c r="EF55" i="114"/>
  <c r="CM55" i="114"/>
  <c r="EF57" i="114"/>
  <c r="CM57" i="114"/>
  <c r="EL44" i="114"/>
  <c r="GE44" i="114"/>
  <c r="GK44" i="114" s="1"/>
  <c r="GE66" i="114"/>
  <c r="GK66" i="114" s="1"/>
  <c r="GE53" i="114"/>
  <c r="GK53" i="114" s="1"/>
  <c r="CK54" i="114"/>
  <c r="ED54" i="114"/>
  <c r="CK61" i="114"/>
  <c r="ED61" i="114"/>
  <c r="ED68" i="114"/>
  <c r="CK68" i="114"/>
  <c r="ED56" i="114"/>
  <c r="CK56" i="114"/>
  <c r="EL58" i="114"/>
  <c r="GE58" i="114"/>
  <c r="GK58" i="114" s="1"/>
  <c r="CK46" i="114"/>
  <c r="ED46" i="114"/>
  <c r="CK49" i="114"/>
  <c r="ED49" i="114"/>
  <c r="ED55" i="114"/>
  <c r="CK55" i="114"/>
  <c r="EJ64" i="114"/>
  <c r="GC64" i="114"/>
  <c r="GI64" i="114" s="1"/>
  <c r="ED42" i="114"/>
  <c r="CK42" i="114"/>
  <c r="ED50" i="114"/>
  <c r="CK50" i="114"/>
  <c r="GC63" i="114"/>
  <c r="GI63" i="114" s="1"/>
  <c r="EJ63" i="114"/>
  <c r="GE49" i="114" l="1"/>
  <c r="GK49" i="114" s="1"/>
  <c r="CE48" i="114"/>
  <c r="CK48" i="114" s="1"/>
  <c r="GE61" i="114"/>
  <c r="GK61" i="114" s="1"/>
  <c r="ED47" i="114"/>
  <c r="ED48" i="114" s="1"/>
  <c r="EJ48" i="114" s="1"/>
  <c r="BU76" i="114"/>
  <c r="BJ76" i="114"/>
  <c r="BL77" i="114"/>
  <c r="EJ49" i="114"/>
  <c r="GC49" i="114"/>
  <c r="GI49" i="114" s="1"/>
  <c r="EJ56" i="114"/>
  <c r="GC56" i="114"/>
  <c r="GI56" i="114" s="1"/>
  <c r="EJ50" i="114"/>
  <c r="GC50" i="114"/>
  <c r="GI50" i="114" s="1"/>
  <c r="GC42" i="114"/>
  <c r="GI42" i="114" s="1"/>
  <c r="EJ42" i="114"/>
  <c r="GC55" i="114"/>
  <c r="GI55" i="114" s="1"/>
  <c r="EJ55" i="114"/>
  <c r="EJ61" i="114"/>
  <c r="GC61" i="114"/>
  <c r="GI61" i="114" s="1"/>
  <c r="EJ54" i="114"/>
  <c r="GC54" i="114"/>
  <c r="GI54" i="114" s="1"/>
  <c r="EJ60" i="114"/>
  <c r="GC60" i="114"/>
  <c r="GI60" i="114" s="1"/>
  <c r="GE54" i="114"/>
  <c r="GK54" i="114" s="1"/>
  <c r="EL54" i="114"/>
  <c r="EJ51" i="114"/>
  <c r="GC51" i="114"/>
  <c r="GI51" i="114" s="1"/>
  <c r="EJ57" i="114"/>
  <c r="GC57" i="114"/>
  <c r="GI57" i="114" s="1"/>
  <c r="GC41" i="114"/>
  <c r="GI41" i="114" s="1"/>
  <c r="EJ41" i="114"/>
  <c r="GC53" i="114"/>
  <c r="GI53" i="114" s="1"/>
  <c r="EJ53" i="114"/>
  <c r="EJ62" i="114"/>
  <c r="GC62" i="114"/>
  <c r="GI62" i="114" s="1"/>
  <c r="EJ44" i="114"/>
  <c r="GC44" i="114"/>
  <c r="GI44" i="114" s="1"/>
  <c r="EJ66" i="114"/>
  <c r="GC66" i="114"/>
  <c r="GI66" i="114" s="1"/>
  <c r="EL52" i="114"/>
  <c r="GE52" i="114"/>
  <c r="GK52" i="114" s="1"/>
  <c r="CM69" i="114"/>
  <c r="CE69" i="114"/>
  <c r="CE82" i="114" s="1"/>
  <c r="CG71" i="114"/>
  <c r="CM71" i="114" s="1"/>
  <c r="EL42" i="114"/>
  <c r="GE42" i="114"/>
  <c r="GK42" i="114" s="1"/>
  <c r="GE67" i="114"/>
  <c r="GK67" i="114" s="1"/>
  <c r="EL67" i="114"/>
  <c r="BY74" i="114"/>
  <c r="CE74" i="114"/>
  <c r="GE60" i="114"/>
  <c r="GK60" i="114" s="1"/>
  <c r="EL60" i="114"/>
  <c r="GE46" i="114"/>
  <c r="GK46" i="114" s="1"/>
  <c r="EL46" i="114"/>
  <c r="GC67" i="114"/>
  <c r="GI67" i="114" s="1"/>
  <c r="EJ67" i="114"/>
  <c r="EL50" i="114"/>
  <c r="GE50" i="114"/>
  <c r="GK50" i="114" s="1"/>
  <c r="EF48" i="114"/>
  <c r="EL48" i="114" s="1"/>
  <c r="GE47" i="114"/>
  <c r="EL47" i="114"/>
  <c r="EJ46" i="114"/>
  <c r="GC46" i="114"/>
  <c r="GI46" i="114" s="1"/>
  <c r="EJ68" i="114"/>
  <c r="GC68" i="114"/>
  <c r="GI68" i="114" s="1"/>
  <c r="EL57" i="114"/>
  <c r="GE57" i="114"/>
  <c r="GK57" i="114" s="1"/>
  <c r="EL55" i="114"/>
  <c r="GE55" i="114"/>
  <c r="GK55" i="114" s="1"/>
  <c r="BY69" i="114"/>
  <c r="BS71" i="114"/>
  <c r="BY71" i="114" s="1"/>
  <c r="EJ58" i="114"/>
  <c r="GC58" i="114"/>
  <c r="GI58" i="114" s="1"/>
  <c r="EJ52" i="114"/>
  <c r="GC52" i="114"/>
  <c r="GI52" i="114" s="1"/>
  <c r="GE41" i="114"/>
  <c r="EL41" i="114"/>
  <c r="EF69" i="114"/>
  <c r="EL62" i="114"/>
  <c r="GE62" i="114"/>
  <c r="GK62" i="114" s="1"/>
  <c r="EL51" i="114"/>
  <c r="GE51" i="114"/>
  <c r="GK51" i="114" s="1"/>
  <c r="EL68" i="114"/>
  <c r="GE68" i="114"/>
  <c r="GK68" i="114" s="1"/>
  <c r="BU75" i="114"/>
  <c r="BJ75" i="114"/>
  <c r="BS75" i="114" s="1"/>
  <c r="CG74" i="114"/>
  <c r="CA74" i="114"/>
  <c r="EJ47" i="114" l="1"/>
  <c r="ED69" i="114"/>
  <c r="ED82" i="114" s="1"/>
  <c r="GC47" i="114"/>
  <c r="GC48" i="114" s="1"/>
  <c r="GI48" i="114" s="1"/>
  <c r="CM74" i="114"/>
  <c r="EF74" i="114"/>
  <c r="CA75" i="114"/>
  <c r="CG75" i="114"/>
  <c r="CK69" i="114"/>
  <c r="CE71" i="114"/>
  <c r="CK71" i="114" s="1"/>
  <c r="CA76" i="114"/>
  <c r="BU77" i="114"/>
  <c r="CA77" i="114" s="1"/>
  <c r="CG76" i="114"/>
  <c r="CE75" i="114"/>
  <c r="BY75" i="114"/>
  <c r="EF71" i="114"/>
  <c r="EL71" i="114" s="1"/>
  <c r="EL69" i="114"/>
  <c r="GK41" i="114"/>
  <c r="GE69" i="114"/>
  <c r="GK47" i="114"/>
  <c r="GE48" i="114"/>
  <c r="GK48" i="114" s="1"/>
  <c r="ED74" i="114"/>
  <c r="CK74" i="114"/>
  <c r="BJ77" i="114"/>
  <c r="BS76" i="114"/>
  <c r="EJ69" i="114" l="1"/>
  <c r="GI47" i="114"/>
  <c r="ED71" i="114"/>
  <c r="EJ71" i="114" s="1"/>
  <c r="EJ74" i="114"/>
  <c r="GC74" i="114"/>
  <c r="GI74" i="114" s="1"/>
  <c r="CK75" i="114"/>
  <c r="ED75" i="114"/>
  <c r="BY76" i="114"/>
  <c r="BY82" i="114"/>
  <c r="CE76" i="114"/>
  <c r="BS77" i="114"/>
  <c r="BY77" i="114" s="1"/>
  <c r="GE71" i="114"/>
  <c r="GK71" i="114" s="1"/>
  <c r="GC69" i="114"/>
  <c r="GC82" i="114" s="1"/>
  <c r="GK69" i="114"/>
  <c r="EF76" i="114"/>
  <c r="CM76" i="114"/>
  <c r="CG77" i="114"/>
  <c r="CM77" i="114" s="1"/>
  <c r="EF75" i="114"/>
  <c r="CM75" i="114"/>
  <c r="GE74" i="114"/>
  <c r="GK74" i="114" s="1"/>
  <c r="EL74" i="114"/>
  <c r="EL76" i="114" l="1"/>
  <c r="EF77" i="114"/>
  <c r="EL77" i="114" s="1"/>
  <c r="GE76" i="114"/>
  <c r="GC75" i="114"/>
  <c r="GI75" i="114" s="1"/>
  <c r="EJ75" i="114"/>
  <c r="EL75" i="114"/>
  <c r="GE75" i="114"/>
  <c r="GK75" i="114" s="1"/>
  <c r="CK82" i="114"/>
  <c r="CK76" i="114"/>
  <c r="CE77" i="114"/>
  <c r="CK77" i="114" s="1"/>
  <c r="ED76" i="114"/>
  <c r="GI69" i="114"/>
  <c r="GC71" i="114"/>
  <c r="GI71" i="114" s="1"/>
  <c r="EJ76" i="114" l="1"/>
  <c r="ED77" i="114"/>
  <c r="EJ77" i="114" s="1"/>
  <c r="EJ82" i="114"/>
  <c r="GC76" i="114"/>
  <c r="GE77" i="114"/>
  <c r="GK77" i="114" s="1"/>
  <c r="GK76" i="114"/>
  <c r="GC77" i="114" l="1"/>
  <c r="GI77" i="114" s="1"/>
  <c r="GI76" i="114"/>
  <c r="GI82" i="114"/>
  <c r="H23" i="116"/>
  <c r="AI17" i="116"/>
  <c r="AI23" i="116" s="1"/>
  <c r="I23" i="116"/>
  <c r="I21" i="116"/>
  <c r="I22" i="116" s="1"/>
  <c r="CH17" i="116" l="1"/>
  <c r="CH23" i="116" s="1"/>
  <c r="I63" i="116"/>
  <c r="AJ21" i="116"/>
  <c r="AJ17" i="116"/>
  <c r="EG17" i="116" l="1"/>
  <c r="GF17" i="116" s="1"/>
  <c r="GF23" i="116" s="1"/>
  <c r="AJ23" i="116"/>
  <c r="CI17" i="116"/>
  <c r="AJ63" i="116"/>
  <c r="CI63" i="116" s="1"/>
  <c r="EH63" i="116" s="1"/>
  <c r="GG63" i="116" s="1"/>
  <c r="I64" i="116"/>
  <c r="H63" i="116"/>
  <c r="AI63" i="116" s="1"/>
  <c r="CH63" i="116" s="1"/>
  <c r="EG63" i="116" s="1"/>
  <c r="GF63" i="116" s="1"/>
  <c r="H22" i="116"/>
  <c r="AI21" i="116"/>
  <c r="AJ22" i="116"/>
  <c r="CI21" i="116"/>
  <c r="EG23" i="116" l="1"/>
  <c r="EH21" i="116"/>
  <c r="CI22" i="116"/>
  <c r="CH21" i="116"/>
  <c r="AI22" i="116"/>
  <c r="H64" i="116"/>
  <c r="I65" i="116"/>
  <c r="AJ64" i="116"/>
  <c r="EH17" i="116"/>
  <c r="CI23" i="116"/>
  <c r="EH23" i="116" l="1"/>
  <c r="GG17" i="116"/>
  <c r="GG23" i="116" s="1"/>
  <c r="AJ65" i="116"/>
  <c r="CI64" i="116"/>
  <c r="H65" i="116"/>
  <c r="AI64" i="116"/>
  <c r="CH22" i="116"/>
  <c r="EG21" i="116"/>
  <c r="EH22" i="116"/>
  <c r="GG21" i="116"/>
  <c r="GG22" i="116" s="1"/>
  <c r="CI65" i="116" l="1"/>
  <c r="EH64" i="116"/>
  <c r="GF21" i="116"/>
  <c r="GF22" i="116" s="1"/>
  <c r="EG22" i="116"/>
  <c r="AI65" i="116"/>
  <c r="CH64" i="116"/>
  <c r="CH65" i="116" l="1"/>
  <c r="EG64" i="116"/>
  <c r="GG64" i="116"/>
  <c r="GG65" i="116" s="1"/>
  <c r="EH65" i="116"/>
  <c r="EG65" i="116" l="1"/>
  <c r="GF64" i="116"/>
  <c r="GF65" i="116" l="1"/>
</calcChain>
</file>

<file path=xl/comments1.xml><?xml version="1.0" encoding="utf-8"?>
<comments xmlns="http://schemas.openxmlformats.org/spreadsheetml/2006/main">
  <authors>
    <author>Автор</author>
  </authors>
  <commentList>
    <comment ref="D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>
  <authors>
    <author>berdennikovasn</author>
  </authors>
  <commentList>
    <comment ref="Y66" authorId="0" shape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<sst xmlns="http://schemas.openxmlformats.org/spreadsheetml/2006/main" count="14526" uniqueCount="3754">
  <si>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</si>
  <si>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</si>
  <si>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</si>
  <si>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</si>
  <si>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</si>
  <si>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</si>
  <si>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</si>
  <si>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</si>
  <si>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</si>
  <si>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</si>
  <si>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</si>
  <si>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</si>
  <si>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</si>
  <si>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</si>
  <si>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</si>
  <si>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</si>
  <si>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</si>
  <si>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</si>
  <si>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</si>
  <si>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</si>
  <si>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</si>
  <si>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</si>
  <si>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</si>
  <si>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</si>
  <si>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</si>
  <si>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</si>
  <si>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</si>
  <si>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</si>
  <si>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</si>
  <si>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</si>
  <si>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</si>
  <si>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</si>
  <si>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</si>
  <si>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</si>
  <si>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</si>
  <si>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</si>
  <si>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</si>
  <si>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</si>
  <si>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</si>
  <si>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</si>
  <si>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</si>
  <si>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</si>
  <si>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</si>
  <si>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</si>
  <si>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</si>
  <si>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</si>
  <si>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</si>
  <si>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</si>
  <si>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</si>
  <si>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</si>
  <si>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</si>
  <si>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</si>
  <si>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</si>
  <si>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</si>
  <si>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</si>
  <si>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</si>
  <si>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</si>
  <si>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</si>
  <si>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</si>
  <si>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</si>
  <si>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</si>
  <si>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</si>
  <si>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</si>
  <si>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</si>
  <si>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</si>
  <si>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</si>
  <si>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</si>
  <si>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</si>
  <si>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</si>
  <si>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</si>
  <si>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</si>
  <si>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</si>
  <si>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</si>
  <si>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</si>
  <si>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</si>
  <si>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</si>
  <si>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</si>
  <si>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</si>
  <si>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</si>
  <si>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</si>
  <si>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</si>
  <si>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</si>
  <si>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</si>
  <si>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</si>
  <si>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</si>
  <si>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</si>
  <si>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</si>
  <si>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</si>
  <si>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</si>
  <si>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</si>
  <si>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</si>
  <si>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</si>
  <si>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</si>
  <si>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</si>
  <si>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</si>
  <si>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</si>
  <si>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</si>
  <si>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</si>
  <si>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</si>
  <si>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</si>
  <si>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</si>
  <si>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</si>
  <si>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</si>
  <si>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</si>
  <si>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</si>
  <si>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</si>
  <si>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</si>
  <si>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</si>
  <si>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</si>
  <si>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</si>
  <si>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</si>
  <si>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</si>
  <si>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</si>
  <si>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</si>
  <si>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</si>
  <si>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</si>
  <si>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</si>
  <si>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</si>
  <si>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</si>
  <si>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</si>
  <si>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</si>
  <si>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</si>
  <si>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</si>
  <si>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</si>
  <si>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</si>
  <si>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</si>
  <si>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</si>
  <si>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</si>
  <si>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</si>
  <si>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</si>
  <si>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</si>
  <si>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</si>
  <si>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</si>
  <si>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</si>
  <si>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</si>
  <si>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</si>
  <si>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</si>
  <si>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</si>
  <si>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</si>
  <si>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</si>
  <si>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</si>
  <si>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</si>
  <si>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</si>
  <si>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</si>
  <si>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</si>
  <si>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</si>
  <si>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</si>
  <si>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</si>
  <si>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</si>
  <si>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</si>
  <si>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</si>
  <si>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</si>
  <si>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</si>
  <si>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</si>
  <si>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</si>
  <si>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</si>
  <si>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</si>
  <si>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</si>
  <si>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</si>
  <si>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</si>
  <si>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</si>
  <si>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</si>
  <si>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</si>
  <si>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</si>
  <si>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</si>
  <si>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</si>
  <si>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</si>
  <si>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</si>
  <si>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</si>
  <si>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</si>
  <si>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</si>
  <si>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Проверка приборов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</si>
  <si>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</si>
  <si>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</si>
  <si>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</si>
  <si>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</si>
  <si>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</si>
  <si>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</si>
  <si>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</si>
  <si>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</si>
  <si>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</si>
  <si>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</si>
  <si>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</si>
  <si>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</si>
  <si>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</si>
  <si>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</si>
  <si>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</si>
  <si>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</si>
  <si>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</si>
  <si>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</si>
  <si>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</si>
  <si>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</si>
  <si>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</si>
  <si>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</si>
  <si>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</si>
  <si>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</si>
  <si>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</si>
  <si>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</si>
  <si>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</si>
  <si>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</si>
  <si>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</si>
  <si>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</si>
  <si>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</si>
  <si>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</si>
  <si>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</si>
  <si>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</si>
  <si>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</si>
  <si>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</si>
  <si>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</si>
  <si>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</si>
  <si>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</si>
  <si>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</si>
  <si>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</si>
  <si>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</si>
  <si>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</si>
  <si>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</si>
  <si>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</si>
  <si>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</si>
  <si>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</si>
  <si>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</si>
  <si>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</si>
  <si>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</si>
  <si>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</si>
  <si>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</si>
  <si>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</si>
  <si>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</si>
  <si>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</si>
  <si>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</si>
  <si>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</si>
  <si>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</si>
  <si>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</si>
  <si>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</si>
  <si>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</si>
  <si>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</si>
  <si>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</si>
  <si>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</si>
  <si>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</si>
  <si>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</si>
  <si>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</si>
  <si>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</si>
  <si>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</si>
  <si>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</si>
  <si>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</si>
  <si>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</si>
  <si>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</si>
  <si>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</si>
  <si>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</si>
  <si>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</si>
  <si>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</si>
  <si>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</si>
  <si>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</si>
  <si>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</si>
  <si>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</si>
  <si>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</si>
  <si>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</si>
  <si>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</si>
  <si>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</si>
  <si>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</si>
  <si>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</si>
  <si>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</si>
  <si>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</si>
  <si>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</si>
  <si>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</si>
  <si>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</si>
  <si>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</si>
  <si>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</si>
  <si>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</si>
  <si>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</si>
  <si>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</si>
  <si>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</si>
  <si>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</si>
  <si>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</si>
  <si>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</si>
  <si>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</si>
  <si>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</si>
  <si>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</si>
  <si>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</si>
  <si>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</si>
  <si>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</si>
  <si>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</si>
  <si>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</si>
  <si>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</si>
  <si>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</si>
  <si>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</si>
  <si>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</si>
  <si>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</si>
  <si>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</si>
  <si>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</si>
  <si>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</si>
  <si>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</si>
  <si>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</si>
  <si>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</si>
  <si>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</si>
  <si>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</si>
  <si>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</si>
  <si>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</si>
  <si>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</si>
  <si>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</si>
  <si>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</si>
  <si>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</si>
  <si>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</si>
  <si>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</si>
  <si>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</si>
  <si>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</si>
  <si>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</si>
  <si>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</si>
  <si>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</si>
  <si>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</si>
  <si>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</si>
  <si>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</si>
  <si>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</si>
  <si>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</si>
  <si>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</si>
  <si>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Расходы на обучение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</si>
  <si>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</si>
  <si>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</si>
  <si>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</si>
  <si>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</si>
  <si>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</si>
  <si>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</si>
  <si>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</si>
  <si>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</si>
  <si>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</si>
  <si>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</si>
  <si>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</si>
  <si>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</si>
  <si>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</si>
  <si>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</si>
  <si>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</si>
  <si>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</si>
  <si>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</si>
  <si>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</si>
  <si>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</si>
  <si>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</si>
  <si>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</si>
  <si>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</si>
  <si>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</si>
  <si>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</si>
  <si>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</si>
  <si>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</si>
  <si>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</si>
  <si>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</si>
  <si>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</si>
  <si>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</si>
  <si>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</si>
  <si>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</si>
  <si>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</si>
  <si>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</si>
  <si>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</si>
  <si>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</si>
  <si>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</si>
  <si>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</si>
  <si>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</si>
  <si>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</si>
  <si>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</si>
  <si>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</si>
  <si>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</si>
  <si>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</si>
  <si>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</si>
  <si>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</si>
  <si>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</si>
  <si>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</si>
  <si>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</si>
  <si>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</si>
  <si>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</si>
  <si>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</si>
  <si>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</si>
  <si>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</si>
  <si>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</si>
  <si>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</si>
  <si>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</si>
  <si>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</si>
  <si>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</si>
  <si>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</si>
  <si>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</si>
  <si>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</si>
  <si>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</si>
  <si>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</si>
  <si>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</si>
  <si>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</si>
  <si>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</si>
  <si>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</si>
  <si>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</si>
  <si>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</si>
  <si>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</si>
  <si>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</si>
  <si>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</si>
  <si>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</si>
  <si>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</si>
  <si>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</si>
  <si>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</si>
  <si>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</si>
  <si>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</si>
  <si>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</si>
  <si>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</si>
  <si>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</si>
  <si>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</si>
  <si>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</si>
  <si>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</si>
  <si>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</si>
  <si>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</si>
  <si>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</si>
  <si>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</si>
  <si>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</si>
  <si>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</si>
  <si>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</si>
  <si>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</si>
  <si>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</si>
  <si>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</si>
  <si>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</si>
  <si>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</si>
  <si>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</si>
  <si>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</si>
  <si>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</si>
  <si>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</si>
  <si>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</si>
  <si>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</si>
  <si>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</si>
  <si>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</si>
  <si>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</si>
  <si>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</si>
  <si>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</si>
  <si>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</si>
  <si>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</si>
  <si>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</si>
  <si>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</si>
  <si>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</si>
  <si>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</si>
  <si>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</si>
  <si>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</si>
  <si>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</si>
  <si>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</si>
  <si>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</si>
  <si>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</si>
  <si>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</si>
  <si>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</si>
  <si>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</si>
  <si>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</si>
  <si>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</si>
  <si>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</si>
  <si>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</si>
  <si>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</si>
  <si>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</si>
  <si>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</si>
  <si>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</si>
  <si>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</si>
  <si>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</si>
  <si>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</si>
  <si>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</si>
  <si>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</si>
  <si>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</si>
  <si>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</si>
  <si>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</si>
  <si>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</si>
  <si>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</si>
  <si>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</si>
  <si>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</si>
  <si>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</si>
  <si>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</si>
  <si>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</si>
  <si>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</si>
  <si>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</si>
  <si>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</si>
  <si>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</si>
  <si>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</si>
  <si>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</si>
  <si>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</si>
  <si>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</si>
  <si>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</si>
  <si>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</si>
  <si>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</si>
  <si>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</si>
  <si>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</si>
  <si>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</si>
  <si>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</si>
  <si>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</si>
  <si>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</si>
  <si>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</si>
  <si>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</si>
  <si>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</si>
  <si>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</si>
  <si>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</si>
  <si>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</si>
  <si>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</si>
  <si>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</si>
  <si>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</si>
  <si>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</si>
  <si>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</si>
  <si>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</si>
  <si>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</si>
  <si>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</si>
  <si>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</si>
  <si>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</si>
  <si>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</si>
  <si>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</si>
  <si>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</si>
  <si>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</si>
  <si>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</si>
  <si>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</si>
  <si>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</si>
  <si>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</si>
  <si>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</si>
  <si>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</si>
  <si>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</si>
  <si>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</si>
  <si>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</si>
  <si>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</si>
  <si>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</si>
  <si>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</si>
  <si>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</si>
  <si>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</si>
  <si>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</si>
  <si>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</si>
  <si>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</si>
  <si>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</si>
  <si>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</si>
  <si>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</si>
  <si>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</si>
  <si>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</si>
  <si>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</si>
  <si>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</si>
  <si>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</si>
  <si>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</si>
  <si>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</si>
  <si>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</si>
  <si>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</si>
  <si>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</si>
  <si>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</si>
  <si>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</si>
  <si>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</si>
  <si>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</si>
  <si>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</si>
  <si>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</si>
  <si>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</si>
  <si>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</si>
  <si>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</si>
  <si>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</si>
  <si>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</si>
  <si>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</si>
  <si>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</si>
  <si>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</si>
  <si>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</si>
  <si>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</si>
  <si>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</si>
  <si>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</si>
  <si>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</si>
  <si>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</si>
  <si>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</si>
  <si>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</si>
  <si>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</si>
  <si>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</si>
  <si>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</si>
  <si>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</si>
  <si>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</si>
  <si>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</si>
  <si>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</si>
  <si>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</si>
  <si>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</si>
  <si>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</si>
  <si>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</si>
  <si>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</si>
  <si>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</si>
  <si>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</si>
  <si>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</si>
  <si>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</si>
  <si>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</si>
  <si>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</si>
  <si>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</si>
  <si>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</si>
  <si>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</si>
  <si>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</si>
  <si>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</si>
  <si>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</si>
  <si>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</si>
  <si>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</si>
  <si>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</si>
  <si>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разработка проекта ПДС</t>
  </si>
  <si>
    <t>техосмотр</t>
  </si>
  <si>
    <t>услуги банка и почты</t>
  </si>
  <si>
    <t>прочие расходы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</si>
  <si>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</si>
  <si>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</si>
  <si>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</si>
  <si>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</si>
  <si>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</si>
  <si>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</si>
  <si>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</si>
  <si>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</si>
  <si>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</si>
  <si>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</si>
  <si>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</si>
  <si>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</si>
  <si>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</si>
  <si>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</si>
  <si>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</si>
  <si>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</si>
  <si>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</si>
  <si>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</si>
  <si>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</si>
  <si>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</si>
  <si>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</si>
  <si>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</si>
  <si>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</si>
  <si>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</si>
  <si>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</si>
  <si>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</si>
  <si>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</si>
  <si>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</si>
  <si>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</si>
  <si>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</si>
  <si>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</si>
  <si>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</si>
  <si>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</si>
  <si>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</si>
  <si>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</si>
  <si>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</si>
  <si>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</si>
  <si>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</si>
  <si>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</si>
  <si>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</si>
  <si>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</si>
  <si>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</si>
  <si>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</si>
  <si>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</si>
  <si>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</si>
  <si>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</si>
  <si>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</si>
  <si>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</si>
  <si>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</si>
  <si>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</si>
  <si>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</si>
  <si>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</si>
  <si>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</si>
  <si>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</si>
  <si>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</si>
  <si>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</si>
  <si>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</si>
  <si>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</si>
  <si>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</si>
  <si>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</si>
  <si>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</si>
  <si>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</si>
  <si>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</si>
  <si>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</si>
  <si>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</si>
  <si>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</si>
  <si>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</si>
  <si>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</si>
  <si>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</si>
  <si>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</si>
  <si>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</si>
  <si>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</si>
  <si>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</si>
  <si>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</si>
  <si>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</si>
  <si>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</si>
  <si>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</si>
  <si>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</si>
  <si>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</si>
  <si>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</si>
  <si>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</si>
  <si>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</si>
  <si>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</si>
  <si>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</si>
  <si>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</si>
  <si>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</si>
  <si>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</si>
  <si>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</si>
  <si>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</si>
  <si>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</si>
  <si>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</si>
  <si>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</si>
  <si>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</si>
  <si>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</si>
  <si>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</si>
  <si>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</si>
  <si>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</si>
  <si>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</si>
  <si>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</si>
  <si>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</si>
  <si>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</si>
  <si>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</si>
  <si>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</si>
  <si>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</si>
  <si>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</si>
  <si>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</si>
  <si>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</si>
  <si>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</si>
  <si>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</si>
  <si>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</si>
  <si>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</si>
  <si>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</si>
  <si>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</si>
  <si>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</si>
  <si>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</si>
  <si>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</si>
  <si>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</si>
  <si>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</si>
  <si>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</si>
  <si>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</si>
  <si>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</si>
  <si>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</si>
  <si>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</si>
  <si>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</si>
  <si>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</si>
  <si>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</si>
  <si>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</si>
  <si>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</si>
  <si>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</si>
  <si>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</si>
  <si>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</si>
  <si>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</si>
  <si>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</si>
  <si>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</si>
  <si>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</si>
  <si>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</si>
  <si>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</si>
  <si>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</si>
  <si>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</si>
  <si>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</si>
  <si>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</si>
  <si>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</si>
  <si>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</si>
  <si>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</si>
  <si>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</si>
  <si>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</si>
  <si>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</si>
  <si>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</si>
  <si>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</si>
  <si>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</si>
  <si>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</si>
  <si>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</si>
  <si>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</si>
  <si>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</si>
  <si>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</si>
  <si>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</si>
  <si>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</si>
  <si>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</si>
  <si>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</si>
  <si>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</si>
  <si>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</si>
  <si>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</si>
  <si>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</si>
  <si>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</si>
  <si>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</si>
  <si>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</si>
  <si>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</si>
  <si>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</si>
  <si>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</si>
  <si>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</si>
  <si>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</si>
  <si>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</si>
  <si>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</si>
  <si>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</si>
  <si>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</si>
  <si>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</si>
  <si>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</si>
  <si>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</si>
  <si>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</si>
  <si>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</si>
  <si>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</si>
  <si>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</si>
  <si>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</si>
  <si>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</si>
  <si>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</si>
  <si>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</si>
  <si>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</si>
  <si>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</si>
  <si>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</si>
  <si>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</si>
  <si>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</si>
  <si>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</si>
  <si>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</si>
  <si>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</si>
  <si>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</si>
  <si>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</si>
  <si>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</si>
  <si>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</si>
  <si>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</si>
  <si>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</si>
  <si>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</si>
  <si>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</si>
  <si>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</si>
  <si>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</si>
  <si>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</si>
  <si>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</si>
  <si>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</si>
  <si>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</si>
  <si>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</si>
  <si>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</si>
  <si>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</si>
  <si>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</si>
  <si>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</si>
  <si>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</si>
  <si>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</si>
  <si>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</si>
  <si>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</si>
  <si>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</si>
  <si>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</si>
  <si>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</si>
  <si>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</si>
  <si>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</si>
  <si>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</si>
  <si>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</si>
  <si>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</si>
  <si>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</si>
  <si>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</si>
  <si>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</si>
  <si>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</si>
  <si>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</si>
  <si>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</si>
  <si>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</si>
  <si>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</si>
  <si>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</si>
  <si>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</si>
  <si>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</si>
  <si>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</si>
  <si>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</si>
  <si>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</si>
  <si>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</si>
  <si>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</si>
  <si>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</si>
  <si>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</si>
  <si>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</si>
  <si>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</si>
  <si>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</si>
  <si>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</si>
  <si>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</si>
  <si>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</si>
  <si>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</si>
  <si>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</si>
  <si>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</si>
  <si>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</si>
  <si>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</si>
  <si>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</si>
  <si>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</si>
  <si>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</si>
  <si>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</si>
  <si>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</si>
  <si>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</si>
  <si>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</si>
  <si>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</si>
  <si>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</si>
  <si>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</si>
  <si>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</si>
  <si>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</si>
  <si>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</si>
  <si>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</si>
  <si>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</si>
  <si>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</si>
  <si>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</si>
  <si>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</si>
  <si>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</si>
  <si>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</si>
  <si>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</si>
  <si>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</si>
  <si>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</si>
  <si>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</si>
  <si>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</si>
  <si>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</si>
  <si>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</si>
  <si>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</si>
  <si>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</si>
  <si>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</si>
  <si>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</si>
  <si>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1.1. Расчет тарифа на услуги водоотведения, оказываемые МП "Горводоканал" потребителям на территории г. Котласа на 2016 год (СВОД)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</si>
  <si>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</si>
  <si>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</si>
  <si>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</si>
  <si>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</si>
  <si>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</si>
  <si>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</si>
  <si>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</si>
  <si>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</si>
  <si>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</si>
  <si>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</si>
  <si>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</si>
  <si>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</si>
  <si>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</si>
  <si>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</si>
  <si>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</si>
  <si>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</si>
  <si>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</si>
  <si>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</si>
  <si>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</si>
  <si>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</si>
  <si>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</si>
  <si>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</si>
  <si>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</si>
  <si>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</si>
  <si>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</si>
  <si>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</si>
  <si>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</si>
  <si>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</si>
  <si>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</si>
  <si>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</si>
  <si>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</si>
  <si>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</si>
  <si>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</si>
  <si>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</si>
  <si>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</si>
  <si>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</si>
  <si>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</si>
  <si>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</si>
  <si>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</si>
  <si>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</si>
  <si>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</si>
  <si>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</si>
  <si>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</si>
  <si>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</si>
  <si>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</si>
  <si>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</si>
  <si>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</si>
  <si>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</si>
  <si>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</si>
  <si>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</si>
  <si>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</si>
  <si>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</si>
  <si>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</si>
  <si>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</si>
  <si>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</si>
  <si>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</si>
  <si>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</si>
  <si>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</si>
  <si>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</si>
  <si>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</si>
  <si>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</si>
  <si>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</si>
  <si>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</si>
  <si>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</si>
  <si>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</si>
  <si>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</si>
  <si>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</si>
  <si>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</si>
  <si>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</si>
  <si>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</si>
  <si>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</si>
  <si>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</si>
  <si>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</si>
  <si>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</si>
  <si>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</si>
  <si>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</si>
  <si>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</si>
  <si>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</si>
  <si>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</si>
  <si>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</si>
  <si>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</si>
  <si>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</si>
  <si>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</si>
  <si>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</si>
  <si>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</si>
  <si>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</si>
  <si>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</si>
  <si>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</si>
  <si>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</si>
  <si>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</si>
  <si>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</si>
  <si>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</si>
  <si>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</si>
  <si>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</si>
  <si>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</si>
  <si>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</si>
  <si>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</si>
  <si>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</si>
  <si>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</si>
  <si>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</si>
  <si>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</si>
  <si>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</si>
  <si>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</si>
  <si>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</si>
  <si>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</si>
  <si>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</si>
  <si>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</si>
  <si>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</si>
  <si>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</si>
  <si>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</si>
  <si>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</si>
  <si>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</si>
  <si>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</si>
  <si>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</si>
  <si>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</si>
  <si>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</si>
  <si>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</si>
  <si>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</si>
  <si>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</si>
  <si>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</si>
  <si>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</si>
  <si>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</si>
  <si>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</si>
  <si>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</si>
  <si>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</si>
  <si>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</si>
  <si>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</si>
  <si>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</si>
  <si>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</si>
  <si>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</si>
  <si>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</si>
  <si>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</si>
  <si>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</si>
  <si>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</si>
  <si>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</si>
  <si>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</si>
  <si>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</si>
  <si>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</si>
  <si>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</si>
  <si>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</si>
  <si>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</si>
  <si>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</si>
  <si>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</si>
  <si>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</si>
  <si>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</si>
  <si>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</si>
  <si>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</si>
  <si>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</si>
  <si>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</si>
  <si>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</si>
  <si>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</si>
  <si>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</si>
  <si>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</si>
  <si>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</si>
  <si>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</si>
  <si>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</si>
  <si>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</si>
  <si>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</si>
  <si>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</si>
  <si>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</si>
  <si>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</si>
  <si>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</si>
  <si>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</si>
  <si>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</si>
  <si>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</si>
  <si>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</si>
  <si>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</si>
  <si>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</si>
  <si>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</si>
  <si>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</si>
  <si>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</si>
  <si>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</si>
  <si>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</si>
  <si>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</si>
  <si>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</si>
  <si>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</si>
  <si>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</si>
  <si>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</si>
  <si>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</si>
  <si>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</si>
  <si>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</si>
  <si>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</si>
  <si>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</si>
  <si>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</si>
  <si>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</si>
  <si>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</si>
  <si>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</si>
  <si>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</si>
  <si>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</si>
  <si>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</si>
  <si>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</si>
  <si>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</si>
  <si>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</si>
  <si>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</si>
  <si>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</si>
  <si>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</si>
  <si>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</si>
  <si>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</si>
  <si>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</si>
  <si>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</si>
  <si>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</si>
  <si>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</si>
  <si>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</si>
  <si>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</si>
  <si>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</si>
  <si>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</si>
  <si>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</si>
  <si>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</si>
  <si>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</si>
  <si>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</si>
  <si>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</si>
  <si>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</si>
  <si>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</si>
  <si>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</si>
  <si>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</si>
  <si>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</si>
  <si>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</si>
  <si>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</si>
  <si>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</si>
  <si>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</si>
  <si>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</si>
  <si>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</si>
  <si>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</si>
  <si>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</si>
  <si>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</si>
  <si>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</si>
  <si>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</si>
  <si>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</si>
  <si>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</si>
  <si>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</si>
  <si>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</si>
  <si>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</si>
  <si>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</si>
  <si>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</si>
  <si>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</si>
  <si>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</si>
  <si>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</si>
  <si>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</si>
  <si>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</si>
  <si>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</si>
  <si>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</si>
  <si>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</si>
  <si>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</si>
  <si>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</si>
  <si>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</si>
  <si>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</si>
  <si>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</si>
  <si>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</si>
  <si>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</si>
  <si>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</si>
  <si>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</si>
  <si>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</si>
  <si>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</si>
  <si>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</si>
  <si>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</si>
  <si>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</si>
  <si>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</si>
  <si>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</si>
  <si>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</si>
  <si>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</si>
  <si>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</si>
  <si>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</si>
  <si>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</si>
  <si>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</si>
  <si>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</si>
  <si>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</si>
  <si>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</si>
  <si>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</si>
  <si>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</si>
  <si>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</si>
  <si>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</si>
  <si>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</si>
  <si>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</si>
  <si>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</si>
  <si>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</si>
  <si>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</si>
  <si>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</si>
  <si>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</si>
  <si>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</si>
  <si>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</si>
  <si>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</si>
  <si>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</si>
  <si>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</si>
  <si>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</si>
  <si>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</si>
  <si>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</si>
  <si>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</si>
  <si>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</si>
  <si>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</si>
  <si>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</si>
  <si>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</si>
  <si>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</si>
  <si>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</si>
  <si>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</si>
  <si>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</si>
  <si>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</si>
  <si>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</si>
  <si>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</si>
  <si>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</si>
  <si>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</si>
  <si>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</si>
  <si>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</si>
  <si>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</si>
  <si>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</si>
  <si>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</si>
  <si>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</si>
  <si>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</si>
  <si>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</si>
  <si>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</si>
  <si>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</si>
  <si>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</si>
  <si>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</si>
  <si>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</si>
  <si>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</si>
  <si>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</si>
  <si>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</si>
  <si>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</si>
  <si>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</si>
  <si>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</si>
  <si>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</si>
  <si>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</si>
  <si>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</si>
  <si>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</si>
  <si>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</si>
  <si>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</si>
  <si>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</si>
  <si>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</si>
  <si>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</si>
  <si>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</si>
  <si>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</si>
  <si>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</si>
  <si>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</si>
  <si>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</si>
  <si>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</si>
  <si>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</si>
  <si>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</si>
  <si>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</si>
  <si>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</si>
  <si>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</si>
  <si>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</si>
  <si>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</si>
  <si>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</si>
  <si>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</si>
  <si>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</si>
  <si>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</si>
  <si>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</si>
  <si>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</si>
  <si>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</si>
  <si>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</si>
  <si>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</si>
  <si>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</si>
  <si>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</si>
  <si>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</si>
  <si>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</si>
  <si>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</si>
  <si>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</si>
  <si>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</si>
  <si>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</si>
  <si>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</si>
  <si>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</si>
  <si>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</si>
  <si>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</si>
  <si>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</si>
  <si>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</si>
  <si>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</si>
  <si>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</si>
  <si>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</si>
  <si>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</si>
  <si>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</si>
  <si>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</si>
  <si>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</si>
  <si>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</si>
  <si>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</si>
  <si>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</si>
  <si>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</si>
  <si>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</si>
  <si>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</si>
  <si>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</si>
  <si>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</si>
  <si>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</si>
  <si>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</si>
  <si>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</si>
  <si>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</si>
  <si>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</si>
  <si>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</si>
  <si>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</si>
  <si>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</si>
  <si>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</si>
  <si>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</si>
  <si>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</si>
  <si>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</si>
  <si>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</si>
  <si>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</si>
  <si>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</si>
  <si>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</si>
  <si>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</si>
  <si>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</si>
  <si>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</si>
  <si>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</si>
  <si>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</si>
  <si>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</si>
  <si>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</si>
  <si>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</si>
  <si>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</si>
  <si>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</si>
  <si>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</si>
  <si>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</si>
  <si>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</si>
  <si>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</si>
  <si>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</si>
  <si>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</si>
  <si>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</si>
  <si>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</si>
  <si>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</si>
  <si>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</si>
  <si>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</si>
  <si>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</si>
  <si>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</si>
  <si>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</si>
  <si>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</si>
  <si>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</si>
  <si>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</si>
  <si>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</si>
  <si>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</si>
  <si>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</si>
  <si>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</si>
  <si>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</si>
  <si>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</si>
  <si>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</si>
  <si>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</si>
  <si>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</si>
  <si>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</si>
  <si>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</si>
  <si>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</si>
  <si>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</si>
  <si>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</si>
  <si>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</si>
  <si>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</si>
  <si>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</si>
  <si>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</si>
  <si>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</si>
  <si>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</si>
  <si>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</si>
  <si>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</si>
  <si>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</si>
  <si>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</si>
  <si>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</si>
  <si>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</si>
  <si>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</si>
  <si>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</si>
  <si>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</si>
  <si>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</si>
  <si>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</si>
  <si>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</si>
  <si>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</si>
  <si>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</si>
  <si>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</si>
  <si>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</si>
  <si>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</si>
  <si>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</si>
  <si>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</si>
  <si>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</si>
  <si>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</si>
  <si>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</si>
  <si>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</si>
  <si>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</si>
  <si>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</si>
  <si>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</si>
  <si>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</si>
  <si>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</si>
  <si>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</si>
  <si>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</si>
  <si>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</si>
  <si>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</si>
  <si>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</si>
  <si>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</si>
  <si>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</si>
  <si>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</si>
  <si>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</si>
  <si>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</si>
  <si>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</si>
  <si>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</si>
  <si>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</si>
  <si>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</si>
  <si>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</si>
  <si>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</si>
  <si>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</si>
  <si>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</si>
  <si>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</si>
  <si>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</si>
  <si>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</si>
  <si>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</si>
  <si>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</si>
  <si>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</si>
  <si>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</si>
  <si>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</si>
  <si>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</si>
  <si>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</si>
  <si>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</si>
  <si>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</si>
  <si>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</si>
  <si>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</si>
  <si>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</si>
  <si>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</si>
  <si>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</si>
  <si>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</si>
  <si>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</si>
  <si>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</si>
  <si>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</si>
  <si>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</si>
  <si>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</si>
  <si>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</si>
  <si>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</si>
  <si>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</si>
  <si>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</si>
  <si>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</si>
  <si>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</si>
  <si>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</si>
  <si>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</si>
  <si>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</si>
  <si>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</si>
  <si>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</si>
  <si>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</si>
  <si>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</si>
  <si>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</si>
  <si>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</si>
  <si>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</si>
  <si>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</si>
  <si>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</si>
  <si>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</si>
  <si>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</si>
  <si>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</si>
  <si>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</si>
  <si>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</si>
  <si>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</si>
  <si>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</si>
  <si>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</si>
  <si>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</si>
  <si>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</si>
  <si>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</si>
  <si>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</si>
  <si>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</si>
  <si>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</si>
  <si>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</si>
  <si>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</si>
  <si>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</si>
  <si>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</si>
  <si>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</si>
  <si>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</si>
  <si>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</si>
  <si>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</si>
  <si>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</si>
  <si>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</si>
  <si>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</si>
  <si>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</si>
  <si>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</si>
  <si>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</si>
  <si>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</si>
  <si>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</si>
  <si>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</si>
  <si>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</si>
  <si>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</si>
  <si>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</si>
  <si>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</si>
  <si>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</si>
  <si>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</si>
  <si>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</si>
  <si>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</si>
  <si>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</si>
  <si>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</si>
  <si>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</si>
  <si>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</si>
  <si>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</si>
  <si>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</si>
  <si>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</si>
  <si>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</si>
  <si>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</si>
  <si>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</si>
  <si>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</si>
  <si>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</si>
  <si>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</si>
  <si>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</si>
  <si>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</si>
  <si>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</si>
  <si>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</si>
  <si>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</si>
  <si>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</si>
  <si>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</si>
  <si>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</si>
  <si>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</si>
  <si>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</si>
  <si>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</si>
  <si>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</si>
  <si>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</si>
  <si>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</si>
  <si>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</si>
  <si>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</si>
  <si>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</si>
  <si>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</si>
  <si>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</si>
  <si>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</si>
  <si>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</si>
  <si>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</si>
  <si>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</si>
  <si>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</si>
  <si>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</si>
  <si>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</si>
  <si>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</si>
  <si>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</si>
  <si>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</si>
  <si>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</si>
  <si>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</si>
  <si>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</si>
  <si>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</si>
  <si>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</si>
  <si>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</si>
  <si>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</si>
  <si>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</si>
  <si>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</si>
  <si>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</si>
  <si>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</si>
  <si>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</si>
  <si>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</si>
  <si>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</si>
  <si>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</si>
  <si>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</si>
  <si>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</si>
  <si>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</si>
  <si>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</si>
  <si>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</si>
  <si>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</si>
  <si>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</si>
  <si>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</si>
  <si>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</si>
  <si>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</si>
  <si>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</si>
  <si>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</si>
  <si>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</si>
  <si>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</si>
  <si>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</si>
  <si>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</si>
  <si>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</si>
  <si>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</si>
  <si>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</si>
  <si>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</si>
  <si>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</si>
  <si>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</si>
  <si>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</si>
  <si>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</si>
  <si>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</si>
  <si>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</si>
  <si>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</si>
  <si>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</si>
  <si>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</si>
  <si>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</si>
  <si>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</si>
  <si>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</si>
  <si>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</si>
  <si>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</si>
  <si>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</si>
  <si>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</si>
  <si>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</si>
  <si>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</si>
  <si>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</si>
  <si>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</si>
  <si>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</si>
  <si>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</si>
  <si>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</si>
  <si>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</si>
  <si>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</si>
  <si>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</si>
  <si>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</si>
  <si>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</si>
  <si>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</si>
  <si>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</si>
  <si>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</si>
  <si>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</si>
  <si>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</si>
  <si>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</si>
  <si>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</si>
  <si>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</si>
  <si>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</si>
  <si>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</si>
  <si>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</si>
  <si>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</si>
  <si>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>рост 2017/2016, %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</si>
  <si>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</si>
  <si>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</si>
  <si>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</si>
  <si>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</si>
  <si>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</si>
  <si>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</si>
  <si>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</si>
  <si>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</si>
  <si>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</si>
  <si>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</si>
  <si>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</si>
  <si>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</si>
  <si>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</si>
  <si>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</si>
  <si>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</si>
  <si>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</si>
  <si>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</si>
  <si>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</si>
  <si>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</si>
  <si>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</si>
  <si>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</si>
  <si>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</si>
  <si>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</si>
  <si>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</si>
  <si>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</si>
  <si>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</si>
  <si>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</si>
  <si>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</si>
  <si>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</si>
  <si>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</si>
  <si>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</si>
  <si>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</si>
  <si>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</si>
  <si>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</si>
  <si>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</si>
  <si>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</si>
  <si>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</si>
  <si>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</si>
  <si>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</si>
  <si>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</si>
  <si>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</si>
  <si>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</si>
  <si>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</si>
  <si>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</si>
  <si>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</si>
  <si>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</si>
  <si>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</si>
  <si>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</si>
  <si>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</si>
  <si>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</si>
  <si>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</si>
  <si>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</si>
  <si>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</si>
  <si>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</si>
  <si>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</si>
  <si>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</si>
  <si>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</si>
  <si>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</si>
  <si>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</si>
  <si>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</si>
  <si>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</si>
  <si>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</si>
  <si>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</si>
  <si>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</si>
  <si>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</si>
  <si>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</si>
  <si>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</si>
  <si>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</si>
  <si>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</si>
  <si>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</si>
  <si>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</si>
  <si>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</si>
  <si>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</si>
  <si>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</si>
  <si>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</si>
  <si>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</si>
  <si>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</si>
  <si>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</si>
  <si>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</si>
  <si>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</si>
  <si>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</si>
  <si>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</si>
  <si>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</si>
  <si>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</si>
  <si>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</si>
  <si>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</si>
  <si>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</si>
  <si>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</si>
  <si>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</si>
  <si>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</si>
  <si>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</si>
  <si>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</si>
  <si>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</si>
  <si>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</si>
  <si>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</si>
  <si>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</si>
  <si>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</si>
  <si>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</si>
  <si>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</si>
  <si>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</si>
  <si>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</si>
  <si>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</si>
  <si>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</si>
  <si>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</si>
  <si>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</si>
  <si>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</si>
  <si>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</si>
  <si>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</si>
  <si>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</si>
  <si>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</si>
  <si>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</si>
  <si>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</si>
  <si>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</si>
  <si>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</si>
  <si>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</si>
  <si>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</si>
  <si>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</si>
  <si>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</si>
  <si>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</si>
  <si>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</si>
  <si>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</si>
  <si>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</si>
  <si>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</si>
  <si>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</si>
  <si>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</si>
  <si>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</si>
  <si>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</si>
  <si>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</si>
  <si>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</si>
  <si>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</si>
  <si>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</si>
  <si>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</si>
  <si>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</si>
  <si>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</si>
  <si>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</si>
  <si>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</si>
  <si>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</si>
  <si>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</si>
  <si>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 xml:space="preserve">величина  изменения НВВ, проводимого в целях сглаживания (п. 42 МУ № 1746-э) Сумма НВВ сглаживания  в размере 5234,70 тыс. руб. перенесена на 2018 год и будет учтена при корректировке тарифов на 2018 год. 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</si>
  <si>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</si>
  <si>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</si>
  <si>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</si>
  <si>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</si>
  <si>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</si>
  <si>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</si>
  <si>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</si>
  <si>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</si>
  <si>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</si>
  <si>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</si>
  <si>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</si>
  <si>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</si>
  <si>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</si>
  <si>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</si>
  <si>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</si>
  <si>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</si>
  <si>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</si>
  <si>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</si>
  <si>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</si>
  <si>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</si>
  <si>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</si>
  <si>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</si>
  <si>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</si>
  <si>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</si>
  <si>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</si>
  <si>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</si>
  <si>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</si>
  <si>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</si>
  <si>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</si>
  <si>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</si>
  <si>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</si>
  <si>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</si>
  <si>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</si>
  <si>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</si>
  <si>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</si>
  <si>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</si>
  <si>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</si>
  <si>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</si>
  <si>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</si>
  <si>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</si>
  <si>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</si>
  <si>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</si>
  <si>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</si>
  <si>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</si>
  <si>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</si>
  <si>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</si>
  <si>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</si>
  <si>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</si>
  <si>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</si>
  <si>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</si>
  <si>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</si>
  <si>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</si>
  <si>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</si>
  <si>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</si>
  <si>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</si>
  <si>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</si>
  <si>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</si>
  <si>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</si>
  <si>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</si>
  <si>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</si>
  <si>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</si>
  <si>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</si>
  <si>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</si>
  <si>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</si>
  <si>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</si>
  <si>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</si>
  <si>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</si>
  <si>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</si>
  <si>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</si>
  <si>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</si>
  <si>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</si>
  <si>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</si>
  <si>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</si>
  <si>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</si>
  <si>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</si>
  <si>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</si>
  <si>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</si>
  <si>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</si>
  <si>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исключена на основании п. 2 постановления правительства  РФ от 05.05.2017 № 534 "О внесении изменениц в некоторые акты Правительства РФ в части совершенствования мехпнизма учета РП при установлении тарифов в сферах т/снабжения, водоснабжения и водоотведения, а такжее обращения с ТКО"</t>
  </si>
  <si>
    <t>Декларация о плате за негативное воздействие на окружающую среду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</si>
  <si>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</si>
  <si>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</si>
  <si>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</si>
  <si>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</si>
  <si>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</si>
  <si>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</si>
  <si>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</si>
  <si>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</si>
  <si>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</si>
  <si>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</si>
  <si>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</si>
  <si>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</si>
  <si>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</si>
  <si>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</si>
  <si>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</si>
  <si>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</si>
  <si>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</si>
  <si>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</si>
  <si>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</si>
  <si>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</si>
  <si>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</si>
  <si>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</si>
  <si>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</si>
  <si>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</si>
  <si>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</si>
  <si>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</si>
  <si>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</si>
  <si>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</si>
  <si>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</si>
  <si>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</si>
  <si>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</si>
  <si>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</si>
  <si>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</si>
  <si>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</si>
  <si>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</si>
  <si>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</si>
  <si>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</si>
  <si>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</si>
  <si>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</si>
  <si>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</si>
  <si>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</si>
  <si>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</si>
  <si>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</si>
  <si>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</si>
  <si>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</si>
  <si>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</si>
  <si>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</si>
  <si>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</si>
  <si>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</si>
  <si>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</si>
  <si>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</si>
  <si>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</si>
  <si>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</si>
  <si>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</si>
  <si>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</si>
  <si>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</si>
  <si>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</si>
  <si>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</si>
  <si>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</si>
  <si>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</si>
  <si>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</si>
  <si>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</si>
  <si>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</si>
  <si>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</si>
  <si>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</si>
  <si>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</si>
  <si>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1. Расчет тарифов на питьевую воду, отпускаемую МП "Горводоканал" потребителям на территории г.Котласа на 2019 год</t>
  </si>
  <si>
    <t>1.1. Расчет тарифов на питьевую воду, отпускаемую МП "Горводоканал" потребителям на территории г.Котласа на 2019 год (СВОД)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</si>
  <si>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</si>
  <si>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</si>
  <si>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</si>
  <si>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</si>
  <si>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</si>
  <si>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</si>
  <si>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</si>
  <si>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</si>
  <si>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</si>
  <si>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</si>
  <si>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</si>
  <si>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</si>
  <si>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</si>
  <si>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</si>
  <si>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</si>
  <si>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</si>
  <si>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</si>
  <si>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</si>
  <si>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</si>
  <si>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</si>
  <si>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</si>
  <si>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</si>
  <si>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</si>
  <si>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</si>
  <si>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</si>
  <si>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</si>
  <si>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</si>
  <si>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</si>
  <si>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</si>
  <si>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</si>
  <si>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</si>
  <si>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</si>
  <si>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</si>
  <si>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</si>
  <si>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</si>
  <si>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</si>
  <si>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</si>
  <si>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</si>
  <si>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</si>
  <si>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</si>
  <si>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</si>
  <si>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</si>
  <si>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</si>
  <si>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</si>
  <si>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</si>
  <si>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</si>
  <si>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</si>
  <si>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</si>
  <si>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</si>
  <si>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</si>
  <si>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</si>
  <si>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</si>
  <si>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</si>
  <si>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</si>
  <si>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</si>
  <si>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</si>
  <si>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</si>
  <si>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</si>
  <si>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</si>
  <si>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</si>
  <si>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</si>
  <si>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</si>
  <si>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</si>
  <si>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</si>
  <si>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</si>
  <si>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</si>
  <si>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</si>
  <si>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</si>
  <si>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</si>
  <si>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</si>
  <si>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</si>
  <si>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</si>
  <si>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</si>
  <si>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</si>
  <si>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</si>
  <si>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</si>
  <si>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</si>
  <si>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</si>
  <si>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Ожидаемое на 2018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</si>
  <si>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</si>
  <si>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</si>
  <si>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</si>
  <si>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</si>
  <si>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</si>
  <si>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</si>
  <si>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</si>
  <si>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</si>
  <si>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предложение ОК и ТС</t>
  </si>
  <si>
    <t>предложение РЖД</t>
  </si>
  <si>
    <t>факт 2016 год</t>
  </si>
  <si>
    <t>Материалы (хим. реагенты)</t>
  </si>
  <si>
    <t>факт 2017 г., с учетом роста на 2018 год - 103,9%, на 2019 год - 105,9%</t>
  </si>
  <si>
    <t>факт проверка</t>
  </si>
  <si>
    <t>Расчет расходов на оплату труда МП "Горводоканал" на 2019 год</t>
  </si>
  <si>
    <t>Расчет расходов на электроэнергию, приобретаемую для осуществления деятельности в сфере водоснабжения МП "Горводоканал" на 2019 - 2024 годы</t>
  </si>
  <si>
    <t>Расчет расходов на электроэнергию, приобретаемую для осуществления деятельности в сфере водоотведения МП "Горводоканал" на 2019 - 2024 годы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</si>
  <si>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</si>
  <si>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</si>
  <si>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</si>
  <si>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</si>
  <si>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</si>
  <si>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</si>
  <si>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</si>
  <si>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</si>
  <si>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</si>
  <si>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Объем электроэнергии на перекачка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</si>
  <si>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</si>
  <si>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</si>
  <si>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</si>
  <si>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</si>
  <si>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</si>
  <si>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</si>
  <si>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</si>
  <si>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</si>
  <si>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</si>
  <si>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</si>
  <si>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</si>
  <si>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</si>
  <si>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</si>
  <si>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</si>
  <si>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</si>
  <si>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</si>
  <si>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</si>
  <si>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</si>
  <si>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</si>
  <si>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</si>
  <si>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Тепловая энергия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</si>
  <si>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</si>
  <si>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</si>
  <si>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</si>
  <si>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</si>
  <si>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</si>
  <si>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</si>
  <si>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</si>
  <si>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</si>
  <si>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</si>
  <si>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</si>
  <si>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</si>
  <si>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</si>
  <si>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</si>
  <si>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</si>
  <si>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</si>
  <si>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</si>
  <si>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</si>
  <si>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</si>
  <si>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</si>
  <si>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</si>
  <si>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</si>
  <si>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</si>
  <si>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</si>
  <si>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</si>
  <si>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</si>
  <si>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</si>
  <si>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</si>
  <si>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</si>
  <si>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</si>
  <si>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</si>
  <si>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</si>
  <si>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</si>
  <si>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</si>
  <si>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</si>
  <si>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</si>
  <si>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</si>
  <si>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</si>
  <si>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</si>
  <si>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</si>
  <si>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</si>
  <si>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</si>
  <si>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</si>
  <si>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</si>
  <si>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</si>
  <si>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</si>
  <si>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</si>
  <si>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</si>
  <si>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</si>
  <si>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</si>
  <si>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</si>
  <si>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</si>
  <si>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</si>
  <si>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</si>
  <si>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</si>
  <si>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</si>
  <si>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</si>
  <si>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</si>
  <si>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</si>
  <si>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</si>
  <si>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</si>
  <si>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</si>
  <si>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</si>
  <si>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</si>
  <si>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</si>
  <si>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</si>
  <si>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</si>
  <si>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</si>
  <si>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</si>
  <si>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</si>
  <si>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</si>
  <si>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</si>
  <si>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</si>
  <si>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</si>
  <si>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</si>
  <si>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</si>
  <si>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</si>
  <si>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</si>
  <si>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 xml:space="preserve">Тепловая энергия 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</si>
  <si>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</si>
  <si>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</si>
  <si>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</si>
  <si>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</si>
  <si>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</si>
  <si>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</si>
  <si>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</si>
  <si>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</si>
  <si>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</si>
  <si>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</si>
  <si>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</si>
  <si>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</si>
  <si>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</si>
  <si>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</si>
  <si>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</si>
  <si>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</si>
  <si>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</si>
  <si>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</si>
  <si>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</si>
  <si>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</si>
  <si>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</si>
  <si>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</si>
  <si>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</si>
  <si>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</si>
  <si>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</si>
  <si>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</si>
  <si>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</si>
  <si>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>1. Расчет тарифа на услуги водоотведения, оказываемые МП "Горводоканал" потребителям на территории г. Котласа на 2019 год</t>
  </si>
  <si>
    <t xml:space="preserve">2017 год </t>
  </si>
  <si>
    <t>ИП корректировка</t>
  </si>
  <si>
    <t>Расчет представлен в приложении №** (смета расходов на водоснабжения)</t>
  </si>
  <si>
    <t>Расчет представлен в приложении №** (расходы на электроэнергию)</t>
  </si>
  <si>
    <t>Расчет представлен в приложении № ** (расходы на уплату налоговых обязательств)</t>
  </si>
  <si>
    <t>Расчет представлен в приложении № ** (расходы на арендную плату)</t>
  </si>
  <si>
    <t>Расчет представлен в приложении № ** (амортизация)</t>
  </si>
  <si>
    <t>5.</t>
  </si>
  <si>
    <t>6.</t>
  </si>
  <si>
    <t>7.</t>
  </si>
  <si>
    <t>5.1.</t>
  </si>
  <si>
    <t>Тариф на водоснабжение для НАСЕЛЕНИЯ (без НДС)</t>
  </si>
  <si>
    <t>Расчет представлен в приложении № *** (смета расходов по водоотведению на 2019 год)</t>
  </si>
  <si>
    <t>Расчет представлен в приложении № *** (расходы на электроэнергию по водоотведению )</t>
  </si>
  <si>
    <t>транспортировка питьевой воды КЭМЗ (пост. АТЦ от **.**.2018  № **-в/**)</t>
  </si>
  <si>
    <t>Расчет представлен в приложении № ** (расходы по сомнительным долгам)</t>
  </si>
  <si>
    <t>6.1.</t>
  </si>
  <si>
    <t>8.</t>
  </si>
  <si>
    <t>9.</t>
  </si>
  <si>
    <t>транспортировка сточных вод КЭМЗ (пост. АТЦ от **.**.2018 № **-в/**)</t>
  </si>
  <si>
    <t>рост 2019 к 2018 к, %</t>
  </si>
  <si>
    <t xml:space="preserve">по договору </t>
  </si>
  <si>
    <t>по договору</t>
  </si>
  <si>
    <t>% соотношении по предложению предприятия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</si>
  <si>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</si>
  <si>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</si>
  <si>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</si>
  <si>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</si>
  <si>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</si>
  <si>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</si>
  <si>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</si>
  <si>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</si>
  <si>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</si>
  <si>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</si>
  <si>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</si>
  <si>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Расчет расходов на траспортирвку пиьевой воды и сточных вод МП "Горводоканал" на 2019 -2024 годы</t>
  </si>
  <si>
    <t>Расчет платы за водопользование на 2019 - 2024 годы МП "Горводоканал"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</si>
  <si>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</si>
  <si>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</si>
  <si>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</si>
  <si>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</si>
  <si>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</si>
  <si>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Расчет тепловой энергии на станцию 3 подъема  (МП "Горводоканал")</t>
  </si>
  <si>
    <t>Расчет расходов на хим. реагенты и хим. реактивы на 2019 год (МП "Горводоканал")</t>
  </si>
  <si>
    <t>Расчет налоговых обязательств на 2019 - 2024 годы (МП "Горводоканал")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</si>
  <si>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</si>
  <si>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</si>
  <si>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</si>
  <si>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</si>
  <si>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</si>
  <si>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</si>
  <si>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</si>
  <si>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</si>
  <si>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</si>
  <si>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</si>
  <si>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</si>
  <si>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</si>
  <si>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</si>
  <si>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</si>
  <si>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</si>
  <si>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</si>
  <si>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</si>
  <si>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</si>
  <si>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</si>
  <si>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</si>
  <si>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</si>
  <si>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</si>
  <si>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</si>
  <si>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>Расчет арендной платы за землю</t>
  </si>
  <si>
    <t xml:space="preserve">водоотведение </t>
  </si>
  <si>
    <t>Резерв (сомнительные долги)</t>
  </si>
  <si>
    <t>Сомнит. Долги</t>
  </si>
  <si>
    <t>пит. вода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</si>
  <si>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</si>
  <si>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</si>
  <si>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</si>
  <si>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</si>
  <si>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</si>
  <si>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</si>
  <si>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</si>
  <si>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</si>
  <si>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</si>
  <si>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</si>
  <si>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</si>
  <si>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</si>
  <si>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</si>
  <si>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</si>
  <si>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</si>
  <si>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</si>
  <si>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</si>
  <si>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</si>
  <si>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</si>
  <si>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</si>
  <si>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</si>
  <si>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</si>
  <si>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</si>
  <si>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</si>
  <si>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</si>
  <si>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</si>
  <si>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</si>
  <si>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</si>
  <si>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</si>
  <si>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</si>
  <si>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</si>
  <si>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</si>
  <si>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</si>
  <si>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</si>
  <si>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</si>
  <si>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</si>
  <si>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</si>
  <si>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</si>
  <si>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</si>
  <si>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</si>
  <si>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</si>
  <si>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</si>
  <si>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</si>
  <si>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</si>
  <si>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</si>
  <si>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</si>
  <si>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</si>
  <si>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</si>
  <si>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</si>
  <si>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</si>
  <si>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</si>
  <si>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</si>
  <si>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</si>
  <si>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</si>
  <si>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</si>
  <si>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</si>
  <si>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</si>
  <si>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</si>
  <si>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</si>
  <si>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</si>
  <si>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</si>
  <si>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</si>
  <si>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</si>
  <si>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</si>
  <si>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</si>
  <si>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</si>
  <si>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</si>
  <si>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</si>
  <si>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</si>
  <si>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</si>
  <si>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</si>
  <si>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</si>
  <si>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формула 1 (1.1) формула 5 МУ № 1746-э</t>
  </si>
  <si>
    <t>объект построен за счет бюджета муниципального образования и передан в хоз ведения</t>
  </si>
  <si>
    <t>на основании проверки АТЦ в 2018 году выявлено, что предприятием не ведется раздельный бухгалтерский учет доходов и расходов в сфере водоснабжения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</si>
  <si>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</si>
  <si>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</si>
  <si>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</si>
  <si>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</si>
  <si>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расчет прилагается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</si>
  <si>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</si>
  <si>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</si>
  <si>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</si>
  <si>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</si>
  <si>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</si>
  <si>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</si>
  <si>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</si>
  <si>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</si>
  <si>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</si>
  <si>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</si>
  <si>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</si>
  <si>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</si>
  <si>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</si>
  <si>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</si>
  <si>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</si>
  <si>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</si>
  <si>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</si>
  <si>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</si>
  <si>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</si>
  <si>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</si>
  <si>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</si>
  <si>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</si>
  <si>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</si>
  <si>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</si>
  <si>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</si>
  <si>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</si>
  <si>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</si>
  <si>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</si>
  <si>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</si>
  <si>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</si>
  <si>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</si>
  <si>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</si>
  <si>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</si>
  <si>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</si>
  <si>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</si>
  <si>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</si>
  <si>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</si>
  <si>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</si>
  <si>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</si>
  <si>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</si>
  <si>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</si>
  <si>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</si>
  <si>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</si>
  <si>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</si>
  <si>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</si>
  <si>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</si>
  <si>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</si>
  <si>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</si>
  <si>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</si>
  <si>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</si>
  <si>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</si>
  <si>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</si>
  <si>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</si>
  <si>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</si>
  <si>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</si>
  <si>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</si>
  <si>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</si>
  <si>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</si>
  <si>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</si>
  <si>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</si>
  <si>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</si>
  <si>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</si>
  <si>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</si>
  <si>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</si>
  <si>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</si>
  <si>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</si>
  <si>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</si>
  <si>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</si>
  <si>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</si>
  <si>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</si>
  <si>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</si>
  <si>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</si>
  <si>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</si>
  <si>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</si>
  <si>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</si>
  <si>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</si>
  <si>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</si>
  <si>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</si>
  <si>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</si>
  <si>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</si>
  <si>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</si>
  <si>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</si>
  <si>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</si>
  <si>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</si>
  <si>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</si>
  <si>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</si>
  <si>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</si>
  <si>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</si>
  <si>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</si>
  <si>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</si>
  <si>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</si>
  <si>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</si>
  <si>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</si>
  <si>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</si>
  <si>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</si>
  <si>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</si>
  <si>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</si>
  <si>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</si>
  <si>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</si>
  <si>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</si>
  <si>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</si>
  <si>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</si>
  <si>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</si>
  <si>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</si>
  <si>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</si>
  <si>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</si>
  <si>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</si>
  <si>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</si>
  <si>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</si>
  <si>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</si>
  <si>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</si>
  <si>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</si>
  <si>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</si>
  <si>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</si>
  <si>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</si>
  <si>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</si>
  <si>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</si>
  <si>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</si>
  <si>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</si>
  <si>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</si>
  <si>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</si>
  <si>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</si>
  <si>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</si>
  <si>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</si>
  <si>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</si>
  <si>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</si>
  <si>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</si>
  <si>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</si>
  <si>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</si>
  <si>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</si>
  <si>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</si>
  <si>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</si>
  <si>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</si>
  <si>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</si>
  <si>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</si>
  <si>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</si>
  <si>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</si>
  <si>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</si>
  <si>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</si>
  <si>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</si>
  <si>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</si>
  <si>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</si>
  <si>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</si>
  <si>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</si>
  <si>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</si>
  <si>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</si>
  <si>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</si>
  <si>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</si>
  <si>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</si>
  <si>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</si>
  <si>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</si>
  <si>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</si>
  <si>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</si>
  <si>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</si>
  <si>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</si>
  <si>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</si>
  <si>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</si>
  <si>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</si>
  <si>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</si>
  <si>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</si>
  <si>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</si>
  <si>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</si>
  <si>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</si>
  <si>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</si>
  <si>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</si>
  <si>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</si>
  <si>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</si>
  <si>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</si>
  <si>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</si>
  <si>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</si>
  <si>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</si>
  <si>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</si>
  <si>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</si>
  <si>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</si>
  <si>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</si>
  <si>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</si>
  <si>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</si>
  <si>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</si>
  <si>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</si>
  <si>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</si>
  <si>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</si>
  <si>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</si>
  <si>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</si>
  <si>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</si>
  <si>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</si>
  <si>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</si>
  <si>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</si>
  <si>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</si>
  <si>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</si>
  <si>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</si>
  <si>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</si>
  <si>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</si>
  <si>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</si>
  <si>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</si>
  <si>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</si>
  <si>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</si>
  <si>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</si>
  <si>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</si>
  <si>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</si>
  <si>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</si>
  <si>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</si>
  <si>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</si>
  <si>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</si>
  <si>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</si>
  <si>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</si>
  <si>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</si>
  <si>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</si>
  <si>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</si>
  <si>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</si>
  <si>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</si>
  <si>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</si>
  <si>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</si>
  <si>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</si>
  <si>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</si>
  <si>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</si>
  <si>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</si>
  <si>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</si>
  <si>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</si>
  <si>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</si>
  <si>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</si>
  <si>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</si>
  <si>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</si>
  <si>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</si>
  <si>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</si>
  <si>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</si>
  <si>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</si>
  <si>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</si>
  <si>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</si>
  <si>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</si>
  <si>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</si>
  <si>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</si>
  <si>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</si>
  <si>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</si>
  <si>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</si>
  <si>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</si>
  <si>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</si>
  <si>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</si>
  <si>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</si>
  <si>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</si>
  <si>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</si>
  <si>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</si>
  <si>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</si>
  <si>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</si>
  <si>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</si>
  <si>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</si>
  <si>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</si>
  <si>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</si>
  <si>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</si>
  <si>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</si>
  <si>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</si>
  <si>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</si>
  <si>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</si>
  <si>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</si>
  <si>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</si>
  <si>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</si>
  <si>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</si>
  <si>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</si>
  <si>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</si>
  <si>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</si>
  <si>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</si>
  <si>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</si>
  <si>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</si>
  <si>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</si>
  <si>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</si>
  <si>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</si>
  <si>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</si>
  <si>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</si>
  <si>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</si>
  <si>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</si>
  <si>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</si>
  <si>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</si>
  <si>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</si>
  <si>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</si>
  <si>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</si>
  <si>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</si>
  <si>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</si>
  <si>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</si>
  <si>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</si>
  <si>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</si>
  <si>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</si>
  <si>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</si>
  <si>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</si>
  <si>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</si>
  <si>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</si>
  <si>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</si>
  <si>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</si>
  <si>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</si>
  <si>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</si>
  <si>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</si>
  <si>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</si>
  <si>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</si>
  <si>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</si>
  <si>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</si>
  <si>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</si>
  <si>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</si>
  <si>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</si>
  <si>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</si>
  <si>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</si>
  <si>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</si>
  <si>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</si>
  <si>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</si>
  <si>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</si>
  <si>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</si>
  <si>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</si>
  <si>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</si>
  <si>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</si>
  <si>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</si>
  <si>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</si>
  <si>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</si>
  <si>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</si>
  <si>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</si>
  <si>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</si>
  <si>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</si>
  <si>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</si>
  <si>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</si>
  <si>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</si>
  <si>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</si>
  <si>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</si>
  <si>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</si>
  <si>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</si>
  <si>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</si>
  <si>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</si>
  <si>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</si>
  <si>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</si>
  <si>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</si>
  <si>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</si>
  <si>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</si>
  <si>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</si>
  <si>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</si>
  <si>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</si>
  <si>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</si>
  <si>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</si>
  <si>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</si>
  <si>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</si>
  <si>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</si>
  <si>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</si>
  <si>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</si>
  <si>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</si>
  <si>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</si>
  <si>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</si>
  <si>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</si>
  <si>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</si>
  <si>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</si>
  <si>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</si>
  <si>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</si>
  <si>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</si>
  <si>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</si>
  <si>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</si>
  <si>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</si>
  <si>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</si>
  <si>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</si>
  <si>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</si>
  <si>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</si>
  <si>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</si>
  <si>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</si>
  <si>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</si>
  <si>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</si>
  <si>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</si>
  <si>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</si>
  <si>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</si>
  <si>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</si>
  <si>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</si>
  <si>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</si>
  <si>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</si>
  <si>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</si>
  <si>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</si>
  <si>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</si>
  <si>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</si>
  <si>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</si>
  <si>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</si>
  <si>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</si>
  <si>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</si>
  <si>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</si>
  <si>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</si>
  <si>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</si>
  <si>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</si>
  <si>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</si>
  <si>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</si>
  <si>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</si>
  <si>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</si>
  <si>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</si>
  <si>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</si>
  <si>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</si>
  <si>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</si>
  <si>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</si>
  <si>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</si>
  <si>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</si>
  <si>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</si>
  <si>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</si>
  <si>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</si>
  <si>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</si>
  <si>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</si>
  <si>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</si>
  <si>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</si>
  <si>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</si>
  <si>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</si>
  <si>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</si>
  <si>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</si>
  <si>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</si>
  <si>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</si>
  <si>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</si>
  <si>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</si>
  <si>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</si>
  <si>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</si>
  <si>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</si>
  <si>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</si>
  <si>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</si>
  <si>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</si>
  <si>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</si>
  <si>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</si>
  <si>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</si>
  <si>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</si>
  <si>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</si>
  <si>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</si>
  <si>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</si>
  <si>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</si>
  <si>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</si>
  <si>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</si>
  <si>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</si>
  <si>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</si>
  <si>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</si>
  <si>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</si>
  <si>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</si>
  <si>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</si>
  <si>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</si>
  <si>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</si>
  <si>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</si>
  <si>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</si>
  <si>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</si>
  <si>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</si>
  <si>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</si>
  <si>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</si>
  <si>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</si>
  <si>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</si>
  <si>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</si>
  <si>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</si>
  <si>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</si>
  <si>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</si>
  <si>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</si>
  <si>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</si>
  <si>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</si>
  <si>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</si>
  <si>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</si>
  <si>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</si>
  <si>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</si>
  <si>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</si>
  <si>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</si>
  <si>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</si>
  <si>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</si>
  <si>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</si>
  <si>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</si>
  <si>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</si>
  <si>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</si>
  <si>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</si>
  <si>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</si>
  <si>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</si>
  <si>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</si>
  <si>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</si>
  <si>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</si>
  <si>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</si>
  <si>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</si>
  <si>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</si>
  <si>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</si>
  <si>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</si>
  <si>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</si>
  <si>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</si>
  <si>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</si>
  <si>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</si>
  <si>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</si>
  <si>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</si>
  <si>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</si>
  <si>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</si>
  <si>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</si>
  <si>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</si>
  <si>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</si>
  <si>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</si>
  <si>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</si>
  <si>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</si>
  <si>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</si>
  <si>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</si>
  <si>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</si>
  <si>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</si>
  <si>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</si>
  <si>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</si>
  <si>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</si>
  <si>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</si>
  <si>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</si>
  <si>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</si>
  <si>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</si>
  <si>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</si>
  <si>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</si>
  <si>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</si>
  <si>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</si>
  <si>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</si>
  <si>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</si>
  <si>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</si>
  <si>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</si>
  <si>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</si>
  <si>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</si>
  <si>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</si>
  <si>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</si>
  <si>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</si>
  <si>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</si>
  <si>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</si>
  <si>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</si>
  <si>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</si>
  <si>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</si>
  <si>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</si>
  <si>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</si>
  <si>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</si>
  <si>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</si>
  <si>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</si>
  <si>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</si>
  <si>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</si>
  <si>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</si>
  <si>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</si>
  <si>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</si>
  <si>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</si>
  <si>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</si>
  <si>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</si>
  <si>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</si>
  <si>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</si>
  <si>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</si>
  <si>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</si>
  <si>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</si>
  <si>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</si>
  <si>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</si>
  <si>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</si>
  <si>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</si>
  <si>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</si>
  <si>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</si>
  <si>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</si>
  <si>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</si>
  <si>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</si>
  <si>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</si>
  <si>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</si>
  <si>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</si>
  <si>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</si>
  <si>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</si>
  <si>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</si>
  <si>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</si>
  <si>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</si>
  <si>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</si>
  <si>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</si>
  <si>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</si>
  <si>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</si>
  <si>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</si>
  <si>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</si>
  <si>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</si>
  <si>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</si>
  <si>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</si>
  <si>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</si>
  <si>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</si>
  <si>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</si>
  <si>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</si>
  <si>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</si>
  <si>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</si>
  <si>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</si>
  <si>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</si>
  <si>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</si>
  <si>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</si>
  <si>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</si>
  <si>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</si>
  <si>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</si>
  <si>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</si>
  <si>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</si>
  <si>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</si>
  <si>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</si>
  <si>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</si>
  <si>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</si>
  <si>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</si>
  <si>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</si>
  <si>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</si>
  <si>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</si>
  <si>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</si>
  <si>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</si>
  <si>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</si>
  <si>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</si>
  <si>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</si>
  <si>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</si>
  <si>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</si>
  <si>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</si>
  <si>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</si>
  <si>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</si>
  <si>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</si>
  <si>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</si>
  <si>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</si>
  <si>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</si>
  <si>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</si>
  <si>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</si>
  <si>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</si>
  <si>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</si>
  <si>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</si>
  <si>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</si>
  <si>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</si>
  <si>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</si>
  <si>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</si>
  <si>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</si>
  <si>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</si>
  <si>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</si>
  <si>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</si>
  <si>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</si>
  <si>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</si>
  <si>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</si>
  <si>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</si>
  <si>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</si>
  <si>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</si>
  <si>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</si>
  <si>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</si>
  <si>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</si>
  <si>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</si>
  <si>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</si>
  <si>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</si>
  <si>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</si>
  <si>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</si>
  <si>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</si>
  <si>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</si>
  <si>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</si>
  <si>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</si>
  <si>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</si>
  <si>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</si>
  <si>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</si>
  <si>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</si>
  <si>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</si>
  <si>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</si>
  <si>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</si>
  <si>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</si>
  <si>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</si>
  <si>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</si>
  <si>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</si>
  <si>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</si>
  <si>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</si>
  <si>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</si>
  <si>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</si>
  <si>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</si>
  <si>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</si>
  <si>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</si>
  <si>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</si>
  <si>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</si>
  <si>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</si>
  <si>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</si>
  <si>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</si>
  <si>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</si>
  <si>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</si>
  <si>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</si>
  <si>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</si>
  <si>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</si>
  <si>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</si>
  <si>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</si>
  <si>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</si>
  <si>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</si>
  <si>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</si>
  <si>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</si>
  <si>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</si>
  <si>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</si>
  <si>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</si>
  <si>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</si>
  <si>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</si>
  <si>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</si>
  <si>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</si>
  <si>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</si>
  <si>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</si>
  <si>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</si>
  <si>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</si>
  <si>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</si>
  <si>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</si>
  <si>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</si>
  <si>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</si>
  <si>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</si>
  <si>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</si>
  <si>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</si>
  <si>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</si>
  <si>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</si>
  <si>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</si>
  <si>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</si>
  <si>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</si>
  <si>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</si>
  <si>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</si>
  <si>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</si>
  <si>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</si>
  <si>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</si>
  <si>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</si>
  <si>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</si>
  <si>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</si>
  <si>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</si>
  <si>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</si>
  <si>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</si>
  <si>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</si>
  <si>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</si>
  <si>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</si>
  <si>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</si>
  <si>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</si>
  <si>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</si>
  <si>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</si>
  <si>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</si>
  <si>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</si>
  <si>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</si>
  <si>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</si>
  <si>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</si>
  <si>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</si>
  <si>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</si>
  <si>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</si>
  <si>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</si>
  <si>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</si>
  <si>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</si>
  <si>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</si>
  <si>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</si>
  <si>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</si>
  <si>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</si>
  <si>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</si>
  <si>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</si>
  <si>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</si>
  <si>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</si>
  <si>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</si>
  <si>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</si>
  <si>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</si>
  <si>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</si>
  <si>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</si>
  <si>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</si>
  <si>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</si>
  <si>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</si>
  <si>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</si>
  <si>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</si>
  <si>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</si>
  <si>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</si>
  <si>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</si>
  <si>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</si>
  <si>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</si>
  <si>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</si>
  <si>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</si>
  <si>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</si>
  <si>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</si>
  <si>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</si>
  <si>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</si>
  <si>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</si>
  <si>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</si>
  <si>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</si>
  <si>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</si>
  <si>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</si>
  <si>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</si>
  <si>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</si>
  <si>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</si>
  <si>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</si>
  <si>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</si>
  <si>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</si>
  <si>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</si>
  <si>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</si>
  <si>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</si>
  <si>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</si>
  <si>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</si>
  <si>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</si>
  <si>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</si>
  <si>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</si>
  <si>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</si>
  <si>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</si>
  <si>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</si>
  <si>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</si>
  <si>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</si>
  <si>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</si>
  <si>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</si>
  <si>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</si>
  <si>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</si>
  <si>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</si>
  <si>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</si>
  <si>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</si>
  <si>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</si>
  <si>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</si>
  <si>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</si>
  <si>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</si>
  <si>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</si>
  <si>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</si>
  <si>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</si>
  <si>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</si>
  <si>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</si>
  <si>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</si>
  <si>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</si>
  <si>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</si>
  <si>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</si>
  <si>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</si>
  <si>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</si>
  <si>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</si>
  <si>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</si>
  <si>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</si>
  <si>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</si>
  <si>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</si>
  <si>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</si>
  <si>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</si>
  <si>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</si>
  <si>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</si>
  <si>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</si>
  <si>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</si>
  <si>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</si>
  <si>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</si>
  <si>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</si>
  <si>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</si>
  <si>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</si>
  <si>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</si>
  <si>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</si>
  <si>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</si>
  <si>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</si>
  <si>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</si>
  <si>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</si>
  <si>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</si>
  <si>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</si>
  <si>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</si>
  <si>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</si>
  <si>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</si>
  <si>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</si>
  <si>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</si>
  <si>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</si>
  <si>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</si>
  <si>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</si>
  <si>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</si>
  <si>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</si>
  <si>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</si>
  <si>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</si>
  <si>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</si>
  <si>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</si>
  <si>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</si>
  <si>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</si>
  <si>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</si>
  <si>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</si>
  <si>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</si>
  <si>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</si>
  <si>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</si>
  <si>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</si>
  <si>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</si>
  <si>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</si>
  <si>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</si>
  <si>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</si>
  <si>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</si>
  <si>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</si>
  <si>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</si>
  <si>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</si>
  <si>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</si>
  <si>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</si>
  <si>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</si>
  <si>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</si>
  <si>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</si>
  <si>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</si>
  <si>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</si>
  <si>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</si>
  <si>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</si>
  <si>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</si>
  <si>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</si>
  <si>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</si>
  <si>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</si>
  <si>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</si>
  <si>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</si>
  <si>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</si>
  <si>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</si>
  <si>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</si>
  <si>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</si>
  <si>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</si>
  <si>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</si>
  <si>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</si>
  <si>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</si>
  <si>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</si>
  <si>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</si>
  <si>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</si>
  <si>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</si>
  <si>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</si>
  <si>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</si>
  <si>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</si>
  <si>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</si>
  <si>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</si>
  <si>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</si>
  <si>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</si>
  <si>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</si>
  <si>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</si>
  <si>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</si>
  <si>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</si>
  <si>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</si>
  <si>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</si>
  <si>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</si>
  <si>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</si>
  <si>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</si>
  <si>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</si>
  <si>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</si>
  <si>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</si>
  <si>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</si>
  <si>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</si>
  <si>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</si>
  <si>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</si>
  <si>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</si>
  <si>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</si>
  <si>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</si>
  <si>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</si>
  <si>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</si>
  <si>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</si>
  <si>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</si>
  <si>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</si>
  <si>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</si>
  <si>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</si>
  <si>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</si>
  <si>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</si>
  <si>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</si>
  <si>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</si>
  <si>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</si>
  <si>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</si>
  <si>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</si>
  <si>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</si>
  <si>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</si>
  <si>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</si>
  <si>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</si>
  <si>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</si>
  <si>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</si>
  <si>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</si>
  <si>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</si>
  <si>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</si>
  <si>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</si>
  <si>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</si>
  <si>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</si>
  <si>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</si>
  <si>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</si>
  <si>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</si>
  <si>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</si>
  <si>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</si>
  <si>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</si>
  <si>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</si>
  <si>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</si>
  <si>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</si>
  <si>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</si>
  <si>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</si>
  <si>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</si>
  <si>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</si>
  <si>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</si>
  <si>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</si>
  <si>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</si>
  <si>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</si>
  <si>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</si>
  <si>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</si>
  <si>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</si>
  <si>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</si>
  <si>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</si>
  <si>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</si>
  <si>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</si>
  <si>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</si>
  <si>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</si>
  <si>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</si>
  <si>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</si>
  <si>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</si>
  <si>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</si>
  <si>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</si>
  <si>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</si>
  <si>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</si>
  <si>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</si>
  <si>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</si>
  <si>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</si>
  <si>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</si>
  <si>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</si>
  <si>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</si>
  <si>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</si>
  <si>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</si>
  <si>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</si>
  <si>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</si>
  <si>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</si>
  <si>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</si>
  <si>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</si>
  <si>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</si>
  <si>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</si>
  <si>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</si>
  <si>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</si>
  <si>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</si>
  <si>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</si>
  <si>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</si>
  <si>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</si>
  <si>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</si>
  <si>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</si>
  <si>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</si>
  <si>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</si>
  <si>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</si>
  <si>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</si>
  <si>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</si>
  <si>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</si>
  <si>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</si>
  <si>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</si>
  <si>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</si>
  <si>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</si>
  <si>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</si>
  <si>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</si>
  <si>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</si>
  <si>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</si>
  <si>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</si>
  <si>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</si>
  <si>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</si>
  <si>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</si>
  <si>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</si>
  <si>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</si>
  <si>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</si>
  <si>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</si>
  <si>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</si>
  <si>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</si>
  <si>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</si>
  <si>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</si>
  <si>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</si>
  <si>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</si>
  <si>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</si>
  <si>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</si>
  <si>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</si>
  <si>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</si>
  <si>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</si>
  <si>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</si>
  <si>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</si>
  <si>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</si>
  <si>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</si>
  <si>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</si>
  <si>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</si>
  <si>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</si>
  <si>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</si>
  <si>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</si>
  <si>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</si>
  <si>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</si>
  <si>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</si>
  <si>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</si>
  <si>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</si>
  <si>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</si>
  <si>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</si>
  <si>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</si>
  <si>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</si>
  <si>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</si>
  <si>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</si>
  <si>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</si>
  <si>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</si>
  <si>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</si>
  <si>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</si>
  <si>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</si>
  <si>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</si>
  <si>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</si>
  <si>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</si>
  <si>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</si>
  <si>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</si>
  <si>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</si>
  <si>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</si>
  <si>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</si>
  <si>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</si>
  <si>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</si>
  <si>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</si>
  <si>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</si>
  <si>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</si>
  <si>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</si>
  <si>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</si>
  <si>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</si>
  <si>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</si>
  <si>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</si>
  <si>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</si>
  <si>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</si>
  <si>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</si>
  <si>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</si>
  <si>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</si>
  <si>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</si>
  <si>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</si>
  <si>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</si>
  <si>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</si>
  <si>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</si>
  <si>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</si>
  <si>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</si>
  <si>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</si>
  <si>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</si>
  <si>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</si>
  <si>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</si>
  <si>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</si>
  <si>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</si>
  <si>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</si>
  <si>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</si>
  <si>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</si>
  <si>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</si>
  <si>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</si>
  <si>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</si>
  <si>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</si>
  <si>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</si>
  <si>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</si>
  <si>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</si>
  <si>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</si>
  <si>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</si>
  <si>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</si>
  <si>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</si>
  <si>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</si>
  <si>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</si>
  <si>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</si>
  <si>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</si>
  <si>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</si>
  <si>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</si>
  <si>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</si>
  <si>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</si>
  <si>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</si>
  <si>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</si>
  <si>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</si>
  <si>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</si>
  <si>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</si>
  <si>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</si>
  <si>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</si>
  <si>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</si>
  <si>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</si>
  <si>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</si>
  <si>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</si>
  <si>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</si>
  <si>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</si>
  <si>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</si>
  <si>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</si>
  <si>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</si>
  <si>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</si>
  <si>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</si>
  <si>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</si>
  <si>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</si>
  <si>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</si>
  <si>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</si>
  <si>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</si>
  <si>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</si>
  <si>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</si>
  <si>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</si>
  <si>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</si>
  <si>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</si>
  <si>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</si>
  <si>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</si>
  <si>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</si>
  <si>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</si>
  <si>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</si>
  <si>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</si>
  <si>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</si>
  <si>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</si>
  <si>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</si>
  <si>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</si>
  <si>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</si>
  <si>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</si>
  <si>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</si>
  <si>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</si>
  <si>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</si>
  <si>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</si>
  <si>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</si>
  <si>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</si>
  <si>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</si>
  <si>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</si>
  <si>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</si>
  <si>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</si>
  <si>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</si>
  <si>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</si>
  <si>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</si>
  <si>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</si>
  <si>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</si>
  <si>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</si>
  <si>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</si>
  <si>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</si>
  <si>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</si>
  <si>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</si>
  <si>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</si>
  <si>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</si>
  <si>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</si>
  <si>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</si>
  <si>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</si>
  <si>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</si>
  <si>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</si>
  <si>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</si>
  <si>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</si>
  <si>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</si>
  <si>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</si>
  <si>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</si>
  <si>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</si>
  <si>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</si>
  <si>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</si>
  <si>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</si>
  <si>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</si>
  <si>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</si>
  <si>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</si>
  <si>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</si>
  <si>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</si>
  <si>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</si>
  <si>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</si>
  <si>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</si>
  <si>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</si>
  <si>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</si>
  <si>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</si>
  <si>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</si>
  <si>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</si>
  <si>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</si>
  <si>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</si>
  <si>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</si>
  <si>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</si>
  <si>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</si>
  <si>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</si>
  <si>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</si>
  <si>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</si>
  <si>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</si>
  <si>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</si>
  <si>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</si>
  <si>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</si>
  <si>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</si>
  <si>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</si>
  <si>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</si>
  <si>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</si>
  <si>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</si>
  <si>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</si>
  <si>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</si>
  <si>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</si>
  <si>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</si>
  <si>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</si>
  <si>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</si>
  <si>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</si>
  <si>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</si>
  <si>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</si>
  <si>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</si>
  <si>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</si>
  <si>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</si>
  <si>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</si>
  <si>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</si>
  <si>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</si>
  <si>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</si>
  <si>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</si>
  <si>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</si>
  <si>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</si>
  <si>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</si>
  <si>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</si>
  <si>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</si>
  <si>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</si>
  <si>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</si>
  <si>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</si>
  <si>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</si>
  <si>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</si>
  <si>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</si>
  <si>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</si>
  <si>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</si>
  <si>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</si>
  <si>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</si>
  <si>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</si>
  <si>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</si>
  <si>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</si>
  <si>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</si>
  <si>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</si>
  <si>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</si>
  <si>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</si>
  <si>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</si>
  <si>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</si>
  <si>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</si>
  <si>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</si>
  <si>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</si>
  <si>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</si>
  <si>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</si>
  <si>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</si>
  <si>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</si>
  <si>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</si>
  <si>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</si>
  <si>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</si>
  <si>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</si>
  <si>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</si>
  <si>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</si>
  <si>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</si>
  <si>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</si>
  <si>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</si>
  <si>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</si>
  <si>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</si>
  <si>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</si>
  <si>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</si>
  <si>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</si>
  <si>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</si>
  <si>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</si>
  <si>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</si>
  <si>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</si>
  <si>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</si>
  <si>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</si>
  <si>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</si>
  <si>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</si>
  <si>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</si>
  <si>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</si>
  <si>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</si>
  <si>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</si>
  <si>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</si>
  <si>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</si>
  <si>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</si>
  <si>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</si>
  <si>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</si>
  <si>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</si>
  <si>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</si>
  <si>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</si>
  <si>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</si>
  <si>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</si>
  <si>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</si>
  <si>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</si>
  <si>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</si>
  <si>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</si>
  <si>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</si>
  <si>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</si>
  <si>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</si>
  <si>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</si>
  <si>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</si>
  <si>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</si>
  <si>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</si>
  <si>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</si>
  <si>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</si>
  <si>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</si>
  <si>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</si>
  <si>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</si>
  <si>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</si>
  <si>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</si>
  <si>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</si>
  <si>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</si>
  <si>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</si>
  <si>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</si>
  <si>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</si>
  <si>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</si>
  <si>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</si>
  <si>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</si>
  <si>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</si>
  <si>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</si>
  <si>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</si>
  <si>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исходя из 9 мес. 2018 года</t>
  </si>
  <si>
    <t>факт 9 мес. 2018 год</t>
  </si>
  <si>
    <t>по факту 2017 года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</si>
  <si>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</si>
  <si>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</si>
  <si>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</si>
  <si>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</si>
  <si>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</si>
  <si>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</si>
  <si>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</si>
  <si>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</si>
  <si>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</si>
  <si>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</si>
  <si>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</si>
  <si>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</si>
  <si>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</si>
  <si>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</si>
  <si>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</si>
  <si>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</si>
  <si>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</si>
  <si>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Расчет на 2019 - 2024 годы тарифа на услуги водоотведения (в стадии очистки) для МП "Горводоканал" МО "Котлас"</t>
  </si>
  <si>
    <t>Расчет  на 2019 - 2024 годы тарифа на услуги водоотведения для МП "Горводоканал" МО "Котлас"</t>
  </si>
  <si>
    <t>Расчет на 2019 - 2020 годы тарифа на техническую воду воду для МП "Горводоканал" МО "Котлас"</t>
  </si>
  <si>
    <t>Расчет на 2019 - 2020 годы тарифа на питьевую воду для МП "Горводоканал" МО "Котлас"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</si>
  <si>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</si>
  <si>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</si>
  <si>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фактический за 2017 год удельный расход ээ без учетом объема неучтенного притока</t>
  </si>
  <si>
    <t>Расчет затрат на оплату труда согласно отраслевого тарифного соглашения (2019 год)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</si>
  <si>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</si>
  <si>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</si>
  <si>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</si>
  <si>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</si>
  <si>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</si>
  <si>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</si>
  <si>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</si>
  <si>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</si>
  <si>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</si>
  <si>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</si>
  <si>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</si>
  <si>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</si>
  <si>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</si>
  <si>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</si>
  <si>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</si>
  <si>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</si>
  <si>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</si>
  <si>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</si>
  <si>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</si>
  <si>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</si>
  <si>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</si>
  <si>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</si>
  <si>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</si>
  <si>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</si>
  <si>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</si>
  <si>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Апрель</t>
  </si>
  <si>
    <t>ОТКЛ.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</si>
  <si>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</si>
  <si>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</si>
  <si>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</si>
  <si>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</si>
  <si>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</si>
  <si>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</si>
  <si>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</si>
  <si>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</si>
  <si>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</si>
  <si>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</si>
  <si>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теплоэнергия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</si>
  <si>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</si>
  <si>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</si>
  <si>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</si>
  <si>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</si>
  <si>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отопление, природный газ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</si>
  <si>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</si>
  <si>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</si>
  <si>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</si>
  <si>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</si>
  <si>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</si>
  <si>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</si>
  <si>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</si>
  <si>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</si>
  <si>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</si>
  <si>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</si>
  <si>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</si>
  <si>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</si>
  <si>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</si>
  <si>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</si>
  <si>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</si>
  <si>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</si>
  <si>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</si>
  <si>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</si>
  <si>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</si>
  <si>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</si>
  <si>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</si>
  <si>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</si>
  <si>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</si>
  <si>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>вывоз мусора, обезврежив. опаных отходов</t>
  </si>
  <si>
    <t>ПОЛНАЯ СЕБЕСТОИМОСТЬ УСЛУГ ВОДОСНАБЖЕНИЯ НА 2019 ГОД</t>
  </si>
  <si>
    <t>Вода</t>
  </si>
  <si>
    <t>Тех. Вода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</si>
  <si>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</si>
  <si>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</si>
  <si>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</si>
  <si>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</si>
  <si>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</si>
  <si>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</si>
  <si>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</si>
  <si>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</si>
  <si>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</si>
  <si>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</si>
  <si>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</si>
  <si>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</si>
  <si>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</si>
  <si>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</si>
  <si>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</si>
  <si>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</si>
  <si>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</si>
  <si>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</si>
  <si>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</si>
  <si>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</si>
  <si>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</si>
  <si>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</si>
  <si>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НВВ с учетом корректировки</t>
  </si>
  <si>
    <t xml:space="preserve">Прибыль </t>
  </si>
  <si>
    <t>Директор МП "Горводоканал"</t>
  </si>
  <si>
    <t>Ерофеевский А.В.</t>
  </si>
  <si>
    <t>УСЛУГ ВОДОСНАБЖЕНИЯ ЗА 2019 ГОД</t>
  </si>
  <si>
    <t>ОТКЛОНЕНИЕ, абс.</t>
  </si>
  <si>
    <t>ОБЪЕМНЫЕ ПОКАЗАТЕЛИ СИСТЕМЫ ВОДООТВЕДЕНИЯ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</si>
  <si>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</si>
  <si>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</si>
  <si>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</si>
  <si>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</si>
  <si>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</si>
  <si>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</si>
  <si>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</si>
  <si>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ПРОЧИЕ РАСХОДЫ ВСЕГО, В Т.Ч.</t>
  </si>
  <si>
    <t>Технологическое присоединение к централизованной системе водоотведения</t>
  </si>
  <si>
    <t>Принято стоков, в том числе</t>
  </si>
  <si>
    <t>Выпадающие расходы прошлых периодов, в т.ч.</t>
  </si>
  <si>
    <t>ПОЛНАЯ СЕБЕСТОИМОСТЬ УСЛУГ ВОДООТВЕДЕНИЯ НА 2019 ГОД</t>
  </si>
  <si>
    <t>Стоки</t>
  </si>
  <si>
    <t>Очистка</t>
  </si>
  <si>
    <t>ФАКТИЧЕСКИЕ ФИНАНСОВЫЕ ПОКАЗАТЕЛИ</t>
  </si>
  <si>
    <t>Неканализованный жилой фонд</t>
  </si>
  <si>
    <t>ПЛАН ФИНАНСОВЫХ ЗАТРАТ</t>
  </si>
  <si>
    <t>УСЛУГ ВОДООТВЕДЕНИЯ ЗА 2019 ГОД</t>
  </si>
  <si>
    <t>ЦЕХОВЫЕ РАСХОДЫ ПО ВОДООТВЕДЕНИЮ НА 2019 ГОД</t>
  </si>
  <si>
    <t>в стадии очистки</t>
  </si>
  <si>
    <t>налог на имущество станции 3 подъема</t>
  </si>
  <si>
    <t>Выпад. расх. прошл. периодов</t>
  </si>
  <si>
    <t>ЦЕХОВЫЕ РАСХОДЫ ПО ВОДОСНАБЖЕНИЮ НА 2019 год</t>
  </si>
  <si>
    <t>Корректировка НВВ, в том числе:</t>
  </si>
  <si>
    <t>Прибыль</t>
  </si>
  <si>
    <t>выручка, тыс. руб.</t>
  </si>
  <si>
    <t>РАСЧЕТ ТОВАРНОЙ ВЫРУЧКИ ЗА 2019 ГОД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</si>
  <si>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</si>
  <si>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УТВЕРЖДАЮ: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</si>
  <si>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</si>
  <si>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</si>
  <si>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</si>
  <si>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</si>
  <si>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</si>
  <si>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Главный экономист МП "Горводоканал"</t>
  </si>
  <si>
    <t>А.Л. Горынцев</t>
  </si>
  <si>
    <t>ПЛАНОВЫЕ ОБЪЕМНЫЕ ПОКАЗАТЕЛИ СИСТЕМЫ ВОДООТВЕДЕНИЯ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</si>
  <si>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</si>
  <si>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</si>
  <si>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</si>
  <si>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</si>
  <si>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</si>
  <si>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</si>
  <si>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</si>
  <si>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</si>
  <si>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</si>
  <si>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</si>
  <si>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Доходная часть всего, в том числе:</t>
  </si>
  <si>
    <t>Водоснабжение, в том числе :</t>
  </si>
  <si>
    <t>Прочие доходы (прочие платные услуги )</t>
  </si>
  <si>
    <t>Расходная  часть всего, в том числе:</t>
  </si>
  <si>
    <t>Валовая прибыль, в том числе:</t>
  </si>
  <si>
    <t>Прочие расходы всего, в том числе:</t>
  </si>
  <si>
    <t>услуги банка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</si>
  <si>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</si>
  <si>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</si>
  <si>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</si>
  <si>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</si>
  <si>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</si>
  <si>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</si>
  <si>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</si>
  <si>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</si>
  <si>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</si>
  <si>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</si>
  <si>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Гл. Экономист                                                                            А.Л. Горынцев</t>
  </si>
  <si>
    <t>26 счет</t>
  </si>
  <si>
    <t>_____________________А.В. Ерофеевский</t>
  </si>
  <si>
    <t>"___" ___________________ 2019 г.</t>
  </si>
  <si>
    <t xml:space="preserve">План по формированию расходной части МП "Горводоканал" по статьям затрат на услуги водоснабжения на 2019 год </t>
  </si>
  <si>
    <t>Корректировка НВВ в том числе:</t>
  </si>
  <si>
    <t xml:space="preserve">План по формированию расходной части МП "Горводоканал" по статьям затрат на услуги водоотведения на 2019 год </t>
  </si>
  <si>
    <t>платежи за сброс загрязняющих веществ</t>
  </si>
  <si>
    <t>Таблица 2.1.</t>
  </si>
  <si>
    <t>План финансово-хозяйственной деятельности                                                                                                                               МП "Горводоканал" на 2019 год</t>
  </si>
  <si>
    <t>Водоснабжение, в том числе:</t>
  </si>
  <si>
    <t>Питьевое водоснабжение</t>
  </si>
  <si>
    <t>Водоотведение в стадии очистки</t>
  </si>
  <si>
    <t>Водоотведение, в том числе:</t>
  </si>
  <si>
    <t>Питьевое водоснабжение, в том числе:</t>
  </si>
  <si>
    <t>- возмещение убытков</t>
  </si>
  <si>
    <t>Технологическое присоединение к сетям</t>
  </si>
  <si>
    <t>Прочие расходы (прочие платные услуги )</t>
  </si>
  <si>
    <t>плата за негативное воздействие сверх норматива</t>
  </si>
  <si>
    <t>Прочие доходы</t>
  </si>
  <si>
    <t>План финансово-хозяйственной деятельности МП "Горводоканал" на 2019 год (в разрезе по месяцам)</t>
  </si>
  <si>
    <t>Водоснабжение, том числе:</t>
  </si>
  <si>
    <t>Прочие доходы (прочие платные услуги), в т.ч.</t>
  </si>
  <si>
    <t>Техническая     вода</t>
  </si>
  <si>
    <t>Период</t>
  </si>
  <si>
    <t>Гл. Экономист                                                                                       А.Л. Горынцев</t>
  </si>
  <si>
    <t>Текущий ремонт и техническое обслуживание (план) на 2019 год</t>
  </si>
  <si>
    <t>Всего расходов (с учетом прочих расходов)</t>
  </si>
  <si>
    <t>Услуги по транспортировке сточных вод пос. Вычегодский</t>
  </si>
  <si>
    <t>Услуги по транспортировке питьевой воды пос. Вычегодский</t>
  </si>
  <si>
    <t>Транспортировка воды в пос. Вычегодский</t>
  </si>
  <si>
    <t>Транспортировка стоков в пос. Вычегодский</t>
  </si>
  <si>
    <t>Транспортировка воды в п. Вычегодский</t>
  </si>
  <si>
    <t>Транспортировка стоков в п. Вычегодский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</si>
</sst>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</numFmts>
  <fonts count="1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157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37" fillId="3" borderId="0" applyNumberFormat="0" applyBorder="0" applyAlignment="0" applyProtection="0"/>
    <xf numFmtId="0" fontId="29" fillId="20" borderId="1" applyNumberFormat="0" applyAlignment="0" applyProtection="0"/>
    <xf numFmtId="0" fontId="34" fillId="21" borderId="2" applyNumberFormat="0" applyAlignment="0" applyProtection="0"/>
    <xf numFmtId="0" fontId="38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27" fillId="7" borderId="1" applyNumberFormat="0" applyAlignment="0" applyProtection="0"/>
    <xf numFmtId="0" fontId="39" fillId="0" borderId="6" applyNumberFormat="0" applyFill="0" applyAlignment="0" applyProtection="0"/>
    <xf numFmtId="0" fontId="36" fillId="22" borderId="0" applyNumberFormat="0" applyBorder="0" applyAlignment="0" applyProtection="0"/>
    <xf numFmtId="0" fontId="25" fillId="23" borderId="7" applyNumberFormat="0" applyFont="0" applyAlignment="0" applyProtection="0"/>
    <xf numFmtId="0" fontId="28" fillId="20" borderId="8" applyNumberFormat="0" applyAlignment="0" applyProtection="0"/>
    <xf numFmtId="0" fontId="35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7" borderId="1" applyNumberFormat="0" applyAlignment="0" applyProtection="0"/>
    <xf numFmtId="0" fontId="28" fillId="20" borderId="8" applyNumberFormat="0" applyAlignment="0" applyProtection="0"/>
    <xf numFmtId="0" fontId="29" fillId="20" borderId="1" applyNumberFormat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8" fillId="0" borderId="0"/>
    <xf numFmtId="0" fontId="18" fillId="0" borderId="0"/>
    <xf numFmtId="0" fontId="6" fillId="0" borderId="0"/>
    <xf numFmtId="0" fontId="18" fillId="0" borderId="0"/>
    <xf numFmtId="0" fontId="25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23" borderId="7" applyNumberFormat="0" applyFont="0" applyAlignment="0" applyProtection="0"/>
    <xf numFmtId="9" fontId="6" fillId="0" borderId="0" applyFont="0" applyFill="0" applyBorder="0" applyAlignment="0" applyProtection="0"/>
    <xf numFmtId="9" fontId="24" fillId="0" borderId="0" applyFill="0" applyBorder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72" fontId="24" fillId="0" borderId="0" applyFill="0" applyBorder="0" applyAlignment="0" applyProtection="0"/>
    <xf numFmtId="172" fontId="24" fillId="0" borderId="0" applyFill="0" applyBorder="0" applyAlignment="0" applyProtection="0"/>
    <xf numFmtId="175" fontId="18" fillId="0" borderId="0" applyFont="0" applyFill="0" applyBorder="0" applyAlignment="0" applyProtection="0"/>
    <xf numFmtId="172" fontId="24" fillId="0" borderId="0" applyFill="0" applyBorder="0" applyAlignment="0" applyProtection="0"/>
    <xf numFmtId="173" fontId="24" fillId="0" borderId="0" applyFill="0" applyBorder="0" applyAlignment="0" applyProtection="0"/>
    <xf numFmtId="0" fontId="41" fillId="4" borderId="0" applyNumberFormat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7" fillId="40" borderId="0"/>
    <xf numFmtId="0" fontId="98" fillId="0" borderId="0">
      <alignment horizontal="left" vertical="center" wrapText="1"/>
    </xf>
    <xf numFmtId="0" fontId="99" fillId="0" borderId="0">
      <alignment horizontal="left" vertical="center" wrapText="1" indent="1"/>
    </xf>
    <xf numFmtId="0" fontId="99" fillId="0" borderId="0">
      <alignment horizontal="left" vertical="center" wrapText="1" indent="3"/>
    </xf>
    <xf numFmtId="179" fontId="24" fillId="0" borderId="0" applyFill="0" applyBorder="0" applyAlignment="0" applyProtection="0"/>
    <xf numFmtId="180" fontId="24" fillId="0" borderId="0" applyFill="0" applyBorder="0" applyAlignment="0" applyProtection="0"/>
    <xf numFmtId="181" fontId="24" fillId="0" borderId="0" applyFill="0" applyBorder="0" applyAlignment="0" applyProtection="0"/>
    <xf numFmtId="182" fontId="24" fillId="0" borderId="0" applyFill="0" applyBorder="0" applyAlignment="0" applyProtection="0"/>
    <xf numFmtId="0" fontId="97" fillId="0" borderId="159"/>
    <xf numFmtId="0" fontId="25" fillId="0" borderId="0"/>
    <xf numFmtId="0" fontId="25" fillId="0" borderId="0"/>
    <xf numFmtId="0" fontId="25" fillId="0" borderId="0"/>
    <xf numFmtId="0" fontId="18" fillId="0" borderId="0"/>
    <xf numFmtId="0" fontId="97" fillId="0" borderId="0"/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183" fontId="24" fillId="0" borderId="0" applyFill="0" applyBorder="0" applyAlignment="0" applyProtection="0"/>
    <xf numFmtId="183" fontId="24" fillId="0" borderId="0" applyFill="0" applyBorder="0" applyAlignment="0" applyProtection="0"/>
    <xf numFmtId="0" fontId="25" fillId="0" borderId="0"/>
    <xf numFmtId="0" fontId="24" fillId="0" borderId="0"/>
    <xf numFmtId="0" fontId="25" fillId="0" borderId="0"/>
    <xf numFmtId="0" fontId="18" fillId="0" borderId="0"/>
    <xf numFmtId="0" fontId="24" fillId="0" borderId="0"/>
    <xf numFmtId="0" fontId="25" fillId="0" borderId="0"/>
    <xf numFmtId="0" fontId="25" fillId="0" borderId="0"/>
    <xf numFmtId="0" fontId="6" fillId="0" borderId="0"/>
    <xf numFmtId="0" fontId="101" fillId="0" borderId="0"/>
    <xf numFmtId="0" fontId="6" fillId="0" borderId="0"/>
    <xf numFmtId="0" fontId="6" fillId="0" borderId="0"/>
    <xf numFmtId="9" fontId="24" fillId="0" borderId="0" applyFill="0" applyBorder="0" applyAlignment="0" applyProtection="0"/>
    <xf numFmtId="9" fontId="6" fillId="0" borderId="0" applyFont="0" applyFill="0" applyBorder="0" applyAlignment="0" applyProtection="0"/>
    <xf numFmtId="9" fontId="25" fillId="0" borderId="0"/>
    <xf numFmtId="9" fontId="25" fillId="0" borderId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84" fontId="24" fillId="0" borderId="0" applyFill="0" applyBorder="0" applyAlignment="0" applyProtection="0"/>
    <xf numFmtId="185" fontId="24" fillId="0" borderId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" fillId="0" borderId="0"/>
    <xf numFmtId="0" fontId="18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</cellStyleXfs>
  <cellXfs count="4728">
    <xf numFmtId="0" fontId="0" fillId="0" borderId="0" xfId="0"/>
    <xf numFmtId="0" fontId="7" fillId="0" borderId="0" xfId="0" applyFont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0" xfId="0" applyFont="1"/>
    <xf numFmtId="169" fontId="13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169" fontId="11" fillId="0" borderId="10" xfId="0" applyNumberFormat="1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2" fillId="0" borderId="10" xfId="0" applyNumberFormat="1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0" fontId="11" fillId="0" borderId="10" xfId="0" applyFont="1" applyFill="1" applyBorder="1"/>
    <xf numFmtId="2" fontId="12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2" fillId="0" borderId="10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/>
    </xf>
    <xf numFmtId="169" fontId="12" fillId="0" borderId="11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wrapText="1"/>
    </xf>
    <xf numFmtId="2" fontId="12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9" fontId="12" fillId="0" borderId="10" xfId="0" applyNumberFormat="1" applyFont="1" applyBorder="1" applyAlignment="1">
      <alignment horizontal="center" vertical="center" wrapText="1"/>
    </xf>
    <xf numFmtId="169" fontId="13" fillId="0" borderId="10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/>
    <xf numFmtId="0" fontId="12" fillId="0" borderId="12" xfId="0" applyFont="1" applyBorder="1"/>
    <xf numFmtId="0" fontId="12" fillId="0" borderId="14" xfId="0" applyFont="1" applyBorder="1" applyAlignment="1">
      <alignment wrapText="1"/>
    </xf>
    <xf numFmtId="0" fontId="12" fillId="0" borderId="15" xfId="0" applyFont="1" applyBorder="1"/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9" fontId="12" fillId="0" borderId="12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169" fontId="13" fillId="0" borderId="18" xfId="0" applyNumberFormat="1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169" fontId="13" fillId="0" borderId="20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 vertical="center" wrapText="1"/>
    </xf>
    <xf numFmtId="169" fontId="13" fillId="0" borderId="20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169" fontId="13" fillId="0" borderId="23" xfId="0" applyNumberFormat="1" applyFont="1" applyBorder="1" applyAlignment="1">
      <alignment horizontal="center"/>
    </xf>
    <xf numFmtId="169" fontId="12" fillId="0" borderId="22" xfId="0" applyNumberFormat="1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2" fillId="0" borderId="19" xfId="0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2" fontId="15" fillId="0" borderId="0" xfId="0" applyNumberFormat="1" applyFont="1" applyAlignment="1">
      <alignment horizontal="center"/>
    </xf>
    <xf numFmtId="2" fontId="12" fillId="0" borderId="10" xfId="0" applyNumberFormat="1" applyFont="1" applyBorder="1"/>
    <xf numFmtId="168" fontId="11" fillId="0" borderId="10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8" fontId="12" fillId="0" borderId="19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169" fontId="12" fillId="0" borderId="25" xfId="0" applyNumberFormat="1" applyFont="1" applyBorder="1"/>
    <xf numFmtId="168" fontId="14" fillId="0" borderId="10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0" fontId="12" fillId="0" borderId="25" xfId="0" applyFont="1" applyBorder="1"/>
    <xf numFmtId="168" fontId="22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wrapText="1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8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3" fillId="0" borderId="10" xfId="0" applyNumberFormat="1" applyFont="1" applyBorder="1" applyAlignment="1">
      <alignment horizontal="center"/>
    </xf>
    <xf numFmtId="2" fontId="19" fillId="0" borderId="10" xfId="0" applyNumberFormat="1" applyFont="1" applyBorder="1"/>
    <xf numFmtId="2" fontId="12" fillId="0" borderId="10" xfId="0" applyNumberFormat="1" applyFont="1" applyBorder="1" applyAlignment="1">
      <alignment horizontal="right"/>
    </xf>
    <xf numFmtId="2" fontId="12" fillId="0" borderId="10" xfId="0" applyNumberFormat="1" applyFont="1" applyBorder="1" applyAlignment="1">
      <alignment horizontal="center" vertical="center" wrapText="1"/>
    </xf>
    <xf numFmtId="168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1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168" fontId="20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1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/>
    <xf numFmtId="169" fontId="13" fillId="0" borderId="26" xfId="0" applyNumberFormat="1" applyFont="1" applyBorder="1" applyAlignment="1">
      <alignment horizontal="center"/>
    </xf>
    <xf numFmtId="169" fontId="13" fillId="0" borderId="27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top" wrapText="1"/>
    </xf>
    <xf numFmtId="169" fontId="11" fillId="0" borderId="10" xfId="0" applyNumberFormat="1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169" fontId="13" fillId="0" borderId="29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1" fontId="12" fillId="0" borderId="28" xfId="0" applyNumberFormat="1" applyFont="1" applyBorder="1" applyAlignment="1">
      <alignment horizontal="center" vertical="center"/>
    </xf>
    <xf numFmtId="169" fontId="13" fillId="0" borderId="33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/>
    </xf>
    <xf numFmtId="169" fontId="12" fillId="0" borderId="21" xfId="0" applyNumberFormat="1" applyFont="1" applyBorder="1" applyAlignment="1">
      <alignment horizontal="center"/>
    </xf>
    <xf numFmtId="168" fontId="12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2" fillId="0" borderId="0" xfId="0" applyNumberFormat="1" applyFont="1" applyAlignment="1">
      <alignment horizontal="center"/>
    </xf>
    <xf numFmtId="1" fontId="12" fillId="0" borderId="10" xfId="0" applyNumberFormat="1" applyFont="1" applyFill="1" applyBorder="1" applyAlignment="1">
      <alignment horizontal="center"/>
    </xf>
    <xf numFmtId="1" fontId="12" fillId="0" borderId="10" xfId="0" applyNumberFormat="1" applyFont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2" fillId="0" borderId="0" xfId="0" applyNumberFormat="1" applyFont="1" applyAlignment="1">
      <alignment horizontal="center"/>
    </xf>
    <xf numFmtId="4" fontId="11" fillId="0" borderId="10" xfId="0" applyNumberFormat="1" applyFont="1" applyBorder="1" applyAlignment="1">
      <alignment horizontal="center" vertical="top" wrapText="1"/>
    </xf>
    <xf numFmtId="4" fontId="12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/>
    <xf numFmtId="2" fontId="14" fillId="0" borderId="10" xfId="0" applyNumberFormat="1" applyFont="1" applyBorder="1" applyAlignment="1">
      <alignment wrapText="1"/>
    </xf>
    <xf numFmtId="2" fontId="20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2" fillId="0" borderId="11" xfId="0" applyFont="1" applyBorder="1" applyAlignment="1">
      <alignment horizontal="center"/>
    </xf>
    <xf numFmtId="167" fontId="12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2" fillId="0" borderId="34" xfId="0" applyFont="1" applyBorder="1" applyAlignment="1">
      <alignment wrapText="1"/>
    </xf>
    <xf numFmtId="0" fontId="12" fillId="0" borderId="34" xfId="0" applyFont="1" applyBorder="1" applyAlignment="1">
      <alignment horizontal="center"/>
    </xf>
    <xf numFmtId="169" fontId="13" fillId="0" borderId="35" xfId="0" applyNumberFormat="1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9" fontId="13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2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2" fillId="0" borderId="10" xfId="0" applyNumberFormat="1" applyFont="1" applyBorder="1" applyAlignment="1">
      <alignment horizontal="center"/>
    </xf>
    <xf numFmtId="2" fontId="43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2" fillId="0" borderId="10" xfId="0" applyNumberFormat="1" applyFont="1" applyBorder="1" applyAlignment="1">
      <alignment horizontal="center"/>
    </xf>
    <xf numFmtId="4" fontId="43" fillId="0" borderId="10" xfId="0" applyNumberFormat="1" applyFont="1" applyFill="1" applyBorder="1" applyAlignment="1">
      <alignment horizontal="center"/>
    </xf>
    <xf numFmtId="2" fontId="22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6" fillId="0" borderId="0" xfId="79"/>
    <xf numFmtId="0" fontId="49" fillId="0" borderId="0" xfId="79" applyFont="1"/>
    <xf numFmtId="0" fontId="6" fillId="0" borderId="0" xfId="79" applyFont="1" applyFill="1"/>
    <xf numFmtId="0" fontId="6" fillId="0" borderId="0" xfId="79" applyFont="1"/>
    <xf numFmtId="0" fontId="7" fillId="0" borderId="0" xfId="79" applyFont="1"/>
    <xf numFmtId="0" fontId="49" fillId="0" borderId="0" xfId="0" applyFont="1"/>
    <xf numFmtId="2" fontId="11" fillId="0" borderId="10" xfId="0" applyNumberFormat="1" applyFont="1" applyFill="1" applyBorder="1" applyAlignment="1">
      <alignment wrapText="1"/>
    </xf>
    <xf numFmtId="10" fontId="46" fillId="0" borderId="10" xfId="85" applyNumberFormat="1" applyFont="1" applyBorder="1"/>
    <xf numFmtId="0" fontId="53" fillId="0" borderId="0" xfId="81" applyFont="1" applyAlignment="1">
      <alignment horizontal="center"/>
    </xf>
    <xf numFmtId="0" fontId="25" fillId="0" borderId="0" xfId="81"/>
    <xf numFmtId="0" fontId="54" fillId="0" borderId="0" xfId="81" applyFont="1" applyAlignment="1">
      <alignment horizontal="left"/>
    </xf>
    <xf numFmtId="0" fontId="54" fillId="0" borderId="0" xfId="81" applyFont="1" applyAlignment="1">
      <alignment horizontal="center"/>
    </xf>
    <xf numFmtId="0" fontId="54" fillId="0" borderId="39" xfId="81" applyFont="1" applyBorder="1" applyAlignment="1">
      <alignment horizontal="center" vertical="center" wrapText="1"/>
    </xf>
    <xf numFmtId="0" fontId="54" fillId="0" borderId="22" xfId="81" applyFont="1" applyBorder="1" applyAlignment="1">
      <alignment horizontal="center" vertical="center"/>
    </xf>
    <xf numFmtId="0" fontId="54" fillId="0" borderId="22" xfId="81" applyFont="1" applyBorder="1" applyAlignment="1">
      <alignment horizontal="center" vertical="center" wrapText="1"/>
    </xf>
    <xf numFmtId="0" fontId="54" fillId="0" borderId="29" xfId="81" applyFont="1" applyBorder="1" applyAlignment="1">
      <alignment horizontal="center" vertical="center" wrapText="1"/>
    </xf>
    <xf numFmtId="0" fontId="54" fillId="0" borderId="21" xfId="81" applyFont="1" applyBorder="1" applyAlignment="1">
      <alignment horizontal="center" vertical="center" wrapText="1"/>
    </xf>
    <xf numFmtId="0" fontId="54" fillId="0" borderId="23" xfId="81" applyFont="1" applyBorder="1" applyAlignment="1">
      <alignment horizontal="center" vertical="center" wrapText="1"/>
    </xf>
    <xf numFmtId="0" fontId="54" fillId="0" borderId="40" xfId="81" applyFont="1" applyBorder="1"/>
    <xf numFmtId="0" fontId="54" fillId="0" borderId="34" xfId="81" applyFont="1" applyBorder="1" applyAlignment="1">
      <alignment horizontal="center"/>
    </xf>
    <xf numFmtId="0" fontId="54" fillId="0" borderId="31" xfId="81" applyFont="1" applyBorder="1" applyAlignment="1">
      <alignment horizontal="center"/>
    </xf>
    <xf numFmtId="4" fontId="54" fillId="0" borderId="11" xfId="81" applyNumberFormat="1" applyFont="1" applyBorder="1" applyAlignment="1">
      <alignment horizontal="center"/>
    </xf>
    <xf numFmtId="2" fontId="54" fillId="0" borderId="11" xfId="81" applyNumberFormat="1" applyFont="1" applyBorder="1" applyAlignment="1">
      <alignment horizontal="center"/>
    </xf>
    <xf numFmtId="165" fontId="54" fillId="0" borderId="35" xfId="89" applyFont="1" applyBorder="1" applyAlignment="1">
      <alignment horizontal="center"/>
    </xf>
    <xf numFmtId="0" fontId="54" fillId="0" borderId="37" xfId="81" applyFont="1" applyBorder="1" applyAlignment="1">
      <alignment horizontal="center"/>
    </xf>
    <xf numFmtId="165" fontId="54" fillId="0" borderId="11" xfId="89" applyFont="1" applyBorder="1" applyAlignment="1">
      <alignment horizontal="center"/>
    </xf>
    <xf numFmtId="169" fontId="54" fillId="0" borderId="38" xfId="81" applyNumberFormat="1" applyFont="1" applyBorder="1" applyAlignment="1">
      <alignment horizontal="center"/>
    </xf>
    <xf numFmtId="171" fontId="54" fillId="0" borderId="38" xfId="85" applyNumberFormat="1" applyFont="1" applyBorder="1" applyAlignment="1">
      <alignment horizontal="center"/>
    </xf>
    <xf numFmtId="0" fontId="54" fillId="0" borderId="41" xfId="81" applyFont="1" applyBorder="1"/>
    <xf numFmtId="0" fontId="54" fillId="0" borderId="12" xfId="81" applyFont="1" applyBorder="1" applyAlignment="1">
      <alignment horizontal="center"/>
    </xf>
    <xf numFmtId="0" fontId="54" fillId="0" borderId="28" xfId="81" applyFont="1" applyBorder="1" applyAlignment="1">
      <alignment horizontal="center"/>
    </xf>
    <xf numFmtId="2" fontId="54" fillId="0" borderId="10" xfId="81" applyNumberFormat="1" applyFont="1" applyBorder="1" applyAlignment="1">
      <alignment horizontal="center"/>
    </xf>
    <xf numFmtId="0" fontId="54" fillId="0" borderId="19" xfId="81" applyFont="1" applyBorder="1" applyAlignment="1">
      <alignment horizontal="center"/>
    </xf>
    <xf numFmtId="4" fontId="54" fillId="0" borderId="10" xfId="81" applyNumberFormat="1" applyFont="1" applyBorder="1" applyAlignment="1">
      <alignment horizontal="center"/>
    </xf>
    <xf numFmtId="2" fontId="54" fillId="0" borderId="28" xfId="81" applyNumberFormat="1" applyFont="1" applyBorder="1" applyAlignment="1">
      <alignment horizontal="center"/>
    </xf>
    <xf numFmtId="0" fontId="54" fillId="0" borderId="10" xfId="81" applyFont="1" applyBorder="1" applyAlignment="1">
      <alignment horizontal="center"/>
    </xf>
    <xf numFmtId="2" fontId="54" fillId="0" borderId="19" xfId="81" applyNumberFormat="1" applyFont="1" applyBorder="1" applyAlignment="1">
      <alignment horizontal="center"/>
    </xf>
    <xf numFmtId="0" fontId="54" fillId="0" borderId="42" xfId="81" applyFont="1" applyBorder="1"/>
    <xf numFmtId="0" fontId="54" fillId="0" borderId="15" xfId="81" applyFont="1" applyBorder="1" applyAlignment="1">
      <alignment horizontal="center"/>
    </xf>
    <xf numFmtId="0" fontId="54" fillId="0" borderId="39" xfId="81" applyFont="1" applyBorder="1" applyAlignment="1">
      <alignment horizontal="center"/>
    </xf>
    <xf numFmtId="4" fontId="54" fillId="0" borderId="43" xfId="81" applyNumberFormat="1" applyFont="1" applyBorder="1" applyAlignment="1">
      <alignment horizontal="center"/>
    </xf>
    <xf numFmtId="2" fontId="54" fillId="0" borderId="22" xfId="81" applyNumberFormat="1" applyFont="1" applyBorder="1" applyAlignment="1">
      <alignment horizontal="center"/>
    </xf>
    <xf numFmtId="165" fontId="54" fillId="0" borderId="29" xfId="89" applyFont="1" applyBorder="1" applyAlignment="1">
      <alignment horizontal="center"/>
    </xf>
    <xf numFmtId="2" fontId="54" fillId="0" borderId="21" xfId="81" applyNumberFormat="1" applyFont="1" applyBorder="1" applyAlignment="1">
      <alignment horizontal="center"/>
    </xf>
    <xf numFmtId="165" fontId="54" fillId="0" borderId="22" xfId="89" applyFont="1" applyBorder="1" applyAlignment="1">
      <alignment horizontal="center"/>
    </xf>
    <xf numFmtId="169" fontId="54" fillId="0" borderId="23" xfId="81" applyNumberFormat="1" applyFont="1" applyBorder="1" applyAlignment="1">
      <alignment horizontal="center"/>
    </xf>
    <xf numFmtId="0" fontId="54" fillId="0" borderId="22" xfId="81" applyFont="1" applyBorder="1" applyAlignment="1">
      <alignment horizontal="center"/>
    </xf>
    <xf numFmtId="171" fontId="54" fillId="0" borderId="44" xfId="85" applyNumberFormat="1" applyFont="1" applyBorder="1" applyAlignment="1">
      <alignment horizontal="center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4" fontId="0" fillId="0" borderId="10" xfId="85" applyNumberFormat="1" applyFont="1" applyBorder="1"/>
    <xf numFmtId="4" fontId="62" fillId="0" borderId="10" xfId="0" applyNumberFormat="1" applyFont="1" applyBorder="1"/>
    <xf numFmtId="0" fontId="62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2" fillId="0" borderId="46" xfId="0" applyFont="1" applyFill="1" applyBorder="1"/>
    <xf numFmtId="3" fontId="17" fillId="0" borderId="10" xfId="0" applyNumberFormat="1" applyFont="1" applyBorder="1" applyAlignment="1">
      <alignment horizontal="right" vertical="center" indent="1"/>
    </xf>
    <xf numFmtId="1" fontId="17" fillId="0" borderId="19" xfId="0" applyNumberFormat="1" applyFont="1" applyBorder="1" applyAlignment="1">
      <alignment horizontal="right" vertical="center" indent="1"/>
    </xf>
    <xf numFmtId="170" fontId="17" fillId="0" borderId="10" xfId="0" applyNumberFormat="1" applyFont="1" applyBorder="1" applyAlignment="1">
      <alignment horizontal="right" vertical="center"/>
    </xf>
    <xf numFmtId="10" fontId="63" fillId="0" borderId="10" xfId="85" applyNumberFormat="1" applyFont="1" applyBorder="1"/>
    <xf numFmtId="3" fontId="57" fillId="0" borderId="10" xfId="0" applyNumberFormat="1" applyFont="1" applyBorder="1" applyAlignment="1">
      <alignment horizontal="right" vertical="center" indent="1"/>
    </xf>
    <xf numFmtId="1" fontId="57" fillId="0" borderId="19" xfId="0" applyNumberFormat="1" applyFont="1" applyBorder="1" applyAlignment="1">
      <alignment horizontal="right" vertical="center" indent="1"/>
    </xf>
    <xf numFmtId="170" fontId="57" fillId="0" borderId="10" xfId="0" applyNumberFormat="1" applyFont="1" applyBorder="1" applyAlignment="1">
      <alignment horizontal="right" vertical="center"/>
    </xf>
    <xf numFmtId="169" fontId="57" fillId="0" borderId="19" xfId="0" applyNumberFormat="1" applyFont="1" applyBorder="1" applyAlignment="1">
      <alignment horizontal="right" vertical="center" indent="1"/>
    </xf>
    <xf numFmtId="3" fontId="64" fillId="0" borderId="10" xfId="0" applyNumberFormat="1" applyFont="1" applyBorder="1" applyAlignment="1">
      <alignment horizontal="right" vertical="center" indent="1"/>
    </xf>
    <xf numFmtId="1" fontId="64" fillId="0" borderId="19" xfId="0" applyNumberFormat="1" applyFont="1" applyBorder="1" applyAlignment="1">
      <alignment horizontal="right" vertical="center" indent="1"/>
    </xf>
    <xf numFmtId="170" fontId="64" fillId="0" borderId="10" xfId="0" applyNumberFormat="1" applyFont="1" applyBorder="1" applyAlignment="1">
      <alignment horizontal="right" vertical="center"/>
    </xf>
    <xf numFmtId="2" fontId="11" fillId="0" borderId="25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wrapText="1"/>
    </xf>
    <xf numFmtId="2" fontId="11" fillId="0" borderId="20" xfId="0" applyNumberFormat="1" applyFont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18" xfId="0" applyNumberFormat="1" applyFont="1" applyBorder="1" applyAlignment="1">
      <alignment horizontal="center"/>
    </xf>
    <xf numFmtId="4" fontId="12" fillId="0" borderId="20" xfId="0" applyNumberFormat="1" applyFont="1" applyBorder="1" applyAlignment="1">
      <alignment horizontal="center"/>
    </xf>
    <xf numFmtId="4" fontId="12" fillId="0" borderId="23" xfId="0" applyNumberFormat="1" applyFont="1" applyBorder="1" applyAlignment="1">
      <alignment horizontal="center"/>
    </xf>
    <xf numFmtId="0" fontId="12" fillId="0" borderId="19" xfId="0" applyFont="1" applyBorder="1"/>
    <xf numFmtId="0" fontId="11" fillId="0" borderId="19" xfId="0" applyFont="1" applyBorder="1"/>
    <xf numFmtId="0" fontId="11" fillId="0" borderId="19" xfId="0" applyFont="1" applyBorder="1" applyAlignment="1">
      <alignment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3" fontId="57" fillId="0" borderId="22" xfId="0" applyNumberFormat="1" applyFont="1" applyBorder="1" applyAlignment="1">
      <alignment horizontal="right" vertical="center" indent="1"/>
    </xf>
    <xf numFmtId="170" fontId="57" fillId="0" borderId="22" xfId="0" applyNumberFormat="1" applyFont="1" applyBorder="1" applyAlignment="1">
      <alignment horizontal="right" vertical="center"/>
    </xf>
    <xf numFmtId="10" fontId="63" fillId="0" borderId="22" xfId="85" applyNumberFormat="1" applyFont="1" applyBorder="1"/>
    <xf numFmtId="1" fontId="57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2" fontId="12" fillId="0" borderId="19" xfId="0" applyNumberFormat="1" applyFont="1" applyBorder="1" applyAlignment="1">
      <alignment horizontal="center"/>
    </xf>
    <xf numFmtId="2" fontId="12" fillId="0" borderId="35" xfId="0" applyNumberFormat="1" applyFont="1" applyBorder="1" applyAlignment="1">
      <alignment horizontal="center"/>
    </xf>
    <xf numFmtId="4" fontId="6" fillId="0" borderId="20" xfId="0" applyNumberFormat="1" applyFont="1" applyBorder="1" applyAlignment="1">
      <alignment horizontal="center" wrapText="1"/>
    </xf>
    <xf numFmtId="0" fontId="6" fillId="0" borderId="0" xfId="79" applyFill="1"/>
    <xf numFmtId="0" fontId="6" fillId="0" borderId="0" xfId="79" applyFill="1" applyAlignment="1">
      <alignment horizontal="center"/>
    </xf>
    <xf numFmtId="170" fontId="6" fillId="0" borderId="0" xfId="79" applyNumberFormat="1" applyFill="1"/>
    <xf numFmtId="167" fontId="12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2" fillId="0" borderId="11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4" fontId="12" fillId="0" borderId="11" xfId="0" applyNumberFormat="1" applyFont="1" applyBorder="1" applyAlignment="1">
      <alignment horizontal="center"/>
    </xf>
    <xf numFmtId="2" fontId="12" fillId="0" borderId="11" xfId="0" applyNumberFormat="1" applyFont="1" applyBorder="1" applyAlignment="1">
      <alignment horizontal="center"/>
    </xf>
    <xf numFmtId="0" fontId="0" fillId="0" borderId="0" xfId="0" applyBorder="1"/>
    <xf numFmtId="0" fontId="12" fillId="0" borderId="17" xfId="0" applyFont="1" applyBorder="1"/>
    <xf numFmtId="2" fontId="12" fillId="0" borderId="20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/>
    </xf>
    <xf numFmtId="0" fontId="11" fillId="0" borderId="19" xfId="0" applyFont="1" applyBorder="1" applyAlignment="1">
      <alignment wrapText="1"/>
    </xf>
    <xf numFmtId="2" fontId="42" fillId="0" borderId="20" xfId="0" applyNumberFormat="1" applyFont="1" applyBorder="1" applyAlignment="1">
      <alignment horizontal="center"/>
    </xf>
    <xf numFmtId="2" fontId="43" fillId="0" borderId="20" xfId="0" applyNumberFormat="1" applyFont="1" applyFill="1" applyBorder="1" applyAlignment="1">
      <alignment horizontal="center"/>
    </xf>
    <xf numFmtId="0" fontId="12" fillId="0" borderId="19" xfId="0" applyFont="1" applyFill="1" applyBorder="1"/>
    <xf numFmtId="0" fontId="12" fillId="0" borderId="49" xfId="0" applyFont="1" applyFill="1" applyBorder="1"/>
    <xf numFmtId="169" fontId="11" fillId="0" borderId="20" xfId="0" applyNumberFormat="1" applyFont="1" applyBorder="1" applyAlignment="1">
      <alignment horizontal="center"/>
    </xf>
    <xf numFmtId="0" fontId="11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2" fillId="0" borderId="37" xfId="0" applyFont="1" applyBorder="1"/>
    <xf numFmtId="1" fontId="12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8" fontId="0" fillId="0" borderId="11" xfId="0" applyNumberFormat="1" applyBorder="1"/>
    <xf numFmtId="2" fontId="12" fillId="0" borderId="38" xfId="0" applyNumberFormat="1" applyFont="1" applyBorder="1" applyAlignment="1">
      <alignment horizontal="center"/>
    </xf>
    <xf numFmtId="0" fontId="12" fillId="0" borderId="27" xfId="0" applyFont="1" applyBorder="1"/>
    <xf numFmtId="2" fontId="12" fillId="0" borderId="25" xfId="0" applyNumberFormat="1" applyFont="1" applyBorder="1" applyAlignment="1">
      <alignment horizontal="center"/>
    </xf>
    <xf numFmtId="2" fontId="11" fillId="0" borderId="25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 wrapText="1"/>
    </xf>
    <xf numFmtId="2" fontId="12" fillId="0" borderId="28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/>
    </xf>
    <xf numFmtId="169" fontId="11" fillId="0" borderId="28" xfId="0" applyNumberFormat="1" applyFont="1" applyBorder="1" applyAlignment="1">
      <alignment horizontal="center" vertical="center"/>
    </xf>
    <xf numFmtId="2" fontId="12" fillId="0" borderId="28" xfId="0" applyNumberFormat="1" applyFont="1" applyFill="1" applyBorder="1" applyAlignment="1">
      <alignment horizontal="center"/>
    </xf>
    <xf numFmtId="0" fontId="11" fillId="0" borderId="39" xfId="0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 wrapText="1"/>
    </xf>
    <xf numFmtId="2" fontId="11" fillId="0" borderId="19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 vertical="center"/>
    </xf>
    <xf numFmtId="2" fontId="12" fillId="0" borderId="20" xfId="0" applyNumberFormat="1" applyFont="1" applyFill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2" fontId="12" fillId="0" borderId="25" xfId="0" applyNumberFormat="1" applyFont="1" applyFill="1" applyBorder="1" applyAlignment="1">
      <alignment horizontal="center"/>
    </xf>
    <xf numFmtId="2" fontId="12" fillId="0" borderId="19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5" fillId="0" borderId="0" xfId="0" applyFont="1"/>
    <xf numFmtId="4" fontId="55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4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9" fillId="0" borderId="10" xfId="0" applyFont="1" applyBorder="1" applyAlignment="1">
      <alignment horizontal="center" vertical="center"/>
    </xf>
    <xf numFmtId="176" fontId="69" fillId="0" borderId="10" xfId="85" applyNumberFormat="1" applyFont="1" applyBorder="1"/>
    <xf numFmtId="0" fontId="6" fillId="0" borderId="0" xfId="0" applyFont="1"/>
    <xf numFmtId="0" fontId="18" fillId="0" borderId="0" xfId="0" applyFont="1" applyAlignment="1">
      <alignment horizontal="center"/>
    </xf>
    <xf numFmtId="0" fontId="74" fillId="0" borderId="0" xfId="0" applyFont="1"/>
    <xf numFmtId="0" fontId="20" fillId="0" borderId="50" xfId="0" applyFont="1" applyBorder="1" applyAlignment="1">
      <alignment horizontal="center" wrapText="1"/>
    </xf>
    <xf numFmtId="0" fontId="20" fillId="0" borderId="51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4" xfId="0" applyFont="1" applyBorder="1" applyAlignment="1">
      <alignment horizontal="center" wrapText="1"/>
    </xf>
    <xf numFmtId="0" fontId="20" fillId="0" borderId="4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5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57" xfId="0" applyFont="1" applyBorder="1" applyAlignment="1">
      <alignment horizontal="center" wrapText="1"/>
    </xf>
    <xf numFmtId="0" fontId="20" fillId="0" borderId="58" xfId="0" applyFont="1" applyBorder="1" applyAlignment="1">
      <alignment horizontal="center" wrapText="1"/>
    </xf>
    <xf numFmtId="0" fontId="75" fillId="0" borderId="0" xfId="0" applyFont="1"/>
    <xf numFmtId="0" fontId="20" fillId="0" borderId="58" xfId="0" applyFont="1" applyBorder="1" applyAlignment="1">
      <alignment horizontal="center" vertical="top" wrapText="1"/>
    </xf>
    <xf numFmtId="0" fontId="20" fillId="0" borderId="59" xfId="0" applyFont="1" applyBorder="1" applyAlignment="1">
      <alignment horizontal="center" vertical="top" wrapText="1"/>
    </xf>
    <xf numFmtId="0" fontId="20" fillId="0" borderId="48" xfId="0" applyFont="1" applyBorder="1" applyAlignment="1">
      <alignment vertical="top" wrapText="1"/>
    </xf>
    <xf numFmtId="0" fontId="20" fillId="0" borderId="48" xfId="0" applyFont="1" applyBorder="1" applyAlignment="1">
      <alignment horizontal="center" vertical="top" wrapText="1"/>
    </xf>
    <xf numFmtId="0" fontId="20" fillId="0" borderId="48" xfId="0" applyFont="1" applyBorder="1" applyAlignment="1">
      <alignment horizontal="right" vertical="top" wrapText="1"/>
    </xf>
    <xf numFmtId="0" fontId="20" fillId="0" borderId="33" xfId="0" applyFont="1" applyBorder="1" applyAlignment="1">
      <alignment vertical="top" wrapText="1"/>
    </xf>
    <xf numFmtId="0" fontId="20" fillId="0" borderId="33" xfId="0" applyFont="1" applyBorder="1" applyAlignment="1">
      <alignment horizontal="right" vertical="top" wrapText="1"/>
    </xf>
    <xf numFmtId="0" fontId="20" fillId="0" borderId="60" xfId="0" applyFont="1" applyBorder="1" applyAlignment="1">
      <alignment vertical="top" wrapText="1"/>
    </xf>
    <xf numFmtId="0" fontId="20" fillId="0" borderId="60" xfId="0" applyFont="1" applyBorder="1" applyAlignment="1">
      <alignment horizontal="center" vertical="top" wrapText="1"/>
    </xf>
    <xf numFmtId="0" fontId="20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78" fillId="0" borderId="0" xfId="0" applyFont="1"/>
    <xf numFmtId="0" fontId="78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1" fillId="0" borderId="11" xfId="0" applyFont="1" applyFill="1" applyBorder="1"/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11" fillId="0" borderId="0" xfId="0" applyFont="1" applyFill="1" applyBorder="1" applyAlignment="1">
      <alignment wrapText="1"/>
    </xf>
    <xf numFmtId="169" fontId="16" fillId="0" borderId="20" xfId="0" applyNumberFormat="1" applyFont="1" applyBorder="1" applyAlignment="1">
      <alignment horizontal="center" vertical="center"/>
    </xf>
    <xf numFmtId="169" fontId="59" fillId="0" borderId="20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2" fontId="16" fillId="0" borderId="20" xfId="0" applyNumberFormat="1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4" fontId="16" fillId="0" borderId="10" xfId="0" applyNumberFormat="1" applyFont="1" applyFill="1" applyBorder="1"/>
    <xf numFmtId="0" fontId="59" fillId="0" borderId="10" xfId="0" applyFont="1" applyFill="1" applyBorder="1"/>
    <xf numFmtId="4" fontId="59" fillId="0" borderId="10" xfId="0" applyNumberFormat="1" applyFont="1" applyFill="1" applyBorder="1"/>
    <xf numFmtId="2" fontId="59" fillId="0" borderId="10" xfId="0" applyNumberFormat="1" applyFont="1" applyFill="1" applyBorder="1"/>
    <xf numFmtId="2" fontId="60" fillId="0" borderId="10" xfId="0" applyNumberFormat="1" applyFont="1" applyFill="1" applyBorder="1"/>
    <xf numFmtId="0" fontId="59" fillId="0" borderId="20" xfId="0" applyFont="1" applyBorder="1"/>
    <xf numFmtId="0" fontId="59" fillId="0" borderId="23" xfId="0" applyFont="1" applyBorder="1"/>
    <xf numFmtId="0" fontId="59" fillId="0" borderId="45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59" fillId="0" borderId="38" xfId="0" applyFont="1" applyBorder="1"/>
    <xf numFmtId="2" fontId="59" fillId="0" borderId="45" xfId="0" applyNumberFormat="1" applyFont="1" applyFill="1" applyBorder="1"/>
    <xf numFmtId="4" fontId="59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9" fillId="0" borderId="64" xfId="0" applyFont="1" applyFill="1" applyBorder="1" applyAlignment="1">
      <alignment horizontal="center" vertical="center" wrapText="1"/>
    </xf>
    <xf numFmtId="0" fontId="59" fillId="0" borderId="63" xfId="0" applyFont="1" applyFill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60" fillId="0" borderId="10" xfId="0" applyFont="1" applyFill="1" applyBorder="1" applyAlignment="1">
      <alignment vertical="center"/>
    </xf>
    <xf numFmtId="0" fontId="59" fillId="0" borderId="0" xfId="0" applyFont="1"/>
    <xf numFmtId="0" fontId="59" fillId="0" borderId="28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2" fillId="25" borderId="0" xfId="0" applyFont="1" applyFill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/>
    <xf numFmtId="10" fontId="12" fillId="0" borderId="0" xfId="85" applyNumberFormat="1" applyFont="1" applyFill="1"/>
    <xf numFmtId="0" fontId="59" fillId="0" borderId="10" xfId="0" applyFont="1" applyFill="1" applyBorder="1" applyAlignment="1">
      <alignment vertical="center"/>
    </xf>
    <xf numFmtId="0" fontId="79" fillId="0" borderId="10" xfId="0" applyFont="1" applyFill="1" applyBorder="1" applyAlignment="1">
      <alignment vertical="center"/>
    </xf>
    <xf numFmtId="1" fontId="59" fillId="0" borderId="10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68" fontId="47" fillId="0" borderId="0" xfId="0" applyNumberFormat="1" applyFont="1" applyBorder="1" applyAlignment="1">
      <alignment horizontal="center" vertical="center"/>
    </xf>
    <xf numFmtId="0" fontId="80" fillId="27" borderId="10" xfId="0" applyFont="1" applyFill="1" applyBorder="1" applyAlignment="1">
      <alignment horizontal="center" vertical="center"/>
    </xf>
    <xf numFmtId="4" fontId="80" fillId="27" borderId="10" xfId="0" applyNumberFormat="1" applyFont="1" applyFill="1" applyBorder="1" applyAlignment="1">
      <alignment horizontal="center" vertical="center"/>
    </xf>
    <xf numFmtId="0" fontId="80" fillId="28" borderId="10" xfId="0" applyFont="1" applyFill="1" applyBorder="1" applyAlignment="1">
      <alignment horizontal="center" vertical="center"/>
    </xf>
    <xf numFmtId="4" fontId="80" fillId="28" borderId="10" xfId="0" applyNumberFormat="1" applyFont="1" applyFill="1" applyBorder="1" applyAlignment="1">
      <alignment horizontal="center" vertical="center"/>
    </xf>
    <xf numFmtId="0" fontId="80" fillId="27" borderId="19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55" xfId="0" applyFont="1" applyBorder="1" applyAlignment="1">
      <alignment vertical="center"/>
    </xf>
    <xf numFmtId="0" fontId="62" fillId="0" borderId="0" xfId="0" applyFont="1" applyAlignment="1">
      <alignment vertical="center"/>
    </xf>
    <xf numFmtId="2" fontId="80" fillId="27" borderId="11" xfId="0" applyNumberFormat="1" applyFont="1" applyFill="1" applyBorder="1" applyAlignment="1">
      <alignment horizontal="center" vertical="center"/>
    </xf>
    <xf numFmtId="174" fontId="80" fillId="27" borderId="11" xfId="0" applyNumberFormat="1" applyFont="1" applyFill="1" applyBorder="1" applyAlignment="1">
      <alignment horizontal="center" vertical="center"/>
    </xf>
    <xf numFmtId="4" fontId="80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0" fillId="27" borderId="38" xfId="0" applyNumberFormat="1" applyFont="1" applyFill="1" applyBorder="1" applyAlignment="1">
      <alignment horizontal="center" vertical="center"/>
    </xf>
    <xf numFmtId="2" fontId="80" fillId="28" borderId="11" xfId="0" applyNumberFormat="1" applyFont="1" applyFill="1" applyBorder="1" applyAlignment="1">
      <alignment horizontal="center" vertical="center"/>
    </xf>
    <xf numFmtId="168" fontId="80" fillId="28" borderId="11" xfId="0" applyNumberFormat="1" applyFont="1" applyFill="1" applyBorder="1" applyAlignment="1">
      <alignment horizontal="center" vertical="center"/>
    </xf>
    <xf numFmtId="4" fontId="80" fillId="28" borderId="11" xfId="0" applyNumberFormat="1" applyFont="1" applyFill="1" applyBorder="1" applyAlignment="1">
      <alignment horizontal="center" vertical="center"/>
    </xf>
    <xf numFmtId="4" fontId="80" fillId="28" borderId="38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horizontal="center" vertical="center"/>
    </xf>
    <xf numFmtId="168" fontId="80" fillId="26" borderId="11" xfId="0" applyNumberFormat="1" applyFont="1" applyFill="1" applyBorder="1" applyAlignment="1">
      <alignment horizontal="center" vertical="center"/>
    </xf>
    <xf numFmtId="3" fontId="80" fillId="26" borderId="11" xfId="0" applyNumberFormat="1" applyFont="1" applyFill="1" applyBorder="1" applyAlignment="1">
      <alignment horizontal="center" vertical="center"/>
    </xf>
    <xf numFmtId="171" fontId="81" fillId="26" borderId="11" xfId="85" applyNumberFormat="1" applyFont="1" applyFill="1" applyBorder="1" applyAlignment="1">
      <alignment horizontal="center" vertical="center"/>
    </xf>
    <xf numFmtId="4" fontId="80" fillId="26" borderId="35" xfId="0" applyNumberFormat="1" applyFont="1" applyFill="1" applyBorder="1" applyAlignment="1">
      <alignment horizontal="center" vertical="center"/>
    </xf>
    <xf numFmtId="2" fontId="80" fillId="27" borderId="37" xfId="0" applyNumberFormat="1" applyFont="1" applyFill="1" applyBorder="1" applyAlignment="1">
      <alignment horizontal="center" vertical="center"/>
    </xf>
    <xf numFmtId="10" fontId="81" fillId="27" borderId="11" xfId="85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4" fontId="80" fillId="27" borderId="20" xfId="0" applyNumberFormat="1" applyFont="1" applyFill="1" applyBorder="1" applyAlignment="1">
      <alignment horizontal="center" vertical="center"/>
    </xf>
    <xf numFmtId="2" fontId="80" fillId="28" borderId="10" xfId="0" applyNumberFormat="1" applyFont="1" applyFill="1" applyBorder="1" applyAlignment="1">
      <alignment horizontal="center" vertical="center"/>
    </xf>
    <xf numFmtId="174" fontId="81" fillId="28" borderId="10" xfId="0" applyNumberFormat="1" applyFont="1" applyFill="1" applyBorder="1" applyAlignment="1">
      <alignment horizontal="center" vertical="center"/>
    </xf>
    <xf numFmtId="4" fontId="80" fillId="28" borderId="20" xfId="0" applyNumberFormat="1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horizontal="center" vertical="center"/>
    </xf>
    <xf numFmtId="168" fontId="80" fillId="26" borderId="10" xfId="0" applyNumberFormat="1" applyFont="1" applyFill="1" applyBorder="1" applyAlignment="1">
      <alignment horizontal="center" vertical="center"/>
    </xf>
    <xf numFmtId="3" fontId="80" fillId="26" borderId="10" xfId="0" applyNumberFormat="1" applyFont="1" applyFill="1" applyBorder="1" applyAlignment="1">
      <alignment horizontal="center" vertical="center"/>
    </xf>
    <xf numFmtId="169" fontId="81" fillId="26" borderId="10" xfId="0" applyNumberFormat="1" applyFont="1" applyFill="1" applyBorder="1" applyAlignment="1">
      <alignment horizontal="center" vertical="center"/>
    </xf>
    <xf numFmtId="4" fontId="80" fillId="26" borderId="25" xfId="0" applyNumberFormat="1" applyFont="1" applyFill="1" applyBorder="1" applyAlignment="1">
      <alignment horizontal="center" vertical="center"/>
    </xf>
    <xf numFmtId="10" fontId="81" fillId="27" borderId="10" xfId="85" applyNumberFormat="1" applyFont="1" applyFill="1" applyBorder="1" applyAlignment="1">
      <alignment horizontal="center" vertical="center"/>
    </xf>
    <xf numFmtId="2" fontId="80" fillId="27" borderId="10" xfId="0" applyNumberFormat="1" applyFont="1" applyFill="1" applyBorder="1" applyAlignment="1">
      <alignment horizontal="center" vertical="center"/>
    </xf>
    <xf numFmtId="174" fontId="80" fillId="27" borderId="10" xfId="0" applyNumberFormat="1" applyFont="1" applyFill="1" applyBorder="1" applyAlignment="1">
      <alignment horizontal="center" vertical="center"/>
    </xf>
    <xf numFmtId="10" fontId="81" fillId="26" borderId="10" xfId="85" applyNumberFormat="1" applyFont="1" applyFill="1" applyBorder="1" applyAlignment="1">
      <alignment horizontal="center" vertical="center"/>
    </xf>
    <xf numFmtId="2" fontId="80" fillId="27" borderId="19" xfId="0" applyNumberFormat="1" applyFont="1" applyFill="1" applyBorder="1" applyAlignment="1">
      <alignment horizontal="center" vertical="center"/>
    </xf>
    <xf numFmtId="171" fontId="81" fillId="26" borderId="10" xfId="85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vertical="center"/>
    </xf>
    <xf numFmtId="0" fontId="80" fillId="26" borderId="10" xfId="0" applyFont="1" applyFill="1" applyBorder="1" applyAlignment="1">
      <alignment vertical="center"/>
    </xf>
    <xf numFmtId="0" fontId="80" fillId="26" borderId="25" xfId="0" applyFont="1" applyFill="1" applyBorder="1" applyAlignment="1">
      <alignment horizontal="center" vertical="center"/>
    </xf>
    <xf numFmtId="168" fontId="80" fillId="28" borderId="10" xfId="0" applyNumberFormat="1" applyFont="1" applyFill="1" applyBorder="1" applyAlignment="1">
      <alignment horizontal="center" vertical="center"/>
    </xf>
    <xf numFmtId="169" fontId="80" fillId="27" borderId="10" xfId="0" applyNumberFormat="1" applyFont="1" applyFill="1" applyBorder="1" applyAlignment="1">
      <alignment horizontal="center" vertical="center"/>
    </xf>
    <xf numFmtId="168" fontId="80" fillId="27" borderId="10" xfId="0" applyNumberFormat="1" applyFont="1" applyFill="1" applyBorder="1" applyAlignment="1">
      <alignment horizontal="center" vertical="center"/>
    </xf>
    <xf numFmtId="169" fontId="80" fillId="28" borderId="10" xfId="0" applyNumberFormat="1" applyFont="1" applyFill="1" applyBorder="1" applyAlignment="1">
      <alignment horizontal="center" vertical="center"/>
    </xf>
    <xf numFmtId="2" fontId="80" fillId="26" borderId="10" xfId="0" applyNumberFormat="1" applyFont="1" applyFill="1" applyBorder="1" applyAlignment="1">
      <alignment horizontal="center" vertical="center"/>
    </xf>
    <xf numFmtId="169" fontId="80" fillId="26" borderId="25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59" fillId="27" borderId="39" xfId="0" applyFont="1" applyFill="1" applyBorder="1" applyAlignment="1">
      <alignment horizontal="center" vertical="center" wrapText="1"/>
    </xf>
    <xf numFmtId="0" fontId="59" fillId="27" borderId="22" xfId="0" applyFont="1" applyFill="1" applyBorder="1" applyAlignment="1">
      <alignment horizontal="center" vertical="center" wrapText="1"/>
    </xf>
    <xf numFmtId="0" fontId="59" fillId="27" borderId="29" xfId="0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24" borderId="63" xfId="0" applyFont="1" applyFill="1" applyBorder="1" applyAlignment="1">
      <alignment horizontal="center" vertical="center" wrapText="1"/>
    </xf>
    <xf numFmtId="0" fontId="59" fillId="24" borderId="45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 vertical="center" wrapText="1"/>
    </xf>
    <xf numFmtId="0" fontId="59" fillId="24" borderId="65" xfId="0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/>
    </xf>
    <xf numFmtId="0" fontId="59" fillId="0" borderId="31" xfId="0" applyFont="1" applyBorder="1"/>
    <xf numFmtId="0" fontId="59" fillId="27" borderId="37" xfId="0" applyFont="1" applyFill="1" applyBorder="1"/>
    <xf numFmtId="0" fontId="59" fillId="27" borderId="11" xfId="0" applyFont="1" applyFill="1" applyBorder="1"/>
    <xf numFmtId="0" fontId="59" fillId="27" borderId="35" xfId="0" applyFont="1" applyFill="1" applyBorder="1"/>
    <xf numFmtId="0" fontId="59" fillId="0" borderId="37" xfId="0" applyFont="1" applyBorder="1"/>
    <xf numFmtId="0" fontId="59" fillId="0" borderId="35" xfId="0" applyFont="1" applyFill="1" applyBorder="1"/>
    <xf numFmtId="0" fontId="59" fillId="0" borderId="16" xfId="0" applyFont="1" applyBorder="1"/>
    <xf numFmtId="0" fontId="59" fillId="0" borderId="17" xfId="0" applyFont="1" applyBorder="1"/>
    <xf numFmtId="0" fontId="59" fillId="0" borderId="18" xfId="0" applyFont="1" applyFill="1" applyBorder="1"/>
    <xf numFmtId="0" fontId="59" fillId="0" borderId="36" xfId="0" applyFont="1" applyFill="1" applyBorder="1"/>
    <xf numFmtId="0" fontId="59" fillId="24" borderId="16" xfId="0" applyFont="1" applyFill="1" applyBorder="1" applyAlignment="1">
      <alignment horizontal="center" vertical="center"/>
    </xf>
    <xf numFmtId="0" fontId="59" fillId="24" borderId="17" xfId="0" applyFont="1" applyFill="1" applyBorder="1" applyAlignment="1">
      <alignment horizontal="center" vertical="center"/>
    </xf>
    <xf numFmtId="0" fontId="59" fillId="24" borderId="18" xfId="0" applyFont="1" applyFill="1" applyBorder="1" applyAlignment="1">
      <alignment horizontal="center" vertical="center"/>
    </xf>
    <xf numFmtId="0" fontId="59" fillId="24" borderId="30" xfId="0" applyFont="1" applyFill="1" applyBorder="1" applyAlignment="1">
      <alignment horizontal="center" vertical="center"/>
    </xf>
    <xf numFmtId="0" fontId="59" fillId="0" borderId="18" xfId="0" applyFont="1" applyBorder="1"/>
    <xf numFmtId="0" fontId="78" fillId="0" borderId="34" xfId="0" applyFont="1" applyBorder="1"/>
    <xf numFmtId="0" fontId="16" fillId="0" borderId="19" xfId="0" applyFont="1" applyBorder="1" applyAlignment="1">
      <alignment horizontal="left" vertical="center"/>
    </xf>
    <xf numFmtId="0" fontId="16" fillId="0" borderId="20" xfId="0" applyFont="1" applyBorder="1" applyAlignment="1">
      <alignment wrapText="1"/>
    </xf>
    <xf numFmtId="1" fontId="16" fillId="0" borderId="28" xfId="0" applyNumberFormat="1" applyFont="1" applyBorder="1" applyAlignment="1">
      <alignment horizontal="right" vertical="center" indent="1"/>
    </xf>
    <xf numFmtId="3" fontId="16" fillId="0" borderId="10" xfId="0" applyNumberFormat="1" applyFont="1" applyBorder="1" applyAlignment="1">
      <alignment horizontal="right" vertical="center" indent="1"/>
    </xf>
    <xf numFmtId="170" fontId="16" fillId="0" borderId="20" xfId="0" applyNumberFormat="1" applyFont="1" applyBorder="1" applyAlignment="1">
      <alignment horizontal="right" vertical="center"/>
    </xf>
    <xf numFmtId="3" fontId="16" fillId="27" borderId="19" xfId="0" applyNumberFormat="1" applyFont="1" applyFill="1" applyBorder="1" applyAlignment="1">
      <alignment horizontal="right" vertical="center" indent="1"/>
    </xf>
    <xf numFmtId="3" fontId="16" fillId="27" borderId="10" xfId="0" applyNumberFormat="1" applyFont="1" applyFill="1" applyBorder="1" applyAlignment="1">
      <alignment horizontal="right" vertical="center" indent="1"/>
    </xf>
    <xf numFmtId="170" fontId="16" fillId="27" borderId="25" xfId="0" applyNumberFormat="1" applyFont="1" applyFill="1" applyBorder="1" applyAlignment="1">
      <alignment horizontal="right" vertical="center"/>
    </xf>
    <xf numFmtId="1" fontId="16" fillId="0" borderId="19" xfId="0" applyNumberFormat="1" applyFont="1" applyBorder="1" applyAlignment="1">
      <alignment horizontal="right" vertical="center" indent="1"/>
    </xf>
    <xf numFmtId="171" fontId="16" fillId="0" borderId="10" xfId="0" applyNumberFormat="1" applyFont="1" applyBorder="1" applyAlignment="1">
      <alignment horizontal="center" vertical="center" wrapText="1"/>
    </xf>
    <xf numFmtId="170" fontId="16" fillId="0" borderId="25" xfId="0" applyNumberFormat="1" applyFont="1" applyBorder="1" applyAlignment="1">
      <alignment horizontal="right" vertical="center"/>
    </xf>
    <xf numFmtId="170" fontId="16" fillId="0" borderId="26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1" fontId="16" fillId="0" borderId="19" xfId="0" applyNumberFormat="1" applyFont="1" applyFill="1" applyBorder="1" applyAlignment="1">
      <alignment horizontal="center" vertical="center"/>
    </xf>
    <xf numFmtId="3" fontId="16" fillId="0" borderId="10" xfId="0" applyNumberFormat="1" applyFont="1" applyFill="1" applyBorder="1" applyAlignment="1">
      <alignment horizontal="right" vertical="center" indent="1"/>
    </xf>
    <xf numFmtId="170" fontId="16" fillId="0" borderId="20" xfId="0" applyNumberFormat="1" applyFont="1" applyFill="1" applyBorder="1" applyAlignment="1">
      <alignment horizontal="right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" fontId="16" fillId="0" borderId="19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/>
    </xf>
    <xf numFmtId="170" fontId="16" fillId="0" borderId="20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/>
    </xf>
    <xf numFmtId="0" fontId="59" fillId="0" borderId="19" xfId="0" applyFont="1" applyBorder="1" applyAlignment="1">
      <alignment horizontal="left" vertical="center"/>
    </xf>
    <xf numFmtId="1" fontId="59" fillId="0" borderId="28" xfId="0" applyNumberFormat="1" applyFont="1" applyBorder="1" applyAlignment="1">
      <alignment horizontal="right" vertical="center" indent="1"/>
    </xf>
    <xf numFmtId="3" fontId="59" fillId="0" borderId="10" xfId="0" applyNumberFormat="1" applyFont="1" applyBorder="1" applyAlignment="1">
      <alignment horizontal="right" vertical="center" indent="1"/>
    </xf>
    <xf numFmtId="170" fontId="59" fillId="0" borderId="20" xfId="0" applyNumberFormat="1" applyFont="1" applyBorder="1" applyAlignment="1">
      <alignment horizontal="right" vertical="center"/>
    </xf>
    <xf numFmtId="3" fontId="59" fillId="27" borderId="19" xfId="0" applyNumberFormat="1" applyFont="1" applyFill="1" applyBorder="1" applyAlignment="1">
      <alignment horizontal="right" vertical="center" indent="1"/>
    </xf>
    <xf numFmtId="3" fontId="59" fillId="27" borderId="10" xfId="0" applyNumberFormat="1" applyFont="1" applyFill="1" applyBorder="1" applyAlignment="1">
      <alignment horizontal="right" vertical="center" indent="1"/>
    </xf>
    <xf numFmtId="170" fontId="59" fillId="27" borderId="25" xfId="0" applyNumberFormat="1" applyFont="1" applyFill="1" applyBorder="1" applyAlignment="1">
      <alignment horizontal="right" vertical="center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25" xfId="0" applyNumberFormat="1" applyFont="1" applyBorder="1" applyAlignment="1">
      <alignment horizontal="right" vertical="center"/>
    </xf>
    <xf numFmtId="1" fontId="59" fillId="0" borderId="26" xfId="0" applyNumberFormat="1" applyFont="1" applyBorder="1" applyAlignment="1">
      <alignment horizontal="center" vertical="center"/>
    </xf>
    <xf numFmtId="170" fontId="59" fillId="0" borderId="26" xfId="0" applyNumberFormat="1" applyFont="1" applyBorder="1" applyAlignment="1">
      <alignment horizontal="right" vertical="center"/>
    </xf>
    <xf numFmtId="1" fontId="59" fillId="0" borderId="10" xfId="0" applyNumberFormat="1" applyFont="1" applyFill="1" applyBorder="1" applyAlignment="1">
      <alignment horizontal="center" vertical="center"/>
    </xf>
    <xf numFmtId="169" fontId="59" fillId="0" borderId="25" xfId="0" applyNumberFormat="1" applyFont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170" fontId="59" fillId="0" borderId="20" xfId="0" applyNumberFormat="1" applyFont="1" applyFill="1" applyBorder="1" applyAlignment="1">
      <alignment horizontal="right" vertical="center"/>
    </xf>
    <xf numFmtId="3" fontId="59" fillId="0" borderId="25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/>
    </xf>
    <xf numFmtId="170" fontId="59" fillId="0" borderId="20" xfId="0" applyNumberFormat="1" applyFont="1" applyFill="1" applyBorder="1" applyAlignment="1">
      <alignment horizontal="right" vertical="center" indent="1"/>
    </xf>
    <xf numFmtId="3" fontId="59" fillId="0" borderId="10" xfId="0" applyNumberFormat="1" applyFont="1" applyFill="1" applyBorder="1" applyAlignment="1">
      <alignment horizontal="center" vertical="center"/>
    </xf>
    <xf numFmtId="170" fontId="59" fillId="0" borderId="25" xfId="0" applyNumberFormat="1" applyFont="1" applyFill="1" applyBorder="1" applyAlignment="1">
      <alignment horizontal="right" vertical="center" indent="1"/>
    </xf>
    <xf numFmtId="170" fontId="59" fillId="0" borderId="25" xfId="0" applyNumberFormat="1" applyFont="1" applyFill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59" fillId="0" borderId="26" xfId="0" applyNumberFormat="1" applyFont="1" applyBorder="1" applyAlignment="1">
      <alignment horizontal="center" vertical="center"/>
    </xf>
    <xf numFmtId="3" fontId="59" fillId="0" borderId="10" xfId="0" applyNumberFormat="1" applyFont="1" applyBorder="1" applyAlignment="1">
      <alignment horizontal="center" vertical="center"/>
    </xf>
    <xf numFmtId="170" fontId="59" fillId="0" borderId="10" xfId="0" applyNumberFormat="1" applyFont="1" applyBorder="1" applyAlignment="1">
      <alignment horizontal="right" vertical="center"/>
    </xf>
    <xf numFmtId="1" fontId="59" fillId="0" borderId="11" xfId="0" applyNumberFormat="1" applyFont="1" applyFill="1" applyBorder="1" applyAlignment="1">
      <alignment horizontal="center" vertical="center"/>
    </xf>
    <xf numFmtId="1" fontId="82" fillId="0" borderId="19" xfId="0" applyNumberFormat="1" applyFont="1" applyFill="1" applyBorder="1" applyAlignment="1">
      <alignment horizontal="center" vertical="center"/>
    </xf>
    <xf numFmtId="3" fontId="82" fillId="0" borderId="10" xfId="0" applyNumberFormat="1" applyFont="1" applyFill="1" applyBorder="1" applyAlignment="1">
      <alignment horizontal="right" vertical="center" indent="1"/>
    </xf>
    <xf numFmtId="170" fontId="82" fillId="0" borderId="20" xfId="0" applyNumberFormat="1" applyFont="1" applyFill="1" applyBorder="1" applyAlignment="1">
      <alignment horizontal="right" vertical="center"/>
    </xf>
    <xf numFmtId="0" fontId="59" fillId="0" borderId="20" xfId="0" applyFont="1" applyBorder="1" applyAlignment="1">
      <alignment wrapText="1"/>
    </xf>
    <xf numFmtId="0" fontId="59" fillId="0" borderId="21" xfId="0" applyFont="1" applyBorder="1" applyAlignment="1">
      <alignment horizontal="left" vertical="center"/>
    </xf>
    <xf numFmtId="1" fontId="59" fillId="0" borderId="39" xfId="0" applyNumberFormat="1" applyFont="1" applyBorder="1" applyAlignment="1">
      <alignment horizontal="right" vertical="center" indent="1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3" xfId="0" applyNumberFormat="1" applyFont="1" applyBorder="1" applyAlignment="1">
      <alignment horizontal="right" vertical="center"/>
    </xf>
    <xf numFmtId="3" fontId="59" fillId="27" borderId="21" xfId="0" applyNumberFormat="1" applyFont="1" applyFill="1" applyBorder="1" applyAlignment="1">
      <alignment horizontal="right" vertical="center" indent="1"/>
    </xf>
    <xf numFmtId="3" fontId="59" fillId="27" borderId="22" xfId="0" applyNumberFormat="1" applyFont="1" applyFill="1" applyBorder="1" applyAlignment="1">
      <alignment horizontal="right" vertical="center" indent="1"/>
    </xf>
    <xf numFmtId="170" fontId="59" fillId="27" borderId="29" xfId="0" applyNumberFormat="1" applyFont="1" applyFill="1" applyBorder="1" applyAlignment="1">
      <alignment horizontal="right" vertical="center"/>
    </xf>
    <xf numFmtId="1" fontId="59" fillId="0" borderId="21" xfId="0" applyNumberFormat="1" applyFont="1" applyBorder="1" applyAlignment="1">
      <alignment horizontal="right" vertical="center" indent="1"/>
    </xf>
    <xf numFmtId="171" fontId="16" fillId="0" borderId="22" xfId="0" applyNumberFormat="1" applyFont="1" applyBorder="1" applyAlignment="1">
      <alignment horizontal="center" vertical="center" wrapText="1"/>
    </xf>
    <xf numFmtId="170" fontId="59" fillId="0" borderId="29" xfId="0" applyNumberFormat="1" applyFont="1" applyBorder="1" applyAlignment="1">
      <alignment horizontal="right" vertical="center"/>
    </xf>
    <xf numFmtId="3" fontId="59" fillId="0" borderId="84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170" fontId="59" fillId="0" borderId="84" xfId="0" applyNumberFormat="1" applyFont="1" applyBorder="1" applyAlignment="1">
      <alignment horizontal="right" vertical="center"/>
    </xf>
    <xf numFmtId="0" fontId="59" fillId="0" borderId="21" xfId="0" applyFont="1" applyBorder="1" applyAlignment="1">
      <alignment horizontal="center" vertical="center"/>
    </xf>
    <xf numFmtId="169" fontId="59" fillId="0" borderId="23" xfId="0" applyNumberFormat="1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1" fontId="59" fillId="0" borderId="22" xfId="0" applyNumberFormat="1" applyFont="1" applyFill="1" applyBorder="1" applyAlignment="1">
      <alignment horizontal="center" vertical="center"/>
    </xf>
    <xf numFmtId="169" fontId="59" fillId="0" borderId="29" xfId="0" applyNumberFormat="1" applyFont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170" fontId="59" fillId="0" borderId="23" xfId="0" applyNumberFormat="1" applyFont="1" applyFill="1" applyBorder="1" applyAlignment="1">
      <alignment horizontal="right" vertical="center"/>
    </xf>
    <xf numFmtId="3" fontId="59" fillId="0" borderId="29" xfId="0" applyNumberFormat="1" applyFont="1" applyFill="1" applyBorder="1" applyAlignment="1">
      <alignment horizontal="right" vertical="center" indent="1"/>
    </xf>
    <xf numFmtId="3" fontId="59" fillId="0" borderId="22" xfId="0" applyNumberFormat="1" applyFont="1" applyFill="1" applyBorder="1" applyAlignment="1">
      <alignment horizontal="center" vertical="center"/>
    </xf>
    <xf numFmtId="170" fontId="16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/>
    </xf>
    <xf numFmtId="0" fontId="59" fillId="0" borderId="2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59" fillId="0" borderId="38" xfId="0" applyFont="1" applyFill="1" applyBorder="1" applyAlignment="1">
      <alignment vertical="center"/>
    </xf>
    <xf numFmtId="0" fontId="59" fillId="0" borderId="11" xfId="0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165" fontId="59" fillId="0" borderId="11" xfId="89" applyFont="1" applyFill="1" applyBorder="1" applyAlignment="1">
      <alignment vertical="center"/>
    </xf>
    <xf numFmtId="0" fontId="59" fillId="0" borderId="21" xfId="0" applyFont="1" applyFill="1" applyBorder="1" applyAlignment="1">
      <alignment vertical="center"/>
    </xf>
    <xf numFmtId="0" fontId="59" fillId="0" borderId="23" xfId="0" applyFont="1" applyFill="1" applyBorder="1" applyAlignment="1">
      <alignment vertical="center"/>
    </xf>
    <xf numFmtId="0" fontId="59" fillId="0" borderId="47" xfId="0" applyFont="1" applyFill="1" applyBorder="1" applyAlignment="1">
      <alignment vertical="center"/>
    </xf>
    <xf numFmtId="0" fontId="15" fillId="0" borderId="0" xfId="79" applyFont="1" applyFill="1" applyAlignment="1">
      <alignment horizontal="center"/>
    </xf>
    <xf numFmtId="0" fontId="9" fillId="0" borderId="0" xfId="79" applyFont="1" applyFill="1"/>
    <xf numFmtId="0" fontId="0" fillId="0" borderId="0" xfId="0" applyFill="1"/>
    <xf numFmtId="0" fontId="84" fillId="0" borderId="0" xfId="0" applyFont="1"/>
    <xf numFmtId="0" fontId="84" fillId="0" borderId="0" xfId="0" applyFont="1" applyFill="1" applyBorder="1"/>
    <xf numFmtId="168" fontId="84" fillId="0" borderId="0" xfId="0" applyNumberFormat="1" applyFont="1"/>
    <xf numFmtId="169" fontId="12" fillId="0" borderId="0" xfId="0" applyNumberFormat="1" applyFont="1" applyBorder="1"/>
    <xf numFmtId="0" fontId="84" fillId="0" borderId="0" xfId="0" applyFont="1" applyFill="1" applyBorder="1" applyAlignment="1">
      <alignment horizontal="center"/>
    </xf>
    <xf numFmtId="0" fontId="11" fillId="0" borderId="0" xfId="0" applyFont="1" applyBorder="1"/>
    <xf numFmtId="169" fontId="11" fillId="0" borderId="0" xfId="0" applyNumberFormat="1" applyFont="1" applyBorder="1"/>
    <xf numFmtId="168" fontId="12" fillId="0" borderId="0" xfId="0" applyNumberFormat="1" applyFont="1" applyBorder="1"/>
    <xf numFmtId="0" fontId="84" fillId="0" borderId="0" xfId="0" applyFont="1" applyAlignment="1">
      <alignment horizontal="center"/>
    </xf>
    <xf numFmtId="169" fontId="84" fillId="0" borderId="0" xfId="0" applyNumberFormat="1" applyFont="1"/>
    <xf numFmtId="177" fontId="84" fillId="0" borderId="0" xfId="0" applyNumberFormat="1" applyFont="1"/>
    <xf numFmtId="0" fontId="84" fillId="0" borderId="0" xfId="0" applyFont="1" applyAlignment="1">
      <alignment horizontal="left"/>
    </xf>
    <xf numFmtId="4" fontId="84" fillId="0" borderId="0" xfId="0" applyNumberFormat="1" applyFont="1"/>
    <xf numFmtId="170" fontId="84" fillId="0" borderId="0" xfId="0" applyNumberFormat="1" applyFont="1"/>
    <xf numFmtId="0" fontId="16" fillId="0" borderId="10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vertical="center"/>
    </xf>
    <xf numFmtId="0" fontId="59" fillId="30" borderId="10" xfId="0" applyFont="1" applyFill="1" applyBorder="1" applyAlignment="1">
      <alignment horizontal="center" wrapText="1"/>
    </xf>
    <xf numFmtId="4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0" borderId="10" xfId="0" applyNumberFormat="1" applyFont="1" applyFill="1" applyBorder="1"/>
    <xf numFmtId="4" fontId="16" fillId="30" borderId="10" xfId="0" applyNumberFormat="1" applyFont="1" applyFill="1" applyBorder="1"/>
    <xf numFmtId="2" fontId="59" fillId="0" borderId="22" xfId="0" applyNumberFormat="1" applyFont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0" fillId="30" borderId="10" xfId="0" applyNumberFormat="1" applyFont="1" applyFill="1" applyBorder="1"/>
    <xf numFmtId="2" fontId="59" fillId="31" borderId="0" xfId="0" applyNumberFormat="1" applyFont="1" applyFill="1"/>
    <xf numFmtId="4" fontId="16" fillId="30" borderId="25" xfId="0" applyNumberFormat="1" applyFont="1" applyFill="1" applyBorder="1"/>
    <xf numFmtId="4" fontId="59" fillId="30" borderId="25" xfId="0" applyNumberFormat="1" applyFont="1" applyFill="1" applyBorder="1"/>
    <xf numFmtId="2" fontId="16" fillId="30" borderId="10" xfId="0" applyNumberFormat="1" applyFont="1" applyFill="1" applyBorder="1"/>
    <xf numFmtId="0" fontId="49" fillId="30" borderId="0" xfId="0" applyFont="1" applyFill="1"/>
    <xf numFmtId="2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1" borderId="0" xfId="0" applyNumberFormat="1" applyFont="1" applyFill="1"/>
    <xf numFmtId="2" fontId="0" fillId="0" borderId="0" xfId="0" applyNumberFormat="1" applyFont="1" applyFill="1"/>
    <xf numFmtId="0" fontId="60" fillId="0" borderId="45" xfId="0" applyFont="1" applyFill="1" applyBorder="1" applyAlignment="1">
      <alignment vertical="center"/>
    </xf>
    <xf numFmtId="4" fontId="59" fillId="30" borderId="62" xfId="0" applyNumberFormat="1" applyFont="1" applyFill="1" applyBorder="1"/>
    <xf numFmtId="2" fontId="59" fillId="30" borderId="45" xfId="0" applyNumberFormat="1" applyFont="1" applyFill="1" applyBorder="1"/>
    <xf numFmtId="2" fontId="59" fillId="0" borderId="45" xfId="0" applyNumberFormat="1" applyFont="1" applyBorder="1"/>
    <xf numFmtId="0" fontId="0" fillId="30" borderId="10" xfId="0" applyFont="1" applyFill="1" applyBorder="1"/>
    <xf numFmtId="4" fontId="16" fillId="30" borderId="10" xfId="0" applyNumberFormat="1" applyFont="1" applyFill="1" applyBorder="1" applyAlignment="1">
      <alignment vertical="center"/>
    </xf>
    <xf numFmtId="4" fontId="16" fillId="0" borderId="10" xfId="0" applyNumberFormat="1" applyFont="1" applyFill="1" applyBorder="1" applyAlignment="1">
      <alignment vertical="center"/>
    </xf>
    <xf numFmtId="0" fontId="0" fillId="0" borderId="0" xfId="0" applyFont="1"/>
    <xf numFmtId="2" fontId="6" fillId="0" borderId="0" xfId="0" applyNumberFormat="1" applyFont="1"/>
    <xf numFmtId="10" fontId="6" fillId="0" borderId="0" xfId="0" applyNumberFormat="1" applyFont="1"/>
    <xf numFmtId="9" fontId="6" fillId="0" borderId="0" xfId="0" applyNumberFormat="1" applyFont="1"/>
    <xf numFmtId="0" fontId="59" fillId="0" borderId="85" xfId="0" applyFont="1" applyFill="1" applyBorder="1"/>
    <xf numFmtId="0" fontId="16" fillId="0" borderId="85" xfId="0" applyFont="1" applyFill="1" applyBorder="1"/>
    <xf numFmtId="0" fontId="16" fillId="0" borderId="85" xfId="0" applyFont="1" applyFill="1" applyBorder="1" applyAlignment="1">
      <alignment horizontal="center"/>
    </xf>
    <xf numFmtId="10" fontId="59" fillId="0" borderId="85" xfId="0" applyNumberFormat="1" applyFont="1" applyFill="1" applyBorder="1"/>
    <xf numFmtId="10" fontId="16" fillId="0" borderId="85" xfId="0" applyNumberFormat="1" applyFont="1" applyFill="1" applyBorder="1"/>
    <xf numFmtId="0" fontId="16" fillId="0" borderId="85" xfId="0" applyFont="1" applyFill="1" applyBorder="1" applyAlignment="1">
      <alignment horizontal="center"/>
    </xf>
    <xf numFmtId="176" fontId="59" fillId="0" borderId="85" xfId="0" applyNumberFormat="1" applyFont="1" applyFill="1" applyBorder="1"/>
    <xf numFmtId="0" fontId="59" fillId="0" borderId="85" xfId="0" applyFont="1" applyFill="1" applyBorder="1" applyAlignment="1">
      <alignment vertical="center"/>
    </xf>
    <xf numFmtId="4" fontId="12" fillId="0" borderId="0" xfId="0" applyNumberFormat="1" applyFont="1" applyFill="1"/>
    <xf numFmtId="0" fontId="59" fillId="0" borderId="92" xfId="0" applyFont="1" applyFill="1" applyBorder="1" applyAlignment="1">
      <alignment vertical="center"/>
    </xf>
    <xf numFmtId="0" fontId="0" fillId="0" borderId="92" xfId="0" applyBorder="1"/>
    <xf numFmtId="4" fontId="59" fillId="30" borderId="92" xfId="0" applyNumberFormat="1" applyFont="1" applyFill="1" applyBorder="1"/>
    <xf numFmtId="4" fontId="59" fillId="30" borderId="93" xfId="0" applyNumberFormat="1" applyFont="1" applyFill="1" applyBorder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9" fillId="0" borderId="0" xfId="79" applyFont="1" applyFill="1" applyAlignment="1">
      <alignment vertical="center"/>
    </xf>
    <xf numFmtId="0" fontId="6" fillId="0" borderId="0" xfId="79" applyAlignment="1">
      <alignment vertical="center"/>
    </xf>
    <xf numFmtId="0" fontId="7" fillId="0" borderId="0" xfId="79" applyFont="1" applyAlignment="1">
      <alignment vertical="center"/>
    </xf>
    <xf numFmtId="0" fontId="9" fillId="0" borderId="0" xfId="79" applyFont="1" applyFill="1" applyAlignment="1">
      <alignment horizontal="center" vertical="center"/>
    </xf>
    <xf numFmtId="0" fontId="6" fillId="0" borderId="0" xfId="79" applyFill="1" applyAlignment="1">
      <alignment vertical="center"/>
    </xf>
    <xf numFmtId="0" fontId="17" fillId="0" borderId="0" xfId="79" applyFont="1" applyFill="1" applyBorder="1" applyAlignment="1">
      <alignment horizontal="center" vertical="center"/>
    </xf>
    <xf numFmtId="0" fontId="12" fillId="0" borderId="87" xfId="0" applyFont="1" applyBorder="1" applyAlignment="1">
      <alignment horizontal="center" vertical="center" wrapText="1"/>
    </xf>
    <xf numFmtId="169" fontId="12" fillId="0" borderId="92" xfId="0" applyNumberFormat="1" applyFont="1" applyBorder="1" applyAlignment="1">
      <alignment horizontal="center"/>
    </xf>
    <xf numFmtId="169" fontId="12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0" fontId="0" fillId="0" borderId="90" xfId="0" applyBorder="1" applyAlignment="1"/>
    <xf numFmtId="169" fontId="13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8" fillId="0" borderId="91" xfId="0" applyFont="1" applyBorder="1" applyAlignment="1">
      <alignment vertical="center"/>
    </xf>
    <xf numFmtId="0" fontId="60" fillId="0" borderId="91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78" fillId="0" borderId="93" xfId="0" applyFont="1" applyBorder="1" applyAlignment="1">
      <alignment vertical="center"/>
    </xf>
    <xf numFmtId="10" fontId="60" fillId="0" borderId="92" xfId="85" applyNumberFormat="1" applyFont="1" applyBorder="1" applyAlignment="1">
      <alignment horizontal="right" vertical="center"/>
    </xf>
    <xf numFmtId="0" fontId="59" fillId="0" borderId="19" xfId="0" applyFont="1" applyBorder="1" applyAlignment="1">
      <alignment horizontal="center" vertical="center"/>
    </xf>
    <xf numFmtId="0" fontId="0" fillId="0" borderId="33" xfId="0" applyBorder="1"/>
    <xf numFmtId="0" fontId="20" fillId="0" borderId="57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0" fillId="0" borderId="55" xfId="0" applyFont="1" applyBorder="1" applyAlignment="1">
      <alignment horizontal="right" vertical="top" wrapText="1"/>
    </xf>
    <xf numFmtId="0" fontId="20" fillId="0" borderId="55" xfId="0" applyFont="1" applyBorder="1" applyAlignment="1">
      <alignment vertical="top" wrapText="1"/>
    </xf>
    <xf numFmtId="0" fontId="59" fillId="0" borderId="54" xfId="0" applyFont="1" applyBorder="1"/>
    <xf numFmtId="0" fontId="0" fillId="0" borderId="60" xfId="0" applyBorder="1"/>
    <xf numFmtId="0" fontId="18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3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5" fillId="0" borderId="54" xfId="0" applyFont="1" applyBorder="1"/>
    <xf numFmtId="0" fontId="20" fillId="0" borderId="0" xfId="0" applyFont="1" applyBorder="1" applyAlignment="1">
      <alignment horizontal="right" vertical="top" wrapText="1"/>
    </xf>
    <xf numFmtId="0" fontId="12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9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2" fillId="0" borderId="60" xfId="0" applyFont="1" applyBorder="1" applyAlignment="1">
      <alignment wrapText="1"/>
    </xf>
    <xf numFmtId="0" fontId="12" fillId="0" borderId="33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10" fillId="0" borderId="0" xfId="0" applyFont="1"/>
    <xf numFmtId="0" fontId="10" fillId="29" borderId="0" xfId="0" applyFont="1" applyFill="1"/>
    <xf numFmtId="0" fontId="14" fillId="0" borderId="54" xfId="0" applyFont="1" applyBorder="1" applyAlignment="1">
      <alignment vertical="top" wrapText="1"/>
    </xf>
    <xf numFmtId="0" fontId="16" fillId="0" borderId="54" xfId="0" applyFont="1" applyBorder="1"/>
    <xf numFmtId="0" fontId="22" fillId="0" borderId="54" xfId="0" applyFont="1" applyBorder="1"/>
    <xf numFmtId="0" fontId="7" fillId="29" borderId="0" xfId="0" applyFont="1" applyFill="1"/>
    <xf numFmtId="0" fontId="11" fillId="0" borderId="92" xfId="0" applyFont="1" applyBorder="1" applyAlignment="1">
      <alignment horizontal="center"/>
    </xf>
    <xf numFmtId="169" fontId="11" fillId="0" borderId="92" xfId="0" applyNumberFormat="1" applyFont="1" applyBorder="1" applyAlignment="1">
      <alignment horizontal="center"/>
    </xf>
    <xf numFmtId="4" fontId="59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 wrapText="1"/>
    </xf>
    <xf numFmtId="4" fontId="16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0" fillId="0" borderId="34" xfId="0" applyFont="1" applyBorder="1" applyAlignment="1">
      <alignment vertical="center" wrapText="1"/>
    </xf>
    <xf numFmtId="0" fontId="80" fillId="0" borderId="12" xfId="0" applyFont="1" applyBorder="1" applyAlignment="1">
      <alignment vertical="center" wrapText="1"/>
    </xf>
    <xf numFmtId="0" fontId="80" fillId="0" borderId="12" xfId="0" applyFont="1" applyFill="1" applyBorder="1" applyAlignment="1">
      <alignment vertical="center" wrapText="1"/>
    </xf>
    <xf numFmtId="0" fontId="80" fillId="0" borderId="46" xfId="0" applyFont="1" applyFill="1" applyBorder="1" applyAlignment="1">
      <alignment vertical="center" wrapText="1"/>
    </xf>
    <xf numFmtId="10" fontId="60" fillId="0" borderId="20" xfId="85" applyNumberFormat="1" applyFont="1" applyFill="1" applyBorder="1" applyAlignment="1">
      <alignment horizontal="right" vertical="center"/>
    </xf>
    <xf numFmtId="4" fontId="60" fillId="0" borderId="20" xfId="0" applyNumberFormat="1" applyFont="1" applyFill="1" applyBorder="1" applyAlignment="1">
      <alignment horizontal="right" vertical="center" wrapText="1"/>
    </xf>
    <xf numFmtId="0" fontId="80" fillId="32" borderId="37" xfId="0" applyFont="1" applyFill="1" applyBorder="1" applyAlignment="1">
      <alignment horizontal="center" vertical="center"/>
    </xf>
    <xf numFmtId="168" fontId="80" fillId="32" borderId="11" xfId="0" applyNumberFormat="1" applyFont="1" applyFill="1" applyBorder="1" applyAlignment="1">
      <alignment horizontal="center" vertical="center"/>
    </xf>
    <xf numFmtId="3" fontId="80" fillId="32" borderId="11" xfId="0" applyNumberFormat="1" applyFont="1" applyFill="1" applyBorder="1" applyAlignment="1">
      <alignment horizontal="center" vertical="center"/>
    </xf>
    <xf numFmtId="169" fontId="81" fillId="32" borderId="11" xfId="0" applyNumberFormat="1" applyFont="1" applyFill="1" applyBorder="1" applyAlignment="1">
      <alignment horizontal="center" vertical="center"/>
    </xf>
    <xf numFmtId="4" fontId="80" fillId="32" borderId="11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horizontal="center" vertical="center"/>
    </xf>
    <xf numFmtId="168" fontId="80" fillId="32" borderId="10" xfId="0" applyNumberFormat="1" applyFont="1" applyFill="1" applyBorder="1" applyAlignment="1">
      <alignment horizontal="center" vertical="center"/>
    </xf>
    <xf numFmtId="3" fontId="80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4" fontId="80" fillId="32" borderId="10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vertical="center"/>
    </xf>
    <xf numFmtId="0" fontId="80" fillId="32" borderId="10" xfId="0" applyFont="1" applyFill="1" applyBorder="1" applyAlignment="1">
      <alignment vertical="center"/>
    </xf>
    <xf numFmtId="0" fontId="80" fillId="32" borderId="10" xfId="0" applyFont="1" applyFill="1" applyBorder="1" applyAlignment="1">
      <alignment horizontal="center" vertical="center"/>
    </xf>
    <xf numFmtId="2" fontId="80" fillId="32" borderId="10" xfId="0" applyNumberFormat="1" applyFont="1" applyFill="1" applyBorder="1" applyAlignment="1">
      <alignment horizontal="center" vertical="center"/>
    </xf>
    <xf numFmtId="169" fontId="80" fillId="32" borderId="1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>
      <alignment vertical="center"/>
    </xf>
    <xf numFmtId="0" fontId="80" fillId="32" borderId="57" xfId="0" applyFont="1" applyFill="1" applyBorder="1" applyAlignment="1">
      <alignment horizontal="center" vertical="center" wrapText="1"/>
    </xf>
    <xf numFmtId="0" fontId="80" fillId="27" borderId="57" xfId="0" applyFont="1" applyFill="1" applyBorder="1" applyAlignment="1">
      <alignment horizontal="center" vertical="center" wrapText="1"/>
    </xf>
    <xf numFmtId="0" fontId="80" fillId="28" borderId="57" xfId="0" applyFont="1" applyFill="1" applyBorder="1" applyAlignment="1">
      <alignment horizontal="center" vertical="center" wrapText="1"/>
    </xf>
    <xf numFmtId="0" fontId="62" fillId="0" borderId="57" xfId="0" applyFont="1" applyBorder="1" applyAlignment="1">
      <alignment vertical="center"/>
    </xf>
    <xf numFmtId="0" fontId="80" fillId="26" borderId="57" xfId="0" applyFont="1" applyFill="1" applyBorder="1" applyAlignment="1">
      <alignment horizontal="center" vertical="center" wrapText="1"/>
    </xf>
    <xf numFmtId="0" fontId="80" fillId="0" borderId="14" xfId="0" applyFont="1" applyBorder="1" applyAlignment="1">
      <alignment vertical="center" wrapText="1"/>
    </xf>
    <xf numFmtId="0" fontId="80" fillId="32" borderId="86" xfId="0" applyFont="1" applyFill="1" applyBorder="1" applyAlignment="1">
      <alignment vertical="center"/>
    </xf>
    <xf numFmtId="0" fontId="80" fillId="32" borderId="87" xfId="0" applyFont="1" applyFill="1" applyBorder="1" applyAlignment="1">
      <alignment vertical="center"/>
    </xf>
    <xf numFmtId="0" fontId="80" fillId="32" borderId="87" xfId="0" applyFont="1" applyFill="1" applyBorder="1" applyAlignment="1">
      <alignment horizontal="center" vertical="center"/>
    </xf>
    <xf numFmtId="0" fontId="80" fillId="27" borderId="87" xfId="0" applyFont="1" applyFill="1" applyBorder="1" applyAlignment="1">
      <alignment horizontal="center" vertical="center"/>
    </xf>
    <xf numFmtId="4" fontId="80" fillId="27" borderId="87" xfId="0" applyNumberFormat="1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0" fillId="27" borderId="88" xfId="0" applyNumberFormat="1" applyFont="1" applyFill="1" applyBorder="1" applyAlignment="1">
      <alignment horizontal="center" vertical="center"/>
    </xf>
    <xf numFmtId="0" fontId="80" fillId="28" borderId="87" xfId="0" applyFont="1" applyFill="1" applyBorder="1" applyAlignment="1">
      <alignment horizontal="center" vertical="center"/>
    </xf>
    <xf numFmtId="4" fontId="80" fillId="28" borderId="87" xfId="0" applyNumberFormat="1" applyFont="1" applyFill="1" applyBorder="1" applyAlignment="1">
      <alignment horizontal="center" vertical="center"/>
    </xf>
    <xf numFmtId="4" fontId="80" fillId="28" borderId="88" xfId="0" applyNumberFormat="1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0" fontId="80" fillId="26" borderId="86" xfId="0" applyFont="1" applyFill="1" applyBorder="1" applyAlignment="1">
      <alignment vertical="center"/>
    </xf>
    <xf numFmtId="0" fontId="80" fillId="26" borderId="87" xfId="0" applyFont="1" applyFill="1" applyBorder="1" applyAlignment="1">
      <alignment vertical="center"/>
    </xf>
    <xf numFmtId="0" fontId="80" fillId="26" borderId="62" xfId="0" applyFont="1" applyFill="1" applyBorder="1" applyAlignment="1">
      <alignment horizontal="center" vertical="center"/>
    </xf>
    <xf numFmtId="0" fontId="80" fillId="27" borderId="86" xfId="0" applyFont="1" applyFill="1" applyBorder="1" applyAlignment="1">
      <alignment horizontal="center" vertical="center"/>
    </xf>
    <xf numFmtId="0" fontId="80" fillId="27" borderId="11" xfId="0" applyFont="1" applyFill="1" applyBorder="1" applyAlignment="1">
      <alignment horizontal="center" vertical="center"/>
    </xf>
    <xf numFmtId="0" fontId="80" fillId="28" borderId="11" xfId="0" applyFont="1" applyFill="1" applyBorder="1" applyAlignment="1">
      <alignment horizontal="center" vertical="center"/>
    </xf>
    <xf numFmtId="0" fontId="80" fillId="27" borderId="37" xfId="0" applyFont="1" applyFill="1" applyBorder="1" applyAlignment="1">
      <alignment horizontal="center" vertical="center"/>
    </xf>
    <xf numFmtId="0" fontId="15" fillId="0" borderId="58" xfId="0" applyFont="1" applyBorder="1" applyAlignment="1">
      <alignment vertical="center" wrapText="1"/>
    </xf>
    <xf numFmtId="0" fontId="62" fillId="0" borderId="53" xfId="0" applyFont="1" applyBorder="1" applyAlignment="1">
      <alignment vertical="center"/>
    </xf>
    <xf numFmtId="0" fontId="15" fillId="32" borderId="75" xfId="0" applyFont="1" applyFill="1" applyBorder="1" applyAlignment="1">
      <alignment vertical="center"/>
    </xf>
    <xf numFmtId="0" fontId="15" fillId="32" borderId="76" xfId="0" applyFont="1" applyFill="1" applyBorder="1" applyAlignment="1">
      <alignment vertical="center"/>
    </xf>
    <xf numFmtId="0" fontId="15" fillId="32" borderId="76" xfId="0" applyFont="1" applyFill="1" applyBorder="1" applyAlignment="1">
      <alignment horizontal="center" vertical="center"/>
    </xf>
    <xf numFmtId="0" fontId="80" fillId="27" borderId="76" xfId="0" applyFont="1" applyFill="1" applyBorder="1" applyAlignment="1">
      <alignment horizontal="center" vertical="center"/>
    </xf>
    <xf numFmtId="4" fontId="80" fillId="27" borderId="76" xfId="0" applyNumberFormat="1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15" fillId="27" borderId="77" xfId="0" applyNumberFormat="1" applyFont="1" applyFill="1" applyBorder="1" applyAlignment="1">
      <alignment horizontal="center" vertical="center"/>
    </xf>
    <xf numFmtId="0" fontId="80" fillId="28" borderId="76" xfId="0" applyFont="1" applyFill="1" applyBorder="1" applyAlignment="1">
      <alignment horizontal="center" vertical="center"/>
    </xf>
    <xf numFmtId="4" fontId="80" fillId="28" borderId="76" xfId="0" applyNumberFormat="1" applyFont="1" applyFill="1" applyBorder="1" applyAlignment="1">
      <alignment horizontal="center" vertical="center"/>
    </xf>
    <xf numFmtId="4" fontId="15" fillId="28" borderId="77" xfId="0" applyNumberFormat="1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0" fontId="15" fillId="26" borderId="75" xfId="0" applyFont="1" applyFill="1" applyBorder="1" applyAlignment="1">
      <alignment vertical="center"/>
    </xf>
    <xf numFmtId="0" fontId="15" fillId="26" borderId="76" xfId="0" applyFont="1" applyFill="1" applyBorder="1" applyAlignment="1">
      <alignment vertical="center"/>
    </xf>
    <xf numFmtId="0" fontId="15" fillId="26" borderId="81" xfId="0" applyFont="1" applyFill="1" applyBorder="1" applyAlignment="1">
      <alignment horizontal="center" vertical="center"/>
    </xf>
    <xf numFmtId="0" fontId="80" fillId="27" borderId="75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vertical="center" wrapText="1"/>
    </xf>
    <xf numFmtId="0" fontId="15" fillId="32" borderId="24" xfId="0" applyFont="1" applyFill="1" applyBorder="1" applyAlignment="1">
      <alignment horizontal="center" vertical="center"/>
    </xf>
    <xf numFmtId="4" fontId="15" fillId="32" borderId="43" xfId="0" applyNumberFormat="1" applyFont="1" applyFill="1" applyBorder="1" applyAlignment="1">
      <alignment horizontal="center" vertical="center"/>
    </xf>
    <xf numFmtId="0" fontId="15" fillId="32" borderId="43" xfId="0" applyFont="1" applyFill="1" applyBorder="1" applyAlignment="1">
      <alignment horizontal="center" vertical="center"/>
    </xf>
    <xf numFmtId="0" fontId="15" fillId="27" borderId="43" xfId="0" applyFont="1" applyFill="1" applyBorder="1" applyAlignment="1">
      <alignment horizontal="center" vertical="center"/>
    </xf>
    <xf numFmtId="4" fontId="15" fillId="27" borderId="43" xfId="0" applyNumberFormat="1" applyFont="1" applyFill="1" applyBorder="1" applyAlignment="1">
      <alignment horizontal="center" vertical="center"/>
    </xf>
    <xf numFmtId="4" fontId="15" fillId="27" borderId="44" xfId="0" applyNumberFormat="1" applyFont="1" applyFill="1" applyBorder="1" applyAlignment="1">
      <alignment horizontal="center" vertical="center"/>
    </xf>
    <xf numFmtId="0" fontId="15" fillId="28" borderId="43" xfId="0" applyFont="1" applyFill="1" applyBorder="1" applyAlignment="1">
      <alignment horizontal="center" vertical="center"/>
    </xf>
    <xf numFmtId="4" fontId="15" fillId="28" borderId="43" xfId="0" applyNumberFormat="1" applyFont="1" applyFill="1" applyBorder="1" applyAlignment="1">
      <alignment horizontal="center" vertical="center"/>
    </xf>
    <xf numFmtId="4" fontId="15" fillId="28" borderId="44" xfId="0" applyNumberFormat="1" applyFont="1" applyFill="1" applyBorder="1" applyAlignment="1">
      <alignment horizontal="center" vertical="center"/>
    </xf>
    <xf numFmtId="0" fontId="15" fillId="26" borderId="24" xfId="0" applyFont="1" applyFill="1" applyBorder="1" applyAlignment="1">
      <alignment horizontal="center" vertical="center"/>
    </xf>
    <xf numFmtId="4" fontId="15" fillId="26" borderId="43" xfId="0" applyNumberFormat="1" applyFont="1" applyFill="1" applyBorder="1" applyAlignment="1">
      <alignment horizontal="center" vertical="center"/>
    </xf>
    <xf numFmtId="0" fontId="15" fillId="26" borderId="43" xfId="0" applyFont="1" applyFill="1" applyBorder="1" applyAlignment="1">
      <alignment horizontal="center" vertical="center"/>
    </xf>
    <xf numFmtId="0" fontId="15" fillId="26" borderId="79" xfId="0" applyFont="1" applyFill="1" applyBorder="1" applyAlignment="1">
      <alignment horizontal="center" vertical="center"/>
    </xf>
    <xf numFmtId="0" fontId="15" fillId="27" borderId="24" xfId="0" applyFont="1" applyFill="1" applyBorder="1" applyAlignment="1">
      <alignment horizontal="center" vertical="center"/>
    </xf>
    <xf numFmtId="169" fontId="15" fillId="32" borderId="76" xfId="0" applyNumberFormat="1" applyFont="1" applyFill="1" applyBorder="1" applyAlignment="1">
      <alignment horizontal="center" vertical="center"/>
    </xf>
    <xf numFmtId="169" fontId="15" fillId="26" borderId="81" xfId="0" applyNumberFormat="1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vertical="center"/>
    </xf>
    <xf numFmtId="0" fontId="80" fillId="32" borderId="11" xfId="0" applyFont="1" applyFill="1" applyBorder="1" applyAlignment="1">
      <alignment vertical="center"/>
    </xf>
    <xf numFmtId="0" fontId="80" fillId="32" borderId="11" xfId="0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vertical="center"/>
    </xf>
    <xf numFmtId="0" fontId="80" fillId="26" borderId="11" xfId="0" applyFont="1" applyFill="1" applyBorder="1" applyAlignment="1">
      <alignment vertical="center"/>
    </xf>
    <xf numFmtId="0" fontId="80" fillId="26" borderId="35" xfId="0" applyFont="1" applyFill="1" applyBorder="1" applyAlignment="1">
      <alignment horizontal="center" vertical="center"/>
    </xf>
    <xf numFmtId="2" fontId="80" fillId="26" borderId="11" xfId="0" applyNumberFormat="1" applyFont="1" applyFill="1" applyBorder="1" applyAlignment="1">
      <alignment horizontal="center" vertical="center"/>
    </xf>
    <xf numFmtId="169" fontId="80" fillId="26" borderId="35" xfId="0" applyNumberFormat="1" applyFont="1" applyFill="1" applyBorder="1" applyAlignment="1">
      <alignment horizontal="center" vertical="center"/>
    </xf>
    <xf numFmtId="4" fontId="15" fillId="32" borderId="76" xfId="0" applyNumberFormat="1" applyFont="1" applyFill="1" applyBorder="1" applyAlignment="1">
      <alignment horizontal="center" vertical="center"/>
    </xf>
    <xf numFmtId="4" fontId="15" fillId="27" borderId="76" xfId="0" applyNumberFormat="1" applyFont="1" applyFill="1" applyBorder="1" applyAlignment="1">
      <alignment horizontal="center" vertical="center"/>
    </xf>
    <xf numFmtId="4" fontId="15" fillId="28" borderId="76" xfId="0" applyNumberFormat="1" applyFont="1" applyFill="1" applyBorder="1" applyAlignment="1">
      <alignment horizontal="center" vertical="center"/>
    </xf>
    <xf numFmtId="4" fontId="15" fillId="26" borderId="76" xfId="0" applyNumberFormat="1" applyFont="1" applyFill="1" applyBorder="1" applyAlignment="1">
      <alignment horizontal="center" vertical="center"/>
    </xf>
    <xf numFmtId="0" fontId="15" fillId="26" borderId="76" xfId="0" applyFont="1" applyFill="1" applyBorder="1" applyAlignment="1">
      <alignment horizontal="center" vertical="center"/>
    </xf>
    <xf numFmtId="2" fontId="12" fillId="0" borderId="92" xfId="0" applyNumberFormat="1" applyFont="1" applyBorder="1" applyAlignment="1">
      <alignment horizontal="center" vertical="center" wrapText="1"/>
    </xf>
    <xf numFmtId="168" fontId="12" fillId="0" borderId="92" xfId="0" applyNumberFormat="1" applyFont="1" applyBorder="1" applyAlignment="1">
      <alignment horizontal="center" vertical="top" wrapText="1"/>
    </xf>
    <xf numFmtId="168" fontId="12" fillId="0" borderId="92" xfId="0" applyNumberFormat="1" applyFont="1" applyBorder="1" applyAlignment="1">
      <alignment horizontal="center"/>
    </xf>
    <xf numFmtId="4" fontId="11" fillId="0" borderId="92" xfId="0" applyNumberFormat="1" applyFont="1" applyBorder="1" applyAlignment="1">
      <alignment horizontal="center" vertical="center"/>
    </xf>
    <xf numFmtId="168" fontId="12" fillId="0" borderId="92" xfId="0" applyNumberFormat="1" applyFont="1" applyBorder="1"/>
    <xf numFmtId="168" fontId="22" fillId="0" borderId="92" xfId="0" applyNumberFormat="1" applyFont="1" applyBorder="1" applyAlignment="1">
      <alignment horizontal="center"/>
    </xf>
    <xf numFmtId="168" fontId="20" fillId="0" borderId="92" xfId="0" applyNumberFormat="1" applyFont="1" applyBorder="1" applyAlignment="1">
      <alignment horizont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/>
    </xf>
    <xf numFmtId="168" fontId="59" fillId="0" borderId="92" xfId="0" applyNumberFormat="1" applyFont="1" applyBorder="1" applyAlignment="1">
      <alignment horizontal="center" vertical="center"/>
    </xf>
    <xf numFmtId="168" fontId="59" fillId="0" borderId="92" xfId="0" applyNumberFormat="1" applyFont="1" applyFill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2" fontId="59" fillId="0" borderId="19" xfId="0" applyNumberFormat="1" applyFont="1" applyBorder="1" applyAlignment="1">
      <alignment horizontal="center" vertical="center" wrapText="1"/>
    </xf>
    <xf numFmtId="2" fontId="59" fillId="0" borderId="92" xfId="0" applyNumberFormat="1" applyFont="1" applyBorder="1" applyAlignment="1">
      <alignment horizontal="center" vertical="center" wrapText="1"/>
    </xf>
    <xf numFmtId="168" fontId="59" fillId="0" borderId="19" xfId="0" applyNumberFormat="1" applyFont="1" applyBorder="1" applyAlignment="1">
      <alignment horizontal="center" vertical="center"/>
    </xf>
    <xf numFmtId="169" fontId="59" fillId="0" borderId="92" xfId="0" applyNumberFormat="1" applyFont="1" applyBorder="1" applyAlignment="1">
      <alignment horizontal="center" vertical="center"/>
    </xf>
    <xf numFmtId="1" fontId="59" fillId="0" borderId="92" xfId="0" applyNumberFormat="1" applyFont="1" applyBorder="1" applyAlignment="1">
      <alignment horizontal="center" vertical="center"/>
    </xf>
    <xf numFmtId="168" fontId="16" fillId="0" borderId="19" xfId="0" applyNumberFormat="1" applyFont="1" applyBorder="1" applyAlignment="1">
      <alignment horizontal="center" vertical="center"/>
    </xf>
    <xf numFmtId="169" fontId="16" fillId="0" borderId="92" xfId="0" applyNumberFormat="1" applyFont="1" applyBorder="1" applyAlignment="1">
      <alignment horizontal="center" vertical="center"/>
    </xf>
    <xf numFmtId="168" fontId="16" fillId="0" borderId="92" xfId="0" applyNumberFormat="1" applyFont="1" applyBorder="1" applyAlignment="1">
      <alignment horizontal="center" vertical="center"/>
    </xf>
    <xf numFmtId="1" fontId="16" fillId="0" borderId="92" xfId="0" applyNumberFormat="1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168" fontId="59" fillId="0" borderId="20" xfId="0" applyNumberFormat="1" applyFont="1" applyBorder="1" applyAlignment="1">
      <alignment horizontal="center" vertical="center"/>
    </xf>
    <xf numFmtId="168" fontId="59" fillId="0" borderId="22" xfId="0" applyNumberFormat="1" applyFont="1" applyBorder="1" applyAlignment="1">
      <alignment horizontal="center" vertical="center"/>
    </xf>
    <xf numFmtId="0" fontId="77" fillId="0" borderId="22" xfId="0" applyFont="1" applyBorder="1" applyAlignment="1">
      <alignment horizontal="center" vertical="center"/>
    </xf>
    <xf numFmtId="168" fontId="59" fillId="0" borderId="2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vertical="center"/>
    </xf>
    <xf numFmtId="2" fontId="79" fillId="0" borderId="12" xfId="0" applyNumberFormat="1" applyFont="1" applyBorder="1" applyAlignment="1">
      <alignment vertical="center"/>
    </xf>
    <xf numFmtId="2" fontId="16" fillId="0" borderId="12" xfId="0" applyNumberFormat="1" applyFont="1" applyBorder="1" applyAlignment="1">
      <alignment vertical="center"/>
    </xf>
    <xf numFmtId="2" fontId="59" fillId="0" borderId="12" xfId="0" applyNumberFormat="1" applyFont="1" applyBorder="1" applyAlignment="1">
      <alignment vertical="center" wrapText="1"/>
    </xf>
    <xf numFmtId="2" fontId="16" fillId="0" borderId="12" xfId="0" applyNumberFormat="1" applyFont="1" applyBorder="1" applyAlignment="1">
      <alignment vertical="center" wrapText="1"/>
    </xf>
    <xf numFmtId="2" fontId="59" fillId="0" borderId="15" xfId="0" applyNumberFormat="1" applyFont="1" applyBorder="1" applyAlignment="1">
      <alignment vertical="center" wrapText="1"/>
    </xf>
    <xf numFmtId="2" fontId="59" fillId="0" borderId="20" xfId="0" applyNumberFormat="1" applyFont="1" applyBorder="1" applyAlignment="1">
      <alignment horizontal="center" vertical="center" wrapText="1"/>
    </xf>
    <xf numFmtId="2" fontId="59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59" fillId="0" borderId="14" xfId="0" applyFont="1" applyBorder="1" applyAlignment="1">
      <alignment vertical="center" wrapText="1"/>
    </xf>
    <xf numFmtId="2" fontId="59" fillId="0" borderId="99" xfId="0" applyNumberFormat="1" applyFont="1" applyBorder="1" applyAlignment="1">
      <alignment horizontal="center" vertical="center" wrapText="1"/>
    </xf>
    <xf numFmtId="2" fontId="59" fillId="0" borderId="101" xfId="0" applyNumberFormat="1" applyFont="1" applyBorder="1" applyAlignment="1">
      <alignment horizontal="center" vertical="center" wrapText="1"/>
    </xf>
    <xf numFmtId="168" fontId="59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/>
    </xf>
    <xf numFmtId="169" fontId="59" fillId="0" borderId="101" xfId="0" applyNumberFormat="1" applyFont="1" applyBorder="1" applyAlignment="1">
      <alignment horizontal="center" vertical="center"/>
    </xf>
    <xf numFmtId="4" fontId="59" fillId="0" borderId="101" xfId="0" applyNumberFormat="1" applyFont="1" applyBorder="1" applyAlignment="1">
      <alignment horizontal="center" vertical="center"/>
    </xf>
    <xf numFmtId="168" fontId="16" fillId="0" borderId="101" xfId="0" applyNumberFormat="1" applyFont="1" applyBorder="1" applyAlignment="1">
      <alignment horizontal="center" vertical="center"/>
    </xf>
    <xf numFmtId="4" fontId="16" fillId="0" borderId="101" xfId="0" applyNumberFormat="1" applyFont="1" applyBorder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2" fontId="16" fillId="0" borderId="101" xfId="0" applyNumberFormat="1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168" fontId="59" fillId="0" borderId="95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92" xfId="0" applyNumberFormat="1" applyFont="1" applyFill="1" applyBorder="1" applyAlignment="1">
      <alignment horizontal="center" vertical="center"/>
    </xf>
    <xf numFmtId="4" fontId="59" fillId="0" borderId="92" xfId="0" applyNumberFormat="1" applyFont="1" applyFill="1" applyBorder="1" applyAlignment="1">
      <alignment horizontal="center" vertical="center"/>
    </xf>
    <xf numFmtId="168" fontId="16" fillId="0" borderId="92" xfId="0" applyNumberFormat="1" applyFont="1" applyFill="1" applyBorder="1" applyAlignment="1">
      <alignment horizontal="center" vertical="center"/>
    </xf>
    <xf numFmtId="4" fontId="16" fillId="0" borderId="92" xfId="0" applyNumberFormat="1" applyFont="1" applyFill="1" applyBorder="1" applyAlignment="1">
      <alignment horizontal="center" vertical="center"/>
    </xf>
    <xf numFmtId="0" fontId="59" fillId="0" borderId="92" xfId="0" applyFont="1" applyFill="1" applyBorder="1" applyAlignment="1">
      <alignment horizontal="center" vertical="center"/>
    </xf>
    <xf numFmtId="0" fontId="59" fillId="0" borderId="22" xfId="0" applyFont="1" applyFill="1" applyBorder="1" applyAlignment="1">
      <alignment horizontal="center" vertical="center"/>
    </xf>
    <xf numFmtId="168" fontId="59" fillId="0" borderId="22" xfId="0" applyNumberFormat="1" applyFont="1" applyFill="1" applyBorder="1" applyAlignment="1">
      <alignment horizontal="center" vertical="center"/>
    </xf>
    <xf numFmtId="168" fontId="59" fillId="0" borderId="19" xfId="0" applyNumberFormat="1" applyFont="1" applyFill="1" applyBorder="1" applyAlignment="1">
      <alignment horizontal="center" vertical="center"/>
    </xf>
    <xf numFmtId="10" fontId="59" fillId="0" borderId="92" xfId="0" applyNumberFormat="1" applyFont="1" applyFill="1" applyBorder="1" applyAlignment="1">
      <alignment horizontal="center" vertical="center"/>
    </xf>
    <xf numFmtId="168" fontId="16" fillId="0" borderId="19" xfId="0" applyNumberFormat="1" applyFont="1" applyFill="1" applyBorder="1" applyAlignment="1">
      <alignment horizontal="center" vertical="center"/>
    </xf>
    <xf numFmtId="10" fontId="59" fillId="0" borderId="95" xfId="0" applyNumberFormat="1" applyFont="1" applyFill="1" applyBorder="1" applyAlignment="1">
      <alignment horizontal="center" vertical="center"/>
    </xf>
    <xf numFmtId="4" fontId="16" fillId="0" borderId="101" xfId="0" applyNumberFormat="1" applyFont="1" applyFill="1" applyBorder="1"/>
    <xf numFmtId="2" fontId="59" fillId="0" borderId="101" xfId="0" applyNumberFormat="1" applyFont="1" applyFill="1" applyBorder="1"/>
    <xf numFmtId="2" fontId="60" fillId="0" borderId="101" xfId="0" applyNumberFormat="1" applyFont="1" applyFill="1" applyBorder="1"/>
    <xf numFmtId="4" fontId="59" fillId="0" borderId="101" xfId="0" applyNumberFormat="1" applyFont="1" applyFill="1" applyBorder="1"/>
    <xf numFmtId="2" fontId="59" fillId="0" borderId="96" xfId="0" applyNumberFormat="1" applyFont="1" applyFill="1" applyBorder="1"/>
    <xf numFmtId="4" fontId="16" fillId="0" borderId="101" xfId="0" applyNumberFormat="1" applyFont="1" applyFill="1" applyBorder="1" applyAlignment="1">
      <alignment vertical="center"/>
    </xf>
    <xf numFmtId="0" fontId="59" fillId="30" borderId="101" xfId="0" applyFont="1" applyFill="1" applyBorder="1" applyAlignment="1">
      <alignment horizontal="center" vertical="center"/>
    </xf>
    <xf numFmtId="2" fontId="16" fillId="30" borderId="101" xfId="0" applyNumberFormat="1" applyFont="1" applyFill="1" applyBorder="1"/>
    <xf numFmtId="2" fontId="59" fillId="30" borderId="101" xfId="0" applyNumberFormat="1" applyFont="1" applyFill="1" applyBorder="1"/>
    <xf numFmtId="2" fontId="60" fillId="30" borderId="101" xfId="0" applyNumberFormat="1" applyFont="1" applyFill="1" applyBorder="1"/>
    <xf numFmtId="2" fontId="59" fillId="30" borderId="96" xfId="0" applyNumberFormat="1" applyFont="1" applyFill="1" applyBorder="1"/>
    <xf numFmtId="0" fontId="0" fillId="0" borderId="101" xfId="0" applyBorder="1"/>
    <xf numFmtId="0" fontId="61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0" fontId="59" fillId="0" borderId="0" xfId="0" applyNumberFormat="1" applyFont="1" applyFill="1" applyBorder="1"/>
    <xf numFmtId="10" fontId="16" fillId="0" borderId="0" xfId="0" applyNumberFormat="1" applyFont="1" applyFill="1" applyBorder="1"/>
    <xf numFmtId="176" fontId="59" fillId="0" borderId="0" xfId="0" applyNumberFormat="1" applyFont="1" applyFill="1" applyBorder="1"/>
    <xf numFmtId="0" fontId="59" fillId="0" borderId="98" xfId="0" applyFont="1" applyFill="1" applyBorder="1" applyAlignment="1">
      <alignment vertical="center"/>
    </xf>
    <xf numFmtId="0" fontId="59" fillId="0" borderId="108" xfId="0" applyFont="1" applyFill="1" applyBorder="1" applyAlignment="1">
      <alignment vertical="center"/>
    </xf>
    <xf numFmtId="0" fontId="59" fillId="0" borderId="36" xfId="0" applyFont="1" applyFill="1" applyBorder="1" applyAlignment="1">
      <alignment vertical="center"/>
    </xf>
    <xf numFmtId="0" fontId="59" fillId="0" borderId="68" xfId="0" applyFont="1" applyFill="1" applyBorder="1" applyAlignment="1">
      <alignment vertical="center"/>
    </xf>
    <xf numFmtId="10" fontId="59" fillId="0" borderId="11" xfId="85" applyNumberFormat="1" applyFont="1" applyFill="1" applyBorder="1" applyAlignment="1">
      <alignment vertical="center"/>
    </xf>
    <xf numFmtId="0" fontId="59" fillId="0" borderId="37" xfId="0" applyFont="1" applyFill="1" applyBorder="1" applyAlignment="1">
      <alignment vertical="center"/>
    </xf>
    <xf numFmtId="0" fontId="59" fillId="0" borderId="100" xfId="0" applyFont="1" applyFill="1" applyBorder="1" applyAlignment="1">
      <alignment vertical="center"/>
    </xf>
    <xf numFmtId="0" fontId="59" fillId="0" borderId="31" xfId="0" applyFont="1" applyFill="1" applyBorder="1" applyAlignment="1">
      <alignment vertical="center"/>
    </xf>
    <xf numFmtId="0" fontId="59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7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59" fillId="0" borderId="111" xfId="0" applyFont="1" applyFill="1" applyBorder="1" applyAlignment="1">
      <alignment horizontal="center" vertical="center" wrapText="1"/>
    </xf>
    <xf numFmtId="0" fontId="59" fillId="0" borderId="71" xfId="0" applyFont="1" applyFill="1" applyBorder="1" applyAlignment="1">
      <alignment horizontal="center" vertical="center"/>
    </xf>
    <xf numFmtId="170" fontId="16" fillId="0" borderId="97" xfId="0" applyNumberFormat="1" applyFont="1" applyFill="1" applyBorder="1" applyAlignment="1">
      <alignment horizontal="right" vertical="center"/>
    </xf>
    <xf numFmtId="170" fontId="59" fillId="0" borderId="97" xfId="0" applyNumberFormat="1" applyFont="1" applyFill="1" applyBorder="1" applyAlignment="1">
      <alignment horizontal="right" vertical="center"/>
    </xf>
    <xf numFmtId="170" fontId="59" fillId="0" borderId="98" xfId="0" applyNumberFormat="1" applyFont="1" applyFill="1" applyBorder="1" applyAlignment="1">
      <alignment horizontal="right" vertical="center"/>
    </xf>
    <xf numFmtId="0" fontId="78" fillId="0" borderId="47" xfId="0" applyFont="1" applyBorder="1"/>
    <xf numFmtId="171" fontId="59" fillId="0" borderId="23" xfId="85" applyNumberFormat="1" applyFont="1" applyFill="1" applyBorder="1" applyAlignment="1">
      <alignment vertical="center"/>
    </xf>
    <xf numFmtId="1" fontId="59" fillId="0" borderId="21" xfId="0" applyNumberFormat="1" applyFont="1" applyFill="1" applyBorder="1" applyAlignment="1">
      <alignment vertical="center"/>
    </xf>
    <xf numFmtId="10" fontId="59" fillId="0" borderId="23" xfId="85" applyNumberFormat="1" applyFont="1" applyFill="1" applyBorder="1" applyAlignment="1">
      <alignment vertical="center"/>
    </xf>
    <xf numFmtId="0" fontId="61" fillId="0" borderId="0" xfId="0" applyFont="1" applyBorder="1" applyAlignment="1">
      <alignment horizontal="center" vertical="center" wrapText="1"/>
    </xf>
    <xf numFmtId="0" fontId="78" fillId="0" borderId="0" xfId="0" applyFont="1" applyBorder="1"/>
    <xf numFmtId="166" fontId="78" fillId="0" borderId="0" xfId="0" applyNumberFormat="1" applyFont="1" applyBorder="1"/>
    <xf numFmtId="1" fontId="59" fillId="0" borderId="37" xfId="0" applyNumberFormat="1" applyFont="1" applyFill="1" applyBorder="1" applyAlignment="1">
      <alignment vertical="center"/>
    </xf>
    <xf numFmtId="171" fontId="59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2" fillId="0" borderId="36" xfId="0" applyFont="1" applyFill="1" applyBorder="1"/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57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59" fillId="0" borderId="0" xfId="0" applyNumberFormat="1" applyFont="1" applyFill="1" applyBorder="1" applyAlignment="1">
      <alignment horizontal="center"/>
    </xf>
    <xf numFmtId="4" fontId="65" fillId="0" borderId="0" xfId="0" applyNumberFormat="1" applyFont="1" applyFill="1" applyBorder="1" applyAlignment="1">
      <alignment horizontal="center"/>
    </xf>
    <xf numFmtId="0" fontId="77" fillId="0" borderId="0" xfId="0" applyFont="1"/>
    <xf numFmtId="0" fontId="0" fillId="0" borderId="0" xfId="0" applyAlignment="1">
      <alignment wrapText="1"/>
    </xf>
    <xf numFmtId="0" fontId="12" fillId="0" borderId="112" xfId="0" applyFont="1" applyBorder="1" applyAlignment="1">
      <alignment vertical="center"/>
    </xf>
    <xf numFmtId="0" fontId="12" fillId="0" borderId="113" xfId="0" applyFont="1" applyBorder="1" applyAlignment="1">
      <alignment vertical="center"/>
    </xf>
    <xf numFmtId="171" fontId="12" fillId="0" borderId="112" xfId="85" applyNumberFormat="1" applyFont="1" applyBorder="1" applyAlignment="1">
      <alignment vertical="center"/>
    </xf>
    <xf numFmtId="10" fontId="12" fillId="0" borderId="112" xfId="85" applyNumberFormat="1" applyFont="1" applyBorder="1" applyAlignment="1">
      <alignment vertical="center"/>
    </xf>
    <xf numFmtId="10" fontId="12" fillId="0" borderId="113" xfId="85" applyNumberFormat="1" applyFont="1" applyBorder="1" applyAlignment="1">
      <alignment vertical="center"/>
    </xf>
    <xf numFmtId="0" fontId="12" fillId="0" borderId="114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117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171" fontId="12" fillId="0" borderId="113" xfId="85" applyNumberFormat="1" applyFont="1" applyBorder="1" applyAlignment="1">
      <alignment vertical="center"/>
    </xf>
    <xf numFmtId="0" fontId="12" fillId="0" borderId="116" xfId="0" applyFont="1" applyBorder="1" applyAlignment="1">
      <alignment vertical="center"/>
    </xf>
    <xf numFmtId="10" fontId="12" fillId="0" borderId="116" xfId="85" applyNumberFormat="1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4" fontId="12" fillId="0" borderId="116" xfId="0" applyNumberFormat="1" applyFont="1" applyFill="1" applyBorder="1" applyAlignment="1">
      <alignment vertical="center"/>
    </xf>
    <xf numFmtId="4" fontId="12" fillId="0" borderId="112" xfId="0" applyNumberFormat="1" applyFont="1" applyFill="1" applyBorder="1" applyAlignment="1">
      <alignment vertical="center"/>
    </xf>
    <xf numFmtId="4" fontId="12" fillId="0" borderId="113" xfId="0" applyNumberFormat="1" applyFont="1" applyFill="1" applyBorder="1" applyAlignment="1">
      <alignment vertical="center"/>
    </xf>
    <xf numFmtId="10" fontId="12" fillId="0" borderId="116" xfId="0" applyNumberFormat="1" applyFont="1" applyFill="1" applyBorder="1" applyAlignment="1">
      <alignment vertical="center"/>
    </xf>
    <xf numFmtId="4" fontId="12" fillId="0" borderId="21" xfId="0" applyNumberFormat="1" applyFont="1" applyFill="1" applyBorder="1" applyAlignment="1">
      <alignment vertical="center"/>
    </xf>
    <xf numFmtId="4" fontId="12" fillId="0" borderId="114" xfId="0" applyNumberFormat="1" applyFont="1" applyFill="1" applyBorder="1" applyAlignment="1">
      <alignment vertical="center"/>
    </xf>
    <xf numFmtId="4" fontId="12" fillId="0" borderId="23" xfId="0" applyNumberFormat="1" applyFont="1" applyFill="1" applyBorder="1" applyAlignment="1">
      <alignment vertical="center"/>
    </xf>
    <xf numFmtId="0" fontId="12" fillId="0" borderId="121" xfId="0" applyFont="1" applyBorder="1" applyAlignment="1">
      <alignment horizontal="center" vertical="center"/>
    </xf>
    <xf numFmtId="4" fontId="12" fillId="0" borderId="16" xfId="0" applyNumberFormat="1" applyFont="1" applyFill="1" applyBorder="1" applyAlignment="1">
      <alignment vertical="center"/>
    </xf>
    <xf numFmtId="4" fontId="12" fillId="0" borderId="17" xfId="0" applyNumberFormat="1" applyFont="1" applyFill="1" applyBorder="1" applyAlignment="1">
      <alignment vertical="center"/>
    </xf>
    <xf numFmtId="4" fontId="12" fillId="0" borderId="18" xfId="0" applyNumberFormat="1" applyFont="1" applyFill="1" applyBorder="1" applyAlignment="1">
      <alignment vertical="center"/>
    </xf>
    <xf numFmtId="0" fontId="12" fillId="0" borderId="13" xfId="0" applyFont="1" applyBorder="1" applyAlignment="1">
      <alignment vertical="center" wrapText="1"/>
    </xf>
    <xf numFmtId="0" fontId="12" fillId="0" borderId="121" xfId="0" applyFont="1" applyFill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34" borderId="121" xfId="0" applyFont="1" applyFill="1" applyBorder="1" applyAlignment="1">
      <alignment horizontal="center" vertical="center"/>
    </xf>
    <xf numFmtId="0" fontId="12" fillId="34" borderId="13" xfId="0" applyFont="1" applyFill="1" applyBorder="1" applyAlignment="1">
      <alignment vertical="center" wrapText="1"/>
    </xf>
    <xf numFmtId="4" fontId="12" fillId="34" borderId="16" xfId="0" applyNumberFormat="1" applyFont="1" applyFill="1" applyBorder="1" applyAlignment="1">
      <alignment vertical="center"/>
    </xf>
    <xf numFmtId="4" fontId="12" fillId="34" borderId="17" xfId="0" applyNumberFormat="1" applyFont="1" applyFill="1" applyBorder="1" applyAlignment="1">
      <alignment vertical="center"/>
    </xf>
    <xf numFmtId="4" fontId="12" fillId="34" borderId="18" xfId="0" applyNumberFormat="1" applyFont="1" applyFill="1" applyBorder="1" applyAlignment="1">
      <alignment vertical="center"/>
    </xf>
    <xf numFmtId="0" fontId="12" fillId="34" borderId="17" xfId="0" applyFont="1" applyFill="1" applyBorder="1" applyAlignment="1">
      <alignment vertical="center"/>
    </xf>
    <xf numFmtId="0" fontId="12" fillId="34" borderId="18" xfId="0" applyFont="1" applyFill="1" applyBorder="1" applyAlignment="1">
      <alignment vertical="center"/>
    </xf>
    <xf numFmtId="0" fontId="12" fillId="34" borderId="16" xfId="0" applyFont="1" applyFill="1" applyBorder="1" applyAlignment="1">
      <alignment vertical="center"/>
    </xf>
    <xf numFmtId="0" fontId="12" fillId="34" borderId="117" xfId="0" applyFont="1" applyFill="1" applyBorder="1" applyAlignment="1">
      <alignment vertical="center" wrapText="1"/>
    </xf>
    <xf numFmtId="4" fontId="12" fillId="34" borderId="116" xfId="0" applyNumberFormat="1" applyFont="1" applyFill="1" applyBorder="1" applyAlignment="1">
      <alignment vertical="center"/>
    </xf>
    <xf numFmtId="4" fontId="12" fillId="34" borderId="112" xfId="0" applyNumberFormat="1" applyFont="1" applyFill="1" applyBorder="1" applyAlignment="1">
      <alignment vertical="center"/>
    </xf>
    <xf numFmtId="4" fontId="12" fillId="34" borderId="113" xfId="0" applyNumberFormat="1" applyFont="1" applyFill="1" applyBorder="1" applyAlignment="1">
      <alignment vertical="center"/>
    </xf>
    <xf numFmtId="10" fontId="12" fillId="34" borderId="116" xfId="0" applyNumberFormat="1" applyFont="1" applyFill="1" applyBorder="1" applyAlignment="1">
      <alignment vertical="center"/>
    </xf>
    <xf numFmtId="171" fontId="12" fillId="34" borderId="112" xfId="85" applyNumberFormat="1" applyFont="1" applyFill="1" applyBorder="1" applyAlignment="1">
      <alignment vertical="center"/>
    </xf>
    <xf numFmtId="171" fontId="12" fillId="34" borderId="113" xfId="85" applyNumberFormat="1" applyFont="1" applyFill="1" applyBorder="1" applyAlignment="1">
      <alignment vertical="center"/>
    </xf>
    <xf numFmtId="10" fontId="12" fillId="34" borderId="116" xfId="85" applyNumberFormat="1" applyFont="1" applyFill="1" applyBorder="1" applyAlignment="1">
      <alignment vertical="center"/>
    </xf>
    <xf numFmtId="10" fontId="12" fillId="34" borderId="112" xfId="85" applyNumberFormat="1" applyFont="1" applyFill="1" applyBorder="1" applyAlignment="1">
      <alignment vertical="center"/>
    </xf>
    <xf numFmtId="10" fontId="12" fillId="34" borderId="113" xfId="85" applyNumberFormat="1" applyFont="1" applyFill="1" applyBorder="1" applyAlignment="1">
      <alignment vertical="center"/>
    </xf>
    <xf numFmtId="0" fontId="12" fillId="34" borderId="112" xfId="0" applyFont="1" applyFill="1" applyBorder="1" applyAlignment="1">
      <alignment vertical="center"/>
    </xf>
    <xf numFmtId="0" fontId="12" fillId="34" borderId="113" xfId="0" applyFont="1" applyFill="1" applyBorder="1" applyAlignment="1">
      <alignment vertical="center"/>
    </xf>
    <xf numFmtId="0" fontId="12" fillId="34" borderId="116" xfId="0" applyFont="1" applyFill="1" applyBorder="1" applyAlignment="1">
      <alignment vertical="center"/>
    </xf>
    <xf numFmtId="0" fontId="12" fillId="34" borderId="15" xfId="0" applyFont="1" applyFill="1" applyBorder="1" applyAlignment="1">
      <alignment vertical="center" wrapText="1"/>
    </xf>
    <xf numFmtId="4" fontId="12" fillId="34" borderId="21" xfId="0" applyNumberFormat="1" applyFont="1" applyFill="1" applyBorder="1" applyAlignment="1">
      <alignment vertical="center"/>
    </xf>
    <xf numFmtId="4" fontId="12" fillId="34" borderId="114" xfId="0" applyNumberFormat="1" applyFont="1" applyFill="1" applyBorder="1" applyAlignment="1">
      <alignment vertical="center"/>
    </xf>
    <xf numFmtId="4" fontId="12" fillId="34" borderId="23" xfId="0" applyNumberFormat="1" applyFont="1" applyFill="1" applyBorder="1" applyAlignment="1">
      <alignment vertical="center"/>
    </xf>
    <xf numFmtId="0" fontId="12" fillId="34" borderId="114" xfId="0" applyFont="1" applyFill="1" applyBorder="1" applyAlignment="1">
      <alignment vertical="center"/>
    </xf>
    <xf numFmtId="0" fontId="12" fillId="34" borderId="23" xfId="0" applyFont="1" applyFill="1" applyBorder="1" applyAlignment="1">
      <alignment vertical="center"/>
    </xf>
    <xf numFmtId="0" fontId="12" fillId="34" borderId="21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/>
    </xf>
    <xf numFmtId="0" fontId="12" fillId="0" borderId="16" xfId="0" applyFont="1" applyFill="1" applyBorder="1" applyAlignment="1">
      <alignment vertical="center"/>
    </xf>
    <xf numFmtId="171" fontId="12" fillId="0" borderId="112" xfId="85" applyNumberFormat="1" applyFont="1" applyFill="1" applyBorder="1" applyAlignment="1">
      <alignment vertical="center"/>
    </xf>
    <xf numFmtId="171" fontId="12" fillId="0" borderId="113" xfId="85" applyNumberFormat="1" applyFont="1" applyFill="1" applyBorder="1" applyAlignment="1">
      <alignment vertical="center"/>
    </xf>
    <xf numFmtId="10" fontId="12" fillId="0" borderId="116" xfId="85" applyNumberFormat="1" applyFont="1" applyFill="1" applyBorder="1" applyAlignment="1">
      <alignment vertical="center"/>
    </xf>
    <xf numFmtId="10" fontId="12" fillId="0" borderId="112" xfId="85" applyNumberFormat="1" applyFont="1" applyFill="1" applyBorder="1" applyAlignment="1">
      <alignment vertical="center"/>
    </xf>
    <xf numFmtId="10" fontId="12" fillId="0" borderId="113" xfId="85" applyNumberFormat="1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3" xfId="0" applyFont="1" applyFill="1" applyBorder="1" applyAlignment="1">
      <alignment vertical="center"/>
    </xf>
    <xf numFmtId="0" fontId="12" fillId="0" borderId="116" xfId="0" applyFont="1" applyFill="1" applyBorder="1" applyAlignment="1">
      <alignment vertical="center"/>
    </xf>
    <xf numFmtId="0" fontId="12" fillId="0" borderId="114" xfId="0" applyFont="1" applyFill="1" applyBorder="1" applyAlignment="1">
      <alignment vertical="center"/>
    </xf>
    <xf numFmtId="0" fontId="12" fillId="0" borderId="23" xfId="0" applyFont="1" applyFill="1" applyBorder="1" applyAlignment="1">
      <alignment vertical="center"/>
    </xf>
    <xf numFmtId="0" fontId="12" fillId="0" borderId="21" xfId="0" applyFont="1" applyFill="1" applyBorder="1" applyAlignment="1">
      <alignment vertical="center"/>
    </xf>
    <xf numFmtId="0" fontId="59" fillId="0" borderId="21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6" fillId="0" borderId="54" xfId="0" applyFont="1" applyBorder="1" applyAlignment="1">
      <alignment horizontal="center"/>
    </xf>
    <xf numFmtId="0" fontId="20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20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2" fillId="0" borderId="21" xfId="0" applyFont="1" applyBorder="1" applyAlignment="1">
      <alignment horizontal="left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169" fontId="13" fillId="0" borderId="128" xfId="0" applyNumberFormat="1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59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59" fillId="0" borderId="128" xfId="0" applyFont="1" applyBorder="1" applyAlignment="1">
      <alignment horizontal="center" vertical="center" wrapText="1"/>
    </xf>
    <xf numFmtId="0" fontId="12" fillId="0" borderId="132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131" xfId="0" applyFont="1" applyBorder="1" applyAlignment="1">
      <alignment horizontal="center"/>
    </xf>
    <xf numFmtId="0" fontId="12" fillId="0" borderId="131" xfId="0" applyFont="1" applyBorder="1" applyAlignment="1">
      <alignment horizontal="center" vertical="center"/>
    </xf>
    <xf numFmtId="169" fontId="12" fillId="0" borderId="131" xfId="0" applyNumberFormat="1" applyFont="1" applyBorder="1" applyAlignment="1">
      <alignment horizontal="center" vertical="center" wrapText="1"/>
    </xf>
    <xf numFmtId="0" fontId="12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6" fillId="0" borderId="16" xfId="0" applyNumberFormat="1" applyFont="1" applyFill="1" applyBorder="1" applyAlignment="1">
      <alignment horizontal="right" vertical="center"/>
    </xf>
    <xf numFmtId="178" fontId="16" fillId="0" borderId="17" xfId="0" applyNumberFormat="1" applyFont="1" applyFill="1" applyBorder="1" applyAlignment="1">
      <alignment horizontal="right" vertical="center"/>
    </xf>
    <xf numFmtId="178" fontId="59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2" fillId="0" borderId="134" xfId="0" applyFont="1" applyBorder="1" applyAlignment="1">
      <alignment vertical="center" wrapText="1"/>
    </xf>
    <xf numFmtId="0" fontId="12" fillId="0" borderId="135" xfId="0" applyFont="1" applyBorder="1" applyAlignment="1">
      <alignment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/>
    </xf>
    <xf numFmtId="0" fontId="12" fillId="0" borderId="133" xfId="0" applyFont="1" applyBorder="1" applyAlignment="1">
      <alignment horizontal="center"/>
    </xf>
    <xf numFmtId="0" fontId="12" fillId="0" borderId="133" xfId="0" applyFont="1" applyBorder="1" applyAlignment="1">
      <alignment horizontal="center" vertical="center"/>
    </xf>
    <xf numFmtId="169" fontId="12" fillId="0" borderId="133" xfId="0" applyNumberFormat="1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/>
    </xf>
    <xf numFmtId="0" fontId="60" fillId="0" borderId="133" xfId="0" applyFont="1" applyBorder="1" applyAlignment="1">
      <alignment vertical="center"/>
    </xf>
    <xf numFmtId="0" fontId="60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2" fillId="0" borderId="128" xfId="0" applyNumberFormat="1" applyFont="1" applyBorder="1" applyAlignment="1">
      <alignment horizontal="center"/>
    </xf>
    <xf numFmtId="169" fontId="12" fillId="0" borderId="128" xfId="0" applyNumberFormat="1" applyFont="1" applyBorder="1" applyAlignment="1">
      <alignment horizontal="center" vertical="center"/>
    </xf>
    <xf numFmtId="0" fontId="12" fillId="0" borderId="128" xfId="0" applyFont="1" applyBorder="1" applyAlignment="1">
      <alignment horizontal="center"/>
    </xf>
    <xf numFmtId="169" fontId="12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2" fillId="0" borderId="136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2" fillId="0" borderId="133" xfId="0" applyNumberFormat="1" applyFont="1" applyBorder="1" applyAlignment="1">
      <alignment horizontal="center"/>
    </xf>
    <xf numFmtId="169" fontId="12" fillId="0" borderId="98" xfId="0" applyNumberFormat="1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129" xfId="0" applyFont="1" applyBorder="1" applyAlignment="1">
      <alignment horizontal="center"/>
    </xf>
    <xf numFmtId="0" fontId="12" fillId="0" borderId="129" xfId="0" applyFont="1" applyBorder="1" applyAlignment="1">
      <alignment horizontal="center" vertical="center"/>
    </xf>
    <xf numFmtId="169" fontId="12" fillId="0" borderId="129" xfId="0" applyNumberFormat="1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59" fillId="0" borderId="114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178" fontId="78" fillId="0" borderId="31" xfId="0" applyNumberFormat="1" applyFont="1" applyBorder="1" applyAlignment="1">
      <alignment vertical="center"/>
    </xf>
    <xf numFmtId="178" fontId="78" fillId="0" borderId="36" xfId="0" applyNumberFormat="1" applyFont="1" applyBorder="1" applyAlignment="1">
      <alignment vertical="center"/>
    </xf>
    <xf numFmtId="178" fontId="78" fillId="0" borderId="17" xfId="0" applyNumberFormat="1" applyFont="1" applyBorder="1" applyAlignment="1">
      <alignment vertical="center"/>
    </xf>
    <xf numFmtId="178" fontId="78" fillId="0" borderId="18" xfId="0" applyNumberFormat="1" applyFont="1" applyBorder="1" applyAlignment="1">
      <alignment vertical="center"/>
    </xf>
    <xf numFmtId="178" fontId="78" fillId="0" borderId="16" xfId="0" applyNumberFormat="1" applyFont="1" applyBorder="1" applyAlignment="1">
      <alignment vertical="center"/>
    </xf>
    <xf numFmtId="178" fontId="78" fillId="0" borderId="71" xfId="0" applyNumberFormat="1" applyFont="1" applyBorder="1" applyAlignment="1">
      <alignment vertical="center"/>
    </xf>
    <xf numFmtId="178" fontId="16" fillId="0" borderId="16" xfId="0" applyNumberFormat="1" applyFont="1" applyBorder="1" applyAlignment="1">
      <alignment horizontal="right" vertical="center"/>
    </xf>
    <xf numFmtId="178" fontId="79" fillId="0" borderId="17" xfId="0" applyNumberFormat="1" applyFont="1" applyBorder="1" applyAlignment="1">
      <alignment horizontal="right" vertical="center"/>
    </xf>
    <xf numFmtId="178" fontId="16" fillId="0" borderId="17" xfId="0" applyNumberFormat="1" applyFont="1" applyBorder="1" applyAlignment="1">
      <alignment horizontal="right" vertical="center"/>
    </xf>
    <xf numFmtId="178" fontId="16" fillId="0" borderId="27" xfId="0" applyNumberFormat="1" applyFont="1" applyBorder="1" applyAlignment="1">
      <alignment horizontal="right" vertical="center"/>
    </xf>
    <xf numFmtId="178" fontId="16" fillId="0" borderId="18" xfId="0" applyNumberFormat="1" applyFont="1" applyFill="1" applyBorder="1" applyAlignment="1">
      <alignment horizontal="right" vertical="center"/>
    </xf>
    <xf numFmtId="178" fontId="16" fillId="0" borderId="18" xfId="0" applyNumberFormat="1" applyFont="1" applyBorder="1" applyAlignment="1">
      <alignment horizontal="right" vertical="center"/>
    </xf>
    <xf numFmtId="178" fontId="78" fillId="0" borderId="91" xfId="0" applyNumberFormat="1" applyFont="1" applyBorder="1" applyAlignment="1">
      <alignment vertical="center"/>
    </xf>
    <xf numFmtId="178" fontId="78" fillId="0" borderId="133" xfId="0" applyNumberFormat="1" applyFont="1" applyBorder="1" applyAlignment="1">
      <alignment vertical="center"/>
    </xf>
    <xf numFmtId="178" fontId="78" fillId="0" borderId="128" xfId="0" applyNumberFormat="1" applyFont="1" applyBorder="1" applyAlignment="1">
      <alignment vertical="center"/>
    </xf>
    <xf numFmtId="178" fontId="78" fillId="0" borderId="113" xfId="0" applyNumberFormat="1" applyFont="1" applyBorder="1" applyAlignment="1">
      <alignment vertical="center"/>
    </xf>
    <xf numFmtId="178" fontId="78" fillId="0" borderId="116" xfId="0" applyNumberFormat="1" applyFont="1" applyBorder="1" applyAlignment="1">
      <alignment vertical="center"/>
    </xf>
    <xf numFmtId="178" fontId="59" fillId="0" borderId="20" xfId="0" applyNumberFormat="1" applyFont="1" applyFill="1" applyBorder="1" applyAlignment="1">
      <alignment horizontal="right" vertical="center"/>
    </xf>
    <xf numFmtId="178" fontId="16" fillId="0" borderId="20" xfId="0" applyNumberFormat="1" applyFont="1" applyFill="1" applyBorder="1" applyAlignment="1">
      <alignment horizontal="right" vertical="center"/>
    </xf>
    <xf numFmtId="178" fontId="59" fillId="0" borderId="91" xfId="0" applyNumberFormat="1" applyFont="1" applyBorder="1" applyAlignment="1">
      <alignment vertical="center"/>
    </xf>
    <xf numFmtId="178" fontId="59" fillId="0" borderId="133" xfId="0" applyNumberFormat="1" applyFont="1" applyBorder="1" applyAlignment="1">
      <alignment vertical="center"/>
    </xf>
    <xf numFmtId="178" fontId="59" fillId="0" borderId="128" xfId="0" applyNumberFormat="1" applyFont="1" applyBorder="1" applyAlignment="1">
      <alignment vertical="center"/>
    </xf>
    <xf numFmtId="178" fontId="59" fillId="0" borderId="113" xfId="0" applyNumberFormat="1" applyFont="1" applyBorder="1" applyAlignment="1">
      <alignment vertical="center"/>
    </xf>
    <xf numFmtId="178" fontId="59" fillId="0" borderId="116" xfId="0" applyNumberFormat="1" applyFont="1" applyBorder="1" applyAlignment="1">
      <alignment vertical="center"/>
    </xf>
    <xf numFmtId="178" fontId="16" fillId="0" borderId="91" xfId="0" applyNumberFormat="1" applyFont="1" applyBorder="1" applyAlignment="1">
      <alignment vertical="center"/>
    </xf>
    <xf numFmtId="178" fontId="16" fillId="0" borderId="133" xfId="0" applyNumberFormat="1" applyFont="1" applyBorder="1" applyAlignment="1">
      <alignment vertical="center"/>
    </xf>
    <xf numFmtId="178" fontId="16" fillId="0" borderId="128" xfId="0" applyNumberFormat="1" applyFont="1" applyBorder="1" applyAlignment="1">
      <alignment vertical="center"/>
    </xf>
    <xf numFmtId="178" fontId="16" fillId="0" borderId="113" xfId="0" applyNumberFormat="1" applyFont="1" applyBorder="1" applyAlignment="1">
      <alignment vertical="center"/>
    </xf>
    <xf numFmtId="178" fontId="16" fillId="0" borderId="116" xfId="0" applyNumberFormat="1" applyFont="1" applyBorder="1" applyAlignment="1">
      <alignment vertical="center"/>
    </xf>
    <xf numFmtId="178" fontId="59" fillId="0" borderId="94" xfId="0" applyNumberFormat="1" applyFont="1" applyBorder="1" applyAlignment="1">
      <alignment vertical="center"/>
    </xf>
    <xf numFmtId="178" fontId="59" fillId="0" borderId="136" xfId="0" applyNumberFormat="1" applyFont="1" applyBorder="1" applyAlignment="1">
      <alignment vertical="center"/>
    </xf>
    <xf numFmtId="178" fontId="59" fillId="0" borderId="127" xfId="0" applyNumberFormat="1" applyFont="1" applyBorder="1" applyAlignment="1">
      <alignment vertical="center"/>
    </xf>
    <xf numFmtId="178" fontId="59" fillId="0" borderId="88" xfId="0" applyNumberFormat="1" applyFont="1" applyFill="1" applyBorder="1" applyAlignment="1">
      <alignment horizontal="right" vertical="center"/>
    </xf>
    <xf numFmtId="178" fontId="59" fillId="0" borderId="98" xfId="0" applyNumberFormat="1" applyFont="1" applyBorder="1" applyAlignment="1">
      <alignment vertical="center"/>
    </xf>
    <xf numFmtId="178" fontId="59" fillId="0" borderId="114" xfId="0" applyNumberFormat="1" applyFont="1" applyBorder="1" applyAlignment="1">
      <alignment vertical="center"/>
    </xf>
    <xf numFmtId="178" fontId="59" fillId="0" borderId="23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horizontal="right" vertical="center"/>
    </xf>
    <xf numFmtId="178" fontId="59" fillId="0" borderId="114" xfId="0" applyNumberFormat="1" applyFont="1" applyBorder="1" applyAlignment="1">
      <alignment horizontal="right" vertical="center"/>
    </xf>
    <xf numFmtId="178" fontId="59" fillId="0" borderId="23" xfId="0" applyNumberFormat="1" applyFont="1" applyFill="1" applyBorder="1" applyAlignment="1">
      <alignment horizontal="right" vertical="center"/>
    </xf>
    <xf numFmtId="178" fontId="59" fillId="0" borderId="23" xfId="0" applyNumberFormat="1" applyFont="1" applyBorder="1" applyAlignment="1">
      <alignment horizontal="right" vertical="center"/>
    </xf>
    <xf numFmtId="178" fontId="59" fillId="0" borderId="116" xfId="0" applyNumberFormat="1" applyFont="1" applyFill="1" applyBorder="1" applyAlignment="1">
      <alignment horizontal="right" vertical="center"/>
    </xf>
    <xf numFmtId="178" fontId="16" fillId="0" borderId="137" xfId="0" applyNumberFormat="1" applyFont="1" applyFill="1" applyBorder="1" applyAlignment="1">
      <alignment horizontal="right" vertical="center"/>
    </xf>
    <xf numFmtId="178" fontId="16" fillId="0" borderId="138" xfId="0" applyNumberFormat="1" applyFont="1" applyFill="1" applyBorder="1" applyAlignment="1">
      <alignment horizontal="right" vertical="center"/>
    </xf>
    <xf numFmtId="178" fontId="59" fillId="0" borderId="113" xfId="0" applyNumberFormat="1" applyFont="1" applyBorder="1" applyAlignment="1">
      <alignment horizontal="right" vertical="center"/>
    </xf>
    <xf numFmtId="178" fontId="59" fillId="0" borderId="137" xfId="0" applyNumberFormat="1" applyFont="1" applyFill="1" applyBorder="1" applyAlignment="1">
      <alignment horizontal="right" vertical="center"/>
    </xf>
    <xf numFmtId="178" fontId="59" fillId="0" borderId="138" xfId="0" applyNumberFormat="1" applyFont="1" applyFill="1" applyBorder="1" applyAlignment="1">
      <alignment horizontal="right" vertical="center"/>
    </xf>
    <xf numFmtId="10" fontId="60" fillId="0" borderId="113" xfId="85" applyNumberFormat="1" applyFont="1" applyFill="1" applyBorder="1" applyAlignment="1">
      <alignment horizontal="right" vertical="center"/>
    </xf>
    <xf numFmtId="4" fontId="59" fillId="0" borderId="113" xfId="0" applyNumberFormat="1" applyFont="1" applyBorder="1" applyAlignment="1">
      <alignment horizontal="right" vertical="center"/>
    </xf>
    <xf numFmtId="178" fontId="16" fillId="0" borderId="116" xfId="0" applyNumberFormat="1" applyFont="1" applyFill="1" applyBorder="1" applyAlignment="1">
      <alignment horizontal="right" vertical="center"/>
    </xf>
    <xf numFmtId="178" fontId="16" fillId="0" borderId="113" xfId="0" applyNumberFormat="1" applyFont="1" applyBorder="1" applyAlignment="1">
      <alignment horizontal="right" vertical="center"/>
    </xf>
    <xf numFmtId="178" fontId="59" fillId="0" borderId="139" xfId="0" applyNumberFormat="1" applyFont="1" applyFill="1" applyBorder="1" applyAlignment="1">
      <alignment horizontal="right" vertical="center"/>
    </xf>
    <xf numFmtId="178" fontId="95" fillId="0" borderId="140" xfId="0" applyNumberFormat="1" applyFont="1" applyFill="1" applyBorder="1" applyAlignment="1">
      <alignment horizontal="right" vertical="center"/>
    </xf>
    <xf numFmtId="178" fontId="59" fillId="0" borderId="141" xfId="0" applyNumberFormat="1" applyFont="1" applyFill="1" applyBorder="1" applyAlignment="1">
      <alignment horizontal="right" vertical="center"/>
    </xf>
    <xf numFmtId="178" fontId="59" fillId="0" borderId="142" xfId="0" applyNumberFormat="1" applyFont="1" applyBorder="1" applyAlignment="1">
      <alignment horizontal="right" vertical="center"/>
    </xf>
    <xf numFmtId="178" fontId="59" fillId="0" borderId="116" xfId="0" applyNumberFormat="1" applyFont="1" applyBorder="1" applyAlignment="1">
      <alignment horizontal="right" vertical="center"/>
    </xf>
    <xf numFmtId="178" fontId="59" fillId="0" borderId="137" xfId="0" applyNumberFormat="1" applyFont="1" applyBorder="1" applyAlignment="1">
      <alignment horizontal="right" vertical="center"/>
    </xf>
    <xf numFmtId="178" fontId="59" fillId="0" borderId="141" xfId="0" applyNumberFormat="1" applyFont="1" applyBorder="1" applyAlignment="1">
      <alignment horizontal="right" vertical="center"/>
    </xf>
    <xf numFmtId="10" fontId="60" fillId="0" borderId="106" xfId="85" applyNumberFormat="1" applyFont="1" applyFill="1" applyBorder="1" applyAlignment="1">
      <alignment horizontal="right" vertical="center"/>
    </xf>
    <xf numFmtId="10" fontId="60" fillId="0" borderId="138" xfId="85" applyNumberFormat="1" applyFont="1" applyFill="1" applyBorder="1" applyAlignment="1">
      <alignment horizontal="right" vertical="center"/>
    </xf>
    <xf numFmtId="178" fontId="60" fillId="0" borderId="137" xfId="85" applyNumberFormat="1" applyFont="1" applyFill="1" applyBorder="1" applyAlignment="1">
      <alignment horizontal="right" vertical="center"/>
    </xf>
    <xf numFmtId="0" fontId="60" fillId="0" borderId="143" xfId="0" applyFont="1" applyBorder="1" applyAlignment="1">
      <alignment vertical="center" wrapText="1"/>
    </xf>
    <xf numFmtId="178" fontId="59" fillId="0" borderId="144" xfId="0" applyNumberFormat="1" applyFont="1" applyBorder="1" applyAlignment="1">
      <alignment vertical="center"/>
    </xf>
    <xf numFmtId="178" fontId="59" fillId="0" borderId="145" xfId="0" applyNumberFormat="1" applyFont="1" applyBorder="1" applyAlignment="1">
      <alignment vertical="center"/>
    </xf>
    <xf numFmtId="178" fontId="59" fillId="0" borderId="140" xfId="0" applyNumberFormat="1" applyFont="1" applyBorder="1" applyAlignment="1">
      <alignment vertical="center"/>
    </xf>
    <xf numFmtId="178" fontId="59" fillId="0" borderId="142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horizontal="right" vertical="center"/>
    </xf>
    <xf numFmtId="178" fontId="59" fillId="0" borderId="140" xfId="0" applyNumberFormat="1" applyFont="1" applyBorder="1" applyAlignment="1">
      <alignment horizontal="right" vertical="center"/>
    </xf>
    <xf numFmtId="178" fontId="59" fillId="0" borderId="142" xfId="0" applyNumberFormat="1" applyFont="1" applyFill="1" applyBorder="1" applyAlignment="1">
      <alignment horizontal="right" vertical="center"/>
    </xf>
    <xf numFmtId="178" fontId="59" fillId="0" borderId="13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horizontal="right" vertical="center"/>
    </xf>
    <xf numFmtId="178" fontId="59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59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0" fillId="0" borderId="73" xfId="0" applyFont="1" applyBorder="1" applyAlignment="1">
      <alignment vertical="center" wrapText="1"/>
    </xf>
    <xf numFmtId="0" fontId="60" fillId="0" borderId="106" xfId="0" applyFont="1" applyBorder="1" applyAlignment="1">
      <alignment vertical="center" wrapText="1"/>
    </xf>
    <xf numFmtId="0" fontId="60" fillId="0" borderId="42" xfId="0" applyFont="1" applyBorder="1" applyAlignment="1">
      <alignment vertical="center" wrapText="1"/>
    </xf>
    <xf numFmtId="178" fontId="59" fillId="0" borderId="30" xfId="0" applyNumberFormat="1" applyFont="1" applyBorder="1" applyAlignment="1">
      <alignment vertical="center"/>
    </xf>
    <xf numFmtId="178" fontId="59" fillId="0" borderId="148" xfId="0" applyNumberFormat="1" applyFont="1" applyBorder="1" applyAlignment="1">
      <alignment vertical="center"/>
    </xf>
    <xf numFmtId="178" fontId="59" fillId="0" borderId="100" xfId="0" applyNumberFormat="1" applyFont="1" applyBorder="1" applyAlignment="1">
      <alignment vertical="center"/>
    </xf>
    <xf numFmtId="178" fontId="59" fillId="0" borderId="16" xfId="0" applyNumberFormat="1" applyFont="1" applyBorder="1" applyAlignment="1">
      <alignment vertical="center"/>
    </xf>
    <xf numFmtId="178" fontId="59" fillId="0" borderId="18" xfId="0" applyNumberFormat="1" applyFont="1" applyBorder="1" applyAlignment="1">
      <alignment vertical="center"/>
    </xf>
    <xf numFmtId="178" fontId="59" fillId="0" borderId="27" xfId="0" applyNumberFormat="1" applyFont="1" applyBorder="1" applyAlignment="1">
      <alignment vertical="center"/>
    </xf>
    <xf numFmtId="178" fontId="59" fillId="0" borderId="138" xfId="0" applyNumberFormat="1" applyFont="1" applyBorder="1" applyAlignment="1">
      <alignment vertical="center"/>
    </xf>
    <xf numFmtId="178" fontId="59" fillId="0" borderId="105" xfId="0" applyNumberFormat="1" applyFont="1" applyBorder="1" applyAlignment="1">
      <alignment vertical="center"/>
    </xf>
    <xf numFmtId="178" fontId="59" fillId="0" borderId="30" xfId="0" applyNumberFormat="1" applyFont="1" applyBorder="1" applyAlignment="1">
      <alignment horizontal="right" vertical="center"/>
    </xf>
    <xf numFmtId="178" fontId="59" fillId="0" borderId="148" xfId="0" applyNumberFormat="1" applyFont="1" applyBorder="1" applyAlignment="1">
      <alignment horizontal="right" vertical="center"/>
    </xf>
    <xf numFmtId="178" fontId="59" fillId="0" borderId="100" xfId="0" applyNumberFormat="1" applyFont="1" applyBorder="1" applyAlignment="1">
      <alignment horizontal="right" vertical="center"/>
    </xf>
    <xf numFmtId="178" fontId="59" fillId="0" borderId="27" xfId="0" applyNumberFormat="1" applyFont="1" applyFill="1" applyBorder="1" applyAlignment="1">
      <alignment horizontal="right" vertical="center"/>
    </xf>
    <xf numFmtId="178" fontId="59" fillId="0" borderId="105" xfId="0" applyNumberFormat="1" applyFont="1" applyFill="1" applyBorder="1" applyAlignment="1">
      <alignment horizontal="right" vertical="center"/>
    </xf>
    <xf numFmtId="178" fontId="59" fillId="0" borderId="16" xfId="0" applyNumberFormat="1" applyFont="1" applyBorder="1" applyAlignment="1">
      <alignment horizontal="right" vertical="center"/>
    </xf>
    <xf numFmtId="178" fontId="59" fillId="0" borderId="18" xfId="0" applyNumberFormat="1" applyFont="1" applyBorder="1" applyAlignment="1">
      <alignment horizontal="right" vertical="center"/>
    </xf>
    <xf numFmtId="178" fontId="59" fillId="0" borderId="27" xfId="0" applyNumberFormat="1" applyFont="1" applyBorder="1" applyAlignment="1">
      <alignment horizontal="right" vertical="center"/>
    </xf>
    <xf numFmtId="178" fontId="59" fillId="0" borderId="138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 wrapText="1"/>
    </xf>
    <xf numFmtId="0" fontId="12" fillId="0" borderId="116" xfId="0" applyFont="1" applyBorder="1" applyAlignment="1">
      <alignment horizontal="left" vertical="center" wrapText="1"/>
    </xf>
    <xf numFmtId="0" fontId="12" fillId="0" borderId="140" xfId="0" applyFont="1" applyBorder="1" applyAlignment="1">
      <alignment horizontal="center" vertical="center" wrapText="1"/>
    </xf>
    <xf numFmtId="169" fontId="13" fillId="0" borderId="137" xfId="0" applyNumberFormat="1" applyFont="1" applyBorder="1" applyAlignment="1">
      <alignment horizontal="center"/>
    </xf>
    <xf numFmtId="178" fontId="16" fillId="0" borderId="30" xfId="0" applyNumberFormat="1" applyFont="1" applyFill="1" applyBorder="1" applyAlignment="1">
      <alignment horizontal="right" vertical="center"/>
    </xf>
    <xf numFmtId="178" fontId="59" fillId="0" borderId="148" xfId="0" applyNumberFormat="1" applyFont="1" applyFill="1" applyBorder="1" applyAlignment="1">
      <alignment horizontal="right" vertical="center"/>
    </xf>
    <xf numFmtId="10" fontId="60" fillId="0" borderId="149" xfId="85" applyNumberFormat="1" applyFont="1" applyFill="1" applyBorder="1" applyAlignment="1">
      <alignment horizontal="right" vertical="center"/>
    </xf>
    <xf numFmtId="178" fontId="16" fillId="0" borderId="148" xfId="0" applyNumberFormat="1" applyFont="1" applyFill="1" applyBorder="1" applyAlignment="1">
      <alignment horizontal="right" vertical="center"/>
    </xf>
    <xf numFmtId="10" fontId="60" fillId="0" borderId="137" xfId="85" applyNumberFormat="1" applyFont="1" applyBorder="1" applyAlignment="1">
      <alignment horizontal="right" vertical="center"/>
    </xf>
    <xf numFmtId="178" fontId="59" fillId="0" borderId="144" xfId="0" applyNumberFormat="1" applyFont="1" applyFill="1" applyBorder="1" applyAlignment="1">
      <alignment horizontal="right" vertical="center"/>
    </xf>
    <xf numFmtId="178" fontId="59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0" fillId="0" borderId="116" xfId="85" applyNumberFormat="1" applyFont="1" applyBorder="1" applyAlignment="1">
      <alignment horizontal="right" vertical="center"/>
    </xf>
    <xf numFmtId="178" fontId="59" fillId="0" borderId="98" xfId="0" applyNumberFormat="1" applyFont="1" applyBorder="1" applyAlignment="1">
      <alignment horizontal="right" vertical="center"/>
    </xf>
    <xf numFmtId="178" fontId="59" fillId="0" borderId="106" xfId="0" applyNumberFormat="1" applyFont="1" applyBorder="1" applyAlignment="1">
      <alignment horizontal="right" vertical="center"/>
    </xf>
    <xf numFmtId="10" fontId="60" fillId="0" borderId="138" xfId="85" applyNumberFormat="1" applyFont="1" applyBorder="1" applyAlignment="1">
      <alignment horizontal="right" vertical="center"/>
    </xf>
    <xf numFmtId="10" fontId="60" fillId="0" borderId="148" xfId="85" applyNumberFormat="1" applyFont="1" applyFill="1" applyBorder="1" applyAlignment="1">
      <alignment horizontal="right" vertical="center"/>
    </xf>
    <xf numFmtId="4" fontId="60" fillId="0" borderId="148" xfId="0" applyNumberFormat="1" applyFont="1" applyFill="1" applyBorder="1" applyAlignment="1">
      <alignment horizontal="right" vertical="center" wrapText="1"/>
    </xf>
    <xf numFmtId="10" fontId="60" fillId="0" borderId="113" xfId="85" applyNumberFormat="1" applyFont="1" applyBorder="1" applyAlignment="1">
      <alignment horizontal="right" vertical="center"/>
    </xf>
    <xf numFmtId="178" fontId="16" fillId="0" borderId="116" xfId="0" applyNumberFormat="1" applyFont="1" applyBorder="1" applyAlignment="1">
      <alignment horizontal="right" vertical="center"/>
    </xf>
    <xf numFmtId="178" fontId="79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4" fontId="60" fillId="0" borderId="138" xfId="0" applyNumberFormat="1" applyFont="1" applyBorder="1" applyAlignment="1">
      <alignment horizontal="right" vertical="center"/>
    </xf>
    <xf numFmtId="178" fontId="79" fillId="0" borderId="138" xfId="0" applyNumberFormat="1" applyFont="1" applyBorder="1" applyAlignment="1">
      <alignment horizontal="right" vertical="center"/>
    </xf>
    <xf numFmtId="178" fontId="16" fillId="0" borderId="71" xfId="0" applyNumberFormat="1" applyFont="1" applyBorder="1" applyAlignment="1">
      <alignment horizontal="right" vertical="center"/>
    </xf>
    <xf numFmtId="178" fontId="59" fillId="0" borderId="149" xfId="0" applyNumberFormat="1" applyFont="1" applyBorder="1" applyAlignment="1">
      <alignment horizontal="right" vertical="center"/>
    </xf>
    <xf numFmtId="10" fontId="60" fillId="0" borderId="149" xfId="85" applyNumberFormat="1" applyFont="1" applyBorder="1" applyAlignment="1">
      <alignment horizontal="right" vertical="center"/>
    </xf>
    <xf numFmtId="178" fontId="16" fillId="0" borderId="149" xfId="0" applyNumberFormat="1" applyFont="1" applyBorder="1" applyAlignment="1">
      <alignment horizontal="right" vertical="center"/>
    </xf>
    <xf numFmtId="178" fontId="16" fillId="0" borderId="138" xfId="0" applyNumberFormat="1" applyFont="1" applyBorder="1" applyAlignment="1">
      <alignment horizontal="right" vertical="center"/>
    </xf>
    <xf numFmtId="178" fontId="59" fillId="0" borderId="113" xfId="0" applyNumberFormat="1" applyFont="1" applyFill="1" applyBorder="1" applyAlignment="1">
      <alignment horizontal="right" vertical="center"/>
    </xf>
    <xf numFmtId="178" fontId="16" fillId="0" borderId="137" xfId="0" applyNumberFormat="1" applyFont="1" applyBorder="1" applyAlignment="1">
      <alignment horizontal="right" vertical="center"/>
    </xf>
    <xf numFmtId="178" fontId="16" fillId="0" borderId="113" xfId="0" applyNumberFormat="1" applyFont="1" applyFill="1" applyBorder="1" applyAlignment="1">
      <alignment horizontal="right" vertical="center"/>
    </xf>
    <xf numFmtId="178" fontId="78" fillId="0" borderId="27" xfId="0" applyNumberFormat="1" applyFont="1" applyBorder="1" applyAlignment="1">
      <alignment vertical="center"/>
    </xf>
    <xf numFmtId="178" fontId="78" fillId="0" borderId="138" xfId="0" applyNumberFormat="1" applyFont="1" applyBorder="1" applyAlignment="1">
      <alignment vertical="center"/>
    </xf>
    <xf numFmtId="0" fontId="60" fillId="0" borderId="138" xfId="0" applyFont="1" applyBorder="1" applyAlignment="1">
      <alignment vertical="center"/>
    </xf>
    <xf numFmtId="178" fontId="16" fillId="0" borderId="138" xfId="0" applyNumberFormat="1" applyFont="1" applyBorder="1" applyAlignment="1">
      <alignment vertical="center"/>
    </xf>
    <xf numFmtId="178" fontId="59" fillId="0" borderId="141" xfId="0" applyNumberFormat="1" applyFont="1" applyBorder="1" applyAlignment="1">
      <alignment vertical="center"/>
    </xf>
    <xf numFmtId="178" fontId="16" fillId="0" borderId="30" xfId="0" applyNumberFormat="1" applyFont="1" applyBorder="1" applyAlignment="1">
      <alignment horizontal="right" vertical="center"/>
    </xf>
    <xf numFmtId="10" fontId="60" fillId="0" borderId="148" xfId="85" applyNumberFormat="1" applyFont="1" applyBorder="1" applyAlignment="1">
      <alignment horizontal="right" vertical="center"/>
    </xf>
    <xf numFmtId="178" fontId="16" fillId="0" borderId="148" xfId="0" applyNumberFormat="1" applyFont="1" applyBorder="1" applyAlignment="1">
      <alignment horizontal="right" vertical="center"/>
    </xf>
    <xf numFmtId="178" fontId="59" fillId="0" borderId="144" xfId="0" applyNumberFormat="1" applyFont="1" applyBorder="1" applyAlignment="1">
      <alignment horizontal="right" vertical="center"/>
    </xf>
    <xf numFmtId="178" fontId="78" fillId="0" borderId="149" xfId="0" applyNumberFormat="1" applyFont="1" applyBorder="1" applyAlignment="1">
      <alignment vertical="center"/>
    </xf>
    <xf numFmtId="178" fontId="78" fillId="0" borderId="137" xfId="0" applyNumberFormat="1" applyFont="1" applyBorder="1" applyAlignment="1">
      <alignment vertical="center"/>
    </xf>
    <xf numFmtId="178" fontId="59" fillId="0" borderId="149" xfId="0" applyNumberFormat="1" applyFont="1" applyBorder="1" applyAlignment="1">
      <alignment vertical="center"/>
    </xf>
    <xf numFmtId="178" fontId="16" fillId="0" borderId="149" xfId="0" applyNumberFormat="1" applyFont="1" applyBorder="1" applyAlignment="1">
      <alignment vertical="center"/>
    </xf>
    <xf numFmtId="178" fontId="16" fillId="0" borderId="137" xfId="0" applyNumberFormat="1" applyFont="1" applyBorder="1" applyAlignment="1">
      <alignment vertical="center"/>
    </xf>
    <xf numFmtId="0" fontId="60" fillId="0" borderId="149" xfId="0" applyFont="1" applyBorder="1" applyAlignment="1">
      <alignment vertical="center"/>
    </xf>
    <xf numFmtId="10" fontId="16" fillId="0" borderId="113" xfId="85" applyNumberFormat="1" applyFont="1" applyBorder="1" applyAlignment="1">
      <alignment horizontal="right" vertical="center"/>
    </xf>
    <xf numFmtId="178" fontId="59" fillId="0" borderId="73" xfId="0" applyNumberFormat="1" applyFont="1" applyBorder="1" applyAlignment="1">
      <alignment horizontal="right" vertical="center"/>
    </xf>
    <xf numFmtId="178" fontId="59" fillId="0" borderId="42" xfId="0" applyNumberFormat="1" applyFont="1" applyBorder="1" applyAlignment="1">
      <alignment horizontal="right" vertical="center"/>
    </xf>
    <xf numFmtId="178" fontId="79" fillId="0" borderId="137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0" fontId="16" fillId="0" borderId="117" xfId="0" applyFont="1" applyBorder="1" applyAlignment="1">
      <alignment vertical="center" wrapText="1"/>
    </xf>
    <xf numFmtId="0" fontId="59" fillId="0" borderId="117" xfId="0" applyFont="1" applyBorder="1" applyAlignment="1">
      <alignment vertical="center" wrapText="1"/>
    </xf>
    <xf numFmtId="178" fontId="59" fillId="0" borderId="100" xfId="0" applyNumberFormat="1" applyFont="1" applyFill="1" applyBorder="1" applyAlignment="1">
      <alignment horizontal="right" vertical="center"/>
    </xf>
    <xf numFmtId="178" fontId="16" fillId="0" borderId="27" xfId="0" applyNumberFormat="1" applyFont="1" applyFill="1" applyBorder="1" applyAlignment="1">
      <alignment horizontal="right"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2" fillId="0" borderId="152" xfId="0" applyFont="1" applyBorder="1" applyAlignment="1">
      <alignment horizontal="center" vertical="center" wrapText="1"/>
    </xf>
    <xf numFmtId="169" fontId="13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2" fontId="59" fillId="0" borderId="0" xfId="0" applyNumberFormat="1" applyFont="1"/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59" fillId="0" borderId="117" xfId="0" applyNumberFormat="1" applyFont="1" applyBorder="1" applyAlignment="1">
      <alignment vertical="center"/>
    </xf>
    <xf numFmtId="0" fontId="78" fillId="0" borderId="157" xfId="0" applyFont="1" applyBorder="1" applyAlignment="1">
      <alignment vertical="center"/>
    </xf>
    <xf numFmtId="0" fontId="78" fillId="0" borderId="155" xfId="0" applyFont="1" applyBorder="1" applyAlignment="1">
      <alignment vertical="center"/>
    </xf>
    <xf numFmtId="0" fontId="78" fillId="0" borderId="156" xfId="0" applyFont="1" applyBorder="1" applyAlignment="1">
      <alignment vertical="center"/>
    </xf>
    <xf numFmtId="168" fontId="59" fillId="0" borderId="116" xfId="0" applyNumberFormat="1" applyFont="1" applyBorder="1" applyAlignment="1">
      <alignment horizontal="center" vertical="center"/>
    </xf>
    <xf numFmtId="169" fontId="59" fillId="0" borderId="155" xfId="0" applyNumberFormat="1" applyFont="1" applyBorder="1" applyAlignment="1">
      <alignment horizontal="center" vertical="center"/>
    </xf>
    <xf numFmtId="0" fontId="59" fillId="0" borderId="155" xfId="0" applyFont="1" applyBorder="1" applyAlignment="1">
      <alignment horizontal="center" vertical="center"/>
    </xf>
    <xf numFmtId="168" fontId="59" fillId="0" borderId="155" xfId="0" applyNumberFormat="1" applyFont="1" applyBorder="1" applyAlignment="1">
      <alignment horizontal="center" vertical="center"/>
    </xf>
    <xf numFmtId="4" fontId="59" fillId="0" borderId="155" xfId="0" applyNumberFormat="1" applyFont="1" applyBorder="1" applyAlignment="1">
      <alignment horizontal="center" vertical="center"/>
    </xf>
    <xf numFmtId="1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Fill="1" applyBorder="1" applyAlignment="1">
      <alignment horizontal="center" vertical="center"/>
    </xf>
    <xf numFmtId="4" fontId="59" fillId="0" borderId="155" xfId="0" applyNumberFormat="1" applyFont="1" applyFill="1" applyBorder="1" applyAlignment="1">
      <alignment horizontal="center" vertical="center"/>
    </xf>
    <xf numFmtId="4" fontId="59" fillId="0" borderId="113" xfId="0" applyNumberFormat="1" applyFont="1" applyFill="1" applyBorder="1" applyAlignment="1">
      <alignment horizontal="center" vertical="center"/>
    </xf>
    <xf numFmtId="168" fontId="59" fillId="0" borderId="116" xfId="0" applyNumberFormat="1" applyFont="1" applyFill="1" applyBorder="1" applyAlignment="1">
      <alignment horizontal="center" vertical="center"/>
    </xf>
    <xf numFmtId="10" fontId="59" fillId="0" borderId="155" xfId="0" applyNumberFormat="1" applyFont="1" applyFill="1" applyBorder="1" applyAlignment="1">
      <alignment horizontal="center" vertical="center"/>
    </xf>
    <xf numFmtId="2" fontId="59" fillId="0" borderId="113" xfId="0" applyNumberFormat="1" applyFont="1" applyBorder="1" applyAlignment="1">
      <alignment horizontal="center" vertical="center"/>
    </xf>
    <xf numFmtId="168" fontId="95" fillId="0" borderId="101" xfId="0" applyNumberFormat="1" applyFont="1" applyBorder="1" applyAlignment="1">
      <alignment horizontal="center" vertical="center"/>
    </xf>
    <xf numFmtId="168" fontId="95" fillId="0" borderId="95" xfId="0" applyNumberFormat="1" applyFont="1" applyBorder="1" applyAlignment="1">
      <alignment horizontal="center" vertical="center"/>
    </xf>
    <xf numFmtId="0" fontId="80" fillId="0" borderId="117" xfId="0" applyFont="1" applyBorder="1" applyAlignment="1">
      <alignment vertical="center" wrapText="1"/>
    </xf>
    <xf numFmtId="0" fontId="80" fillId="32" borderId="116" xfId="0" applyFont="1" applyFill="1" applyBorder="1" applyAlignment="1">
      <alignment horizontal="center" vertical="center"/>
    </xf>
    <xf numFmtId="168" fontId="80" fillId="32" borderId="155" xfId="0" applyNumberFormat="1" applyFont="1" applyFill="1" applyBorder="1" applyAlignment="1">
      <alignment horizontal="center" vertical="center"/>
    </xf>
    <xf numFmtId="3" fontId="80" fillId="32" borderId="155" xfId="0" applyNumberFormat="1" applyFont="1" applyFill="1" applyBorder="1" applyAlignment="1">
      <alignment horizontal="center" vertical="center"/>
    </xf>
    <xf numFmtId="169" fontId="81" fillId="32" borderId="155" xfId="0" applyNumberFormat="1" applyFont="1" applyFill="1" applyBorder="1" applyAlignment="1">
      <alignment horizontal="center" vertical="center"/>
    </xf>
    <xf numFmtId="4" fontId="80" fillId="32" borderId="155" xfId="0" applyNumberFormat="1" applyFont="1" applyFill="1" applyBorder="1" applyAlignment="1">
      <alignment horizontal="center" vertical="center"/>
    </xf>
    <xf numFmtId="2" fontId="80" fillId="27" borderId="155" xfId="0" applyNumberFormat="1" applyFont="1" applyFill="1" applyBorder="1" applyAlignment="1">
      <alignment horizontal="center" vertical="center"/>
    </xf>
    <xf numFmtId="174" fontId="80" fillId="27" borderId="155" xfId="0" applyNumberFormat="1" applyFont="1" applyFill="1" applyBorder="1" applyAlignment="1">
      <alignment horizontal="center" vertical="center"/>
    </xf>
    <xf numFmtId="4" fontId="80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0" fillId="27" borderId="113" xfId="0" applyNumberFormat="1" applyFont="1" applyFill="1" applyBorder="1" applyAlignment="1">
      <alignment horizontal="center" vertical="center"/>
    </xf>
    <xf numFmtId="2" fontId="80" fillId="28" borderId="155" xfId="0" applyNumberFormat="1" applyFont="1" applyFill="1" applyBorder="1" applyAlignment="1">
      <alignment horizontal="center" vertical="center"/>
    </xf>
    <xf numFmtId="174" fontId="81" fillId="28" borderId="155" xfId="0" applyNumberFormat="1" applyFont="1" applyFill="1" applyBorder="1" applyAlignment="1">
      <alignment horizontal="center" vertical="center"/>
    </xf>
    <xf numFmtId="4" fontId="80" fillId="28" borderId="155" xfId="0" applyNumberFormat="1" applyFont="1" applyFill="1" applyBorder="1" applyAlignment="1">
      <alignment horizontal="center" vertical="center"/>
    </xf>
    <xf numFmtId="4" fontId="80" fillId="28" borderId="113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0" fontId="80" fillId="26" borderId="116" xfId="0" applyFont="1" applyFill="1" applyBorder="1" applyAlignment="1">
      <alignment horizontal="center" vertical="center"/>
    </xf>
    <xf numFmtId="168" fontId="80" fillId="26" borderId="155" xfId="0" applyNumberFormat="1" applyFont="1" applyFill="1" applyBorder="1" applyAlignment="1">
      <alignment horizontal="center" vertical="center"/>
    </xf>
    <xf numFmtId="3" fontId="80" fillId="26" borderId="155" xfId="0" applyNumberFormat="1" applyFont="1" applyFill="1" applyBorder="1" applyAlignment="1">
      <alignment horizontal="center" vertical="center"/>
    </xf>
    <xf numFmtId="171" fontId="81" fillId="26" borderId="155" xfId="85" applyNumberFormat="1" applyFont="1" applyFill="1" applyBorder="1" applyAlignment="1">
      <alignment horizontal="center" vertical="center"/>
    </xf>
    <xf numFmtId="4" fontId="80" fillId="26" borderId="156" xfId="0" applyNumberFormat="1" applyFont="1" applyFill="1" applyBorder="1" applyAlignment="1">
      <alignment horizontal="center" vertical="center"/>
    </xf>
    <xf numFmtId="2" fontId="80" fillId="27" borderId="116" xfId="0" applyNumberFormat="1" applyFont="1" applyFill="1" applyBorder="1" applyAlignment="1">
      <alignment horizontal="center" vertical="center"/>
    </xf>
    <xf numFmtId="10" fontId="81" fillId="27" borderId="155" xfId="85" applyNumberFormat="1" applyFont="1" applyFill="1" applyBorder="1" applyAlignment="1">
      <alignment horizontal="center" vertical="center"/>
    </xf>
    <xf numFmtId="0" fontId="47" fillId="0" borderId="0" xfId="96" applyFont="1"/>
    <xf numFmtId="0" fontId="47" fillId="35" borderId="0" xfId="96" applyFont="1" applyFill="1"/>
    <xf numFmtId="0" fontId="47" fillId="36" borderId="0" xfId="96" applyFont="1" applyFill="1"/>
    <xf numFmtId="0" fontId="47" fillId="29" borderId="0" xfId="96" applyFont="1" applyFill="1"/>
    <xf numFmtId="0" fontId="47" fillId="37" borderId="0" xfId="96" applyFont="1" applyFill="1"/>
    <xf numFmtId="0" fontId="13" fillId="38" borderId="0" xfId="96" applyFont="1" applyFill="1"/>
    <xf numFmtId="0" fontId="96" fillId="35" borderId="0" xfId="96" applyFont="1" applyFill="1"/>
    <xf numFmtId="0" fontId="47" fillId="0" borderId="0" xfId="96" applyFont="1" applyAlignment="1">
      <alignment wrapText="1"/>
    </xf>
    <xf numFmtId="0" fontId="50" fillId="39" borderId="155" xfId="96" applyFont="1" applyFill="1" applyBorder="1" applyAlignment="1">
      <alignment horizontal="center"/>
    </xf>
    <xf numFmtId="0" fontId="15" fillId="39" borderId="155" xfId="96" applyFont="1" applyFill="1" applyBorder="1" applyAlignment="1">
      <alignment horizontal="left" vertical="center" wrapText="1"/>
    </xf>
    <xf numFmtId="0" fontId="47" fillId="39" borderId="155" xfId="96" applyFont="1" applyFill="1" applyBorder="1"/>
    <xf numFmtId="0" fontId="15" fillId="39" borderId="155" xfId="96" applyFont="1" applyFill="1" applyBorder="1" applyAlignment="1">
      <alignment horizontal="left" vertical="center" wrapText="1" indent="3"/>
    </xf>
    <xf numFmtId="0" fontId="15" fillId="39" borderId="155" xfId="96" applyFont="1" applyFill="1" applyBorder="1" applyAlignment="1">
      <alignment horizontal="center" vertical="center" wrapText="1"/>
    </xf>
    <xf numFmtId="0" fontId="47" fillId="39" borderId="155" xfId="96" applyFont="1" applyFill="1" applyBorder="1" applyAlignment="1">
      <alignment horizontal="center"/>
    </xf>
    <xf numFmtId="0" fontId="47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171" fontId="102" fillId="0" borderId="0" xfId="85" applyNumberFormat="1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60" xfId="0" applyFont="1" applyBorder="1" applyAlignment="1">
      <alignment horizontal="center" vertical="center" wrapText="1"/>
    </xf>
    <xf numFmtId="169" fontId="13" fillId="0" borderId="161" xfId="0" applyNumberFormat="1" applyFont="1" applyBorder="1" applyAlignment="1">
      <alignment horizontal="center"/>
    </xf>
    <xf numFmtId="169" fontId="13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59" fillId="0" borderId="167" xfId="0" applyNumberFormat="1" applyFont="1" applyBorder="1" applyAlignment="1">
      <alignment horizontal="center" vertical="center"/>
    </xf>
    <xf numFmtId="4" fontId="59" fillId="0" borderId="167" xfId="0" applyNumberFormat="1" applyFont="1" applyBorder="1" applyAlignment="1">
      <alignment horizontal="center" vertical="center"/>
    </xf>
    <xf numFmtId="0" fontId="59" fillId="0" borderId="167" xfId="0" applyFont="1" applyBorder="1" applyAlignment="1">
      <alignment horizontal="center" vertical="center"/>
    </xf>
    <xf numFmtId="10" fontId="49" fillId="0" borderId="0" xfId="85" applyNumberFormat="1" applyFont="1"/>
    <xf numFmtId="0" fontId="5" fillId="0" borderId="0" xfId="147"/>
    <xf numFmtId="0" fontId="105" fillId="0" borderId="167" xfId="147" applyFont="1" applyBorder="1" applyAlignment="1">
      <alignment horizontal="center" wrapText="1"/>
    </xf>
    <xf numFmtId="0" fontId="105" fillId="0" borderId="167" xfId="147" applyFont="1" applyBorder="1" applyAlignment="1">
      <alignment horizontal="center"/>
    </xf>
    <xf numFmtId="0" fontId="105" fillId="0" borderId="167" xfId="147" applyFont="1" applyBorder="1" applyAlignment="1">
      <alignment wrapText="1"/>
    </xf>
    <xf numFmtId="0" fontId="54" fillId="0" borderId="80" xfId="147" applyFont="1" applyBorder="1" applyAlignment="1">
      <alignment horizontal="center" vertical="center" wrapText="1"/>
    </xf>
    <xf numFmtId="0" fontId="54" fillId="0" borderId="77" xfId="147" applyFont="1" applyBorder="1" applyAlignment="1">
      <alignment horizontal="center" vertical="center" wrapText="1"/>
    </xf>
    <xf numFmtId="0" fontId="54" fillId="0" borderId="75" xfId="147" applyFont="1" applyBorder="1" applyAlignment="1">
      <alignment horizontal="center" vertical="center" wrapText="1"/>
    </xf>
    <xf numFmtId="1" fontId="54" fillId="0" borderId="40" xfId="147" applyNumberFormat="1" applyFont="1" applyBorder="1" applyAlignment="1">
      <alignment horizontal="center" vertical="center" wrapText="1"/>
    </xf>
    <xf numFmtId="4" fontId="54" fillId="0" borderId="35" xfId="147" applyNumberFormat="1" applyFont="1" applyFill="1" applyBorder="1" applyAlignment="1">
      <alignment horizontal="center" vertical="center" wrapText="1"/>
    </xf>
    <xf numFmtId="1" fontId="54" fillId="0" borderId="40" xfId="147" applyNumberFormat="1" applyFont="1" applyFill="1" applyBorder="1" applyAlignment="1">
      <alignment horizontal="center" vertical="center" wrapText="1"/>
    </xf>
    <xf numFmtId="4" fontId="54" fillId="0" borderId="38" xfId="147" applyNumberFormat="1" applyFont="1" applyFill="1" applyBorder="1" applyAlignment="1">
      <alignment horizontal="center" vertical="center" wrapText="1"/>
    </xf>
    <xf numFmtId="4" fontId="54" fillId="0" borderId="4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Fill="1" applyBorder="1" applyAlignment="1">
      <alignment horizontal="center" vertical="center" wrapText="1"/>
    </xf>
    <xf numFmtId="178" fontId="54" fillId="0" borderId="171" xfId="147" applyNumberFormat="1" applyFont="1" applyFill="1" applyBorder="1" applyAlignment="1">
      <alignment horizontal="center" vertical="center" wrapText="1"/>
    </xf>
    <xf numFmtId="4" fontId="54" fillId="0" borderId="17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Fill="1" applyBorder="1" applyAlignment="1">
      <alignment horizontal="center" vertical="center" wrapText="1"/>
    </xf>
    <xf numFmtId="1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Border="1" applyAlignment="1">
      <alignment horizontal="center" vertical="center" wrapText="1"/>
    </xf>
    <xf numFmtId="4" fontId="54" fillId="0" borderId="170" xfId="147" applyNumberFormat="1" applyFont="1" applyBorder="1" applyAlignment="1">
      <alignment horizontal="center" vertical="center" wrapText="1"/>
    </xf>
    <xf numFmtId="171" fontId="54" fillId="0" borderId="139" xfId="147" applyNumberFormat="1" applyFont="1" applyFill="1" applyBorder="1" applyAlignment="1">
      <alignment horizontal="center" vertical="center" wrapText="1"/>
    </xf>
    <xf numFmtId="4" fontId="54" fillId="0" borderId="142" xfId="147" applyNumberFormat="1" applyFont="1" applyBorder="1" applyAlignment="1">
      <alignment horizontal="center" vertical="center" wrapText="1"/>
    </xf>
    <xf numFmtId="9" fontId="54" fillId="0" borderId="171" xfId="147" applyNumberFormat="1" applyFont="1" applyBorder="1" applyAlignment="1">
      <alignment horizontal="center" vertical="center" wrapText="1"/>
    </xf>
    <xf numFmtId="9" fontId="54" fillId="0" borderId="146" xfId="147" applyNumberFormat="1" applyFont="1" applyBorder="1" applyAlignment="1">
      <alignment horizontal="center" vertical="center" wrapText="1"/>
    </xf>
    <xf numFmtId="3" fontId="53" fillId="42" borderId="52" xfId="147" applyNumberFormat="1" applyFont="1" applyFill="1" applyBorder="1" applyAlignment="1">
      <alignment horizontal="center" vertical="center" wrapText="1"/>
    </xf>
    <xf numFmtId="4" fontId="53" fillId="42" borderId="77" xfId="147" applyNumberFormat="1" applyFont="1" applyFill="1" applyBorder="1" applyAlignment="1">
      <alignment horizontal="center" vertical="center" wrapText="1"/>
    </xf>
    <xf numFmtId="0" fontId="12" fillId="0" borderId="0" xfId="147" applyFont="1"/>
    <xf numFmtId="0" fontId="12" fillId="0" borderId="167" xfId="147" applyFont="1" applyBorder="1" applyAlignment="1">
      <alignment horizontal="center"/>
    </xf>
    <xf numFmtId="168" fontId="12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6" fillId="0" borderId="173" xfId="85" applyNumberFormat="1" applyFont="1" applyFill="1" applyBorder="1" applyAlignment="1">
      <alignment vertical="center"/>
    </xf>
    <xf numFmtId="10" fontId="16" fillId="0" borderId="0" xfId="85" applyNumberFormat="1" applyFont="1" applyFill="1" applyBorder="1" applyAlignment="1">
      <alignment vertical="center"/>
    </xf>
    <xf numFmtId="0" fontId="106" fillId="0" borderId="0" xfId="147" applyFont="1"/>
    <xf numFmtId="0" fontId="107" fillId="0" borderId="0" xfId="147" applyFont="1"/>
    <xf numFmtId="0" fontId="108" fillId="0" borderId="0" xfId="147" applyFont="1"/>
    <xf numFmtId="0" fontId="108" fillId="0" borderId="174" xfId="147" applyFont="1" applyBorder="1"/>
    <xf numFmtId="0" fontId="108" fillId="0" borderId="11" xfId="147" applyFont="1" applyBorder="1"/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Border="1" applyAlignment="1">
      <alignment horizontal="center"/>
    </xf>
    <xf numFmtId="0" fontId="107" fillId="0" borderId="61" xfId="147" applyFont="1" applyFill="1" applyBorder="1"/>
    <xf numFmtId="0" fontId="108" fillId="0" borderId="0" xfId="147" applyFont="1" applyAlignment="1">
      <alignment horizontal="center"/>
    </xf>
    <xf numFmtId="0" fontId="108" fillId="0" borderId="167" xfId="147" applyFont="1" applyBorder="1" applyAlignment="1">
      <alignment horizontal="right"/>
    </xf>
    <xf numFmtId="0" fontId="107" fillId="0" borderId="167" xfId="147" applyFont="1" applyFill="1" applyBorder="1"/>
    <xf numFmtId="0" fontId="5" fillId="0" borderId="167" xfId="147" applyBorder="1"/>
    <xf numFmtId="0" fontId="107" fillId="0" borderId="167" xfId="147" applyFont="1" applyFill="1" applyBorder="1" applyAlignment="1">
      <alignment horizontal="center"/>
    </xf>
    <xf numFmtId="0" fontId="106" fillId="0" borderId="167" xfId="147" applyFont="1" applyBorder="1"/>
    <xf numFmtId="0" fontId="106" fillId="0" borderId="167" xfId="147" applyFont="1" applyFill="1" applyBorder="1"/>
    <xf numFmtId="0" fontId="109" fillId="0" borderId="167" xfId="147" applyFont="1" applyBorder="1"/>
    <xf numFmtId="0" fontId="108" fillId="0" borderId="167" xfId="147" applyFont="1" applyFill="1" applyBorder="1"/>
    <xf numFmtId="0" fontId="108" fillId="0" borderId="167" xfId="147" applyFont="1" applyFill="1" applyBorder="1" applyAlignment="1">
      <alignment horizontal="center"/>
    </xf>
    <xf numFmtId="0" fontId="110" fillId="0" borderId="167" xfId="147" applyFont="1" applyFill="1" applyBorder="1"/>
    <xf numFmtId="0" fontId="110" fillId="0" borderId="167" xfId="147" applyFont="1" applyBorder="1"/>
    <xf numFmtId="169" fontId="110" fillId="0" borderId="167" xfId="147" applyNumberFormat="1" applyFont="1" applyBorder="1"/>
    <xf numFmtId="0" fontId="109" fillId="0" borderId="167" xfId="147" applyFont="1" applyFill="1" applyBorder="1"/>
    <xf numFmtId="0" fontId="103" fillId="0" borderId="167" xfId="147" applyFont="1" applyBorder="1"/>
    <xf numFmtId="0" fontId="108" fillId="0" borderId="167" xfId="147" applyFont="1" applyBorder="1" applyAlignment="1">
      <alignment horizontal="left"/>
    </xf>
    <xf numFmtId="0" fontId="107" fillId="0" borderId="167" xfId="147" applyFont="1" applyBorder="1" applyAlignment="1">
      <alignment horizontal="left"/>
    </xf>
    <xf numFmtId="0" fontId="5" fillId="0" borderId="167" xfId="147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Fill="1" applyBorder="1"/>
    <xf numFmtId="0" fontId="111" fillId="0" borderId="167" xfId="147" applyFont="1" applyBorder="1"/>
    <xf numFmtId="0" fontId="109" fillId="0" borderId="167" xfId="147" applyFont="1" applyFill="1" applyBorder="1" applyAlignment="1">
      <alignment horizontal="left"/>
    </xf>
    <xf numFmtId="0" fontId="108" fillId="0" borderId="174" xfId="147" applyFont="1" applyBorder="1" applyAlignment="1">
      <alignment horizontal="center"/>
    </xf>
    <xf numFmtId="0" fontId="108" fillId="0" borderId="11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9" fillId="0" borderId="167" xfId="147" applyFont="1" applyBorder="1" applyAlignment="1">
      <alignment horizontal="center"/>
    </xf>
    <xf numFmtId="0" fontId="103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9" fillId="0" borderId="167" xfId="147" applyFont="1" applyBorder="1" applyAlignment="1">
      <alignment horizontal="center" wrapText="1"/>
    </xf>
    <xf numFmtId="0" fontId="112" fillId="0" borderId="167" xfId="147" applyFont="1" applyFill="1" applyBorder="1"/>
    <xf numFmtId="0" fontId="109" fillId="0" borderId="167" xfId="147" applyFont="1" applyBorder="1" applyAlignment="1">
      <alignment horizontal="left" wrapText="1"/>
    </xf>
    <xf numFmtId="0" fontId="109" fillId="0" borderId="167" xfId="147" applyFont="1" applyBorder="1" applyAlignment="1">
      <alignment wrapText="1"/>
    </xf>
    <xf numFmtId="2" fontId="109" fillId="0" borderId="167" xfId="147" applyNumberFormat="1" applyFont="1" applyBorder="1"/>
    <xf numFmtId="2" fontId="110" fillId="0" borderId="167" xfId="147" applyNumberFormat="1" applyFont="1" applyBorder="1"/>
    <xf numFmtId="2" fontId="103" fillId="0" borderId="167" xfId="147" applyNumberFormat="1" applyFont="1" applyBorder="1"/>
    <xf numFmtId="167" fontId="59" fillId="0" borderId="92" xfId="0" applyNumberFormat="1" applyFont="1" applyFill="1" applyBorder="1" applyAlignment="1">
      <alignment horizontal="center" vertical="center"/>
    </xf>
    <xf numFmtId="167" fontId="59" fillId="0" borderId="22" xfId="0" applyNumberFormat="1" applyFont="1" applyFill="1" applyBorder="1" applyAlignment="1">
      <alignment horizontal="center" vertical="center"/>
    </xf>
    <xf numFmtId="0" fontId="105" fillId="0" borderId="175" xfId="147" applyFont="1" applyBorder="1" applyAlignment="1">
      <alignment wrapText="1"/>
    </xf>
    <xf numFmtId="0" fontId="105" fillId="0" borderId="175" xfId="147" applyFont="1" applyBorder="1" applyAlignment="1">
      <alignment horizontal="center" wrapText="1"/>
    </xf>
    <xf numFmtId="0" fontId="105" fillId="0" borderId="175" xfId="147" applyFont="1" applyBorder="1" applyAlignment="1">
      <alignment horizontal="center"/>
    </xf>
    <xf numFmtId="0" fontId="59" fillId="0" borderId="175" xfId="0" applyFont="1" applyBorder="1" applyAlignment="1">
      <alignment horizontal="center" vertical="center"/>
    </xf>
    <xf numFmtId="171" fontId="59" fillId="0" borderId="175" xfId="85" applyNumberFormat="1" applyFont="1" applyFill="1" applyBorder="1" applyAlignment="1">
      <alignment vertical="center"/>
    </xf>
    <xf numFmtId="0" fontId="4" fillId="0" borderId="175" xfId="149" applyBorder="1" applyAlignment="1">
      <alignment wrapText="1"/>
    </xf>
    <xf numFmtId="0" fontId="4" fillId="0" borderId="0" xfId="149"/>
    <xf numFmtId="0" fontId="103" fillId="0" borderId="175" xfId="149" applyFont="1" applyBorder="1" applyAlignment="1">
      <alignment horizontal="center"/>
    </xf>
    <xf numFmtId="4" fontId="4" fillId="0" borderId="175" xfId="149" applyNumberFormat="1" applyBorder="1"/>
    <xf numFmtId="0" fontId="4" fillId="0" borderId="175" xfId="149" applyBorder="1"/>
    <xf numFmtId="4" fontId="103" fillId="0" borderId="175" xfId="149" applyNumberFormat="1" applyFont="1" applyBorder="1"/>
    <xf numFmtId="0" fontId="103" fillId="0" borderId="180" xfId="149" applyFont="1" applyBorder="1" applyAlignment="1">
      <alignment horizontal="center"/>
    </xf>
    <xf numFmtId="4" fontId="4" fillId="0" borderId="180" xfId="149" applyNumberFormat="1" applyBorder="1"/>
    <xf numFmtId="4" fontId="103" fillId="0" borderId="180" xfId="149" applyNumberFormat="1" applyFont="1" applyBorder="1"/>
    <xf numFmtId="0" fontId="4" fillId="0" borderId="180" xfId="149" applyBorder="1"/>
    <xf numFmtId="0" fontId="115" fillId="0" borderId="175" xfId="149" applyFont="1" applyBorder="1" applyAlignment="1">
      <alignment wrapText="1"/>
    </xf>
    <xf numFmtId="4" fontId="115" fillId="0" borderId="175" xfId="149" applyNumberFormat="1" applyFont="1" applyBorder="1"/>
    <xf numFmtId="4" fontId="115" fillId="0" borderId="180" xfId="149" applyNumberFormat="1" applyFont="1" applyBorder="1"/>
    <xf numFmtId="0" fontId="115" fillId="0" borderId="175" xfId="149" applyFont="1" applyBorder="1"/>
    <xf numFmtId="0" fontId="115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7" fillId="0" borderId="0" xfId="85" applyNumberFormat="1" applyFont="1" applyFill="1" applyBorder="1" applyAlignment="1">
      <alignment horizontal="center"/>
    </xf>
    <xf numFmtId="0" fontId="49" fillId="0" borderId="0" xfId="0" applyFont="1" applyAlignment="1">
      <alignment vertical="center"/>
    </xf>
    <xf numFmtId="4" fontId="49" fillId="0" borderId="0" xfId="0" applyNumberFormat="1" applyFont="1"/>
    <xf numFmtId="0" fontId="60" fillId="0" borderId="0" xfId="0" applyFont="1"/>
    <xf numFmtId="0" fontId="59" fillId="0" borderId="184" xfId="0" applyFont="1" applyFill="1" applyBorder="1" applyAlignment="1">
      <alignment horizontal="center" vertical="center" wrapText="1"/>
    </xf>
    <xf numFmtId="0" fontId="59" fillId="0" borderId="189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4" fontId="79" fillId="0" borderId="0" xfId="0" applyNumberFormat="1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00" xfId="0" applyFont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/>
    </xf>
    <xf numFmtId="0" fontId="59" fillId="0" borderId="162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3" fillId="0" borderId="0" xfId="147" applyFont="1"/>
    <xf numFmtId="0" fontId="3" fillId="0" borderId="0" xfId="149" applyFont="1"/>
    <xf numFmtId="0" fontId="85" fillId="0" borderId="0" xfId="0" applyFont="1"/>
    <xf numFmtId="0" fontId="63" fillId="0" borderId="0" xfId="0" applyFont="1"/>
    <xf numFmtId="0" fontId="122" fillId="0" borderId="55" xfId="0" applyFont="1" applyBorder="1" applyAlignment="1">
      <alignment horizontal="right" vertical="top" wrapText="1"/>
    </xf>
    <xf numFmtId="0" fontId="121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59" fillId="27" borderId="100" xfId="0" applyFont="1" applyFill="1" applyBorder="1" applyAlignment="1">
      <alignment horizontal="center" vertical="center" wrapText="1"/>
    </xf>
    <xf numFmtId="0" fontId="59" fillId="27" borderId="162" xfId="0" applyFont="1" applyFill="1" applyBorder="1" applyAlignment="1">
      <alignment horizontal="center" vertical="center" wrapText="1"/>
    </xf>
    <xf numFmtId="0" fontId="59" fillId="27" borderId="163" xfId="0" applyFont="1" applyFill="1" applyBorder="1" applyAlignment="1">
      <alignment horizontal="center" vertical="center" wrapText="1"/>
    </xf>
    <xf numFmtId="0" fontId="59" fillId="0" borderId="163" xfId="0" applyFont="1" applyBorder="1" applyAlignment="1">
      <alignment horizontal="center" vertical="center" wrapText="1"/>
    </xf>
    <xf numFmtId="0" fontId="59" fillId="0" borderId="184" xfId="0" applyFont="1" applyBorder="1" applyAlignment="1">
      <alignment horizontal="center" vertical="center" wrapText="1"/>
    </xf>
    <xf numFmtId="0" fontId="59" fillId="24" borderId="188" xfId="0" applyFont="1" applyFill="1" applyBorder="1" applyAlignment="1">
      <alignment horizontal="center" vertical="center" wrapText="1"/>
    </xf>
    <xf numFmtId="0" fontId="59" fillId="24" borderId="184" xfId="0" applyFont="1" applyFill="1" applyBorder="1" applyAlignment="1">
      <alignment horizontal="center" vertical="center" wrapText="1"/>
    </xf>
    <xf numFmtId="0" fontId="59" fillId="24" borderId="189" xfId="0" applyFont="1" applyFill="1" applyBorder="1" applyAlignment="1">
      <alignment horizontal="center" vertical="center" wrapText="1"/>
    </xf>
    <xf numFmtId="0" fontId="59" fillId="24" borderId="178" xfId="0" applyFont="1" applyFill="1" applyBorder="1" applyAlignment="1">
      <alignment horizontal="center" vertical="center" wrapText="1"/>
    </xf>
    <xf numFmtId="0" fontId="59" fillId="0" borderId="188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173" xfId="0" applyFont="1" applyFill="1" applyBorder="1" applyAlignment="1">
      <alignment horizontal="center" vertical="center" wrapText="1"/>
    </xf>
    <xf numFmtId="0" fontId="59" fillId="0" borderId="175" xfId="0" applyFont="1" applyFill="1" applyBorder="1"/>
    <xf numFmtId="0" fontId="16" fillId="0" borderId="169" xfId="0" applyFont="1" applyBorder="1" applyAlignment="1">
      <alignment horizontal="left" vertical="center"/>
    </xf>
    <xf numFmtId="0" fontId="16" fillId="0" borderId="170" xfId="0" applyFont="1" applyBorder="1" applyAlignment="1">
      <alignment wrapText="1"/>
    </xf>
    <xf numFmtId="1" fontId="16" fillId="0" borderId="187" xfId="0" applyNumberFormat="1" applyFont="1" applyBorder="1" applyAlignment="1">
      <alignment horizontal="right" vertical="center" indent="1"/>
    </xf>
    <xf numFmtId="3" fontId="16" fillId="0" borderId="175" xfId="0" applyNumberFormat="1" applyFont="1" applyBorder="1" applyAlignment="1">
      <alignment horizontal="right" vertical="center" indent="1"/>
    </xf>
    <xf numFmtId="170" fontId="16" fillId="0" borderId="170" xfId="0" applyNumberFormat="1" applyFont="1" applyBorder="1" applyAlignment="1">
      <alignment horizontal="right" vertical="center"/>
    </xf>
    <xf numFmtId="3" fontId="16" fillId="27" borderId="169" xfId="0" applyNumberFormat="1" applyFont="1" applyFill="1" applyBorder="1" applyAlignment="1">
      <alignment horizontal="right" vertical="center" indent="1"/>
    </xf>
    <xf numFmtId="3" fontId="16" fillId="27" borderId="175" xfId="0" applyNumberFormat="1" applyFont="1" applyFill="1" applyBorder="1" applyAlignment="1">
      <alignment horizontal="right" vertical="center" indent="1"/>
    </xf>
    <xf numFmtId="170" fontId="16" fillId="27" borderId="185" xfId="0" applyNumberFormat="1" applyFont="1" applyFill="1" applyBorder="1" applyAlignment="1">
      <alignment horizontal="right" vertical="center"/>
    </xf>
    <xf numFmtId="1" fontId="16" fillId="0" borderId="169" xfId="0" applyNumberFormat="1" applyFont="1" applyBorder="1" applyAlignment="1">
      <alignment horizontal="right" vertical="center" indent="1"/>
    </xf>
    <xf numFmtId="171" fontId="16" fillId="0" borderId="175" xfId="0" applyNumberFormat="1" applyFont="1" applyBorder="1" applyAlignment="1">
      <alignment horizontal="center" vertical="center" wrapText="1"/>
    </xf>
    <xf numFmtId="170" fontId="16" fillId="0" borderId="185" xfId="0" applyNumberFormat="1" applyFont="1" applyBorder="1" applyAlignment="1">
      <alignment horizontal="right" vertical="center"/>
    </xf>
    <xf numFmtId="170" fontId="16" fillId="0" borderId="186" xfId="0" applyNumberFormat="1" applyFont="1" applyBorder="1" applyAlignment="1">
      <alignment horizontal="center" vertical="center"/>
    </xf>
    <xf numFmtId="3" fontId="16" fillId="0" borderId="175" xfId="0" applyNumberFormat="1" applyFont="1" applyBorder="1" applyAlignment="1">
      <alignment horizontal="center" vertical="center"/>
    </xf>
    <xf numFmtId="0" fontId="16" fillId="0" borderId="169" xfId="0" applyFont="1" applyBorder="1" applyAlignment="1">
      <alignment horizontal="center" vertical="center"/>
    </xf>
    <xf numFmtId="1" fontId="16" fillId="0" borderId="175" xfId="0" applyNumberFormat="1" applyFont="1" applyBorder="1" applyAlignment="1">
      <alignment horizontal="center" vertical="center"/>
    </xf>
    <xf numFmtId="169" fontId="16" fillId="0" borderId="170" xfId="0" applyNumberFormat="1" applyFont="1" applyBorder="1" applyAlignment="1">
      <alignment horizontal="center" vertical="center"/>
    </xf>
    <xf numFmtId="0" fontId="16" fillId="0" borderId="187" xfId="0" applyFont="1" applyBorder="1" applyAlignment="1">
      <alignment horizontal="center" vertical="center"/>
    </xf>
    <xf numFmtId="169" fontId="16" fillId="0" borderId="185" xfId="0" applyNumberFormat="1" applyFont="1" applyBorder="1" applyAlignment="1">
      <alignment horizontal="center" vertical="center"/>
    </xf>
    <xf numFmtId="1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right" vertical="center" indent="1"/>
    </xf>
    <xf numFmtId="170" fontId="16" fillId="0" borderId="170" xfId="0" applyNumberFormat="1" applyFont="1" applyFill="1" applyBorder="1" applyAlignment="1">
      <alignment horizontal="right" vertical="center"/>
    </xf>
    <xf numFmtId="3" fontId="16" fillId="0" borderId="185" xfId="0" applyNumberFormat="1" applyFont="1" applyFill="1" applyBorder="1" applyAlignment="1">
      <alignment horizontal="right" vertical="center" indent="1"/>
    </xf>
    <xf numFmtId="1" fontId="16" fillId="0" borderId="169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/>
    </xf>
    <xf numFmtId="170" fontId="16" fillId="0" borderId="170" xfId="0" applyNumberFormat="1" applyFont="1" applyFill="1" applyBorder="1" applyAlignment="1">
      <alignment horizontal="right" vertical="center" indent="1"/>
    </xf>
    <xf numFmtId="170" fontId="16" fillId="0" borderId="185" xfId="0" applyNumberFormat="1" applyFont="1" applyFill="1" applyBorder="1" applyAlignment="1">
      <alignment horizontal="right" vertical="center" indent="1"/>
    </xf>
    <xf numFmtId="170" fontId="16" fillId="0" borderId="186" xfId="0" applyNumberFormat="1" applyFont="1" applyFill="1" applyBorder="1" applyAlignment="1">
      <alignment horizontal="right" vertical="center"/>
    </xf>
    <xf numFmtId="170" fontId="16" fillId="0" borderId="185" xfId="0" applyNumberFormat="1" applyFont="1" applyFill="1" applyBorder="1" applyAlignment="1">
      <alignment horizontal="right" vertical="center"/>
    </xf>
    <xf numFmtId="166" fontId="78" fillId="0" borderId="166" xfId="0" applyNumberFormat="1" applyFont="1" applyBorder="1"/>
    <xf numFmtId="0" fontId="59" fillId="0" borderId="169" xfId="0" applyFont="1" applyBorder="1" applyAlignment="1">
      <alignment horizontal="left" vertical="center"/>
    </xf>
    <xf numFmtId="0" fontId="59" fillId="0" borderId="170" xfId="0" applyFont="1" applyBorder="1"/>
    <xf numFmtId="1" fontId="59" fillId="0" borderId="187" xfId="0" applyNumberFormat="1" applyFont="1" applyBorder="1" applyAlignment="1">
      <alignment horizontal="right" vertical="center" indent="1"/>
    </xf>
    <xf numFmtId="3" fontId="59" fillId="0" borderId="175" xfId="0" applyNumberFormat="1" applyFont="1" applyBorder="1" applyAlignment="1">
      <alignment horizontal="right" vertical="center" indent="1"/>
    </xf>
    <xf numFmtId="170" fontId="59" fillId="0" borderId="170" xfId="0" applyNumberFormat="1" applyFont="1" applyBorder="1" applyAlignment="1">
      <alignment horizontal="right" vertical="center"/>
    </xf>
    <xf numFmtId="3" fontId="59" fillId="27" borderId="169" xfId="0" applyNumberFormat="1" applyFont="1" applyFill="1" applyBorder="1" applyAlignment="1">
      <alignment horizontal="right" vertical="center" indent="1"/>
    </xf>
    <xf numFmtId="3" fontId="59" fillId="27" borderId="175" xfId="0" applyNumberFormat="1" applyFont="1" applyFill="1" applyBorder="1" applyAlignment="1">
      <alignment horizontal="right" vertical="center" indent="1"/>
    </xf>
    <xf numFmtId="170" fontId="59" fillId="27" borderId="185" xfId="0" applyNumberFormat="1" applyFont="1" applyFill="1" applyBorder="1" applyAlignment="1">
      <alignment horizontal="right" vertical="center"/>
    </xf>
    <xf numFmtId="1" fontId="59" fillId="0" borderId="169" xfId="0" applyNumberFormat="1" applyFont="1" applyBorder="1" applyAlignment="1">
      <alignment horizontal="right" vertical="center" indent="1"/>
    </xf>
    <xf numFmtId="170" fontId="59" fillId="0" borderId="185" xfId="0" applyNumberFormat="1" applyFont="1" applyBorder="1" applyAlignment="1">
      <alignment horizontal="right" vertical="center"/>
    </xf>
    <xf numFmtId="1" fontId="59" fillId="0" borderId="186" xfId="0" applyNumberFormat="1" applyFont="1" applyBorder="1" applyAlignment="1">
      <alignment horizontal="center" vertical="center"/>
    </xf>
    <xf numFmtId="170" fontId="59" fillId="0" borderId="186" xfId="0" applyNumberFormat="1" applyFont="1" applyBorder="1" applyAlignment="1">
      <alignment horizontal="right" vertical="center"/>
    </xf>
    <xf numFmtId="0" fontId="59" fillId="0" borderId="169" xfId="0" applyFont="1" applyBorder="1" applyAlignment="1">
      <alignment horizontal="center" vertical="center"/>
    </xf>
    <xf numFmtId="1" fontId="59" fillId="0" borderId="175" xfId="0" applyNumberFormat="1" applyFont="1" applyBorder="1" applyAlignment="1">
      <alignment horizontal="center" vertical="center"/>
    </xf>
    <xf numFmtId="169" fontId="59" fillId="0" borderId="170" xfId="0" applyNumberFormat="1" applyFont="1" applyBorder="1" applyAlignment="1">
      <alignment horizontal="center" vertical="center"/>
    </xf>
    <xf numFmtId="0" fontId="59" fillId="0" borderId="187" xfId="0" applyFont="1" applyBorder="1" applyAlignment="1">
      <alignment horizontal="center" vertical="center"/>
    </xf>
    <xf numFmtId="1" fontId="59" fillId="0" borderId="175" xfId="0" applyNumberFormat="1" applyFont="1" applyFill="1" applyBorder="1" applyAlignment="1">
      <alignment horizontal="center" vertical="center"/>
    </xf>
    <xf numFmtId="169" fontId="59" fillId="0" borderId="185" xfId="0" applyNumberFormat="1" applyFont="1" applyBorder="1" applyAlignment="1">
      <alignment horizontal="center" vertical="center"/>
    </xf>
    <xf numFmtId="0" fontId="59" fillId="0" borderId="169" xfId="0" applyFont="1" applyFill="1" applyBorder="1" applyAlignment="1">
      <alignment horizontal="center" vertical="center"/>
    </xf>
    <xf numFmtId="170" fontId="59" fillId="0" borderId="170" xfId="0" applyNumberFormat="1" applyFont="1" applyFill="1" applyBorder="1" applyAlignment="1">
      <alignment horizontal="right" vertical="center"/>
    </xf>
    <xf numFmtId="3" fontId="59" fillId="0" borderId="18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/>
    </xf>
    <xf numFmtId="170" fontId="59" fillId="0" borderId="170" xfId="0" applyNumberFormat="1" applyFont="1" applyFill="1" applyBorder="1" applyAlignment="1">
      <alignment horizontal="right" vertical="center" indent="1"/>
    </xf>
    <xf numFmtId="3" fontId="59" fillId="0" borderId="175" xfId="0" applyNumberFormat="1" applyFont="1" applyFill="1" applyBorder="1" applyAlignment="1">
      <alignment horizontal="center" vertical="center"/>
    </xf>
    <xf numFmtId="170" fontId="59" fillId="0" borderId="185" xfId="0" applyNumberFormat="1" applyFont="1" applyFill="1" applyBorder="1" applyAlignment="1">
      <alignment horizontal="right" vertical="center" indent="1"/>
    </xf>
    <xf numFmtId="170" fontId="59" fillId="0" borderId="186" xfId="0" applyNumberFormat="1" applyFont="1" applyFill="1" applyBorder="1" applyAlignment="1">
      <alignment horizontal="right" vertical="center"/>
    </xf>
    <xf numFmtId="170" fontId="59" fillId="0" borderId="185" xfId="0" applyNumberFormat="1" applyFont="1" applyFill="1" applyBorder="1" applyAlignment="1">
      <alignment horizontal="right" vertical="center"/>
    </xf>
    <xf numFmtId="169" fontId="59" fillId="0" borderId="169" xfId="0" applyNumberFormat="1" applyFont="1" applyBorder="1" applyAlignment="1">
      <alignment horizontal="right" vertical="center" indent="1"/>
    </xf>
    <xf numFmtId="3" fontId="59" fillId="0" borderId="186" xfId="0" applyNumberFormat="1" applyFont="1" applyBorder="1" applyAlignment="1">
      <alignment horizontal="center" vertical="center"/>
    </xf>
    <xf numFmtId="3" fontId="59" fillId="0" borderId="175" xfId="0" applyNumberFormat="1" applyFont="1" applyBorder="1" applyAlignment="1">
      <alignment horizontal="center" vertical="center"/>
    </xf>
    <xf numFmtId="170" fontId="59" fillId="0" borderId="175" xfId="0" applyNumberFormat="1" applyFont="1" applyBorder="1" applyAlignment="1">
      <alignment horizontal="right" vertical="center"/>
    </xf>
    <xf numFmtId="1" fontId="82" fillId="0" borderId="169" xfId="0" applyNumberFormat="1" applyFont="1" applyFill="1" applyBorder="1" applyAlignment="1">
      <alignment horizontal="center" vertical="center"/>
    </xf>
    <xf numFmtId="3" fontId="82" fillId="0" borderId="175" xfId="0" applyNumberFormat="1" applyFont="1" applyFill="1" applyBorder="1" applyAlignment="1">
      <alignment horizontal="right" vertical="center" indent="1"/>
    </xf>
    <xf numFmtId="170" fontId="82" fillId="0" borderId="170" xfId="0" applyNumberFormat="1" applyFont="1" applyFill="1" applyBorder="1" applyAlignment="1">
      <alignment horizontal="right" vertical="center"/>
    </xf>
    <xf numFmtId="0" fontId="59" fillId="0" borderId="170" xfId="0" applyFont="1" applyBorder="1" applyAlignment="1">
      <alignment wrapText="1"/>
    </xf>
    <xf numFmtId="1" fontId="59" fillId="0" borderId="100" xfId="0" applyNumberFormat="1" applyFont="1" applyBorder="1" applyAlignment="1">
      <alignment horizontal="right" vertical="center" indent="1"/>
    </xf>
    <xf numFmtId="3" fontId="59" fillId="0" borderId="162" xfId="0" applyNumberFormat="1" applyFont="1" applyBorder="1" applyAlignment="1">
      <alignment horizontal="right" vertical="center" indent="1"/>
    </xf>
    <xf numFmtId="3" fontId="59" fillId="27" borderId="162" xfId="0" applyNumberFormat="1" applyFont="1" applyFill="1" applyBorder="1" applyAlignment="1">
      <alignment horizontal="right" vertical="center" indent="1"/>
    </xf>
    <xf numFmtId="170" fontId="59" fillId="27" borderId="163" xfId="0" applyNumberFormat="1" applyFont="1" applyFill="1" applyBorder="1" applyAlignment="1">
      <alignment horizontal="right" vertical="center"/>
    </xf>
    <xf numFmtId="171" fontId="16" fillId="0" borderId="162" xfId="0" applyNumberFormat="1" applyFont="1" applyBorder="1" applyAlignment="1">
      <alignment horizontal="center" vertical="center" wrapText="1"/>
    </xf>
    <xf numFmtId="170" fontId="59" fillId="0" borderId="163" xfId="0" applyNumberFormat="1" applyFont="1" applyBorder="1" applyAlignment="1">
      <alignment horizontal="right" vertical="center"/>
    </xf>
    <xf numFmtId="3" fontId="59" fillId="0" borderId="98" xfId="0" applyNumberFormat="1" applyFont="1" applyBorder="1" applyAlignment="1">
      <alignment horizontal="center" vertical="center"/>
    </xf>
    <xf numFmtId="3" fontId="59" fillId="0" borderId="162" xfId="0" applyNumberFormat="1" applyFont="1" applyBorder="1" applyAlignment="1">
      <alignment horizontal="center" vertical="center"/>
    </xf>
    <xf numFmtId="170" fontId="59" fillId="0" borderId="98" xfId="0" applyNumberFormat="1" applyFont="1" applyBorder="1" applyAlignment="1">
      <alignment horizontal="right" vertical="center"/>
    </xf>
    <xf numFmtId="0" fontId="59" fillId="0" borderId="162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1" fontId="59" fillId="0" borderId="162" xfId="0" applyNumberFormat="1" applyFont="1" applyFill="1" applyBorder="1" applyAlignment="1">
      <alignment horizontal="center" vertical="center"/>
    </xf>
    <xf numFmtId="169" fontId="59" fillId="0" borderId="163" xfId="0" applyNumberFormat="1" applyFont="1" applyBorder="1" applyAlignment="1">
      <alignment horizontal="center" vertical="center"/>
    </xf>
    <xf numFmtId="3" fontId="59" fillId="0" borderId="163" xfId="0" applyNumberFormat="1" applyFont="1" applyFill="1" applyBorder="1" applyAlignment="1">
      <alignment horizontal="right" vertical="center" indent="1"/>
    </xf>
    <xf numFmtId="3" fontId="59" fillId="0" borderId="162" xfId="0" applyNumberFormat="1" applyFont="1" applyFill="1" applyBorder="1" applyAlignment="1">
      <alignment horizontal="center" vertical="center"/>
    </xf>
    <xf numFmtId="170" fontId="16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/>
    </xf>
    <xf numFmtId="0" fontId="59" fillId="0" borderId="162" xfId="0" applyFont="1" applyFill="1" applyBorder="1" applyAlignment="1">
      <alignment horizontal="center" vertical="center" wrapText="1"/>
    </xf>
    <xf numFmtId="0" fontId="59" fillId="0" borderId="163" xfId="0" applyFont="1" applyFill="1" applyBorder="1" applyAlignment="1">
      <alignment horizontal="center" vertical="center" wrapText="1"/>
    </xf>
    <xf numFmtId="0" fontId="59" fillId="0" borderId="169" xfId="0" applyFont="1" applyFill="1" applyBorder="1" applyAlignment="1">
      <alignment horizontal="center" vertical="center" wrapText="1"/>
    </xf>
    <xf numFmtId="0" fontId="59" fillId="0" borderId="17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horizontal="center" vertical="center" wrapText="1"/>
    </xf>
    <xf numFmtId="0" fontId="59" fillId="0" borderId="18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vertical="center"/>
    </xf>
    <xf numFmtId="0" fontId="16" fillId="0" borderId="175" xfId="0" applyFont="1" applyFill="1" applyBorder="1" applyAlignment="1">
      <alignment horizontal="center" vertical="center" wrapText="1"/>
    </xf>
    <xf numFmtId="0" fontId="16" fillId="0" borderId="169" xfId="0" applyFont="1" applyFill="1" applyBorder="1" applyAlignment="1">
      <alignment horizontal="left" vertical="center"/>
    </xf>
    <xf numFmtId="0" fontId="16" fillId="0" borderId="170" xfId="0" applyFont="1" applyFill="1" applyBorder="1" applyAlignment="1">
      <alignment vertical="center" wrapText="1"/>
    </xf>
    <xf numFmtId="1" fontId="16" fillId="0" borderId="187" xfId="0" applyNumberFormat="1" applyFont="1" applyFill="1" applyBorder="1" applyAlignment="1">
      <alignment horizontal="right" vertical="center"/>
    </xf>
    <xf numFmtId="3" fontId="16" fillId="0" borderId="175" xfId="0" applyNumberFormat="1" applyFont="1" applyFill="1" applyBorder="1" applyAlignment="1">
      <alignment horizontal="right" vertical="center"/>
    </xf>
    <xf numFmtId="3" fontId="16" fillId="0" borderId="169" xfId="0" applyNumberFormat="1" applyFont="1" applyFill="1" applyBorder="1" applyAlignment="1">
      <alignment horizontal="right" vertical="center"/>
    </xf>
    <xf numFmtId="1" fontId="16" fillId="0" borderId="169" xfId="0" applyNumberFormat="1" applyFont="1" applyFill="1" applyBorder="1" applyAlignment="1">
      <alignment horizontal="right" vertical="center"/>
    </xf>
    <xf numFmtId="171" fontId="16" fillId="0" borderId="175" xfId="0" applyNumberFormat="1" applyFont="1" applyFill="1" applyBorder="1" applyAlignment="1">
      <alignment horizontal="center" vertical="center" wrapText="1"/>
    </xf>
    <xf numFmtId="10" fontId="59" fillId="0" borderId="175" xfId="85" applyNumberFormat="1" applyFont="1" applyFill="1" applyBorder="1" applyAlignment="1">
      <alignment vertical="center"/>
    </xf>
    <xf numFmtId="170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center" vertical="center"/>
    </xf>
    <xf numFmtId="170" fontId="16" fillId="0" borderId="175" xfId="0" applyNumberFormat="1" applyFont="1" applyFill="1" applyBorder="1" applyAlignment="1">
      <alignment horizontal="center" vertical="center"/>
    </xf>
    <xf numFmtId="0" fontId="59" fillId="0" borderId="185" xfId="0" applyFont="1" applyFill="1" applyBorder="1" applyAlignment="1">
      <alignment vertical="center"/>
    </xf>
    <xf numFmtId="10" fontId="59" fillId="0" borderId="170" xfId="85" applyNumberFormat="1" applyFont="1" applyFill="1" applyBorder="1" applyAlignment="1">
      <alignment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vertical="center" wrapText="1"/>
    </xf>
    <xf numFmtId="1" fontId="59" fillId="0" borderId="187" xfId="0" applyNumberFormat="1" applyFont="1" applyFill="1" applyBorder="1" applyAlignment="1">
      <alignment horizontal="right" vertical="center"/>
    </xf>
    <xf numFmtId="3" fontId="59" fillId="0" borderId="175" xfId="0" applyNumberFormat="1" applyFont="1" applyFill="1" applyBorder="1" applyAlignment="1">
      <alignment horizontal="right" vertical="center"/>
    </xf>
    <xf numFmtId="3" fontId="59" fillId="0" borderId="169" xfId="0" applyNumberFormat="1" applyFont="1" applyFill="1" applyBorder="1" applyAlignment="1">
      <alignment horizontal="right" vertical="center"/>
    </xf>
    <xf numFmtId="1" fontId="59" fillId="0" borderId="169" xfId="0" applyNumberFormat="1" applyFont="1" applyFill="1" applyBorder="1" applyAlignment="1">
      <alignment horizontal="right" vertical="center"/>
    </xf>
    <xf numFmtId="169" fontId="59" fillId="0" borderId="169" xfId="0" applyNumberFormat="1" applyFont="1" applyFill="1" applyBorder="1" applyAlignment="1">
      <alignment horizontal="center" vertical="center"/>
    </xf>
    <xf numFmtId="169" fontId="59" fillId="0" borderId="169" xfId="0" applyNumberFormat="1" applyFont="1" applyFill="1" applyBorder="1" applyAlignment="1">
      <alignment horizontal="right" vertical="center"/>
    </xf>
    <xf numFmtId="2" fontId="59" fillId="0" borderId="169" xfId="0" applyNumberFormat="1" applyFont="1" applyFill="1" applyBorder="1" applyAlignment="1">
      <alignment horizontal="center" vertical="center"/>
    </xf>
    <xf numFmtId="171" fontId="59" fillId="0" borderId="170" xfId="85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horizontal="center" vertical="center"/>
    </xf>
    <xf numFmtId="3" fontId="59" fillId="0" borderId="169" xfId="0" applyNumberFormat="1" applyFont="1" applyFill="1" applyBorder="1" applyAlignment="1">
      <alignment horizontal="center" vertical="center"/>
    </xf>
    <xf numFmtId="0" fontId="59" fillId="0" borderId="188" xfId="0" applyFont="1" applyFill="1" applyBorder="1" applyAlignment="1">
      <alignment horizontal="left" vertical="center"/>
    </xf>
    <xf numFmtId="0" fontId="59" fillId="0" borderId="189" xfId="0" applyFont="1" applyFill="1" applyBorder="1" applyAlignment="1">
      <alignment vertical="center" wrapText="1"/>
    </xf>
    <xf numFmtId="1" fontId="59" fillId="0" borderId="178" xfId="0" applyNumberFormat="1" applyFont="1" applyFill="1" applyBorder="1" applyAlignment="1">
      <alignment horizontal="right" vertical="center"/>
    </xf>
    <xf numFmtId="3" fontId="59" fillId="0" borderId="184" xfId="0" applyNumberFormat="1" applyFont="1" applyFill="1" applyBorder="1" applyAlignment="1">
      <alignment horizontal="right" vertical="center"/>
    </xf>
    <xf numFmtId="170" fontId="59" fillId="0" borderId="189" xfId="0" applyNumberFormat="1" applyFont="1" applyFill="1" applyBorder="1" applyAlignment="1">
      <alignment horizontal="right" vertical="center"/>
    </xf>
    <xf numFmtId="3" fontId="59" fillId="0" borderId="188" xfId="0" applyNumberFormat="1" applyFont="1" applyFill="1" applyBorder="1" applyAlignment="1">
      <alignment horizontal="right" vertical="center"/>
    </xf>
    <xf numFmtId="170" fontId="59" fillId="0" borderId="176" xfId="0" applyNumberFormat="1" applyFont="1" applyFill="1" applyBorder="1" applyAlignment="1">
      <alignment horizontal="right" vertical="center"/>
    </xf>
    <xf numFmtId="1" fontId="59" fillId="0" borderId="188" xfId="0" applyNumberFormat="1" applyFont="1" applyFill="1" applyBorder="1" applyAlignment="1">
      <alignment horizontal="right" vertical="center"/>
    </xf>
    <xf numFmtId="171" fontId="16" fillId="0" borderId="184" xfId="0" applyNumberFormat="1" applyFont="1" applyFill="1" applyBorder="1" applyAlignment="1">
      <alignment horizontal="center" vertical="center" wrapText="1"/>
    </xf>
    <xf numFmtId="170" fontId="59" fillId="0" borderId="184" xfId="0" applyNumberFormat="1" applyFont="1" applyFill="1" applyBorder="1" applyAlignment="1">
      <alignment horizontal="right" vertical="center"/>
    </xf>
    <xf numFmtId="10" fontId="59" fillId="0" borderId="184" xfId="85" applyNumberFormat="1" applyFont="1" applyFill="1" applyBorder="1" applyAlignment="1">
      <alignment vertical="center"/>
    </xf>
    <xf numFmtId="0" fontId="59" fillId="0" borderId="189" xfId="0" applyFont="1" applyFill="1" applyBorder="1" applyAlignment="1">
      <alignment vertical="center"/>
    </xf>
    <xf numFmtId="3" fontId="59" fillId="0" borderId="188" xfId="0" applyNumberFormat="1" applyFont="1" applyFill="1" applyBorder="1" applyAlignment="1">
      <alignment horizontal="center" vertical="center"/>
    </xf>
    <xf numFmtId="0" fontId="59" fillId="0" borderId="176" xfId="0" applyFont="1" applyFill="1" applyBorder="1" applyAlignment="1">
      <alignment vertical="center"/>
    </xf>
    <xf numFmtId="171" fontId="59" fillId="0" borderId="189" xfId="85" applyNumberFormat="1" applyFont="1" applyFill="1" applyBorder="1" applyAlignment="1">
      <alignment vertical="center"/>
    </xf>
    <xf numFmtId="2" fontId="59" fillId="0" borderId="188" xfId="0" applyNumberFormat="1" applyFont="1" applyFill="1" applyBorder="1" applyAlignment="1">
      <alignment horizontal="center" vertical="center"/>
    </xf>
    <xf numFmtId="10" fontId="59" fillId="0" borderId="31" xfId="85" applyNumberFormat="1" applyFont="1" applyFill="1" applyBorder="1" applyAlignment="1">
      <alignment vertical="center"/>
    </xf>
    <xf numFmtId="0" fontId="59" fillId="0" borderId="187" xfId="0" applyFont="1" applyFill="1" applyBorder="1" applyAlignment="1">
      <alignment vertical="center"/>
    </xf>
    <xf numFmtId="0" fontId="59" fillId="0" borderId="175" xfId="0" applyFont="1" applyFill="1" applyBorder="1" applyAlignment="1">
      <alignment vertical="center"/>
    </xf>
    <xf numFmtId="0" fontId="59" fillId="0" borderId="169" xfId="0" applyFont="1" applyFill="1" applyBorder="1" applyAlignment="1">
      <alignment vertical="center"/>
    </xf>
    <xf numFmtId="3" fontId="59" fillId="0" borderId="175" xfId="0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vertical="center"/>
    </xf>
    <xf numFmtId="0" fontId="59" fillId="0" borderId="186" xfId="0" applyFont="1" applyFill="1" applyBorder="1" applyAlignment="1">
      <alignment vertical="center"/>
    </xf>
    <xf numFmtId="0" fontId="59" fillId="0" borderId="183" xfId="0" applyFont="1" applyFill="1" applyBorder="1" applyAlignment="1">
      <alignment vertical="center"/>
    </xf>
    <xf numFmtId="10" fontId="59" fillId="0" borderId="187" xfId="85" applyNumberFormat="1" applyFont="1" applyFill="1" applyBorder="1" applyAlignment="1">
      <alignment vertical="center"/>
    </xf>
    <xf numFmtId="0" fontId="59" fillId="0" borderId="162" xfId="0" applyFont="1" applyFill="1" applyBorder="1" applyAlignment="1">
      <alignment vertical="center"/>
    </xf>
    <xf numFmtId="0" fontId="59" fillId="0" borderId="163" xfId="0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vertical="center"/>
    </xf>
    <xf numFmtId="171" fontId="59" fillId="0" borderId="162" xfId="85" applyNumberFormat="1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horizontal="right" vertical="center"/>
    </xf>
    <xf numFmtId="10" fontId="59" fillId="0" borderId="162" xfId="85" applyNumberFormat="1" applyFont="1" applyFill="1" applyBorder="1" applyAlignment="1">
      <alignment vertical="center"/>
    </xf>
    <xf numFmtId="10" fontId="59" fillId="0" borderId="100" xfId="85" applyNumberFormat="1" applyFont="1" applyFill="1" applyBorder="1" applyAlignment="1">
      <alignment vertical="center"/>
    </xf>
    <xf numFmtId="0" fontId="12" fillId="0" borderId="175" xfId="0" applyFont="1" applyBorder="1" applyAlignment="1">
      <alignment horizontal="center" vertical="center" wrapText="1"/>
    </xf>
    <xf numFmtId="169" fontId="13" fillId="0" borderId="175" xfId="0" applyNumberFormat="1" applyFont="1" applyBorder="1" applyAlignment="1">
      <alignment horizontal="center"/>
    </xf>
    <xf numFmtId="10" fontId="102" fillId="0" borderId="0" xfId="85" applyNumberFormat="1" applyFont="1"/>
    <xf numFmtId="0" fontId="12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20" fillId="0" borderId="55" xfId="89" applyFont="1" applyBorder="1" applyAlignment="1">
      <alignment horizontal="right" vertical="top" wrapText="1"/>
    </xf>
    <xf numFmtId="165" fontId="123" fillId="0" borderId="55" xfId="89" applyFont="1" applyBorder="1" applyAlignment="1">
      <alignment horizontal="right" vertical="top" wrapText="1"/>
    </xf>
    <xf numFmtId="0" fontId="56" fillId="0" borderId="0" xfId="0" applyFont="1"/>
    <xf numFmtId="165" fontId="66" fillId="0" borderId="0" xfId="89" applyFont="1"/>
    <xf numFmtId="0" fontId="16" fillId="0" borderId="0" xfId="0" applyFont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47" fillId="39" borderId="191" xfId="96" applyFont="1" applyFill="1" applyBorder="1"/>
    <xf numFmtId="0" fontId="47" fillId="39" borderId="191" xfId="96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78" fillId="0" borderId="192" xfId="0" applyFont="1" applyBorder="1" applyAlignment="1">
      <alignment vertical="center"/>
    </xf>
    <xf numFmtId="4" fontId="16" fillId="0" borderId="192" xfId="0" applyNumberFormat="1" applyFont="1" applyBorder="1" applyAlignment="1">
      <alignment horizontal="right" vertical="center"/>
    </xf>
    <xf numFmtId="4" fontId="79" fillId="0" borderId="192" xfId="0" applyNumberFormat="1" applyFont="1" applyBorder="1" applyAlignment="1">
      <alignment horizontal="right" vertical="center"/>
    </xf>
    <xf numFmtId="4" fontId="59" fillId="0" borderId="192" xfId="0" applyNumberFormat="1" applyFont="1" applyBorder="1" applyAlignment="1">
      <alignment horizontal="right" vertical="center"/>
    </xf>
    <xf numFmtId="4" fontId="60" fillId="0" borderId="192" xfId="0" applyNumberFormat="1" applyFont="1" applyBorder="1" applyAlignment="1">
      <alignment horizontal="right" vertical="center"/>
    </xf>
    <xf numFmtId="0" fontId="59" fillId="0" borderId="192" xfId="0" applyFont="1" applyBorder="1" applyAlignment="1">
      <alignment vertical="center"/>
    </xf>
    <xf numFmtId="0" fontId="59" fillId="0" borderId="192" xfId="0" applyFont="1" applyBorder="1" applyAlignment="1">
      <alignment horizontal="right" vertical="center"/>
    </xf>
    <xf numFmtId="0" fontId="12" fillId="0" borderId="192" xfId="0" applyFont="1" applyBorder="1" applyAlignment="1">
      <alignment vertical="center" wrapText="1"/>
    </xf>
    <xf numFmtId="0" fontId="60" fillId="0" borderId="192" xfId="0" applyFont="1" applyBorder="1" applyAlignment="1">
      <alignment vertical="center"/>
    </xf>
    <xf numFmtId="10" fontId="60" fillId="0" borderId="192" xfId="85" applyNumberFormat="1" applyFont="1" applyBorder="1" applyAlignment="1">
      <alignment horizontal="right" vertical="center"/>
    </xf>
    <xf numFmtId="0" fontId="60" fillId="0" borderId="192" xfId="0" applyFont="1" applyBorder="1" applyAlignment="1">
      <alignment horizontal="right" vertical="center"/>
    </xf>
    <xf numFmtId="0" fontId="16" fillId="0" borderId="192" xfId="0" applyFont="1" applyBorder="1" applyAlignment="1">
      <alignment vertical="center"/>
    </xf>
    <xf numFmtId="0" fontId="16" fillId="0" borderId="192" xfId="0" applyFont="1" applyBorder="1" applyAlignment="1">
      <alignment horizontal="right" vertical="center"/>
    </xf>
    <xf numFmtId="4" fontId="60" fillId="0" borderId="192" xfId="0" applyNumberFormat="1" applyFont="1" applyBorder="1" applyAlignment="1">
      <alignment horizontal="right" vertical="center" wrapText="1"/>
    </xf>
    <xf numFmtId="0" fontId="12" fillId="0" borderId="192" xfId="0" applyFont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wrapText="1"/>
    </xf>
    <xf numFmtId="0" fontId="78" fillId="39" borderId="192" xfId="0" applyFont="1" applyFill="1" applyBorder="1"/>
    <xf numFmtId="0" fontId="59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vertical="center" wrapText="1"/>
    </xf>
    <xf numFmtId="0" fontId="59" fillId="39" borderId="192" xfId="0" applyFont="1" applyFill="1" applyBorder="1" applyAlignment="1">
      <alignment vertical="center" wrapText="1"/>
    </xf>
    <xf numFmtId="0" fontId="60" fillId="39" borderId="192" xfId="0" applyFont="1" applyFill="1" applyBorder="1" applyAlignment="1">
      <alignment vertical="center" wrapText="1"/>
    </xf>
    <xf numFmtId="4" fontId="16" fillId="37" borderId="192" xfId="0" applyNumberFormat="1" applyFont="1" applyFill="1" applyBorder="1" applyAlignment="1">
      <alignment horizontal="right" vertical="center"/>
    </xf>
    <xf numFmtId="4" fontId="59" fillId="37" borderId="192" xfId="0" applyNumberFormat="1" applyFont="1" applyFill="1" applyBorder="1" applyAlignment="1">
      <alignment horizontal="right" vertical="center"/>
    </xf>
    <xf numFmtId="168" fontId="16" fillId="37" borderId="192" xfId="0" applyNumberFormat="1" applyFont="1" applyFill="1" applyBorder="1" applyAlignment="1">
      <alignment horizontal="right" vertical="center"/>
    </xf>
    <xf numFmtId="4" fontId="16" fillId="39" borderId="192" xfId="0" applyNumberFormat="1" applyFont="1" applyFill="1" applyBorder="1" applyAlignment="1">
      <alignment horizontal="right" vertical="center"/>
    </xf>
    <xf numFmtId="4" fontId="16" fillId="43" borderId="192" xfId="0" applyNumberFormat="1" applyFont="1" applyFill="1" applyBorder="1" applyAlignment="1">
      <alignment horizontal="right" vertical="center"/>
    </xf>
    <xf numFmtId="0" fontId="59" fillId="39" borderId="192" xfId="0" applyFont="1" applyFill="1" applyBorder="1" applyAlignment="1">
      <alignment vertical="center"/>
    </xf>
    <xf numFmtId="4" fontId="79" fillId="39" borderId="192" xfId="0" applyNumberFormat="1" applyFont="1" applyFill="1" applyBorder="1" applyAlignment="1">
      <alignment horizontal="right" vertical="center"/>
    </xf>
    <xf numFmtId="0" fontId="16" fillId="39" borderId="192" xfId="0" applyFont="1" applyFill="1" applyBorder="1" applyAlignment="1">
      <alignment horizontal="right" vertical="center"/>
    </xf>
    <xf numFmtId="4" fontId="59" fillId="39" borderId="192" xfId="0" applyNumberFormat="1" applyFont="1" applyFill="1" applyBorder="1" applyAlignment="1">
      <alignment horizontal="right" vertical="center"/>
    </xf>
    <xf numFmtId="4" fontId="60" fillId="39" borderId="192" xfId="0" applyNumberFormat="1" applyFont="1" applyFill="1" applyBorder="1" applyAlignment="1">
      <alignment horizontal="right" vertical="center"/>
    </xf>
    <xf numFmtId="0" fontId="59" fillId="39" borderId="192" xfId="0" applyFont="1" applyFill="1" applyBorder="1" applyAlignment="1">
      <alignment horizontal="right" vertical="center"/>
    </xf>
    <xf numFmtId="4" fontId="16" fillId="43" borderId="192" xfId="0" applyNumberFormat="1" applyFont="1" applyFill="1" applyBorder="1" applyAlignment="1">
      <alignment horizontal="center" vertical="center"/>
    </xf>
    <xf numFmtId="178" fontId="16" fillId="43" borderId="192" xfId="0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/>
    </xf>
    <xf numFmtId="178" fontId="59" fillId="37" borderId="192" xfId="0" applyNumberFormat="1" applyFont="1" applyFill="1" applyBorder="1" applyAlignment="1">
      <alignment horizontal="center" vertical="center"/>
    </xf>
    <xf numFmtId="178" fontId="16" fillId="37" borderId="192" xfId="0" applyNumberFormat="1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/>
    </xf>
    <xf numFmtId="178" fontId="59" fillId="38" borderId="192" xfId="0" applyNumberFormat="1" applyFont="1" applyFill="1" applyBorder="1" applyAlignment="1">
      <alignment horizontal="center" vertical="center"/>
    </xf>
    <xf numFmtId="10" fontId="60" fillId="37" borderId="192" xfId="85" applyNumberFormat="1" applyFont="1" applyFill="1" applyBorder="1" applyAlignment="1">
      <alignment horizontal="center" vertical="center"/>
    </xf>
    <xf numFmtId="178" fontId="60" fillId="37" borderId="192" xfId="85" applyNumberFormat="1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 wrapText="1"/>
    </xf>
    <xf numFmtId="4" fontId="60" fillId="37" borderId="192" xfId="0" applyNumberFormat="1" applyFont="1" applyFill="1" applyBorder="1" applyAlignment="1">
      <alignment horizontal="center" vertical="center"/>
    </xf>
    <xf numFmtId="178" fontId="60" fillId="37" borderId="192" xfId="0" applyNumberFormat="1" applyFont="1" applyFill="1" applyBorder="1" applyAlignment="1">
      <alignment horizontal="center" vertical="center" wrapText="1"/>
    </xf>
    <xf numFmtId="169" fontId="16" fillId="43" borderId="192" xfId="0" applyNumberFormat="1" applyFont="1" applyFill="1" applyBorder="1" applyAlignment="1">
      <alignment horizontal="center" vertical="center"/>
    </xf>
    <xf numFmtId="168" fontId="16" fillId="43" borderId="192" xfId="0" applyNumberFormat="1" applyFont="1" applyFill="1" applyBorder="1" applyAlignment="1">
      <alignment horizontal="center" vertical="center"/>
    </xf>
    <xf numFmtId="0" fontId="59" fillId="37" borderId="192" xfId="0" applyFont="1" applyFill="1" applyBorder="1" applyAlignment="1">
      <alignment horizontal="center" vertical="center"/>
    </xf>
    <xf numFmtId="178" fontId="95" fillId="37" borderId="192" xfId="0" applyNumberFormat="1" applyFont="1" applyFill="1" applyBorder="1" applyAlignment="1">
      <alignment horizontal="center" vertical="center"/>
    </xf>
    <xf numFmtId="168" fontId="16" fillId="39" borderId="192" xfId="0" applyNumberFormat="1" applyFont="1" applyFill="1" applyBorder="1" applyAlignment="1">
      <alignment horizontal="center" vertical="center"/>
    </xf>
    <xf numFmtId="168" fontId="59" fillId="39" borderId="192" xfId="0" applyNumberFormat="1" applyFont="1" applyFill="1" applyBorder="1" applyAlignment="1">
      <alignment horizontal="center" vertical="center"/>
    </xf>
    <xf numFmtId="0" fontId="12" fillId="0" borderId="195" xfId="0" applyFont="1" applyBorder="1" applyAlignment="1">
      <alignment horizontal="center" vertical="center" wrapText="1"/>
    </xf>
    <xf numFmtId="169" fontId="13" fillId="0" borderId="196" xfId="0" applyNumberFormat="1" applyFont="1" applyBorder="1" applyAlignment="1">
      <alignment horizontal="center"/>
    </xf>
    <xf numFmtId="169" fontId="13" fillId="0" borderId="197" xfId="0" applyNumberFormat="1" applyFont="1" applyBorder="1" applyAlignment="1">
      <alignment horizontal="center"/>
    </xf>
    <xf numFmtId="0" fontId="16" fillId="39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7" fillId="0" borderId="0" xfId="0" applyFont="1"/>
    <xf numFmtId="0" fontId="128" fillId="39" borderId="192" xfId="0" applyFont="1" applyFill="1" applyBorder="1" applyAlignment="1">
      <alignment horizontal="center" vertical="center" wrapText="1"/>
    </xf>
    <xf numFmtId="0" fontId="80" fillId="39" borderId="192" xfId="0" applyFont="1" applyFill="1" applyBorder="1" applyAlignment="1">
      <alignment horizontal="center" vertical="center" wrapText="1"/>
    </xf>
    <xf numFmtId="178" fontId="129" fillId="37" borderId="192" xfId="0" applyNumberFormat="1" applyFont="1" applyFill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 wrapText="1"/>
    </xf>
    <xf numFmtId="171" fontId="60" fillId="0" borderId="192" xfId="85" applyNumberFormat="1" applyFont="1" applyFill="1" applyBorder="1" applyAlignment="1">
      <alignment horizontal="center" vertical="center"/>
    </xf>
    <xf numFmtId="171" fontId="59" fillId="0" borderId="192" xfId="0" applyNumberFormat="1" applyFont="1" applyFill="1" applyBorder="1" applyAlignment="1">
      <alignment horizontal="center" vertical="center" wrapText="1"/>
    </xf>
    <xf numFmtId="4" fontId="11" fillId="0" borderId="192" xfId="0" applyNumberFormat="1" applyFont="1" applyFill="1" applyBorder="1" applyAlignment="1">
      <alignment horizontal="center" vertical="center" wrapText="1"/>
    </xf>
    <xf numFmtId="171" fontId="60" fillId="0" borderId="192" xfId="0" applyNumberFormat="1" applyFont="1" applyFill="1" applyBorder="1" applyAlignment="1">
      <alignment horizontal="center" vertical="center" wrapText="1"/>
    </xf>
    <xf numFmtId="0" fontId="59" fillId="0" borderId="192" xfId="0" applyFont="1" applyFill="1" applyBorder="1" applyAlignment="1">
      <alignment vertical="center"/>
    </xf>
    <xf numFmtId="0" fontId="12" fillId="0" borderId="192" xfId="0" applyFont="1" applyBorder="1" applyAlignment="1">
      <alignment horizontal="center" vertical="center"/>
    </xf>
    <xf numFmtId="169" fontId="12" fillId="0" borderId="192" xfId="0" applyNumberFormat="1" applyFont="1" applyBorder="1" applyAlignment="1">
      <alignment horizontal="center" vertical="center"/>
    </xf>
    <xf numFmtId="169" fontId="13" fillId="0" borderId="192" xfId="0" applyNumberFormat="1" applyFont="1" applyBorder="1" applyAlignment="1">
      <alignment horizontal="center" vertical="center"/>
    </xf>
    <xf numFmtId="4" fontId="12" fillId="0" borderId="192" xfId="0" applyNumberFormat="1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57" fillId="0" borderId="192" xfId="0" applyNumberFormat="1" applyFont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10" fontId="13" fillId="0" borderId="192" xfId="85" applyNumberFormat="1" applyFont="1" applyBorder="1" applyAlignment="1">
      <alignment horizontal="center" vertical="center"/>
    </xf>
    <xf numFmtId="10" fontId="58" fillId="0" borderId="192" xfId="85" applyNumberFormat="1" applyFont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vertical="center"/>
    </xf>
    <xf numFmtId="0" fontId="11" fillId="0" borderId="192" xfId="0" applyFont="1" applyBorder="1" applyAlignment="1">
      <alignment horizontal="center" vertical="center"/>
    </xf>
    <xf numFmtId="169" fontId="11" fillId="0" borderId="192" xfId="0" applyNumberFormat="1" applyFont="1" applyBorder="1" applyAlignment="1">
      <alignment horizontal="center" vertical="center"/>
    </xf>
    <xf numFmtId="4" fontId="11" fillId="0" borderId="192" xfId="0" applyNumberFormat="1" applyFont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60" fillId="0" borderId="192" xfId="85" applyNumberFormat="1" applyFont="1" applyFill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17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vertical="center"/>
    </xf>
    <xf numFmtId="169" fontId="14" fillId="0" borderId="192" xfId="0" applyNumberFormat="1" applyFont="1" applyBorder="1" applyAlignment="1">
      <alignment horizontal="center" vertical="center"/>
    </xf>
    <xf numFmtId="4" fontId="58" fillId="0" borderId="192" xfId="0" applyNumberFormat="1" applyFont="1" applyBorder="1" applyAlignment="1">
      <alignment horizontal="center" vertical="center"/>
    </xf>
    <xf numFmtId="171" fontId="119" fillId="0" borderId="192" xfId="0" applyNumberFormat="1" applyFont="1" applyFill="1" applyBorder="1" applyAlignment="1">
      <alignment horizontal="center" vertical="center" wrapText="1"/>
    </xf>
    <xf numFmtId="171" fontId="79" fillId="0" borderId="192" xfId="85" applyNumberFormat="1" applyFont="1" applyFill="1" applyBorder="1" applyAlignment="1">
      <alignment horizontal="center" vertical="center"/>
    </xf>
    <xf numFmtId="171" fontId="16" fillId="0" borderId="192" xfId="0" applyNumberFormat="1" applyFont="1" applyFill="1" applyBorder="1" applyAlignment="1">
      <alignment horizontal="center" vertical="center" wrapText="1"/>
    </xf>
    <xf numFmtId="171" fontId="79" fillId="0" borderId="192" xfId="0" applyNumberFormat="1" applyFont="1" applyFill="1" applyBorder="1" applyAlignment="1">
      <alignment horizontal="center" vertical="center" wrapText="1"/>
    </xf>
    <xf numFmtId="2" fontId="11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/>
    </xf>
    <xf numFmtId="4" fontId="11" fillId="0" borderId="192" xfId="0" applyNumberFormat="1" applyFont="1" applyBorder="1" applyAlignment="1">
      <alignment vertical="center"/>
    </xf>
    <xf numFmtId="0" fontId="77" fillId="39" borderId="192" xfId="0" applyFont="1" applyFill="1" applyBorder="1" applyAlignment="1">
      <alignment vertical="center" wrapText="1"/>
    </xf>
    <xf numFmtId="0" fontId="60" fillId="39" borderId="192" xfId="0" applyFont="1" applyFill="1" applyBorder="1" applyAlignment="1">
      <alignment vertical="center"/>
    </xf>
    <xf numFmtId="0" fontId="16" fillId="39" borderId="192" xfId="0" applyFont="1" applyFill="1" applyBorder="1" applyAlignment="1">
      <alignment vertical="center"/>
    </xf>
    <xf numFmtId="0" fontId="16" fillId="39" borderId="192" xfId="0" applyFont="1" applyFill="1" applyBorder="1" applyAlignment="1">
      <alignment horizontal="left" vertical="center"/>
    </xf>
    <xf numFmtId="4" fontId="16" fillId="38" borderId="192" xfId="0" applyNumberFormat="1" applyFont="1" applyFill="1" applyBorder="1" applyAlignment="1">
      <alignment horizontal="center" vertical="center" wrapText="1"/>
    </xf>
    <xf numFmtId="10" fontId="60" fillId="38" borderId="192" xfId="85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 wrapText="1"/>
    </xf>
    <xf numFmtId="4" fontId="16" fillId="43" borderId="192" xfId="0" applyNumberFormat="1" applyFont="1" applyFill="1" applyBorder="1" applyAlignment="1">
      <alignment horizontal="center" vertical="center" wrapText="1"/>
    </xf>
    <xf numFmtId="4" fontId="59" fillId="43" borderId="192" xfId="0" applyNumberFormat="1" applyFont="1" applyFill="1" applyBorder="1" applyAlignment="1">
      <alignment horizontal="center" vertical="center"/>
    </xf>
    <xf numFmtId="10" fontId="60" fillId="43" borderId="192" xfId="85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 wrapText="1"/>
    </xf>
    <xf numFmtId="4" fontId="118" fillId="38" borderId="192" xfId="0" applyNumberFormat="1" applyFont="1" applyFill="1" applyBorder="1" applyAlignment="1">
      <alignment horizontal="center" vertical="center"/>
    </xf>
    <xf numFmtId="4" fontId="118" fillId="37" borderId="192" xfId="0" applyNumberFormat="1" applyFont="1" applyFill="1" applyBorder="1" applyAlignment="1">
      <alignment horizontal="center" vertical="center"/>
    </xf>
    <xf numFmtId="4" fontId="118" fillId="43" borderId="192" xfId="0" applyNumberFormat="1" applyFont="1" applyFill="1" applyBorder="1" applyAlignment="1">
      <alignment horizontal="center" vertical="center"/>
    </xf>
    <xf numFmtId="0" fontId="59" fillId="0" borderId="192" xfId="0" applyFont="1" applyBorder="1"/>
    <xf numFmtId="4" fontId="59" fillId="0" borderId="192" xfId="0" applyNumberFormat="1" applyFont="1" applyBorder="1"/>
    <xf numFmtId="171" fontId="60" fillId="0" borderId="192" xfId="85" applyNumberFormat="1" applyFont="1" applyBorder="1"/>
    <xf numFmtId="0" fontId="16" fillId="0" borderId="192" xfId="0" applyFont="1" applyBorder="1"/>
    <xf numFmtId="4" fontId="16" fillId="0" borderId="192" xfId="0" applyNumberFormat="1" applyFont="1" applyBorder="1"/>
    <xf numFmtId="2" fontId="16" fillId="0" borderId="192" xfId="0" applyNumberFormat="1" applyFont="1" applyBorder="1"/>
    <xf numFmtId="4" fontId="16" fillId="39" borderId="192" xfId="0" applyNumberFormat="1" applyFont="1" applyFill="1" applyBorder="1"/>
    <xf numFmtId="171" fontId="16" fillId="39" borderId="192" xfId="0" applyNumberFormat="1" applyFont="1" applyFill="1" applyBorder="1" applyAlignment="1">
      <alignment horizontal="center" vertical="center" wrapText="1"/>
    </xf>
    <xf numFmtId="0" fontId="16" fillId="39" borderId="192" xfId="0" applyFont="1" applyFill="1" applyBorder="1"/>
    <xf numFmtId="171" fontId="79" fillId="39" borderId="192" xfId="0" applyNumberFormat="1" applyFont="1" applyFill="1" applyBorder="1" applyAlignment="1">
      <alignment horizontal="center" vertical="center" wrapText="1"/>
    </xf>
    <xf numFmtId="171" fontId="60" fillId="39" borderId="192" xfId="85" applyNumberFormat="1" applyFont="1" applyFill="1" applyBorder="1"/>
    <xf numFmtId="0" fontId="59" fillId="39" borderId="192" xfId="0" applyFont="1" applyFill="1" applyBorder="1"/>
    <xf numFmtId="2" fontId="16" fillId="39" borderId="192" xfId="0" applyNumberFormat="1" applyFont="1" applyFill="1" applyBorder="1"/>
    <xf numFmtId="0" fontId="0" fillId="39" borderId="192" xfId="0" applyFill="1" applyBorder="1"/>
    <xf numFmtId="4" fontId="59" fillId="38" borderId="192" xfId="0" applyNumberFormat="1" applyFont="1" applyFill="1" applyBorder="1"/>
    <xf numFmtId="4" fontId="59" fillId="43" borderId="192" xfId="0" applyNumberFormat="1" applyFont="1" applyFill="1" applyBorder="1"/>
    <xf numFmtId="4" fontId="59" fillId="37" borderId="192" xfId="0" applyNumberFormat="1" applyFont="1" applyFill="1" applyBorder="1"/>
    <xf numFmtId="0" fontId="59" fillId="37" borderId="192" xfId="0" applyFont="1" applyFill="1" applyBorder="1"/>
    <xf numFmtId="0" fontId="12" fillId="37" borderId="192" xfId="0" applyFont="1" applyFill="1" applyBorder="1" applyAlignment="1">
      <alignment vertical="center" wrapText="1"/>
    </xf>
    <xf numFmtId="0" fontId="0" fillId="37" borderId="192" xfId="0" applyFont="1" applyFill="1" applyBorder="1" applyAlignment="1">
      <alignment vertical="center" wrapText="1"/>
    </xf>
    <xf numFmtId="0" fontId="13" fillId="37" borderId="192" xfId="0" applyFont="1" applyFill="1" applyBorder="1" applyAlignment="1">
      <alignment vertical="center" wrapText="1"/>
    </xf>
    <xf numFmtId="0" fontId="11" fillId="37" borderId="192" xfId="0" applyFont="1" applyFill="1" applyBorder="1" applyAlignment="1">
      <alignment vertical="center" wrapText="1"/>
    </xf>
    <xf numFmtId="2" fontId="12" fillId="37" borderId="192" xfId="0" applyNumberFormat="1" applyFont="1" applyFill="1" applyBorder="1" applyAlignment="1">
      <alignment vertical="center" wrapText="1"/>
    </xf>
    <xf numFmtId="2" fontId="11" fillId="37" borderId="192" xfId="0" applyNumberFormat="1" applyFont="1" applyFill="1" applyBorder="1" applyAlignment="1">
      <alignment vertical="center" wrapText="1"/>
    </xf>
    <xf numFmtId="9" fontId="12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vertical="center"/>
    </xf>
    <xf numFmtId="2" fontId="16" fillId="29" borderId="192" xfId="0" applyNumberFormat="1" applyFont="1" applyFill="1" applyBorder="1"/>
    <xf numFmtId="171" fontId="16" fillId="29" borderId="192" xfId="0" applyNumberFormat="1" applyFont="1" applyFill="1" applyBorder="1" applyAlignment="1">
      <alignment horizontal="center" vertical="center" wrapText="1"/>
    </xf>
    <xf numFmtId="0" fontId="16" fillId="29" borderId="192" xfId="0" applyFont="1" applyFill="1" applyBorder="1"/>
    <xf numFmtId="171" fontId="79" fillId="29" borderId="192" xfId="0" applyNumberFormat="1" applyFont="1" applyFill="1" applyBorder="1" applyAlignment="1">
      <alignment horizontal="center" vertical="center" wrapText="1"/>
    </xf>
    <xf numFmtId="171" fontId="60" fillId="29" borderId="192" xfId="85" applyNumberFormat="1" applyFont="1" applyFill="1" applyBorder="1"/>
    <xf numFmtId="0" fontId="0" fillId="29" borderId="192" xfId="0" applyFill="1" applyBorder="1"/>
    <xf numFmtId="0" fontId="13" fillId="38" borderId="192" xfId="96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left" vertical="center" wrapText="1" indent="3"/>
    </xf>
    <xf numFmtId="4" fontId="13" fillId="38" borderId="192" xfId="96" applyNumberFormat="1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 wrapText="1"/>
    </xf>
    <xf numFmtId="0" fontId="59" fillId="0" borderId="192" xfId="0" applyFont="1" applyFill="1" applyBorder="1" applyAlignment="1">
      <alignment horizontal="center" vertical="center"/>
    </xf>
    <xf numFmtId="0" fontId="78" fillId="38" borderId="192" xfId="0" applyFont="1" applyFill="1" applyBorder="1" applyAlignment="1">
      <alignment vertical="center"/>
    </xf>
    <xf numFmtId="2" fontId="59" fillId="38" borderId="192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vertical="center"/>
    </xf>
    <xf numFmtId="168" fontId="59" fillId="38" borderId="192" xfId="0" applyNumberFormat="1" applyFont="1" applyFill="1" applyBorder="1" applyAlignment="1">
      <alignment horizontal="center" vertical="center"/>
    </xf>
    <xf numFmtId="169" fontId="59" fillId="38" borderId="192" xfId="0" applyNumberFormat="1" applyFont="1" applyFill="1" applyBorder="1" applyAlignment="1">
      <alignment horizontal="center" vertical="center"/>
    </xf>
    <xf numFmtId="1" fontId="59" fillId="38" borderId="192" xfId="0" applyNumberFormat="1" applyFont="1" applyFill="1" applyBorder="1" applyAlignment="1">
      <alignment horizontal="center" vertical="center"/>
    </xf>
    <xf numFmtId="10" fontId="59" fillId="38" borderId="192" xfId="0" applyNumberFormat="1" applyFont="1" applyFill="1" applyBorder="1" applyAlignment="1">
      <alignment horizontal="center" vertical="center"/>
    </xf>
    <xf numFmtId="2" fontId="79" fillId="38" borderId="192" xfId="0" applyNumberFormat="1" applyFont="1" applyFill="1" applyBorder="1" applyAlignment="1">
      <alignment vertical="center"/>
    </xf>
    <xf numFmtId="168" fontId="16" fillId="38" borderId="192" xfId="0" applyNumberFormat="1" applyFont="1" applyFill="1" applyBorder="1" applyAlignment="1">
      <alignment horizontal="center" vertical="center"/>
    </xf>
    <xf numFmtId="169" fontId="16" fillId="38" borderId="192" xfId="0" applyNumberFormat="1" applyFont="1" applyFill="1" applyBorder="1" applyAlignment="1">
      <alignment horizontal="center" vertical="center"/>
    </xf>
    <xf numFmtId="1" fontId="16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vertical="center"/>
    </xf>
    <xf numFmtId="0" fontId="77" fillId="38" borderId="192" xfId="0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vertical="center" wrapText="1"/>
    </xf>
    <xf numFmtId="2" fontId="16" fillId="38" borderId="192" xfId="0" applyNumberFormat="1" applyFont="1" applyFill="1" applyBorder="1" applyAlignment="1">
      <alignment vertical="center" wrapText="1"/>
    </xf>
    <xf numFmtId="167" fontId="59" fillId="38" borderId="192" xfId="0" applyNumberFormat="1" applyFont="1" applyFill="1" applyBorder="1" applyAlignment="1">
      <alignment horizontal="center" vertical="center"/>
    </xf>
    <xf numFmtId="168" fontId="59" fillId="37" borderId="192" xfId="0" applyNumberFormat="1" applyFont="1" applyFill="1" applyBorder="1" applyAlignment="1">
      <alignment horizontal="center" vertical="center"/>
    </xf>
    <xf numFmtId="169" fontId="59" fillId="37" borderId="192" xfId="0" applyNumberFormat="1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/>
    </xf>
    <xf numFmtId="4" fontId="16" fillId="39" borderId="192" xfId="0" applyNumberFormat="1" applyFont="1" applyFill="1" applyBorder="1" applyAlignment="1">
      <alignment horizontal="center" vertical="center"/>
    </xf>
    <xf numFmtId="2" fontId="59" fillId="39" borderId="192" xfId="0" applyNumberFormat="1" applyFont="1" applyFill="1" applyBorder="1" applyAlignment="1">
      <alignment horizontal="center" vertical="center"/>
    </xf>
    <xf numFmtId="2" fontId="16" fillId="39" borderId="192" xfId="0" applyNumberFormat="1" applyFont="1" applyFill="1" applyBorder="1" applyAlignment="1">
      <alignment horizontal="center" vertical="center"/>
    </xf>
    <xf numFmtId="0" fontId="96" fillId="35" borderId="0" xfId="96" applyFont="1" applyFill="1" applyAlignment="1">
      <alignment vertical="center"/>
    </xf>
    <xf numFmtId="0" fontId="11" fillId="0" borderId="175" xfId="0" applyFont="1" applyBorder="1" applyAlignment="1">
      <alignment horizontal="center" vertical="center" wrapText="1"/>
    </xf>
    <xf numFmtId="0" fontId="12" fillId="0" borderId="175" xfId="0" applyFont="1" applyBorder="1"/>
    <xf numFmtId="4" fontId="12" fillId="0" borderId="175" xfId="0" applyNumberFormat="1" applyFont="1" applyBorder="1"/>
    <xf numFmtId="0" fontId="11" fillId="0" borderId="175" xfId="0" applyFont="1" applyFill="1" applyBorder="1"/>
    <xf numFmtId="0" fontId="11" fillId="0" borderId="175" xfId="0" applyFont="1" applyBorder="1"/>
    <xf numFmtId="4" fontId="11" fillId="0" borderId="175" xfId="0" applyNumberFormat="1" applyFont="1" applyBorder="1" applyAlignment="1">
      <alignment horizontal="center" vertical="center"/>
    </xf>
    <xf numFmtId="0" fontId="12" fillId="0" borderId="175" xfId="0" applyFont="1" applyFill="1" applyBorder="1"/>
    <xf numFmtId="0" fontId="12" fillId="0" borderId="175" xfId="0" applyFont="1" applyBorder="1" applyAlignment="1">
      <alignment horizontal="center" vertical="center"/>
    </xf>
    <xf numFmtId="4" fontId="12" fillId="0" borderId="175" xfId="0" applyNumberFormat="1" applyFont="1" applyBorder="1" applyAlignment="1">
      <alignment horizontal="center" vertical="center"/>
    </xf>
    <xf numFmtId="2" fontId="12" fillId="0" borderId="0" xfId="0" applyNumberFormat="1" applyFont="1"/>
    <xf numFmtId="0" fontId="12" fillId="44" borderId="175" xfId="0" applyFont="1" applyFill="1" applyBorder="1"/>
    <xf numFmtId="4" fontId="12" fillId="44" borderId="175" xfId="0" applyNumberFormat="1" applyFont="1" applyFill="1" applyBorder="1"/>
    <xf numFmtId="0" fontId="15" fillId="0" borderId="0" xfId="0" applyFont="1"/>
    <xf numFmtId="4" fontId="80" fillId="0" borderId="0" xfId="0" applyNumberFormat="1" applyFont="1"/>
    <xf numFmtId="0" fontId="80" fillId="0" borderId="0" xfId="0" applyFont="1"/>
    <xf numFmtId="0" fontId="130" fillId="0" borderId="0" xfId="0" applyFont="1"/>
    <xf numFmtId="0" fontId="80" fillId="0" borderId="0" xfId="0" applyFont="1" applyAlignment="1">
      <alignment horizontal="right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80" fillId="39" borderId="192" xfId="0" applyFont="1" applyFill="1" applyBorder="1"/>
    <xf numFmtId="4" fontId="80" fillId="39" borderId="192" xfId="0" applyNumberFormat="1" applyFont="1" applyFill="1" applyBorder="1"/>
    <xf numFmtId="4" fontId="8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horizontal="center"/>
    </xf>
    <xf numFmtId="4" fontId="80" fillId="39" borderId="192" xfId="0" applyNumberFormat="1" applyFont="1" applyFill="1" applyBorder="1" applyAlignment="1">
      <alignment horizontal="center" vertical="center"/>
    </xf>
    <xf numFmtId="0" fontId="126" fillId="38" borderId="0" xfId="96" applyFont="1" applyFill="1" applyAlignment="1">
      <alignment vertical="center" wrapText="1"/>
    </xf>
    <xf numFmtId="4" fontId="80" fillId="39" borderId="192" xfId="0" applyNumberFormat="1" applyFont="1" applyFill="1" applyBorder="1" applyAlignment="1">
      <alignment horizontal="center" vertical="center" wrapText="1"/>
    </xf>
    <xf numFmtId="171" fontId="12" fillId="0" borderId="0" xfId="85" applyNumberFormat="1" applyFont="1"/>
    <xf numFmtId="4" fontId="12" fillId="0" borderId="0" xfId="0" applyNumberFormat="1" applyFont="1"/>
    <xf numFmtId="0" fontId="12" fillId="0" borderId="192" xfId="0" applyFont="1" applyBorder="1"/>
    <xf numFmtId="4" fontId="12" fillId="0" borderId="192" xfId="0" applyNumberFormat="1" applyFont="1" applyBorder="1" applyAlignment="1">
      <alignment vertical="center" wrapText="1"/>
    </xf>
    <xf numFmtId="4" fontId="11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vertical="center"/>
    </xf>
    <xf numFmtId="0" fontId="12" fillId="39" borderId="192" xfId="0" applyFont="1" applyFill="1" applyBorder="1" applyAlignment="1">
      <alignment vertical="center" wrapText="1"/>
    </xf>
    <xf numFmtId="0" fontId="11" fillId="39" borderId="192" xfId="0" applyFont="1" applyFill="1" applyBorder="1" applyAlignment="1">
      <alignment vertical="center" wrapText="1"/>
    </xf>
    <xf numFmtId="4" fontId="11" fillId="39" borderId="192" xfId="0" applyNumberFormat="1" applyFont="1" applyFill="1" applyBorder="1" applyAlignment="1">
      <alignment vertical="center"/>
    </xf>
    <xf numFmtId="0" fontId="105" fillId="0" borderId="0" xfId="147" applyFont="1"/>
    <xf numFmtId="0" fontId="105" fillId="0" borderId="0" xfId="147" applyFont="1" applyAlignment="1">
      <alignment vertical="center"/>
    </xf>
    <xf numFmtId="0" fontId="105" fillId="39" borderId="167" xfId="147" applyFont="1" applyFill="1" applyBorder="1" applyAlignment="1">
      <alignment wrapText="1"/>
    </xf>
    <xf numFmtId="0" fontId="105" fillId="39" borderId="167" xfId="147" applyFont="1" applyFill="1" applyBorder="1" applyAlignment="1">
      <alignment horizontal="center" wrapText="1"/>
    </xf>
    <xf numFmtId="4" fontId="105" fillId="39" borderId="167" xfId="147" applyNumberFormat="1" applyFont="1" applyFill="1" applyBorder="1"/>
    <xf numFmtId="4" fontId="105" fillId="39" borderId="175" xfId="147" applyNumberFormat="1" applyFont="1" applyFill="1" applyBorder="1"/>
    <xf numFmtId="0" fontId="105" fillId="39" borderId="175" xfId="147" applyFont="1" applyFill="1" applyBorder="1" applyAlignment="1">
      <alignment wrapText="1"/>
    </xf>
    <xf numFmtId="0" fontId="105" fillId="39" borderId="175" xfId="147" applyFont="1" applyFill="1" applyBorder="1" applyAlignment="1">
      <alignment horizontal="center" wrapText="1"/>
    </xf>
    <xf numFmtId="0" fontId="105" fillId="39" borderId="167" xfId="147" applyFont="1" applyFill="1" applyBorder="1" applyAlignment="1">
      <alignment horizontal="center"/>
    </xf>
    <xf numFmtId="0" fontId="105" fillId="43" borderId="167" xfId="147" applyFont="1" applyFill="1" applyBorder="1" applyAlignment="1">
      <alignment wrapText="1"/>
    </xf>
    <xf numFmtId="0" fontId="105" fillId="43" borderId="167" xfId="147" applyFont="1" applyFill="1" applyBorder="1" applyAlignment="1">
      <alignment horizontal="center" wrapText="1"/>
    </xf>
    <xf numFmtId="4" fontId="105" fillId="43" borderId="167" xfId="147" applyNumberFormat="1" applyFont="1" applyFill="1" applyBorder="1"/>
    <xf numFmtId="0" fontId="105" fillId="43" borderId="167" xfId="147" applyFont="1" applyFill="1" applyBorder="1" applyAlignment="1">
      <alignment horizontal="center"/>
    </xf>
    <xf numFmtId="0" fontId="105" fillId="43" borderId="175" xfId="147" applyFont="1" applyFill="1" applyBorder="1" applyAlignment="1">
      <alignment wrapText="1"/>
    </xf>
    <xf numFmtId="0" fontId="105" fillId="43" borderId="175" xfId="147" applyFont="1" applyFill="1" applyBorder="1" applyAlignment="1">
      <alignment horizontal="center" wrapText="1"/>
    </xf>
    <xf numFmtId="4" fontId="105" fillId="43" borderId="175" xfId="147" applyNumberFormat="1" applyFont="1" applyFill="1" applyBorder="1"/>
    <xf numFmtId="0" fontId="105" fillId="43" borderId="175" xfId="147" applyFont="1" applyFill="1" applyBorder="1" applyAlignment="1">
      <alignment horizontal="center"/>
    </xf>
    <xf numFmtId="4" fontId="105" fillId="43" borderId="167" xfId="148" applyNumberFormat="1" applyFont="1" applyFill="1" applyBorder="1"/>
    <xf numFmtId="0" fontId="105" fillId="43" borderId="167" xfId="147" applyFont="1" applyFill="1" applyBorder="1" applyAlignment="1">
      <alignment vertical="center" wrapText="1"/>
    </xf>
    <xf numFmtId="0" fontId="105" fillId="43" borderId="167" xfId="147" applyFont="1" applyFill="1" applyBorder="1" applyAlignment="1">
      <alignment horizontal="center" vertical="center" wrapText="1"/>
    </xf>
    <xf numFmtId="4" fontId="105" fillId="43" borderId="167" xfId="147" applyNumberFormat="1" applyFont="1" applyFill="1" applyBorder="1" applyAlignment="1">
      <alignment vertical="center"/>
    </xf>
    <xf numFmtId="0" fontId="105" fillId="43" borderId="167" xfId="147" applyFont="1" applyFill="1" applyBorder="1" applyAlignment="1">
      <alignment horizontal="center" vertical="center"/>
    </xf>
    <xf numFmtId="0" fontId="105" fillId="37" borderId="167" xfId="147" applyFont="1" applyFill="1" applyBorder="1" applyAlignment="1">
      <alignment wrapText="1"/>
    </xf>
    <xf numFmtId="0" fontId="105" fillId="37" borderId="167" xfId="147" applyFont="1" applyFill="1" applyBorder="1" applyAlignment="1">
      <alignment horizontal="center" wrapText="1"/>
    </xf>
    <xf numFmtId="4" fontId="105" fillId="37" borderId="167" xfId="147" applyNumberFormat="1" applyFont="1" applyFill="1" applyBorder="1"/>
    <xf numFmtId="0" fontId="105" fillId="37" borderId="167" xfId="147" applyFont="1" applyFill="1" applyBorder="1" applyAlignment="1">
      <alignment horizontal="center"/>
    </xf>
    <xf numFmtId="0" fontId="105" fillId="37" borderId="175" xfId="147" applyFont="1" applyFill="1" applyBorder="1" applyAlignment="1">
      <alignment wrapText="1"/>
    </xf>
    <xf numFmtId="0" fontId="105" fillId="37" borderId="175" xfId="147" applyFont="1" applyFill="1" applyBorder="1" applyAlignment="1">
      <alignment horizontal="center" wrapText="1"/>
    </xf>
    <xf numFmtId="4" fontId="105" fillId="37" borderId="175" xfId="147" applyNumberFormat="1" applyFont="1" applyFill="1" applyBorder="1"/>
    <xf numFmtId="0" fontId="105" fillId="37" borderId="175" xfId="147" applyFont="1" applyFill="1" applyBorder="1" applyAlignment="1">
      <alignment horizontal="center"/>
    </xf>
    <xf numFmtId="4" fontId="105" fillId="37" borderId="167" xfId="148" applyNumberFormat="1" applyFont="1" applyFill="1" applyBorder="1"/>
    <xf numFmtId="0" fontId="105" fillId="37" borderId="167" xfId="147" applyFont="1" applyFill="1" applyBorder="1" applyAlignment="1">
      <alignment vertical="center" wrapText="1"/>
    </xf>
    <xf numFmtId="0" fontId="105" fillId="37" borderId="167" xfId="147" applyFont="1" applyFill="1" applyBorder="1" applyAlignment="1">
      <alignment horizontal="center" vertical="center" wrapText="1"/>
    </xf>
    <xf numFmtId="4" fontId="105" fillId="37" borderId="167" xfId="147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horizontal="center" vertical="center"/>
    </xf>
    <xf numFmtId="0" fontId="105" fillId="0" borderId="175" xfId="147" applyFont="1" applyBorder="1" applyAlignment="1">
      <alignment horizontal="center" vertical="center"/>
    </xf>
    <xf numFmtId="0" fontId="105" fillId="0" borderId="0" xfId="147" applyFont="1" applyAlignment="1">
      <alignment horizontal="center" vertical="center"/>
    </xf>
    <xf numFmtId="4" fontId="105" fillId="0" borderId="167" xfId="147" applyNumberFormat="1" applyFont="1" applyBorder="1" applyAlignment="1">
      <alignment horizontal="center" vertical="center"/>
    </xf>
    <xf numFmtId="4" fontId="105" fillId="0" borderId="175" xfId="147" applyNumberFormat="1" applyFont="1" applyBorder="1" applyAlignment="1">
      <alignment horizontal="center" vertical="center"/>
    </xf>
    <xf numFmtId="4" fontId="105" fillId="37" borderId="167" xfId="147" applyNumberFormat="1" applyFont="1" applyFill="1" applyBorder="1" applyAlignment="1">
      <alignment horizontal="center" vertical="center"/>
    </xf>
    <xf numFmtId="4" fontId="105" fillId="37" borderId="175" xfId="147" applyNumberFormat="1" applyFont="1" applyFill="1" applyBorder="1" applyAlignment="1">
      <alignment horizontal="center" vertical="center"/>
    </xf>
    <xf numFmtId="4" fontId="105" fillId="37" borderId="167" xfId="148" applyNumberFormat="1" applyFont="1" applyFill="1" applyBorder="1" applyAlignment="1">
      <alignment horizontal="center" vertical="center"/>
    </xf>
    <xf numFmtId="2" fontId="105" fillId="0" borderId="0" xfId="147" applyNumberFormat="1" applyFont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169" fontId="16" fillId="0" borderId="192" xfId="0" applyNumberFormat="1" applyFont="1" applyFill="1" applyBorder="1" applyAlignment="1">
      <alignment horizontal="center" vertical="center"/>
    </xf>
    <xf numFmtId="169" fontId="79" fillId="0" borderId="192" xfId="0" applyNumberFormat="1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vertical="center"/>
    </xf>
    <xf numFmtId="169" fontId="59" fillId="0" borderId="192" xfId="0" applyNumberFormat="1" applyFont="1" applyFill="1" applyBorder="1" applyAlignment="1">
      <alignment horizontal="center" vertical="center"/>
    </xf>
    <xf numFmtId="0" fontId="60" fillId="0" borderId="192" xfId="0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10" fontId="16" fillId="0" borderId="192" xfId="85" applyNumberFormat="1" applyFont="1" applyFill="1" applyBorder="1" applyAlignment="1">
      <alignment horizontal="center" vertical="center"/>
    </xf>
    <xf numFmtId="4" fontId="79" fillId="0" borderId="192" xfId="0" applyNumberFormat="1" applyFont="1" applyFill="1" applyBorder="1" applyAlignment="1">
      <alignment horizontal="center" vertical="center"/>
    </xf>
    <xf numFmtId="171" fontId="59" fillId="0" borderId="192" xfId="85" applyNumberFormat="1" applyFont="1" applyFill="1" applyBorder="1" applyAlignment="1">
      <alignment horizontal="center" vertical="center"/>
    </xf>
    <xf numFmtId="171" fontId="16" fillId="0" borderId="192" xfId="85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/>
    </xf>
    <xf numFmtId="2" fontId="16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vertical="center"/>
    </xf>
    <xf numFmtId="4" fontId="16" fillId="0" borderId="192" xfId="0" applyNumberFormat="1" applyFont="1" applyFill="1" applyBorder="1" applyAlignment="1">
      <alignment vertical="center"/>
    </xf>
    <xf numFmtId="4" fontId="79" fillId="0" borderId="192" xfId="0" applyNumberFormat="1" applyFont="1" applyFill="1" applyBorder="1" applyAlignment="1">
      <alignment horizontal="center" vertical="center" wrapText="1"/>
    </xf>
    <xf numFmtId="4" fontId="16" fillId="0" borderId="192" xfId="85" applyNumberFormat="1" applyFont="1" applyFill="1" applyBorder="1" applyAlignment="1">
      <alignment horizontal="center" vertical="center"/>
    </xf>
    <xf numFmtId="0" fontId="13" fillId="0" borderId="0" xfId="0" applyFont="1"/>
    <xf numFmtId="10" fontId="131" fillId="0" borderId="0" xfId="85" applyNumberFormat="1" applyFont="1" applyFill="1" applyBorder="1"/>
    <xf numFmtId="4" fontId="13" fillId="0" borderId="0" xfId="0" applyNumberFormat="1" applyFont="1"/>
    <xf numFmtId="0" fontId="12" fillId="0" borderId="202" xfId="0" applyFont="1" applyBorder="1" applyAlignment="1">
      <alignment horizontal="center" vertical="center" wrapText="1"/>
    </xf>
    <xf numFmtId="169" fontId="13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6" fillId="39" borderId="193" xfId="0" applyFont="1" applyFill="1" applyBorder="1" applyAlignment="1">
      <alignment vertical="center" wrapText="1"/>
    </xf>
    <xf numFmtId="171" fontId="60" fillId="37" borderId="192" xfId="85" applyNumberFormat="1" applyFont="1" applyFill="1" applyBorder="1" applyAlignment="1">
      <alignment horizontal="center" vertical="center" wrapText="1"/>
    </xf>
    <xf numFmtId="0" fontId="59" fillId="39" borderId="205" xfId="0" applyFont="1" applyFill="1" applyBorder="1" applyAlignment="1">
      <alignment vertical="center" wrapText="1"/>
    </xf>
    <xf numFmtId="0" fontId="59" fillId="39" borderId="205" xfId="0" applyFont="1" applyFill="1" applyBorder="1" applyAlignment="1">
      <alignment vertical="center"/>
    </xf>
    <xf numFmtId="4" fontId="59" fillId="39" borderId="205" xfId="0" applyNumberFormat="1" applyFont="1" applyFill="1" applyBorder="1" applyAlignment="1">
      <alignment horizontal="right" vertical="center"/>
    </xf>
    <xf numFmtId="4" fontId="60" fillId="39" borderId="205" xfId="0" applyNumberFormat="1" applyFont="1" applyFill="1" applyBorder="1" applyAlignment="1">
      <alignment horizontal="right" vertical="center"/>
    </xf>
    <xf numFmtId="0" fontId="59" fillId="39" borderId="205" xfId="0" applyFont="1" applyFill="1" applyBorder="1" applyAlignment="1">
      <alignment horizontal="right" vertical="center"/>
    </xf>
    <xf numFmtId="0" fontId="59" fillId="37" borderId="205" xfId="0" applyFont="1" applyFill="1" applyBorder="1" applyAlignment="1">
      <alignment horizontal="center" vertical="center"/>
    </xf>
    <xf numFmtId="4" fontId="59" fillId="37" borderId="205" xfId="0" applyNumberFormat="1" applyFont="1" applyFill="1" applyBorder="1" applyAlignment="1">
      <alignment horizontal="center" vertical="center"/>
    </xf>
    <xf numFmtId="4" fontId="59" fillId="37" borderId="205" xfId="0" applyNumberFormat="1" applyFont="1" applyFill="1" applyBorder="1" applyAlignment="1">
      <alignment horizontal="right" vertical="center"/>
    </xf>
    <xf numFmtId="178" fontId="59" fillId="37" borderId="205" xfId="0" applyNumberFormat="1" applyFont="1" applyFill="1" applyBorder="1" applyAlignment="1">
      <alignment horizontal="center" vertical="center"/>
    </xf>
    <xf numFmtId="178" fontId="59" fillId="37" borderId="192" xfId="0" applyNumberFormat="1" applyFont="1" applyFill="1" applyBorder="1" applyAlignment="1">
      <alignment horizontal="right" vertical="center"/>
    </xf>
    <xf numFmtId="178" fontId="59" fillId="37" borderId="205" xfId="0" applyNumberFormat="1" applyFont="1" applyFill="1" applyBorder="1" applyAlignment="1">
      <alignment horizontal="right" vertical="center"/>
    </xf>
    <xf numFmtId="0" fontId="12" fillId="39" borderId="192" xfId="0" applyFont="1" applyFill="1" applyBorder="1" applyAlignment="1">
      <alignment horizontal="center" vertical="center" wrapText="1"/>
    </xf>
    <xf numFmtId="169" fontId="14" fillId="0" borderId="192" xfId="0" applyNumberFormat="1" applyFont="1" applyFill="1" applyBorder="1" applyAlignment="1">
      <alignment horizontal="center" vertical="center"/>
    </xf>
    <xf numFmtId="0" fontId="12" fillId="0" borderId="203" xfId="0" applyFont="1" applyBorder="1" applyAlignment="1">
      <alignment horizontal="center" vertical="center" wrapText="1"/>
    </xf>
    <xf numFmtId="0" fontId="12" fillId="39" borderId="206" xfId="0" applyFont="1" applyFill="1" applyBorder="1" applyAlignment="1">
      <alignment horizontal="center" vertical="center" wrapText="1"/>
    </xf>
    <xf numFmtId="171" fontId="11" fillId="39" borderId="192" xfId="85" applyNumberFormat="1" applyFont="1" applyFill="1" applyBorder="1" applyAlignment="1">
      <alignment horizontal="center" vertical="center"/>
    </xf>
    <xf numFmtId="2" fontId="11" fillId="39" borderId="192" xfId="85" applyNumberFormat="1" applyFont="1" applyFill="1" applyBorder="1" applyAlignment="1">
      <alignment horizontal="center" vertical="center"/>
    </xf>
    <xf numFmtId="4" fontId="11" fillId="39" borderId="192" xfId="0" applyNumberFormat="1" applyFont="1" applyFill="1" applyBorder="1" applyAlignment="1">
      <alignment horizontal="center" vertical="center"/>
    </xf>
    <xf numFmtId="4" fontId="12" fillId="39" borderId="192" xfId="0" applyNumberFormat="1" applyFont="1" applyFill="1" applyBorder="1" applyAlignment="1">
      <alignment horizontal="center" vertical="center"/>
    </xf>
    <xf numFmtId="169" fontId="13" fillId="39" borderId="192" xfId="0" applyNumberFormat="1" applyFont="1" applyFill="1" applyBorder="1" applyAlignment="1">
      <alignment horizontal="center" vertical="center"/>
    </xf>
    <xf numFmtId="4" fontId="12" fillId="37" borderId="192" xfId="0" applyNumberFormat="1" applyFont="1" applyFill="1" applyBorder="1" applyAlignment="1">
      <alignment horizontal="center" vertical="center"/>
    </xf>
    <xf numFmtId="169" fontId="13" fillId="37" borderId="192" xfId="0" applyNumberFormat="1" applyFont="1" applyFill="1" applyBorder="1" applyAlignment="1">
      <alignment horizontal="center" vertical="center"/>
    </xf>
    <xf numFmtId="171" fontId="12" fillId="37" borderId="192" xfId="85" applyNumberFormat="1" applyFont="1" applyFill="1" applyBorder="1" applyAlignment="1">
      <alignment horizontal="center" vertical="center"/>
    </xf>
    <xf numFmtId="2" fontId="12" fillId="37" borderId="192" xfId="85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0" fontId="11" fillId="37" borderId="192" xfId="0" applyFont="1" applyFill="1" applyBorder="1" applyAlignment="1">
      <alignment vertical="center"/>
    </xf>
    <xf numFmtId="4" fontId="11" fillId="37" borderId="192" xfId="0" applyNumberFormat="1" applyFont="1" applyFill="1" applyBorder="1" applyAlignment="1">
      <alignment vertical="center"/>
    </xf>
    <xf numFmtId="4" fontId="12" fillId="37" borderId="192" xfId="0" applyNumberFormat="1" applyFont="1" applyFill="1" applyBorder="1" applyAlignment="1">
      <alignment vertical="center" wrapText="1"/>
    </xf>
    <xf numFmtId="4" fontId="12" fillId="37" borderId="192" xfId="0" applyNumberFormat="1" applyFont="1" applyFill="1" applyBorder="1" applyAlignment="1">
      <alignment vertical="center"/>
    </xf>
    <xf numFmtId="178" fontId="12" fillId="37" borderId="192" xfId="0" applyNumberFormat="1" applyFont="1" applyFill="1" applyBorder="1" applyAlignment="1">
      <alignment vertical="center" wrapText="1"/>
    </xf>
    <xf numFmtId="178" fontId="11" fillId="39" borderId="192" xfId="0" applyNumberFormat="1" applyFont="1" applyFill="1" applyBorder="1" applyAlignment="1">
      <alignment vertical="center" wrapText="1"/>
    </xf>
    <xf numFmtId="0" fontId="12" fillId="39" borderId="192" xfId="0" applyFont="1" applyFill="1" applyBorder="1"/>
    <xf numFmtId="4" fontId="12" fillId="39" borderId="192" xfId="0" applyNumberFormat="1" applyFont="1" applyFill="1" applyBorder="1"/>
    <xf numFmtId="2" fontId="12" fillId="39" borderId="192" xfId="0" applyNumberFormat="1" applyFont="1" applyFill="1" applyBorder="1"/>
    <xf numFmtId="0" fontId="12" fillId="37" borderId="192" xfId="0" applyFont="1" applyFill="1" applyBorder="1"/>
    <xf numFmtId="171" fontId="12" fillId="37" borderId="192" xfId="85" applyNumberFormat="1" applyFont="1" applyFill="1" applyBorder="1"/>
    <xf numFmtId="4" fontId="12" fillId="37" borderId="192" xfId="0" applyNumberFormat="1" applyFont="1" applyFill="1" applyBorder="1"/>
    <xf numFmtId="2" fontId="12" fillId="37" borderId="192" xfId="0" applyNumberFormat="1" applyFont="1" applyFill="1" applyBorder="1"/>
    <xf numFmtId="168" fontId="12" fillId="37" borderId="192" xfId="0" applyNumberFormat="1" applyFont="1" applyFill="1" applyBorder="1"/>
    <xf numFmtId="4" fontId="11" fillId="37" borderId="192" xfId="0" applyNumberFormat="1" applyFont="1" applyFill="1" applyBorder="1"/>
    <xf numFmtId="0" fontId="12" fillId="39" borderId="192" xfId="0" applyFont="1" applyFill="1" applyBorder="1" applyAlignment="1">
      <alignment horizontal="center"/>
    </xf>
    <xf numFmtId="4" fontId="13" fillId="37" borderId="192" xfId="0" applyNumberFormat="1" applyFont="1" applyFill="1" applyBorder="1"/>
    <xf numFmtId="0" fontId="13" fillId="37" borderId="192" xfId="0" applyFont="1" applyFill="1" applyBorder="1"/>
    <xf numFmtId="0" fontId="13" fillId="39" borderId="192" xfId="0" applyFont="1" applyFill="1" applyBorder="1" applyAlignment="1">
      <alignment horizontal="right"/>
    </xf>
    <xf numFmtId="4" fontId="13" fillId="37" borderId="192" xfId="0" applyNumberFormat="1" applyFont="1" applyFill="1" applyBorder="1" applyAlignment="1">
      <alignment horizontal="right"/>
    </xf>
    <xf numFmtId="0" fontId="13" fillId="37" borderId="192" xfId="0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2" fontId="13" fillId="37" borderId="192" xfId="0" applyNumberFormat="1" applyFont="1" applyFill="1" applyBorder="1" applyAlignment="1">
      <alignment horizontal="right"/>
    </xf>
    <xf numFmtId="0" fontId="13" fillId="39" borderId="192" xfId="0" applyFont="1" applyFill="1" applyBorder="1" applyAlignment="1">
      <alignment horizontal="right" vertical="center"/>
    </xf>
    <xf numFmtId="4" fontId="13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/>
    <xf numFmtId="2" fontId="12" fillId="37" borderId="192" xfId="0" applyNumberFormat="1" applyFont="1" applyFill="1" applyBorder="1" applyAlignment="1">
      <alignment vertical="center"/>
    </xf>
    <xf numFmtId="0" fontId="12" fillId="39" borderId="192" xfId="0" applyFont="1" applyFill="1" applyBorder="1" applyAlignment="1">
      <alignment horizontal="center" vertical="center"/>
    </xf>
    <xf numFmtId="4" fontId="12" fillId="43" borderId="192" xfId="0" applyNumberFormat="1" applyFont="1" applyFill="1" applyBorder="1"/>
    <xf numFmtId="0" fontId="54" fillId="0" borderId="0" xfId="0" applyFont="1"/>
    <xf numFmtId="171" fontId="54" fillId="0" borderId="0" xfId="85" applyNumberFormat="1" applyFont="1"/>
    <xf numFmtId="9" fontId="54" fillId="0" borderId="0" xfId="85" applyFont="1"/>
    <xf numFmtId="0" fontId="47" fillId="27" borderId="192" xfId="0" applyFont="1" applyFill="1" applyBorder="1"/>
    <xf numFmtId="0" fontId="47" fillId="27" borderId="192" xfId="0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/>
    </xf>
    <xf numFmtId="0" fontId="47" fillId="45" borderId="192" xfId="0" applyFont="1" applyFill="1" applyBorder="1" applyAlignment="1">
      <alignment horizontal="center" vertical="center"/>
    </xf>
    <xf numFmtId="168" fontId="47" fillId="45" borderId="192" xfId="0" applyNumberFormat="1" applyFont="1" applyFill="1" applyBorder="1" applyAlignment="1">
      <alignment horizontal="center" vertical="center"/>
    </xf>
    <xf numFmtId="168" fontId="47" fillId="45" borderId="0" xfId="0" applyNumberFormat="1" applyFont="1" applyFill="1" applyAlignment="1">
      <alignment horizontal="center"/>
    </xf>
    <xf numFmtId="2" fontId="47" fillId="45" borderId="192" xfId="0" applyNumberFormat="1" applyFont="1" applyFill="1" applyBorder="1" applyAlignment="1">
      <alignment horizontal="center" vertical="center"/>
    </xf>
    <xf numFmtId="0" fontId="22" fillId="27" borderId="192" xfId="0" applyFont="1" applyFill="1" applyBorder="1" applyAlignment="1">
      <alignment horizontal="left" vertical="center" wrapText="1"/>
    </xf>
    <xf numFmtId="168" fontId="47" fillId="45" borderId="205" xfId="0" applyNumberFormat="1" applyFont="1" applyFill="1" applyBorder="1" applyAlignment="1">
      <alignment horizontal="center" vertical="center"/>
    </xf>
    <xf numFmtId="2" fontId="47" fillId="45" borderId="205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45" borderId="205" xfId="85" applyNumberFormat="1" applyFont="1" applyFill="1" applyBorder="1" applyAlignment="1">
      <alignment horizontal="center" vertical="center"/>
    </xf>
    <xf numFmtId="168" fontId="47" fillId="27" borderId="192" xfId="0" applyNumberFormat="1" applyFont="1" applyFill="1" applyBorder="1" applyAlignment="1">
      <alignment horizontal="center" vertical="center"/>
    </xf>
    <xf numFmtId="2" fontId="47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2" fillId="27" borderId="203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left" vertical="center" wrapText="1"/>
    </xf>
    <xf numFmtId="0" fontId="12" fillId="27" borderId="11" xfId="0" applyFont="1" applyFill="1" applyBorder="1" applyAlignment="1">
      <alignment horizontal="center" vertical="center" wrapText="1"/>
    </xf>
    <xf numFmtId="4" fontId="12" fillId="27" borderId="203" xfId="0" applyNumberFormat="1" applyFont="1" applyFill="1" applyBorder="1" applyAlignment="1">
      <alignment horizontal="center" vertical="center" wrapText="1"/>
    </xf>
    <xf numFmtId="9" fontId="12" fillId="27" borderId="203" xfId="0" applyNumberFormat="1" applyFont="1" applyFill="1" applyBorder="1" applyAlignment="1">
      <alignment horizontal="center" vertical="center"/>
    </xf>
    <xf numFmtId="168" fontId="12" fillId="27" borderId="203" xfId="0" applyNumberFormat="1" applyFont="1" applyFill="1" applyBorder="1" applyAlignment="1">
      <alignment horizontal="center" vertical="center"/>
    </xf>
    <xf numFmtId="178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/>
    </xf>
    <xf numFmtId="9" fontId="12" fillId="27" borderId="203" xfId="85" applyFont="1" applyFill="1" applyBorder="1" applyAlignment="1">
      <alignment horizontal="center" vertical="center"/>
    </xf>
    <xf numFmtId="2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1"/>
    </xf>
    <xf numFmtId="4" fontId="12" fillId="46" borderId="203" xfId="0" applyNumberFormat="1" applyFont="1" applyFill="1" applyBorder="1" applyAlignment="1">
      <alignment horizontal="center" vertical="center" wrapText="1"/>
    </xf>
    <xf numFmtId="9" fontId="12" fillId="46" borderId="203" xfId="85" applyFont="1" applyFill="1" applyBorder="1" applyAlignment="1">
      <alignment horizontal="center" vertical="center"/>
    </xf>
    <xf numFmtId="168" fontId="12" fillId="46" borderId="203" xfId="0" applyNumberFormat="1" applyFont="1" applyFill="1" applyBorder="1" applyAlignment="1">
      <alignment horizontal="center" vertical="center"/>
    </xf>
    <xf numFmtId="178" fontId="12" fillId="46" borderId="203" xfId="0" applyNumberFormat="1" applyFont="1" applyFill="1" applyBorder="1" applyAlignment="1">
      <alignment horizontal="center" vertical="center"/>
    </xf>
    <xf numFmtId="2" fontId="12" fillId="46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2"/>
    </xf>
    <xf numFmtId="4" fontId="12" fillId="45" borderId="203" xfId="0" applyNumberFormat="1" applyFont="1" applyFill="1" applyBorder="1" applyAlignment="1">
      <alignment horizontal="center" vertical="center" wrapText="1"/>
    </xf>
    <xf numFmtId="9" fontId="12" fillId="45" borderId="203" xfId="85" applyFont="1" applyFill="1" applyBorder="1" applyAlignment="1">
      <alignment horizontal="center" vertical="center"/>
    </xf>
    <xf numFmtId="168" fontId="12" fillId="45" borderId="203" xfId="0" applyNumberFormat="1" applyFont="1" applyFill="1" applyBorder="1" applyAlignment="1">
      <alignment horizontal="center" vertical="center"/>
    </xf>
    <xf numFmtId="178" fontId="12" fillId="45" borderId="203" xfId="0" applyNumberFormat="1" applyFont="1" applyFill="1" applyBorder="1" applyAlignment="1">
      <alignment horizontal="center" vertical="center"/>
    </xf>
    <xf numFmtId="2" fontId="12" fillId="45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2" fillId="0" borderId="0" xfId="0" applyFont="1" applyAlignment="1">
      <alignment horizontal="center" vertical="center" wrapText="1"/>
    </xf>
    <xf numFmtId="169" fontId="12" fillId="37" borderId="192" xfId="0" applyNumberFormat="1" applyFont="1" applyFill="1" applyBorder="1"/>
    <xf numFmtId="4" fontId="12" fillId="43" borderId="192" xfId="0" applyNumberFormat="1" applyFont="1" applyFill="1" applyBorder="1" applyAlignment="1">
      <alignment vertical="center"/>
    </xf>
    <xf numFmtId="4" fontId="12" fillId="39" borderId="192" xfId="0" applyNumberFormat="1" applyFont="1" applyFill="1" applyBorder="1" applyAlignment="1">
      <alignment vertical="center"/>
    </xf>
    <xf numFmtId="4" fontId="12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/>
    </xf>
    <xf numFmtId="4" fontId="11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 vertical="center"/>
    </xf>
    <xf numFmtId="4" fontId="11" fillId="27" borderId="192" xfId="0" applyNumberFormat="1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0" fontId="11" fillId="27" borderId="192" xfId="0" applyFont="1" applyFill="1" applyBorder="1" applyAlignment="1">
      <alignment horizontal="center" vertical="center"/>
    </xf>
    <xf numFmtId="0" fontId="11" fillId="39" borderId="192" xfId="0" applyFont="1" applyFill="1" applyBorder="1"/>
    <xf numFmtId="0" fontId="11" fillId="39" borderId="192" xfId="0" applyFont="1" applyFill="1" applyBorder="1" applyAlignment="1">
      <alignment wrapText="1"/>
    </xf>
    <xf numFmtId="2" fontId="12" fillId="37" borderId="192" xfId="0" applyNumberFormat="1" applyFont="1" applyFill="1" applyBorder="1" applyAlignment="1">
      <alignment horizontal="center"/>
    </xf>
    <xf numFmtId="174" fontId="12" fillId="37" borderId="192" xfId="0" applyNumberFormat="1" applyFont="1" applyFill="1" applyBorder="1" applyAlignment="1">
      <alignment horizontal="center"/>
    </xf>
    <xf numFmtId="4" fontId="12" fillId="37" borderId="192" xfId="0" applyNumberFormat="1" applyFont="1" applyFill="1" applyBorder="1" applyAlignment="1">
      <alignment horizontal="center"/>
    </xf>
    <xf numFmtId="0" fontId="12" fillId="37" borderId="192" xfId="0" applyFont="1" applyFill="1" applyBorder="1" applyAlignment="1">
      <alignment horizontal="center"/>
    </xf>
    <xf numFmtId="174" fontId="13" fillId="37" borderId="192" xfId="0" applyNumberFormat="1" applyFont="1" applyFill="1" applyBorder="1" applyAlignment="1">
      <alignment horizontal="center"/>
    </xf>
    <xf numFmtId="168" fontId="12" fillId="37" borderId="192" xfId="0" applyNumberFormat="1" applyFont="1" applyFill="1" applyBorder="1" applyAlignment="1">
      <alignment horizontal="center"/>
    </xf>
    <xf numFmtId="0" fontId="11" fillId="39" borderId="213" xfId="0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/>
    </xf>
    <xf numFmtId="168" fontId="12" fillId="37" borderId="192" xfId="0" applyNumberFormat="1" applyFont="1" applyFill="1" applyBorder="1" applyAlignment="1">
      <alignment horizontal="center" vertical="center"/>
    </xf>
    <xf numFmtId="169" fontId="12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2" fontId="14" fillId="38" borderId="192" xfId="0" applyNumberFormat="1" applyFont="1" applyFill="1" applyBorder="1" applyAlignment="1">
      <alignment vertical="center"/>
    </xf>
    <xf numFmtId="168" fontId="11" fillId="39" borderId="192" xfId="0" applyNumberFormat="1" applyFont="1" applyFill="1" applyBorder="1" applyAlignment="1">
      <alignment horizontal="center" vertical="center"/>
    </xf>
    <xf numFmtId="2" fontId="12" fillId="39" borderId="192" xfId="0" applyNumberFormat="1" applyFont="1" applyFill="1" applyBorder="1" applyAlignment="1">
      <alignment horizontal="center" vertical="center"/>
    </xf>
    <xf numFmtId="2" fontId="11" fillId="39" borderId="192" xfId="0" applyNumberFormat="1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vertical="center"/>
    </xf>
    <xf numFmtId="2" fontId="12" fillId="38" borderId="192" xfId="0" applyNumberFormat="1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left"/>
    </xf>
    <xf numFmtId="168" fontId="12" fillId="39" borderId="192" xfId="0" applyNumberFormat="1" applyFont="1" applyFill="1" applyBorder="1" applyAlignment="1">
      <alignment horizontal="center" vertical="center"/>
    </xf>
    <xf numFmtId="0" fontId="47" fillId="38" borderId="0" xfId="96" applyFont="1" applyFill="1"/>
    <xf numFmtId="4" fontId="116" fillId="37" borderId="192" xfId="0" applyNumberFormat="1" applyFont="1" applyFill="1" applyBorder="1"/>
    <xf numFmtId="0" fontId="12" fillId="39" borderId="205" xfId="0" applyFont="1" applyFill="1" applyBorder="1"/>
    <xf numFmtId="4" fontId="12" fillId="37" borderId="205" xfId="0" applyNumberFormat="1" applyFont="1" applyFill="1" applyBorder="1"/>
    <xf numFmtId="0" fontId="12" fillId="39" borderId="220" xfId="0" applyFont="1" applyFill="1" applyBorder="1"/>
    <xf numFmtId="4" fontId="12" fillId="37" borderId="221" xfId="0" applyNumberFormat="1" applyFont="1" applyFill="1" applyBorder="1"/>
    <xf numFmtId="0" fontId="12" fillId="39" borderId="222" xfId="0" applyFont="1" applyFill="1" applyBorder="1"/>
    <xf numFmtId="4" fontId="12" fillId="37" borderId="223" xfId="0" applyNumberFormat="1" applyFont="1" applyFill="1" applyBorder="1"/>
    <xf numFmtId="4" fontId="12" fillId="37" borderId="224" xfId="0" applyNumberFormat="1" applyFont="1" applyFill="1" applyBorder="1"/>
    <xf numFmtId="4" fontId="12" fillId="38" borderId="192" xfId="0" applyNumberFormat="1" applyFont="1" applyFill="1" applyBorder="1" applyAlignment="1">
      <alignment vertical="center"/>
    </xf>
    <xf numFmtId="0" fontId="12" fillId="38" borderId="205" xfId="0" applyFont="1" applyFill="1" applyBorder="1" applyAlignment="1">
      <alignment horizontal="center"/>
    </xf>
    <xf numFmtId="0" fontId="12" fillId="39" borderId="206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39" borderId="192" xfId="0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4" fontId="12" fillId="0" borderId="192" xfId="0" applyNumberFormat="1" applyFont="1" applyBorder="1"/>
    <xf numFmtId="0" fontId="135" fillId="0" borderId="192" xfId="147" applyFont="1" applyBorder="1" applyAlignment="1">
      <alignment horizontal="center" vertical="center"/>
    </xf>
    <xf numFmtId="0" fontId="135" fillId="0" borderId="192" xfId="147" applyFont="1" applyBorder="1" applyAlignment="1">
      <alignment wrapText="1"/>
    </xf>
    <xf numFmtId="0" fontId="135" fillId="0" borderId="192" xfId="147" applyFont="1" applyBorder="1" applyAlignment="1">
      <alignment horizontal="center" wrapText="1"/>
    </xf>
    <xf numFmtId="4" fontId="135" fillId="0" borderId="192" xfId="147" applyNumberFormat="1" applyFont="1" applyBorder="1" applyAlignment="1">
      <alignment horizontal="center" vertical="center"/>
    </xf>
    <xf numFmtId="0" fontId="135" fillId="0" borderId="192" xfId="147" applyFont="1" applyBorder="1" applyAlignment="1">
      <alignment vertical="center" wrapText="1"/>
    </xf>
    <xf numFmtId="0" fontId="105" fillId="0" borderId="0" xfId="147" applyFont="1" applyBorder="1" applyAlignment="1">
      <alignment horizontal="center" vertical="center"/>
    </xf>
    <xf numFmtId="0" fontId="105" fillId="0" borderId="0" xfId="147" applyFont="1" applyBorder="1" applyAlignment="1">
      <alignment wrapText="1"/>
    </xf>
    <xf numFmtId="0" fontId="105" fillId="0" borderId="0" xfId="147" applyFont="1" applyBorder="1" applyAlignment="1">
      <alignment horizontal="center" wrapText="1"/>
    </xf>
    <xf numFmtId="4" fontId="105" fillId="0" borderId="0" xfId="147" applyNumberFormat="1" applyFont="1" applyBorder="1" applyAlignment="1">
      <alignment horizontal="center" vertical="center"/>
    </xf>
    <xf numFmtId="0" fontId="105" fillId="0" borderId="167" xfId="147" applyFont="1" applyBorder="1" applyAlignment="1">
      <alignment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4" fontId="12" fillId="0" borderId="0" xfId="0" applyNumberFormat="1" applyFont="1" applyAlignment="1">
      <alignment vertical="center"/>
    </xf>
    <xf numFmtId="4" fontId="12" fillId="0" borderId="0" xfId="0" applyNumberFormat="1" applyFont="1" applyAlignment="1"/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36" fillId="47" borderId="0" xfId="96" applyFont="1" applyFill="1"/>
    <xf numFmtId="0" fontId="13" fillId="0" borderId="0" xfId="96" applyFont="1" applyAlignment="1">
      <alignment horizontal="left"/>
    </xf>
    <xf numFmtId="4" fontId="116" fillId="37" borderId="205" xfId="0" applyNumberFormat="1" applyFont="1" applyFill="1" applyBorder="1"/>
    <xf numFmtId="4" fontId="47" fillId="38" borderId="0" xfId="96" applyNumberFormat="1" applyFont="1" applyFill="1"/>
    <xf numFmtId="165" fontId="80" fillId="0" borderId="0" xfId="89" applyFont="1"/>
    <xf numFmtId="2" fontId="11" fillId="39" borderId="192" xfId="0" applyNumberFormat="1" applyFont="1" applyFill="1" applyBorder="1" applyAlignment="1">
      <alignment vertical="center"/>
    </xf>
    <xf numFmtId="0" fontId="105" fillId="38" borderId="167" xfId="147" applyFont="1" applyFill="1" applyBorder="1" applyAlignment="1">
      <alignment wrapText="1"/>
    </xf>
    <xf numFmtId="0" fontId="105" fillId="38" borderId="167" xfId="147" applyFont="1" applyFill="1" applyBorder="1" applyAlignment="1">
      <alignment horizontal="center" wrapText="1"/>
    </xf>
    <xf numFmtId="4" fontId="105" fillId="38" borderId="167" xfId="147" applyNumberFormat="1" applyFont="1" applyFill="1" applyBorder="1"/>
    <xf numFmtId="0" fontId="105" fillId="38" borderId="167" xfId="147" applyFont="1" applyFill="1" applyBorder="1" applyAlignment="1">
      <alignment horizontal="center"/>
    </xf>
    <xf numFmtId="0" fontId="105" fillId="38" borderId="175" xfId="147" applyFont="1" applyFill="1" applyBorder="1" applyAlignment="1">
      <alignment wrapText="1"/>
    </xf>
    <xf numFmtId="0" fontId="105" fillId="38" borderId="175" xfId="147" applyFont="1" applyFill="1" applyBorder="1" applyAlignment="1">
      <alignment horizontal="center" wrapText="1"/>
    </xf>
    <xf numFmtId="4" fontId="105" fillId="38" borderId="175" xfId="147" applyNumberFormat="1" applyFont="1" applyFill="1" applyBorder="1"/>
    <xf numFmtId="0" fontId="105" fillId="38" borderId="175" xfId="147" applyFont="1" applyFill="1" applyBorder="1" applyAlignment="1">
      <alignment horizontal="center"/>
    </xf>
    <xf numFmtId="4" fontId="105" fillId="38" borderId="167" xfId="148" applyNumberFormat="1" applyFont="1" applyFill="1" applyBorder="1"/>
    <xf numFmtId="0" fontId="105" fillId="38" borderId="167" xfId="147" applyFont="1" applyFill="1" applyBorder="1" applyAlignment="1">
      <alignment vertical="center" wrapText="1"/>
    </xf>
    <xf numFmtId="0" fontId="105" fillId="38" borderId="167" xfId="147" applyFont="1" applyFill="1" applyBorder="1" applyAlignment="1">
      <alignment horizontal="center" vertical="center" wrapText="1"/>
    </xf>
    <xf numFmtId="4" fontId="105" fillId="38" borderId="167" xfId="147" applyNumberFormat="1" applyFont="1" applyFill="1" applyBorder="1" applyAlignment="1">
      <alignment vertical="center"/>
    </xf>
    <xf numFmtId="0" fontId="105" fillId="38" borderId="167" xfId="147" applyFont="1" applyFill="1" applyBorder="1" applyAlignment="1">
      <alignment horizontal="center" vertical="center"/>
    </xf>
    <xf numFmtId="0" fontId="12" fillId="0" borderId="203" xfId="0" applyFont="1" applyBorder="1"/>
    <xf numFmtId="4" fontId="12" fillId="0" borderId="203" xfId="0" applyNumberFormat="1" applyFont="1" applyBorder="1"/>
    <xf numFmtId="0" fontId="12" fillId="37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 wrapText="1"/>
    </xf>
    <xf numFmtId="4" fontId="80" fillId="39" borderId="192" xfId="0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0" fontId="47" fillId="39" borderId="192" xfId="0" applyFont="1" applyFill="1" applyBorder="1" applyAlignment="1">
      <alignment horizontal="center" vertical="center" wrapText="1"/>
    </xf>
    <xf numFmtId="0" fontId="47" fillId="39" borderId="192" xfId="0" applyFont="1" applyFill="1" applyBorder="1" applyAlignment="1">
      <alignment vertical="center" wrapText="1"/>
    </xf>
    <xf numFmtId="178" fontId="47" fillId="37" borderId="192" xfId="0" applyNumberFormat="1" applyFont="1" applyFill="1" applyBorder="1" applyAlignment="1">
      <alignment vertical="center" wrapText="1"/>
    </xf>
    <xf numFmtId="0" fontId="11" fillId="0" borderId="0" xfId="0" applyFont="1"/>
    <xf numFmtId="0" fontId="11" fillId="39" borderId="0" xfId="0" applyFont="1" applyFill="1" applyBorder="1" applyAlignment="1">
      <alignment vertical="center" wrapText="1"/>
    </xf>
    <xf numFmtId="0" fontId="11" fillId="39" borderId="0" xfId="0" applyFont="1" applyFill="1"/>
    <xf numFmtId="0" fontId="11" fillId="36" borderId="192" xfId="96" applyFont="1" applyFill="1" applyBorder="1" applyAlignment="1">
      <alignment horizontal="center" vertical="center"/>
    </xf>
    <xf numFmtId="0" fontId="11" fillId="36" borderId="192" xfId="96" applyFont="1" applyFill="1" applyBorder="1" applyAlignment="1">
      <alignment horizontal="left" vertical="center" wrapText="1"/>
    </xf>
    <xf numFmtId="4" fontId="12" fillId="36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 applyAlignment="1">
      <alignment horizontal="center" vertical="center"/>
    </xf>
    <xf numFmtId="0" fontId="12" fillId="29" borderId="192" xfId="96" applyFont="1" applyFill="1" applyBorder="1" applyAlignment="1">
      <alignment horizontal="left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0" fontId="12" fillId="37" borderId="192" xfId="96" applyFont="1" applyFill="1" applyBorder="1" applyAlignment="1">
      <alignment horizontal="center" vertical="center"/>
    </xf>
    <xf numFmtId="0" fontId="12" fillId="37" borderId="192" xfId="96" applyFont="1" applyFill="1" applyBorder="1" applyAlignment="1">
      <alignment horizontal="left" vertical="center" wrapText="1" indent="2"/>
    </xf>
    <xf numFmtId="4" fontId="12" fillId="37" borderId="192" xfId="96" applyNumberFormat="1" applyFont="1" applyFill="1" applyBorder="1" applyAlignment="1">
      <alignment horizontal="center" vertical="center" wrapText="1"/>
    </xf>
    <xf numFmtId="0" fontId="139" fillId="35" borderId="192" xfId="96" applyFont="1" applyFill="1" applyBorder="1" applyAlignment="1">
      <alignment horizontal="center" vertical="center"/>
    </xf>
    <xf numFmtId="0" fontId="137" fillId="35" borderId="192" xfId="96" applyFont="1" applyFill="1" applyBorder="1" applyAlignment="1">
      <alignment horizontal="left" vertical="center" wrapText="1"/>
    </xf>
    <xf numFmtId="2" fontId="139" fillId="35" borderId="192" xfId="96" applyNumberFormat="1" applyFont="1" applyFill="1" applyBorder="1" applyAlignment="1">
      <alignment vertical="center"/>
    </xf>
    <xf numFmtId="0" fontId="11" fillId="36" borderId="192" xfId="96" applyFont="1" applyFill="1" applyBorder="1" applyAlignment="1">
      <alignment horizontal="left" vertical="center" wrapText="1" indent="2"/>
    </xf>
    <xf numFmtId="0" fontId="11" fillId="35" borderId="192" xfId="96" applyFont="1" applyFill="1" applyBorder="1" applyAlignment="1">
      <alignment horizontal="center" vertical="center"/>
    </xf>
    <xf numFmtId="0" fontId="11" fillId="35" borderId="192" xfId="96" applyFont="1" applyFill="1" applyBorder="1" applyAlignment="1">
      <alignment horizontal="left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left" vertical="center" wrapText="1" indent="3"/>
    </xf>
    <xf numFmtId="0" fontId="12" fillId="0" borderId="192" xfId="96" applyFont="1" applyBorder="1"/>
    <xf numFmtId="0" fontId="12" fillId="0" borderId="192" xfId="96" applyFont="1" applyBorder="1" applyAlignment="1">
      <alignment wrapText="1"/>
    </xf>
    <xf numFmtId="0" fontId="11" fillId="39" borderId="192" xfId="96" applyFont="1" applyFill="1" applyBorder="1" applyAlignment="1">
      <alignment horizontal="center"/>
    </xf>
    <xf numFmtId="0" fontId="11" fillId="39" borderId="192" xfId="96" applyFont="1" applyFill="1" applyBorder="1" applyAlignment="1">
      <alignment horizontal="left" vertical="center" wrapText="1"/>
    </xf>
    <xf numFmtId="0" fontId="12" fillId="39" borderId="192" xfId="96" applyFont="1" applyFill="1" applyBorder="1"/>
    <xf numFmtId="0" fontId="11" fillId="39" borderId="192" xfId="96" applyFont="1" applyFill="1" applyBorder="1" applyAlignment="1">
      <alignment horizontal="left" vertical="center" wrapText="1" indent="3"/>
    </xf>
    <xf numFmtId="0" fontId="11" fillId="39" borderId="192" xfId="96" applyFont="1" applyFill="1" applyBorder="1" applyAlignment="1">
      <alignment horizontal="center" vertical="center" wrapText="1"/>
    </xf>
    <xf numFmtId="0" fontId="12" fillId="39" borderId="192" xfId="96" applyFont="1" applyFill="1" applyBorder="1" applyAlignment="1">
      <alignment horizontal="center"/>
    </xf>
    <xf numFmtId="2" fontId="12" fillId="39" borderId="192" xfId="96" applyNumberFormat="1" applyFont="1" applyFill="1" applyBorder="1" applyAlignment="1">
      <alignment horizontal="center"/>
    </xf>
    <xf numFmtId="2" fontId="12" fillId="39" borderId="192" xfId="96" applyNumberFormat="1" applyFont="1" applyFill="1" applyBorder="1"/>
    <xf numFmtId="4" fontId="12" fillId="39" borderId="192" xfId="96" applyNumberFormat="1" applyFont="1" applyFill="1" applyBorder="1" applyAlignment="1">
      <alignment horizontal="center"/>
    </xf>
    <xf numFmtId="4" fontId="12" fillId="39" borderId="192" xfId="96" applyNumberFormat="1" applyFont="1" applyFill="1" applyBorder="1"/>
    <xf numFmtId="0" fontId="12" fillId="48" borderId="192" xfId="0" applyFont="1" applyFill="1" applyBorder="1" applyAlignment="1">
      <alignment horizontal="center" vertical="center" wrapText="1"/>
    </xf>
    <xf numFmtId="0" fontId="12" fillId="48" borderId="192" xfId="0" applyFont="1" applyFill="1" applyBorder="1" applyAlignment="1">
      <alignment horizontal="left" vertical="center" wrapText="1"/>
    </xf>
    <xf numFmtId="4" fontId="12" fillId="48" borderId="192" xfId="0" applyNumberFormat="1" applyFont="1" applyFill="1" applyBorder="1" applyAlignment="1">
      <alignment horizontal="center" vertical="center" wrapText="1"/>
    </xf>
    <xf numFmtId="0" fontId="47" fillId="48" borderId="0" xfId="0" applyFont="1" applyFill="1" applyAlignment="1">
      <alignment vertical="center" wrapText="1"/>
    </xf>
    <xf numFmtId="2" fontId="12" fillId="49" borderId="192" xfId="0" applyNumberFormat="1" applyFont="1" applyFill="1" applyBorder="1" applyAlignment="1">
      <alignment horizontal="center" vertical="center" wrapText="1"/>
    </xf>
    <xf numFmtId="0" fontId="12" fillId="49" borderId="192" xfId="0" applyFont="1" applyFill="1" applyBorder="1" applyAlignment="1">
      <alignment horizontal="left" vertical="center" wrapText="1"/>
    </xf>
    <xf numFmtId="0" fontId="12" fillId="49" borderId="192" xfId="0" applyFont="1" applyFill="1" applyBorder="1" applyAlignment="1">
      <alignment horizontal="center" vertical="center" wrapText="1"/>
    </xf>
    <xf numFmtId="4" fontId="12" fillId="49" borderId="192" xfId="0" applyNumberFormat="1" applyFont="1" applyFill="1" applyBorder="1" applyAlignment="1">
      <alignment horizontal="center" vertical="center" wrapText="1"/>
    </xf>
    <xf numFmtId="0" fontId="80" fillId="49" borderId="0" xfId="0" applyFont="1" applyFill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left" vertical="center" wrapText="1"/>
    </xf>
    <xf numFmtId="4" fontId="12" fillId="38" borderId="192" xfId="0" applyNumberFormat="1" applyFont="1" applyFill="1" applyBorder="1" applyAlignment="1">
      <alignment horizontal="center" vertical="center" wrapText="1"/>
    </xf>
    <xf numFmtId="0" fontId="80" fillId="29" borderId="0" xfId="0" applyFont="1" applyFill="1" applyAlignment="1">
      <alignment vertical="center" wrapText="1"/>
    </xf>
    <xf numFmtId="4" fontId="12" fillId="38" borderId="192" xfId="0" applyNumberFormat="1" applyFont="1" applyFill="1" applyBorder="1" applyAlignment="1">
      <alignment horizontal="center" wrapText="1"/>
    </xf>
    <xf numFmtId="0" fontId="80" fillId="29" borderId="0" xfId="0" applyFont="1" applyFill="1" applyAlignment="1">
      <alignment wrapText="1"/>
    </xf>
    <xf numFmtId="0" fontId="138" fillId="43" borderId="192" xfId="96" applyFont="1" applyFill="1" applyBorder="1" applyAlignment="1">
      <alignment horizontal="center" vertical="center"/>
    </xf>
    <xf numFmtId="0" fontId="139" fillId="43" borderId="192" xfId="96" applyFont="1" applyFill="1" applyBorder="1" applyAlignment="1">
      <alignment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47" fillId="43" borderId="0" xfId="96" applyFont="1" applyFill="1"/>
    <xf numFmtId="178" fontId="139" fillId="43" borderId="192" xfId="96" applyNumberFormat="1" applyFont="1" applyFill="1" applyBorder="1" applyAlignment="1">
      <alignment horizontal="center" vertical="center" wrapText="1"/>
    </xf>
    <xf numFmtId="3" fontId="139" fillId="43" borderId="192" xfId="96" applyNumberFormat="1" applyFont="1" applyFill="1" applyBorder="1" applyAlignment="1">
      <alignment horizontal="center" vertical="center" wrapText="1"/>
    </xf>
    <xf numFmtId="4" fontId="12" fillId="39" borderId="192" xfId="0" applyNumberFormat="1" applyFont="1" applyFill="1" applyBorder="1" applyAlignment="1">
      <alignment horizontal="center"/>
    </xf>
    <xf numFmtId="4" fontId="11" fillId="39" borderId="192" xfId="0" applyNumberFormat="1" applyFont="1" applyFill="1" applyBorder="1" applyAlignment="1">
      <alignment horizontal="center"/>
    </xf>
    <xf numFmtId="4" fontId="140" fillId="50" borderId="229" xfId="0" applyNumberFormat="1" applyFont="1" applyFill="1" applyBorder="1" applyAlignment="1" applyProtection="1">
      <alignment horizontal="right" vertical="center"/>
    </xf>
    <xf numFmtId="4" fontId="140" fillId="50" borderId="230" xfId="0" applyNumberFormat="1" applyFont="1" applyFill="1" applyBorder="1" applyAlignment="1" applyProtection="1">
      <alignment horizontal="right" vertical="center"/>
    </xf>
    <xf numFmtId="4" fontId="141" fillId="27" borderId="229" xfId="0" applyNumberFormat="1" applyFont="1" applyFill="1" applyBorder="1" applyAlignment="1" applyProtection="1">
      <alignment horizontal="right" vertical="center"/>
    </xf>
    <xf numFmtId="4" fontId="141" fillId="27" borderId="228" xfId="0" applyNumberFormat="1" applyFont="1" applyFill="1" applyBorder="1" applyAlignment="1" applyProtection="1">
      <alignment horizontal="right" vertical="center"/>
    </xf>
    <xf numFmtId="0" fontId="140" fillId="50" borderId="229" xfId="0" applyNumberFormat="1" applyFont="1" applyFill="1" applyBorder="1" applyAlignment="1" applyProtection="1">
      <alignment horizontal="right" vertical="center"/>
    </xf>
    <xf numFmtId="4" fontId="140" fillId="50" borderId="231" xfId="0" applyNumberFormat="1" applyFont="1" applyFill="1" applyBorder="1" applyAlignment="1" applyProtection="1">
      <alignment horizontal="right" vertical="center"/>
    </xf>
    <xf numFmtId="4" fontId="140" fillId="28" borderId="229" xfId="0" applyNumberFormat="1" applyFont="1" applyFill="1" applyBorder="1" applyAlignment="1" applyProtection="1">
      <alignment horizontal="right" vertical="center"/>
      <protection locked="0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30" xfId="0" applyNumberFormat="1" applyFont="1" applyFill="1" applyBorder="1" applyAlignment="1" applyProtection="1">
      <alignment horizontal="right" vertical="center"/>
    </xf>
    <xf numFmtId="4" fontId="140" fillId="28" borderId="230" xfId="0" applyNumberFormat="1" applyFont="1" applyFill="1" applyBorder="1" applyAlignment="1" applyProtection="1">
      <alignment horizontal="right" vertical="center"/>
      <protection locked="0"/>
    </xf>
    <xf numFmtId="4" fontId="12" fillId="34" borderId="0" xfId="0" applyNumberFormat="1" applyFont="1" applyFill="1"/>
    <xf numFmtId="4" fontId="12" fillId="34" borderId="0" xfId="0" applyNumberFormat="1" applyFont="1" applyFill="1" applyAlignment="1">
      <alignment vertical="center"/>
    </xf>
    <xf numFmtId="0" fontId="142" fillId="38" borderId="0" xfId="0" applyFont="1" applyFill="1" applyAlignment="1">
      <alignment wrapText="1"/>
    </xf>
    <xf numFmtId="0" fontId="12" fillId="39" borderId="223" xfId="0" applyFont="1" applyFill="1" applyBorder="1" applyAlignment="1">
      <alignment horizontal="center" vertical="center"/>
    </xf>
    <xf numFmtId="0" fontId="12" fillId="39" borderId="237" xfId="0" applyFont="1" applyFill="1" applyBorder="1" applyAlignment="1">
      <alignment horizontal="center" vertical="center"/>
    </xf>
    <xf numFmtId="0" fontId="12" fillId="39" borderId="234" xfId="0" applyFont="1" applyFill="1" applyBorder="1" applyAlignment="1">
      <alignment wrapText="1"/>
    </xf>
    <xf numFmtId="0" fontId="12" fillId="39" borderId="234" xfId="0" applyFont="1" applyFill="1" applyBorder="1" applyAlignment="1">
      <alignment horizontal="center" vertical="center"/>
    </xf>
    <xf numFmtId="0" fontId="12" fillId="37" borderId="234" xfId="0" applyFont="1" applyFill="1" applyBorder="1" applyAlignment="1">
      <alignment horizontal="center" vertical="center"/>
    </xf>
    <xf numFmtId="0" fontId="12" fillId="37" borderId="235" xfId="0" applyFont="1" applyFill="1" applyBorder="1" applyAlignment="1">
      <alignment horizontal="center" vertical="center"/>
    </xf>
    <xf numFmtId="169" fontId="12" fillId="38" borderId="227" xfId="0" applyNumberFormat="1" applyFont="1" applyFill="1" applyBorder="1" applyAlignment="1">
      <alignment horizontal="center" vertical="center"/>
    </xf>
    <xf numFmtId="2" fontId="12" fillId="44" borderId="206" xfId="0" applyNumberFormat="1" applyFont="1" applyFill="1" applyBorder="1" applyAlignment="1">
      <alignment horizontal="center" vertical="center"/>
    </xf>
    <xf numFmtId="2" fontId="12" fillId="44" borderId="238" xfId="0" applyNumberFormat="1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wrapText="1"/>
    </xf>
    <xf numFmtId="0" fontId="12" fillId="37" borderId="223" xfId="0" applyFont="1" applyFill="1" applyBorder="1" applyAlignment="1">
      <alignment horizontal="center" vertical="center"/>
    </xf>
    <xf numFmtId="0" fontId="12" fillId="37" borderId="237" xfId="0" applyFont="1" applyFill="1" applyBorder="1" applyAlignment="1">
      <alignment horizontal="center" vertical="center"/>
    </xf>
    <xf numFmtId="169" fontId="12" fillId="38" borderId="239" xfId="0" applyNumberFormat="1" applyFont="1" applyFill="1" applyBorder="1" applyAlignment="1">
      <alignment horizontal="center" vertical="center"/>
    </xf>
    <xf numFmtId="0" fontId="12" fillId="44" borderId="223" xfId="0" applyFont="1" applyFill="1" applyBorder="1" applyAlignment="1">
      <alignment horizontal="center" vertical="center"/>
    </xf>
    <xf numFmtId="2" fontId="12" fillId="44" borderId="240" xfId="0" applyNumberFormat="1" applyFont="1" applyFill="1" applyBorder="1" applyAlignment="1">
      <alignment horizontal="center" vertical="center"/>
    </xf>
    <xf numFmtId="0" fontId="12" fillId="39" borderId="234" xfId="0" applyFont="1" applyFill="1" applyBorder="1" applyAlignment="1">
      <alignment vertical="center" wrapText="1"/>
    </xf>
    <xf numFmtId="169" fontId="12" fillId="38" borderId="217" xfId="0" applyNumberFormat="1" applyFont="1" applyFill="1" applyBorder="1" applyAlignment="1">
      <alignment horizontal="center" vertical="center"/>
    </xf>
    <xf numFmtId="0" fontId="12" fillId="44" borderId="234" xfId="0" applyFont="1" applyFill="1" applyBorder="1" applyAlignment="1">
      <alignment horizontal="center" vertical="center"/>
    </xf>
    <xf numFmtId="2" fontId="12" fillId="44" borderId="219" xfId="0" applyNumberFormat="1" applyFont="1" applyFill="1" applyBorder="1" applyAlignment="1">
      <alignment horizontal="center" vertical="center"/>
    </xf>
    <xf numFmtId="0" fontId="12" fillId="44" borderId="206" xfId="0" applyFont="1" applyFill="1" applyBorder="1"/>
    <xf numFmtId="0" fontId="12" fillId="37" borderId="193" xfId="0" applyFont="1" applyFill="1" applyBorder="1" applyAlignment="1">
      <alignment horizontal="center" vertical="center"/>
    </xf>
    <xf numFmtId="169" fontId="12" fillId="38" borderId="241" xfId="0" applyNumberFormat="1" applyFont="1" applyFill="1" applyBorder="1" applyAlignment="1">
      <alignment horizontal="center" vertical="center"/>
    </xf>
    <xf numFmtId="0" fontId="12" fillId="44" borderId="192" xfId="0" applyFont="1" applyFill="1" applyBorder="1"/>
    <xf numFmtId="2" fontId="12" fillId="44" borderId="242" xfId="0" applyNumberFormat="1" applyFont="1" applyFill="1" applyBorder="1" applyAlignment="1">
      <alignment horizontal="center" vertical="center"/>
    </xf>
    <xf numFmtId="0" fontId="12" fillId="39" borderId="205" xfId="0" applyFont="1" applyFill="1" applyBorder="1" applyAlignment="1">
      <alignment vertical="center" wrapText="1"/>
    </xf>
    <xf numFmtId="0" fontId="12" fillId="37" borderId="205" xfId="0" applyFont="1" applyFill="1" applyBorder="1" applyAlignment="1">
      <alignment horizontal="center" vertical="center"/>
    </xf>
    <xf numFmtId="0" fontId="12" fillId="37" borderId="213" xfId="0" applyFont="1" applyFill="1" applyBorder="1" applyAlignment="1">
      <alignment horizontal="center" vertical="center"/>
    </xf>
    <xf numFmtId="169" fontId="12" fillId="38" borderId="244" xfId="0" applyNumberFormat="1" applyFont="1" applyFill="1" applyBorder="1" applyAlignment="1">
      <alignment horizontal="center" vertical="center"/>
    </xf>
    <xf numFmtId="0" fontId="12" fillId="44" borderId="205" xfId="0" applyFont="1" applyFill="1" applyBorder="1"/>
    <xf numFmtId="2" fontId="12" fillId="44" borderId="245" xfId="0" applyNumberFormat="1" applyFont="1" applyFill="1" applyBorder="1" applyAlignment="1">
      <alignment horizontal="center" vertical="center"/>
    </xf>
    <xf numFmtId="0" fontId="12" fillId="51" borderId="233" xfId="0" applyFont="1" applyFill="1" applyBorder="1"/>
    <xf numFmtId="0" fontId="12" fillId="51" borderId="234" xfId="0" applyFont="1" applyFill="1" applyBorder="1"/>
    <xf numFmtId="169" fontId="12" fillId="51" borderId="234" xfId="0" applyNumberFormat="1" applyFont="1" applyFill="1" applyBorder="1"/>
    <xf numFmtId="0" fontId="12" fillId="51" borderId="236" xfId="0" applyFont="1" applyFill="1" applyBorder="1"/>
    <xf numFmtId="2" fontId="11" fillId="51" borderId="246" xfId="0" applyNumberFormat="1" applyFont="1" applyFill="1" applyBorder="1"/>
    <xf numFmtId="0" fontId="12" fillId="51" borderId="222" xfId="0" applyFont="1" applyFill="1" applyBorder="1"/>
    <xf numFmtId="0" fontId="12" fillId="51" borderId="223" xfId="0" applyFont="1" applyFill="1" applyBorder="1"/>
    <xf numFmtId="169" fontId="12" fillId="51" borderId="223" xfId="0" applyNumberFormat="1" applyFont="1" applyFill="1" applyBorder="1"/>
    <xf numFmtId="0" fontId="12" fillId="51" borderId="224" xfId="0" applyFont="1" applyFill="1" applyBorder="1"/>
    <xf numFmtId="2" fontId="11" fillId="51" borderId="247" xfId="0" applyNumberFormat="1" applyFont="1" applyFill="1" applyBorder="1"/>
    <xf numFmtId="0" fontId="12" fillId="37" borderId="206" xfId="0" applyFont="1" applyFill="1" applyBorder="1" applyAlignment="1">
      <alignment horizontal="center" vertical="center"/>
    </xf>
    <xf numFmtId="0" fontId="12" fillId="37" borderId="215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vertical="center" wrapText="1"/>
    </xf>
    <xf numFmtId="2" fontId="12" fillId="44" borderId="234" xfId="0" applyNumberFormat="1" applyFont="1" applyFill="1" applyBorder="1" applyAlignment="1">
      <alignment horizontal="center" vertical="center"/>
    </xf>
    <xf numFmtId="2" fontId="12" fillId="44" borderId="223" xfId="0" applyNumberFormat="1" applyFont="1" applyFill="1" applyBorder="1" applyAlignment="1">
      <alignment horizontal="center" vertical="center"/>
    </xf>
    <xf numFmtId="2" fontId="12" fillId="44" borderId="206" xfId="0" applyNumberFormat="1" applyFont="1" applyFill="1" applyBorder="1" applyAlignment="1">
      <alignment vertical="center"/>
    </xf>
    <xf numFmtId="4" fontId="12" fillId="39" borderId="192" xfId="0" applyNumberFormat="1" applyFont="1" applyFill="1" applyBorder="1" applyAlignment="1">
      <alignment horizontal="center" vertical="center" wrapText="1"/>
    </xf>
    <xf numFmtId="0" fontId="11" fillId="37" borderId="192" xfId="0" applyFont="1" applyFill="1" applyBorder="1" applyAlignment="1">
      <alignment horizontal="center" vertical="center" wrapText="1"/>
    </xf>
    <xf numFmtId="4" fontId="12" fillId="37" borderId="192" xfId="0" applyNumberFormat="1" applyFont="1" applyFill="1" applyBorder="1" applyAlignment="1">
      <alignment horizontal="center" vertical="center" wrapText="1"/>
    </xf>
    <xf numFmtId="178" fontId="12" fillId="37" borderId="192" xfId="0" applyNumberFormat="1" applyFont="1" applyFill="1" applyBorder="1" applyAlignment="1">
      <alignment horizontal="center" vertical="center" wrapText="1"/>
    </xf>
    <xf numFmtId="0" fontId="135" fillId="37" borderId="192" xfId="0" applyFont="1" applyFill="1" applyBorder="1" applyAlignment="1">
      <alignment horizontal="center"/>
    </xf>
    <xf numFmtId="0" fontId="135" fillId="37" borderId="192" xfId="0" applyFont="1" applyFill="1" applyBorder="1"/>
    <xf numFmtId="0" fontId="47" fillId="39" borderId="203" xfId="96" applyFont="1" applyFill="1" applyBorder="1"/>
    <xf numFmtId="0" fontId="47" fillId="39" borderId="0" xfId="96" applyFont="1" applyFill="1" applyBorder="1"/>
    <xf numFmtId="0" fontId="47" fillId="39" borderId="0" xfId="96" applyFont="1" applyFill="1" applyBorder="1" applyAlignment="1">
      <alignment horizontal="center"/>
    </xf>
    <xf numFmtId="0" fontId="139" fillId="35" borderId="192" xfId="96" applyFont="1" applyFill="1" applyBorder="1" applyAlignment="1">
      <alignment horizontal="center"/>
    </xf>
    <xf numFmtId="0" fontId="139" fillId="35" borderId="192" xfId="96" applyFont="1" applyFill="1" applyBorder="1"/>
    <xf numFmtId="0" fontId="12" fillId="38" borderId="192" xfId="96" applyFont="1" applyFill="1" applyBorder="1" applyAlignment="1">
      <alignment horizontal="center" vertical="center"/>
    </xf>
    <xf numFmtId="4" fontId="12" fillId="38" borderId="192" xfId="96" applyNumberFormat="1" applyFont="1" applyFill="1" applyBorder="1" applyAlignment="1">
      <alignment horizontal="center" vertical="center" wrapText="1"/>
    </xf>
    <xf numFmtId="169" fontId="12" fillId="39" borderId="192" xfId="96" applyNumberFormat="1" applyFont="1" applyFill="1" applyBorder="1" applyAlignment="1">
      <alignment horizontal="center"/>
    </xf>
    <xf numFmtId="0" fontId="140" fillId="50" borderId="232" xfId="0" applyNumberFormat="1" applyFont="1" applyFill="1" applyBorder="1" applyAlignment="1" applyProtection="1">
      <alignment horizontal="right" vertical="center"/>
    </xf>
    <xf numFmtId="4" fontId="140" fillId="50" borderId="232" xfId="0" applyNumberFormat="1" applyFont="1" applyFill="1" applyBorder="1" applyAlignment="1" applyProtection="1">
      <alignment horizontal="right" vertical="center"/>
    </xf>
    <xf numFmtId="2" fontId="139" fillId="35" borderId="192" xfId="96" applyNumberFormat="1" applyFont="1" applyFill="1" applyBorder="1" applyAlignment="1">
      <alignment horizontal="center" vertical="center"/>
    </xf>
    <xf numFmtId="0" fontId="96" fillId="35" borderId="0" xfId="96" applyFont="1" applyFill="1" applyAlignment="1">
      <alignment horizontal="center" vertical="center"/>
    </xf>
    <xf numFmtId="0" fontId="12" fillId="39" borderId="193" xfId="0" applyFont="1" applyFill="1" applyBorder="1"/>
    <xf numFmtId="0" fontId="13" fillId="39" borderId="193" xfId="0" applyFont="1" applyFill="1" applyBorder="1" applyAlignment="1">
      <alignment horizontal="right"/>
    </xf>
    <xf numFmtId="0" fontId="13" fillId="38" borderId="193" xfId="96" applyFont="1" applyFill="1" applyBorder="1" applyAlignment="1">
      <alignment horizontal="left" vertical="center" wrapText="1" indent="3"/>
    </xf>
    <xf numFmtId="0" fontId="13" fillId="39" borderId="193" xfId="0" applyFont="1" applyFill="1" applyBorder="1" applyAlignment="1">
      <alignment horizontal="right" vertical="center"/>
    </xf>
    <xf numFmtId="4" fontId="12" fillId="37" borderId="194" xfId="0" applyNumberFormat="1" applyFont="1" applyFill="1" applyBorder="1"/>
    <xf numFmtId="4" fontId="12" fillId="39" borderId="194" xfId="0" applyNumberFormat="1" applyFont="1" applyFill="1" applyBorder="1"/>
    <xf numFmtId="4" fontId="13" fillId="37" borderId="194" xfId="0" applyNumberFormat="1" applyFont="1" applyFill="1" applyBorder="1" applyAlignment="1">
      <alignment horizontal="right"/>
    </xf>
    <xf numFmtId="2" fontId="12" fillId="37" borderId="194" xfId="0" applyNumberFormat="1" applyFont="1" applyFill="1" applyBorder="1"/>
    <xf numFmtId="4" fontId="12" fillId="37" borderId="194" xfId="0" applyNumberFormat="1" applyFont="1" applyFill="1" applyBorder="1" applyAlignment="1">
      <alignment vertical="center"/>
    </xf>
    <xf numFmtId="0" fontId="12" fillId="39" borderId="221" xfId="0" applyFont="1" applyFill="1" applyBorder="1" applyAlignment="1">
      <alignment horizontal="center"/>
    </xf>
    <xf numFmtId="4" fontId="12" fillId="37" borderId="220" xfId="0" applyNumberFormat="1" applyFont="1" applyFill="1" applyBorder="1"/>
    <xf numFmtId="4" fontId="12" fillId="39" borderId="220" xfId="0" applyNumberFormat="1" applyFont="1" applyFill="1" applyBorder="1"/>
    <xf numFmtId="2" fontId="12" fillId="39" borderId="221" xfId="0" applyNumberFormat="1" applyFont="1" applyFill="1" applyBorder="1"/>
    <xf numFmtId="4" fontId="13" fillId="37" borderId="220" xfId="0" applyNumberFormat="1" applyFont="1" applyFill="1" applyBorder="1" applyAlignment="1">
      <alignment horizontal="right"/>
    </xf>
    <xf numFmtId="2" fontId="13" fillId="37" borderId="221" xfId="0" applyNumberFormat="1" applyFont="1" applyFill="1" applyBorder="1" applyAlignment="1">
      <alignment horizontal="right"/>
    </xf>
    <xf numFmtId="0" fontId="13" fillId="37" borderId="221" xfId="0" applyFont="1" applyFill="1" applyBorder="1" applyAlignment="1">
      <alignment horizontal="right"/>
    </xf>
    <xf numFmtId="2" fontId="12" fillId="37" borderId="220" xfId="0" applyNumberFormat="1" applyFont="1" applyFill="1" applyBorder="1"/>
    <xf numFmtId="2" fontId="12" fillId="37" borderId="221" xfId="0" applyNumberFormat="1" applyFont="1" applyFill="1" applyBorder="1"/>
    <xf numFmtId="4" fontId="12" fillId="39" borderId="221" xfId="0" applyNumberFormat="1" applyFont="1" applyFill="1" applyBorder="1"/>
    <xf numFmtId="4" fontId="12" fillId="37" borderId="220" xfId="0" applyNumberFormat="1" applyFont="1" applyFill="1" applyBorder="1" applyAlignment="1">
      <alignment vertical="center"/>
    </xf>
    <xf numFmtId="2" fontId="12" fillId="37" borderId="221" xfId="0" applyNumberFormat="1" applyFont="1" applyFill="1" applyBorder="1" applyAlignment="1">
      <alignment vertical="center"/>
    </xf>
    <xf numFmtId="4" fontId="12" fillId="37" borderId="221" xfId="0" applyNumberFormat="1" applyFont="1" applyFill="1" applyBorder="1" applyAlignment="1">
      <alignment vertical="center"/>
    </xf>
    <xf numFmtId="4" fontId="13" fillId="37" borderId="220" xfId="0" applyNumberFormat="1" applyFont="1" applyFill="1" applyBorder="1" applyAlignment="1">
      <alignment vertical="center"/>
    </xf>
    <xf numFmtId="2" fontId="13" fillId="37" borderId="221" xfId="0" applyNumberFormat="1" applyFont="1" applyFill="1" applyBorder="1"/>
    <xf numFmtId="0" fontId="13" fillId="37" borderId="221" xfId="0" applyFont="1" applyFill="1" applyBorder="1"/>
    <xf numFmtId="0" fontId="12" fillId="37" borderId="222" xfId="0" applyFont="1" applyFill="1" applyBorder="1" applyAlignment="1">
      <alignment vertical="center"/>
    </xf>
    <xf numFmtId="0" fontId="12" fillId="37" borderId="223" xfId="0" applyFont="1" applyFill="1" applyBorder="1"/>
    <xf numFmtId="0" fontId="12" fillId="37" borderId="224" xfId="0" applyFont="1" applyFill="1" applyBorder="1"/>
    <xf numFmtId="4" fontId="13" fillId="37" borderId="194" xfId="0" applyNumberFormat="1" applyFont="1" applyFill="1" applyBorder="1" applyAlignment="1">
      <alignment vertical="center"/>
    </xf>
    <xf numFmtId="0" fontId="12" fillId="37" borderId="251" xfId="0" applyFont="1" applyFill="1" applyBorder="1" applyAlignment="1">
      <alignment vertical="center"/>
    </xf>
    <xf numFmtId="170" fontId="12" fillId="35" borderId="192" xfId="96" applyNumberFormat="1" applyFont="1" applyFill="1" applyBorder="1" applyAlignment="1">
      <alignment horizontal="center" vertical="center" wrapText="1"/>
    </xf>
    <xf numFmtId="170" fontId="12" fillId="39" borderId="192" xfId="96" applyNumberFormat="1" applyFont="1" applyFill="1" applyBorder="1" applyAlignment="1">
      <alignment horizontal="center"/>
    </xf>
    <xf numFmtId="4" fontId="13" fillId="38" borderId="194" xfId="96" applyNumberFormat="1" applyFont="1" applyFill="1" applyBorder="1" applyAlignment="1">
      <alignment horizontal="center" vertical="center" wrapText="1"/>
    </xf>
    <xf numFmtId="4" fontId="12" fillId="36" borderId="193" xfId="96" applyNumberFormat="1" applyFont="1" applyFill="1" applyBorder="1" applyAlignment="1">
      <alignment horizontal="center" vertical="center" wrapText="1"/>
    </xf>
    <xf numFmtId="4" fontId="12" fillId="29" borderId="193" xfId="96" applyNumberFormat="1" applyFont="1" applyFill="1" applyBorder="1" applyAlignment="1">
      <alignment horizontal="center" vertical="center" wrapText="1"/>
    </xf>
    <xf numFmtId="4" fontId="12" fillId="37" borderId="193" xfId="96" applyNumberFormat="1" applyFont="1" applyFill="1" applyBorder="1" applyAlignment="1">
      <alignment horizontal="center" vertical="center" wrapText="1"/>
    </xf>
    <xf numFmtId="4" fontId="13" fillId="38" borderId="193" xfId="96" applyNumberFormat="1" applyFont="1" applyFill="1" applyBorder="1" applyAlignment="1">
      <alignment horizontal="center" vertical="center" wrapText="1"/>
    </xf>
    <xf numFmtId="4" fontId="12" fillId="48" borderId="193" xfId="0" applyNumberFormat="1" applyFont="1" applyFill="1" applyBorder="1" applyAlignment="1">
      <alignment horizontal="center" vertical="center" wrapText="1"/>
    </xf>
    <xf numFmtId="4" fontId="12" fillId="49" borderId="193" xfId="0" applyNumberFormat="1" applyFont="1" applyFill="1" applyBorder="1" applyAlignment="1">
      <alignment horizontal="center" vertical="center" wrapText="1"/>
    </xf>
    <xf numFmtId="4" fontId="12" fillId="38" borderId="193" xfId="0" applyNumberFormat="1" applyFont="1" applyFill="1" applyBorder="1" applyAlignment="1">
      <alignment horizontal="center" vertical="center" wrapText="1"/>
    </xf>
    <xf numFmtId="4" fontId="12" fillId="35" borderId="193" xfId="96" applyNumberFormat="1" applyFont="1" applyFill="1" applyBorder="1" applyAlignment="1">
      <alignment horizontal="center" vertical="center" wrapText="1"/>
    </xf>
    <xf numFmtId="0" fontId="12" fillId="0" borderId="193" xfId="96" applyFont="1" applyBorder="1"/>
    <xf numFmtId="0" fontId="12" fillId="39" borderId="193" xfId="96" applyFont="1" applyFill="1" applyBorder="1"/>
    <xf numFmtId="2" fontId="12" fillId="39" borderId="193" xfId="96" applyNumberFormat="1" applyFont="1" applyFill="1" applyBorder="1" applyAlignment="1">
      <alignment horizontal="center"/>
    </xf>
    <xf numFmtId="0" fontId="12" fillId="39" borderId="193" xfId="96" applyFont="1" applyFill="1" applyBorder="1" applyAlignment="1">
      <alignment horizontal="center"/>
    </xf>
    <xf numFmtId="170" fontId="12" fillId="39" borderId="193" xfId="96" applyNumberFormat="1" applyFont="1" applyFill="1" applyBorder="1" applyAlignment="1">
      <alignment horizontal="center"/>
    </xf>
    <xf numFmtId="4" fontId="12" fillId="39" borderId="193" xfId="96" applyNumberFormat="1" applyFont="1" applyFill="1" applyBorder="1" applyAlignment="1">
      <alignment horizontal="center"/>
    </xf>
    <xf numFmtId="4" fontId="139" fillId="43" borderId="194" xfId="96" applyNumberFormat="1" applyFont="1" applyFill="1" applyBorder="1" applyAlignment="1">
      <alignment horizontal="center" vertical="center" wrapText="1"/>
    </xf>
    <xf numFmtId="178" fontId="139" fillId="43" borderId="194" xfId="96" applyNumberFormat="1" applyFont="1" applyFill="1" applyBorder="1" applyAlignment="1">
      <alignment horizontal="center" vertical="center" wrapText="1"/>
    </xf>
    <xf numFmtId="3" fontId="139" fillId="43" borderId="194" xfId="96" applyNumberFormat="1" applyFont="1" applyFill="1" applyBorder="1" applyAlignment="1">
      <alignment horizontal="center" vertical="center" wrapText="1"/>
    </xf>
    <xf numFmtId="4" fontId="12" fillId="36" borderId="194" xfId="96" applyNumberFormat="1" applyFont="1" applyFill="1" applyBorder="1" applyAlignment="1">
      <alignment horizontal="center" vertical="center" wrapText="1"/>
    </xf>
    <xf numFmtId="4" fontId="12" fillId="29" borderId="194" xfId="96" applyNumberFormat="1" applyFont="1" applyFill="1" applyBorder="1" applyAlignment="1">
      <alignment horizontal="center" vertical="center" wrapText="1"/>
    </xf>
    <xf numFmtId="4" fontId="12" fillId="37" borderId="194" xfId="96" applyNumberFormat="1" applyFont="1" applyFill="1" applyBorder="1" applyAlignment="1">
      <alignment horizontal="center" vertical="center" wrapText="1"/>
    </xf>
    <xf numFmtId="4" fontId="12" fillId="48" borderId="194" xfId="0" applyNumberFormat="1" applyFont="1" applyFill="1" applyBorder="1" applyAlignment="1">
      <alignment horizontal="center" vertical="center" wrapText="1"/>
    </xf>
    <xf numFmtId="4" fontId="12" fillId="49" borderId="194" xfId="0" applyNumberFormat="1" applyFont="1" applyFill="1" applyBorder="1" applyAlignment="1">
      <alignment horizontal="center" vertical="center" wrapText="1"/>
    </xf>
    <xf numFmtId="4" fontId="12" fillId="38" borderId="194" xfId="0" applyNumberFormat="1" applyFont="1" applyFill="1" applyBorder="1" applyAlignment="1">
      <alignment horizontal="center" vertical="center" wrapText="1"/>
    </xf>
    <xf numFmtId="4" fontId="12" fillId="35" borderId="194" xfId="96" applyNumberFormat="1" applyFont="1" applyFill="1" applyBorder="1" applyAlignment="1">
      <alignment horizontal="center" vertical="center" wrapText="1"/>
    </xf>
    <xf numFmtId="0" fontId="12" fillId="39" borderId="194" xfId="96" applyFont="1" applyFill="1" applyBorder="1"/>
    <xf numFmtId="2" fontId="12" fillId="39" borderId="194" xfId="96" applyNumberFormat="1" applyFont="1" applyFill="1" applyBorder="1" applyAlignment="1">
      <alignment horizontal="center"/>
    </xf>
    <xf numFmtId="0" fontId="12" fillId="39" borderId="194" xfId="96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4" fontId="12" fillId="38" borderId="205" xfId="0" applyNumberFormat="1" applyFont="1" applyFill="1" applyBorder="1" applyAlignment="1">
      <alignment horizontal="center" wrapText="1"/>
    </xf>
    <xf numFmtId="4" fontId="12" fillId="38" borderId="214" xfId="0" applyNumberFormat="1" applyFont="1" applyFill="1" applyBorder="1" applyAlignment="1">
      <alignment horizontal="center" wrapText="1"/>
    </xf>
    <xf numFmtId="4" fontId="12" fillId="38" borderId="205" xfId="0" applyNumberFormat="1" applyFont="1" applyFill="1" applyBorder="1" applyAlignment="1">
      <alignment horizontal="center" vertical="center" wrapText="1"/>
    </xf>
    <xf numFmtId="0" fontId="11" fillId="36" borderId="206" xfId="96" applyFont="1" applyFill="1" applyBorder="1" applyAlignment="1">
      <alignment horizontal="center" vertical="center"/>
    </xf>
    <xf numFmtId="0" fontId="11" fillId="36" borderId="206" xfId="96" applyFont="1" applyFill="1" applyBorder="1" applyAlignment="1">
      <alignment horizontal="left" vertical="center" wrapText="1"/>
    </xf>
    <xf numFmtId="0" fontId="51" fillId="33" borderId="254" xfId="0" applyFont="1" applyFill="1" applyBorder="1" applyAlignment="1">
      <alignment horizontal="center" vertical="center" wrapText="1"/>
    </xf>
    <xf numFmtId="0" fontId="145" fillId="33" borderId="254" xfId="0" applyFont="1" applyFill="1" applyBorder="1" applyAlignment="1">
      <alignment vertical="center" wrapText="1"/>
    </xf>
    <xf numFmtId="4" fontId="51" fillId="33" borderId="254" xfId="0" applyNumberFormat="1" applyFont="1" applyFill="1" applyBorder="1" applyAlignment="1">
      <alignment horizontal="center" vertical="center" wrapText="1"/>
    </xf>
    <xf numFmtId="4" fontId="51" fillId="33" borderId="256" xfId="0" applyNumberFormat="1" applyFont="1" applyFill="1" applyBorder="1" applyAlignment="1">
      <alignment horizontal="center" vertical="center" wrapText="1"/>
    </xf>
    <xf numFmtId="0" fontId="51" fillId="33" borderId="0" xfId="0" applyFont="1" applyFill="1" applyAlignment="1">
      <alignment vertical="center" wrapText="1"/>
    </xf>
    <xf numFmtId="2" fontId="139" fillId="35" borderId="193" xfId="96" applyNumberFormat="1" applyFont="1" applyFill="1" applyBorder="1" applyAlignment="1">
      <alignment vertical="center"/>
    </xf>
    <xf numFmtId="4" fontId="146" fillId="0" borderId="0" xfId="0" applyNumberFormat="1" applyFont="1"/>
    <xf numFmtId="0" fontId="139" fillId="35" borderId="193" xfId="96" applyFont="1" applyFill="1" applyBorder="1"/>
    <xf numFmtId="0" fontId="139" fillId="35" borderId="194" xfId="96" applyFont="1" applyFill="1" applyBorder="1"/>
    <xf numFmtId="0" fontId="13" fillId="43" borderId="194" xfId="96" applyFont="1" applyFill="1" applyBorder="1" applyAlignment="1">
      <alignment horizontal="left" vertical="center" wrapText="1"/>
    </xf>
    <xf numFmtId="0" fontId="13" fillId="36" borderId="194" xfId="96" applyFont="1" applyFill="1" applyBorder="1" applyAlignment="1">
      <alignment horizontal="left" vertical="center" wrapText="1"/>
    </xf>
    <xf numFmtId="0" fontId="13" fillId="29" borderId="194" xfId="96" applyFont="1" applyFill="1" applyBorder="1" applyAlignment="1">
      <alignment horizontal="left" vertical="center" wrapText="1"/>
    </xf>
    <xf numFmtId="0" fontId="13" fillId="37" borderId="194" xfId="96" applyFont="1" applyFill="1" applyBorder="1" applyAlignment="1">
      <alignment horizontal="left" vertical="center" wrapText="1"/>
    </xf>
    <xf numFmtId="0" fontId="13" fillId="38" borderId="194" xfId="96" applyFont="1" applyFill="1" applyBorder="1" applyAlignment="1">
      <alignment horizontal="left" vertical="center" wrapText="1"/>
    </xf>
    <xf numFmtId="0" fontId="137" fillId="35" borderId="194" xfId="96" applyFont="1" applyFill="1" applyBorder="1" applyAlignment="1">
      <alignment horizontal="left" vertical="center"/>
    </xf>
    <xf numFmtId="171" fontId="13" fillId="36" borderId="194" xfId="85" applyNumberFormat="1" applyFont="1" applyFill="1" applyBorder="1" applyAlignment="1">
      <alignment horizontal="left" vertical="center" wrapText="1"/>
    </xf>
    <xf numFmtId="0" fontId="13" fillId="35" borderId="194" xfId="96" applyFont="1" applyFill="1" applyBorder="1" applyAlignment="1">
      <alignment horizontal="left" vertical="center" wrapText="1"/>
    </xf>
    <xf numFmtId="0" fontId="142" fillId="38" borderId="0" xfId="0" applyFont="1" applyFill="1" applyAlignment="1">
      <alignment vertical="center" wrapText="1"/>
    </xf>
    <xf numFmtId="0" fontId="147" fillId="33" borderId="192" xfId="0" applyFont="1" applyFill="1" applyBorder="1" applyAlignment="1">
      <alignment horizontal="center" vertical="center" wrapText="1"/>
    </xf>
    <xf numFmtId="0" fontId="148" fillId="33" borderId="0" xfId="0" applyFont="1" applyFill="1" applyAlignment="1">
      <alignment vertical="center" wrapText="1"/>
    </xf>
    <xf numFmtId="4" fontId="147" fillId="33" borderId="192" xfId="0" applyNumberFormat="1" applyFont="1" applyFill="1" applyBorder="1" applyAlignment="1">
      <alignment horizontal="center" vertical="center" wrapText="1"/>
    </xf>
    <xf numFmtId="4" fontId="147" fillId="33" borderId="193" xfId="0" applyNumberFormat="1" applyFont="1" applyFill="1" applyBorder="1" applyAlignment="1">
      <alignment horizontal="center" vertical="center" wrapText="1"/>
    </xf>
    <xf numFmtId="4" fontId="147" fillId="33" borderId="194" xfId="0" applyNumberFormat="1" applyFont="1" applyFill="1" applyBorder="1" applyAlignment="1">
      <alignment horizontal="center" vertical="center" wrapText="1"/>
    </xf>
    <xf numFmtId="0" fontId="147" fillId="33" borderId="0" xfId="0" applyFont="1" applyFill="1" applyAlignment="1">
      <alignment vertical="center" wrapText="1"/>
    </xf>
    <xf numFmtId="4" fontId="12" fillId="38" borderId="194" xfId="96" applyNumberFormat="1" applyFont="1" applyFill="1" applyBorder="1" applyAlignment="1">
      <alignment horizontal="center" vertical="center" wrapText="1"/>
    </xf>
    <xf numFmtId="169" fontId="12" fillId="39" borderId="194" xfId="96" applyNumberFormat="1" applyFont="1" applyFill="1" applyBorder="1" applyAlignment="1">
      <alignment horizontal="center"/>
    </xf>
    <xf numFmtId="0" fontId="137" fillId="35" borderId="194" xfId="96" applyFont="1" applyFill="1" applyBorder="1" applyAlignment="1">
      <alignment horizontal="center" vertical="center"/>
    </xf>
    <xf numFmtId="0" fontId="47" fillId="48" borderId="194" xfId="0" applyFont="1" applyFill="1" applyBorder="1" applyAlignment="1">
      <alignment vertical="center" wrapText="1"/>
    </xf>
    <xf numFmtId="178" fontId="144" fillId="38" borderId="194" xfId="0" applyNumberFormat="1" applyFont="1" applyFill="1" applyBorder="1" applyAlignment="1">
      <alignment horizontal="left" vertical="center" wrapText="1"/>
    </xf>
    <xf numFmtId="0" fontId="80" fillId="49" borderId="194" xfId="0" applyFont="1" applyFill="1" applyBorder="1" applyAlignment="1">
      <alignment vertical="center" wrapText="1"/>
    </xf>
    <xf numFmtId="178" fontId="13" fillId="38" borderId="194" xfId="0" applyNumberFormat="1" applyFont="1" applyFill="1" applyBorder="1" applyAlignment="1">
      <alignment horizontal="left" vertical="center" wrapText="1"/>
    </xf>
    <xf numFmtId="0" fontId="13" fillId="39" borderId="194" xfId="96" applyFont="1" applyFill="1" applyBorder="1" applyAlignment="1">
      <alignment horizontal="left"/>
    </xf>
    <xf numFmtId="2" fontId="13" fillId="39" borderId="194" xfId="96" applyNumberFormat="1" applyFont="1" applyFill="1" applyBorder="1" applyAlignment="1">
      <alignment horizontal="left"/>
    </xf>
    <xf numFmtId="169" fontId="13" fillId="39" borderId="194" xfId="96" applyNumberFormat="1" applyFont="1" applyFill="1" applyBorder="1" applyAlignment="1">
      <alignment horizontal="left"/>
    </xf>
    <xf numFmtId="2" fontId="139" fillId="35" borderId="194" xfId="96" applyNumberFormat="1" applyFont="1" applyFill="1" applyBorder="1" applyAlignment="1">
      <alignment horizontal="center" vertical="center"/>
    </xf>
    <xf numFmtId="4" fontId="15" fillId="0" borderId="0" xfId="0" applyNumberFormat="1" applyFont="1"/>
    <xf numFmtId="4" fontId="47" fillId="0" borderId="0" xfId="96" applyNumberFormat="1" applyFont="1"/>
    <xf numFmtId="171" fontId="47" fillId="0" borderId="0" xfId="85" applyNumberFormat="1" applyFont="1"/>
    <xf numFmtId="0" fontId="12" fillId="0" borderId="0" xfId="0" applyFont="1" applyAlignment="1"/>
    <xf numFmtId="0" fontId="12" fillId="0" borderId="254" xfId="0" applyFont="1" applyBorder="1"/>
    <xf numFmtId="4" fontId="12" fillId="0" borderId="254" xfId="0" applyNumberFormat="1" applyFont="1" applyBorder="1"/>
    <xf numFmtId="0" fontId="12" fillId="39" borderId="254" xfId="0" applyFont="1" applyFill="1" applyBorder="1"/>
    <xf numFmtId="4" fontId="12" fillId="39" borderId="254" xfId="0" applyNumberFormat="1" applyFont="1" applyFill="1" applyBorder="1"/>
    <xf numFmtId="0" fontId="12" fillId="39" borderId="0" xfId="0" applyFont="1" applyFill="1"/>
    <xf numFmtId="0" fontId="12" fillId="39" borderId="254" xfId="0" applyFont="1" applyFill="1" applyBorder="1" applyAlignment="1">
      <alignment wrapText="1"/>
    </xf>
    <xf numFmtId="0" fontId="12" fillId="39" borderId="254" xfId="0" applyFont="1" applyFill="1" applyBorder="1" applyAlignment="1">
      <alignment horizontal="center"/>
    </xf>
    <xf numFmtId="2" fontId="11" fillId="35" borderId="192" xfId="96" applyNumberFormat="1" applyFont="1" applyFill="1" applyBorder="1" applyAlignment="1">
      <alignment horizontal="center" vertical="center"/>
    </xf>
    <xf numFmtId="2" fontId="12" fillId="35" borderId="192" xfId="96" applyNumberFormat="1" applyFont="1" applyFill="1" applyBorder="1" applyAlignment="1">
      <alignment horizontal="center" vertical="center"/>
    </xf>
    <xf numFmtId="4" fontId="12" fillId="35" borderId="192" xfId="96" applyNumberFormat="1" applyFont="1" applyFill="1" applyBorder="1" applyAlignment="1">
      <alignment horizontal="center" vertical="center"/>
    </xf>
    <xf numFmtId="4" fontId="11" fillId="35" borderId="192" xfId="96" applyNumberFormat="1" applyFont="1" applyFill="1" applyBorder="1" applyAlignment="1">
      <alignment horizontal="center" vertical="center" wrapText="1"/>
    </xf>
    <xf numFmtId="0" fontId="12" fillId="36" borderId="192" xfId="96" applyFont="1" applyFill="1" applyBorder="1" applyAlignment="1">
      <alignment horizontal="center" vertical="center"/>
    </xf>
    <xf numFmtId="0" fontId="12" fillId="36" borderId="206" xfId="96" applyFont="1" applyFill="1" applyBorder="1" applyAlignment="1">
      <alignment horizontal="center" vertical="center"/>
    </xf>
    <xf numFmtId="0" fontId="12" fillId="35" borderId="192" xfId="96" applyFont="1" applyFill="1" applyBorder="1" applyAlignment="1">
      <alignment horizontal="center" vertical="center"/>
    </xf>
    <xf numFmtId="0" fontId="50" fillId="35" borderId="0" xfId="96" applyFont="1" applyFill="1"/>
    <xf numFmtId="2" fontId="11" fillId="36" borderId="192" xfId="96" applyNumberFormat="1" applyFont="1" applyFill="1" applyBorder="1" applyAlignment="1">
      <alignment horizontal="center" vertical="center"/>
    </xf>
    <xf numFmtId="0" fontId="47" fillId="39" borderId="257" xfId="96" applyFont="1" applyFill="1" applyBorder="1"/>
    <xf numFmtId="0" fontId="15" fillId="39" borderId="257" xfId="96" applyFont="1" applyFill="1" applyBorder="1" applyAlignment="1">
      <alignment horizontal="center" vertical="center" wrapText="1"/>
    </xf>
    <xf numFmtId="0" fontId="14" fillId="35" borderId="194" xfId="96" applyFont="1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 wrapText="1"/>
    </xf>
    <xf numFmtId="0" fontId="16" fillId="39" borderId="199" xfId="0" applyFont="1" applyFill="1" applyBorder="1" applyAlignment="1">
      <alignment horizontal="center" vertical="center" wrapText="1"/>
    </xf>
    <xf numFmtId="0" fontId="16" fillId="39" borderId="194" xfId="0" applyFont="1" applyFill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27" borderId="193" xfId="96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left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39" borderId="234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1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0" fontId="16" fillId="39" borderId="199" xfId="0" applyFont="1" applyFill="1" applyBorder="1" applyAlignment="1">
      <alignment vertical="center" wrapText="1"/>
    </xf>
    <xf numFmtId="0" fontId="16" fillId="39" borderId="215" xfId="0" applyFont="1" applyFill="1" applyBorder="1" applyAlignment="1">
      <alignment horizontal="center" vertical="center" wrapText="1"/>
    </xf>
    <xf numFmtId="0" fontId="16" fillId="39" borderId="208" xfId="0" applyFont="1" applyFill="1" applyBorder="1" applyAlignment="1">
      <alignment horizontal="center" vertical="center" wrapText="1"/>
    </xf>
    <xf numFmtId="0" fontId="16" fillId="39" borderId="216" xfId="0" applyFont="1" applyFill="1" applyBorder="1" applyAlignment="1">
      <alignment vertical="center" wrapText="1"/>
    </xf>
    <xf numFmtId="0" fontId="12" fillId="0" borderId="258" xfId="0" applyFont="1" applyBorder="1" applyAlignment="1">
      <alignment horizontal="center" vertical="center" wrapText="1"/>
    </xf>
    <xf numFmtId="169" fontId="13" fillId="0" borderId="257" xfId="0" applyNumberFormat="1" applyFont="1" applyBorder="1" applyAlignment="1">
      <alignment horizontal="center"/>
    </xf>
    <xf numFmtId="169" fontId="13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178" fontId="59" fillId="38" borderId="193" xfId="0" applyNumberFormat="1" applyFont="1" applyFill="1" applyBorder="1" applyAlignment="1">
      <alignment horizontal="center" vertical="center"/>
    </xf>
    <xf numFmtId="4" fontId="51" fillId="33" borderId="192" xfId="0" applyNumberFormat="1" applyFont="1" applyFill="1" applyBorder="1" applyAlignment="1">
      <alignment horizontal="center" vertical="center" wrapText="1"/>
    </xf>
    <xf numFmtId="0" fontId="12" fillId="37" borderId="193" xfId="96" applyFont="1" applyFill="1" applyBorder="1" applyAlignment="1">
      <alignment horizontal="center" vertical="center"/>
    </xf>
    <xf numFmtId="0" fontId="13" fillId="38" borderId="193" xfId="96" applyFont="1" applyFill="1" applyBorder="1" applyAlignment="1">
      <alignment horizontal="center" vertical="center"/>
    </xf>
    <xf numFmtId="0" fontId="12" fillId="29" borderId="193" xfId="96" applyFont="1" applyFill="1" applyBorder="1" applyAlignment="1">
      <alignment horizontal="center" vertical="center"/>
    </xf>
    <xf numFmtId="0" fontId="12" fillId="48" borderId="193" xfId="0" applyFont="1" applyFill="1" applyBorder="1" applyAlignment="1">
      <alignment horizontal="center" vertical="center" wrapText="1"/>
    </xf>
    <xf numFmtId="0" fontId="12" fillId="49" borderId="193" xfId="0" applyFont="1" applyFill="1" applyBorder="1" applyAlignment="1">
      <alignment horizontal="center" vertic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213" xfId="0" applyFont="1" applyFill="1" applyBorder="1" applyAlignment="1">
      <alignment horizontal="center" vertical="center" wrapText="1"/>
    </xf>
    <xf numFmtId="0" fontId="51" fillId="33" borderId="255" xfId="0" applyFont="1" applyFill="1" applyBorder="1" applyAlignment="1">
      <alignment horizontal="center" vertical="center" wrapText="1"/>
    </xf>
    <xf numFmtId="0" fontId="12" fillId="36" borderId="215" xfId="96" applyFont="1" applyFill="1" applyBorder="1" applyAlignment="1">
      <alignment horizontal="center" vertical="center"/>
    </xf>
    <xf numFmtId="0" fontId="12" fillId="36" borderId="193" xfId="96" applyFont="1" applyFill="1" applyBorder="1" applyAlignment="1">
      <alignment horizontal="center" vertical="center"/>
    </xf>
    <xf numFmtId="2" fontId="11" fillId="35" borderId="193" xfId="96" applyNumberFormat="1" applyFont="1" applyFill="1" applyBorder="1" applyAlignment="1">
      <alignment horizontal="center" vertical="center"/>
    </xf>
    <xf numFmtId="0" fontId="11" fillId="35" borderId="193" xfId="96" applyFont="1" applyFill="1" applyBorder="1" applyAlignment="1">
      <alignment horizontal="center" vertical="center"/>
    </xf>
    <xf numFmtId="171" fontId="13" fillId="36" borderId="216" xfId="85" applyNumberFormat="1" applyFont="1" applyFill="1" applyBorder="1" applyAlignment="1">
      <alignment horizontal="left" vertical="center" wrapText="1"/>
    </xf>
    <xf numFmtId="0" fontId="47" fillId="39" borderId="257" xfId="96" applyFont="1" applyFill="1" applyBorder="1" applyAlignment="1">
      <alignment horizontal="center"/>
    </xf>
    <xf numFmtId="2" fontId="12" fillId="39" borderId="192" xfId="96" applyNumberFormat="1" applyFont="1" applyFill="1" applyBorder="1" applyAlignment="1">
      <alignment horizontal="center" vertical="center"/>
    </xf>
    <xf numFmtId="169" fontId="12" fillId="39" borderId="192" xfId="96" applyNumberFormat="1" applyFont="1" applyFill="1" applyBorder="1" applyAlignment="1">
      <alignment horizontal="center" vertical="center"/>
    </xf>
    <xf numFmtId="169" fontId="12" fillId="39" borderId="194" xfId="96" applyNumberFormat="1" applyFont="1" applyFill="1" applyBorder="1" applyAlignment="1">
      <alignment horizontal="center" vertical="center"/>
    </xf>
    <xf numFmtId="0" fontId="59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169" fontId="12" fillId="37" borderId="235" xfId="0" applyNumberFormat="1" applyFont="1" applyFill="1" applyBorder="1" applyAlignment="1">
      <alignment horizontal="center" vertical="center"/>
    </xf>
    <xf numFmtId="2" fontId="12" fillId="37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59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2" fillId="39" borderId="192" xfId="0" applyFont="1" applyFill="1" applyBorder="1" applyAlignment="1">
      <alignment wrapText="1"/>
    </xf>
    <xf numFmtId="0" fontId="12" fillId="39" borderId="192" xfId="0" applyFont="1" applyFill="1" applyBorder="1" applyAlignment="1">
      <alignment horizontal="right" wrapText="1"/>
    </xf>
    <xf numFmtId="0" fontId="12" fillId="37" borderId="0" xfId="0" applyFont="1" applyFill="1"/>
    <xf numFmtId="0" fontId="12" fillId="52" borderId="0" xfId="0" applyFont="1" applyFill="1"/>
    <xf numFmtId="4" fontId="12" fillId="52" borderId="192" xfId="0" applyNumberFormat="1" applyFont="1" applyFill="1" applyBorder="1" applyAlignment="1">
      <alignment horizontal="center" vertical="center"/>
    </xf>
    <xf numFmtId="4" fontId="11" fillId="39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8" fontId="12" fillId="38" borderId="192" xfId="0" applyNumberFormat="1" applyFont="1" applyFill="1" applyBorder="1" applyAlignment="1">
      <alignment horizontal="center" vertical="center"/>
    </xf>
    <xf numFmtId="0" fontId="12" fillId="0" borderId="257" xfId="0" applyFont="1" applyBorder="1" applyAlignment="1">
      <alignment horizontal="center" vertical="center" wrapText="1"/>
    </xf>
    <xf numFmtId="0" fontId="11" fillId="39" borderId="193" xfId="0" applyFont="1" applyFill="1" applyBorder="1" applyAlignment="1">
      <alignment vertical="center" wrapText="1"/>
    </xf>
    <xf numFmtId="4" fontId="12" fillId="37" borderId="192" xfId="85" applyNumberFormat="1" applyFont="1" applyFill="1" applyBorder="1" applyAlignment="1">
      <alignment horizontal="center" vertical="center"/>
    </xf>
    <xf numFmtId="4" fontId="12" fillId="37" borderId="193" xfId="85" applyNumberFormat="1" applyFont="1" applyFill="1" applyBorder="1" applyAlignment="1">
      <alignment horizontal="center" vertical="center"/>
    </xf>
    <xf numFmtId="0" fontId="59" fillId="0" borderId="34" xfId="0" applyFont="1" applyBorder="1"/>
    <xf numFmtId="0" fontId="59" fillId="0" borderId="0" xfId="0" applyFont="1" applyBorder="1"/>
    <xf numFmtId="166" fontId="59" fillId="0" borderId="12" xfId="0" applyNumberFormat="1" applyFont="1" applyBorder="1"/>
    <xf numFmtId="166" fontId="59" fillId="0" borderId="0" xfId="0" applyNumberFormat="1" applyFont="1" applyBorder="1"/>
    <xf numFmtId="165" fontId="12" fillId="0" borderId="0" xfId="0" applyNumberFormat="1" applyFont="1"/>
    <xf numFmtId="0" fontId="11" fillId="0" borderId="0" xfId="0" applyFont="1" applyFill="1" applyBorder="1" applyAlignment="1">
      <alignment horizontal="center" vertical="center" wrapText="1"/>
    </xf>
    <xf numFmtId="1" fontId="11" fillId="0" borderId="192" xfId="0" applyNumberFormat="1" applyFont="1" applyFill="1" applyBorder="1" applyAlignment="1">
      <alignment horizontal="right" vertical="center"/>
    </xf>
    <xf numFmtId="3" fontId="11" fillId="0" borderId="192" xfId="0" applyNumberFormat="1" applyFont="1" applyFill="1" applyBorder="1" applyAlignment="1">
      <alignment horizontal="right" vertical="center"/>
    </xf>
    <xf numFmtId="170" fontId="11" fillId="0" borderId="192" xfId="0" applyNumberFormat="1" applyFont="1" applyFill="1" applyBorder="1" applyAlignment="1">
      <alignment horizontal="right" vertical="center"/>
    </xf>
    <xf numFmtId="171" fontId="11" fillId="0" borderId="192" xfId="0" applyNumberFormat="1" applyFont="1" applyFill="1" applyBorder="1" applyAlignment="1">
      <alignment horizontal="center" vertical="center" wrapText="1"/>
    </xf>
    <xf numFmtId="10" fontId="12" fillId="0" borderId="192" xfId="85" applyNumberFormat="1" applyFont="1" applyFill="1" applyBorder="1" applyAlignment="1">
      <alignment vertical="center"/>
    </xf>
    <xf numFmtId="170" fontId="11" fillId="0" borderId="192" xfId="0" applyNumberFormat="1" applyFont="1" applyFill="1" applyBorder="1" applyAlignment="1">
      <alignment horizontal="center" vertical="center"/>
    </xf>
    <xf numFmtId="3" fontId="11" fillId="0" borderId="192" xfId="0" applyNumberFormat="1" applyFont="1" applyFill="1" applyBorder="1" applyAlignment="1">
      <alignment horizontal="center" vertical="center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2" fillId="0" borderId="192" xfId="0" applyNumberFormat="1" applyFont="1" applyFill="1" applyBorder="1" applyAlignment="1">
      <alignment horizontal="right" vertical="center"/>
    </xf>
    <xf numFmtId="2" fontId="12" fillId="0" borderId="192" xfId="0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2" fillId="0" borderId="0" xfId="85" applyNumberFormat="1" applyFont="1" applyFill="1" applyBorder="1" applyAlignment="1">
      <alignment vertical="center"/>
    </xf>
    <xf numFmtId="0" fontId="11" fillId="29" borderId="0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left" vertical="center"/>
    </xf>
    <xf numFmtId="0" fontId="12" fillId="39" borderId="192" xfId="0" applyFont="1" applyFill="1" applyBorder="1" applyAlignment="1">
      <alignment horizontal="left" vertical="center"/>
    </xf>
    <xf numFmtId="1" fontId="11" fillId="39" borderId="192" xfId="0" applyNumberFormat="1" applyFont="1" applyFill="1" applyBorder="1" applyAlignment="1">
      <alignment horizontal="right" vertical="center"/>
    </xf>
    <xf numFmtId="3" fontId="11" fillId="39" borderId="192" xfId="0" applyNumberFormat="1" applyFont="1" applyFill="1" applyBorder="1" applyAlignment="1">
      <alignment horizontal="center" vertical="center"/>
    </xf>
    <xf numFmtId="170" fontId="11" fillId="39" borderId="192" xfId="0" applyNumberFormat="1" applyFont="1" applyFill="1" applyBorder="1" applyAlignment="1">
      <alignment horizontal="center" vertical="center"/>
    </xf>
    <xf numFmtId="1" fontId="12" fillId="37" borderId="192" xfId="0" applyNumberFormat="1" applyFont="1" applyFill="1" applyBorder="1" applyAlignment="1">
      <alignment horizontal="right" vertical="center"/>
    </xf>
    <xf numFmtId="3" fontId="12" fillId="37" borderId="192" xfId="0" applyNumberFormat="1" applyFont="1" applyFill="1" applyBorder="1" applyAlignment="1">
      <alignment horizontal="right" vertical="center"/>
    </xf>
    <xf numFmtId="170" fontId="12" fillId="37" borderId="192" xfId="0" applyNumberFormat="1" applyFont="1" applyFill="1" applyBorder="1" applyAlignment="1">
      <alignment horizontal="right" vertical="center"/>
    </xf>
    <xf numFmtId="2" fontId="12" fillId="39" borderId="192" xfId="85" applyNumberFormat="1" applyFont="1" applyFill="1" applyBorder="1" applyAlignment="1">
      <alignment vertical="center"/>
    </xf>
    <xf numFmtId="10" fontId="12" fillId="39" borderId="192" xfId="85" applyNumberFormat="1" applyFont="1" applyFill="1" applyBorder="1" applyAlignment="1">
      <alignment vertical="center"/>
    </xf>
    <xf numFmtId="14" fontId="12" fillId="0" borderId="0" xfId="0" applyNumberFormat="1" applyFont="1"/>
    <xf numFmtId="14" fontId="12" fillId="0" borderId="0" xfId="0" applyNumberFormat="1" applyFont="1" applyAlignment="1">
      <alignment vertical="center"/>
    </xf>
    <xf numFmtId="1" fontId="12" fillId="0" borderId="0" xfId="0" applyNumberFormat="1" applyFont="1"/>
    <xf numFmtId="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0" fontId="0" fillId="0" borderId="0" xfId="0" applyAlignment="1"/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1" fillId="39" borderId="206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4" fontId="11" fillId="39" borderId="192" xfId="0" applyNumberFormat="1" applyFont="1" applyFill="1" applyBorder="1"/>
    <xf numFmtId="4" fontId="11" fillId="0" borderId="0" xfId="0" applyNumberFormat="1" applyFont="1"/>
    <xf numFmtId="0" fontId="12" fillId="39" borderId="205" xfId="0" applyFont="1" applyFill="1" applyBorder="1" applyAlignment="1">
      <alignment vertical="center"/>
    </xf>
    <xf numFmtId="4" fontId="12" fillId="39" borderId="205" xfId="0" applyNumberFormat="1" applyFont="1" applyFill="1" applyBorder="1" applyAlignment="1">
      <alignment vertical="center"/>
    </xf>
    <xf numFmtId="4" fontId="12" fillId="37" borderId="205" xfId="0" applyNumberFormat="1" applyFont="1" applyFill="1" applyBorder="1" applyAlignment="1">
      <alignment vertical="center"/>
    </xf>
    <xf numFmtId="0" fontId="11" fillId="0" borderId="0" xfId="0" applyFont="1" applyAlignment="1">
      <alignment wrapText="1"/>
    </xf>
    <xf numFmtId="4" fontId="1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9" borderId="192" xfId="0" applyFont="1" applyFill="1" applyBorder="1" applyAlignment="1">
      <alignment horizontal="center" wrapText="1"/>
    </xf>
    <xf numFmtId="0" fontId="0" fillId="39" borderId="192" xfId="0" applyFont="1" applyFill="1" applyBorder="1" applyAlignment="1">
      <alignment horizontal="center" vertical="center"/>
    </xf>
    <xf numFmtId="169" fontId="59" fillId="39" borderId="192" xfId="0" applyNumberFormat="1" applyFont="1" applyFill="1" applyBorder="1" applyAlignment="1">
      <alignment horizontal="center" vertical="center"/>
    </xf>
    <xf numFmtId="169" fontId="60" fillId="39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 applyAlignment="1">
      <alignment horizontal="center" vertical="center"/>
    </xf>
    <xf numFmtId="4" fontId="60" fillId="39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 applyAlignment="1">
      <alignment vertical="center"/>
    </xf>
    <xf numFmtId="171" fontId="59" fillId="39" borderId="192" xfId="85" applyNumberFormat="1" applyFont="1" applyFill="1" applyBorder="1" applyAlignment="1">
      <alignment vertical="center"/>
    </xf>
    <xf numFmtId="0" fontId="60" fillId="39" borderId="192" xfId="0" applyFont="1" applyFill="1" applyBorder="1" applyAlignment="1">
      <alignment horizontal="center" vertical="center"/>
    </xf>
    <xf numFmtId="10" fontId="60" fillId="39" borderId="192" xfId="85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79" fillId="39" borderId="192" xfId="0" applyFont="1" applyFill="1" applyBorder="1" applyAlignment="1">
      <alignment vertical="center"/>
    </xf>
    <xf numFmtId="169" fontId="16" fillId="39" borderId="192" xfId="0" applyNumberFormat="1" applyFont="1" applyFill="1" applyBorder="1" applyAlignment="1">
      <alignment horizontal="center" vertical="center"/>
    </xf>
    <xf numFmtId="4" fontId="60" fillId="39" borderId="192" xfId="0" applyNumberFormat="1" applyFont="1" applyFill="1" applyBorder="1" applyAlignment="1">
      <alignment vertical="center"/>
    </xf>
    <xf numFmtId="10" fontId="59" fillId="39" borderId="192" xfId="85" applyNumberFormat="1" applyFont="1" applyFill="1" applyBorder="1"/>
    <xf numFmtId="10" fontId="59" fillId="39" borderId="192" xfId="0" applyNumberFormat="1" applyFont="1" applyFill="1" applyBorder="1"/>
    <xf numFmtId="0" fontId="16" fillId="39" borderId="192" xfId="0" applyFont="1" applyFill="1" applyBorder="1" applyAlignment="1">
      <alignment horizontal="center"/>
    </xf>
    <xf numFmtId="4" fontId="95" fillId="37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vertical="center"/>
    </xf>
    <xf numFmtId="4" fontId="60" fillId="37" borderId="192" xfId="0" applyNumberFormat="1" applyFont="1" applyFill="1" applyBorder="1" applyAlignment="1">
      <alignment vertical="center"/>
    </xf>
    <xf numFmtId="10" fontId="59" fillId="37" borderId="192" xfId="0" applyNumberFormat="1" applyFont="1" applyFill="1" applyBorder="1"/>
    <xf numFmtId="171" fontId="60" fillId="39" borderId="192" xfId="85" applyNumberFormat="1" applyFont="1" applyFill="1" applyBorder="1" applyAlignment="1">
      <alignment vertical="center"/>
    </xf>
    <xf numFmtId="10" fontId="59" fillId="39" borderId="192" xfId="85" applyNumberFormat="1" applyFont="1" applyFill="1" applyBorder="1" applyAlignment="1">
      <alignment horizontal="center" vertical="center"/>
    </xf>
    <xf numFmtId="4" fontId="95" fillId="39" borderId="192" xfId="0" applyNumberFormat="1" applyFont="1" applyFill="1" applyBorder="1" applyAlignment="1">
      <alignment vertical="center"/>
    </xf>
    <xf numFmtId="0" fontId="0" fillId="39" borderId="192" xfId="0" applyFont="1" applyFill="1" applyBorder="1" applyAlignment="1">
      <alignment vertical="center" wrapText="1"/>
    </xf>
    <xf numFmtId="10" fontId="59" fillId="39" borderId="192" xfId="85" applyNumberFormat="1" applyFont="1" applyFill="1" applyBorder="1" applyAlignment="1">
      <alignment vertical="center"/>
    </xf>
    <xf numFmtId="170" fontId="59" fillId="39" borderId="192" xfId="0" applyNumberFormat="1" applyFont="1" applyFill="1" applyBorder="1" applyAlignment="1">
      <alignment horizontal="center" vertical="center"/>
    </xf>
    <xf numFmtId="170" fontId="59" fillId="39" borderId="192" xfId="0" applyNumberFormat="1" applyFont="1" applyFill="1" applyBorder="1" applyAlignment="1">
      <alignment vertical="center"/>
    </xf>
    <xf numFmtId="10" fontId="59" fillId="39" borderId="192" xfId="0" applyNumberFormat="1" applyFont="1" applyFill="1" applyBorder="1" applyAlignment="1">
      <alignment vertical="center"/>
    </xf>
    <xf numFmtId="0" fontId="59" fillId="30" borderId="258" xfId="0" applyFont="1" applyFill="1" applyBorder="1" applyAlignment="1">
      <alignment horizontal="center" vertical="center"/>
    </xf>
    <xf numFmtId="2" fontId="16" fillId="30" borderId="257" xfId="0" applyNumberFormat="1" applyFont="1" applyFill="1" applyBorder="1"/>
    <xf numFmtId="2" fontId="59" fillId="30" borderId="257" xfId="0" applyNumberFormat="1" applyFont="1" applyFill="1" applyBorder="1"/>
    <xf numFmtId="2" fontId="60" fillId="30" borderId="257" xfId="0" applyNumberFormat="1" applyFont="1" applyFill="1" applyBorder="1"/>
    <xf numFmtId="2" fontId="59" fillId="30" borderId="258" xfId="0" applyNumberFormat="1" applyFont="1" applyFill="1" applyBorder="1"/>
    <xf numFmtId="4" fontId="59" fillId="37" borderId="192" xfId="0" applyNumberFormat="1" applyFont="1" applyFill="1" applyBorder="1" applyAlignment="1">
      <alignment vertical="center"/>
    </xf>
    <xf numFmtId="4" fontId="95" fillId="37" borderId="192" xfId="0" applyNumberFormat="1" applyFont="1" applyFill="1" applyBorder="1" applyAlignment="1">
      <alignment vertical="center"/>
    </xf>
    <xf numFmtId="170" fontId="59" fillId="38" borderId="192" xfId="0" applyNumberFormat="1" applyFont="1" applyFill="1" applyBorder="1" applyAlignment="1">
      <alignment vertical="center"/>
    </xf>
    <xf numFmtId="10" fontId="59" fillId="37" borderId="192" xfId="0" applyNumberFormat="1" applyFont="1" applyFill="1" applyBorder="1" applyAlignment="1">
      <alignment vertical="center"/>
    </xf>
    <xf numFmtId="0" fontId="47" fillId="0" borderId="192" xfId="79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69" fontId="47" fillId="0" borderId="192" xfId="79" applyNumberFormat="1" applyFont="1" applyFill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horizontal="center" vertical="center"/>
    </xf>
    <xf numFmtId="2" fontId="47" fillId="0" borderId="192" xfId="79" applyNumberFormat="1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171" fontId="9" fillId="0" borderId="192" xfId="85" applyNumberFormat="1" applyFont="1" applyFill="1" applyBorder="1" applyAlignment="1">
      <alignment vertical="center"/>
    </xf>
    <xf numFmtId="170" fontId="48" fillId="0" borderId="192" xfId="79" applyNumberFormat="1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71" fontId="47" fillId="0" borderId="192" xfId="85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171" fontId="51" fillId="0" borderId="192" xfId="85" applyNumberFormat="1" applyFont="1" applyFill="1" applyBorder="1" applyAlignment="1">
      <alignment horizontal="center" vertical="center"/>
    </xf>
    <xf numFmtId="4" fontId="11" fillId="0" borderId="192" xfId="79" applyNumberFormat="1" applyFont="1" applyFill="1" applyBorder="1" applyAlignment="1">
      <alignment horizontal="center" vertical="center"/>
    </xf>
    <xf numFmtId="0" fontId="11" fillId="0" borderId="192" xfId="79" applyNumberFormat="1" applyFont="1" applyFill="1" applyBorder="1" applyAlignment="1">
      <alignment horizontal="center" vertical="center"/>
    </xf>
    <xf numFmtId="0" fontId="12" fillId="0" borderId="0" xfId="79" applyFont="1"/>
    <xf numFmtId="0" fontId="12" fillId="0" borderId="0" xfId="79" applyFont="1" applyAlignment="1">
      <alignment vertical="center"/>
    </xf>
    <xf numFmtId="0" fontId="12" fillId="0" borderId="0" xfId="79" applyFont="1" applyFill="1" applyAlignment="1">
      <alignment vertical="center"/>
    </xf>
    <xf numFmtId="0" fontId="12" fillId="0" borderId="0" xfId="79" applyFont="1" applyFill="1"/>
    <xf numFmtId="0" fontId="11" fillId="39" borderId="199" xfId="0" applyFont="1" applyFill="1" applyBorder="1" applyAlignment="1">
      <alignment horizontal="center" vertical="center" wrapText="1"/>
    </xf>
    <xf numFmtId="0" fontId="6" fillId="39" borderId="0" xfId="79" applyFill="1" applyBorder="1"/>
    <xf numFmtId="0" fontId="6" fillId="39" borderId="0" xfId="79" applyFill="1"/>
    <xf numFmtId="0" fontId="47" fillId="39" borderId="192" xfId="79" applyFont="1" applyFill="1" applyBorder="1" applyAlignment="1">
      <alignment vertical="center" wrapText="1"/>
    </xf>
    <xf numFmtId="0" fontId="12" fillId="39" borderId="205" xfId="79" applyFont="1" applyFill="1" applyBorder="1" applyAlignment="1">
      <alignment horizontal="center" vertical="center" wrapText="1"/>
    </xf>
    <xf numFmtId="0" fontId="47" fillId="39" borderId="192" xfId="79" applyFont="1" applyFill="1" applyBorder="1" applyAlignment="1">
      <alignment vertical="center"/>
    </xf>
    <xf numFmtId="0" fontId="48" fillId="39" borderId="192" xfId="79" applyFont="1" applyFill="1" applyBorder="1" applyAlignment="1">
      <alignment vertical="center"/>
    </xf>
    <xf numFmtId="0" fontId="50" fillId="39" borderId="192" xfId="79" applyFont="1" applyFill="1" applyBorder="1" applyAlignment="1">
      <alignment vertical="center"/>
    </xf>
    <xf numFmtId="170" fontId="50" fillId="39" borderId="192" xfId="79" applyNumberFormat="1" applyFont="1" applyFill="1" applyBorder="1" applyAlignment="1">
      <alignment horizontal="center" vertical="center"/>
    </xf>
    <xf numFmtId="4" fontId="12" fillId="38" borderId="192" xfId="79" applyNumberFormat="1" applyFont="1" applyFill="1" applyBorder="1" applyAlignment="1">
      <alignment horizontal="center" vertical="center"/>
    </xf>
    <xf numFmtId="4" fontId="12" fillId="37" borderId="192" xfId="79" applyNumberFormat="1" applyFont="1" applyFill="1" applyBorder="1" applyAlignment="1">
      <alignment horizontal="center" vertical="center"/>
    </xf>
    <xf numFmtId="171" fontId="12" fillId="37" borderId="192" xfId="85" applyNumberFormat="1" applyFont="1" applyFill="1" applyBorder="1" applyAlignment="1">
      <alignment vertical="center"/>
    </xf>
    <xf numFmtId="10" fontId="12" fillId="43" borderId="192" xfId="85" applyNumberFormat="1" applyFont="1" applyFill="1" applyBorder="1" applyAlignment="1">
      <alignment horizontal="center" vertical="center"/>
    </xf>
    <xf numFmtId="4" fontId="12" fillId="43" borderId="192" xfId="79" applyNumberFormat="1" applyFont="1" applyFill="1" applyBorder="1" applyAlignment="1">
      <alignment horizontal="center" vertical="center"/>
    </xf>
    <xf numFmtId="171" fontId="12" fillId="43" borderId="192" xfId="85" applyNumberFormat="1" applyFont="1" applyFill="1" applyBorder="1" applyAlignment="1">
      <alignment horizontal="center" vertical="center"/>
    </xf>
    <xf numFmtId="0" fontId="11" fillId="38" borderId="192" xfId="79" applyFont="1" applyFill="1" applyBorder="1" applyAlignment="1">
      <alignment vertical="center"/>
    </xf>
    <xf numFmtId="10" fontId="11" fillId="38" borderId="192" xfId="85" applyNumberFormat="1" applyFont="1" applyFill="1" applyBorder="1" applyAlignment="1">
      <alignment vertical="center"/>
    </xf>
    <xf numFmtId="171" fontId="11" fillId="38" borderId="192" xfId="85" applyNumberFormat="1" applyFont="1" applyFill="1" applyBorder="1" applyAlignment="1">
      <alignment vertical="center"/>
    </xf>
    <xf numFmtId="0" fontId="11" fillId="38" borderId="0" xfId="79" applyFont="1" applyFill="1"/>
    <xf numFmtId="171" fontId="12" fillId="37" borderId="192" xfId="85" applyNumberFormat="1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167" fontId="12" fillId="37" borderId="192" xfId="0" applyNumberFormat="1" applyFont="1" applyFill="1" applyBorder="1"/>
    <xf numFmtId="171" fontId="60" fillId="37" borderId="192" xfId="85" applyNumberFormat="1" applyFont="1" applyFill="1" applyBorder="1" applyAlignment="1">
      <alignment horizontal="center" vertical="center"/>
    </xf>
    <xf numFmtId="178" fontId="11" fillId="39" borderId="19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39" borderId="193" xfId="0" applyNumberFormat="1" applyFont="1" applyFill="1" applyBorder="1" applyAlignment="1">
      <alignment horizontal="center" vertical="center"/>
    </xf>
    <xf numFmtId="4" fontId="12" fillId="37" borderId="193" xfId="0" applyNumberFormat="1" applyFont="1" applyFill="1" applyBorder="1"/>
    <xf numFmtId="2" fontId="12" fillId="37" borderId="193" xfId="0" applyNumberFormat="1" applyFont="1" applyFill="1" applyBorder="1"/>
    <xf numFmtId="0" fontId="12" fillId="37" borderId="193" xfId="0" applyFont="1" applyFill="1" applyBorder="1"/>
    <xf numFmtId="2" fontId="12" fillId="39" borderId="193" xfId="0" applyNumberFormat="1" applyFont="1" applyFill="1" applyBorder="1" applyAlignment="1">
      <alignment vertical="center"/>
    </xf>
    <xf numFmtId="4" fontId="11" fillId="39" borderId="193" xfId="0" applyNumberFormat="1" applyFont="1" applyFill="1" applyBorder="1"/>
    <xf numFmtId="178" fontId="11" fillId="39" borderId="193" xfId="0" applyNumberFormat="1" applyFont="1" applyFill="1" applyBorder="1" applyAlignment="1">
      <alignment horizontal="center" vertical="center"/>
    </xf>
    <xf numFmtId="168" fontId="12" fillId="37" borderId="193" xfId="0" applyNumberFormat="1" applyFont="1" applyFill="1" applyBorder="1"/>
    <xf numFmtId="0" fontId="12" fillId="37" borderId="192" xfId="0" applyFont="1" applyFill="1" applyBorder="1" applyAlignment="1">
      <alignment wrapText="1"/>
    </xf>
    <xf numFmtId="0" fontId="12" fillId="38" borderId="192" xfId="0" applyFont="1" applyFill="1" applyBorder="1" applyAlignment="1">
      <alignment vertical="center"/>
    </xf>
    <xf numFmtId="165" fontId="13" fillId="38" borderId="192" xfId="89" applyFont="1" applyFill="1" applyBorder="1" applyAlignment="1">
      <alignment vertical="center"/>
    </xf>
    <xf numFmtId="1" fontId="12" fillId="38" borderId="192" xfId="0" applyNumberFormat="1" applyFont="1" applyFill="1" applyBorder="1" applyAlignment="1">
      <alignment vertical="center"/>
    </xf>
    <xf numFmtId="165" fontId="12" fillId="38" borderId="192" xfId="89" applyFont="1" applyFill="1" applyBorder="1" applyAlignment="1">
      <alignment vertical="center"/>
    </xf>
    <xf numFmtId="10" fontId="12" fillId="38" borderId="192" xfId="85" applyNumberFormat="1" applyFont="1" applyFill="1" applyBorder="1" applyAlignment="1">
      <alignment vertical="center"/>
    </xf>
    <xf numFmtId="171" fontId="12" fillId="38" borderId="192" xfId="85" applyNumberFormat="1" applyFont="1" applyFill="1" applyBorder="1" applyAlignment="1">
      <alignment vertical="center"/>
    </xf>
    <xf numFmtId="10" fontId="12" fillId="38" borderId="0" xfId="85" applyNumberFormat="1" applyFont="1" applyFill="1" applyBorder="1" applyAlignment="1">
      <alignment vertical="center"/>
    </xf>
    <xf numFmtId="0" fontId="12" fillId="38" borderId="0" xfId="0" applyFont="1" applyFill="1"/>
    <xf numFmtId="3" fontId="12" fillId="38" borderId="192" xfId="0" applyNumberFormat="1" applyFont="1" applyFill="1" applyBorder="1" applyAlignment="1">
      <alignment vertical="center"/>
    </xf>
    <xf numFmtId="3" fontId="12" fillId="38" borderId="192" xfId="0" applyNumberFormat="1" applyFont="1" applyFill="1" applyBorder="1" applyAlignment="1">
      <alignment horizontal="right" vertical="center"/>
    </xf>
    <xf numFmtId="4" fontId="116" fillId="37" borderId="192" xfId="79" applyNumberFormat="1" applyFont="1" applyFill="1" applyBorder="1" applyAlignment="1">
      <alignment horizontal="center" vertical="center"/>
    </xf>
    <xf numFmtId="4" fontId="116" fillId="38" borderId="192" xfId="79" applyNumberFormat="1" applyFont="1" applyFill="1" applyBorder="1" applyAlignment="1">
      <alignment horizontal="center" vertical="center"/>
    </xf>
    <xf numFmtId="170" fontId="12" fillId="43" borderId="192" xfId="79" applyNumberFormat="1" applyFont="1" applyFill="1" applyBorder="1" applyAlignment="1">
      <alignment horizontal="center" vertical="center"/>
    </xf>
    <xf numFmtId="2" fontId="12" fillId="37" borderId="0" xfId="79" applyNumberFormat="1" applyFont="1" applyFill="1" applyAlignment="1">
      <alignment horizontal="center" vertical="center"/>
    </xf>
    <xf numFmtId="2" fontId="12" fillId="37" borderId="192" xfId="79" applyNumberFormat="1" applyFont="1" applyFill="1" applyBorder="1" applyAlignment="1">
      <alignment horizontal="center" vertical="center"/>
    </xf>
    <xf numFmtId="169" fontId="12" fillId="37" borderId="192" xfId="79" applyNumberFormat="1" applyFont="1" applyFill="1" applyBorder="1" applyAlignment="1">
      <alignment horizontal="center" vertical="center"/>
    </xf>
    <xf numFmtId="170" fontId="12" fillId="38" borderId="192" xfId="79" applyNumberFormat="1" applyFont="1" applyFill="1" applyBorder="1" applyAlignment="1">
      <alignment horizontal="center" vertical="center"/>
    </xf>
    <xf numFmtId="171" fontId="13" fillId="43" borderId="192" xfId="85" applyNumberFormat="1" applyFont="1" applyFill="1" applyBorder="1" applyAlignment="1">
      <alignment horizontal="center" vertical="center"/>
    </xf>
    <xf numFmtId="169" fontId="12" fillId="43" borderId="192" xfId="79" applyNumberFormat="1" applyFont="1" applyFill="1" applyBorder="1" applyAlignment="1">
      <alignment horizontal="center" vertical="center"/>
    </xf>
    <xf numFmtId="170" fontId="11" fillId="39" borderId="192" xfId="79" applyNumberFormat="1" applyFont="1" applyFill="1" applyBorder="1" applyAlignment="1">
      <alignment horizontal="center" vertical="center"/>
    </xf>
    <xf numFmtId="0" fontId="6" fillId="0" borderId="0" xfId="79" applyFont="1" applyFill="1" applyAlignment="1">
      <alignment vertical="center"/>
    </xf>
    <xf numFmtId="0" fontId="47" fillId="0" borderId="192" xfId="79" applyFont="1" applyFill="1" applyBorder="1" applyAlignment="1">
      <alignment vertical="center"/>
    </xf>
    <xf numFmtId="0" fontId="47" fillId="0" borderId="192" xfId="79" applyFont="1" applyFill="1" applyBorder="1" applyAlignment="1">
      <alignment horizontal="center" vertical="center" wrapText="1"/>
    </xf>
    <xf numFmtId="0" fontId="12" fillId="0" borderId="192" xfId="79" applyFont="1" applyFill="1" applyBorder="1" applyAlignment="1">
      <alignment horizontal="center" vertical="center" wrapText="1"/>
    </xf>
    <xf numFmtId="0" fontId="6" fillId="0" borderId="192" xfId="79" applyBorder="1" applyAlignment="1">
      <alignment vertical="center"/>
    </xf>
    <xf numFmtId="0" fontId="12" fillId="0" borderId="192" xfId="79" applyFont="1" applyBorder="1" applyAlignment="1">
      <alignment vertical="center"/>
    </xf>
    <xf numFmtId="170" fontId="12" fillId="0" borderId="192" xfId="79" applyNumberFormat="1" applyFont="1" applyBorder="1" applyAlignment="1">
      <alignment vertical="center"/>
    </xf>
    <xf numFmtId="0" fontId="12" fillId="0" borderId="192" xfId="79" applyFont="1" applyBorder="1" applyAlignment="1">
      <alignment horizontal="center" vertical="center"/>
    </xf>
    <xf numFmtId="0" fontId="12" fillId="0" borderId="192" xfId="79" applyFont="1" applyFill="1" applyBorder="1" applyAlignment="1">
      <alignment horizontal="center" vertical="center"/>
    </xf>
    <xf numFmtId="9" fontId="47" fillId="0" borderId="192" xfId="85" applyFont="1" applyFill="1" applyBorder="1" applyAlignment="1">
      <alignment horizontal="center" vertical="center"/>
    </xf>
    <xf numFmtId="1" fontId="47" fillId="0" borderId="192" xfId="79" applyNumberFormat="1" applyFont="1" applyFill="1" applyBorder="1" applyAlignment="1">
      <alignment horizontal="center" vertical="center"/>
    </xf>
    <xf numFmtId="9" fontId="47" fillId="0" borderId="192" xfId="85" applyNumberFormat="1" applyFont="1" applyFill="1" applyBorder="1" applyAlignment="1">
      <alignment horizontal="center" vertical="center"/>
    </xf>
    <xf numFmtId="10" fontId="47" fillId="0" borderId="192" xfId="85" applyNumberFormat="1" applyFont="1" applyFill="1" applyBorder="1" applyAlignment="1">
      <alignment horizontal="center" vertical="center"/>
    </xf>
    <xf numFmtId="171" fontId="47" fillId="0" borderId="192" xfId="79" applyNumberFormat="1" applyFont="1" applyFill="1" applyBorder="1" applyAlignment="1">
      <alignment horizontal="center" vertical="center"/>
    </xf>
    <xf numFmtId="10" fontId="47" fillId="0" borderId="192" xfId="79" applyNumberFormat="1" applyFont="1" applyFill="1" applyBorder="1" applyAlignment="1">
      <alignment horizontal="center" vertical="center"/>
    </xf>
    <xf numFmtId="4" fontId="47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0" fontId="50" fillId="0" borderId="192" xfId="79" applyFont="1" applyFill="1" applyBorder="1" applyAlignment="1">
      <alignment vertical="center"/>
    </xf>
    <xf numFmtId="2" fontId="50" fillId="0" borderId="192" xfId="79" applyNumberFormat="1" applyFont="1" applyFill="1" applyBorder="1" applyAlignment="1">
      <alignment horizontal="center" vertical="center"/>
    </xf>
    <xf numFmtId="169" fontId="50" fillId="0" borderId="192" xfId="79" applyNumberFormat="1" applyFont="1" applyFill="1" applyBorder="1" applyAlignment="1">
      <alignment horizontal="center" vertical="center"/>
    </xf>
    <xf numFmtId="9" fontId="50" fillId="0" borderId="192" xfId="85" applyFont="1" applyFill="1" applyBorder="1" applyAlignment="1">
      <alignment horizontal="center" vertical="center"/>
    </xf>
    <xf numFmtId="169" fontId="11" fillId="0" borderId="192" xfId="79" applyNumberFormat="1" applyFont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vertical="center"/>
    </xf>
    <xf numFmtId="10" fontId="9" fillId="0" borderId="192" xfId="79" applyNumberFormat="1" applyFont="1" applyFill="1" applyBorder="1" applyAlignment="1">
      <alignment vertical="center"/>
    </xf>
    <xf numFmtId="10" fontId="50" fillId="0" borderId="192" xfId="79" applyNumberFormat="1" applyFont="1" applyFill="1" applyBorder="1" applyAlignment="1">
      <alignment horizontal="center" vertical="center"/>
    </xf>
    <xf numFmtId="4" fontId="50" fillId="0" borderId="192" xfId="79" applyNumberFormat="1" applyFont="1" applyFill="1" applyBorder="1" applyAlignment="1">
      <alignment horizontal="center" vertical="center"/>
    </xf>
    <xf numFmtId="170" fontId="11" fillId="0" borderId="192" xfId="79" applyNumberFormat="1" applyFont="1" applyFill="1" applyBorder="1" applyAlignment="1">
      <alignment horizontal="center" vertical="center"/>
    </xf>
    <xf numFmtId="10" fontId="12" fillId="0" borderId="0" xfId="85" applyNumberFormat="1" applyFont="1"/>
    <xf numFmtId="169" fontId="11" fillId="39" borderId="192" xfId="0" applyNumberFormat="1" applyFont="1" applyFill="1" applyBorder="1" applyAlignment="1">
      <alignment horizontal="center" vertical="center"/>
    </xf>
    <xf numFmtId="169" fontId="17" fillId="39" borderId="192" xfId="0" applyNumberFormat="1" applyFont="1" applyFill="1" applyBorder="1" applyAlignment="1">
      <alignment horizontal="center" vertical="center"/>
    </xf>
    <xf numFmtId="4" fontId="60" fillId="39" borderId="192" xfId="85" applyNumberFormat="1" applyFont="1" applyFill="1" applyBorder="1" applyAlignment="1">
      <alignment horizontal="center" vertical="center"/>
    </xf>
    <xf numFmtId="4" fontId="16" fillId="39" borderId="192" xfId="0" applyNumberFormat="1" applyFont="1" applyFill="1" applyBorder="1" applyAlignment="1">
      <alignment horizontal="center" vertical="center" wrapText="1"/>
    </xf>
    <xf numFmtId="171" fontId="59" fillId="39" borderId="192" xfId="0" applyNumberFormat="1" applyFont="1" applyFill="1" applyBorder="1" applyAlignment="1">
      <alignment horizontal="center" vertical="center" wrapText="1"/>
    </xf>
    <xf numFmtId="4" fontId="11" fillId="39" borderId="192" xfId="0" applyNumberFormat="1" applyFont="1" applyFill="1" applyBorder="1" applyAlignment="1">
      <alignment horizontal="center" vertical="center" wrapText="1"/>
    </xf>
    <xf numFmtId="171" fontId="60" fillId="39" borderId="192" xfId="0" applyNumberFormat="1" applyFont="1" applyFill="1" applyBorder="1" applyAlignment="1">
      <alignment horizontal="center" vertical="center" wrapText="1"/>
    </xf>
    <xf numFmtId="0" fontId="0" fillId="39" borderId="0" xfId="0" applyFill="1"/>
    <xf numFmtId="4" fontId="14" fillId="39" borderId="192" xfId="0" applyNumberFormat="1" applyFont="1" applyFill="1" applyBorder="1" applyAlignment="1">
      <alignment horizontal="center" vertical="center"/>
    </xf>
    <xf numFmtId="4" fontId="13" fillId="39" borderId="192" xfId="0" applyNumberFormat="1" applyFont="1" applyFill="1" applyBorder="1" applyAlignment="1">
      <alignment horizontal="center" vertical="center"/>
    </xf>
    <xf numFmtId="4" fontId="17" fillId="39" borderId="192" xfId="0" applyNumberFormat="1" applyFont="1" applyFill="1" applyBorder="1" applyAlignment="1">
      <alignment horizontal="center" vertical="center"/>
    </xf>
    <xf numFmtId="171" fontId="60" fillId="39" borderId="192" xfId="85" applyNumberFormat="1" applyFont="1" applyFill="1" applyBorder="1" applyAlignment="1">
      <alignment horizontal="center" vertical="center"/>
    </xf>
    <xf numFmtId="169" fontId="14" fillId="39" borderId="192" xfId="0" applyNumberFormat="1" applyFont="1" applyFill="1" applyBorder="1" applyAlignment="1">
      <alignment horizontal="center" vertical="center"/>
    </xf>
    <xf numFmtId="4" fontId="17" fillId="39" borderId="192" xfId="0" applyNumberFormat="1" applyFont="1" applyFill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/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2" fillId="39" borderId="193" xfId="0" applyFont="1" applyFill="1" applyBorder="1" applyAlignment="1">
      <alignment horizontal="center" vertical="center"/>
    </xf>
    <xf numFmtId="0" fontId="12" fillId="0" borderId="192" xfId="0" applyFont="1" applyBorder="1" applyAlignment="1">
      <alignment horizontal="center"/>
    </xf>
    <xf numFmtId="4" fontId="12" fillId="0" borderId="192" xfId="0" applyNumberFormat="1" applyFont="1" applyFill="1" applyBorder="1" applyAlignment="1">
      <alignment horizontal="center" vertical="center" wrapText="1"/>
    </xf>
    <xf numFmtId="171" fontId="79" fillId="39" borderId="192" xfId="85" applyNumberFormat="1" applyFont="1" applyFill="1" applyBorder="1" applyAlignment="1">
      <alignment horizontal="center" vertical="center"/>
    </xf>
    <xf numFmtId="0" fontId="7" fillId="39" borderId="0" xfId="0" applyFont="1" applyFill="1"/>
    <xf numFmtId="171" fontId="59" fillId="38" borderId="192" xfId="85" applyNumberFormat="1" applyFont="1" applyFill="1" applyBorder="1" applyAlignment="1">
      <alignment horizontal="center" vertical="center"/>
    </xf>
    <xf numFmtId="0" fontId="12" fillId="52" borderId="0" xfId="0" applyFont="1" applyFill="1" applyAlignment="1">
      <alignment vertical="center"/>
    </xf>
    <xf numFmtId="0" fontId="11" fillId="39" borderId="192" xfId="0" applyFont="1" applyFill="1" applyBorder="1" applyAlignment="1">
      <alignment horizontal="left" wrapText="1"/>
    </xf>
    <xf numFmtId="0" fontId="12" fillId="38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right" wrapText="1"/>
    </xf>
    <xf numFmtId="0" fontId="12" fillId="43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wrapText="1"/>
    </xf>
    <xf numFmtId="0" fontId="12" fillId="43" borderId="192" xfId="0" applyFont="1" applyFill="1" applyBorder="1" applyAlignment="1">
      <alignment wrapText="1"/>
    </xf>
    <xf numFmtId="4" fontId="12" fillId="37" borderId="205" xfId="85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7" borderId="192" xfId="0" applyFont="1" applyFill="1" applyBorder="1" applyAlignment="1">
      <alignment horizontal="left" vertical="center"/>
    </xf>
    <xf numFmtId="2" fontId="12" fillId="39" borderId="192" xfId="0" applyNumberFormat="1" applyFont="1" applyFill="1" applyBorder="1" applyAlignment="1">
      <alignment horizontal="center"/>
    </xf>
    <xf numFmtId="169" fontId="12" fillId="39" borderId="192" xfId="0" applyNumberFormat="1" applyFont="1" applyFill="1" applyBorder="1" applyAlignment="1">
      <alignment horizontal="center" vertical="center"/>
    </xf>
    <xf numFmtId="2" fontId="12" fillId="39" borderId="192" xfId="0" applyNumberFormat="1" applyFont="1" applyFill="1" applyBorder="1" applyAlignment="1">
      <alignment vertical="center" wrapText="1"/>
    </xf>
    <xf numFmtId="1" fontId="12" fillId="37" borderId="192" xfId="0" applyNumberFormat="1" applyFont="1" applyFill="1" applyBorder="1" applyAlignment="1">
      <alignment vertical="center"/>
    </xf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68" fontId="11" fillId="51" borderId="247" xfId="0" applyNumberFormat="1" applyFont="1" applyFill="1" applyBorder="1"/>
    <xf numFmtId="168" fontId="11" fillId="51" borderId="246" xfId="0" applyNumberFormat="1" applyFont="1" applyFill="1" applyBorder="1"/>
    <xf numFmtId="0" fontId="116" fillId="37" borderId="235" xfId="0" applyFont="1" applyFill="1" applyBorder="1" applyAlignment="1">
      <alignment horizontal="center" vertical="center"/>
    </xf>
    <xf numFmtId="0" fontId="116" fillId="37" borderId="237" xfId="0" applyFont="1" applyFill="1" applyBorder="1" applyAlignment="1">
      <alignment horizontal="center" vertical="center"/>
    </xf>
    <xf numFmtId="4" fontId="59" fillId="53" borderId="192" xfId="0" applyNumberFormat="1" applyFont="1" applyFill="1" applyBorder="1"/>
    <xf numFmtId="4" fontId="59" fillId="29" borderId="192" xfId="0" applyNumberFormat="1" applyFont="1" applyFill="1" applyBorder="1"/>
    <xf numFmtId="4" fontId="59" fillId="42" borderId="192" xfId="0" applyNumberFormat="1" applyFont="1" applyFill="1" applyBorder="1"/>
    <xf numFmtId="4" fontId="59" fillId="34" borderId="192" xfId="0" applyNumberFormat="1" applyFont="1" applyFill="1" applyBorder="1"/>
    <xf numFmtId="2" fontId="80" fillId="0" borderId="0" xfId="0" applyNumberFormat="1" applyFont="1"/>
    <xf numFmtId="2" fontId="47" fillId="0" borderId="0" xfId="96" applyNumberFormat="1" applyFont="1"/>
    <xf numFmtId="2" fontId="12" fillId="37" borderId="192" xfId="0" applyNumberFormat="1" applyFont="1" applyFill="1" applyBorder="1" applyAlignment="1">
      <alignment horizontal="center" vertical="center" wrapText="1"/>
    </xf>
    <xf numFmtId="2" fontId="11" fillId="39" borderId="192" xfId="0" applyNumberFormat="1" applyFont="1" applyFill="1" applyBorder="1" applyAlignment="1">
      <alignment horizontal="center" vertical="center" wrapText="1"/>
    </xf>
    <xf numFmtId="4" fontId="12" fillId="37" borderId="192" xfId="0" applyNumberFormat="1" applyFont="1" applyFill="1" applyBorder="1" applyAlignment="1">
      <alignment horizontal="center" wrapText="1"/>
    </xf>
    <xf numFmtId="4" fontId="12" fillId="37" borderId="192" xfId="0" applyNumberFormat="1" applyFont="1" applyFill="1" applyBorder="1" applyAlignment="1">
      <alignment wrapText="1"/>
    </xf>
    <xf numFmtId="0" fontId="21" fillId="39" borderId="192" xfId="0" applyFont="1" applyFill="1" applyBorder="1" applyAlignment="1">
      <alignment horizontal="center" vertical="center" wrapText="1"/>
    </xf>
    <xf numFmtId="4" fontId="59" fillId="37" borderId="192" xfId="0" applyNumberFormat="1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vertical="center"/>
    </xf>
    <xf numFmtId="0" fontId="13" fillId="39" borderId="192" xfId="0" applyFont="1" applyFill="1" applyBorder="1" applyAlignment="1">
      <alignment vertical="center"/>
    </xf>
    <xf numFmtId="171" fontId="60" fillId="38" borderId="192" xfId="85" applyNumberFormat="1" applyFont="1" applyFill="1" applyBorder="1" applyAlignment="1">
      <alignment horizontal="center" vertical="center"/>
    </xf>
    <xf numFmtId="4" fontId="60" fillId="38" borderId="192" xfId="85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171" fontId="79" fillId="38" borderId="192" xfId="85" applyNumberFormat="1" applyFont="1" applyFill="1" applyBorder="1" applyAlignment="1">
      <alignment horizontal="center" vertical="center"/>
    </xf>
    <xf numFmtId="171" fontId="79" fillId="43" borderId="192" xfId="85" applyNumberFormat="1" applyFont="1" applyFill="1" applyBorder="1" applyAlignment="1">
      <alignment horizontal="center" vertical="center"/>
    </xf>
    <xf numFmtId="171" fontId="79" fillId="37" borderId="192" xfId="85" applyNumberFormat="1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vertical="center" wrapText="1"/>
    </xf>
    <xf numFmtId="0" fontId="16" fillId="38" borderId="192" xfId="0" applyFont="1" applyFill="1" applyBorder="1" applyAlignment="1">
      <alignment horizontal="center" vertical="center"/>
    </xf>
    <xf numFmtId="169" fontId="60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/>
    <xf numFmtId="171" fontId="59" fillId="39" borderId="192" xfId="0" applyNumberFormat="1" applyFont="1" applyFill="1" applyBorder="1" applyAlignment="1">
      <alignment horizontal="center" vertical="center"/>
    </xf>
    <xf numFmtId="171" fontId="60" fillId="39" borderId="192" xfId="0" applyNumberFormat="1" applyFont="1" applyFill="1" applyBorder="1" applyAlignment="1">
      <alignment horizontal="center" vertical="center"/>
    </xf>
    <xf numFmtId="171" fontId="16" fillId="39" borderId="192" xfId="0" applyNumberFormat="1" applyFont="1" applyFill="1" applyBorder="1" applyAlignment="1">
      <alignment horizontal="center" vertical="center"/>
    </xf>
    <xf numFmtId="171" fontId="79" fillId="39" borderId="192" xfId="0" applyNumberFormat="1" applyFont="1" applyFill="1" applyBorder="1" applyAlignment="1">
      <alignment horizontal="center" vertical="center"/>
    </xf>
    <xf numFmtId="171" fontId="60" fillId="37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vertical="center"/>
    </xf>
    <xf numFmtId="4" fontId="13" fillId="38" borderId="194" xfId="0" applyNumberFormat="1" applyFont="1" applyFill="1" applyBorder="1" applyAlignment="1">
      <alignment horizontal="left" vertical="center" wrapText="1"/>
    </xf>
    <xf numFmtId="0" fontId="11" fillId="33" borderId="192" xfId="0" applyFont="1" applyFill="1" applyBorder="1" applyAlignment="1">
      <alignment horizontal="center" vertical="center" wrapText="1"/>
    </xf>
    <xf numFmtId="0" fontId="12" fillId="0" borderId="0" xfId="96" applyFont="1"/>
    <xf numFmtId="0" fontId="12" fillId="0" borderId="0" xfId="96" applyFont="1" applyAlignment="1">
      <alignment horizontal="center"/>
    </xf>
    <xf numFmtId="4" fontId="11" fillId="38" borderId="192" xfId="0" applyNumberFormat="1" applyFont="1" applyFill="1" applyBorder="1" applyAlignment="1">
      <alignment horizontal="center" vertical="center" wrapText="1"/>
    </xf>
    <xf numFmtId="0" fontId="12" fillId="54" borderId="192" xfId="0" applyFont="1" applyFill="1" applyBorder="1" applyAlignment="1">
      <alignment horizontal="center" vertical="center" wrapText="1"/>
    </xf>
    <xf numFmtId="4" fontId="12" fillId="54" borderId="192" xfId="0" applyNumberFormat="1" applyFont="1" applyFill="1" applyBorder="1" applyAlignment="1">
      <alignment horizontal="center" wrapText="1"/>
    </xf>
    <xf numFmtId="4" fontId="12" fillId="54" borderId="192" xfId="0" applyNumberFormat="1" applyFont="1" applyFill="1" applyBorder="1" applyAlignment="1">
      <alignment horizontal="center" vertical="center" wrapText="1"/>
    </xf>
    <xf numFmtId="4" fontId="12" fillId="54" borderId="194" xfId="0" applyNumberFormat="1" applyFont="1" applyFill="1" applyBorder="1" applyAlignment="1">
      <alignment horizontal="center" vertical="center" wrapText="1"/>
    </xf>
    <xf numFmtId="0" fontId="80" fillId="54" borderId="0" xfId="0" applyFont="1" applyFill="1" applyAlignment="1">
      <alignment wrapText="1"/>
    </xf>
    <xf numFmtId="0" fontId="149" fillId="54" borderId="0" xfId="0" applyFont="1" applyFill="1" applyAlignment="1">
      <alignment vertical="center" wrapText="1"/>
    </xf>
    <xf numFmtId="0" fontId="12" fillId="0" borderId="211" xfId="0" applyFont="1" applyFill="1" applyBorder="1"/>
    <xf numFmtId="174" fontId="12" fillId="0" borderId="0" xfId="0" applyNumberFormat="1" applyFont="1" applyFill="1" applyBorder="1"/>
    <xf numFmtId="0" fontId="13" fillId="0" borderId="0" xfId="0" applyFont="1" applyFill="1" applyBorder="1"/>
    <xf numFmtId="4" fontId="12" fillId="0" borderId="0" xfId="0" applyNumberFormat="1" applyFont="1" applyFill="1" applyBorder="1"/>
    <xf numFmtId="2" fontId="11" fillId="0" borderId="0" xfId="0" applyNumberFormat="1" applyFont="1" applyFill="1" applyBorder="1" applyAlignment="1">
      <alignment wrapText="1"/>
    </xf>
    <xf numFmtId="2" fontId="12" fillId="0" borderId="0" xfId="0" applyNumberFormat="1" applyFont="1" applyFill="1" applyBorder="1"/>
    <xf numFmtId="176" fontId="133" fillId="0" borderId="0" xfId="85" applyNumberFormat="1" applyFont="1" applyFill="1" applyBorder="1"/>
    <xf numFmtId="10" fontId="133" fillId="0" borderId="0" xfId="85" applyNumberFormat="1" applyFont="1" applyFill="1" applyBorder="1"/>
    <xf numFmtId="10" fontId="12" fillId="0" borderId="0" xfId="85" applyNumberFormat="1" applyFont="1" applyFill="1" applyBorder="1"/>
    <xf numFmtId="10" fontId="43" fillId="0" borderId="0" xfId="85" applyNumberFormat="1" applyFont="1" applyFill="1" applyBorder="1"/>
    <xf numFmtId="169" fontId="12" fillId="0" borderId="0" xfId="0" applyNumberFormat="1" applyFont="1" applyFill="1" applyBorder="1"/>
    <xf numFmtId="0" fontId="13" fillId="0" borderId="0" xfId="0" applyFont="1" applyBorder="1"/>
    <xf numFmtId="16" fontId="11" fillId="36" borderId="192" xfId="96" applyNumberFormat="1" applyFont="1" applyFill="1" applyBorder="1" applyAlignment="1">
      <alignment horizontal="center" vertical="center"/>
    </xf>
    <xf numFmtId="4" fontId="12" fillId="39" borderId="192" xfId="96" applyNumberFormat="1" applyFont="1" applyFill="1" applyBorder="1" applyAlignment="1">
      <alignment horizontal="center" vertical="center" wrapText="1"/>
    </xf>
    <xf numFmtId="4" fontId="13" fillId="39" borderId="192" xfId="96" applyNumberFormat="1" applyFont="1" applyFill="1" applyBorder="1" applyAlignment="1">
      <alignment horizontal="center" vertical="center" wrapText="1"/>
    </xf>
    <xf numFmtId="2" fontId="139" fillId="39" borderId="192" xfId="96" applyNumberFormat="1" applyFont="1" applyFill="1" applyBorder="1" applyAlignment="1">
      <alignment vertical="center"/>
    </xf>
    <xf numFmtId="4" fontId="51" fillId="39" borderId="192" xfId="0" applyNumberFormat="1" applyFont="1" applyFill="1" applyBorder="1" applyAlignment="1">
      <alignment horizontal="center" vertical="center" wrapText="1"/>
    </xf>
    <xf numFmtId="4" fontId="11" fillId="39" borderId="192" xfId="96" applyNumberFormat="1" applyFont="1" applyFill="1" applyBorder="1" applyAlignment="1">
      <alignment horizontal="center" vertical="center" wrapText="1"/>
    </xf>
    <xf numFmtId="4" fontId="12" fillId="37" borderId="193" xfId="0" applyNumberFormat="1" applyFont="1" applyFill="1" applyBorder="1" applyAlignment="1">
      <alignment vertical="center"/>
    </xf>
    <xf numFmtId="4" fontId="12" fillId="39" borderId="193" xfId="0" applyNumberFormat="1" applyFont="1" applyFill="1" applyBorder="1"/>
    <xf numFmtId="4" fontId="12" fillId="37" borderId="193" xfId="0" applyNumberFormat="1" applyFont="1" applyFill="1" applyBorder="1" applyAlignment="1">
      <alignment horizontal="center" vertical="center"/>
    </xf>
    <xf numFmtId="178" fontId="12" fillId="38" borderId="193" xfId="0" applyNumberFormat="1" applyFont="1" applyFill="1" applyBorder="1" applyAlignment="1">
      <alignment horizontal="center" vertical="center"/>
    </xf>
    <xf numFmtId="4" fontId="12" fillId="39" borderId="193" xfId="0" applyNumberFormat="1" applyFont="1" applyFill="1" applyBorder="1" applyAlignment="1">
      <alignment horizontal="center" vertical="center"/>
    </xf>
    <xf numFmtId="4" fontId="12" fillId="52" borderId="193" xfId="0" applyNumberFormat="1" applyFont="1" applyFill="1" applyBorder="1" applyAlignment="1">
      <alignment horizontal="center" vertical="center"/>
    </xf>
    <xf numFmtId="0" fontId="12" fillId="52" borderId="192" xfId="0" applyFont="1" applyFill="1" applyBorder="1" applyAlignment="1">
      <alignment wrapText="1"/>
    </xf>
    <xf numFmtId="10" fontId="12" fillId="39" borderId="192" xfId="85" applyNumberFormat="1" applyFont="1" applyFill="1" applyBorder="1" applyAlignment="1">
      <alignment horizontal="center" vertical="center"/>
    </xf>
    <xf numFmtId="10" fontId="12" fillId="37" borderId="192" xfId="85" applyNumberFormat="1" applyFont="1" applyFill="1" applyBorder="1" applyAlignment="1">
      <alignment horizontal="center" vertical="center"/>
    </xf>
    <xf numFmtId="3" fontId="12" fillId="37" borderId="192" xfId="0" applyNumberFormat="1" applyFont="1" applyFill="1" applyBorder="1" applyAlignment="1">
      <alignment horizontal="center" vertical="center"/>
    </xf>
    <xf numFmtId="10" fontId="12" fillId="39" borderId="192" xfId="0" applyNumberFormat="1" applyFont="1" applyFill="1" applyBorder="1" applyAlignment="1">
      <alignment horizontal="center" vertical="center"/>
    </xf>
    <xf numFmtId="0" fontId="11" fillId="38" borderId="192" xfId="79" applyFont="1" applyFill="1" applyBorder="1" applyAlignment="1">
      <alignment vertical="center" wrapText="1"/>
    </xf>
    <xf numFmtId="0" fontId="105" fillId="37" borderId="192" xfId="147" applyFont="1" applyFill="1" applyBorder="1" applyAlignment="1">
      <alignment horizontal="center" wrapText="1"/>
    </xf>
    <xf numFmtId="4" fontId="105" fillId="37" borderId="192" xfId="147" applyNumberFormat="1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wrapText="1"/>
    </xf>
    <xf numFmtId="0" fontId="105" fillId="39" borderId="192" xfId="147" applyFont="1" applyFill="1" applyBorder="1" applyAlignment="1">
      <alignment horizontal="center" wrapText="1"/>
    </xf>
    <xf numFmtId="4" fontId="105" fillId="39" borderId="192" xfId="147" applyNumberFormat="1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vertical="center" wrapText="1"/>
    </xf>
    <xf numFmtId="0" fontId="105" fillId="39" borderId="192" xfId="147" applyFont="1" applyFill="1" applyBorder="1" applyAlignment="1">
      <alignment horizontal="center"/>
    </xf>
    <xf numFmtId="4" fontId="105" fillId="39" borderId="192" xfId="148" applyNumberFormat="1" applyFont="1" applyFill="1" applyBorder="1" applyAlignment="1">
      <alignment horizontal="center" vertical="center"/>
    </xf>
    <xf numFmtId="0" fontId="13" fillId="39" borderId="192" xfId="0" applyFont="1" applyFill="1" applyBorder="1" applyAlignment="1">
      <alignment horizontal="right" wrapText="1"/>
    </xf>
    <xf numFmtId="4" fontId="13" fillId="37" borderId="192" xfId="0" applyNumberFormat="1" applyFont="1" applyFill="1" applyBorder="1" applyAlignment="1">
      <alignment horizontal="right" vertical="center"/>
    </xf>
    <xf numFmtId="4" fontId="13" fillId="37" borderId="206" xfId="0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left" wrapText="1"/>
    </xf>
    <xf numFmtId="4" fontId="13" fillId="39" borderId="192" xfId="0" applyNumberFormat="1" applyFont="1" applyFill="1" applyBorder="1" applyAlignment="1">
      <alignment horizontal="right" vertical="center"/>
    </xf>
    <xf numFmtId="4" fontId="13" fillId="39" borderId="206" xfId="0" applyNumberFormat="1" applyFont="1" applyFill="1" applyBorder="1" applyAlignment="1">
      <alignment horizontal="center" vertical="center"/>
    </xf>
    <xf numFmtId="0" fontId="12" fillId="52" borderId="192" xfId="0" applyFont="1" applyFill="1" applyBorder="1" applyAlignment="1">
      <alignment horizontal="center" vertical="center"/>
    </xf>
    <xf numFmtId="0" fontId="12" fillId="55" borderId="192" xfId="0" applyFont="1" applyFill="1" applyBorder="1" applyAlignment="1">
      <alignment wrapText="1"/>
    </xf>
    <xf numFmtId="0" fontId="12" fillId="55" borderId="192" xfId="0" applyFont="1" applyFill="1" applyBorder="1" applyAlignment="1">
      <alignment horizontal="center" vertical="center"/>
    </xf>
    <xf numFmtId="0" fontId="12" fillId="55" borderId="192" xfId="0" applyFont="1" applyFill="1" applyBorder="1"/>
    <xf numFmtId="4" fontId="12" fillId="55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/>
    <xf numFmtId="4" fontId="12" fillId="37" borderId="192" xfId="0" applyNumberFormat="1" applyFont="1" applyFill="1" applyBorder="1" applyAlignment="1">
      <alignment horizontal="right" wrapText="1"/>
    </xf>
    <xf numFmtId="4" fontId="12" fillId="37" borderId="192" xfId="0" applyNumberFormat="1" applyFont="1" applyFill="1" applyBorder="1" applyAlignment="1">
      <alignment horizontal="right" vertical="center" wrapText="1"/>
    </xf>
    <xf numFmtId="4" fontId="12" fillId="37" borderId="192" xfId="0" applyNumberFormat="1" applyFont="1" applyFill="1" applyBorder="1" applyAlignment="1">
      <alignment horizontal="right" vertical="center"/>
    </xf>
    <xf numFmtId="2" fontId="12" fillId="37" borderId="192" xfId="0" applyNumberFormat="1" applyFont="1" applyFill="1" applyBorder="1" applyAlignment="1">
      <alignment horizontal="right" vertical="center"/>
    </xf>
    <xf numFmtId="0" fontId="12" fillId="37" borderId="192" xfId="0" applyFont="1" applyFill="1" applyBorder="1" applyAlignment="1">
      <alignment horizontal="right" vertical="center"/>
    </xf>
    <xf numFmtId="4" fontId="12" fillId="39" borderId="192" xfId="0" applyNumberFormat="1" applyFont="1" applyFill="1" applyBorder="1" applyAlignment="1">
      <alignment wrapText="1"/>
    </xf>
    <xf numFmtId="10" fontId="12" fillId="0" borderId="0" xfId="0" applyNumberFormat="1" applyFont="1" applyAlignment="1">
      <alignment horizontal="right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 applyAlignment="1">
      <alignment wrapText="1"/>
    </xf>
    <xf numFmtId="0" fontId="12" fillId="39" borderId="192" xfId="0" applyFont="1" applyFill="1" applyBorder="1" applyAlignment="1">
      <alignment vertical="center"/>
    </xf>
    <xf numFmtId="4" fontId="12" fillId="37" borderId="192" xfId="0" applyNumberFormat="1" applyFont="1" applyFill="1" applyBorder="1" applyAlignment="1">
      <alignment horizontal="left" vertical="center" wrapText="1"/>
    </xf>
    <xf numFmtId="4" fontId="12" fillId="37" borderId="193" xfId="0" applyNumberFormat="1" applyFont="1" applyFill="1" applyBorder="1" applyAlignment="1">
      <alignment horizontal="left" vertical="center" wrapText="1"/>
    </xf>
    <xf numFmtId="4" fontId="12" fillId="37" borderId="194" xfId="0" applyNumberFormat="1" applyFont="1" applyFill="1" applyBorder="1" applyAlignment="1">
      <alignment horizontal="left" vertical="center" wrapText="1"/>
    </xf>
    <xf numFmtId="0" fontId="12" fillId="0" borderId="192" xfId="0" applyFont="1" applyBorder="1" applyAlignment="1">
      <alignment horizontal="center"/>
    </xf>
    <xf numFmtId="3" fontId="12" fillId="0" borderId="0" xfId="0" applyNumberFormat="1" applyFont="1" applyAlignment="1">
      <alignment wrapText="1"/>
    </xf>
    <xf numFmtId="3" fontId="12" fillId="37" borderId="192" xfId="0" applyNumberFormat="1" applyFont="1" applyFill="1" applyBorder="1" applyAlignment="1">
      <alignment wrapText="1"/>
    </xf>
    <xf numFmtId="3" fontId="11" fillId="39" borderId="192" xfId="0" applyNumberFormat="1" applyFont="1" applyFill="1" applyBorder="1" applyAlignment="1">
      <alignment wrapText="1"/>
    </xf>
    <xf numFmtId="3" fontId="12" fillId="39" borderId="192" xfId="0" applyNumberFormat="1" applyFont="1" applyFill="1" applyBorder="1" applyAlignment="1">
      <alignment vertical="center" wrapText="1"/>
    </xf>
    <xf numFmtId="9" fontId="12" fillId="38" borderId="192" xfId="85" applyFont="1" applyFill="1" applyBorder="1" applyAlignment="1">
      <alignment vertical="center"/>
    </xf>
    <xf numFmtId="0" fontId="153" fillId="0" borderId="0" xfId="0" applyFont="1" applyAlignment="1" applyProtection="1">
      <alignment horizontal="center" vertical="center"/>
      <protection locked="0"/>
    </xf>
    <xf numFmtId="0" fontId="153" fillId="0" borderId="0" xfId="0" applyFont="1" applyAlignment="1" applyProtection="1">
      <alignment horizontal="center" vertical="center" wrapText="1"/>
      <protection locked="0"/>
    </xf>
    <xf numFmtId="4" fontId="11" fillId="34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170" fontId="12" fillId="0" borderId="0" xfId="0" applyNumberFormat="1" applyFont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" fontId="12" fillId="0" borderId="192" xfId="0" applyNumberFormat="1" applyFont="1" applyBorder="1" applyAlignment="1">
      <alignment horizontal="center" vertical="center"/>
    </xf>
    <xf numFmtId="170" fontId="12" fillId="38" borderId="194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top" wrapText="1"/>
    </xf>
    <xf numFmtId="0" fontId="158" fillId="56" borderId="264" xfId="0" applyNumberFormat="1" applyFont="1" applyFill="1" applyBorder="1" applyAlignment="1">
      <alignment vertical="top" wrapText="1"/>
    </xf>
    <xf numFmtId="0" fontId="158" fillId="56" borderId="265" xfId="0" applyNumberFormat="1" applyFont="1" applyFill="1" applyBorder="1" applyAlignment="1">
      <alignment vertical="top" wrapText="1"/>
    </xf>
    <xf numFmtId="0" fontId="158" fillId="56" borderId="266" xfId="0" applyNumberFormat="1" applyFont="1" applyFill="1" applyBorder="1" applyAlignment="1">
      <alignment vertical="top" wrapText="1"/>
    </xf>
    <xf numFmtId="0" fontId="158" fillId="29" borderId="264" xfId="0" applyNumberFormat="1" applyFont="1" applyFill="1" applyBorder="1" applyAlignment="1">
      <alignment vertical="top" wrapText="1"/>
    </xf>
    <xf numFmtId="0" fontId="158" fillId="29" borderId="264" xfId="0" applyNumberFormat="1" applyFont="1" applyFill="1" applyBorder="1" applyAlignment="1">
      <alignment horizontal="center" vertical="center" wrapText="1"/>
    </xf>
    <xf numFmtId="186" fontId="160" fillId="38" borderId="267" xfId="0" applyNumberFormat="1" applyFont="1" applyFill="1" applyBorder="1" applyAlignment="1">
      <alignment horizontal="left" vertical="top" wrapText="1"/>
    </xf>
    <xf numFmtId="0" fontId="160" fillId="38" borderId="267" xfId="0" applyNumberFormat="1" applyFont="1" applyFill="1" applyBorder="1" applyAlignment="1">
      <alignment vertical="top" wrapText="1"/>
    </xf>
    <xf numFmtId="4" fontId="160" fillId="38" borderId="267" xfId="0" applyNumberFormat="1" applyFont="1" applyFill="1" applyBorder="1" applyAlignment="1">
      <alignment horizontal="right" vertical="top" wrapText="1"/>
    </xf>
    <xf numFmtId="1" fontId="160" fillId="38" borderId="267" xfId="0" applyNumberFormat="1" applyFont="1" applyFill="1" applyBorder="1" applyAlignment="1">
      <alignment horizontal="right" vertical="top" wrapText="1"/>
    </xf>
    <xf numFmtId="185" fontId="160" fillId="38" borderId="267" xfId="0" applyNumberFormat="1" applyFont="1" applyFill="1" applyBorder="1" applyAlignment="1">
      <alignment horizontal="right"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60" fillId="38" borderId="267" xfId="0" applyNumberFormat="1" applyFont="1" applyFill="1" applyBorder="1" applyAlignment="1">
      <alignment horizontal="right" vertical="top" wrapText="1"/>
    </xf>
    <xf numFmtId="0" fontId="0" fillId="38" borderId="0" xfId="0" applyFill="1"/>
    <xf numFmtId="186" fontId="160" fillId="0" borderId="267" xfId="0" applyNumberFormat="1" applyFont="1" applyBorder="1" applyAlignment="1">
      <alignment horizontal="left" vertical="top" wrapText="1"/>
    </xf>
    <xf numFmtId="0" fontId="160" fillId="0" borderId="267" xfId="0" applyNumberFormat="1" applyFont="1" applyBorder="1" applyAlignment="1">
      <alignment vertical="top" wrapText="1"/>
    </xf>
    <xf numFmtId="0" fontId="160" fillId="0" borderId="267" xfId="0" applyNumberFormat="1" applyFont="1" applyBorder="1" applyAlignment="1">
      <alignment horizontal="right" vertical="top" wrapText="1"/>
    </xf>
    <xf numFmtId="1" fontId="160" fillId="0" borderId="267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0" fontId="160" fillId="29" borderId="267" xfId="0" applyNumberFormat="1" applyFont="1" applyFill="1" applyBorder="1" applyAlignment="1">
      <alignment horizontal="right" vertical="top" wrapText="1"/>
    </xf>
    <xf numFmtId="185" fontId="160" fillId="29" borderId="267" xfId="0" applyNumberFormat="1" applyFont="1" applyFill="1" applyBorder="1" applyAlignment="1">
      <alignment horizontal="right" vertical="top" wrapText="1"/>
    </xf>
    <xf numFmtId="187" fontId="160" fillId="0" borderId="267" xfId="0" applyNumberFormat="1" applyFont="1" applyBorder="1" applyAlignment="1">
      <alignment horizontal="left" vertical="top" wrapText="1"/>
    </xf>
    <xf numFmtId="3" fontId="160" fillId="0" borderId="267" xfId="0" applyNumberFormat="1" applyFont="1" applyBorder="1" applyAlignment="1">
      <alignment horizontal="right" vertical="top" wrapText="1"/>
    </xf>
    <xf numFmtId="186" fontId="160" fillId="34" borderId="267" xfId="0" applyNumberFormat="1" applyFont="1" applyFill="1" applyBorder="1" applyAlignment="1">
      <alignment horizontal="left" vertical="top" wrapText="1"/>
    </xf>
    <xf numFmtId="0" fontId="160" fillId="34" borderId="267" xfId="0" applyNumberFormat="1" applyFont="1" applyFill="1" applyBorder="1" applyAlignment="1">
      <alignment vertical="top" wrapText="1"/>
    </xf>
    <xf numFmtId="0" fontId="160" fillId="34" borderId="267" xfId="0" applyNumberFormat="1" applyFont="1" applyFill="1" applyBorder="1" applyAlignment="1">
      <alignment horizontal="right" vertical="top" wrapText="1"/>
    </xf>
    <xf numFmtId="1" fontId="160" fillId="34" borderId="267" xfId="0" applyNumberFormat="1" applyFont="1" applyFill="1" applyBorder="1" applyAlignment="1">
      <alignment horizontal="right" vertical="top" wrapText="1"/>
    </xf>
    <xf numFmtId="0" fontId="160" fillId="34" borderId="268" xfId="0" applyNumberFormat="1" applyFont="1" applyFill="1" applyBorder="1" applyAlignment="1">
      <alignment horizontal="right" vertical="top" wrapText="1"/>
    </xf>
    <xf numFmtId="0" fontId="160" fillId="34" borderId="269" xfId="0" applyNumberFormat="1" applyFont="1" applyFill="1" applyBorder="1" applyAlignment="1">
      <alignment horizontal="right" vertical="top" wrapText="1"/>
    </xf>
    <xf numFmtId="185" fontId="160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60" fillId="47" borderId="267" xfId="0" applyNumberFormat="1" applyFont="1" applyFill="1" applyBorder="1" applyAlignment="1">
      <alignment horizontal="left" vertical="top" wrapText="1"/>
    </xf>
    <xf numFmtId="0" fontId="160" fillId="47" borderId="267" xfId="0" applyNumberFormat="1" applyFont="1" applyFill="1" applyBorder="1" applyAlignment="1">
      <alignment vertical="top" wrapText="1"/>
    </xf>
    <xf numFmtId="0" fontId="160" fillId="47" borderId="267" xfId="0" applyNumberFormat="1" applyFont="1" applyFill="1" applyBorder="1" applyAlignment="1">
      <alignment horizontal="right" vertical="top" wrapText="1"/>
    </xf>
    <xf numFmtId="1" fontId="160" fillId="47" borderId="267" xfId="0" applyNumberFormat="1" applyFont="1" applyFill="1" applyBorder="1" applyAlignment="1">
      <alignment horizontal="right" vertical="top" wrapText="1"/>
    </xf>
    <xf numFmtId="185" fontId="160" fillId="47" borderId="267" xfId="0" applyNumberFormat="1" applyFont="1" applyFill="1" applyBorder="1" applyAlignment="1">
      <alignment horizontal="right" vertical="top" wrapText="1"/>
    </xf>
    <xf numFmtId="188" fontId="160" fillId="47" borderId="267" xfId="0" applyNumberFormat="1" applyFont="1" applyFill="1" applyBorder="1" applyAlignment="1">
      <alignment horizontal="right" vertical="top" wrapText="1"/>
    </xf>
    <xf numFmtId="0" fontId="0" fillId="47" borderId="0" xfId="0" applyFill="1"/>
    <xf numFmtId="0" fontId="158" fillId="57" borderId="267" xfId="0" applyNumberFormat="1" applyFont="1" applyFill="1" applyBorder="1" applyAlignment="1">
      <alignment vertical="top" wrapText="1"/>
    </xf>
    <xf numFmtId="185" fontId="158" fillId="57" borderId="267" xfId="0" applyNumberFormat="1" applyFont="1" applyFill="1" applyBorder="1" applyAlignment="1">
      <alignment horizontal="right" vertical="top" wrapText="1"/>
    </xf>
    <xf numFmtId="185" fontId="159" fillId="57" borderId="267" xfId="0" applyNumberFormat="1" applyFont="1" applyFill="1" applyBorder="1" applyAlignment="1">
      <alignment horizontal="right" vertical="top" wrapText="1"/>
    </xf>
    <xf numFmtId="0" fontId="0" fillId="57" borderId="0" xfId="0" applyFill="1"/>
    <xf numFmtId="189" fontId="160" fillId="58" borderId="267" xfId="0" applyNumberFormat="1" applyFont="1" applyFill="1" applyBorder="1" applyAlignment="1">
      <alignment horizontal="left" vertical="top" wrapText="1"/>
    </xf>
    <xf numFmtId="0" fontId="160" fillId="58" borderId="267" xfId="0" applyNumberFormat="1" applyFont="1" applyFill="1" applyBorder="1" applyAlignment="1">
      <alignment vertical="top" wrapText="1"/>
    </xf>
    <xf numFmtId="0" fontId="160" fillId="58" borderId="267" xfId="0" applyNumberFormat="1" applyFont="1" applyFill="1" applyBorder="1" applyAlignment="1">
      <alignment horizontal="right" vertical="top" wrapText="1"/>
    </xf>
    <xf numFmtId="1" fontId="160" fillId="58" borderId="267" xfId="0" applyNumberFormat="1" applyFont="1" applyFill="1" applyBorder="1" applyAlignment="1">
      <alignment horizontal="right" vertical="top" wrapText="1"/>
    </xf>
    <xf numFmtId="185" fontId="160" fillId="58" borderId="267" xfId="0" applyNumberFormat="1" applyFont="1" applyFill="1" applyBorder="1" applyAlignment="1">
      <alignment horizontal="right" vertical="top" wrapText="1"/>
    </xf>
    <xf numFmtId="0" fontId="0" fillId="58" borderId="0" xfId="0" applyFill="1"/>
    <xf numFmtId="0" fontId="160" fillId="58" borderId="268" xfId="0" applyNumberFormat="1" applyFont="1" applyFill="1" applyBorder="1" applyAlignment="1">
      <alignment horizontal="right" vertical="top" wrapText="1"/>
    </xf>
    <xf numFmtId="0" fontId="160" fillId="58" borderId="269" xfId="0" applyNumberFormat="1" applyFont="1" applyFill="1" applyBorder="1" applyAlignment="1">
      <alignment horizontal="right" vertical="top" wrapText="1"/>
    </xf>
    <xf numFmtId="185" fontId="162" fillId="58" borderId="267" xfId="0" applyNumberFormat="1" applyFont="1" applyFill="1" applyBorder="1" applyAlignment="1">
      <alignment horizontal="right" vertical="top" wrapText="1"/>
    </xf>
    <xf numFmtId="189" fontId="160" fillId="38" borderId="267" xfId="0" applyNumberFormat="1" applyFont="1" applyFill="1" applyBorder="1" applyAlignment="1">
      <alignment horizontal="left"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60" fillId="38" borderId="268" xfId="0" applyNumberFormat="1" applyFont="1" applyFill="1" applyBorder="1" applyAlignment="1">
      <alignment horizontal="right" vertical="top" wrapText="1"/>
    </xf>
    <xf numFmtId="0" fontId="160" fillId="38" borderId="269" xfId="0" applyNumberFormat="1" applyFont="1" applyFill="1" applyBorder="1" applyAlignment="1">
      <alignment horizontal="right" vertical="top" wrapText="1"/>
    </xf>
    <xf numFmtId="189" fontId="160" fillId="0" borderId="267" xfId="0" applyNumberFormat="1" applyFont="1" applyBorder="1" applyAlignment="1">
      <alignment horizontal="left" vertical="top" wrapText="1"/>
    </xf>
    <xf numFmtId="0" fontId="160" fillId="0" borderId="268" xfId="0" applyNumberFormat="1" applyFont="1" applyBorder="1" applyAlignment="1">
      <alignment horizontal="right" vertical="top" wrapText="1"/>
    </xf>
    <xf numFmtId="0" fontId="160" fillId="0" borderId="269" xfId="0" applyNumberFormat="1" applyFont="1" applyBorder="1" applyAlignment="1">
      <alignment horizontal="right" vertical="top" wrapText="1"/>
    </xf>
    <xf numFmtId="185" fontId="162" fillId="0" borderId="267" xfId="0" applyNumberFormat="1" applyFont="1" applyBorder="1" applyAlignment="1">
      <alignment horizontal="right" vertical="top" wrapText="1"/>
    </xf>
    <xf numFmtId="188" fontId="160" fillId="29" borderId="267" xfId="0" applyNumberFormat="1" applyFont="1" applyFill="1" applyBorder="1" applyAlignment="1">
      <alignment horizontal="right" vertical="top" wrapText="1"/>
    </xf>
    <xf numFmtId="187" fontId="160" fillId="47" borderId="267" xfId="0" applyNumberFormat="1" applyFont="1" applyFill="1" applyBorder="1" applyAlignment="1">
      <alignment horizontal="left" vertical="top" wrapText="1"/>
    </xf>
    <xf numFmtId="188" fontId="160" fillId="0" borderId="267" xfId="0" applyNumberFormat="1" applyFont="1" applyBorder="1" applyAlignment="1">
      <alignment horizontal="right" vertical="top" wrapText="1"/>
    </xf>
    <xf numFmtId="188" fontId="160" fillId="38" borderId="267" xfId="0" applyNumberFormat="1" applyFont="1" applyFill="1" applyBorder="1" applyAlignment="1">
      <alignment horizontal="right" vertical="top" wrapText="1"/>
    </xf>
    <xf numFmtId="190" fontId="160" fillId="0" borderId="267" xfId="0" applyNumberFormat="1" applyFont="1" applyBorder="1" applyAlignment="1">
      <alignment horizontal="left" vertical="top" wrapText="1"/>
    </xf>
    <xf numFmtId="189" fontId="160" fillId="34" borderId="267" xfId="0" applyNumberFormat="1" applyFont="1" applyFill="1" applyBorder="1" applyAlignment="1">
      <alignment horizontal="left" vertical="top" wrapText="1"/>
    </xf>
    <xf numFmtId="0" fontId="158" fillId="57" borderId="267" xfId="0" applyNumberFormat="1" applyFont="1" applyFill="1" applyBorder="1" applyAlignment="1">
      <alignment horizontal="right" vertical="top" wrapText="1"/>
    </xf>
    <xf numFmtId="187" fontId="160" fillId="38" borderId="267" xfId="0" applyNumberFormat="1" applyFont="1" applyFill="1" applyBorder="1" applyAlignment="1">
      <alignment horizontal="left" vertical="top" wrapText="1"/>
    </xf>
    <xf numFmtId="0" fontId="163" fillId="57" borderId="264" xfId="0" applyNumberFormat="1" applyFont="1" applyFill="1" applyBorder="1" applyAlignment="1">
      <alignment vertical="top"/>
    </xf>
    <xf numFmtId="185" fontId="163" fillId="57" borderId="264" xfId="0" applyNumberFormat="1" applyFont="1" applyFill="1" applyBorder="1" applyAlignment="1">
      <alignment horizontal="right" vertical="top" wrapText="1"/>
    </xf>
    <xf numFmtId="185" fontId="157" fillId="39" borderId="267" xfId="0" applyNumberFormat="1" applyFont="1" applyFill="1" applyBorder="1" applyAlignment="1">
      <alignment horizontal="right" vertical="top" wrapText="1"/>
    </xf>
    <xf numFmtId="0" fontId="164" fillId="39" borderId="267" xfId="0" applyNumberFormat="1" applyFont="1" applyFill="1" applyBorder="1" applyAlignment="1">
      <alignment vertical="top" wrapText="1"/>
    </xf>
    <xf numFmtId="185" fontId="164" fillId="39" borderId="267" xfId="0" applyNumberFormat="1" applyFont="1" applyFill="1" applyBorder="1" applyAlignment="1">
      <alignment horizontal="right" vertical="top" wrapText="1"/>
    </xf>
    <xf numFmtId="4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60" fillId="53" borderId="267" xfId="0" applyNumberFormat="1" applyFont="1" applyFill="1" applyBorder="1" applyAlignment="1">
      <alignment horizontal="right" vertical="top" wrapText="1"/>
    </xf>
    <xf numFmtId="185" fontId="160" fillId="42" borderId="267" xfId="0" applyNumberFormat="1" applyFont="1" applyFill="1" applyBorder="1" applyAlignment="1">
      <alignment horizontal="right" vertical="top" wrapText="1"/>
    </xf>
    <xf numFmtId="185" fontId="160" fillId="52" borderId="267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27" borderId="193" xfId="96" applyFont="1" applyFill="1" applyBorder="1" applyAlignment="1">
      <alignment horizontal="center" vertical="center" wrapText="1"/>
    </xf>
    <xf numFmtId="0" fontId="12" fillId="27" borderId="253" xfId="96" applyFont="1" applyFill="1" applyBorder="1" applyAlignment="1">
      <alignment horizontal="center"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vertical="center"/>
    </xf>
    <xf numFmtId="0" fontId="12" fillId="29" borderId="192" xfId="0" applyFont="1" applyFill="1" applyBorder="1" applyAlignment="1">
      <alignment horizontal="center" vertical="center"/>
    </xf>
    <xf numFmtId="169" fontId="12" fillId="29" borderId="192" xfId="0" applyNumberFormat="1" applyFont="1" applyFill="1" applyBorder="1" applyAlignment="1">
      <alignment horizontal="center" vertical="center"/>
    </xf>
    <xf numFmtId="169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57" fillId="29" borderId="192" xfId="0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 wrapText="1"/>
    </xf>
    <xf numFmtId="171" fontId="59" fillId="29" borderId="192" xfId="0" applyNumberFormat="1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 wrapText="1"/>
    </xf>
    <xf numFmtId="171" fontId="60" fillId="29" borderId="192" xfId="0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horizontal="center" vertical="center"/>
    </xf>
    <xf numFmtId="169" fontId="59" fillId="29" borderId="192" xfId="0" applyNumberFormat="1" applyFont="1" applyFill="1" applyBorder="1" applyAlignment="1">
      <alignment horizontal="center" vertical="center"/>
    </xf>
    <xf numFmtId="169" fontId="60" fillId="29" borderId="192" xfId="0" applyNumberFormat="1" applyFont="1" applyFill="1" applyBorder="1" applyAlignment="1">
      <alignment horizontal="center" vertical="center"/>
    </xf>
    <xf numFmtId="4" fontId="60" fillId="29" borderId="192" xfId="0" applyNumberFormat="1" applyFont="1" applyFill="1" applyBorder="1" applyAlignment="1">
      <alignment horizontal="center" vertical="center"/>
    </xf>
    <xf numFmtId="4" fontId="16" fillId="29" borderId="192" xfId="0" applyNumberFormat="1" applyFont="1" applyFill="1" applyBorder="1" applyAlignment="1">
      <alignment horizontal="center" vertical="center"/>
    </xf>
    <xf numFmtId="0" fontId="12" fillId="29" borderId="0" xfId="0" applyFont="1" applyFill="1"/>
    <xf numFmtId="0" fontId="59" fillId="49" borderId="192" xfId="0" applyFont="1" applyFill="1" applyBorder="1" applyAlignment="1">
      <alignment vertical="center"/>
    </xf>
    <xf numFmtId="0" fontId="59" fillId="49" borderId="192" xfId="0" applyFont="1" applyFill="1" applyBorder="1"/>
    <xf numFmtId="4" fontId="59" fillId="49" borderId="192" xfId="0" applyNumberFormat="1" applyFont="1" applyFill="1" applyBorder="1"/>
    <xf numFmtId="171" fontId="59" fillId="49" borderId="192" xfId="0" applyNumberFormat="1" applyFont="1" applyFill="1" applyBorder="1" applyAlignment="1">
      <alignment horizontal="center" vertical="center"/>
    </xf>
    <xf numFmtId="171" fontId="60" fillId="49" borderId="192" xfId="0" applyNumberFormat="1" applyFont="1" applyFill="1" applyBorder="1" applyAlignment="1">
      <alignment horizontal="center" vertical="center"/>
    </xf>
    <xf numFmtId="0" fontId="12" fillId="49" borderId="192" xfId="0" applyFont="1" applyFill="1" applyBorder="1"/>
    <xf numFmtId="0" fontId="12" fillId="49" borderId="0" xfId="0" applyFont="1" applyFill="1"/>
    <xf numFmtId="4" fontId="116" fillId="37" borderId="192" xfId="0" applyNumberFormat="1" applyFont="1" applyFill="1" applyBorder="1" applyAlignment="1">
      <alignment horizontal="center" vertical="center"/>
    </xf>
    <xf numFmtId="0" fontId="116" fillId="39" borderId="192" xfId="0" applyFont="1" applyFill="1" applyBorder="1" applyAlignment="1">
      <alignment horizontal="center" vertical="center" wrapText="1"/>
    </xf>
    <xf numFmtId="0" fontId="116" fillId="0" borderId="0" xfId="0" applyFont="1"/>
    <xf numFmtId="0" fontId="12" fillId="39" borderId="192" xfId="0" applyFont="1" applyFill="1" applyBorder="1" applyAlignment="1">
      <alignment horizontal="center" wrapText="1"/>
    </xf>
    <xf numFmtId="4" fontId="11" fillId="39" borderId="0" xfId="0" applyNumberFormat="1" applyFont="1" applyFill="1"/>
    <xf numFmtId="4" fontId="11" fillId="0" borderId="0" xfId="0" applyNumberFormat="1" applyFont="1" applyFill="1"/>
    <xf numFmtId="0" fontId="12" fillId="0" borderId="0" xfId="0" applyFont="1" applyAlignment="1">
      <alignment horizontal="center" vertical="center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10" fontId="12" fillId="37" borderId="206" xfId="85" applyNumberFormat="1" applyFont="1" applyFill="1" applyBorder="1" applyAlignment="1">
      <alignment horizontal="left" vertical="center" wrapText="1"/>
    </xf>
    <xf numFmtId="0" fontId="54" fillId="39" borderId="192" xfId="147" applyFont="1" applyFill="1" applyBorder="1" applyAlignment="1">
      <alignment horizontal="center" vertical="center" wrapText="1"/>
    </xf>
    <xf numFmtId="3" fontId="53" fillId="39" borderId="192" xfId="147" applyNumberFormat="1" applyFont="1" applyFill="1" applyBorder="1" applyAlignment="1">
      <alignment horizontal="center" vertical="center" wrapText="1"/>
    </xf>
    <xf numFmtId="4" fontId="53" fillId="39" borderId="192" xfId="147" applyNumberFormat="1" applyFont="1" applyFill="1" applyBorder="1" applyAlignment="1">
      <alignment horizontal="center" vertical="center" wrapText="1"/>
    </xf>
    <xf numFmtId="1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71" fontId="54" fillId="38" borderId="192" xfId="147" applyNumberFormat="1" applyFont="1" applyFill="1" applyBorder="1" applyAlignment="1">
      <alignment horizontal="center" vertical="center" wrapText="1"/>
    </xf>
    <xf numFmtId="9" fontId="54" fillId="38" borderId="192" xfId="147" applyNumberFormat="1" applyFont="1" applyFill="1" applyBorder="1" applyAlignment="1">
      <alignment horizontal="center" vertical="center" wrapText="1"/>
    </xf>
    <xf numFmtId="178" fontId="54" fillId="38" borderId="192" xfId="147" applyNumberFormat="1" applyFont="1" applyFill="1" applyBorder="1" applyAlignment="1">
      <alignment horizontal="center" vertical="center" wrapText="1"/>
    </xf>
    <xf numFmtId="4" fontId="54" fillId="37" borderId="192" xfId="147" applyNumberFormat="1" applyFont="1" applyFill="1" applyBorder="1" applyAlignment="1">
      <alignment horizontal="center" vertical="center" wrapText="1"/>
    </xf>
    <xf numFmtId="169" fontId="12" fillId="0" borderId="0" xfId="0" applyNumberFormat="1" applyFont="1"/>
    <xf numFmtId="1" fontId="12" fillId="39" borderId="192" xfId="0" applyNumberFormat="1" applyFont="1" applyFill="1" applyBorder="1" applyAlignment="1">
      <alignment horizontal="center" vertical="center"/>
    </xf>
    <xf numFmtId="169" fontId="12" fillId="37" borderId="192" xfId="0" applyNumberFormat="1" applyFont="1" applyFill="1" applyBorder="1" applyAlignment="1">
      <alignment horizontal="right" vertical="center"/>
    </xf>
    <xf numFmtId="169" fontId="11" fillId="39" borderId="192" xfId="0" applyNumberFormat="1" applyFont="1" applyFill="1" applyBorder="1" applyAlignment="1">
      <alignment horizontal="right" vertical="center"/>
    </xf>
    <xf numFmtId="10" fontId="12" fillId="37" borderId="205" xfId="85" applyNumberFormat="1" applyFont="1" applyFill="1" applyBorder="1" applyAlignment="1">
      <alignment vertical="center" wrapText="1"/>
    </xf>
    <xf numFmtId="10" fontId="12" fillId="37" borderId="207" xfId="85" applyNumberFormat="1" applyFont="1" applyFill="1" applyBorder="1" applyAlignment="1">
      <alignment vertical="center" wrapText="1"/>
    </xf>
    <xf numFmtId="10" fontId="12" fillId="37" borderId="206" xfId="85" applyNumberFormat="1" applyFont="1" applyFill="1" applyBorder="1" applyAlignment="1">
      <alignment vertical="center" wrapText="1"/>
    </xf>
    <xf numFmtId="4" fontId="165" fillId="37" borderId="192" xfId="0" applyNumberFormat="1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2" fontId="47" fillId="0" borderId="0" xfId="85" applyNumberFormat="1" applyFont="1"/>
    <xf numFmtId="4" fontId="12" fillId="39" borderId="192" xfId="0" applyNumberFormat="1" applyFont="1" applyFill="1" applyBorder="1" applyAlignment="1">
      <alignment horizontal="center" wrapText="1"/>
    </xf>
    <xf numFmtId="0" fontId="80" fillId="39" borderId="0" xfId="0" applyFont="1" applyFill="1" applyAlignment="1">
      <alignment wrapText="1"/>
    </xf>
    <xf numFmtId="4" fontId="12" fillId="38" borderId="214" xfId="0" applyNumberFormat="1" applyFont="1" applyFill="1" applyBorder="1" applyAlignment="1">
      <alignment horizontal="center" vertical="center" wrapText="1"/>
    </xf>
    <xf numFmtId="4" fontId="12" fillId="39" borderId="205" xfId="0" applyNumberFormat="1" applyFont="1" applyFill="1" applyBorder="1" applyAlignment="1">
      <alignment horizontal="center" vertical="center" wrapText="1"/>
    </xf>
    <xf numFmtId="178" fontId="13" fillId="38" borderId="214" xfId="0" applyNumberFormat="1" applyFont="1" applyFill="1" applyBorder="1" applyAlignment="1">
      <alignment horizontal="left" vertical="center" wrapText="1"/>
    </xf>
    <xf numFmtId="0" fontId="147" fillId="33" borderId="206" xfId="0" applyFont="1" applyFill="1" applyBorder="1" applyAlignment="1">
      <alignment horizontal="center" vertical="center" wrapText="1"/>
    </xf>
    <xf numFmtId="4" fontId="147" fillId="33" borderId="206" xfId="0" applyNumberFormat="1" applyFont="1" applyFill="1" applyBorder="1" applyAlignment="1">
      <alignment horizontal="center" vertical="center" wrapText="1"/>
    </xf>
    <xf numFmtId="4" fontId="51" fillId="39" borderId="206" xfId="0" applyNumberFormat="1" applyFont="1" applyFill="1" applyBorder="1" applyAlignment="1">
      <alignment horizontal="center" vertical="center" wrapText="1"/>
    </xf>
    <xf numFmtId="178" fontId="147" fillId="33" borderId="216" xfId="0" applyNumberFormat="1" applyFont="1" applyFill="1" applyBorder="1" applyAlignment="1">
      <alignment horizontal="left" vertical="center" wrapText="1"/>
    </xf>
    <xf numFmtId="0" fontId="142" fillId="39" borderId="192" xfId="0" applyFont="1" applyFill="1" applyBorder="1" applyAlignment="1">
      <alignment wrapText="1"/>
    </xf>
    <xf numFmtId="178" fontId="13" fillId="39" borderId="192" xfId="0" applyNumberFormat="1" applyFont="1" applyFill="1" applyBorder="1" applyAlignment="1">
      <alignment horizontal="left" vertical="center" wrapText="1"/>
    </xf>
    <xf numFmtId="0" fontId="17" fillId="0" borderId="0" xfId="0" applyFont="1" applyAlignment="1" applyProtection="1">
      <alignment horizontal="left"/>
    </xf>
    <xf numFmtId="0" fontId="63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/>
    <xf numFmtId="0" fontId="0" fillId="0" borderId="0" xfId="0" applyProtection="1"/>
    <xf numFmtId="0" fontId="17" fillId="0" borderId="0" xfId="0" applyFont="1" applyProtection="1"/>
    <xf numFmtId="0" fontId="12" fillId="0" borderId="0" xfId="0" applyFont="1" applyProtection="1">
      <protection locked="0"/>
    </xf>
    <xf numFmtId="0" fontId="16" fillId="29" borderId="209" xfId="0" applyFont="1" applyFill="1" applyBorder="1" applyAlignment="1" applyProtection="1">
      <alignment horizontal="left"/>
    </xf>
    <xf numFmtId="0" fontId="0" fillId="29" borderId="210" xfId="0" applyFill="1" applyBorder="1" applyAlignment="1" applyProtection="1"/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6" fillId="0" borderId="257" xfId="0" applyFont="1" applyBorder="1" applyAlignment="1" applyProtection="1">
      <alignment vertical="center" wrapText="1"/>
    </xf>
    <xf numFmtId="4" fontId="87" fillId="0" borderId="257" xfId="0" applyNumberFormat="1" applyFont="1" applyFill="1" applyBorder="1" applyAlignment="1" applyProtection="1">
      <alignment vertical="center"/>
    </xf>
    <xf numFmtId="4" fontId="87" fillId="59" borderId="257" xfId="0" applyNumberFormat="1" applyFont="1" applyFill="1" applyBorder="1" applyAlignment="1" applyProtection="1">
      <alignment vertical="center"/>
    </xf>
    <xf numFmtId="0" fontId="59" fillId="0" borderId="257" xfId="0" applyFont="1" applyBorder="1" applyAlignment="1" applyProtection="1">
      <alignment vertical="center" wrapText="1"/>
    </xf>
    <xf numFmtId="4" fontId="95" fillId="0" borderId="257" xfId="0" applyNumberFormat="1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  <protection locked="0"/>
    </xf>
    <xf numFmtId="4" fontId="95" fillId="59" borderId="257" xfId="0" applyNumberFormat="1" applyFont="1" applyFill="1" applyBorder="1" applyAlignment="1" applyProtection="1">
      <alignment vertical="center"/>
    </xf>
    <xf numFmtId="0" fontId="60" fillId="0" borderId="257" xfId="0" applyFont="1" applyBorder="1" applyAlignment="1" applyProtection="1">
      <alignment vertical="center" wrapText="1"/>
    </xf>
    <xf numFmtId="10" fontId="166" fillId="0" borderId="257" xfId="0" applyNumberFormat="1" applyFont="1" applyFill="1" applyBorder="1" applyAlignment="1" applyProtection="1">
      <alignment vertical="center"/>
    </xf>
    <xf numFmtId="10" fontId="166" fillId="59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  <protection locked="0"/>
    </xf>
    <xf numFmtId="4" fontId="166" fillId="0" borderId="257" xfId="0" applyNumberFormat="1" applyFont="1" applyFill="1" applyBorder="1" applyAlignment="1" applyProtection="1">
      <alignment vertical="center"/>
    </xf>
    <xf numFmtId="4" fontId="166" fillId="59" borderId="257" xfId="0" applyNumberFormat="1" applyFont="1" applyFill="1" applyBorder="1" applyAlignment="1" applyProtection="1">
      <alignment vertical="center"/>
    </xf>
    <xf numFmtId="0" fontId="0" fillId="29" borderId="210" xfId="0" applyFill="1" applyBorder="1" applyAlignment="1" applyProtection="1">
      <alignment horizontal="left"/>
    </xf>
    <xf numFmtId="0" fontId="16" fillId="0" borderId="257" xfId="0" applyFont="1" applyBorder="1" applyAlignment="1" applyProtection="1">
      <alignment horizontal="left" vertical="center"/>
    </xf>
    <xf numFmtId="0" fontId="59" fillId="0" borderId="257" xfId="0" applyFont="1" applyBorder="1" applyAlignment="1" applyProtection="1">
      <alignment vertical="center"/>
    </xf>
    <xf numFmtId="0" fontId="59" fillId="0" borderId="257" xfId="0" applyFont="1" applyBorder="1" applyAlignment="1">
      <alignment vertical="center" wrapText="1"/>
    </xf>
    <xf numFmtId="0" fontId="60" fillId="0" borderId="257" xfId="0" applyFont="1" applyBorder="1" applyAlignment="1" applyProtection="1">
      <alignment vertical="center"/>
    </xf>
    <xf numFmtId="0" fontId="16" fillId="0" borderId="257" xfId="0" applyFont="1" applyBorder="1" applyAlignment="1" applyProtection="1">
      <alignment vertical="center"/>
    </xf>
    <xf numFmtId="0" fontId="59" fillId="0" borderId="257" xfId="0" applyFont="1" applyFill="1" applyBorder="1" applyAlignment="1" applyProtection="1">
      <alignment vertical="center"/>
    </xf>
    <xf numFmtId="0" fontId="60" fillId="0" borderId="257" xfId="0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0" fontId="60" fillId="0" borderId="257" xfId="0" applyFont="1" applyFill="1" applyBorder="1" applyAlignment="1">
      <alignment vertical="center"/>
    </xf>
    <xf numFmtId="0" fontId="16" fillId="0" borderId="257" xfId="0" applyFont="1" applyFill="1" applyBorder="1" applyAlignment="1" applyProtection="1">
      <alignment vertical="center"/>
    </xf>
    <xf numFmtId="0" fontId="60" fillId="0" borderId="257" xfId="0" applyFont="1" applyFill="1" applyBorder="1" applyAlignment="1">
      <alignment vertical="center" wrapText="1"/>
    </xf>
    <xf numFmtId="4" fontId="87" fillId="0" borderId="257" xfId="0" applyNumberFormat="1" applyFont="1" applyFill="1" applyBorder="1" applyProtection="1"/>
    <xf numFmtId="4" fontId="87" fillId="59" borderId="257" xfId="0" applyNumberFormat="1" applyFont="1" applyFill="1" applyBorder="1" applyProtection="1"/>
    <xf numFmtId="0" fontId="80" fillId="0" borderId="0" xfId="0" applyFont="1" applyProtection="1"/>
    <xf numFmtId="0" fontId="0" fillId="29" borderId="210" xfId="0" applyFill="1" applyBorder="1" applyProtection="1"/>
    <xf numFmtId="0" fontId="0" fillId="29" borderId="260" xfId="0" applyFill="1" applyBorder="1" applyProtection="1"/>
    <xf numFmtId="2" fontId="166" fillId="59" borderId="257" xfId="0" applyNumberFormat="1" applyFont="1" applyFill="1" applyBorder="1" applyAlignment="1" applyProtection="1">
      <alignment vertical="center"/>
    </xf>
    <xf numFmtId="4" fontId="95" fillId="0" borderId="257" xfId="0" applyNumberFormat="1" applyFont="1" applyFill="1" applyBorder="1" applyProtection="1"/>
    <xf numFmtId="4" fontId="95" fillId="59" borderId="257" xfId="0" applyNumberFormat="1" applyFont="1" applyFill="1" applyBorder="1" applyProtection="1"/>
    <xf numFmtId="10" fontId="166" fillId="0" borderId="257" xfId="0" applyNumberFormat="1" applyFont="1" applyFill="1" applyBorder="1" applyProtection="1"/>
    <xf numFmtId="10" fontId="166" fillId="59" borderId="257" xfId="0" applyNumberFormat="1" applyFont="1" applyFill="1" applyBorder="1" applyProtection="1"/>
    <xf numFmtId="4" fontId="166" fillId="0" borderId="257" xfId="0" applyNumberFormat="1" applyFont="1" applyFill="1" applyBorder="1" applyProtection="1"/>
    <xf numFmtId="4" fontId="166" fillId="59" borderId="257" xfId="0" applyNumberFormat="1" applyFont="1" applyFill="1" applyBorder="1" applyProtection="1"/>
    <xf numFmtId="0" fontId="59" fillId="0" borderId="0" xfId="0" applyFont="1" applyProtection="1"/>
    <xf numFmtId="0" fontId="59" fillId="0" borderId="257" xfId="0" applyFont="1" applyFill="1" applyBorder="1" applyAlignment="1" applyProtection="1">
      <alignment horizontal="center" vertical="center" wrapText="1"/>
    </xf>
    <xf numFmtId="0" fontId="59" fillId="59" borderId="257" xfId="0" applyFont="1" applyFill="1" applyBorder="1" applyAlignment="1" applyProtection="1">
      <alignment horizontal="center" vertical="center" wrapText="1"/>
    </xf>
    <xf numFmtId="0" fontId="59" fillId="0" borderId="209" xfId="0" applyFont="1" applyFill="1" applyBorder="1" applyAlignment="1" applyProtection="1">
      <alignment horizontal="center" vertical="center" wrapText="1"/>
    </xf>
    <xf numFmtId="0" fontId="12" fillId="29" borderId="210" xfId="0" applyFont="1" applyFill="1" applyBorder="1" applyProtection="1"/>
    <xf numFmtId="0" fontId="12" fillId="29" borderId="260" xfId="0" applyFont="1" applyFill="1" applyBorder="1" applyProtection="1"/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0" xfId="0" applyFont="1" applyAlignment="1">
      <alignment horizontal="left"/>
    </xf>
    <xf numFmtId="0" fontId="17" fillId="0" borderId="0" xfId="0" applyFont="1"/>
    <xf numFmtId="0" fontId="16" fillId="29" borderId="209" xfId="0" applyFont="1" applyFill="1" applyBorder="1" applyAlignment="1">
      <alignment horizontal="left"/>
    </xf>
    <xf numFmtId="0" fontId="0" fillId="29" borderId="210" xfId="0" applyFont="1" applyFill="1" applyBorder="1"/>
    <xf numFmtId="0" fontId="16" fillId="0" borderId="257" xfId="0" applyFont="1" applyFill="1" applyBorder="1" applyAlignment="1">
      <alignment vertical="center" wrapText="1"/>
    </xf>
    <xf numFmtId="178" fontId="87" fillId="0" borderId="257" xfId="0" applyNumberFormat="1" applyFont="1" applyFill="1" applyBorder="1" applyAlignment="1">
      <alignment vertical="center"/>
    </xf>
    <xf numFmtId="178" fontId="16" fillId="0" borderId="257" xfId="0" applyNumberFormat="1" applyFont="1" applyFill="1" applyBorder="1" applyAlignment="1" applyProtection="1">
      <alignment vertical="center"/>
      <protection locked="0"/>
    </xf>
    <xf numFmtId="178" fontId="87" fillId="59" borderId="257" xfId="0" applyNumberFormat="1" applyFont="1" applyFill="1" applyBorder="1" applyAlignment="1">
      <alignment vertical="center"/>
    </xf>
    <xf numFmtId="4" fontId="87" fillId="59" borderId="257" xfId="0" applyNumberFormat="1" applyFont="1" applyFill="1" applyBorder="1" applyAlignment="1">
      <alignment horizontal="right" wrapText="1"/>
    </xf>
    <xf numFmtId="0" fontId="59" fillId="0" borderId="257" xfId="0" applyFont="1" applyFill="1" applyBorder="1" applyAlignment="1">
      <alignment vertical="center" wrapText="1"/>
    </xf>
    <xf numFmtId="178" fontId="95" fillId="0" borderId="257" xfId="0" applyNumberFormat="1" applyFont="1" applyFill="1" applyBorder="1" applyAlignment="1">
      <alignment vertical="center"/>
    </xf>
    <xf numFmtId="178" fontId="59" fillId="0" borderId="257" xfId="0" applyNumberFormat="1" applyFont="1" applyFill="1" applyBorder="1" applyAlignment="1" applyProtection="1">
      <alignment vertical="center"/>
      <protection locked="0"/>
    </xf>
    <xf numFmtId="178" fontId="95" fillId="59" borderId="257" xfId="0" applyNumberFormat="1" applyFont="1" applyFill="1" applyBorder="1" applyAlignment="1">
      <alignment vertical="center"/>
    </xf>
    <xf numFmtId="4" fontId="95" fillId="59" borderId="257" xfId="0" applyNumberFormat="1" applyFont="1" applyFill="1" applyBorder="1" applyAlignment="1">
      <alignment horizontal="right" wrapText="1"/>
    </xf>
    <xf numFmtId="10" fontId="166" fillId="59" borderId="257" xfId="0" applyNumberFormat="1" applyFont="1" applyFill="1" applyBorder="1" applyAlignment="1">
      <alignment vertical="center"/>
    </xf>
    <xf numFmtId="10" fontId="166" fillId="59" borderId="257" xfId="0" applyNumberFormat="1" applyFont="1" applyFill="1" applyBorder="1" applyAlignment="1">
      <alignment horizontal="right" wrapText="1"/>
    </xf>
    <xf numFmtId="178" fontId="166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 applyProtection="1">
      <alignment vertical="center"/>
      <protection locked="0"/>
    </xf>
    <xf numFmtId="178" fontId="166" fillId="59" borderId="257" xfId="0" applyNumberFormat="1" applyFont="1" applyFill="1" applyBorder="1" applyAlignment="1">
      <alignment vertical="center"/>
    </xf>
    <xf numFmtId="4" fontId="166" fillId="59" borderId="257" xfId="0" applyNumberFormat="1" applyFont="1" applyFill="1" applyBorder="1" applyAlignment="1">
      <alignment horizontal="right" wrapText="1"/>
    </xf>
    <xf numFmtId="4" fontId="95" fillId="0" borderId="257" xfId="0" applyNumberFormat="1" applyFont="1" applyFill="1" applyBorder="1" applyAlignment="1">
      <alignment vertical="center"/>
    </xf>
    <xf numFmtId="4" fontId="95" fillId="59" borderId="257" xfId="0" applyNumberFormat="1" applyFont="1" applyFill="1" applyBorder="1" applyAlignment="1">
      <alignment vertical="center"/>
    </xf>
    <xf numFmtId="0" fontId="60" fillId="0" borderId="257" xfId="0" applyFont="1" applyBorder="1" applyAlignment="1">
      <alignment vertical="center" wrapText="1"/>
    </xf>
    <xf numFmtId="4" fontId="166" fillId="0" borderId="257" xfId="0" applyNumberFormat="1" applyFont="1" applyFill="1" applyBorder="1" applyAlignment="1">
      <alignment vertical="center"/>
    </xf>
    <xf numFmtId="4" fontId="166" fillId="59" borderId="257" xfId="0" applyNumberFormat="1" applyFont="1" applyFill="1" applyBorder="1" applyAlignment="1">
      <alignment vertical="center"/>
    </xf>
    <xf numFmtId="0" fontId="16" fillId="0" borderId="257" xfId="0" applyFont="1" applyBorder="1" applyAlignment="1">
      <alignment vertical="center" wrapText="1"/>
    </xf>
    <xf numFmtId="4" fontId="87" fillId="0" borderId="257" xfId="0" applyNumberFormat="1" applyFont="1" applyFill="1" applyBorder="1" applyAlignment="1">
      <alignment vertical="center"/>
    </xf>
    <xf numFmtId="4" fontId="87" fillId="59" borderId="257" xfId="0" applyNumberFormat="1" applyFont="1" applyFill="1" applyBorder="1" applyAlignment="1">
      <alignment vertical="center"/>
    </xf>
    <xf numFmtId="0" fontId="60" fillId="0" borderId="209" xfId="0" applyFont="1" applyBorder="1" applyAlignment="1">
      <alignment vertical="center" wrapText="1"/>
    </xf>
    <xf numFmtId="2" fontId="166" fillId="0" borderId="257" xfId="0" applyNumberFormat="1" applyFont="1" applyFill="1" applyBorder="1"/>
    <xf numFmtId="2" fontId="166" fillId="59" borderId="257" xfId="0" applyNumberFormat="1" applyFont="1" applyFill="1" applyBorder="1"/>
    <xf numFmtId="4" fontId="165" fillId="59" borderId="257" xfId="0" applyNumberFormat="1" applyFont="1" applyFill="1" applyBorder="1" applyAlignment="1">
      <alignment horizontal="right" wrapText="1"/>
    </xf>
    <xf numFmtId="0" fontId="0" fillId="29" borderId="210" xfId="0" applyFont="1" applyFill="1" applyBorder="1" applyAlignment="1">
      <alignment horizontal="left"/>
    </xf>
    <xf numFmtId="0" fontId="59" fillId="0" borderId="257" xfId="0" applyFont="1" applyBorder="1" applyAlignment="1">
      <alignment vertical="center"/>
    </xf>
    <xf numFmtId="4" fontId="95" fillId="0" borderId="257" xfId="0" applyNumberFormat="1" applyFont="1" applyFill="1" applyBorder="1"/>
    <xf numFmtId="4" fontId="59" fillId="0" borderId="257" xfId="0" applyNumberFormat="1" applyFont="1" applyFill="1" applyBorder="1" applyProtection="1">
      <protection locked="0"/>
    </xf>
    <xf numFmtId="0" fontId="60" fillId="0" borderId="257" xfId="0" applyFont="1" applyBorder="1" applyAlignment="1">
      <alignment vertical="center"/>
    </xf>
    <xf numFmtId="10" fontId="166" fillId="0" borderId="257" xfId="0" applyNumberFormat="1" applyFont="1" applyFill="1" applyBorder="1"/>
    <xf numFmtId="10" fontId="166" fillId="59" borderId="257" xfId="0" applyNumberFormat="1" applyFont="1" applyFill="1" applyBorder="1"/>
    <xf numFmtId="2" fontId="95" fillId="0" borderId="257" xfId="0" applyNumberFormat="1" applyFont="1" applyFill="1" applyBorder="1" applyProtection="1">
      <protection locked="0"/>
    </xf>
    <xf numFmtId="2" fontId="95" fillId="59" borderId="257" xfId="0" applyNumberFormat="1" applyFont="1" applyFill="1" applyBorder="1" applyAlignment="1">
      <alignment vertical="center"/>
    </xf>
    <xf numFmtId="2" fontId="95" fillId="59" borderId="257" xfId="0" applyNumberFormat="1" applyFont="1" applyFill="1" applyBorder="1" applyAlignment="1">
      <alignment horizontal="right" wrapText="1"/>
    </xf>
    <xf numFmtId="4" fontId="95" fillId="0" borderId="257" xfId="0" applyNumberFormat="1" applyFont="1" applyFill="1" applyBorder="1" applyProtection="1">
      <protection locked="0"/>
    </xf>
    <xf numFmtId="4" fontId="166" fillId="0" borderId="257" xfId="0" applyNumberFormat="1" applyFont="1" applyFill="1" applyBorder="1"/>
    <xf numFmtId="2" fontId="60" fillId="0" borderId="257" xfId="0" applyNumberFormat="1" applyFont="1" applyFill="1" applyBorder="1" applyProtection="1">
      <protection locked="0"/>
    </xf>
    <xf numFmtId="2" fontId="166" fillId="59" borderId="257" xfId="0" applyNumberFormat="1" applyFont="1" applyFill="1" applyBorder="1" applyAlignment="1">
      <alignment vertical="center"/>
    </xf>
    <xf numFmtId="2" fontId="166" fillId="59" borderId="257" xfId="0" applyNumberFormat="1" applyFont="1" applyFill="1" applyBorder="1" applyAlignment="1">
      <alignment horizontal="right" wrapText="1"/>
    </xf>
    <xf numFmtId="4" fontId="60" fillId="0" borderId="257" xfId="0" applyNumberFormat="1" applyFont="1" applyFill="1" applyBorder="1" applyProtection="1">
      <protection locked="0"/>
    </xf>
    <xf numFmtId="2" fontId="59" fillId="0" borderId="257" xfId="0" applyNumberFormat="1" applyFont="1" applyFill="1" applyBorder="1" applyProtection="1">
      <protection locked="0"/>
    </xf>
    <xf numFmtId="0" fontId="16" fillId="0" borderId="257" xfId="0" applyFont="1" applyBorder="1" applyAlignment="1">
      <alignment vertical="center"/>
    </xf>
    <xf numFmtId="2" fontId="87" fillId="0" borderId="257" xfId="0" applyNumberFormat="1" applyFont="1" applyFill="1" applyBorder="1"/>
    <xf numFmtId="2" fontId="87" fillId="59" borderId="257" xfId="0" applyNumberFormat="1" applyFont="1" applyFill="1" applyBorder="1" applyAlignment="1">
      <alignment vertical="center"/>
    </xf>
    <xf numFmtId="2" fontId="87" fillId="59" borderId="257" xfId="0" applyNumberFormat="1" applyFont="1" applyFill="1" applyBorder="1" applyAlignment="1">
      <alignment horizontal="right" wrapText="1"/>
    </xf>
    <xf numFmtId="2" fontId="87" fillId="59" borderId="257" xfId="0" applyNumberFormat="1" applyFont="1" applyFill="1" applyBorder="1"/>
    <xf numFmtId="4" fontId="87" fillId="0" borderId="257" xfId="0" applyNumberFormat="1" applyFont="1" applyFill="1" applyBorder="1"/>
    <xf numFmtId="4" fontId="87" fillId="59" borderId="257" xfId="0" applyNumberFormat="1" applyFont="1" applyFill="1" applyBorder="1"/>
    <xf numFmtId="0" fontId="16" fillId="0" borderId="257" xfId="0" applyFont="1" applyFill="1" applyBorder="1" applyAlignment="1">
      <alignment vertical="center"/>
    </xf>
    <xf numFmtId="0" fontId="59" fillId="0" borderId="0" xfId="0" applyFont="1" applyFill="1"/>
    <xf numFmtId="0" fontId="62" fillId="0" borderId="0" xfId="0" applyFont="1"/>
    <xf numFmtId="0" fontId="86" fillId="0" borderId="0" xfId="0" applyFont="1"/>
    <xf numFmtId="0" fontId="68" fillId="0" borderId="0" xfId="0" applyFont="1" applyAlignment="1">
      <alignment horizontal="center"/>
    </xf>
    <xf numFmtId="0" fontId="85" fillId="0" borderId="0" xfId="0" applyFont="1" applyAlignment="1"/>
    <xf numFmtId="0" fontId="16" fillId="29" borderId="209" xfId="0" applyFont="1" applyFill="1" applyBorder="1" applyAlignment="1">
      <alignment horizontal="left" vertical="center" wrapText="1"/>
    </xf>
    <xf numFmtId="0" fontId="16" fillId="29" borderId="210" xfId="0" applyFont="1" applyFill="1" applyBorder="1" applyAlignment="1">
      <alignment horizontal="center" vertical="center" wrapText="1"/>
    </xf>
    <xf numFmtId="0" fontId="0" fillId="29" borderId="210" xfId="0" applyFill="1" applyBorder="1" applyAlignment="1"/>
    <xf numFmtId="0" fontId="0" fillId="29" borderId="210" xfId="0" applyFill="1" applyBorder="1"/>
    <xf numFmtId="0" fontId="0" fillId="29" borderId="260" xfId="0" applyFill="1" applyBorder="1"/>
    <xf numFmtId="0" fontId="16" fillId="0" borderId="257" xfId="0" applyFont="1" applyBorder="1" applyAlignment="1">
      <alignment horizontal="left" vertical="center"/>
    </xf>
    <xf numFmtId="2" fontId="87" fillId="59" borderId="257" xfId="0" applyNumberFormat="1" applyFont="1" applyFill="1" applyBorder="1" applyAlignment="1">
      <alignment horizontal="right" vertical="center"/>
    </xf>
    <xf numFmtId="2" fontId="95" fillId="59" borderId="257" xfId="0" applyNumberFormat="1" applyFont="1" applyFill="1" applyBorder="1" applyAlignment="1">
      <alignment horizontal="right" vertical="center"/>
    </xf>
    <xf numFmtId="0" fontId="59" fillId="0" borderId="257" xfId="0" applyFont="1" applyFill="1" applyBorder="1" applyAlignment="1">
      <alignment vertical="center"/>
    </xf>
    <xf numFmtId="2" fontId="166" fillId="59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vertical="center"/>
    </xf>
    <xf numFmtId="0" fontId="16" fillId="0" borderId="61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4" fontId="87" fillId="0" borderId="257" xfId="0" applyNumberFormat="1" applyFont="1" applyFill="1" applyBorder="1" applyAlignment="1">
      <alignment horizontal="right" vertical="center"/>
    </xf>
    <xf numFmtId="4" fontId="95" fillId="0" borderId="257" xfId="0" applyNumberFormat="1" applyFont="1" applyFill="1" applyBorder="1" applyAlignment="1">
      <alignment horizontal="right" vertical="center"/>
    </xf>
    <xf numFmtId="4" fontId="166" fillId="59" borderId="257" xfId="0" applyNumberFormat="1" applyFont="1" applyFill="1" applyBorder="1"/>
    <xf numFmtId="4" fontId="95" fillId="59" borderId="257" xfId="0" applyNumberFormat="1" applyFont="1" applyFill="1" applyBorder="1"/>
    <xf numFmtId="4" fontId="95" fillId="0" borderId="257" xfId="0" applyNumberFormat="1" applyFont="1" applyBorder="1"/>
    <xf numFmtId="4" fontId="59" fillId="0" borderId="257" xfId="0" applyNumberFormat="1" applyFont="1" applyFill="1" applyBorder="1" applyAlignment="1">
      <alignment vertical="center"/>
    </xf>
    <xf numFmtId="2" fontId="87" fillId="0" borderId="257" xfId="0" applyNumberFormat="1" applyFont="1" applyBorder="1"/>
    <xf numFmtId="4" fontId="166" fillId="0" borderId="257" xfId="0" applyNumberFormat="1" applyFont="1" applyBorder="1"/>
    <xf numFmtId="4" fontId="87" fillId="0" borderId="257" xfId="0" applyNumberFormat="1" applyFont="1" applyBorder="1"/>
    <xf numFmtId="0" fontId="16" fillId="0" borderId="257" xfId="0" applyFont="1" applyBorder="1"/>
    <xf numFmtId="0" fontId="16" fillId="0" borderId="257" xfId="0" applyFont="1" applyFill="1" applyBorder="1" applyAlignment="1">
      <alignment horizontal="left"/>
    </xf>
    <xf numFmtId="0" fontId="16" fillId="29" borderId="209" xfId="0" applyFont="1" applyFill="1" applyBorder="1" applyAlignment="1">
      <alignment vertical="center"/>
    </xf>
    <xf numFmtId="4" fontId="59" fillId="29" borderId="210" xfId="0" applyNumberFormat="1" applyFont="1" applyFill="1" applyBorder="1" applyAlignment="1">
      <alignment horizontal="right" vertical="center"/>
    </xf>
    <xf numFmtId="4" fontId="59" fillId="29" borderId="210" xfId="0" applyNumberFormat="1" applyFont="1" applyFill="1" applyBorder="1"/>
    <xf numFmtId="4" fontId="0" fillId="29" borderId="210" xfId="0" applyNumberFormat="1" applyFill="1" applyBorder="1"/>
    <xf numFmtId="4" fontId="59" fillId="0" borderId="257" xfId="0" applyNumberFormat="1" applyFont="1" applyFill="1" applyBorder="1" applyAlignment="1" applyProtection="1">
      <alignment horizontal="right" vertical="center"/>
      <protection locked="0"/>
    </xf>
    <xf numFmtId="4" fontId="87" fillId="59" borderId="257" xfId="0" applyNumberFormat="1" applyFont="1" applyFill="1" applyBorder="1" applyAlignment="1">
      <alignment horizontal="right" vertical="center"/>
    </xf>
    <xf numFmtId="4" fontId="166" fillId="59" borderId="257" xfId="0" applyNumberFormat="1" applyFont="1" applyFill="1" applyBorder="1" applyAlignment="1">
      <alignment horizontal="right" vertical="center"/>
    </xf>
    <xf numFmtId="4" fontId="0" fillId="29" borderId="210" xfId="0" applyNumberFormat="1" applyFill="1" applyBorder="1" applyAlignment="1">
      <alignment horizontal="left"/>
    </xf>
    <xf numFmtId="4" fontId="59" fillId="29" borderId="210" xfId="0" applyNumberFormat="1" applyFont="1" applyFill="1" applyBorder="1" applyAlignment="1">
      <alignment horizontal="left"/>
    </xf>
    <xf numFmtId="4" fontId="59" fillId="29" borderId="260" xfId="0" applyNumberFormat="1" applyFont="1" applyFill="1" applyBorder="1" applyAlignment="1">
      <alignment horizontal="left"/>
    </xf>
    <xf numFmtId="4" fontId="95" fillId="59" borderId="209" xfId="0" applyNumberFormat="1" applyFont="1" applyFill="1" applyBorder="1"/>
    <xf numFmtId="10" fontId="60" fillId="0" borderId="257" xfId="0" applyNumberFormat="1" applyFont="1" applyFill="1" applyBorder="1" applyAlignment="1">
      <alignment vertical="center" wrapText="1"/>
    </xf>
    <xf numFmtId="4" fontId="87" fillId="59" borderId="209" xfId="0" applyNumberFormat="1" applyFont="1" applyFill="1" applyBorder="1"/>
    <xf numFmtId="4" fontId="59" fillId="0" borderId="0" xfId="0" applyNumberFormat="1" applyFont="1" applyFill="1"/>
    <xf numFmtId="4" fontId="0" fillId="0" borderId="0" xfId="0" applyNumberFormat="1" applyFill="1"/>
    <xf numFmtId="4" fontId="0" fillId="0" borderId="0" xfId="0" applyNumberFormat="1" applyFill="1" applyBorder="1"/>
    <xf numFmtId="4" fontId="59" fillId="0" borderId="0" xfId="0" applyNumberFormat="1" applyFont="1"/>
    <xf numFmtId="4" fontId="12" fillId="0" borderId="0" xfId="0" applyNumberFormat="1" applyFont="1" applyAlignment="1" applyProtection="1">
      <alignment vertical="center"/>
    </xf>
    <xf numFmtId="178" fontId="87" fillId="59" borderId="257" xfId="0" applyNumberFormat="1" applyFont="1" applyFill="1" applyBorder="1" applyAlignment="1" applyProtection="1">
      <alignment vertical="center"/>
    </xf>
    <xf numFmtId="178" fontId="87" fillId="0" borderId="257" xfId="0" applyNumberFormat="1" applyFont="1" applyFill="1" applyBorder="1" applyAlignment="1" applyProtection="1">
      <alignment vertical="center"/>
    </xf>
    <xf numFmtId="178" fontId="95" fillId="0" borderId="257" xfId="0" applyNumberFormat="1" applyFont="1" applyFill="1" applyBorder="1" applyAlignment="1" applyProtection="1">
      <alignment vertical="center"/>
    </xf>
    <xf numFmtId="178" fontId="95" fillId="59" borderId="257" xfId="0" applyNumberFormat="1" applyFont="1" applyFill="1" applyBorder="1" applyAlignment="1" applyProtection="1">
      <alignment vertical="center"/>
    </xf>
    <xf numFmtId="178" fontId="166" fillId="0" borderId="257" xfId="0" applyNumberFormat="1" applyFont="1" applyFill="1" applyBorder="1" applyAlignment="1" applyProtection="1">
      <alignment vertical="center"/>
    </xf>
    <xf numFmtId="178" fontId="166" fillId="59" borderId="257" xfId="0" applyNumberFormat="1" applyFont="1" applyFill="1" applyBorder="1" applyAlignment="1" applyProtection="1">
      <alignment vertical="center"/>
    </xf>
    <xf numFmtId="178" fontId="87" fillId="59" borderId="257" xfId="0" applyNumberFormat="1" applyFont="1" applyFill="1" applyBorder="1" applyAlignment="1">
      <alignment horizontal="right" wrapText="1"/>
    </xf>
    <xf numFmtId="178" fontId="95" fillId="59" borderId="257" xfId="0" applyNumberFormat="1" applyFont="1" applyFill="1" applyBorder="1" applyAlignment="1">
      <alignment horizontal="right" wrapText="1"/>
    </xf>
    <xf numFmtId="178" fontId="166" fillId="59" borderId="257" xfId="0" applyNumberFormat="1" applyFont="1" applyFill="1" applyBorder="1" applyAlignment="1">
      <alignment horizontal="right" wrapText="1"/>
    </xf>
    <xf numFmtId="0" fontId="0" fillId="29" borderId="271" xfId="0" applyFont="1" applyFill="1" applyBorder="1"/>
    <xf numFmtId="0" fontId="0" fillId="29" borderId="270" xfId="0" applyFont="1" applyFill="1" applyBorder="1"/>
    <xf numFmtId="0" fontId="59" fillId="59" borderId="276" xfId="0" applyFont="1" applyFill="1" applyBorder="1" applyAlignment="1" applyProtection="1">
      <alignment horizontal="center" vertical="center" wrapText="1"/>
    </xf>
    <xf numFmtId="178" fontId="87" fillId="59" borderId="276" xfId="0" applyNumberFormat="1" applyFont="1" applyFill="1" applyBorder="1" applyAlignment="1" applyProtection="1">
      <alignment vertical="center"/>
    </xf>
    <xf numFmtId="178" fontId="87" fillId="59" borderId="276" xfId="0" applyNumberFormat="1" applyFont="1" applyFill="1" applyBorder="1" applyAlignment="1">
      <alignment vertical="center"/>
    </xf>
    <xf numFmtId="178" fontId="87" fillId="59" borderId="276" xfId="0" applyNumberFormat="1" applyFont="1" applyFill="1" applyBorder="1" applyAlignment="1">
      <alignment horizontal="right" wrapText="1"/>
    </xf>
    <xf numFmtId="178" fontId="95" fillId="59" borderId="276" xfId="0" applyNumberFormat="1" applyFont="1" applyFill="1" applyBorder="1" applyAlignment="1" applyProtection="1">
      <alignment vertical="center"/>
    </xf>
    <xf numFmtId="178" fontId="95" fillId="59" borderId="276" xfId="0" applyNumberFormat="1" applyFont="1" applyFill="1" applyBorder="1" applyAlignment="1">
      <alignment vertical="center"/>
    </xf>
    <xf numFmtId="178" fontId="95" fillId="59" borderId="276" xfId="0" applyNumberFormat="1" applyFont="1" applyFill="1" applyBorder="1" applyAlignment="1">
      <alignment horizontal="right" wrapText="1"/>
    </xf>
    <xf numFmtId="10" fontId="166" fillId="59" borderId="276" xfId="0" applyNumberFormat="1" applyFont="1" applyFill="1" applyBorder="1" applyAlignment="1" applyProtection="1">
      <alignment vertical="center"/>
    </xf>
    <xf numFmtId="10" fontId="166" fillId="59" borderId="276" xfId="0" applyNumberFormat="1" applyFont="1" applyFill="1" applyBorder="1" applyAlignment="1">
      <alignment vertical="center"/>
    </xf>
    <xf numFmtId="178" fontId="166" fillId="59" borderId="276" xfId="0" applyNumberFormat="1" applyFont="1" applyFill="1" applyBorder="1" applyAlignment="1" applyProtection="1">
      <alignment vertical="center"/>
    </xf>
    <xf numFmtId="178" fontId="166" fillId="59" borderId="276" xfId="0" applyNumberFormat="1" applyFont="1" applyFill="1" applyBorder="1" applyAlignment="1">
      <alignment vertical="center"/>
    </xf>
    <xf numFmtId="178" fontId="166" fillId="59" borderId="276" xfId="0" applyNumberFormat="1" applyFont="1" applyFill="1" applyBorder="1" applyAlignment="1">
      <alignment horizontal="right" wrapText="1"/>
    </xf>
    <xf numFmtId="178" fontId="166" fillId="59" borderId="277" xfId="0" applyNumberFormat="1" applyFont="1" applyFill="1" applyBorder="1" applyAlignment="1">
      <alignment vertical="center"/>
    </xf>
    <xf numFmtId="4" fontId="95" fillId="59" borderId="276" xfId="0" applyNumberFormat="1" applyFont="1" applyFill="1" applyBorder="1" applyAlignment="1">
      <alignment vertical="center"/>
    </xf>
    <xf numFmtId="4" fontId="95" fillId="59" borderId="276" xfId="0" applyNumberFormat="1" applyFont="1" applyFill="1" applyBorder="1" applyAlignment="1">
      <alignment horizontal="right" wrapText="1"/>
    </xf>
    <xf numFmtId="4" fontId="166" fillId="59" borderId="276" xfId="0" applyNumberFormat="1" applyFont="1" applyFill="1" applyBorder="1" applyAlignment="1">
      <alignment vertical="center"/>
    </xf>
    <xf numFmtId="4" fontId="166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 applyAlignment="1">
      <alignment vertical="center"/>
    </xf>
    <xf numFmtId="4" fontId="87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/>
    <xf numFmtId="2" fontId="87" fillId="59" borderId="276" xfId="0" applyNumberFormat="1" applyFont="1" applyFill="1" applyBorder="1" applyAlignment="1">
      <alignment horizontal="right" wrapText="1"/>
    </xf>
    <xf numFmtId="168" fontId="0" fillId="29" borderId="210" xfId="0" applyNumberFormat="1" applyFill="1" applyBorder="1" applyAlignment="1">
      <alignment horizontal="center"/>
    </xf>
    <xf numFmtId="168" fontId="0" fillId="29" borderId="210" xfId="0" applyNumberFormat="1" applyFill="1" applyBorder="1" applyAlignment="1"/>
    <xf numFmtId="168" fontId="0" fillId="29" borderId="210" xfId="0" applyNumberFormat="1" applyFill="1" applyBorder="1"/>
    <xf numFmtId="168" fontId="0" fillId="29" borderId="260" xfId="0" applyNumberFormat="1" applyFill="1" applyBorder="1"/>
    <xf numFmtId="4" fontId="95" fillId="59" borderId="276" xfId="0" applyNumberFormat="1" applyFont="1" applyFill="1" applyBorder="1"/>
    <xf numFmtId="2" fontId="95" fillId="59" borderId="276" xfId="0" applyNumberFormat="1" applyFont="1" applyFill="1" applyBorder="1" applyAlignment="1">
      <alignment horizontal="right" wrapText="1"/>
    </xf>
    <xf numFmtId="4" fontId="0" fillId="29" borderId="271" xfId="0" applyNumberFormat="1" applyFill="1" applyBorder="1"/>
    <xf numFmtId="4" fontId="0" fillId="29" borderId="270" xfId="0" applyNumberFormat="1" applyFill="1" applyBorder="1"/>
    <xf numFmtId="2" fontId="166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 applyAlignment="1">
      <alignment horizontal="right" vertical="center"/>
    </xf>
    <xf numFmtId="4" fontId="166" fillId="59" borderId="276" xfId="0" applyNumberFormat="1" applyFont="1" applyFill="1" applyBorder="1" applyAlignment="1">
      <alignment horizontal="right" vertical="center"/>
    </xf>
    <xf numFmtId="178" fontId="87" fillId="0" borderId="257" xfId="0" applyNumberFormat="1" applyFont="1" applyFill="1" applyBorder="1" applyAlignment="1">
      <alignment horizontal="right" wrapText="1"/>
    </xf>
    <xf numFmtId="178" fontId="16" fillId="0" borderId="257" xfId="0" applyNumberFormat="1" applyFont="1" applyFill="1" applyBorder="1" applyAlignment="1">
      <alignment horizontal="right" wrapText="1"/>
    </xf>
    <xf numFmtId="178" fontId="87" fillId="0" borderId="257" xfId="0" applyNumberFormat="1" applyFont="1" applyFill="1" applyBorder="1"/>
    <xf numFmtId="178" fontId="95" fillId="0" borderId="257" xfId="0" applyNumberFormat="1" applyFont="1" applyFill="1" applyBorder="1" applyAlignment="1">
      <alignment horizontal="right" wrapText="1"/>
    </xf>
    <xf numFmtId="178" fontId="59" fillId="0" borderId="257" xfId="0" applyNumberFormat="1" applyFont="1" applyFill="1" applyBorder="1" applyAlignment="1">
      <alignment horizontal="right" wrapText="1"/>
    </xf>
    <xf numFmtId="4" fontId="0" fillId="0" borderId="0" xfId="0" applyNumberFormat="1" applyAlignment="1" applyProtection="1">
      <alignment vertical="center"/>
    </xf>
    <xf numFmtId="4" fontId="117" fillId="0" borderId="0" xfId="0" applyNumberFormat="1" applyFont="1" applyAlignment="1" applyProtection="1">
      <alignment vertical="center"/>
    </xf>
    <xf numFmtId="192" fontId="16" fillId="39" borderId="192" xfId="0" applyNumberFormat="1" applyFont="1" applyFill="1" applyBorder="1" applyAlignment="1">
      <alignment horizontal="center" vertical="center"/>
    </xf>
    <xf numFmtId="178" fontId="0" fillId="0" borderId="0" xfId="0" applyNumberFormat="1" applyProtection="1"/>
    <xf numFmtId="174" fontId="16" fillId="39" borderId="192" xfId="0" applyNumberFormat="1" applyFont="1" applyFill="1" applyBorder="1" applyAlignment="1">
      <alignment horizontal="center" vertical="center"/>
    </xf>
    <xf numFmtId="192" fontId="0" fillId="0" borderId="0" xfId="0" applyNumberFormat="1" applyFill="1" applyAlignment="1" applyProtection="1">
      <alignment vertical="center"/>
    </xf>
    <xf numFmtId="192" fontId="117" fillId="0" borderId="0" xfId="0" applyNumberFormat="1" applyFont="1" applyFill="1" applyAlignment="1" applyProtection="1">
      <alignment vertical="center"/>
    </xf>
    <xf numFmtId="192" fontId="0" fillId="29" borderId="0" xfId="0" applyNumberFormat="1" applyFill="1" applyAlignment="1" applyProtection="1">
      <alignment vertical="center"/>
    </xf>
    <xf numFmtId="192" fontId="117" fillId="29" borderId="0" xfId="0" applyNumberFormat="1" applyFont="1" applyFill="1" applyAlignment="1" applyProtection="1">
      <alignment vertical="center"/>
    </xf>
    <xf numFmtId="176" fontId="12" fillId="0" borderId="0" xfId="0" applyNumberFormat="1" applyFont="1" applyProtection="1"/>
    <xf numFmtId="4" fontId="95" fillId="59" borderId="257" xfId="0" applyNumberFormat="1" applyFont="1" applyFill="1" applyBorder="1" applyAlignment="1">
      <alignment horizontal="right" vertical="center"/>
    </xf>
    <xf numFmtId="4" fontId="95" fillId="59" borderId="258" xfId="0" applyNumberFormat="1" applyFont="1" applyFill="1" applyBorder="1" applyAlignment="1">
      <alignment horizontal="right" vertical="center"/>
    </xf>
    <xf numFmtId="4" fontId="16" fillId="0" borderId="257" xfId="0" applyNumberFormat="1" applyFont="1" applyFill="1" applyBorder="1" applyAlignment="1" applyProtection="1">
      <alignment vertical="center"/>
    </xf>
    <xf numFmtId="0" fontId="0" fillId="0" borderId="0" xfId="0" applyAlignment="1"/>
    <xf numFmtId="0" fontId="16" fillId="0" borderId="0" xfId="0" applyFont="1" applyAlignment="1">
      <alignment horizontal="center"/>
    </xf>
    <xf numFmtId="0" fontId="80" fillId="0" borderId="0" xfId="0" applyFont="1" applyAlignment="1"/>
    <xf numFmtId="178" fontId="95" fillId="0" borderId="257" xfId="0" applyNumberFormat="1" applyFont="1" applyFill="1" applyBorder="1" applyProtection="1"/>
    <xf numFmtId="178" fontId="166" fillId="0" borderId="257" xfId="0" applyNumberFormat="1" applyFont="1" applyFill="1" applyBorder="1" applyProtection="1"/>
    <xf numFmtId="178" fontId="87" fillId="0" borderId="257" xfId="0" applyNumberFormat="1" applyFont="1" applyFill="1" applyBorder="1" applyProtection="1"/>
    <xf numFmtId="178" fontId="95" fillId="59" borderId="257" xfId="0" applyNumberFormat="1" applyFont="1" applyFill="1" applyBorder="1" applyProtection="1"/>
    <xf numFmtId="178" fontId="166" fillId="59" borderId="257" xfId="0" applyNumberFormat="1" applyFont="1" applyFill="1" applyBorder="1" applyProtection="1"/>
    <xf numFmtId="178" fontId="87" fillId="59" borderId="257" xfId="0" applyNumberFormat="1" applyFont="1" applyFill="1" applyBorder="1" applyProtection="1"/>
    <xf numFmtId="178" fontId="166" fillId="0" borderId="257" xfId="0" applyNumberFormat="1" applyFont="1" applyFill="1" applyBorder="1"/>
    <xf numFmtId="178" fontId="95" fillId="0" borderId="257" xfId="0" applyNumberFormat="1" applyFont="1" applyFill="1" applyBorder="1"/>
    <xf numFmtId="178" fontId="87" fillId="0" borderId="257" xfId="0" applyNumberFormat="1" applyFont="1" applyFill="1" applyBorder="1" applyAlignment="1">
      <alignment horizontal="right" vertical="center"/>
    </xf>
    <xf numFmtId="178" fontId="95" fillId="0" borderId="257" xfId="0" applyNumberFormat="1" applyFont="1" applyFill="1" applyBorder="1" applyAlignment="1">
      <alignment horizontal="right" vertical="center"/>
    </xf>
    <xf numFmtId="178" fontId="95" fillId="0" borderId="257" xfId="0" applyNumberFormat="1" applyFont="1" applyBorder="1"/>
    <xf numFmtId="178" fontId="87" fillId="0" borderId="257" xfId="0" applyNumberFormat="1" applyFont="1" applyBorder="1"/>
    <xf numFmtId="178" fontId="166" fillId="0" borderId="257" xfId="0" applyNumberFormat="1" applyFont="1" applyBorder="1"/>
    <xf numFmtId="178" fontId="166" fillId="59" borderId="257" xfId="0" applyNumberFormat="1" applyFont="1" applyFill="1" applyBorder="1"/>
    <xf numFmtId="178" fontId="87" fillId="59" borderId="257" xfId="0" applyNumberFormat="1" applyFont="1" applyFill="1" applyBorder="1"/>
    <xf numFmtId="178" fontId="87" fillId="59" borderId="257" xfId="0" applyNumberFormat="1" applyFont="1" applyFill="1" applyBorder="1" applyAlignment="1">
      <alignment horizontal="right" vertical="center"/>
    </xf>
    <xf numFmtId="178" fontId="95" fillId="59" borderId="257" xfId="0" applyNumberFormat="1" applyFont="1" applyFill="1" applyBorder="1" applyAlignment="1">
      <alignment horizontal="right" vertical="center"/>
    </xf>
    <xf numFmtId="178" fontId="95" fillId="59" borderId="257" xfId="0" applyNumberFormat="1" applyFont="1" applyFill="1" applyBorder="1"/>
    <xf numFmtId="178" fontId="166" fillId="59" borderId="257" xfId="0" applyNumberFormat="1" applyFont="1" applyFill="1" applyBorder="1" applyAlignment="1">
      <alignment horizontal="right" vertical="center"/>
    </xf>
    <xf numFmtId="10" fontId="95" fillId="0" borderId="257" xfId="0" applyNumberFormat="1" applyFont="1" applyFill="1" applyBorder="1"/>
    <xf numFmtId="4" fontId="166" fillId="0" borderId="257" xfId="0" applyNumberFormat="1" applyFont="1" applyFill="1" applyBorder="1" applyAlignment="1">
      <alignment horizontal="right" vertical="center"/>
    </xf>
    <xf numFmtId="0" fontId="80" fillId="0" borderId="0" xfId="0" applyFont="1" applyAlignment="1"/>
    <xf numFmtId="178" fontId="165" fillId="59" borderId="257" xfId="0" applyNumberFormat="1" applyFont="1" applyFill="1" applyBorder="1" applyAlignment="1">
      <alignment vertical="center"/>
    </xf>
    <xf numFmtId="2" fontId="165" fillId="59" borderId="257" xfId="0" applyNumberFormat="1" applyFont="1" applyFill="1" applyBorder="1" applyAlignment="1">
      <alignment vertical="center"/>
    </xf>
    <xf numFmtId="4" fontId="165" fillId="59" borderId="257" xfId="0" applyNumberFormat="1" applyFont="1" applyFill="1" applyBorder="1" applyAlignment="1">
      <alignment vertical="center"/>
    </xf>
    <xf numFmtId="168" fontId="87" fillId="0" borderId="257" xfId="0" applyNumberFormat="1" applyFont="1" applyFill="1" applyBorder="1"/>
    <xf numFmtId="0" fontId="18" fillId="0" borderId="0" xfId="77"/>
    <xf numFmtId="0" fontId="80" fillId="39" borderId="257" xfId="77" applyFont="1" applyFill="1" applyBorder="1" applyAlignment="1">
      <alignment horizontal="center" wrapText="1"/>
    </xf>
    <xf numFmtId="0" fontId="80" fillId="0" borderId="257" xfId="77" applyFont="1" applyFill="1" applyBorder="1"/>
    <xf numFmtId="2" fontId="80" fillId="0" borderId="257" xfId="77" applyNumberFormat="1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 vertical="center"/>
    </xf>
    <xf numFmtId="0" fontId="80" fillId="0" borderId="257" xfId="77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/>
    </xf>
    <xf numFmtId="0" fontId="15" fillId="0" borderId="257" xfId="77" applyFont="1" applyFill="1" applyBorder="1"/>
    <xf numFmtId="2" fontId="15" fillId="0" borderId="257" xfId="77" applyNumberFormat="1" applyFont="1" applyFill="1" applyBorder="1" applyAlignment="1">
      <alignment horizontal="center"/>
    </xf>
    <xf numFmtId="4" fontId="15" fillId="0" borderId="257" xfId="77" applyNumberFormat="1" applyFont="1" applyFill="1" applyBorder="1" applyAlignment="1">
      <alignment horizontal="center"/>
    </xf>
    <xf numFmtId="0" fontId="122" fillId="0" borderId="0" xfId="77" applyFont="1"/>
    <xf numFmtId="168" fontId="80" fillId="0" borderId="257" xfId="77" applyNumberFormat="1" applyFont="1" applyFill="1" applyBorder="1" applyAlignment="1">
      <alignment horizontal="center"/>
    </xf>
    <xf numFmtId="168" fontId="15" fillId="0" borderId="257" xfId="77" applyNumberFormat="1" applyFont="1" applyFill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59" fillId="0" borderId="0" xfId="0" applyFont="1" applyAlignment="1">
      <alignment horizontal="left" vertical="top"/>
    </xf>
    <xf numFmtId="0" fontId="147" fillId="0" borderId="0" xfId="0" applyFont="1" applyAlignment="1">
      <alignment horizontal="center"/>
    </xf>
    <xf numFmtId="0" fontId="16" fillId="0" borderId="278" xfId="0" applyFont="1" applyFill="1" applyBorder="1" applyAlignment="1">
      <alignment vertical="center" wrapText="1"/>
    </xf>
    <xf numFmtId="0" fontId="59" fillId="0" borderId="0" xfId="0" applyFont="1" applyAlignment="1"/>
    <xf numFmtId="0" fontId="59" fillId="0" borderId="0" xfId="0" applyFont="1" applyAlignment="1">
      <alignment horizontal="left" vertical="top" wrapText="1"/>
    </xf>
    <xf numFmtId="0" fontId="78" fillId="0" borderId="0" xfId="0" applyFont="1" applyAlignment="1">
      <alignment horizontal="left" vertical="top"/>
    </xf>
    <xf numFmtId="2" fontId="16" fillId="0" borderId="279" xfId="0" applyNumberFormat="1" applyFont="1" applyFill="1" applyBorder="1"/>
    <xf numFmtId="0" fontId="80" fillId="0" borderId="16" xfId="0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center" wrapText="1"/>
    </xf>
    <xf numFmtId="0" fontId="80" fillId="0" borderId="18" xfId="0" applyFont="1" applyBorder="1" applyAlignment="1">
      <alignment horizontal="center" vertical="center" wrapText="1"/>
    </xf>
    <xf numFmtId="0" fontId="80" fillId="0" borderId="258" xfId="0" applyFont="1" applyFill="1" applyBorder="1" applyAlignment="1">
      <alignment horizontal="center" vertical="center"/>
    </xf>
    <xf numFmtId="0" fontId="80" fillId="0" borderId="37" xfId="0" applyFont="1" applyFill="1" applyBorder="1" applyAlignment="1">
      <alignment vertical="center"/>
    </xf>
    <xf numFmtId="2" fontId="80" fillId="0" borderId="11" xfId="0" applyNumberFormat="1" applyFont="1" applyFill="1" applyBorder="1" applyAlignment="1">
      <alignment vertical="center"/>
    </xf>
    <xf numFmtId="2" fontId="80" fillId="0" borderId="38" xfId="0" applyNumberFormat="1" applyFont="1" applyFill="1" applyBorder="1" applyAlignment="1">
      <alignment vertical="center"/>
    </xf>
    <xf numFmtId="0" fontId="80" fillId="0" borderId="11" xfId="0" applyFont="1" applyFill="1" applyBorder="1" applyAlignment="1">
      <alignment horizontal="center" vertical="center"/>
    </xf>
    <xf numFmtId="2" fontId="80" fillId="0" borderId="257" xfId="0" applyNumberFormat="1" applyFont="1" applyFill="1" applyBorder="1" applyAlignment="1">
      <alignment vertical="center"/>
    </xf>
    <xf numFmtId="2" fontId="80" fillId="0" borderId="170" xfId="0" applyNumberFormat="1" applyFont="1" applyFill="1" applyBorder="1" applyAlignment="1">
      <alignment vertical="center"/>
    </xf>
    <xf numFmtId="0" fontId="80" fillId="0" borderId="257" xfId="0" applyFont="1" applyFill="1" applyBorder="1" applyAlignment="1">
      <alignment horizontal="center" vertical="center"/>
    </xf>
    <xf numFmtId="0" fontId="15" fillId="0" borderId="278" xfId="0" applyFont="1" applyFill="1" applyBorder="1" applyAlignment="1">
      <alignment vertical="center"/>
    </xf>
    <xf numFmtId="2" fontId="15" fillId="0" borderId="279" xfId="0" applyNumberFormat="1" applyFont="1" applyFill="1" applyBorder="1" applyAlignment="1">
      <alignment vertical="center"/>
    </xf>
    <xf numFmtId="0" fontId="80" fillId="0" borderId="37" xfId="0" applyFont="1" applyFill="1" applyBorder="1" applyAlignment="1">
      <alignment vertical="center" wrapText="1"/>
    </xf>
    <xf numFmtId="0" fontId="80" fillId="0" borderId="169" xfId="0" applyFont="1" applyFill="1" applyBorder="1" applyAlignment="1">
      <alignment vertical="center" wrapText="1"/>
    </xf>
    <xf numFmtId="0" fontId="80" fillId="0" borderId="278" xfId="0" applyFont="1" applyFill="1" applyBorder="1" applyAlignment="1">
      <alignment vertical="center" wrapText="1"/>
    </xf>
    <xf numFmtId="0" fontId="80" fillId="0" borderId="259" xfId="0" applyFont="1" applyFill="1" applyBorder="1" applyAlignment="1">
      <alignment horizontal="center" vertical="center"/>
    </xf>
    <xf numFmtId="2" fontId="80" fillId="0" borderId="259" xfId="0" applyNumberFormat="1" applyFont="1" applyFill="1" applyBorder="1" applyAlignment="1">
      <alignment vertical="center"/>
    </xf>
    <xf numFmtId="2" fontId="80" fillId="0" borderId="279" xfId="0" applyNumberFormat="1" applyFont="1" applyFill="1" applyBorder="1" applyAlignment="1">
      <alignment vertical="center"/>
    </xf>
    <xf numFmtId="0" fontId="80" fillId="0" borderId="0" xfId="0" applyFont="1" applyFill="1"/>
    <xf numFmtId="0" fontId="1" fillId="0" borderId="0" xfId="156"/>
    <xf numFmtId="0" fontId="105" fillId="0" borderId="0" xfId="156" applyFont="1"/>
    <xf numFmtId="0" fontId="47" fillId="0" borderId="16" xfId="156" applyFont="1" applyBorder="1" applyAlignment="1">
      <alignment horizontal="center" vertical="center"/>
    </xf>
    <xf numFmtId="0" fontId="47" fillId="0" borderId="17" xfId="156" applyFont="1" applyBorder="1" applyAlignment="1">
      <alignment horizontal="center" vertical="center"/>
    </xf>
    <xf numFmtId="0" fontId="50" fillId="59" borderId="17" xfId="156" applyFont="1" applyFill="1" applyBorder="1" applyAlignment="1">
      <alignment horizontal="center" vertical="center"/>
    </xf>
    <xf numFmtId="0" fontId="50" fillId="59" borderId="18" xfId="156" applyFont="1" applyFill="1" applyBorder="1" applyAlignment="1">
      <alignment horizontal="center" vertical="center"/>
    </xf>
    <xf numFmtId="2" fontId="50" fillId="59" borderId="279" xfId="156" applyNumberFormat="1" applyFont="1" applyFill="1" applyBorder="1" applyAlignment="1">
      <alignment horizontal="center" vertical="center"/>
    </xf>
    <xf numFmtId="0" fontId="105" fillId="0" borderId="0" xfId="156" applyFont="1" applyAlignment="1">
      <alignment horizontal="center"/>
    </xf>
    <xf numFmtId="0" fontId="105" fillId="0" borderId="0" xfId="156" applyFont="1" applyAlignment="1">
      <alignment horizontal="center"/>
    </xf>
    <xf numFmtId="0" fontId="59" fillId="0" borderId="276" xfId="0" applyFont="1" applyFill="1" applyBorder="1" applyAlignment="1">
      <alignment horizontal="center" vertical="center"/>
    </xf>
    <xf numFmtId="2" fontId="16" fillId="0" borderId="276" xfId="0" applyNumberFormat="1" applyFont="1" applyFill="1" applyBorder="1"/>
    <xf numFmtId="2" fontId="59" fillId="0" borderId="276" xfId="0" applyNumberFormat="1" applyFont="1" applyFill="1" applyBorder="1"/>
    <xf numFmtId="10" fontId="60" fillId="0" borderId="276" xfId="0" applyNumberFormat="1" applyFont="1" applyFill="1" applyBorder="1"/>
    <xf numFmtId="2" fontId="60" fillId="0" borderId="276" xfId="0" applyNumberFormat="1" applyFont="1" applyFill="1" applyBorder="1"/>
    <xf numFmtId="2" fontId="16" fillId="0" borderId="209" xfId="0" applyNumberFormat="1" applyFont="1" applyFill="1" applyBorder="1"/>
    <xf numFmtId="2" fontId="59" fillId="0" borderId="209" xfId="0" applyNumberFormat="1" applyFont="1" applyFill="1" applyBorder="1"/>
    <xf numFmtId="10" fontId="60" fillId="0" borderId="209" xfId="0" applyNumberFormat="1" applyFont="1" applyFill="1" applyBorder="1"/>
    <xf numFmtId="2" fontId="60" fillId="0" borderId="209" xfId="0" applyNumberFormat="1" applyFont="1" applyFill="1" applyBorder="1"/>
    <xf numFmtId="0" fontId="59" fillId="0" borderId="276" xfId="0" applyFont="1" applyBorder="1" applyAlignment="1">
      <alignment horizontal="center"/>
    </xf>
    <xf numFmtId="0" fontId="59" fillId="0" borderId="283" xfId="0" applyFont="1" applyFill="1" applyBorder="1" applyAlignment="1">
      <alignment horizontal="center" vertical="center"/>
    </xf>
    <xf numFmtId="0" fontId="16" fillId="0" borderId="282" xfId="0" applyFont="1" applyBorder="1" applyAlignment="1">
      <alignment vertical="center" wrapText="1"/>
    </xf>
    <xf numFmtId="0" fontId="59" fillId="0" borderId="276" xfId="0" applyFont="1" applyBorder="1"/>
    <xf numFmtId="2" fontId="16" fillId="0" borderId="276" xfId="0" applyNumberFormat="1" applyFont="1" applyBorder="1" applyAlignment="1">
      <alignment horizontal="center"/>
    </xf>
    <xf numFmtId="2" fontId="16" fillId="0" borderId="283" xfId="0" applyNumberFormat="1" applyFont="1" applyFill="1" applyBorder="1"/>
    <xf numFmtId="0" fontId="59" fillId="0" borderId="282" xfId="0" applyFont="1" applyBorder="1" applyAlignment="1">
      <alignment vertical="center" wrapText="1"/>
    </xf>
    <xf numFmtId="2" fontId="59" fillId="0" borderId="276" xfId="0" applyNumberFormat="1" applyFont="1" applyBorder="1" applyAlignment="1">
      <alignment horizontal="center"/>
    </xf>
    <xf numFmtId="2" fontId="59" fillId="0" borderId="283" xfId="0" applyNumberFormat="1" applyFont="1" applyFill="1" applyBorder="1"/>
    <xf numFmtId="0" fontId="60" fillId="0" borderId="282" xfId="0" applyFont="1" applyBorder="1" applyAlignment="1">
      <alignment vertical="center" wrapText="1"/>
    </xf>
    <xf numFmtId="2" fontId="60" fillId="0" borderId="283" xfId="0" applyNumberFormat="1" applyFont="1" applyFill="1" applyBorder="1"/>
    <xf numFmtId="10" fontId="60" fillId="0" borderId="283" xfId="0" applyNumberFormat="1" applyFont="1" applyFill="1" applyBorder="1"/>
    <xf numFmtId="0" fontId="60" fillId="0" borderId="282" xfId="0" applyFont="1" applyBorder="1" applyAlignment="1">
      <alignment vertical="center"/>
    </xf>
    <xf numFmtId="0" fontId="60" fillId="0" borderId="282" xfId="0" applyFont="1" applyFill="1" applyBorder="1" applyAlignment="1">
      <alignment vertical="center"/>
    </xf>
    <xf numFmtId="0" fontId="0" fillId="0" borderId="276" xfId="0" applyFont="1" applyBorder="1"/>
    <xf numFmtId="0" fontId="16" fillId="0" borderId="282" xfId="0" applyFont="1" applyBorder="1" applyAlignment="1">
      <alignment vertical="center"/>
    </xf>
    <xf numFmtId="0" fontId="59" fillId="0" borderId="282" xfId="0" applyFont="1" applyBorder="1" applyAlignment="1">
      <alignment vertical="center"/>
    </xf>
    <xf numFmtId="10" fontId="59" fillId="0" borderId="276" xfId="0" applyNumberFormat="1" applyFont="1" applyFill="1" applyBorder="1" applyAlignment="1">
      <alignment horizontal="center"/>
    </xf>
    <xf numFmtId="0" fontId="16" fillId="0" borderId="282" xfId="0" applyFont="1" applyFill="1" applyBorder="1" applyAlignment="1">
      <alignment vertical="center" wrapText="1"/>
    </xf>
    <xf numFmtId="0" fontId="16" fillId="0" borderId="278" xfId="0" applyFont="1" applyFill="1" applyBorder="1" applyAlignment="1">
      <alignment vertical="center"/>
    </xf>
    <xf numFmtId="0" fontId="0" fillId="0" borderId="280" xfId="0" applyFont="1" applyBorder="1"/>
    <xf numFmtId="2" fontId="16" fillId="0" borderId="280" xfId="0" applyNumberFormat="1" applyFont="1" applyBorder="1" applyAlignment="1">
      <alignment horizontal="center"/>
    </xf>
    <xf numFmtId="10" fontId="59" fillId="0" borderId="276" xfId="0" applyNumberFormat="1" applyFont="1" applyFill="1" applyBorder="1"/>
    <xf numFmtId="10" fontId="59" fillId="0" borderId="283" xfId="0" applyNumberFormat="1" applyFont="1" applyFill="1" applyBorder="1"/>
    <xf numFmtId="2" fontId="16" fillId="0" borderId="280" xfId="0" applyNumberFormat="1" applyFont="1" applyFill="1" applyBorder="1"/>
    <xf numFmtId="2" fontId="16" fillId="0" borderId="281" xfId="0" applyNumberFormat="1" applyFont="1" applyFill="1" applyBorder="1"/>
    <xf numFmtId="0" fontId="59" fillId="0" borderId="276" xfId="0" applyFont="1" applyFill="1" applyBorder="1" applyAlignment="1">
      <alignment horizontal="center" vertical="center" wrapText="1"/>
    </xf>
    <xf numFmtId="0" fontId="78" fillId="0" borderId="276" xfId="0" applyFont="1" applyBorder="1" applyAlignment="1">
      <alignment vertical="center"/>
    </xf>
    <xf numFmtId="0" fontId="16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vertical="center"/>
    </xf>
    <xf numFmtId="4" fontId="16" fillId="0" borderId="276" xfId="0" applyNumberFormat="1" applyFont="1" applyBorder="1" applyAlignment="1">
      <alignment horizontal="right" vertical="center"/>
    </xf>
    <xf numFmtId="4" fontId="79" fillId="0" borderId="276" xfId="0" applyNumberFormat="1" applyFont="1" applyBorder="1" applyAlignment="1">
      <alignment horizontal="right" vertical="center"/>
    </xf>
    <xf numFmtId="0" fontId="16" fillId="0" borderId="276" xfId="0" applyFont="1" applyBorder="1" applyAlignment="1">
      <alignment horizontal="right" vertical="center"/>
    </xf>
    <xf numFmtId="169" fontId="16" fillId="0" borderId="276" xfId="0" applyNumberFormat="1" applyFont="1" applyBorder="1" applyAlignment="1">
      <alignment horizontal="center"/>
    </xf>
    <xf numFmtId="4" fontId="59" fillId="0" borderId="276" xfId="0" applyNumberFormat="1" applyFont="1" applyBorder="1" applyAlignment="1">
      <alignment horizontal="right" vertical="center"/>
    </xf>
    <xf numFmtId="4" fontId="60" fillId="0" borderId="276" xfId="0" applyNumberFormat="1" applyFont="1" applyBorder="1" applyAlignment="1">
      <alignment horizontal="right" vertical="center"/>
    </xf>
    <xf numFmtId="0" fontId="59" fillId="0" borderId="276" xfId="0" applyFont="1" applyBorder="1" applyAlignment="1">
      <alignment horizontal="right" vertical="center"/>
    </xf>
    <xf numFmtId="169" fontId="59" fillId="0" borderId="276" xfId="0" applyNumberFormat="1" applyFont="1" applyBorder="1" applyAlignment="1">
      <alignment horizontal="center"/>
    </xf>
    <xf numFmtId="4" fontId="59" fillId="0" borderId="276" xfId="0" applyNumberFormat="1" applyFont="1" applyFill="1" applyBorder="1" applyAlignment="1">
      <alignment horizontal="center"/>
    </xf>
    <xf numFmtId="0" fontId="49" fillId="0" borderId="276" xfId="0" applyFont="1" applyBorder="1"/>
    <xf numFmtId="0" fontId="0" fillId="29" borderId="276" xfId="0" applyFont="1" applyFill="1" applyBorder="1"/>
    <xf numFmtId="4" fontId="16" fillId="0" borderId="276" xfId="0" applyNumberFormat="1" applyFont="1" applyFill="1" applyBorder="1" applyAlignment="1">
      <alignment horizontal="center"/>
    </xf>
    <xf numFmtId="169" fontId="16" fillId="0" borderId="276" xfId="0" applyNumberFormat="1" applyFont="1" applyFill="1" applyBorder="1" applyAlignment="1">
      <alignment horizontal="center"/>
    </xf>
    <xf numFmtId="2" fontId="16" fillId="0" borderId="276" xfId="0" applyNumberFormat="1" applyFont="1" applyFill="1" applyBorder="1" applyAlignment="1">
      <alignment horizontal="center"/>
    </xf>
    <xf numFmtId="2" fontId="16" fillId="0" borderId="280" xfId="0" applyNumberFormat="1" applyFont="1" applyFill="1" applyBorder="1" applyAlignment="1">
      <alignment horizontal="center"/>
    </xf>
    <xf numFmtId="0" fontId="80" fillId="0" borderId="282" xfId="0" applyFont="1" applyFill="1" applyBorder="1" applyAlignment="1">
      <alignment vertical="center"/>
    </xf>
    <xf numFmtId="0" fontId="81" fillId="0" borderId="37" xfId="0" applyFont="1" applyFill="1" applyBorder="1" applyAlignment="1">
      <alignment vertical="center"/>
    </xf>
    <xf numFmtId="0" fontId="81" fillId="0" borderId="282" xfId="0" applyFont="1" applyFill="1" applyBorder="1" applyAlignment="1">
      <alignment vertical="center"/>
    </xf>
    <xf numFmtId="0" fontId="15" fillId="0" borderId="37" xfId="0" applyFont="1" applyFill="1" applyBorder="1" applyAlignment="1">
      <alignment vertical="center"/>
    </xf>
    <xf numFmtId="0" fontId="15" fillId="0" borderId="258" xfId="0" applyFont="1" applyFill="1" applyBorder="1" applyAlignment="1">
      <alignment vertical="center"/>
    </xf>
    <xf numFmtId="0" fontId="80" fillId="0" borderId="276" xfId="0" applyFont="1" applyFill="1" applyBorder="1" applyAlignment="1">
      <alignment horizontal="center" vertical="center"/>
    </xf>
    <xf numFmtId="2" fontId="15" fillId="0" borderId="11" xfId="0" applyNumberFormat="1" applyFont="1" applyFill="1" applyBorder="1" applyAlignment="1">
      <alignment vertical="center"/>
    </xf>
    <xf numFmtId="2" fontId="80" fillId="0" borderId="276" xfId="0" applyNumberFormat="1" applyFont="1" applyFill="1" applyBorder="1" applyAlignment="1">
      <alignment vertical="center"/>
    </xf>
    <xf numFmtId="2" fontId="80" fillId="0" borderId="283" xfId="0" applyNumberFormat="1" applyFont="1" applyFill="1" applyBorder="1" applyAlignment="1">
      <alignment vertical="center"/>
    </xf>
    <xf numFmtId="2" fontId="81" fillId="0" borderId="276" xfId="0" applyNumberFormat="1" applyFont="1" applyFill="1" applyBorder="1" applyAlignment="1">
      <alignment vertical="center"/>
    </xf>
    <xf numFmtId="2" fontId="81" fillId="0" borderId="283" xfId="0" applyNumberFormat="1" applyFont="1" applyFill="1" applyBorder="1" applyAlignment="1">
      <alignment vertical="center"/>
    </xf>
    <xf numFmtId="2" fontId="15" fillId="0" borderId="276" xfId="0" applyNumberFormat="1" applyFont="1" applyFill="1" applyBorder="1" applyAlignment="1">
      <alignment vertical="center"/>
    </xf>
    <xf numFmtId="0" fontId="15" fillId="0" borderId="284" xfId="0" applyFont="1" applyFill="1" applyBorder="1" applyAlignment="1">
      <alignment vertical="center"/>
    </xf>
    <xf numFmtId="0" fontId="15" fillId="0" borderId="285" xfId="0" applyFont="1" applyFill="1" applyBorder="1" applyAlignment="1">
      <alignment vertical="center"/>
    </xf>
    <xf numFmtId="2" fontId="15" fillId="0" borderId="38" xfId="0" applyNumberFormat="1" applyFont="1" applyFill="1" applyBorder="1" applyAlignment="1">
      <alignment vertical="center"/>
    </xf>
    <xf numFmtId="0" fontId="168" fillId="0" borderId="282" xfId="0" applyFont="1" applyFill="1" applyBorder="1" applyAlignment="1">
      <alignment vertical="center"/>
    </xf>
    <xf numFmtId="2" fontId="15" fillId="0" borderId="283" xfId="0" applyNumberFormat="1" applyFont="1" applyFill="1" applyBorder="1" applyAlignment="1">
      <alignment vertical="center"/>
    </xf>
    <xf numFmtId="0" fontId="15" fillId="0" borderId="282" xfId="0" applyFont="1" applyFill="1" applyBorder="1" applyAlignment="1">
      <alignment vertical="center"/>
    </xf>
    <xf numFmtId="49" fontId="81" fillId="0" borderId="282" xfId="0" applyNumberFormat="1" applyFont="1" applyFill="1" applyBorder="1" applyAlignment="1">
      <alignment vertical="center"/>
    </xf>
    <xf numFmtId="0" fontId="60" fillId="0" borderId="282" xfId="0" applyFont="1" applyFill="1" applyBorder="1" applyAlignment="1">
      <alignment vertical="center" wrapText="1"/>
    </xf>
    <xf numFmtId="0" fontId="80" fillId="0" borderId="280" xfId="0" applyFont="1" applyFill="1" applyBorder="1" applyAlignment="1">
      <alignment horizontal="center" vertical="center"/>
    </xf>
    <xf numFmtId="2" fontId="15" fillId="0" borderId="280" xfId="0" applyNumberFormat="1" applyFont="1" applyFill="1" applyBorder="1" applyAlignment="1">
      <alignment vertical="center"/>
    </xf>
    <xf numFmtId="0" fontId="51" fillId="0" borderId="282" xfId="156" applyFont="1" applyBorder="1" applyAlignment="1">
      <alignment vertical="center" wrapText="1"/>
    </xf>
    <xf numFmtId="2" fontId="48" fillId="0" borderId="276" xfId="156" applyNumberFormat="1" applyFont="1" applyBorder="1" applyAlignment="1">
      <alignment horizontal="center" vertical="center"/>
    </xf>
    <xf numFmtId="2" fontId="51" fillId="59" borderId="276" xfId="156" applyNumberFormat="1" applyFont="1" applyFill="1" applyBorder="1" applyAlignment="1">
      <alignment horizontal="center" vertical="center"/>
    </xf>
    <xf numFmtId="2" fontId="51" fillId="59" borderId="283" xfId="156" applyNumberFormat="1" applyFont="1" applyFill="1" applyBorder="1" applyAlignment="1">
      <alignment horizontal="center" vertical="center"/>
    </xf>
    <xf numFmtId="0" fontId="147" fillId="0" borderId="282" xfId="0" applyFont="1" applyFill="1" applyBorder="1" applyAlignment="1">
      <alignment vertical="center"/>
    </xf>
    <xf numFmtId="0" fontId="81" fillId="0" borderId="276" xfId="0" applyFont="1" applyFill="1" applyBorder="1" applyAlignment="1">
      <alignment horizontal="center" vertical="center"/>
    </xf>
    <xf numFmtId="2" fontId="147" fillId="0" borderId="276" xfId="0" applyNumberFormat="1" applyFont="1" applyFill="1" applyBorder="1" applyAlignment="1">
      <alignment vertical="center"/>
    </xf>
    <xf numFmtId="2" fontId="147" fillId="0" borderId="283" xfId="0" applyNumberFormat="1" applyFont="1" applyFill="1" applyBorder="1" applyAlignment="1">
      <alignment vertical="center"/>
    </xf>
    <xf numFmtId="0" fontId="81" fillId="0" borderId="282" xfId="0" applyFont="1" applyFill="1" applyBorder="1" applyAlignment="1">
      <alignment vertical="center" wrapText="1"/>
    </xf>
    <xf numFmtId="0" fontId="50" fillId="0" borderId="282" xfId="156" applyFont="1" applyBorder="1" applyAlignment="1">
      <alignment vertical="center" wrapText="1"/>
    </xf>
    <xf numFmtId="2" fontId="50" fillId="0" borderId="276" xfId="156" applyNumberFormat="1" applyFont="1" applyBorder="1" applyAlignment="1">
      <alignment horizontal="center" vertical="center"/>
    </xf>
    <xf numFmtId="2" fontId="50" fillId="59" borderId="276" xfId="156" applyNumberFormat="1" applyFont="1" applyFill="1" applyBorder="1" applyAlignment="1">
      <alignment horizontal="center" vertical="center"/>
    </xf>
    <xf numFmtId="2" fontId="50" fillId="59" borderId="283" xfId="156" applyNumberFormat="1" applyFont="1" applyFill="1" applyBorder="1" applyAlignment="1">
      <alignment horizontal="center" vertical="center"/>
    </xf>
    <xf numFmtId="2" fontId="51" fillId="0" borderId="276" xfId="156" applyNumberFormat="1" applyFont="1" applyBorder="1" applyAlignment="1">
      <alignment horizontal="center" vertical="center"/>
    </xf>
    <xf numFmtId="2" fontId="48" fillId="59" borderId="276" xfId="156" applyNumberFormat="1" applyFont="1" applyFill="1" applyBorder="1" applyAlignment="1">
      <alignment horizontal="center" vertical="center"/>
    </xf>
    <xf numFmtId="2" fontId="48" fillId="59" borderId="283" xfId="156" applyNumberFormat="1" applyFont="1" applyFill="1" applyBorder="1" applyAlignment="1">
      <alignment horizontal="center" vertical="center"/>
    </xf>
    <xf numFmtId="2" fontId="50" fillId="59" borderId="280" xfId="156" applyNumberFormat="1" applyFont="1" applyFill="1" applyBorder="1" applyAlignment="1">
      <alignment horizontal="center" vertical="center"/>
    </xf>
    <xf numFmtId="0" fontId="47" fillId="0" borderId="0" xfId="156" applyFont="1"/>
    <xf numFmtId="2" fontId="47" fillId="0" borderId="0" xfId="156" applyNumberFormat="1" applyFont="1" applyBorder="1" applyAlignment="1">
      <alignment horizontal="center"/>
    </xf>
    <xf numFmtId="4" fontId="105" fillId="0" borderId="276" xfId="156" applyNumberFormat="1" applyFont="1" applyBorder="1" applyAlignment="1">
      <alignment vertical="center"/>
    </xf>
    <xf numFmtId="4" fontId="104" fillId="0" borderId="276" xfId="156" applyNumberFormat="1" applyFont="1" applyBorder="1" applyAlignment="1">
      <alignment vertical="center"/>
    </xf>
    <xf numFmtId="0" fontId="105" fillId="0" borderId="16" xfId="156" applyFont="1" applyBorder="1" applyAlignment="1">
      <alignment horizontal="center" vertical="center"/>
    </xf>
    <xf numFmtId="0" fontId="105" fillId="0" borderId="17" xfId="156" applyFont="1" applyBorder="1" applyAlignment="1">
      <alignment horizontal="center" vertical="center"/>
    </xf>
    <xf numFmtId="0" fontId="105" fillId="0" borderId="17" xfId="156" applyFont="1" applyBorder="1" applyAlignment="1">
      <alignment horizontal="center" vertical="center" wrapText="1"/>
    </xf>
    <xf numFmtId="0" fontId="105" fillId="0" borderId="18" xfId="156" applyFont="1" applyBorder="1" applyAlignment="1">
      <alignment horizontal="center" vertical="center"/>
    </xf>
    <xf numFmtId="0" fontId="105" fillId="0" borderId="282" xfId="156" applyFont="1" applyBorder="1" applyAlignment="1">
      <alignment vertical="center"/>
    </xf>
    <xf numFmtId="4" fontId="105" fillId="0" borderId="283" xfId="156" applyNumberFormat="1" applyFont="1" applyBorder="1" applyAlignment="1">
      <alignment vertical="center"/>
    </xf>
    <xf numFmtId="0" fontId="104" fillId="0" borderId="282" xfId="156" applyFont="1" applyBorder="1" applyAlignment="1">
      <alignment vertical="center"/>
    </xf>
    <xf numFmtId="4" fontId="104" fillId="0" borderId="283" xfId="156" applyNumberFormat="1" applyFont="1" applyBorder="1" applyAlignment="1">
      <alignment vertical="center"/>
    </xf>
    <xf numFmtId="0" fontId="104" fillId="0" borderId="278" xfId="156" applyFont="1" applyBorder="1" applyAlignment="1">
      <alignment vertical="center"/>
    </xf>
    <xf numFmtId="4" fontId="104" fillId="0" borderId="280" xfId="156" applyNumberFormat="1" applyFont="1" applyBorder="1" applyAlignment="1">
      <alignment vertical="center"/>
    </xf>
    <xf numFmtId="4" fontId="104" fillId="0" borderId="279" xfId="156" applyNumberFormat="1" applyFont="1" applyBorder="1" applyAlignment="1">
      <alignment vertical="center"/>
    </xf>
    <xf numFmtId="4" fontId="166" fillId="59" borderId="209" xfId="0" applyNumberFormat="1" applyFont="1" applyFill="1" applyBorder="1"/>
    <xf numFmtId="4" fontId="166" fillId="59" borderId="276" xfId="0" applyNumberFormat="1" applyFont="1" applyFill="1" applyBorder="1"/>
    <xf numFmtId="2" fontId="166" fillId="59" borderId="257" xfId="0" applyNumberFormat="1" applyFont="1" applyFill="1" applyBorder="1" applyAlignment="1">
      <alignment horizontal="right" vertical="center" wrapText="1"/>
    </xf>
    <xf numFmtId="4" fontId="166" fillId="59" borderId="209" xfId="0" applyNumberFormat="1" applyFont="1" applyFill="1" applyBorder="1" applyAlignment="1">
      <alignment vertical="center"/>
    </xf>
    <xf numFmtId="2" fontId="166" fillId="59" borderId="276" xfId="0" applyNumberFormat="1" applyFont="1" applyFill="1" applyBorder="1" applyAlignment="1">
      <alignment horizontal="right" vertical="center" wrapText="1"/>
    </xf>
    <xf numFmtId="178" fontId="60" fillId="0" borderId="257" xfId="0" applyNumberFormat="1" applyFont="1" applyFill="1" applyBorder="1" applyProtection="1">
      <protection locked="0"/>
    </xf>
    <xf numFmtId="178" fontId="59" fillId="0" borderId="257" xfId="0" applyNumberFormat="1" applyFont="1" applyFill="1" applyBorder="1" applyAlignment="1" applyProtection="1">
      <alignment vertical="center"/>
    </xf>
    <xf numFmtId="178" fontId="16" fillId="0" borderId="257" xfId="0" applyNumberFormat="1" applyFont="1" applyFill="1" applyBorder="1" applyAlignment="1" applyProtection="1">
      <alignment vertical="center"/>
    </xf>
    <xf numFmtId="178" fontId="59" fillId="0" borderId="257" xfId="0" applyNumberFormat="1" applyFont="1" applyFill="1" applyBorder="1" applyProtection="1">
      <protection locked="0"/>
    </xf>
    <xf numFmtId="178" fontId="59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0" fillId="29" borderId="210" xfId="0" applyNumberFormat="1" applyFont="1" applyFill="1" applyBorder="1" applyAlignment="1">
      <alignment horizontal="left"/>
    </xf>
    <xf numFmtId="178" fontId="59" fillId="0" borderId="257" xfId="0" applyNumberFormat="1" applyFont="1" applyFill="1" applyBorder="1" applyAlignment="1" applyProtection="1">
      <alignment horizontal="center" vertical="center" wrapText="1"/>
    </xf>
    <xf numFmtId="178" fontId="95" fillId="0" borderId="257" xfId="0" applyNumberFormat="1" applyFont="1" applyFill="1" applyBorder="1" applyProtection="1">
      <protection locked="0"/>
    </xf>
    <xf numFmtId="174" fontId="87" fillId="0" borderId="257" xfId="0" applyNumberFormat="1" applyFont="1" applyFill="1" applyBorder="1"/>
    <xf numFmtId="0" fontId="60" fillId="0" borderId="276" xfId="0" applyFont="1" applyFill="1" applyBorder="1" applyAlignment="1" applyProtection="1">
      <alignment vertical="center" wrapText="1"/>
    </xf>
    <xf numFmtId="0" fontId="60" fillId="0" borderId="257" xfId="0" applyFont="1" applyFill="1" applyBorder="1" applyAlignment="1">
      <alignment horizontal="left" vertical="center" wrapText="1"/>
    </xf>
    <xf numFmtId="0" fontId="60" fillId="0" borderId="276" xfId="0" applyFont="1" applyFill="1" applyBorder="1" applyAlignment="1" applyProtection="1">
      <alignment wrapText="1"/>
    </xf>
    <xf numFmtId="0" fontId="0" fillId="0" borderId="0" xfId="0" applyAlignment="1"/>
    <xf numFmtId="0" fontId="105" fillId="0" borderId="0" xfId="156" applyFont="1" applyAlignment="1">
      <alignment horizontal="center"/>
    </xf>
    <xf numFmtId="0" fontId="0" fillId="0" borderId="0" xfId="0" applyAlignment="1">
      <alignment horizontal="left" vertical="top"/>
    </xf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80" fillId="0" borderId="0" xfId="0" applyFont="1" applyAlignment="1"/>
    <xf numFmtId="0" fontId="147" fillId="0" borderId="37" xfId="0" applyFont="1" applyFill="1" applyBorder="1" applyAlignment="1">
      <alignment vertical="center"/>
    </xf>
    <xf numFmtId="2" fontId="147" fillId="0" borderId="11" xfId="0" applyNumberFormat="1" applyFont="1" applyFill="1" applyBorder="1" applyAlignment="1">
      <alignment vertical="center"/>
    </xf>
    <xf numFmtId="2" fontId="147" fillId="0" borderId="38" xfId="0" applyNumberFormat="1" applyFont="1" applyFill="1" applyBorder="1" applyAlignment="1">
      <alignment vertical="center"/>
    </xf>
    <xf numFmtId="0" fontId="12" fillId="34" borderId="17" xfId="0" applyFont="1" applyFill="1" applyBorder="1" applyAlignment="1">
      <alignment horizontal="center" vertical="center" wrapText="1"/>
    </xf>
    <xf numFmtId="0" fontId="12" fillId="34" borderId="18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 wrapText="1"/>
    </xf>
    <xf numFmtId="0" fontId="12" fillId="34" borderId="122" xfId="0" applyFont="1" applyFill="1" applyBorder="1" applyAlignment="1">
      <alignment horizontal="center" vertical="center" wrapText="1"/>
    </xf>
    <xf numFmtId="0" fontId="12" fillId="34" borderId="44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2" fillId="34" borderId="121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/>
    </xf>
    <xf numFmtId="0" fontId="12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6" fillId="34" borderId="13" xfId="0" applyFont="1" applyFill="1" applyBorder="1" applyAlignment="1">
      <alignment horizontal="center" vertical="center" wrapText="1"/>
    </xf>
    <xf numFmtId="0" fontId="16" fillId="34" borderId="117" xfId="0" applyFont="1" applyFill="1" applyBorder="1" applyAlignment="1">
      <alignment horizontal="center" vertical="center" wrapText="1"/>
    </xf>
    <xf numFmtId="0" fontId="16" fillId="34" borderId="110" xfId="0" applyFont="1" applyFill="1" applyBorder="1" applyAlignment="1">
      <alignment horizontal="center" vertical="center" wrapText="1"/>
    </xf>
    <xf numFmtId="0" fontId="94" fillId="34" borderId="47" xfId="0" applyFont="1" applyFill="1" applyBorder="1" applyAlignment="1">
      <alignment horizontal="center" vertical="center"/>
    </xf>
    <xf numFmtId="0" fontId="63" fillId="34" borderId="47" xfId="0" applyFont="1" applyFill="1" applyBorder="1" applyAlignment="1">
      <alignment horizontal="center" vertical="center"/>
    </xf>
    <xf numFmtId="0" fontId="12" fillId="34" borderId="37" xfId="0" applyFont="1" applyFill="1" applyBorder="1" applyAlignment="1">
      <alignment horizontal="center" vertical="center"/>
    </xf>
    <xf numFmtId="0" fontId="12" fillId="34" borderId="116" xfId="0" applyFont="1" applyFill="1" applyBorder="1" applyAlignment="1">
      <alignment horizontal="center" vertical="center"/>
    </xf>
    <xf numFmtId="0" fontId="12" fillId="34" borderId="120" xfId="0" applyFont="1" applyFill="1" applyBorder="1" applyAlignment="1">
      <alignment horizontal="center" vertical="center"/>
    </xf>
    <xf numFmtId="0" fontId="12" fillId="34" borderId="11" xfId="0" applyFont="1" applyFill="1" applyBorder="1" applyAlignment="1">
      <alignment horizontal="center" vertical="center"/>
    </xf>
    <xf numFmtId="0" fontId="12" fillId="34" borderId="38" xfId="0" applyFont="1" applyFill="1" applyBorder="1" applyAlignment="1">
      <alignment horizontal="center" vertical="center"/>
    </xf>
    <xf numFmtId="0" fontId="12" fillId="34" borderId="16" xfId="0" applyFont="1" applyFill="1" applyBorder="1" applyAlignment="1">
      <alignment horizontal="center" vertical="center"/>
    </xf>
    <xf numFmtId="0" fontId="12" fillId="34" borderId="17" xfId="0" applyFont="1" applyFill="1" applyBorder="1" applyAlignment="1">
      <alignment horizontal="center" vertical="center"/>
    </xf>
    <xf numFmtId="0" fontId="12" fillId="34" borderId="18" xfId="0" applyFont="1" applyFill="1" applyBorder="1" applyAlignment="1">
      <alignment horizontal="center" vertical="center"/>
    </xf>
    <xf numFmtId="0" fontId="12" fillId="34" borderId="73" xfId="0" applyFont="1" applyFill="1" applyBorder="1" applyAlignment="1">
      <alignment horizontal="center" vertical="center" wrapText="1"/>
    </xf>
    <xf numFmtId="0" fontId="12" fillId="34" borderId="71" xfId="0" applyFont="1" applyFill="1" applyBorder="1" applyAlignment="1">
      <alignment horizontal="center" vertical="center"/>
    </xf>
    <xf numFmtId="0" fontId="12" fillId="34" borderId="69" xfId="0" applyFont="1" applyFill="1" applyBorder="1" applyAlignment="1">
      <alignment horizontal="center" vertical="center"/>
    </xf>
    <xf numFmtId="0" fontId="12" fillId="34" borderId="118" xfId="0" applyFont="1" applyFill="1" applyBorder="1" applyAlignment="1">
      <alignment horizontal="center" vertical="center"/>
    </xf>
    <xf numFmtId="0" fontId="12" fillId="34" borderId="115" xfId="0" applyFont="1" applyFill="1" applyBorder="1" applyAlignment="1">
      <alignment horizontal="center" vertical="center"/>
    </xf>
    <xf numFmtId="0" fontId="12" fillId="34" borderId="119" xfId="0" applyFont="1" applyFill="1" applyBorder="1" applyAlignment="1">
      <alignment horizontal="center" vertical="center"/>
    </xf>
    <xf numFmtId="0" fontId="13" fillId="34" borderId="75" xfId="0" applyFont="1" applyFill="1" applyBorder="1" applyAlignment="1">
      <alignment horizontal="center" vertical="center"/>
    </xf>
    <xf numFmtId="0" fontId="13" fillId="34" borderId="76" xfId="0" applyFont="1" applyFill="1" applyBorder="1" applyAlignment="1">
      <alignment horizontal="center" vertical="center"/>
    </xf>
    <xf numFmtId="0" fontId="12" fillId="34" borderId="77" xfId="0" applyFont="1" applyFill="1" applyBorder="1" applyAlignment="1">
      <alignment horizontal="center" vertical="center"/>
    </xf>
    <xf numFmtId="0" fontId="13" fillId="34" borderId="50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2" fillId="34" borderId="48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2" fillId="0" borderId="112" xfId="0" applyFont="1" applyBorder="1" applyAlignment="1">
      <alignment horizontal="center" vertical="center" wrapText="1"/>
    </xf>
    <xf numFmtId="0" fontId="12" fillId="0" borderId="121" xfId="0" applyFont="1" applyBorder="1" applyAlignment="1">
      <alignment horizontal="center" vertical="center" wrapText="1"/>
    </xf>
    <xf numFmtId="0" fontId="12" fillId="0" borderId="112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66" fillId="34" borderId="50" xfId="0" applyFont="1" applyFill="1" applyBorder="1" applyAlignment="1">
      <alignment horizontal="center"/>
    </xf>
    <xf numFmtId="0" fontId="66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117" xfId="0" applyFont="1" applyBorder="1" applyAlignment="1">
      <alignment horizontal="center" vertical="center" wrapText="1"/>
    </xf>
    <xf numFmtId="0" fontId="16" fillId="0" borderId="110" xfId="0" applyFont="1" applyBorder="1" applyAlignment="1">
      <alignment horizontal="center" vertical="center" wrapText="1"/>
    </xf>
    <xf numFmtId="0" fontId="94" fillId="0" borderId="47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118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9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66" fillId="33" borderId="50" xfId="0" applyFont="1" applyFill="1" applyBorder="1" applyAlignment="1">
      <alignment horizontal="center"/>
    </xf>
    <xf numFmtId="0" fontId="66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2" fillId="34" borderId="113" xfId="0" applyFont="1" applyFill="1" applyBorder="1" applyAlignment="1">
      <alignment horizontal="center" vertical="center"/>
    </xf>
    <xf numFmtId="0" fontId="12" fillId="34" borderId="122" xfId="0" applyFont="1" applyFill="1" applyBorder="1" applyAlignment="1">
      <alignment horizontal="center" vertical="center"/>
    </xf>
    <xf numFmtId="0" fontId="12" fillId="34" borderId="113" xfId="0" applyFont="1" applyFill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12" fillId="0" borderId="113" xfId="0" applyFont="1" applyBorder="1" applyAlignment="1">
      <alignment horizontal="center" vertical="center" wrapText="1"/>
    </xf>
    <xf numFmtId="0" fontId="170" fillId="0" borderId="0" xfId="156" applyFont="1" applyAlignment="1">
      <alignment horizontal="center"/>
    </xf>
    <xf numFmtId="0" fontId="171" fillId="0" borderId="0" xfId="0" applyFont="1" applyAlignment="1">
      <alignment horizontal="center"/>
    </xf>
    <xf numFmtId="0" fontId="105" fillId="0" borderId="0" xfId="156" applyFont="1" applyAlignment="1">
      <alignment horizontal="center"/>
    </xf>
    <xf numFmtId="0" fontId="0" fillId="0" borderId="0" xfId="0" applyAlignment="1">
      <alignment horizontal="center"/>
    </xf>
    <xf numFmtId="0" fontId="167" fillId="0" borderId="0" xfId="156" applyFont="1" applyAlignment="1">
      <alignment horizontal="center"/>
    </xf>
    <xf numFmtId="0" fontId="169" fillId="0" borderId="0" xfId="156" applyFont="1" applyAlignment="1">
      <alignment horizontal="center"/>
    </xf>
    <xf numFmtId="0" fontId="47" fillId="0" borderId="0" xfId="156" applyFont="1" applyAlignment="1">
      <alignment horizontal="left"/>
    </xf>
    <xf numFmtId="0" fontId="6" fillId="0" borderId="0" xfId="0" applyFont="1" applyAlignment="1">
      <alignment horizontal="left"/>
    </xf>
    <xf numFmtId="0" fontId="59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67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15" fillId="0" borderId="286" xfId="0" applyFont="1" applyFill="1" applyBorder="1" applyAlignment="1">
      <alignment horizontal="center" vertical="center"/>
    </xf>
    <xf numFmtId="0" fontId="0" fillId="0" borderId="271" xfId="0" applyFont="1" applyFill="1" applyBorder="1" applyAlignment="1">
      <alignment horizontal="center" vertical="center"/>
    </xf>
    <xf numFmtId="0" fontId="0" fillId="0" borderId="287" xfId="0" applyFont="1" applyFill="1" applyBorder="1" applyAlignment="1">
      <alignment horizontal="center" vertical="center"/>
    </xf>
    <xf numFmtId="0" fontId="62" fillId="0" borderId="0" xfId="0" applyFont="1" applyAlignment="1">
      <alignment wrapText="1"/>
    </xf>
    <xf numFmtId="0" fontId="59" fillId="0" borderId="276" xfId="0" applyFont="1" applyFill="1" applyBorder="1" applyAlignment="1">
      <alignment horizontal="center" vertical="center"/>
    </xf>
    <xf numFmtId="0" fontId="0" fillId="0" borderId="276" xfId="0" applyBorder="1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16" fillId="25" borderId="16" xfId="0" applyFont="1" applyFill="1" applyBorder="1" applyAlignment="1">
      <alignment horizontal="center" vertical="center" wrapText="1"/>
    </xf>
    <xf numFmtId="0" fontId="16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6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92" fillId="0" borderId="0" xfId="0" applyFont="1" applyAlignment="1">
      <alignment horizontal="center" wrapText="1"/>
    </xf>
    <xf numFmtId="0" fontId="93" fillId="0" borderId="0" xfId="0" applyFont="1" applyAlignment="1">
      <alignment wrapText="1"/>
    </xf>
    <xf numFmtId="0" fontId="93" fillId="0" borderId="0" xfId="0" applyFont="1" applyAlignment="1"/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59" fillId="0" borderId="282" xfId="0" applyFont="1" applyBorder="1" applyAlignment="1">
      <alignment horizontal="center" vertical="center"/>
    </xf>
    <xf numFmtId="0" fontId="16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horizontal="center" vertical="center"/>
    </xf>
    <xf numFmtId="0" fontId="59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16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59" fillId="0" borderId="282" xfId="0" applyFont="1" applyBorder="1" applyAlignment="1">
      <alignment horizontal="center" vertical="center" wrapText="1"/>
    </xf>
    <xf numFmtId="0" fontId="0" fillId="0" borderId="282" xfId="0" applyFont="1" applyBorder="1" applyAlignment="1">
      <alignment horizontal="center" vertical="center" wrapText="1"/>
    </xf>
    <xf numFmtId="0" fontId="16" fillId="29" borderId="282" xfId="0" applyFont="1" applyFill="1" applyBorder="1" applyAlignment="1">
      <alignment horizontal="center"/>
    </xf>
    <xf numFmtId="0" fontId="0" fillId="0" borderId="276" xfId="0" applyFont="1" applyBorder="1" applyAlignment="1">
      <alignment horizontal="center"/>
    </xf>
    <xf numFmtId="0" fontId="0" fillId="0" borderId="276" xfId="0" applyFont="1" applyBorder="1" applyAlignment="1"/>
    <xf numFmtId="0" fontId="0" fillId="0" borderId="209" xfId="0" applyFont="1" applyBorder="1" applyAlignment="1"/>
    <xf numFmtId="0" fontId="0" fillId="0" borderId="283" xfId="0" applyFont="1" applyBorder="1" applyAlignment="1"/>
    <xf numFmtId="0" fontId="0" fillId="0" borderId="183" xfId="0" applyBorder="1" applyAlignment="1">
      <alignment horizontal="center" vertical="center"/>
    </xf>
    <xf numFmtId="0" fontId="15" fillId="0" borderId="0" xfId="77" applyFont="1" applyAlignment="1">
      <alignment horizontal="center"/>
    </xf>
    <xf numFmtId="0" fontId="147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0" fillId="39" borderId="258" xfId="77" applyFont="1" applyFill="1" applyBorder="1" applyAlignment="1">
      <alignment horizontal="center"/>
    </xf>
    <xf numFmtId="0" fontId="80" fillId="39" borderId="11" xfId="77" applyFont="1" applyFill="1" applyBorder="1" applyAlignment="1">
      <alignment horizontal="center"/>
    </xf>
    <xf numFmtId="0" fontId="80" fillId="39" borderId="209" xfId="77" applyFont="1" applyFill="1" applyBorder="1" applyAlignment="1">
      <alignment horizontal="center" wrapText="1"/>
    </xf>
    <xf numFmtId="0" fontId="18" fillId="0" borderId="260" xfId="77" applyBorder="1" applyAlignment="1">
      <alignment horizontal="center" wrapText="1"/>
    </xf>
    <xf numFmtId="0" fontId="80" fillId="39" borderId="258" xfId="77" applyFont="1" applyFill="1" applyBorder="1" applyAlignment="1">
      <alignment horizontal="center" wrapText="1"/>
    </xf>
    <xf numFmtId="0" fontId="80" fillId="39" borderId="11" xfId="77" applyFont="1" applyFill="1" applyBorder="1" applyAlignment="1">
      <alignment horizontal="center" wrapText="1"/>
    </xf>
    <xf numFmtId="0" fontId="18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4" fontId="166" fillId="59" borderId="209" xfId="0" applyNumberFormat="1" applyFont="1" applyFill="1" applyBorder="1" applyAlignment="1">
      <alignment horizontal="center" vertical="center"/>
    </xf>
    <xf numFmtId="4" fontId="166" fillId="59" borderId="210" xfId="0" applyNumberFormat="1" applyFont="1" applyFill="1" applyBorder="1" applyAlignment="1">
      <alignment horizontal="center" vertical="center"/>
    </xf>
    <xf numFmtId="4" fontId="166" fillId="59" borderId="260" xfId="0" applyNumberFormat="1" applyFont="1" applyFill="1" applyBorder="1" applyAlignment="1">
      <alignment horizontal="center" vertical="center"/>
    </xf>
    <xf numFmtId="4" fontId="166" fillId="0" borderId="209" xfId="0" applyNumberFormat="1" applyFont="1" applyFill="1" applyBorder="1" applyAlignment="1">
      <alignment horizontal="center" vertical="center"/>
    </xf>
    <xf numFmtId="4" fontId="166" fillId="0" borderId="210" xfId="0" applyNumberFormat="1" applyFont="1" applyFill="1" applyBorder="1" applyAlignment="1">
      <alignment horizontal="center" vertical="center"/>
    </xf>
    <xf numFmtId="4" fontId="166" fillId="0" borderId="260" xfId="0" applyNumberFormat="1" applyFont="1" applyFill="1" applyBorder="1" applyAlignment="1">
      <alignment horizontal="center" vertical="center"/>
    </xf>
    <xf numFmtId="0" fontId="59" fillId="0" borderId="257" xfId="0" applyFont="1" applyBorder="1" applyAlignment="1">
      <alignment horizontal="center" vertical="center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211" xfId="0" applyFont="1" applyFill="1" applyBorder="1" applyAlignment="1">
      <alignment horizontal="center" vertical="center" wrapText="1"/>
    </xf>
    <xf numFmtId="0" fontId="59" fillId="0" borderId="212" xfId="0" applyFont="1" applyFill="1" applyBorder="1" applyAlignment="1">
      <alignment horizontal="center" vertical="center" wrapText="1"/>
    </xf>
    <xf numFmtId="0" fontId="59" fillId="59" borderId="176" xfId="0" applyFont="1" applyFill="1" applyBorder="1" applyAlignment="1">
      <alignment horizontal="center" vertical="center" wrapText="1"/>
    </xf>
    <xf numFmtId="0" fontId="59" fillId="59" borderId="211" xfId="0" applyFont="1" applyFill="1" applyBorder="1" applyAlignment="1">
      <alignment horizontal="center" vertical="center" wrapText="1"/>
    </xf>
    <xf numFmtId="0" fontId="59" fillId="59" borderId="212" xfId="0" applyFont="1" applyFill="1" applyBorder="1" applyAlignment="1">
      <alignment horizontal="center" vertical="center" wrapText="1"/>
    </xf>
    <xf numFmtId="0" fontId="59" fillId="59" borderId="209" xfId="0" applyFont="1" applyFill="1" applyBorder="1" applyAlignment="1">
      <alignment horizontal="center" vertical="center" wrapText="1"/>
    </xf>
    <xf numFmtId="0" fontId="59" fillId="59" borderId="210" xfId="0" applyFont="1" applyFill="1" applyBorder="1" applyAlignment="1">
      <alignment horizontal="center" vertical="center" wrapText="1"/>
    </xf>
    <xf numFmtId="0" fontId="59" fillId="59" borderId="260" xfId="0" applyFont="1" applyFill="1" applyBorder="1" applyAlignment="1">
      <alignment horizontal="center" vertical="center" wrapText="1"/>
    </xf>
    <xf numFmtId="0" fontId="16" fillId="0" borderId="209" xfId="0" applyFont="1" applyFill="1" applyBorder="1" applyAlignment="1">
      <alignment horizontal="center" vertical="center" wrapText="1"/>
    </xf>
    <xf numFmtId="0" fontId="16" fillId="0" borderId="210" xfId="0" applyFont="1" applyFill="1" applyBorder="1" applyAlignment="1">
      <alignment horizontal="center" vertical="center" wrapText="1"/>
    </xf>
    <xf numFmtId="0" fontId="7" fillId="0" borderId="210" xfId="0" applyFont="1" applyFill="1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6" fillId="59" borderId="209" xfId="0" applyFont="1" applyFill="1" applyBorder="1" applyAlignment="1">
      <alignment horizontal="center" vertical="center" wrapText="1"/>
    </xf>
    <xf numFmtId="0" fontId="16" fillId="59" borderId="210" xfId="0" applyFont="1" applyFill="1" applyBorder="1" applyAlignment="1">
      <alignment horizontal="center" vertical="center" wrapText="1"/>
    </xf>
    <xf numFmtId="0" fontId="7" fillId="59" borderId="210" xfId="0" applyFont="1" applyFill="1" applyBorder="1" applyAlignment="1">
      <alignment horizontal="center" vertical="center" wrapText="1"/>
    </xf>
    <xf numFmtId="0" fontId="7" fillId="0" borderId="210" xfId="0" applyFont="1" applyBorder="1" applyAlignment="1">
      <alignment horizontal="center" vertical="center" wrapText="1"/>
    </xf>
    <xf numFmtId="0" fontId="7" fillId="0" borderId="260" xfId="0" applyFont="1" applyBorder="1" applyAlignment="1">
      <alignment horizontal="center" vertical="center" wrapText="1"/>
    </xf>
    <xf numFmtId="0" fontId="16" fillId="59" borderId="272" xfId="0" applyFont="1" applyFill="1" applyBorder="1" applyAlignment="1">
      <alignment horizontal="center" vertical="center" wrapText="1"/>
    </xf>
    <xf numFmtId="0" fontId="16" fillId="59" borderId="271" xfId="0" applyFont="1" applyFill="1" applyBorder="1" applyAlignment="1">
      <alignment horizontal="center" vertical="center" wrapText="1"/>
    </xf>
    <xf numFmtId="0" fontId="7" fillId="59" borderId="271" xfId="0" applyFont="1" applyFill="1" applyBorder="1" applyAlignment="1">
      <alignment horizontal="center" vertical="center" wrapText="1"/>
    </xf>
    <xf numFmtId="0" fontId="7" fillId="0" borderId="271" xfId="0" applyFont="1" applyBorder="1" applyAlignment="1">
      <alignment horizontal="center" vertical="center" wrapText="1"/>
    </xf>
    <xf numFmtId="0" fontId="7" fillId="0" borderId="270" xfId="0" applyFont="1" applyBorder="1" applyAlignment="1">
      <alignment horizontal="center" vertical="center" wrapText="1"/>
    </xf>
    <xf numFmtId="0" fontId="59" fillId="59" borderId="272" xfId="0" applyFont="1" applyFill="1" applyBorder="1" applyAlignment="1">
      <alignment horizontal="center" vertical="center" wrapText="1"/>
    </xf>
    <xf numFmtId="0" fontId="59" fillId="59" borderId="271" xfId="0" applyFont="1" applyFill="1" applyBorder="1" applyAlignment="1">
      <alignment horizontal="center" vertical="center" wrapText="1"/>
    </xf>
    <xf numFmtId="0" fontId="59" fillId="59" borderId="270" xfId="0" applyFont="1" applyFill="1" applyBorder="1" applyAlignment="1">
      <alignment horizontal="center" vertical="center" wrapText="1"/>
    </xf>
    <xf numFmtId="0" fontId="59" fillId="59" borderId="273" xfId="0" applyFont="1" applyFill="1" applyBorder="1" applyAlignment="1">
      <alignment horizontal="center" vertical="center" wrapText="1"/>
    </xf>
    <xf numFmtId="0" fontId="59" fillId="59" borderId="274" xfId="0" applyFont="1" applyFill="1" applyBorder="1" applyAlignment="1">
      <alignment horizontal="center" vertical="center" wrapText="1"/>
    </xf>
    <xf numFmtId="0" fontId="59" fillId="59" borderId="275" xfId="0" applyFont="1" applyFill="1" applyBorder="1" applyAlignment="1">
      <alignment horizontal="center" vertical="center" wrapText="1"/>
    </xf>
    <xf numFmtId="4" fontId="87" fillId="0" borderId="209" xfId="0" applyNumberFormat="1" applyFont="1" applyFill="1" applyBorder="1" applyAlignment="1">
      <alignment horizontal="center"/>
    </xf>
    <xf numFmtId="4" fontId="87" fillId="0" borderId="210" xfId="0" applyNumberFormat="1" applyFont="1" applyFill="1" applyBorder="1" applyAlignment="1">
      <alignment horizontal="center"/>
    </xf>
    <xf numFmtId="4" fontId="87" fillId="0" borderId="260" xfId="0" applyNumberFormat="1" applyFont="1" applyFill="1" applyBorder="1" applyAlignment="1">
      <alignment horizontal="center"/>
    </xf>
    <xf numFmtId="4" fontId="87" fillId="59" borderId="209" xfId="0" applyNumberFormat="1" applyFont="1" applyFill="1" applyBorder="1" applyAlignment="1">
      <alignment horizontal="center"/>
    </xf>
    <xf numFmtId="4" fontId="87" fillId="59" borderId="210" xfId="0" applyNumberFormat="1" applyFont="1" applyFill="1" applyBorder="1" applyAlignment="1">
      <alignment horizontal="center"/>
    </xf>
    <xf numFmtId="4" fontId="87" fillId="59" borderId="260" xfId="0" applyNumberFormat="1" applyFont="1" applyFill="1" applyBorder="1" applyAlignment="1">
      <alignment horizontal="center"/>
    </xf>
    <xf numFmtId="4" fontId="87" fillId="0" borderId="272" xfId="0" applyNumberFormat="1" applyFont="1" applyFill="1" applyBorder="1" applyAlignment="1">
      <alignment horizontal="center"/>
    </xf>
    <xf numFmtId="4" fontId="87" fillId="0" borderId="271" xfId="0" applyNumberFormat="1" applyFont="1" applyFill="1" applyBorder="1" applyAlignment="1">
      <alignment horizontal="center"/>
    </xf>
    <xf numFmtId="4" fontId="87" fillId="0" borderId="270" xfId="0" applyNumberFormat="1" applyFont="1" applyFill="1" applyBorder="1" applyAlignment="1">
      <alignment horizontal="center"/>
    </xf>
    <xf numFmtId="4" fontId="87" fillId="59" borderId="272" xfId="0" applyNumberFormat="1" applyFont="1" applyFill="1" applyBorder="1" applyAlignment="1">
      <alignment horizontal="center"/>
    </xf>
    <xf numFmtId="4" fontId="87" fillId="59" borderId="271" xfId="0" applyNumberFormat="1" applyFont="1" applyFill="1" applyBorder="1" applyAlignment="1">
      <alignment horizontal="center"/>
    </xf>
    <xf numFmtId="4" fontId="87" fillId="59" borderId="270" xfId="0" applyNumberFormat="1" applyFont="1" applyFill="1" applyBorder="1" applyAlignment="1">
      <alignment horizontal="center"/>
    </xf>
    <xf numFmtId="4" fontId="87" fillId="59" borderId="209" xfId="0" applyNumberFormat="1" applyFont="1" applyFill="1" applyBorder="1" applyAlignment="1">
      <alignment horizontal="center" vertical="center"/>
    </xf>
    <xf numFmtId="4" fontId="87" fillId="59" borderId="210" xfId="0" applyNumberFormat="1" applyFont="1" applyFill="1" applyBorder="1" applyAlignment="1">
      <alignment horizontal="center" vertical="center"/>
    </xf>
    <xf numFmtId="4" fontId="87" fillId="59" borderId="260" xfId="0" applyNumberFormat="1" applyFont="1" applyFill="1" applyBorder="1" applyAlignment="1">
      <alignment horizontal="center" vertical="center"/>
    </xf>
    <xf numFmtId="0" fontId="16" fillId="29" borderId="272" xfId="0" applyFont="1" applyFill="1" applyBorder="1" applyAlignment="1">
      <alignment horizontal="left" vertical="center" wrapText="1"/>
    </xf>
    <xf numFmtId="0" fontId="0" fillId="0" borderId="271" xfId="0" applyBorder="1" applyAlignment="1"/>
    <xf numFmtId="0" fontId="0" fillId="0" borderId="270" xfId="0" applyBorder="1" applyAlignment="1"/>
    <xf numFmtId="178" fontId="166" fillId="59" borderId="209" xfId="0" applyNumberFormat="1" applyFont="1" applyFill="1" applyBorder="1" applyAlignment="1">
      <alignment horizontal="center" vertical="center"/>
    </xf>
    <xf numFmtId="178" fontId="166" fillId="59" borderId="210" xfId="0" applyNumberFormat="1" applyFont="1" applyFill="1" applyBorder="1" applyAlignment="1">
      <alignment horizontal="center" vertical="center"/>
    </xf>
    <xf numFmtId="178" fontId="166" fillId="59" borderId="260" xfId="0" applyNumberFormat="1" applyFont="1" applyFill="1" applyBorder="1" applyAlignment="1">
      <alignment horizontal="center" vertical="center"/>
    </xf>
    <xf numFmtId="178" fontId="166" fillId="0" borderId="209" xfId="0" applyNumberFormat="1" applyFont="1" applyFill="1" applyBorder="1" applyAlignment="1">
      <alignment horizontal="center" vertical="center"/>
    </xf>
    <xf numFmtId="178" fontId="166" fillId="0" borderId="210" xfId="0" applyNumberFormat="1" applyFont="1" applyFill="1" applyBorder="1" applyAlignment="1">
      <alignment horizontal="center" vertical="center"/>
    </xf>
    <xf numFmtId="178" fontId="166" fillId="0" borderId="260" xfId="0" applyNumberFormat="1" applyFont="1" applyFill="1" applyBorder="1" applyAlignment="1">
      <alignment horizontal="center" vertical="center"/>
    </xf>
    <xf numFmtId="0" fontId="16" fillId="59" borderId="209" xfId="0" applyFont="1" applyFill="1" applyBorder="1" applyAlignment="1" applyProtection="1">
      <alignment horizontal="center" vertical="center"/>
    </xf>
    <xf numFmtId="0" fontId="16" fillId="59" borderId="210" xfId="0" applyFont="1" applyFill="1" applyBorder="1" applyAlignment="1" applyProtection="1">
      <alignment horizontal="center" vertical="center"/>
    </xf>
    <xf numFmtId="0" fontId="7" fillId="59" borderId="210" xfId="0" applyFont="1" applyFill="1" applyBorder="1" applyAlignment="1">
      <alignment vertical="center"/>
    </xf>
    <xf numFmtId="0" fontId="7" fillId="59" borderId="260" xfId="0" applyFont="1" applyFill="1" applyBorder="1" applyAlignment="1">
      <alignment vertical="center"/>
    </xf>
    <xf numFmtId="0" fontId="16" fillId="0" borderId="209" xfId="0" applyFont="1" applyFill="1" applyBorder="1" applyAlignment="1" applyProtection="1">
      <alignment horizontal="center" vertical="center" wrapText="1"/>
    </xf>
    <xf numFmtId="0" fontId="16" fillId="0" borderId="210" xfId="0" applyFont="1" applyFill="1" applyBorder="1" applyAlignment="1" applyProtection="1">
      <alignment horizontal="center" vertical="center" wrapText="1"/>
    </xf>
    <xf numFmtId="0" fontId="16" fillId="0" borderId="260" xfId="0" applyFont="1" applyFill="1" applyBorder="1" applyAlignment="1" applyProtection="1">
      <alignment horizontal="center" vertical="center" wrapText="1"/>
    </xf>
    <xf numFmtId="0" fontId="16" fillId="59" borderId="176" xfId="0" applyFont="1" applyFill="1" applyBorder="1" applyAlignment="1" applyProtection="1">
      <alignment horizontal="center" vertical="center"/>
    </xf>
    <xf numFmtId="0" fontId="16" fillId="59" borderId="211" xfId="0" applyFont="1" applyFill="1" applyBorder="1" applyAlignment="1" applyProtection="1">
      <alignment horizontal="center" vertical="center"/>
    </xf>
    <xf numFmtId="0" fontId="16" fillId="59" borderId="212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/>
    </xf>
    <xf numFmtId="0" fontId="59" fillId="0" borderId="211" xfId="0" applyFont="1" applyFill="1" applyBorder="1" applyAlignment="1" applyProtection="1">
      <alignment horizontal="center" vertical="center"/>
    </xf>
    <xf numFmtId="0" fontId="59" fillId="0" borderId="212" xfId="0" applyFont="1" applyFill="1" applyBorder="1" applyAlignment="1" applyProtection="1">
      <alignment horizontal="center" vertical="center"/>
    </xf>
    <xf numFmtId="0" fontId="7" fillId="0" borderId="210" xfId="0" applyFont="1" applyBorder="1" applyAlignment="1">
      <alignment horizontal="center" vertical="center"/>
    </xf>
    <xf numFmtId="0" fontId="7" fillId="0" borderId="260" xfId="0" applyFont="1" applyBorder="1" applyAlignment="1">
      <alignment horizontal="center" vertical="center"/>
    </xf>
    <xf numFmtId="0" fontId="16" fillId="0" borderId="209" xfId="0" applyFont="1" applyFill="1" applyBorder="1" applyAlignment="1" applyProtection="1">
      <alignment horizontal="center" vertical="center"/>
    </xf>
    <xf numFmtId="0" fontId="16" fillId="0" borderId="210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 wrapText="1"/>
    </xf>
    <xf numFmtId="0" fontId="59" fillId="0" borderId="211" xfId="0" applyFont="1" applyFill="1" applyBorder="1" applyAlignment="1" applyProtection="1">
      <alignment horizontal="center" vertical="center" wrapText="1"/>
    </xf>
    <xf numFmtId="0" fontId="59" fillId="0" borderId="212" xfId="0" applyFont="1" applyFill="1" applyBorder="1" applyAlignment="1" applyProtection="1">
      <alignment horizontal="center" vertical="center" wrapText="1"/>
    </xf>
    <xf numFmtId="0" fontId="16" fillId="0" borderId="176" xfId="0" applyFont="1" applyFill="1" applyBorder="1" applyAlignment="1" applyProtection="1">
      <alignment horizontal="center" vertical="center"/>
    </xf>
    <xf numFmtId="0" fontId="16" fillId="0" borderId="211" xfId="0" applyFont="1" applyFill="1" applyBorder="1" applyAlignment="1" applyProtection="1">
      <alignment horizontal="center" vertical="center"/>
    </xf>
    <xf numFmtId="0" fontId="16" fillId="0" borderId="212" xfId="0" applyFont="1" applyFill="1" applyBorder="1" applyAlignment="1" applyProtection="1">
      <alignment horizontal="center" vertical="center"/>
    </xf>
    <xf numFmtId="0" fontId="16" fillId="59" borderId="176" xfId="0" applyFont="1" applyFill="1" applyBorder="1" applyAlignment="1" applyProtection="1">
      <alignment horizontal="center" vertical="center" wrapText="1"/>
    </xf>
    <xf numFmtId="0" fontId="16" fillId="59" borderId="211" xfId="0" applyFont="1" applyFill="1" applyBorder="1" applyAlignment="1" applyProtection="1">
      <alignment horizontal="center" vertical="center" wrapText="1"/>
    </xf>
    <xf numFmtId="0" fontId="16" fillId="59" borderId="212" xfId="0" applyFont="1" applyFill="1" applyBorder="1" applyAlignment="1" applyProtection="1">
      <alignment horizontal="center" vertical="center" wrapText="1"/>
    </xf>
    <xf numFmtId="0" fontId="16" fillId="59" borderId="66" xfId="0" applyFont="1" applyFill="1" applyBorder="1" applyAlignment="1" applyProtection="1">
      <alignment horizontal="center" vertical="center" wrapText="1"/>
    </xf>
    <xf numFmtId="0" fontId="7" fillId="59" borderId="0" xfId="0" applyFont="1" applyFill="1" applyBorder="1" applyAlignment="1">
      <alignment horizontal="center" vertical="center" wrapText="1"/>
    </xf>
    <xf numFmtId="0" fontId="7" fillId="59" borderId="74" xfId="0" applyFont="1" applyFill="1" applyBorder="1" applyAlignment="1">
      <alignment horizontal="center" vertical="center" wrapText="1"/>
    </xf>
    <xf numFmtId="0" fontId="16" fillId="59" borderId="0" xfId="0" applyFont="1" applyFill="1" applyBorder="1" applyAlignment="1" applyProtection="1">
      <alignment horizontal="center" vertical="center" wrapText="1"/>
    </xf>
    <xf numFmtId="0" fontId="16" fillId="59" borderId="74" xfId="0" applyFont="1" applyFill="1" applyBorder="1" applyAlignment="1" applyProtection="1">
      <alignment horizontal="center" vertical="center" wrapText="1"/>
    </xf>
    <xf numFmtId="0" fontId="59" fillId="0" borderId="258" xfId="0" applyFont="1" applyBorder="1" applyAlignment="1" applyProtection="1">
      <alignment horizontal="center" vertical="center" wrapText="1"/>
    </xf>
    <xf numFmtId="0" fontId="59" fillId="0" borderId="61" xfId="0" applyFont="1" applyBorder="1" applyAlignment="1" applyProtection="1">
      <alignment horizontal="center" vertical="center" wrapText="1"/>
    </xf>
    <xf numFmtId="0" fontId="16" fillId="0" borderId="260" xfId="0" applyFont="1" applyFill="1" applyBorder="1" applyAlignment="1" applyProtection="1">
      <alignment horizontal="center" vertical="center"/>
    </xf>
    <xf numFmtId="0" fontId="59" fillId="0" borderId="209" xfId="0" applyFont="1" applyFill="1" applyBorder="1" applyAlignment="1" applyProtection="1">
      <alignment horizontal="center" vertical="center"/>
    </xf>
    <xf numFmtId="0" fontId="59" fillId="0" borderId="210" xfId="0" applyFont="1" applyFill="1" applyBorder="1" applyAlignment="1" applyProtection="1">
      <alignment horizontal="center" vertical="center"/>
    </xf>
    <xf numFmtId="0" fontId="59" fillId="0" borderId="260" xfId="0" applyFont="1" applyFill="1" applyBorder="1" applyAlignment="1" applyProtection="1">
      <alignment horizontal="center" vertical="center"/>
    </xf>
    <xf numFmtId="0" fontId="59" fillId="0" borderId="209" xfId="0" applyFont="1" applyFill="1" applyBorder="1" applyAlignment="1" applyProtection="1">
      <alignment horizontal="center" vertical="center" wrapText="1"/>
    </xf>
    <xf numFmtId="0" fontId="59" fillId="0" borderId="210" xfId="0" applyFont="1" applyFill="1" applyBorder="1" applyAlignment="1" applyProtection="1">
      <alignment horizontal="center" vertical="center" wrapText="1"/>
    </xf>
    <xf numFmtId="0" fontId="59" fillId="0" borderId="260" xfId="0" applyFont="1" applyFill="1" applyBorder="1" applyAlignment="1" applyProtection="1">
      <alignment horizontal="center" vertical="center" wrapText="1"/>
    </xf>
    <xf numFmtId="178" fontId="87" fillId="59" borderId="209" xfId="0" applyNumberFormat="1" applyFont="1" applyFill="1" applyBorder="1" applyAlignment="1">
      <alignment horizontal="center" vertical="center"/>
    </xf>
    <xf numFmtId="178" fontId="87" fillId="59" borderId="210" xfId="0" applyNumberFormat="1" applyFont="1" applyFill="1" applyBorder="1" applyAlignment="1">
      <alignment horizontal="center" vertical="center"/>
    </xf>
    <xf numFmtId="178" fontId="87" fillId="59" borderId="260" xfId="0" applyNumberFormat="1" applyFont="1" applyFill="1" applyBorder="1" applyAlignment="1">
      <alignment horizontal="center" vertical="center"/>
    </xf>
    <xf numFmtId="178" fontId="87" fillId="0" borderId="209" xfId="0" applyNumberFormat="1" applyFont="1" applyFill="1" applyBorder="1" applyAlignment="1">
      <alignment horizontal="center"/>
    </xf>
    <xf numFmtId="178" fontId="87" fillId="0" borderId="210" xfId="0" applyNumberFormat="1" applyFont="1" applyFill="1" applyBorder="1" applyAlignment="1">
      <alignment horizontal="center"/>
    </xf>
    <xf numFmtId="178" fontId="87" fillId="0" borderId="260" xfId="0" applyNumberFormat="1" applyFont="1" applyFill="1" applyBorder="1" applyAlignment="1">
      <alignment horizontal="center"/>
    </xf>
    <xf numFmtId="2" fontId="166" fillId="59" borderId="209" xfId="0" applyNumberFormat="1" applyFont="1" applyFill="1" applyBorder="1" applyAlignment="1">
      <alignment horizontal="center" vertical="center"/>
    </xf>
    <xf numFmtId="2" fontId="166" fillId="59" borderId="210" xfId="0" applyNumberFormat="1" applyFont="1" applyFill="1" applyBorder="1" applyAlignment="1">
      <alignment horizontal="center" vertical="center"/>
    </xf>
    <xf numFmtId="2" fontId="166" fillId="59" borderId="260" xfId="0" applyNumberFormat="1" applyFont="1" applyFill="1" applyBorder="1" applyAlignment="1">
      <alignment horizontal="center" vertical="center"/>
    </xf>
    <xf numFmtId="178" fontId="59" fillId="0" borderId="176" xfId="0" applyNumberFormat="1" applyFont="1" applyFill="1" applyBorder="1" applyAlignment="1">
      <alignment horizontal="center" vertical="center" wrapText="1"/>
    </xf>
    <xf numFmtId="178" fontId="59" fillId="0" borderId="211" xfId="0" applyNumberFormat="1" applyFont="1" applyFill="1" applyBorder="1" applyAlignment="1">
      <alignment horizontal="center" vertical="center" wrapText="1"/>
    </xf>
    <xf numFmtId="178" fontId="59" fillId="0" borderId="212" xfId="0" applyNumberFormat="1" applyFont="1" applyFill="1" applyBorder="1" applyAlignment="1">
      <alignment horizontal="center" vertical="center" wrapText="1"/>
    </xf>
    <xf numFmtId="178" fontId="16" fillId="0" borderId="209" xfId="0" applyNumberFormat="1" applyFont="1" applyFill="1" applyBorder="1" applyAlignment="1">
      <alignment horizontal="center" vertical="center" wrapText="1"/>
    </xf>
    <xf numFmtId="178" fontId="16" fillId="0" borderId="210" xfId="0" applyNumberFormat="1" applyFont="1" applyFill="1" applyBorder="1" applyAlignment="1">
      <alignment horizontal="center" vertical="center" wrapText="1"/>
    </xf>
    <xf numFmtId="178" fontId="7" fillId="0" borderId="210" xfId="0" applyNumberFormat="1" applyFont="1" applyFill="1" applyBorder="1" applyAlignment="1">
      <alignment horizontal="center" vertical="center" wrapText="1"/>
    </xf>
    <xf numFmtId="178" fontId="0" fillId="0" borderId="210" xfId="0" applyNumberFormat="1" applyBorder="1" applyAlignment="1">
      <alignment horizontal="center" vertical="center" wrapText="1"/>
    </xf>
    <xf numFmtId="178" fontId="0" fillId="0" borderId="260" xfId="0" applyNumberFormat="1" applyBorder="1" applyAlignment="1">
      <alignment horizontal="center" vertical="center" wrapText="1"/>
    </xf>
    <xf numFmtId="178" fontId="87" fillId="59" borderId="209" xfId="0" applyNumberFormat="1" applyFont="1" applyFill="1" applyBorder="1" applyAlignment="1">
      <alignment horizontal="center"/>
    </xf>
    <xf numFmtId="178" fontId="87" fillId="59" borderId="210" xfId="0" applyNumberFormat="1" applyFont="1" applyFill="1" applyBorder="1" applyAlignment="1">
      <alignment horizontal="center"/>
    </xf>
    <xf numFmtId="178" fontId="87" fillId="59" borderId="260" xfId="0" applyNumberFormat="1" applyFont="1" applyFill="1" applyBorder="1" applyAlignment="1">
      <alignment horizontal="center"/>
    </xf>
    <xf numFmtId="2" fontId="165" fillId="59" borderId="209" xfId="0" applyNumberFormat="1" applyFont="1" applyFill="1" applyBorder="1" applyAlignment="1">
      <alignment horizontal="center" vertical="center"/>
    </xf>
    <xf numFmtId="2" fontId="165" fillId="59" borderId="210" xfId="0" applyNumberFormat="1" applyFont="1" applyFill="1" applyBorder="1" applyAlignment="1">
      <alignment horizontal="center" vertical="center"/>
    </xf>
    <xf numFmtId="2" fontId="165" fillId="59" borderId="260" xfId="0" applyNumberFormat="1" applyFont="1" applyFill="1" applyBorder="1" applyAlignment="1">
      <alignment horizontal="center" vertical="center"/>
    </xf>
    <xf numFmtId="4" fontId="166" fillId="0" borderId="272" xfId="0" applyNumberFormat="1" applyFont="1" applyFill="1" applyBorder="1" applyAlignment="1">
      <alignment horizontal="center" vertical="center"/>
    </xf>
    <xf numFmtId="0" fontId="49" fillId="0" borderId="271" xfId="0" applyFont="1" applyBorder="1" applyAlignment="1">
      <alignment horizontal="center" vertical="center"/>
    </xf>
    <xf numFmtId="0" fontId="49" fillId="0" borderId="270" xfId="0" applyFont="1" applyBorder="1" applyAlignment="1">
      <alignment horizontal="center" vertical="center"/>
    </xf>
    <xf numFmtId="4" fontId="165" fillId="59" borderId="209" xfId="0" applyNumberFormat="1" applyFont="1" applyFill="1" applyBorder="1" applyAlignment="1">
      <alignment horizontal="center" vertical="center"/>
    </xf>
    <xf numFmtId="4" fontId="165" fillId="59" borderId="210" xfId="0" applyNumberFormat="1" applyFont="1" applyFill="1" applyBorder="1" applyAlignment="1">
      <alignment horizontal="center" vertical="center"/>
    </xf>
    <xf numFmtId="4" fontId="165" fillId="59" borderId="260" xfId="0" applyNumberFormat="1" applyFont="1" applyFill="1" applyBorder="1" applyAlignment="1">
      <alignment horizontal="center" vertical="center"/>
    </xf>
    <xf numFmtId="178" fontId="166" fillId="0" borderId="272" xfId="0" applyNumberFormat="1" applyFont="1" applyFill="1" applyBorder="1" applyAlignment="1">
      <alignment horizontal="center" vertical="center"/>
    </xf>
    <xf numFmtId="0" fontId="16" fillId="0" borderId="176" xfId="0" applyFont="1" applyFill="1" applyBorder="1" applyAlignment="1" applyProtection="1">
      <alignment horizontal="center" vertical="center" wrapText="1"/>
    </xf>
    <xf numFmtId="0" fontId="16" fillId="0" borderId="211" xfId="0" applyFont="1" applyFill="1" applyBorder="1" applyAlignment="1" applyProtection="1">
      <alignment horizontal="center" vertical="center" wrapText="1"/>
    </xf>
    <xf numFmtId="0" fontId="16" fillId="0" borderId="212" xfId="0" applyFont="1" applyFill="1" applyBorder="1" applyAlignment="1" applyProtection="1">
      <alignment horizontal="center" vertical="center" wrapText="1"/>
    </xf>
    <xf numFmtId="2" fontId="87" fillId="59" borderId="209" xfId="0" applyNumberFormat="1" applyFont="1" applyFill="1" applyBorder="1" applyAlignment="1">
      <alignment horizontal="center" vertical="center"/>
    </xf>
    <xf numFmtId="2" fontId="87" fillId="59" borderId="210" xfId="0" applyNumberFormat="1" applyFont="1" applyFill="1" applyBorder="1" applyAlignment="1">
      <alignment horizontal="center" vertical="center"/>
    </xf>
    <xf numFmtId="2" fontId="87" fillId="59" borderId="260" xfId="0" applyNumberFormat="1" applyFont="1" applyFill="1" applyBorder="1" applyAlignment="1">
      <alignment horizontal="center" vertical="center"/>
    </xf>
    <xf numFmtId="0" fontId="59" fillId="39" borderId="192" xfId="0" applyFont="1" applyFill="1" applyBorder="1" applyAlignment="1">
      <alignment horizontal="center" vertical="center" wrapText="1"/>
    </xf>
    <xf numFmtId="0" fontId="16" fillId="39" borderId="193" xfId="0" applyFont="1" applyFill="1" applyBorder="1" applyAlignment="1">
      <alignment horizontal="center" vertical="center" wrapText="1"/>
    </xf>
    <xf numFmtId="0" fontId="16" fillId="39" borderId="194" xfId="0" applyFont="1" applyFill="1" applyBorder="1" applyAlignment="1">
      <alignment horizontal="center" vertical="center" wrapText="1"/>
    </xf>
    <xf numFmtId="0" fontId="16" fillId="39" borderId="213" xfId="0" applyFont="1" applyFill="1" applyBorder="1" applyAlignment="1">
      <alignment horizontal="center" vertical="center" wrapText="1"/>
    </xf>
    <xf numFmtId="0" fontId="16" fillId="39" borderId="253" xfId="0" applyFont="1" applyFill="1" applyBorder="1" applyAlignment="1">
      <alignment horizontal="center" vertical="center" wrapText="1"/>
    </xf>
    <xf numFmtId="0" fontId="16" fillId="39" borderId="214" xfId="0" applyFont="1" applyFill="1" applyBorder="1" applyAlignment="1">
      <alignment horizontal="center" vertical="center" wrapText="1"/>
    </xf>
    <xf numFmtId="0" fontId="16" fillId="39" borderId="215" xfId="0" applyFont="1" applyFill="1" applyBorder="1" applyAlignment="1">
      <alignment horizontal="center" vertical="center" wrapText="1"/>
    </xf>
    <xf numFmtId="0" fontId="16" fillId="39" borderId="208" xfId="0" applyFont="1" applyFill="1" applyBorder="1" applyAlignment="1">
      <alignment horizontal="center" vertical="center" wrapText="1"/>
    </xf>
    <xf numFmtId="0" fontId="16" fillId="39" borderId="216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 wrapText="1"/>
    </xf>
    <xf numFmtId="0" fontId="16" fillId="39" borderId="199" xfId="0" applyFont="1" applyFill="1" applyBorder="1" applyAlignment="1">
      <alignment horizontal="center" vertical="center" wrapText="1"/>
    </xf>
    <xf numFmtId="0" fontId="0" fillId="39" borderId="192" xfId="0" applyFill="1" applyBorder="1" applyAlignment="1">
      <alignment horizontal="center" vertical="center" wrapText="1"/>
    </xf>
    <xf numFmtId="0" fontId="59" fillId="39" borderId="193" xfId="0" applyFont="1" applyFill="1" applyBorder="1" applyAlignment="1">
      <alignment horizontal="center" vertical="center" wrapText="1"/>
    </xf>
    <xf numFmtId="0" fontId="59" fillId="39" borderId="19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59" fillId="39" borderId="192" xfId="0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wrapText="1"/>
    </xf>
    <xf numFmtId="0" fontId="12" fillId="0" borderId="46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2" fillId="0" borderId="36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6" fillId="29" borderId="192" xfId="0" applyFont="1" applyFill="1" applyBorder="1" applyAlignment="1">
      <alignment horizontal="center" vertical="center"/>
    </xf>
    <xf numFmtId="0" fontId="61" fillId="29" borderId="192" xfId="0" applyFont="1" applyFill="1" applyBorder="1" applyAlignment="1"/>
    <xf numFmtId="0" fontId="12" fillId="37" borderId="193" xfId="0" applyFont="1" applyFill="1" applyBorder="1" applyAlignment="1">
      <alignment horizontal="left" vertical="center" wrapText="1"/>
    </xf>
    <xf numFmtId="0" fontId="12" fillId="37" borderId="194" xfId="0" applyFont="1" applyFill="1" applyBorder="1" applyAlignment="1">
      <alignment horizontal="left" vertical="center" wrapText="1"/>
    </xf>
    <xf numFmtId="0" fontId="128" fillId="39" borderId="193" xfId="0" applyFont="1" applyFill="1" applyBorder="1" applyAlignment="1">
      <alignment horizontal="center" vertical="center" wrapText="1"/>
    </xf>
    <xf numFmtId="0" fontId="128" fillId="39" borderId="194" xfId="0" applyFont="1" applyFill="1" applyBorder="1" applyAlignment="1">
      <alignment horizontal="center" vertical="center" wrapText="1"/>
    </xf>
    <xf numFmtId="171" fontId="59" fillId="37" borderId="192" xfId="85" applyNumberFormat="1" applyFont="1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left" vertical="center" wrapText="1"/>
    </xf>
    <xf numFmtId="0" fontId="59" fillId="37" borderId="192" xfId="0" applyFont="1" applyFill="1" applyBorder="1" applyAlignment="1">
      <alignment horizontal="left" vertical="center" wrapText="1"/>
    </xf>
    <xf numFmtId="0" fontId="16" fillId="25" borderId="192" xfId="0" applyFont="1" applyFill="1" applyBorder="1" applyAlignment="1">
      <alignment horizontal="center" vertical="center" wrapText="1"/>
    </xf>
    <xf numFmtId="0" fontId="0" fillId="37" borderId="192" xfId="0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59" fillId="43" borderId="192" xfId="0" applyFont="1" applyFill="1" applyBorder="1" applyAlignment="1">
      <alignment horizontal="left" vertical="center" wrapText="1"/>
    </xf>
    <xf numFmtId="0" fontId="59" fillId="39" borderId="194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37" borderId="205" xfId="0" applyFont="1" applyFill="1" applyBorder="1" applyAlignment="1">
      <alignment horizontal="left" vertical="center" wrapText="1"/>
    </xf>
    <xf numFmtId="2" fontId="59" fillId="39" borderId="192" xfId="0" applyNumberFormat="1" applyFont="1" applyFill="1" applyBorder="1" applyAlignment="1">
      <alignment horizontal="left" vertical="center" wrapText="1"/>
    </xf>
    <xf numFmtId="0" fontId="59" fillId="39" borderId="192" xfId="0" applyFont="1" applyFill="1" applyBorder="1" applyAlignment="1">
      <alignment horizontal="left" vertical="center" wrapText="1"/>
    </xf>
    <xf numFmtId="0" fontId="60" fillId="37" borderId="213" xfId="0" applyFont="1" applyFill="1" applyBorder="1" applyAlignment="1">
      <alignment horizontal="left" vertical="center" wrapText="1"/>
    </xf>
    <xf numFmtId="0" fontId="60" fillId="37" borderId="214" xfId="0" applyFont="1" applyFill="1" applyBorder="1" applyAlignment="1">
      <alignment horizontal="left" vertical="center" wrapText="1"/>
    </xf>
    <xf numFmtId="0" fontId="60" fillId="37" borderId="215" xfId="0" applyFont="1" applyFill="1" applyBorder="1" applyAlignment="1">
      <alignment horizontal="left" vertical="center" wrapText="1"/>
    </xf>
    <xf numFmtId="0" fontId="60" fillId="37" borderId="216" xfId="0" applyFont="1" applyFill="1" applyBorder="1" applyAlignment="1">
      <alignment horizontal="left" vertical="center" wrapText="1"/>
    </xf>
    <xf numFmtId="0" fontId="59" fillId="0" borderId="128" xfId="0" applyFont="1" applyBorder="1" applyAlignment="1">
      <alignment horizontal="center" vertical="center" wrapText="1"/>
    </xf>
    <xf numFmtId="0" fontId="59" fillId="0" borderId="129" xfId="0" applyFont="1" applyBorder="1" applyAlignment="1">
      <alignment horizontal="center" vertical="center" wrapText="1"/>
    </xf>
    <xf numFmtId="0" fontId="59" fillId="0" borderId="130" xfId="0" applyFont="1" applyBorder="1" applyAlignment="1">
      <alignment horizontal="center" vertical="center" wrapText="1"/>
    </xf>
    <xf numFmtId="0" fontId="59" fillId="0" borderId="132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74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left" vertical="center" wrapText="1"/>
    </xf>
    <xf numFmtId="0" fontId="59" fillId="0" borderId="1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center" vertical="center" wrapText="1"/>
    </xf>
    <xf numFmtId="0" fontId="59" fillId="0" borderId="134" xfId="0" applyFont="1" applyBorder="1" applyAlignment="1">
      <alignment horizontal="center" vertical="center" wrapText="1"/>
    </xf>
    <xf numFmtId="0" fontId="59" fillId="0" borderId="54" xfId="0" applyFont="1" applyBorder="1" applyAlignment="1">
      <alignment horizontal="center" vertical="center" wrapText="1"/>
    </xf>
    <xf numFmtId="0" fontId="16" fillId="29" borderId="52" xfId="0" applyFont="1" applyFill="1" applyBorder="1" applyAlignment="1">
      <alignment horizontal="center" vertical="center"/>
    </xf>
    <xf numFmtId="0" fontId="61" fillId="29" borderId="53" xfId="0" applyFont="1" applyFill="1" applyBorder="1" applyAlignment="1"/>
    <xf numFmtId="0" fontId="61" fillId="29" borderId="55" xfId="0" applyFont="1" applyFill="1" applyBorder="1" applyAlignment="1"/>
    <xf numFmtId="0" fontId="61" fillId="29" borderId="59" xfId="0" applyFont="1" applyFill="1" applyBorder="1" applyAlignment="1"/>
    <xf numFmtId="0" fontId="59" fillId="0" borderId="16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2" fillId="0" borderId="68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left" vertical="center" wrapText="1"/>
    </xf>
    <xf numFmtId="0" fontId="59" fillId="0" borderId="92" xfId="0" applyFont="1" applyBorder="1" applyAlignment="1">
      <alignment horizontal="center" vertical="center" wrapText="1"/>
    </xf>
    <xf numFmtId="0" fontId="59" fillId="0" borderId="87" xfId="0" applyFont="1" applyBorder="1" applyAlignment="1">
      <alignment horizontal="center" vertical="center" wrapText="1"/>
    </xf>
    <xf numFmtId="0" fontId="59" fillId="0" borderId="131" xfId="0" applyFont="1" applyBorder="1" applyAlignment="1">
      <alignment horizontal="center" vertical="center" wrapText="1"/>
    </xf>
    <xf numFmtId="0" fontId="0" fillId="0" borderId="133" xfId="0" applyBorder="1" applyAlignment="1">
      <alignment horizontal="center"/>
    </xf>
    <xf numFmtId="0" fontId="16" fillId="0" borderId="73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59" fillId="0" borderId="14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2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6" fillId="25" borderId="54" xfId="0" applyFont="1" applyFill="1" applyBorder="1" applyAlignment="1">
      <alignment horizontal="center" vertical="center" wrapText="1"/>
    </xf>
    <xf numFmtId="0" fontId="16" fillId="25" borderId="0" xfId="0" applyFont="1" applyFill="1" applyBorder="1" applyAlignment="1">
      <alignment horizontal="center" vertical="center" wrapText="1"/>
    </xf>
    <xf numFmtId="0" fontId="16" fillId="25" borderId="60" xfId="0" applyFont="1" applyFill="1" applyBorder="1" applyAlignment="1">
      <alignment horizontal="center" vertical="center" wrapText="1"/>
    </xf>
    <xf numFmtId="0" fontId="12" fillId="0" borderId="148" xfId="0" applyFont="1" applyBorder="1" applyAlignment="1">
      <alignment horizontal="left" vertical="center" wrapText="1"/>
    </xf>
    <xf numFmtId="0" fontId="12" fillId="0" borderId="113" xfId="0" applyFont="1" applyBorder="1" applyAlignment="1">
      <alignment horizontal="left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 wrapText="1"/>
    </xf>
    <xf numFmtId="0" fontId="16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0" borderId="91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59" fillId="0" borderId="65" xfId="0" applyFont="1" applyBorder="1" applyAlignment="1">
      <alignment horizontal="center" vertical="center"/>
    </xf>
    <xf numFmtId="0" fontId="59" fillId="0" borderId="88" xfId="0" applyFont="1" applyBorder="1" applyAlignment="1">
      <alignment horizontal="center" vertical="center"/>
    </xf>
    <xf numFmtId="0" fontId="59" fillId="0" borderId="116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0" fontId="59" fillId="0" borderId="146" xfId="0" applyFont="1" applyBorder="1" applyAlignment="1">
      <alignment horizontal="center" vertical="center" wrapText="1"/>
    </xf>
    <xf numFmtId="0" fontId="59" fillId="0" borderId="144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 vertical="center" wrapText="1"/>
    </xf>
    <xf numFmtId="0" fontId="59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9" fontId="12" fillId="0" borderId="0" xfId="85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27" borderId="205" xfId="0" applyNumberFormat="1" applyFont="1" applyFill="1" applyBorder="1" applyAlignment="1">
      <alignment horizontal="center" vertical="center"/>
    </xf>
    <xf numFmtId="168" fontId="47" fillId="27" borderId="206" xfId="0" applyNumberFormat="1" applyFont="1" applyFill="1" applyBorder="1" applyAlignment="1">
      <alignment horizontal="center" vertical="center"/>
    </xf>
    <xf numFmtId="2" fontId="47" fillId="27" borderId="205" xfId="0" applyNumberFormat="1" applyFont="1" applyFill="1" applyBorder="1" applyAlignment="1">
      <alignment horizontal="center" vertical="center"/>
    </xf>
    <xf numFmtId="2" fontId="47" fillId="27" borderId="206" xfId="0" applyNumberFormat="1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 vertical="center" wrapText="1"/>
    </xf>
    <xf numFmtId="0" fontId="47" fillId="27" borderId="193" xfId="0" applyFont="1" applyFill="1" applyBorder="1" applyAlignment="1">
      <alignment horizontal="center" vertical="center" wrapText="1"/>
    </xf>
    <xf numFmtId="0" fontId="12" fillId="27" borderId="210" xfId="0" applyFont="1" applyFill="1" applyBorder="1" applyAlignment="1">
      <alignment horizontal="center"/>
    </xf>
    <xf numFmtId="0" fontId="12" fillId="27" borderId="204" xfId="0" applyFont="1" applyFill="1" applyBorder="1" applyAlignment="1">
      <alignment horizontal="center"/>
    </xf>
    <xf numFmtId="0" fontId="134" fillId="0" borderId="0" xfId="0" applyFont="1" applyAlignment="1">
      <alignment horizontal="center"/>
    </xf>
    <xf numFmtId="0" fontId="54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2" fillId="27" borderId="209" xfId="0" applyFont="1" applyFill="1" applyBorder="1" applyAlignment="1">
      <alignment horizontal="center" vertical="center" wrapText="1"/>
    </xf>
    <xf numFmtId="0" fontId="12" fillId="27" borderId="204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46" borderId="210" xfId="0" applyFont="1" applyFill="1" applyBorder="1" applyAlignment="1">
      <alignment horizontal="center"/>
    </xf>
    <xf numFmtId="0" fontId="12" fillId="46" borderId="204" xfId="0" applyFont="1" applyFill="1" applyBorder="1" applyAlignment="1">
      <alignment horizontal="center"/>
    </xf>
    <xf numFmtId="0" fontId="12" fillId="45" borderId="211" xfId="0" applyFont="1" applyFill="1" applyBorder="1" applyAlignment="1">
      <alignment horizontal="center"/>
    </xf>
    <xf numFmtId="0" fontId="12" fillId="45" borderId="212" xfId="0" applyFont="1" applyFill="1" applyBorder="1" applyAlignment="1">
      <alignment horizontal="center"/>
    </xf>
    <xf numFmtId="0" fontId="12" fillId="45" borderId="0" xfId="0" applyFont="1" applyFill="1" applyBorder="1" applyAlignment="1">
      <alignment horizontal="center"/>
    </xf>
    <xf numFmtId="0" fontId="12" fillId="45" borderId="74" xfId="0" applyFont="1" applyFill="1" applyBorder="1" applyAlignment="1">
      <alignment horizontal="center"/>
    </xf>
    <xf numFmtId="0" fontId="12" fillId="45" borderId="36" xfId="0" applyFont="1" applyFill="1" applyBorder="1" applyAlignment="1">
      <alignment horizontal="center"/>
    </xf>
    <xf numFmtId="0" fontId="12" fillId="45" borderId="31" xfId="0" applyFont="1" applyFill="1" applyBorder="1" applyAlignment="1">
      <alignment horizontal="center"/>
    </xf>
    <xf numFmtId="4" fontId="47" fillId="38" borderId="193" xfId="0" applyNumberFormat="1" applyFont="1" applyFill="1" applyBorder="1" applyAlignment="1">
      <alignment horizontal="center" vertical="center" wrapText="1"/>
    </xf>
    <xf numFmtId="4" fontId="47" fillId="38" borderId="199" xfId="0" applyNumberFormat="1" applyFont="1" applyFill="1" applyBorder="1" applyAlignment="1">
      <alignment horizontal="center" vertical="center" wrapText="1"/>
    </xf>
    <xf numFmtId="4" fontId="47" fillId="38" borderId="194" xfId="0" applyNumberFormat="1" applyFont="1" applyFill="1" applyBorder="1" applyAlignment="1">
      <alignment horizontal="center" vertical="center" wrapText="1"/>
    </xf>
    <xf numFmtId="0" fontId="47" fillId="39" borderId="192" xfId="0" applyFont="1" applyFill="1" applyBorder="1" applyAlignment="1">
      <alignment horizontal="center" vertical="center" wrapText="1"/>
    </xf>
    <xf numFmtId="178" fontId="47" fillId="37" borderId="192" xfId="0" applyNumberFormat="1" applyFont="1" applyFill="1" applyBorder="1" applyAlignment="1">
      <alignment horizontal="center" vertical="center" wrapText="1"/>
    </xf>
    <xf numFmtId="4" fontId="47" fillId="38" borderId="192" xfId="0" applyNumberFormat="1" applyFont="1" applyFill="1" applyBorder="1" applyAlignment="1">
      <alignment horizontal="center" vertical="center" wrapText="1"/>
    </xf>
    <xf numFmtId="178" fontId="47" fillId="37" borderId="193" xfId="0" applyNumberFormat="1" applyFont="1" applyFill="1" applyBorder="1" applyAlignment="1">
      <alignment horizontal="center" vertical="center" wrapText="1"/>
    </xf>
    <xf numFmtId="178" fontId="47" fillId="37" borderId="199" xfId="0" applyNumberFormat="1" applyFont="1" applyFill="1" applyBorder="1" applyAlignment="1">
      <alignment horizontal="center" vertical="center" wrapText="1"/>
    </xf>
    <xf numFmtId="178" fontId="47" fillId="37" borderId="19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4" fillId="0" borderId="208" xfId="0" applyFont="1" applyBorder="1" applyAlignment="1">
      <alignment horizontal="left" vertical="center"/>
    </xf>
    <xf numFmtId="0" fontId="12" fillId="39" borderId="233" xfId="0" applyFont="1" applyFill="1" applyBorder="1" applyAlignment="1">
      <alignment horizontal="center" vertical="center" wrapText="1"/>
    </xf>
    <xf numFmtId="0" fontId="12" fillId="39" borderId="222" xfId="0" applyFont="1" applyFill="1" applyBorder="1" applyAlignment="1">
      <alignment horizontal="center" vertical="center" wrapText="1"/>
    </xf>
    <xf numFmtId="0" fontId="12" fillId="39" borderId="250" xfId="0" applyFont="1" applyFill="1" applyBorder="1" applyAlignment="1">
      <alignment horizontal="center" vertical="center" wrapText="1"/>
    </xf>
    <xf numFmtId="0" fontId="12" fillId="39" borderId="220" xfId="0" applyFont="1" applyFill="1" applyBorder="1" applyAlignment="1">
      <alignment horizontal="center" vertical="center" wrapText="1"/>
    </xf>
    <xf numFmtId="0" fontId="12" fillId="39" borderId="243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51" fillId="0" borderId="55" xfId="0" applyFont="1" applyBorder="1" applyAlignment="1">
      <alignment horizontal="left"/>
    </xf>
    <xf numFmtId="0" fontId="12" fillId="39" borderId="234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horizontal="center" vertical="center"/>
    </xf>
    <xf numFmtId="0" fontId="12" fillId="39" borderId="248" xfId="0" applyFont="1" applyFill="1" applyBorder="1" applyAlignment="1">
      <alignment horizontal="center" vertical="center" wrapText="1"/>
    </xf>
    <xf numFmtId="0" fontId="12" fillId="39" borderId="249" xfId="0" applyFont="1" applyFill="1" applyBorder="1" applyAlignment="1">
      <alignment horizontal="center" vertical="center" wrapText="1"/>
    </xf>
    <xf numFmtId="0" fontId="12" fillId="39" borderId="235" xfId="0" applyFont="1" applyFill="1" applyBorder="1" applyAlignment="1">
      <alignment horizontal="center" vertical="center"/>
    </xf>
    <xf numFmtId="0" fontId="12" fillId="39" borderId="233" xfId="0" applyFont="1" applyFill="1" applyBorder="1" applyAlignment="1">
      <alignment horizontal="center" vertical="center"/>
    </xf>
    <xf numFmtId="0" fontId="12" fillId="39" borderId="222" xfId="0" applyFont="1" applyFill="1" applyBorder="1" applyAlignment="1">
      <alignment horizontal="center" vertical="center"/>
    </xf>
    <xf numFmtId="0" fontId="12" fillId="39" borderId="236" xfId="0" applyFont="1" applyFill="1" applyBorder="1" applyAlignment="1">
      <alignment horizontal="center" vertical="center"/>
    </xf>
    <xf numFmtId="0" fontId="12" fillId="39" borderId="22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2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5" fillId="39" borderId="193" xfId="0" applyFont="1" applyFill="1" applyBorder="1" applyAlignment="1">
      <alignment horizontal="center"/>
    </xf>
    <xf numFmtId="0" fontId="15" fillId="39" borderId="199" xfId="0" applyFont="1" applyFill="1" applyBorder="1" applyAlignment="1">
      <alignment horizontal="center"/>
    </xf>
    <xf numFmtId="0" fontId="15" fillId="39" borderId="194" xfId="0" applyFont="1" applyFill="1" applyBorder="1" applyAlignment="1">
      <alignment horizontal="center"/>
    </xf>
    <xf numFmtId="0" fontId="15" fillId="39" borderId="192" xfId="0" applyFont="1" applyFill="1" applyBorder="1" applyAlignment="1">
      <alignment horizontal="center"/>
    </xf>
    <xf numFmtId="0" fontId="15" fillId="0" borderId="192" xfId="0" applyFont="1" applyFill="1" applyBorder="1" applyAlignment="1">
      <alignment horizontal="center"/>
    </xf>
    <xf numFmtId="0" fontId="12" fillId="39" borderId="205" xfId="0" applyFont="1" applyFill="1" applyBorder="1" applyAlignment="1">
      <alignment horizontal="center" vertical="center"/>
    </xf>
    <xf numFmtId="0" fontId="12" fillId="39" borderId="206" xfId="0" applyFont="1" applyFill="1" applyBorder="1" applyAlignment="1">
      <alignment horizontal="center" vertical="center"/>
    </xf>
    <xf numFmtId="0" fontId="80" fillId="0" borderId="227" xfId="0" applyFont="1" applyBorder="1" applyAlignment="1">
      <alignment horizontal="center" vertical="center"/>
    </xf>
    <xf numFmtId="0" fontId="80" fillId="0" borderId="208" xfId="0" applyFont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77" fillId="39" borderId="192" xfId="0" applyFont="1" applyFill="1" applyBorder="1" applyAlignment="1">
      <alignment horizontal="center" vertical="center" wrapText="1"/>
    </xf>
    <xf numFmtId="0" fontId="7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/>
    </xf>
    <xf numFmtId="0" fontId="17" fillId="39" borderId="192" xfId="0" applyFont="1" applyFill="1" applyBorder="1" applyAlignment="1">
      <alignment horizontal="center" vertical="center" wrapText="1"/>
    </xf>
    <xf numFmtId="0" fontId="57" fillId="39" borderId="192" xfId="0" applyFont="1" applyFill="1" applyBorder="1" applyAlignment="1">
      <alignment horizontal="center" vertical="center" wrapText="1"/>
    </xf>
    <xf numFmtId="0" fontId="17" fillId="39" borderId="193" xfId="0" applyFont="1" applyFill="1" applyBorder="1" applyAlignment="1">
      <alignment horizontal="center" vertical="center" wrapText="1"/>
    </xf>
    <xf numFmtId="0" fontId="17" fillId="39" borderId="199" xfId="0" applyFont="1" applyFill="1" applyBorder="1" applyAlignment="1">
      <alignment horizontal="center" vertical="center" wrapText="1"/>
    </xf>
    <xf numFmtId="0" fontId="17" fillId="39" borderId="194" xfId="0" applyFont="1" applyFill="1" applyBorder="1" applyAlignment="1">
      <alignment horizontal="center" vertical="center" wrapText="1"/>
    </xf>
    <xf numFmtId="0" fontId="15" fillId="39" borderId="193" xfId="0" applyFont="1" applyFill="1" applyBorder="1" applyAlignment="1">
      <alignment horizontal="center" vertical="center" wrapText="1"/>
    </xf>
    <xf numFmtId="0" fontId="15" fillId="39" borderId="199" xfId="0" applyFont="1" applyFill="1" applyBorder="1" applyAlignment="1">
      <alignment horizontal="center" vertical="center" wrapText="1"/>
    </xf>
    <xf numFmtId="0" fontId="15" fillId="39" borderId="194" xfId="0" applyFont="1" applyFill="1" applyBorder="1" applyAlignment="1">
      <alignment horizontal="center" vertical="center" wrapText="1"/>
    </xf>
    <xf numFmtId="0" fontId="60" fillId="39" borderId="192" xfId="0" applyFont="1" applyFill="1" applyBorder="1" applyAlignment="1">
      <alignment horizontal="center" vertical="center" wrapText="1"/>
    </xf>
    <xf numFmtId="0" fontId="49" fillId="39" borderId="192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7" fillId="25" borderId="26" xfId="0" applyFont="1" applyFill="1" applyBorder="1" applyAlignment="1">
      <alignment horizontal="center"/>
    </xf>
    <xf numFmtId="0" fontId="7" fillId="25" borderId="0" xfId="0" applyFont="1" applyFill="1" applyBorder="1" applyAlignment="1">
      <alignment horizontal="center"/>
    </xf>
    <xf numFmtId="0" fontId="7" fillId="25" borderId="36" xfId="0" applyFont="1" applyFill="1" applyBorder="1" applyAlignment="1">
      <alignment horizontal="center"/>
    </xf>
    <xf numFmtId="0" fontId="7" fillId="25" borderId="25" xfId="0" applyFont="1" applyFill="1" applyBorder="1" applyAlignment="1">
      <alignment horizontal="center"/>
    </xf>
    <xf numFmtId="0" fontId="7" fillId="25" borderId="28" xfId="0" applyFont="1" applyFill="1" applyBorder="1" applyAlignment="1">
      <alignment horizontal="center"/>
    </xf>
    <xf numFmtId="0" fontId="16" fillId="39" borderId="192" xfId="0" applyFont="1" applyFill="1" applyBorder="1"/>
    <xf numFmtId="0" fontId="11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/>
    <xf numFmtId="0" fontId="16" fillId="39" borderId="192" xfId="0" applyFont="1" applyFill="1" applyBorder="1" applyAlignment="1"/>
    <xf numFmtId="0" fontId="11" fillId="39" borderId="192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59" fillId="39" borderId="205" xfId="0" applyFont="1" applyFill="1" applyBorder="1" applyAlignment="1">
      <alignment horizontal="center" vertical="center"/>
    </xf>
    <xf numFmtId="0" fontId="59" fillId="39" borderId="206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178" fontId="12" fillId="43" borderId="192" xfId="96" applyNumberFormat="1" applyFont="1" applyFill="1" applyBorder="1" applyAlignment="1">
      <alignment horizontal="center" vertical="center" wrapText="1"/>
    </xf>
    <xf numFmtId="0" fontId="12" fillId="27" borderId="193" xfId="96" applyFont="1" applyFill="1" applyBorder="1" applyAlignment="1">
      <alignment horizontal="center" vertical="center" wrapText="1"/>
    </xf>
    <xf numFmtId="0" fontId="12" fillId="27" borderId="199" xfId="96" applyFont="1" applyFill="1" applyBorder="1" applyAlignment="1">
      <alignment horizontal="center" vertical="center" wrapText="1"/>
    </xf>
    <xf numFmtId="0" fontId="12" fillId="27" borderId="194" xfId="96" applyFont="1" applyFill="1" applyBorder="1" applyAlignment="1">
      <alignment horizontal="center" vertical="center" wrapText="1"/>
    </xf>
    <xf numFmtId="4" fontId="139" fillId="43" borderId="205" xfId="96" applyNumberFormat="1" applyFont="1" applyFill="1" applyBorder="1" applyAlignment="1">
      <alignment horizontal="center" vertical="center" wrapText="1"/>
    </xf>
    <xf numFmtId="4" fontId="139" fillId="43" borderId="207" xfId="96" applyNumberFormat="1" applyFont="1" applyFill="1" applyBorder="1" applyAlignment="1">
      <alignment horizontal="center" vertical="center" wrapText="1"/>
    </xf>
    <xf numFmtId="4" fontId="139" fillId="43" borderId="206" xfId="96" applyNumberFormat="1" applyFont="1" applyFill="1" applyBorder="1" applyAlignment="1">
      <alignment horizontal="center" vertical="center" wrapText="1"/>
    </xf>
    <xf numFmtId="4" fontId="139" fillId="39" borderId="205" xfId="96" applyNumberFormat="1" applyFont="1" applyFill="1" applyBorder="1" applyAlignment="1">
      <alignment horizontal="center" vertical="center" wrapText="1"/>
    </xf>
    <xf numFmtId="4" fontId="139" fillId="39" borderId="207" xfId="96" applyNumberFormat="1" applyFont="1" applyFill="1" applyBorder="1" applyAlignment="1">
      <alignment horizontal="center" vertical="center" wrapText="1"/>
    </xf>
    <xf numFmtId="4" fontId="139" fillId="39" borderId="206" xfId="96" applyNumberFormat="1" applyFont="1" applyFill="1" applyBorder="1" applyAlignment="1">
      <alignment horizontal="center" vertical="center" wrapText="1"/>
    </xf>
    <xf numFmtId="0" fontId="13" fillId="43" borderId="205" xfId="96" applyFont="1" applyFill="1" applyBorder="1" applyAlignment="1">
      <alignment horizontal="center" vertical="center" wrapText="1"/>
    </xf>
    <xf numFmtId="0" fontId="13" fillId="43" borderId="207" xfId="96" applyFont="1" applyFill="1" applyBorder="1" applyAlignment="1">
      <alignment horizontal="center" vertical="center" wrapText="1"/>
    </xf>
    <xf numFmtId="0" fontId="13" fillId="43" borderId="206" xfId="96" applyFont="1" applyFill="1" applyBorder="1" applyAlignment="1">
      <alignment horizontal="center" vertical="center" wrapText="1"/>
    </xf>
    <xf numFmtId="0" fontId="12" fillId="43" borderId="192" xfId="96" applyFont="1" applyFill="1" applyBorder="1" applyAlignment="1">
      <alignment horizontal="center" vertical="center" wrapText="1"/>
    </xf>
    <xf numFmtId="0" fontId="16" fillId="24" borderId="0" xfId="96" applyFont="1" applyFill="1" applyAlignment="1">
      <alignment horizontal="center"/>
    </xf>
    <xf numFmtId="0" fontId="12" fillId="27" borderId="205" xfId="96" applyFont="1" applyFill="1" applyBorder="1" applyAlignment="1">
      <alignment horizontal="center" vertical="center" wrapText="1"/>
    </xf>
    <xf numFmtId="0" fontId="12" fillId="27" borderId="207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178" fontId="12" fillId="43" borderId="193" xfId="96" applyNumberFormat="1" applyFont="1" applyFill="1" applyBorder="1" applyAlignment="1">
      <alignment horizontal="center" vertical="center" wrapText="1"/>
    </xf>
    <xf numFmtId="0" fontId="12" fillId="27" borderId="213" xfId="96" applyFont="1" applyFill="1" applyBorder="1" applyAlignment="1">
      <alignment horizontal="center" vertical="center" wrapText="1"/>
    </xf>
    <xf numFmtId="0" fontId="12" fillId="27" borderId="225" xfId="96" applyFont="1" applyFill="1" applyBorder="1" applyAlignment="1">
      <alignment horizontal="center" vertical="center" wrapText="1"/>
    </xf>
    <xf numFmtId="0" fontId="12" fillId="27" borderId="215" xfId="96" applyFont="1" applyFill="1" applyBorder="1" applyAlignment="1">
      <alignment horizontal="center" vertical="center" wrapText="1"/>
    </xf>
    <xf numFmtId="0" fontId="11" fillId="35" borderId="205" xfId="96" applyFont="1" applyFill="1" applyBorder="1" applyAlignment="1">
      <alignment horizontal="center" vertical="center"/>
    </xf>
    <xf numFmtId="0" fontId="11" fillId="35" borderId="207" xfId="96" applyFont="1" applyFill="1" applyBorder="1" applyAlignment="1">
      <alignment horizontal="center" vertical="center"/>
    </xf>
    <xf numFmtId="0" fontId="11" fillId="35" borderId="206" xfId="96" applyFont="1" applyFill="1" applyBorder="1" applyAlignment="1">
      <alignment horizontal="center" vertical="center"/>
    </xf>
    <xf numFmtId="0" fontId="12" fillId="27" borderId="253" xfId="96" applyFont="1" applyFill="1" applyBorder="1" applyAlignment="1">
      <alignment horizontal="center" vertical="center" wrapText="1"/>
    </xf>
    <xf numFmtId="0" fontId="12" fillId="27" borderId="214" xfId="96" applyFont="1" applyFill="1" applyBorder="1" applyAlignment="1">
      <alignment horizontal="center" vertical="center" wrapText="1"/>
    </xf>
    <xf numFmtId="4" fontId="139" fillId="43" borderId="213" xfId="96" applyNumberFormat="1" applyFont="1" applyFill="1" applyBorder="1" applyAlignment="1">
      <alignment horizontal="center" vertical="center" wrapText="1"/>
    </xf>
    <xf numFmtId="4" fontId="139" fillId="43" borderId="225" xfId="96" applyNumberFormat="1" applyFont="1" applyFill="1" applyBorder="1" applyAlignment="1">
      <alignment horizontal="center" vertical="center" wrapText="1"/>
    </xf>
    <xf numFmtId="4" fontId="139" fillId="43" borderId="215" xfId="96" applyNumberFormat="1" applyFont="1" applyFill="1" applyBorder="1" applyAlignment="1">
      <alignment horizontal="center"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138" fillId="43" borderId="205" xfId="96" applyFont="1" applyFill="1" applyBorder="1" applyAlignment="1">
      <alignment horizontal="center" vertical="center"/>
    </xf>
    <xf numFmtId="0" fontId="138" fillId="43" borderId="207" xfId="96" applyFont="1" applyFill="1" applyBorder="1" applyAlignment="1">
      <alignment horizontal="center" vertical="center"/>
    </xf>
    <xf numFmtId="0" fontId="138" fillId="43" borderId="206" xfId="96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left" vertical="center" wrapText="1"/>
    </xf>
    <xf numFmtId="0" fontId="0" fillId="39" borderId="192" xfId="0" applyFont="1" applyFill="1" applyBorder="1" applyAlignment="1">
      <alignment horizontal="left" vertical="center" wrapText="1"/>
    </xf>
    <xf numFmtId="0" fontId="116" fillId="39" borderId="192" xfId="0" applyFont="1" applyFill="1" applyBorder="1" applyAlignment="1">
      <alignment horizontal="left" vertical="center" wrapText="1"/>
    </xf>
    <xf numFmtId="0" fontId="117" fillId="39" borderId="192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vertical="center" wrapText="1"/>
    </xf>
    <xf numFmtId="0" fontId="0" fillId="39" borderId="192" xfId="0" applyFont="1" applyFill="1" applyBorder="1" applyAlignment="1">
      <alignment vertical="center" wrapText="1"/>
    </xf>
    <xf numFmtId="0" fontId="0" fillId="39" borderId="192" xfId="0" applyFont="1" applyFill="1" applyBorder="1" applyAlignment="1"/>
    <xf numFmtId="168" fontId="12" fillId="39" borderId="192" xfId="0" applyNumberFormat="1" applyFont="1" applyFill="1" applyBorder="1" applyAlignment="1">
      <alignment vertical="center" wrapText="1"/>
    </xf>
    <xf numFmtId="168" fontId="0" fillId="39" borderId="192" xfId="0" applyNumberFormat="1" applyFont="1" applyFill="1" applyBorder="1" applyAlignment="1">
      <alignment vertical="center" wrapText="1"/>
    </xf>
    <xf numFmtId="0" fontId="56" fillId="0" borderId="0" xfId="0" applyFont="1" applyAlignment="1">
      <alignment horizontal="center"/>
    </xf>
    <xf numFmtId="0" fontId="16" fillId="39" borderId="192" xfId="0" applyFont="1" applyFill="1" applyBorder="1" applyAlignment="1">
      <alignment horizontal="center"/>
    </xf>
    <xf numFmtId="0" fontId="59" fillId="39" borderId="207" xfId="0" applyFont="1" applyFill="1" applyBorder="1" applyAlignment="1">
      <alignment horizontal="center" vertical="center"/>
    </xf>
    <xf numFmtId="0" fontId="16" fillId="39" borderId="193" xfId="0" applyFont="1" applyFill="1" applyBorder="1" applyAlignment="1">
      <alignment horizontal="center"/>
    </xf>
    <xf numFmtId="0" fontId="16" fillId="39" borderId="199" xfId="0" applyFont="1" applyFill="1" applyBorder="1" applyAlignment="1">
      <alignment horizontal="center"/>
    </xf>
    <xf numFmtId="0" fontId="16" fillId="39" borderId="194" xfId="0" applyFont="1" applyFill="1" applyBorder="1" applyAlignment="1">
      <alignment horizontal="center"/>
    </xf>
    <xf numFmtId="0" fontId="59" fillId="39" borderId="205" xfId="0" applyFont="1" applyFill="1" applyBorder="1" applyAlignment="1">
      <alignment horizontal="center" vertical="center" wrapText="1"/>
    </xf>
    <xf numFmtId="0" fontId="59" fillId="39" borderId="207" xfId="0" applyFont="1" applyFill="1" applyBorder="1" applyAlignment="1">
      <alignment horizontal="center" vertical="center" wrapText="1"/>
    </xf>
    <xf numFmtId="0" fontId="59" fillId="39" borderId="206" xfId="0" applyFont="1" applyFill="1" applyBorder="1" applyAlignment="1">
      <alignment horizontal="center" vertical="center" wrapText="1"/>
    </xf>
    <xf numFmtId="0" fontId="0" fillId="39" borderId="192" xfId="0" applyFont="1" applyFill="1" applyBorder="1" applyAlignment="1">
      <alignment horizontal="center" vertical="center"/>
    </xf>
    <xf numFmtId="0" fontId="13" fillId="39" borderId="192" xfId="0" applyFont="1" applyFill="1" applyBorder="1" applyAlignment="1">
      <alignment horizontal="left" vertical="center" wrapText="1"/>
    </xf>
    <xf numFmtId="0" fontId="12" fillId="37" borderId="199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vertical="center"/>
    </xf>
    <xf numFmtId="0" fontId="0" fillId="39" borderId="192" xfId="0" applyFill="1" applyBorder="1" applyAlignment="1"/>
    <xf numFmtId="0" fontId="17" fillId="0" borderId="0" xfId="0" applyFont="1" applyAlignment="1">
      <alignment horizontal="center"/>
    </xf>
    <xf numFmtId="0" fontId="116" fillId="39" borderId="192" xfId="0" applyFont="1" applyFill="1" applyBorder="1" applyAlignment="1">
      <alignment vertical="center" wrapText="1"/>
    </xf>
    <xf numFmtId="0" fontId="117" fillId="39" borderId="192" xfId="0" applyFont="1" applyFill="1" applyBorder="1" applyAlignment="1">
      <alignment vertical="center" wrapText="1"/>
    </xf>
    <xf numFmtId="0" fontId="0" fillId="39" borderId="192" xfId="0" applyFill="1" applyBorder="1" applyAlignment="1">
      <alignment vertical="center" wrapText="1"/>
    </xf>
    <xf numFmtId="0" fontId="91" fillId="39" borderId="192" xfId="0" applyFont="1" applyFill="1" applyBorder="1" applyAlignment="1">
      <alignment vertical="center" wrapText="1"/>
    </xf>
    <xf numFmtId="0" fontId="88" fillId="39" borderId="192" xfId="0" applyFont="1" applyFill="1" applyBorder="1" applyAlignment="1">
      <alignment vertical="center" wrapText="1"/>
    </xf>
    <xf numFmtId="0" fontId="59" fillId="30" borderId="126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59" fillId="30" borderId="126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 wrapText="1"/>
    </xf>
    <xf numFmtId="0" fontId="59" fillId="30" borderId="123" xfId="0" applyFont="1" applyFill="1" applyBorder="1" applyAlignment="1">
      <alignment horizontal="center" vertical="center" wrapText="1"/>
    </xf>
    <xf numFmtId="0" fontId="59" fillId="30" borderId="125" xfId="0" applyFont="1" applyFill="1" applyBorder="1" applyAlignment="1">
      <alignment horizontal="center" vertical="center" wrapText="1"/>
    </xf>
    <xf numFmtId="0" fontId="59" fillId="31" borderId="66" xfId="0" applyFont="1" applyFill="1" applyBorder="1" applyAlignment="1">
      <alignment vertical="center"/>
    </xf>
    <xf numFmtId="0" fontId="59" fillId="0" borderId="126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26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12" fillId="39" borderId="193" xfId="0" applyFont="1" applyFill="1" applyBorder="1" applyAlignment="1">
      <alignment horizontal="center" vertical="center" wrapText="1"/>
    </xf>
    <xf numFmtId="0" fontId="12" fillId="39" borderId="199" xfId="0" applyFont="1" applyFill="1" applyBorder="1" applyAlignment="1">
      <alignment horizontal="center" vertical="center" wrapText="1"/>
    </xf>
    <xf numFmtId="0" fontId="12" fillId="39" borderId="194" xfId="0" applyFont="1" applyFill="1" applyBorder="1" applyAlignment="1">
      <alignment horizontal="center" vertical="center" wrapText="1"/>
    </xf>
    <xf numFmtId="0" fontId="7" fillId="39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vertical="center" wrapText="1"/>
    </xf>
    <xf numFmtId="0" fontId="0" fillId="37" borderId="192" xfId="0" applyFont="1" applyFill="1" applyBorder="1" applyAlignment="1">
      <alignment vertical="center" wrapText="1"/>
    </xf>
    <xf numFmtId="0" fontId="16" fillId="39" borderId="193" xfId="0" applyFont="1" applyFill="1" applyBorder="1" applyAlignment="1">
      <alignment horizontal="center" vertical="center"/>
    </xf>
    <xf numFmtId="0" fontId="16" fillId="39" borderId="199" xfId="0" applyFont="1" applyFill="1" applyBorder="1" applyAlignment="1">
      <alignment horizontal="center" vertical="center"/>
    </xf>
    <xf numFmtId="0" fontId="16" fillId="39" borderId="194" xfId="0" applyFont="1" applyFill="1" applyBorder="1" applyAlignment="1">
      <alignment horizontal="center" vertical="center"/>
    </xf>
    <xf numFmtId="0" fontId="16" fillId="0" borderId="123" xfId="0" applyFont="1" applyFill="1" applyBorder="1" applyAlignment="1">
      <alignment horizontal="center"/>
    </xf>
    <xf numFmtId="0" fontId="16" fillId="0" borderId="124" xfId="0" applyFont="1" applyFill="1" applyBorder="1" applyAlignment="1">
      <alignment horizontal="center"/>
    </xf>
    <xf numFmtId="0" fontId="16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15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2" fontId="47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5" fillId="26" borderId="58" xfId="0" applyFont="1" applyFill="1" applyBorder="1" applyAlignment="1">
      <alignment horizontal="center" vertical="center"/>
    </xf>
    <xf numFmtId="0" fontId="15" fillId="27" borderId="58" xfId="0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66" fillId="0" borderId="0" xfId="0" applyFont="1" applyAlignment="1"/>
    <xf numFmtId="0" fontId="11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5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0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7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vertical="center"/>
    </xf>
    <xf numFmtId="2" fontId="17" fillId="38" borderId="193" xfId="0" applyNumberFormat="1" applyFont="1" applyFill="1" applyBorder="1" applyAlignment="1">
      <alignment horizontal="center" vertical="center"/>
    </xf>
    <xf numFmtId="2" fontId="17" fillId="38" borderId="199" xfId="0" applyNumberFormat="1" applyFont="1" applyFill="1" applyBorder="1" applyAlignment="1">
      <alignment horizontal="center" vertical="center"/>
    </xf>
    <xf numFmtId="2" fontId="17" fillId="38" borderId="194" xfId="0" applyNumberFormat="1" applyFont="1" applyFill="1" applyBorder="1" applyAlignment="1">
      <alignment horizontal="center" vertical="center"/>
    </xf>
    <xf numFmtId="2" fontId="59" fillId="38" borderId="205" xfId="0" applyNumberFormat="1" applyFont="1" applyFill="1" applyBorder="1" applyAlignment="1">
      <alignment horizontal="center" vertical="center" wrapText="1"/>
    </xf>
    <xf numFmtId="2" fontId="59" fillId="38" borderId="206" xfId="0" applyNumberFormat="1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2" fontId="16" fillId="38" borderId="193" xfId="0" applyNumberFormat="1" applyFont="1" applyFill="1" applyBorder="1" applyAlignment="1">
      <alignment horizontal="center" vertical="center"/>
    </xf>
    <xf numFmtId="2" fontId="16" fillId="38" borderId="199" xfId="0" applyNumberFormat="1" applyFont="1" applyFill="1" applyBorder="1" applyAlignment="1">
      <alignment horizontal="center" vertical="center"/>
    </xf>
    <xf numFmtId="2" fontId="16" fillId="38" borderId="194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 wrapText="1"/>
    </xf>
    <xf numFmtId="2" fontId="17" fillId="38" borderId="192" xfId="0" applyNumberFormat="1" applyFont="1" applyFill="1" applyBorder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62" xfId="0" applyNumberFormat="1" applyFont="1" applyBorder="1" applyAlignment="1">
      <alignment horizontal="center" vertical="center"/>
    </xf>
    <xf numFmtId="2" fontId="12" fillId="0" borderId="78" xfId="0" applyNumberFormat="1" applyFont="1" applyBorder="1" applyAlignment="1">
      <alignment horizontal="center" vertical="center"/>
    </xf>
    <xf numFmtId="2" fontId="12" fillId="0" borderId="65" xfId="0" applyNumberFormat="1" applyFont="1" applyBorder="1" applyAlignment="1">
      <alignment horizontal="center" vertical="center"/>
    </xf>
    <xf numFmtId="2" fontId="12" fillId="0" borderId="3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1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2" fontId="12" fillId="0" borderId="45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2" fontId="12" fillId="0" borderId="62" xfId="0" applyNumberFormat="1" applyFont="1" applyBorder="1" applyAlignment="1">
      <alignment horizontal="center" vertical="center" wrapText="1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5" xfId="0" applyNumberFormat="1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 vertical="center" wrapText="1"/>
    </xf>
    <xf numFmtId="2" fontId="16" fillId="38" borderId="192" xfId="0" applyNumberFormat="1" applyFont="1" applyFill="1" applyBorder="1" applyAlignment="1">
      <alignment horizontal="center" vertical="center"/>
    </xf>
    <xf numFmtId="0" fontId="63" fillId="38" borderId="192" xfId="0" applyFont="1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Font="1" applyAlignment="1"/>
    <xf numFmtId="0" fontId="12" fillId="0" borderId="0" xfId="0" applyFont="1" applyBorder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73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 wrapText="1"/>
    </xf>
    <xf numFmtId="2" fontId="17" fillId="0" borderId="99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2" fontId="16" fillId="0" borderId="101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20" xfId="0" applyNumberFormat="1" applyFont="1" applyFill="1" applyBorder="1" applyAlignment="1">
      <alignment horizontal="center" vertical="center" wrapText="1"/>
    </xf>
    <xf numFmtId="0" fontId="63" fillId="0" borderId="71" xfId="0" applyFont="1" applyBorder="1" applyAlignment="1">
      <alignment horizontal="center" vertical="center"/>
    </xf>
    <xf numFmtId="0" fontId="63" fillId="0" borderId="69" xfId="0" applyFont="1" applyBorder="1" applyAlignment="1">
      <alignment horizontal="center" vertical="center"/>
    </xf>
    <xf numFmtId="2" fontId="16" fillId="0" borderId="93" xfId="0" applyNumberFormat="1" applyFont="1" applyFill="1" applyBorder="1" applyAlignment="1">
      <alignment horizontal="center" vertical="center"/>
    </xf>
    <xf numFmtId="2" fontId="16" fillId="0" borderId="90" xfId="0" applyNumberFormat="1" applyFont="1" applyFill="1" applyBorder="1" applyAlignment="1">
      <alignment horizontal="center" vertical="center"/>
    </xf>
    <xf numFmtId="2" fontId="16" fillId="0" borderId="89" xfId="0" applyNumberFormat="1" applyFont="1" applyFill="1" applyBorder="1" applyAlignment="1">
      <alignment horizontal="center" vertical="center"/>
    </xf>
    <xf numFmtId="2" fontId="16" fillId="0" borderId="19" xfId="0" applyNumberFormat="1" applyFont="1" applyBorder="1" applyAlignment="1">
      <alignment horizontal="center" vertical="center"/>
    </xf>
    <xf numFmtId="0" fontId="63" fillId="0" borderId="0" xfId="0" applyFont="1" applyAlignment="1"/>
    <xf numFmtId="2" fontId="59" fillId="0" borderId="1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2" fontId="17" fillId="0" borderId="168" xfId="0" applyNumberFormat="1" applyFont="1" applyBorder="1" applyAlignment="1">
      <alignment horizontal="center" vertical="center"/>
    </xf>
    <xf numFmtId="2" fontId="17" fillId="0" borderId="167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59" fillId="0" borderId="2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2" fillId="39" borderId="193" xfId="0" applyFont="1" applyFill="1" applyBorder="1" applyAlignment="1">
      <alignment horizontal="center" vertical="center"/>
    </xf>
    <xf numFmtId="0" fontId="12" fillId="39" borderId="199" xfId="0" applyFont="1" applyFill="1" applyBorder="1" applyAlignment="1">
      <alignment horizontal="center" vertical="center"/>
    </xf>
    <xf numFmtId="0" fontId="12" fillId="39" borderId="194" xfId="0" applyFont="1" applyFill="1" applyBorder="1" applyAlignment="1">
      <alignment horizontal="center" vertical="center"/>
    </xf>
    <xf numFmtId="0" fontId="12" fillId="39" borderId="205" xfId="0" applyFont="1" applyFill="1" applyBorder="1" applyAlignment="1">
      <alignment horizontal="center" vertical="center" wrapText="1"/>
    </xf>
    <xf numFmtId="0" fontId="12" fillId="39" borderId="207" xfId="0" applyFont="1" applyFill="1" applyBorder="1" applyAlignment="1">
      <alignment horizontal="center" vertical="center" wrapText="1"/>
    </xf>
    <xf numFmtId="0" fontId="12" fillId="39" borderId="206" xfId="0" applyFont="1" applyFill="1" applyBorder="1" applyAlignment="1">
      <alignment horizontal="center" vertical="center" wrapText="1"/>
    </xf>
    <xf numFmtId="0" fontId="12" fillId="39" borderId="193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5" fillId="0" borderId="0" xfId="147" applyFont="1" applyBorder="1" applyAlignment="1">
      <alignment horizontal="center" vertical="center" wrapText="1"/>
    </xf>
    <xf numFmtId="0" fontId="135" fillId="0" borderId="192" xfId="147" applyFont="1" applyBorder="1" applyAlignment="1">
      <alignment horizontal="center" vertical="center" wrapText="1"/>
    </xf>
    <xf numFmtId="0" fontId="11" fillId="39" borderId="193" xfId="0" applyFont="1" applyFill="1" applyBorder="1" applyAlignment="1">
      <alignment horizontal="center" vertical="center"/>
    </xf>
    <xf numFmtId="0" fontId="11" fillId="39" borderId="194" xfId="0" applyFont="1" applyFill="1" applyBorder="1" applyAlignment="1">
      <alignment horizontal="center" vertical="center"/>
    </xf>
    <xf numFmtId="4" fontId="12" fillId="39" borderId="192" xfId="0" applyNumberFormat="1" applyFont="1" applyFill="1" applyBorder="1" applyAlignment="1">
      <alignment horizontal="left" vertical="center" wrapText="1"/>
    </xf>
    <xf numFmtId="4" fontId="12" fillId="37" borderId="192" xfId="0" applyNumberFormat="1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90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2" fillId="0" borderId="11" xfId="0" applyFont="1" applyBorder="1" applyAlignment="1">
      <alignment horizontal="center" vertical="center" wrapText="1"/>
    </xf>
    <xf numFmtId="0" fontId="12" fillId="39" borderId="213" xfId="0" applyFont="1" applyFill="1" applyBorder="1" applyAlignment="1">
      <alignment horizontal="center" vertical="center"/>
    </xf>
    <xf numFmtId="0" fontId="12" fillId="39" borderId="214" xfId="0" applyFont="1" applyFill="1" applyBorder="1" applyAlignment="1">
      <alignment horizontal="center" vertical="center"/>
    </xf>
    <xf numFmtId="0" fontId="12" fillId="39" borderId="225" xfId="0" applyFont="1" applyFill="1" applyBorder="1" applyAlignment="1">
      <alignment horizontal="center" vertical="center"/>
    </xf>
    <xf numFmtId="0" fontId="12" fillId="39" borderId="226" xfId="0" applyFont="1" applyFill="1" applyBorder="1" applyAlignment="1">
      <alignment horizontal="center" vertical="center"/>
    </xf>
    <xf numFmtId="0" fontId="12" fillId="39" borderId="215" xfId="0" applyFont="1" applyFill="1" applyBorder="1" applyAlignment="1">
      <alignment horizontal="center" vertical="center"/>
    </xf>
    <xf numFmtId="0" fontId="12" fillId="39" borderId="216" xfId="0" applyFont="1" applyFill="1" applyBorder="1" applyAlignment="1">
      <alignment horizontal="center" vertical="center"/>
    </xf>
    <xf numFmtId="4" fontId="12" fillId="37" borderId="193" xfId="0" applyNumberFormat="1" applyFont="1" applyFill="1" applyBorder="1" applyAlignment="1">
      <alignment horizontal="left" vertical="center" wrapText="1"/>
    </xf>
    <xf numFmtId="4" fontId="12" fillId="37" borderId="194" xfId="0" applyNumberFormat="1" applyFont="1" applyFill="1" applyBorder="1" applyAlignment="1">
      <alignment horizontal="left" vertical="center" wrapText="1"/>
    </xf>
    <xf numFmtId="0" fontId="11" fillId="39" borderId="205" xfId="0" applyFont="1" applyFill="1" applyBorder="1" applyAlignment="1">
      <alignment horizontal="center" vertical="center" wrapText="1"/>
    </xf>
    <xf numFmtId="0" fontId="11" fillId="39" borderId="207" xfId="0" applyFont="1" applyFill="1" applyBorder="1" applyAlignment="1">
      <alignment horizontal="center" vertical="center" wrapText="1"/>
    </xf>
    <xf numFmtId="0" fontId="11" fillId="39" borderId="206" xfId="0" applyFont="1" applyFill="1" applyBorder="1" applyAlignment="1">
      <alignment horizontal="center" vertical="center" wrapText="1"/>
    </xf>
    <xf numFmtId="0" fontId="0" fillId="39" borderId="192" xfId="0" applyFont="1" applyFill="1" applyBorder="1" applyAlignment="1">
      <alignment vertical="center"/>
    </xf>
    <xf numFmtId="0" fontId="11" fillId="39" borderId="213" xfId="0" applyFont="1" applyFill="1" applyBorder="1" applyAlignment="1">
      <alignment horizontal="center" vertical="center" wrapText="1"/>
    </xf>
    <xf numFmtId="0" fontId="11" fillId="39" borderId="253" xfId="0" applyFont="1" applyFill="1" applyBorder="1" applyAlignment="1">
      <alignment horizontal="center" vertical="center" wrapText="1"/>
    </xf>
    <xf numFmtId="0" fontId="11" fillId="39" borderId="214" xfId="0" applyFont="1" applyFill="1" applyBorder="1" applyAlignment="1">
      <alignment horizontal="center" vertical="center" wrapText="1"/>
    </xf>
    <xf numFmtId="0" fontId="11" fillId="39" borderId="215" xfId="0" applyFont="1" applyFill="1" applyBorder="1" applyAlignment="1">
      <alignment horizontal="center" vertical="center" wrapText="1"/>
    </xf>
    <xf numFmtId="0" fontId="11" fillId="39" borderId="208" xfId="0" applyFont="1" applyFill="1" applyBorder="1" applyAlignment="1">
      <alignment horizontal="center" vertical="center" wrapText="1"/>
    </xf>
    <xf numFmtId="0" fontId="11" fillId="39" borderId="21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1" fillId="39" borderId="199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92" xfId="0" applyFont="1" applyBorder="1" applyAlignment="1">
      <alignment horizontal="center"/>
    </xf>
    <xf numFmtId="0" fontId="15" fillId="0" borderId="175" xfId="0" applyFont="1" applyBorder="1" applyAlignment="1">
      <alignment horizontal="center"/>
    </xf>
    <xf numFmtId="0" fontId="15" fillId="0" borderId="203" xfId="0" applyFont="1" applyBorder="1" applyAlignment="1">
      <alignment horizontal="center"/>
    </xf>
    <xf numFmtId="0" fontId="15" fillId="0" borderId="257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39" borderId="199" xfId="0" applyFont="1" applyFill="1" applyBorder="1" applyAlignment="1">
      <alignment horizontal="center"/>
    </xf>
    <xf numFmtId="0" fontId="12" fillId="39" borderId="194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left" vertical="center"/>
    </xf>
    <xf numFmtId="0" fontId="11" fillId="0" borderId="19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80" fillId="0" borderId="0" xfId="0" applyFont="1" applyAlignment="1"/>
    <xf numFmtId="0" fontId="16" fillId="0" borderId="50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59" fillId="0" borderId="72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72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59" fillId="0" borderId="44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/>
    </xf>
    <xf numFmtId="0" fontId="16" fillId="27" borderId="50" xfId="0" applyFont="1" applyFill="1" applyBorder="1" applyAlignment="1">
      <alignment horizontal="center" vertical="center" wrapText="1"/>
    </xf>
    <xf numFmtId="0" fontId="16" fillId="27" borderId="47" xfId="0" applyFont="1" applyFill="1" applyBorder="1" applyAlignment="1">
      <alignment horizontal="center" vertical="center" wrapText="1"/>
    </xf>
    <xf numFmtId="0" fontId="16" fillId="27" borderId="40" xfId="0" applyFont="1" applyFill="1" applyBorder="1" applyAlignment="1">
      <alignment horizontal="center" vertical="center" wrapText="1"/>
    </xf>
    <xf numFmtId="0" fontId="16" fillId="27" borderId="36" xfId="0" applyFont="1" applyFill="1" applyBorder="1" applyAlignment="1">
      <alignment horizontal="center" vertical="center" wrapText="1"/>
    </xf>
    <xf numFmtId="0" fontId="16" fillId="24" borderId="50" xfId="0" applyFont="1" applyFill="1" applyBorder="1" applyAlignment="1">
      <alignment horizontal="center" vertical="center" wrapText="1"/>
    </xf>
    <xf numFmtId="0" fontId="16" fillId="24" borderId="47" xfId="0" applyFont="1" applyFill="1" applyBorder="1" applyAlignment="1">
      <alignment horizontal="center" vertical="center" wrapText="1"/>
    </xf>
    <xf numFmtId="0" fontId="16" fillId="24" borderId="48" xfId="0" applyFont="1" applyFill="1" applyBorder="1" applyAlignment="1">
      <alignment horizontal="center" vertical="center" wrapText="1"/>
    </xf>
    <xf numFmtId="0" fontId="16" fillId="24" borderId="40" xfId="0" applyFont="1" applyFill="1" applyBorder="1" applyAlignment="1">
      <alignment horizontal="center" vertical="center" wrapText="1"/>
    </xf>
    <xf numFmtId="0" fontId="16" fillId="24" borderId="36" xfId="0" applyFont="1" applyFill="1" applyBorder="1" applyAlignment="1">
      <alignment horizontal="center" vertical="center" wrapText="1"/>
    </xf>
    <xf numFmtId="0" fontId="16" fillId="24" borderId="68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11" fillId="29" borderId="205" xfId="0" applyFont="1" applyFill="1" applyBorder="1" applyAlignment="1">
      <alignment horizontal="center" vertical="center"/>
    </xf>
    <xf numFmtId="0" fontId="11" fillId="29" borderId="207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horizontal="center"/>
    </xf>
    <xf numFmtId="0" fontId="12" fillId="0" borderId="192" xfId="0" applyFont="1" applyFill="1" applyBorder="1" applyAlignment="1">
      <alignment horizontal="center" vertical="center"/>
    </xf>
    <xf numFmtId="0" fontId="11" fillId="39" borderId="205" xfId="0" applyFont="1" applyFill="1" applyBorder="1" applyAlignment="1">
      <alignment horizontal="center" vertical="center"/>
    </xf>
    <xf numFmtId="0" fontId="11" fillId="39" borderId="207" xfId="0" applyFont="1" applyFill="1" applyBorder="1" applyAlignment="1">
      <alignment horizontal="center" vertical="center"/>
    </xf>
    <xf numFmtId="0" fontId="11" fillId="39" borderId="206" xfId="0" applyFont="1" applyFill="1" applyBorder="1" applyAlignment="1">
      <alignment horizontal="center" vertical="center"/>
    </xf>
    <xf numFmtId="10" fontId="12" fillId="37" borderId="205" xfId="85" applyNumberFormat="1" applyFont="1" applyFill="1" applyBorder="1" applyAlignment="1">
      <alignment horizontal="left" vertical="center" wrapText="1"/>
    </xf>
    <xf numFmtId="10" fontId="12" fillId="37" borderId="207" xfId="85" applyNumberFormat="1" applyFont="1" applyFill="1" applyBorder="1" applyAlignment="1">
      <alignment horizontal="left" vertical="center" wrapText="1"/>
    </xf>
    <xf numFmtId="10" fontId="12" fillId="37" borderId="206" xfId="85" applyNumberFormat="1" applyFont="1" applyFill="1" applyBorder="1" applyAlignment="1">
      <alignment horizontal="left" vertical="center" wrapText="1"/>
    </xf>
    <xf numFmtId="0" fontId="11" fillId="39" borderId="193" xfId="0" applyFont="1" applyFill="1" applyBorder="1" applyAlignment="1">
      <alignment horizontal="center"/>
    </xf>
    <xf numFmtId="0" fontId="11" fillId="39" borderId="199" xfId="0" applyFont="1" applyFill="1" applyBorder="1" applyAlignment="1">
      <alignment horizontal="center"/>
    </xf>
    <xf numFmtId="0" fontId="11" fillId="39" borderId="194" xfId="0" applyFont="1" applyFill="1" applyBorder="1" applyAlignment="1">
      <alignment horizontal="center"/>
    </xf>
    <xf numFmtId="0" fontId="11" fillId="39" borderId="192" xfId="0" applyFont="1" applyFill="1" applyBorder="1" applyAlignment="1">
      <alignment horizontal="center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61" fillId="0" borderId="51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66" fillId="0" borderId="52" xfId="0" applyFont="1" applyBorder="1" applyAlignment="1">
      <alignment horizontal="center"/>
    </xf>
    <xf numFmtId="0" fontId="66" fillId="0" borderId="53" xfId="0" applyFont="1" applyBorder="1" applyAlignment="1">
      <alignment horizontal="center"/>
    </xf>
    <xf numFmtId="0" fontId="66" fillId="0" borderId="59" xfId="0" applyFont="1" applyBorder="1" applyAlignment="1">
      <alignment horizontal="center"/>
    </xf>
    <xf numFmtId="0" fontId="63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6" fillId="0" borderId="13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center" vertical="center" wrapText="1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70" xfId="0" applyFont="1" applyFill="1" applyBorder="1" applyAlignment="1">
      <alignment horizontal="center" vertical="center" wrapText="1"/>
    </xf>
    <xf numFmtId="0" fontId="17" fillId="0" borderId="190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/>
    </xf>
    <xf numFmtId="0" fontId="59" fillId="0" borderId="4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185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36" xfId="0" applyFont="1" applyFill="1" applyBorder="1" applyAlignment="1">
      <alignment horizontal="center" vertical="center" wrapText="1"/>
    </xf>
    <xf numFmtId="0" fontId="57" fillId="0" borderId="68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8" fillId="0" borderId="177" xfId="0" applyFont="1" applyFill="1" applyBorder="1" applyAlignment="1">
      <alignment horizontal="left" vertical="center" wrapText="1"/>
    </xf>
    <xf numFmtId="0" fontId="88" fillId="0" borderId="173" xfId="0" applyFont="1" applyFill="1" applyBorder="1" applyAlignment="1">
      <alignment horizontal="left" vertical="center" wrapText="1"/>
    </xf>
    <xf numFmtId="0" fontId="88" fillId="0" borderId="165" xfId="0" applyFont="1" applyFill="1" applyBorder="1" applyAlignment="1">
      <alignment horizontal="left" vertical="center" wrapText="1"/>
    </xf>
    <xf numFmtId="0" fontId="88" fillId="0" borderId="54" xfId="0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left" vertical="center" wrapText="1"/>
    </xf>
    <xf numFmtId="0" fontId="88" fillId="0" borderId="60" xfId="0" applyFont="1" applyFill="1" applyBorder="1" applyAlignment="1">
      <alignment horizontal="left" vertical="center" wrapText="1"/>
    </xf>
    <xf numFmtId="0" fontId="88" fillId="0" borderId="56" xfId="0" applyFont="1" applyFill="1" applyBorder="1" applyAlignment="1">
      <alignment horizontal="left" vertical="center" wrapText="1"/>
    </xf>
    <xf numFmtId="0" fontId="88" fillId="0" borderId="55" xfId="0" applyFont="1" applyFill="1" applyBorder="1" applyAlignment="1">
      <alignment horizontal="left" vertical="center" wrapText="1"/>
    </xf>
    <xf numFmtId="0" fontId="88" fillId="0" borderId="33" xfId="0" applyFont="1" applyFill="1" applyBorder="1" applyAlignment="1">
      <alignment horizontal="left" vertical="center" wrapText="1"/>
    </xf>
    <xf numFmtId="0" fontId="16" fillId="29" borderId="53" xfId="0" applyFont="1" applyFill="1" applyBorder="1" applyAlignment="1">
      <alignment horizontal="center" vertical="center"/>
    </xf>
    <xf numFmtId="0" fontId="16" fillId="29" borderId="59" xfId="0" applyFont="1" applyFill="1" applyBorder="1" applyAlignment="1">
      <alignment horizontal="center" vertical="center"/>
    </xf>
    <xf numFmtId="0" fontId="59" fillId="0" borderId="37" xfId="0" applyFont="1" applyFill="1" applyBorder="1" applyAlignment="1">
      <alignment horizontal="left" vertical="center"/>
    </xf>
    <xf numFmtId="0" fontId="59" fillId="0" borderId="38" xfId="0" applyFont="1" applyFill="1" applyBorder="1" applyAlignment="1">
      <alignment horizontal="left" vertical="center"/>
    </xf>
    <xf numFmtId="0" fontId="59" fillId="0" borderId="66" xfId="0" applyFont="1" applyFill="1" applyBorder="1" applyAlignment="1">
      <alignment horizontal="center" vertical="center"/>
    </xf>
    <xf numFmtId="0" fontId="59" fillId="0" borderId="79" xfId="0" applyFont="1" applyFill="1" applyBorder="1" applyAlignment="1">
      <alignment horizontal="center"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horizontal="left" vertical="center"/>
    </xf>
    <xf numFmtId="0" fontId="54" fillId="0" borderId="40" xfId="147" applyFont="1" applyBorder="1" applyAlignment="1">
      <alignment horizontal="left" vertical="center" wrapText="1"/>
    </xf>
    <xf numFmtId="0" fontId="54" fillId="0" borderId="68" xfId="147" applyFont="1" applyBorder="1" applyAlignment="1">
      <alignment horizontal="left" vertical="center" wrapText="1"/>
    </xf>
    <xf numFmtId="0" fontId="15" fillId="0" borderId="0" xfId="147" applyFont="1" applyAlignment="1">
      <alignment horizontal="center" vertical="center"/>
    </xf>
    <xf numFmtId="0" fontId="82" fillId="41" borderId="55" xfId="147" applyFont="1" applyFill="1" applyBorder="1" applyAlignment="1">
      <alignment horizontal="center"/>
    </xf>
    <xf numFmtId="0" fontId="54" fillId="0" borderId="50" xfId="147" applyFont="1" applyBorder="1" applyAlignment="1">
      <alignment horizontal="center" vertical="center" wrapText="1"/>
    </xf>
    <xf numFmtId="0" fontId="54" fillId="0" borderId="48" xfId="147" applyFont="1" applyBorder="1" applyAlignment="1">
      <alignment horizontal="center" vertical="center" wrapText="1"/>
    </xf>
    <xf numFmtId="0" fontId="54" fillId="0" borderId="56" xfId="147" applyFont="1" applyBorder="1" applyAlignment="1">
      <alignment horizontal="center" vertical="center" wrapText="1"/>
    </xf>
    <xf numFmtId="0" fontId="54" fillId="0" borderId="33" xfId="147" applyFont="1" applyBorder="1" applyAlignment="1">
      <alignment horizontal="center" vertical="center" wrapText="1"/>
    </xf>
    <xf numFmtId="0" fontId="54" fillId="0" borderId="52" xfId="147" applyFont="1" applyBorder="1" applyAlignment="1">
      <alignment horizontal="center" vertical="center" wrapText="1"/>
    </xf>
    <xf numFmtId="0" fontId="54" fillId="0" borderId="59" xfId="147" applyFont="1" applyBorder="1" applyAlignment="1">
      <alignment horizontal="center" vertical="center" wrapText="1"/>
    </xf>
    <xf numFmtId="0" fontId="54" fillId="0" borderId="40" xfId="147" applyFont="1" applyBorder="1" applyAlignment="1">
      <alignment vertical="center" wrapText="1"/>
    </xf>
    <xf numFmtId="0" fontId="54" fillId="0" borderId="68" xfId="147" applyFont="1" applyBorder="1" applyAlignment="1">
      <alignment vertical="center" wrapText="1"/>
    </xf>
    <xf numFmtId="0" fontId="54" fillId="0" borderId="171" xfId="147" applyFont="1" applyBorder="1" applyAlignment="1">
      <alignment horizontal="center" vertical="center" wrapText="1"/>
    </xf>
    <xf numFmtId="0" fontId="54" fillId="0" borderId="172" xfId="147" applyFont="1" applyBorder="1" applyAlignment="1">
      <alignment horizontal="center" vertical="center" wrapText="1"/>
    </xf>
    <xf numFmtId="0" fontId="53" fillId="42" borderId="52" xfId="147" applyFont="1" applyFill="1" applyBorder="1" applyAlignment="1">
      <alignment horizontal="left" vertical="center" wrapText="1"/>
    </xf>
    <xf numFmtId="0" fontId="53" fillId="42" borderId="53" xfId="147" applyFont="1" applyFill="1" applyBorder="1" applyAlignment="1">
      <alignment horizontal="left" vertical="center" wrapText="1"/>
    </xf>
    <xf numFmtId="0" fontId="15" fillId="0" borderId="0" xfId="147" applyFont="1" applyBorder="1" applyAlignment="1">
      <alignment horizontal="center"/>
    </xf>
    <xf numFmtId="0" fontId="54" fillId="0" borderId="146" xfId="147" applyFont="1" applyBorder="1" applyAlignment="1">
      <alignment horizontal="left" vertical="center" wrapText="1"/>
    </xf>
    <xf numFmtId="0" fontId="54" fillId="0" borderId="165" xfId="147" applyFont="1" applyBorder="1" applyAlignment="1">
      <alignment horizontal="left" vertical="center" wrapText="1"/>
    </xf>
    <xf numFmtId="0" fontId="54" fillId="0" borderId="171" xfId="147" applyFont="1" applyBorder="1" applyAlignment="1">
      <alignment horizontal="left" vertical="center" wrapText="1"/>
    </xf>
    <xf numFmtId="0" fontId="54" fillId="0" borderId="172" xfId="147" applyFont="1" applyBorder="1" applyAlignment="1">
      <alignment horizontal="left" vertical="center" wrapText="1"/>
    </xf>
    <xf numFmtId="0" fontId="54" fillId="0" borderId="56" xfId="147" applyFont="1" applyBorder="1" applyAlignment="1">
      <alignment horizontal="left" vertical="center" wrapText="1"/>
    </xf>
    <xf numFmtId="0" fontId="54" fillId="0" borderId="33" xfId="147" applyFont="1" applyBorder="1" applyAlignment="1">
      <alignment horizontal="left" vertical="center" wrapText="1"/>
    </xf>
    <xf numFmtId="0" fontId="54" fillId="39" borderId="192" xfId="147" applyFont="1" applyFill="1" applyBorder="1" applyAlignment="1">
      <alignment vertical="center" wrapText="1"/>
    </xf>
    <xf numFmtId="0" fontId="54" fillId="39" borderId="192" xfId="147" applyFont="1" applyFill="1" applyBorder="1" applyAlignment="1">
      <alignment horizontal="left" vertical="center" wrapText="1"/>
    </xf>
    <xf numFmtId="0" fontId="82" fillId="41" borderId="0" xfId="147" applyFont="1" applyFill="1" applyBorder="1" applyAlignment="1">
      <alignment horizontal="center"/>
    </xf>
    <xf numFmtId="0" fontId="54" fillId="39" borderId="192" xfId="147" applyFont="1" applyFill="1" applyBorder="1" applyAlignment="1">
      <alignment horizontal="center" vertical="center" wrapText="1"/>
    </xf>
    <xf numFmtId="0" fontId="5" fillId="0" borderId="0" xfId="147" applyAlignment="1">
      <alignment horizontal="center"/>
    </xf>
    <xf numFmtId="0" fontId="53" fillId="39" borderId="192" xfId="147" applyFont="1" applyFill="1" applyBorder="1" applyAlignment="1">
      <alignment horizontal="left" vertical="center" wrapText="1"/>
    </xf>
    <xf numFmtId="0" fontId="12" fillId="39" borderId="213" xfId="0" applyFont="1" applyFill="1" applyBorder="1" applyAlignment="1">
      <alignment horizontal="left" vertical="center" wrapText="1"/>
    </xf>
    <xf numFmtId="0" fontId="12" fillId="39" borderId="253" xfId="0" applyFont="1" applyFill="1" applyBorder="1" applyAlignment="1">
      <alignment horizontal="left" vertical="center" wrapText="1"/>
    </xf>
    <xf numFmtId="0" fontId="12" fillId="39" borderId="214" xfId="0" applyFont="1" applyFill="1" applyBorder="1" applyAlignment="1">
      <alignment horizontal="left" vertical="center" wrapText="1"/>
    </xf>
    <xf numFmtId="0" fontId="12" fillId="39" borderId="225" xfId="0" applyFont="1" applyFill="1" applyBorder="1" applyAlignment="1">
      <alignment horizontal="left" vertical="center" wrapText="1"/>
    </xf>
    <xf numFmtId="0" fontId="12" fillId="39" borderId="0" xfId="0" applyFont="1" applyFill="1" applyBorder="1" applyAlignment="1">
      <alignment horizontal="left" vertical="center" wrapText="1"/>
    </xf>
    <xf numFmtId="0" fontId="12" fillId="39" borderId="226" xfId="0" applyFont="1" applyFill="1" applyBorder="1" applyAlignment="1">
      <alignment horizontal="left" vertical="center" wrapText="1"/>
    </xf>
    <xf numFmtId="0" fontId="12" fillId="39" borderId="215" xfId="0" applyFont="1" applyFill="1" applyBorder="1" applyAlignment="1">
      <alignment horizontal="left" vertical="center" wrapText="1"/>
    </xf>
    <xf numFmtId="0" fontId="12" fillId="39" borderId="208" xfId="0" applyFont="1" applyFill="1" applyBorder="1" applyAlignment="1">
      <alignment horizontal="left" vertical="center" wrapText="1"/>
    </xf>
    <xf numFmtId="0" fontId="12" fillId="39" borderId="216" xfId="0" applyFont="1" applyFill="1" applyBorder="1" applyAlignment="1">
      <alignment horizontal="left" vertical="center" wrapText="1"/>
    </xf>
    <xf numFmtId="0" fontId="12" fillId="39" borderId="213" xfId="0" applyFont="1" applyFill="1" applyBorder="1" applyAlignment="1">
      <alignment horizontal="left" wrapText="1"/>
    </xf>
    <xf numFmtId="0" fontId="12" fillId="39" borderId="253" xfId="0" applyFont="1" applyFill="1" applyBorder="1" applyAlignment="1">
      <alignment horizontal="left" wrapText="1"/>
    </xf>
    <xf numFmtId="0" fontId="12" fillId="39" borderId="214" xfId="0" applyFont="1" applyFill="1" applyBorder="1" applyAlignment="1">
      <alignment horizontal="left" wrapText="1"/>
    </xf>
    <xf numFmtId="0" fontId="12" fillId="39" borderId="225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left" wrapText="1"/>
    </xf>
    <xf numFmtId="0" fontId="12" fillId="39" borderId="226" xfId="0" applyFont="1" applyFill="1" applyBorder="1" applyAlignment="1">
      <alignment horizontal="left" wrapText="1"/>
    </xf>
    <xf numFmtId="0" fontId="12" fillId="39" borderId="215" xfId="0" applyFont="1" applyFill="1" applyBorder="1" applyAlignment="1">
      <alignment horizontal="left" wrapText="1"/>
    </xf>
    <xf numFmtId="0" fontId="12" fillId="39" borderId="208" xfId="0" applyFont="1" applyFill="1" applyBorder="1" applyAlignment="1">
      <alignment horizontal="left" wrapText="1"/>
    </xf>
    <xf numFmtId="0" fontId="12" fillId="39" borderId="216" xfId="0" applyFont="1" applyFill="1" applyBorder="1" applyAlignment="1">
      <alignment horizontal="left" wrapText="1"/>
    </xf>
    <xf numFmtId="0" fontId="12" fillId="39" borderId="207" xfId="0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107" fillId="0" borderId="36" xfId="147" applyFont="1" applyBorder="1" applyAlignment="1">
      <alignment horizontal="center"/>
    </xf>
    <xf numFmtId="0" fontId="5" fillId="0" borderId="36" xfId="147" applyBorder="1" applyAlignment="1">
      <alignment horizontal="center"/>
    </xf>
    <xf numFmtId="0" fontId="109" fillId="0" borderId="167" xfId="147" applyFont="1" applyBorder="1" applyAlignment="1"/>
    <xf numFmtId="0" fontId="5" fillId="0" borderId="167" xfId="147" applyBorder="1" applyAlignment="1"/>
    <xf numFmtId="0" fontId="107" fillId="0" borderId="167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" fillId="29" borderId="0" xfId="0" applyFont="1" applyFill="1" applyAlignment="1">
      <alignment horizontal="center"/>
    </xf>
    <xf numFmtId="0" fontId="20" fillId="0" borderId="0" xfId="0" applyFont="1" applyBorder="1" applyAlignment="1">
      <alignment vertical="top" wrapText="1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20" fillId="0" borderId="55" xfId="0" applyFont="1" applyBorder="1" applyAlignment="1">
      <alignment vertical="top" wrapText="1"/>
    </xf>
    <xf numFmtId="0" fontId="12" fillId="0" borderId="46" xfId="0" applyFont="1" applyBorder="1" applyAlignment="1">
      <alignment wrapText="1"/>
    </xf>
    <xf numFmtId="0" fontId="20" fillId="0" borderId="52" xfId="0" applyFont="1" applyBorder="1" applyAlignment="1">
      <alignment vertical="top" wrapText="1"/>
    </xf>
    <xf numFmtId="0" fontId="20" fillId="0" borderId="53" xfId="0" applyFont="1" applyBorder="1" applyAlignment="1">
      <alignment vertical="top" wrapText="1"/>
    </xf>
    <xf numFmtId="0" fontId="20" fillId="0" borderId="59" xfId="0" applyFont="1" applyBorder="1" applyAlignment="1">
      <alignment vertical="top" wrapText="1"/>
    </xf>
    <xf numFmtId="0" fontId="20" fillId="0" borderId="50" xfId="0" applyFont="1" applyBorder="1" applyAlignment="1">
      <alignment vertical="top" wrapText="1"/>
    </xf>
    <xf numFmtId="0" fontId="20" fillId="0" borderId="47" xfId="0" applyFont="1" applyBorder="1" applyAlignment="1">
      <alignment vertical="top" wrapText="1"/>
    </xf>
    <xf numFmtId="0" fontId="20" fillId="0" borderId="56" xfId="0" applyFont="1" applyBorder="1" applyAlignment="1">
      <alignment vertical="top" wrapText="1"/>
    </xf>
    <xf numFmtId="0" fontId="20" fillId="0" borderId="47" xfId="0" applyFont="1" applyBorder="1" applyAlignment="1">
      <alignment horizontal="right" vertical="top" wrapText="1"/>
    </xf>
    <xf numFmtId="0" fontId="20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0" fillId="0" borderId="51" xfId="0" applyFont="1" applyBorder="1" applyAlignment="1">
      <alignment horizontal="right" vertical="top" wrapText="1"/>
    </xf>
    <xf numFmtId="0" fontId="20" fillId="0" borderId="57" xfId="0" applyFont="1" applyBorder="1" applyAlignment="1">
      <alignment horizontal="right" vertical="top" wrapText="1"/>
    </xf>
    <xf numFmtId="0" fontId="20" fillId="0" borderId="51" xfId="0" applyFont="1" applyBorder="1" applyAlignment="1">
      <alignment vertical="top" wrapText="1"/>
    </xf>
    <xf numFmtId="0" fontId="20" fillId="0" borderId="57" xfId="0" applyFont="1" applyBorder="1" applyAlignment="1">
      <alignment vertical="top" wrapText="1"/>
    </xf>
    <xf numFmtId="0" fontId="20" fillId="0" borderId="46" xfId="0" applyFont="1" applyBorder="1" applyAlignment="1">
      <alignment horizontal="right" vertical="top" wrapText="1"/>
    </xf>
    <xf numFmtId="0" fontId="20" fillId="0" borderId="46" xfId="0" applyFont="1" applyBorder="1" applyAlignment="1">
      <alignment vertical="top" wrapText="1"/>
    </xf>
    <xf numFmtId="0" fontId="12" fillId="0" borderId="51" xfId="0" applyFont="1" applyBorder="1" applyAlignment="1">
      <alignment wrapText="1"/>
    </xf>
    <xf numFmtId="0" fontId="20" fillId="0" borderId="52" xfId="0" applyFont="1" applyBorder="1" applyAlignment="1">
      <alignment horizontal="center" wrapText="1"/>
    </xf>
    <xf numFmtId="0" fontId="20" fillId="0" borderId="59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90" fillId="0" borderId="52" xfId="0" applyFont="1" applyBorder="1" applyAlignment="1">
      <alignment vertical="top" wrapText="1"/>
    </xf>
    <xf numFmtId="0" fontId="90" fillId="0" borderId="53" xfId="0" applyFont="1" applyBorder="1" applyAlignment="1">
      <alignment vertical="top" wrapText="1"/>
    </xf>
    <xf numFmtId="0" fontId="90" fillId="0" borderId="59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74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3" fillId="0" borderId="0" xfId="0" applyFont="1" applyBorder="1" applyAlignment="1">
      <alignment horizontal="center" vertical="top" wrapText="1"/>
    </xf>
    <xf numFmtId="0" fontId="14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6" fillId="0" borderId="50" xfId="0" applyFont="1" applyBorder="1" applyAlignment="1">
      <alignment horizontal="center" wrapText="1"/>
    </xf>
    <xf numFmtId="0" fontId="61" fillId="0" borderId="47" xfId="0" applyFont="1" applyBorder="1" applyAlignment="1">
      <alignment horizontal="center"/>
    </xf>
    <xf numFmtId="0" fontId="89" fillId="0" borderId="54" xfId="0" applyFont="1" applyBorder="1" applyAlignment="1">
      <alignment horizontal="center" wrapText="1"/>
    </xf>
    <xf numFmtId="0" fontId="16" fillId="0" borderId="54" xfId="0" applyFont="1" applyBorder="1" applyAlignment="1">
      <alignment horizontal="center"/>
    </xf>
    <xf numFmtId="0" fontId="122" fillId="0" borderId="52" xfId="0" applyFont="1" applyBorder="1" applyAlignment="1">
      <alignment horizontal="center" vertical="top" wrapText="1"/>
    </xf>
    <xf numFmtId="0" fontId="122" fillId="0" borderId="53" xfId="0" applyFont="1" applyBorder="1" applyAlignment="1">
      <alignment horizontal="center" vertical="top" wrapText="1"/>
    </xf>
    <xf numFmtId="0" fontId="61" fillId="0" borderId="48" xfId="0" applyFont="1" applyBorder="1" applyAlignment="1">
      <alignment horizontal="center"/>
    </xf>
    <xf numFmtId="0" fontId="13" fillId="0" borderId="54" xfId="0" applyFont="1" applyBorder="1" applyAlignment="1"/>
    <xf numFmtId="0" fontId="10" fillId="29" borderId="47" xfId="0" applyFont="1" applyFill="1" applyBorder="1" applyAlignment="1">
      <alignment horizontal="right"/>
    </xf>
    <xf numFmtId="0" fontId="125" fillId="0" borderId="52" xfId="0" applyFont="1" applyBorder="1" applyAlignment="1">
      <alignment horizontal="center" vertical="top" wrapText="1"/>
    </xf>
    <xf numFmtId="0" fontId="125" fillId="0" borderId="53" xfId="0" applyFont="1" applyBorder="1" applyAlignment="1">
      <alignment horizontal="center" vertical="top" wrapText="1"/>
    </xf>
    <xf numFmtId="0" fontId="61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4" fillId="0" borderId="0" xfId="149" applyFont="1" applyAlignment="1">
      <alignment horizontal="center"/>
    </xf>
    <xf numFmtId="0" fontId="103" fillId="0" borderId="175" xfId="149" applyFont="1" applyBorder="1" applyAlignment="1">
      <alignment horizontal="center" wrapText="1"/>
    </xf>
    <xf numFmtId="0" fontId="4" fillId="29" borderId="180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 wrapText="1"/>
    </xf>
    <xf numFmtId="0" fontId="4" fillId="29" borderId="179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/>
    </xf>
    <xf numFmtId="0" fontId="4" fillId="29" borderId="179" xfId="149" applyFill="1" applyBorder="1" applyAlignment="1">
      <alignment horizontal="center"/>
    </xf>
    <xf numFmtId="4" fontId="4" fillId="0" borderId="180" xfId="149" applyNumberFormat="1" applyBorder="1" applyAlignment="1">
      <alignment horizontal="center"/>
    </xf>
    <xf numFmtId="4" fontId="4" fillId="0" borderId="181" xfId="149" applyNumberFormat="1" applyBorder="1" applyAlignment="1">
      <alignment horizontal="center"/>
    </xf>
    <xf numFmtId="4" fontId="4" fillId="0" borderId="179" xfId="149" applyNumberFormat="1" applyBorder="1" applyAlignment="1">
      <alignment horizontal="center"/>
    </xf>
    <xf numFmtId="0" fontId="103" fillId="0" borderId="175" xfId="149" applyFont="1" applyBorder="1" applyAlignment="1">
      <alignment horizontal="center"/>
    </xf>
    <xf numFmtId="0" fontId="103" fillId="0" borderId="180" xfId="149" applyFont="1" applyBorder="1" applyAlignment="1">
      <alignment horizontal="center"/>
    </xf>
    <xf numFmtId="0" fontId="103" fillId="0" borderId="180" xfId="149" applyFont="1" applyBorder="1" applyAlignment="1">
      <alignment horizontal="center" wrapText="1"/>
    </xf>
    <xf numFmtId="0" fontId="113" fillId="0" borderId="180" xfId="149" applyFont="1" applyFill="1" applyBorder="1" applyAlignment="1">
      <alignment horizontal="left" wrapText="1"/>
    </xf>
    <xf numFmtId="0" fontId="113" fillId="0" borderId="181" xfId="149" applyFont="1" applyFill="1" applyBorder="1" applyAlignment="1">
      <alignment horizontal="left" wrapText="1"/>
    </xf>
    <xf numFmtId="0" fontId="113" fillId="0" borderId="179" xfId="149" applyFont="1" applyFill="1" applyBorder="1" applyAlignment="1">
      <alignment horizontal="left" wrapText="1"/>
    </xf>
    <xf numFmtId="0" fontId="11" fillId="39" borderId="193" xfId="0" applyFont="1" applyFill="1" applyBorder="1" applyAlignment="1">
      <alignment horizontal="center" vertical="center" wrapText="1"/>
    </xf>
    <xf numFmtId="0" fontId="11" fillId="39" borderId="199" xfId="0" applyFont="1" applyFill="1" applyBorder="1" applyAlignment="1">
      <alignment horizontal="center" vertical="center" wrapText="1"/>
    </xf>
    <xf numFmtId="0" fontId="11" fillId="39" borderId="194" xfId="0" applyFont="1" applyFill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" fontId="13" fillId="37" borderId="205" xfId="0" applyNumberFormat="1" applyFont="1" applyFill="1" applyBorder="1" applyAlignment="1">
      <alignment horizontal="center" vertical="center"/>
    </xf>
    <xf numFmtId="4" fontId="13" fillId="37" borderId="206" xfId="0" applyNumberFormat="1" applyFont="1" applyFill="1" applyBorder="1" applyAlignment="1">
      <alignment horizontal="center" vertical="center"/>
    </xf>
    <xf numFmtId="4" fontId="12" fillId="37" borderId="213" xfId="0" applyNumberFormat="1" applyFont="1" applyFill="1" applyBorder="1" applyAlignment="1">
      <alignment horizontal="left" vertical="center" wrapText="1"/>
    </xf>
    <xf numFmtId="4" fontId="12" fillId="37" borderId="253" xfId="0" applyNumberFormat="1" applyFont="1" applyFill="1" applyBorder="1" applyAlignment="1">
      <alignment horizontal="left" vertical="center" wrapText="1"/>
    </xf>
    <xf numFmtId="4" fontId="12" fillId="37" borderId="214" xfId="0" applyNumberFormat="1" applyFont="1" applyFill="1" applyBorder="1" applyAlignment="1">
      <alignment horizontal="left" vertical="center" wrapText="1"/>
    </xf>
    <xf numFmtId="4" fontId="12" fillId="37" borderId="225" xfId="0" applyNumberFormat="1" applyFont="1" applyFill="1" applyBorder="1" applyAlignment="1">
      <alignment horizontal="left" vertical="center" wrapText="1"/>
    </xf>
    <xf numFmtId="4" fontId="12" fillId="37" borderId="0" xfId="0" applyNumberFormat="1" applyFont="1" applyFill="1" applyBorder="1" applyAlignment="1">
      <alignment horizontal="left" vertical="center" wrapText="1"/>
    </xf>
    <xf numFmtId="4" fontId="12" fillId="37" borderId="226" xfId="0" applyNumberFormat="1" applyFont="1" applyFill="1" applyBorder="1" applyAlignment="1">
      <alignment horizontal="left" vertical="center" wrapText="1"/>
    </xf>
    <xf numFmtId="4" fontId="12" fillId="37" borderId="192" xfId="0" applyNumberFormat="1" applyFont="1" applyFill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 wrapText="1"/>
    </xf>
    <xf numFmtId="0" fontId="105" fillId="0" borderId="11" xfId="147" applyFont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/>
    </xf>
    <xf numFmtId="0" fontId="105" fillId="0" borderId="11" xfId="147" applyFont="1" applyBorder="1" applyAlignment="1">
      <alignment horizontal="center" vertical="center"/>
    </xf>
    <xf numFmtId="0" fontId="104" fillId="0" borderId="36" xfId="147" applyFont="1" applyBorder="1" applyAlignment="1">
      <alignment horizontal="center" vertical="center" wrapText="1"/>
    </xf>
    <xf numFmtId="0" fontId="105" fillId="39" borderId="192" xfId="147" applyFont="1" applyFill="1" applyBorder="1" applyAlignment="1">
      <alignment horizontal="center" vertical="center" wrapText="1"/>
    </xf>
    <xf numFmtId="0" fontId="105" fillId="39" borderId="192" xfId="147" applyFont="1" applyFill="1" applyBorder="1" applyAlignment="1">
      <alignment horizontal="center" vertical="center"/>
    </xf>
    <xf numFmtId="0" fontId="47" fillId="39" borderId="213" xfId="79" applyFont="1" applyFill="1" applyBorder="1" applyAlignment="1">
      <alignment horizontal="center" vertical="center" wrapText="1"/>
    </xf>
    <xf numFmtId="0" fontId="47" fillId="39" borderId="253" xfId="79" applyFont="1" applyFill="1" applyBorder="1" applyAlignment="1">
      <alignment horizontal="center" vertical="center" wrapText="1"/>
    </xf>
    <xf numFmtId="0" fontId="47" fillId="39" borderId="214" xfId="79" applyFont="1" applyFill="1" applyBorder="1" applyAlignment="1">
      <alignment horizontal="center" vertical="center" wrapText="1"/>
    </xf>
    <xf numFmtId="0" fontId="47" fillId="39" borderId="205" xfId="79" applyFont="1" applyFill="1" applyBorder="1" applyAlignment="1">
      <alignment horizontal="center" vertical="center" wrapText="1"/>
    </xf>
    <xf numFmtId="0" fontId="47" fillId="39" borderId="206" xfId="79" applyFont="1" applyFill="1" applyBorder="1" applyAlignment="1">
      <alignment horizontal="center" vertical="center" wrapText="1"/>
    </xf>
    <xf numFmtId="0" fontId="12" fillId="39" borderId="193" xfId="79" applyFont="1" applyFill="1" applyBorder="1" applyAlignment="1">
      <alignment horizontal="center" vertical="center" wrapText="1"/>
    </xf>
    <xf numFmtId="0" fontId="12" fillId="39" borderId="194" xfId="79" applyFont="1" applyFill="1" applyBorder="1" applyAlignment="1">
      <alignment horizontal="center" vertical="center" wrapText="1"/>
    </xf>
    <xf numFmtId="0" fontId="47" fillId="39" borderId="193" xfId="79" applyFont="1" applyFill="1" applyBorder="1" applyAlignment="1">
      <alignment horizontal="center" vertical="center" wrapText="1"/>
    </xf>
    <xf numFmtId="0" fontId="47" fillId="39" borderId="199" xfId="79" applyFont="1" applyFill="1" applyBorder="1" applyAlignment="1">
      <alignment horizontal="center" vertical="center" wrapText="1"/>
    </xf>
    <xf numFmtId="0" fontId="47" fillId="39" borderId="194" xfId="79" applyFont="1" applyFill="1" applyBorder="1" applyAlignment="1">
      <alignment horizontal="center" vertical="center" wrapText="1"/>
    </xf>
    <xf numFmtId="0" fontId="12" fillId="39" borderId="199" xfId="79" applyFont="1" applyFill="1" applyBorder="1" applyAlignment="1">
      <alignment horizontal="center" vertical="center" wrapText="1"/>
    </xf>
    <xf numFmtId="0" fontId="50" fillId="39" borderId="192" xfId="79" applyFont="1" applyFill="1" applyBorder="1" applyAlignment="1">
      <alignment horizontal="center" vertical="center" wrapText="1"/>
    </xf>
    <xf numFmtId="0" fontId="12" fillId="39" borderId="205" xfId="79" applyFont="1" applyFill="1" applyBorder="1" applyAlignment="1">
      <alignment horizontal="center" vertical="center" wrapText="1"/>
    </xf>
    <xf numFmtId="0" fontId="12" fillId="39" borderId="206" xfId="79" applyFont="1" applyFill="1" applyBorder="1" applyAlignment="1">
      <alignment horizontal="center" vertical="center" wrapText="1"/>
    </xf>
    <xf numFmtId="0" fontId="67" fillId="0" borderId="0" xfId="79" applyFont="1" applyAlignment="1">
      <alignment horizontal="center"/>
    </xf>
    <xf numFmtId="0" fontId="86" fillId="0" borderId="192" xfId="79" applyFont="1" applyFill="1" applyBorder="1" applyAlignment="1">
      <alignment horizontal="center" vertical="center" wrapText="1"/>
    </xf>
    <xf numFmtId="0" fontId="85" fillId="0" borderId="192" xfId="0" applyFont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12" fillId="39" borderId="192" xfId="79" applyFont="1" applyFill="1" applyBorder="1" applyAlignment="1">
      <alignment horizontal="center" vertical="center" wrapText="1"/>
    </xf>
    <xf numFmtId="0" fontId="9" fillId="39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47" fillId="39" borderId="192" xfId="79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15" fillId="0" borderId="192" xfId="79" applyFont="1" applyFill="1" applyBorder="1" applyAlignment="1">
      <alignment horizontal="center" vertical="center" wrapText="1"/>
    </xf>
    <xf numFmtId="0" fontId="9" fillId="0" borderId="192" xfId="79" applyFont="1" applyFill="1" applyBorder="1" applyAlignment="1">
      <alignment horizontal="center" vertical="center"/>
    </xf>
    <xf numFmtId="0" fontId="16" fillId="0" borderId="192" xfId="79" applyFont="1" applyFill="1" applyBorder="1" applyAlignment="1">
      <alignment horizontal="center" vertical="center" wrapText="1"/>
    </xf>
    <xf numFmtId="0" fontId="68" fillId="0" borderId="192" xfId="79" applyFont="1" applyFill="1" applyBorder="1" applyAlignment="1">
      <alignment horizontal="center" vertical="center" wrapText="1"/>
    </xf>
    <xf numFmtId="0" fontId="0" fillId="39" borderId="192" xfId="0" applyFill="1" applyBorder="1" applyAlignment="1">
      <alignment vertical="center"/>
    </xf>
    <xf numFmtId="0" fontId="47" fillId="39" borderId="192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50" fillId="0" borderId="184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16" fillId="0" borderId="180" xfId="0" applyFont="1" applyBorder="1" applyAlignment="1">
      <alignment horizontal="center"/>
    </xf>
    <xf numFmtId="0" fontId="16" fillId="0" borderId="181" xfId="0" applyFont="1" applyBorder="1" applyAlignment="1">
      <alignment horizontal="center"/>
    </xf>
    <xf numFmtId="0" fontId="16" fillId="0" borderId="179" xfId="0" applyFont="1" applyBorder="1" applyAlignment="1">
      <alignment horizontal="center"/>
    </xf>
    <xf numFmtId="0" fontId="16" fillId="44" borderId="180" xfId="0" applyFont="1" applyFill="1" applyBorder="1" applyAlignment="1">
      <alignment horizontal="center"/>
    </xf>
    <xf numFmtId="0" fontId="16" fillId="44" borderId="181" xfId="0" applyFont="1" applyFill="1" applyBorder="1" applyAlignment="1">
      <alignment horizontal="center"/>
    </xf>
    <xf numFmtId="0" fontId="16" fillId="44" borderId="179" xfId="0" applyFont="1" applyFill="1" applyBorder="1" applyAlignment="1">
      <alignment horizontal="center"/>
    </xf>
    <xf numFmtId="4" fontId="12" fillId="0" borderId="184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2" fillId="0" borderId="184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6" fillId="0" borderId="184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1" fillId="0" borderId="185" xfId="0" applyFont="1" applyBorder="1" applyAlignment="1">
      <alignment horizontal="center" vertical="center"/>
    </xf>
    <xf numFmtId="0" fontId="11" fillId="0" borderId="186" xfId="0" applyFont="1" applyBorder="1" applyAlignment="1">
      <alignment horizontal="center" vertical="center"/>
    </xf>
    <xf numFmtId="0" fontId="11" fillId="0" borderId="187" xfId="0" applyFont="1" applyBorder="1" applyAlignment="1">
      <alignment horizontal="center" vertical="center"/>
    </xf>
    <xf numFmtId="0" fontId="50" fillId="0" borderId="175" xfId="0" applyFont="1" applyBorder="1" applyAlignment="1">
      <alignment horizontal="center" wrapText="1"/>
    </xf>
    <xf numFmtId="4" fontId="12" fillId="44" borderId="184" xfId="0" applyNumberFormat="1" applyFont="1" applyFill="1" applyBorder="1" applyAlignment="1">
      <alignment horizontal="center" vertical="center"/>
    </xf>
    <xf numFmtId="4" fontId="12" fillId="44" borderId="61" xfId="0" applyNumberFormat="1" applyFont="1" applyFill="1" applyBorder="1" applyAlignment="1">
      <alignment horizontal="center" vertical="center"/>
    </xf>
    <xf numFmtId="4" fontId="12" fillId="44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7" fillId="29" borderId="52" xfId="0" applyFont="1" applyFill="1" applyBorder="1" applyAlignment="1">
      <alignment horizontal="center"/>
    </xf>
    <xf numFmtId="0" fontId="7" fillId="29" borderId="53" xfId="0" applyFont="1" applyFill="1" applyBorder="1" applyAlignment="1">
      <alignment horizontal="center"/>
    </xf>
    <xf numFmtId="0" fontId="7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1" fillId="0" borderId="0" xfId="0" applyFont="1" applyBorder="1" applyAlignment="1">
      <alignment horizontal="center"/>
    </xf>
    <xf numFmtId="0" fontId="78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4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53" fillId="0" borderId="16" xfId="81" applyFont="1" applyBorder="1" applyAlignment="1">
      <alignment horizontal="center"/>
    </xf>
    <xf numFmtId="0" fontId="53" fillId="0" borderId="17" xfId="81" applyFont="1" applyBorder="1" applyAlignment="1">
      <alignment horizontal="center"/>
    </xf>
    <xf numFmtId="0" fontId="53" fillId="0" borderId="18" xfId="81" applyFont="1" applyBorder="1" applyAlignment="1">
      <alignment horizontal="center"/>
    </xf>
    <xf numFmtId="0" fontId="54" fillId="0" borderId="73" xfId="81" applyFont="1" applyBorder="1" applyAlignment="1">
      <alignment horizontal="center" vertical="center"/>
    </xf>
    <xf numFmtId="0" fontId="54" fillId="0" borderId="42" xfId="81" applyFont="1" applyBorder="1" applyAlignment="1">
      <alignment horizontal="center" vertical="center"/>
    </xf>
    <xf numFmtId="0" fontId="54" fillId="0" borderId="13" xfId="81" applyFont="1" applyBorder="1" applyAlignment="1">
      <alignment horizontal="center" vertical="center"/>
    </xf>
    <xf numFmtId="0" fontId="54" fillId="0" borderId="15" xfId="81" applyFont="1" applyBorder="1" applyAlignment="1">
      <alignment horizontal="center" vertical="center"/>
    </xf>
    <xf numFmtId="0" fontId="53" fillId="0" borderId="71" xfId="81" applyFont="1" applyBorder="1" applyAlignment="1">
      <alignment horizontal="center"/>
    </xf>
    <xf numFmtId="0" fontId="53" fillId="0" borderId="0" xfId="81" applyFont="1" applyAlignment="1">
      <alignment horizontal="center"/>
    </xf>
    <xf numFmtId="0" fontId="12" fillId="0" borderId="203" xfId="0" applyFont="1" applyBorder="1" applyAlignment="1">
      <alignment horizontal="center"/>
    </xf>
    <xf numFmtId="0" fontId="16" fillId="0" borderId="209" xfId="0" applyFont="1" applyBorder="1" applyAlignment="1">
      <alignment horizontal="center"/>
    </xf>
    <xf numFmtId="0" fontId="16" fillId="0" borderId="210" xfId="0" applyFont="1" applyBorder="1" applyAlignment="1">
      <alignment horizontal="center"/>
    </xf>
    <xf numFmtId="0" fontId="16" fillId="0" borderId="204" xfId="0" applyFont="1" applyBorder="1" applyAlignment="1">
      <alignment horizontal="center"/>
    </xf>
    <xf numFmtId="0" fontId="16" fillId="44" borderId="209" xfId="0" applyFont="1" applyFill="1" applyBorder="1" applyAlignment="1">
      <alignment horizontal="center"/>
    </xf>
    <xf numFmtId="0" fontId="16" fillId="44" borderId="210" xfId="0" applyFont="1" applyFill="1" applyBorder="1" applyAlignment="1">
      <alignment horizontal="center"/>
    </xf>
    <xf numFmtId="0" fontId="16" fillId="44" borderId="204" xfId="0" applyFont="1" applyFill="1" applyBorder="1" applyAlignment="1">
      <alignment horizontal="center"/>
    </xf>
    <xf numFmtId="0" fontId="12" fillId="0" borderId="195" xfId="0" applyFont="1" applyBorder="1" applyAlignment="1">
      <alignment horizontal="center" vertical="center" wrapText="1"/>
    </xf>
    <xf numFmtId="4" fontId="12" fillId="0" borderId="195" xfId="0" applyNumberFormat="1" applyFont="1" applyBorder="1" applyAlignment="1">
      <alignment horizontal="center" vertical="center"/>
    </xf>
    <xf numFmtId="0" fontId="16" fillId="0" borderId="200" xfId="0" applyFont="1" applyBorder="1" applyAlignment="1">
      <alignment horizontal="center"/>
    </xf>
    <xf numFmtId="0" fontId="16" fillId="0" borderId="201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80" fillId="39" borderId="192" xfId="0" applyFont="1" applyFill="1" applyBorder="1" applyAlignment="1">
      <alignment horizontal="center" vertical="center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05" fillId="0" borderId="200" xfId="147" applyFont="1" applyBorder="1" applyAlignment="1">
      <alignment horizontal="center" vertical="center" wrapText="1"/>
    </xf>
    <xf numFmtId="0" fontId="105" fillId="0" borderId="201" xfId="147" applyFont="1" applyBorder="1" applyAlignment="1">
      <alignment horizontal="center" vertical="center" wrapText="1"/>
    </xf>
    <xf numFmtId="0" fontId="105" fillId="0" borderId="198" xfId="147" applyFont="1" applyBorder="1" applyAlignment="1">
      <alignment horizontal="center" vertical="center" wrapText="1"/>
    </xf>
    <xf numFmtId="0" fontId="12" fillId="39" borderId="252" xfId="0" applyFont="1" applyFill="1" applyBorder="1" applyAlignment="1">
      <alignment horizontal="center"/>
    </xf>
    <xf numFmtId="0" fontId="12" fillId="39" borderId="248" xfId="0" applyFont="1" applyFill="1" applyBorder="1" applyAlignment="1">
      <alignment horizontal="center"/>
    </xf>
    <xf numFmtId="0" fontId="12" fillId="39" borderId="234" xfId="0" applyFont="1" applyFill="1" applyBorder="1" applyAlignment="1">
      <alignment horizontal="center"/>
    </xf>
    <xf numFmtId="0" fontId="12" fillId="39" borderId="236" xfId="0" applyFont="1" applyFill="1" applyBorder="1" applyAlignment="1">
      <alignment horizontal="center"/>
    </xf>
    <xf numFmtId="0" fontId="12" fillId="39" borderId="213" xfId="0" applyFont="1" applyFill="1" applyBorder="1" applyAlignment="1">
      <alignment horizontal="center"/>
    </xf>
    <xf numFmtId="0" fontId="12" fillId="39" borderId="225" xfId="0" applyFont="1" applyFill="1" applyBorder="1" applyAlignment="1">
      <alignment horizontal="center"/>
    </xf>
    <xf numFmtId="0" fontId="12" fillId="39" borderId="215" xfId="0" applyFont="1" applyFill="1" applyBorder="1" applyAlignment="1">
      <alignment horizontal="center"/>
    </xf>
    <xf numFmtId="0" fontId="12" fillId="39" borderId="233" xfId="0" applyFont="1" applyFill="1" applyBorder="1" applyAlignment="1">
      <alignment horizontal="center"/>
    </xf>
    <xf numFmtId="0" fontId="12" fillId="39" borderId="220" xfId="0" applyFont="1" applyFill="1" applyBorder="1" applyAlignment="1">
      <alignment horizontal="center"/>
    </xf>
    <xf numFmtId="0" fontId="12" fillId="39" borderId="221" xfId="0" applyFont="1" applyFill="1" applyBorder="1" applyAlignment="1">
      <alignment horizontal="center"/>
    </xf>
    <xf numFmtId="0" fontId="160" fillId="0" borderId="267" xfId="0" applyNumberFormat="1" applyFont="1" applyBorder="1" applyAlignment="1">
      <alignment vertical="top" wrapText="1" indent="2"/>
    </xf>
    <xf numFmtId="185" fontId="160" fillId="0" borderId="267" xfId="0" applyNumberFormat="1" applyFont="1" applyBorder="1" applyAlignment="1">
      <alignment horizontal="right" vertical="top" wrapText="1"/>
    </xf>
    <xf numFmtId="0" fontId="163" fillId="57" borderId="264" xfId="0" applyNumberFormat="1" applyFont="1" applyFill="1" applyBorder="1" applyAlignment="1">
      <alignment vertical="top"/>
    </xf>
    <xf numFmtId="185" fontId="163" fillId="57" borderId="264" xfId="0" applyNumberFormat="1" applyFont="1" applyFill="1" applyBorder="1" applyAlignment="1">
      <alignment horizontal="right" vertical="top" wrapText="1"/>
    </xf>
    <xf numFmtId="188" fontId="160" fillId="0" borderId="267" xfId="0" applyNumberFormat="1" applyFont="1" applyBorder="1" applyAlignment="1">
      <alignment horizontal="right" vertical="top" wrapText="1"/>
    </xf>
    <xf numFmtId="0" fontId="160" fillId="38" borderId="267" xfId="0" applyNumberFormat="1" applyFont="1" applyFill="1" applyBorder="1" applyAlignment="1">
      <alignment vertical="top" wrapText="1" indent="2"/>
    </xf>
    <xf numFmtId="185" fontId="160" fillId="38" borderId="267" xfId="0" applyNumberFormat="1" applyFont="1" applyFill="1" applyBorder="1" applyAlignment="1">
      <alignment horizontal="right" vertical="top" wrapText="1"/>
    </xf>
    <xf numFmtId="0" fontId="158" fillId="57" borderId="267" xfId="0" applyNumberFormat="1" applyFont="1" applyFill="1" applyBorder="1" applyAlignment="1">
      <alignment vertical="top" wrapText="1"/>
    </xf>
    <xf numFmtId="185" fontId="158" fillId="57" borderId="267" xfId="0" applyNumberFormat="1" applyFont="1" applyFill="1" applyBorder="1" applyAlignment="1">
      <alignment horizontal="right" vertical="top" wrapText="1"/>
    </xf>
    <xf numFmtId="0" fontId="160" fillId="47" borderId="267" xfId="0" applyNumberFormat="1" applyFont="1" applyFill="1" applyBorder="1" applyAlignment="1">
      <alignment vertical="top" wrapText="1" indent="2"/>
    </xf>
    <xf numFmtId="185" fontId="160" fillId="47" borderId="267" xfId="0" applyNumberFormat="1" applyFont="1" applyFill="1" applyBorder="1" applyAlignment="1">
      <alignment horizontal="right" vertical="top" wrapText="1"/>
    </xf>
    <xf numFmtId="0" fontId="160" fillId="34" borderId="267" xfId="0" applyNumberFormat="1" applyFont="1" applyFill="1" applyBorder="1" applyAlignment="1">
      <alignment vertical="top" wrapText="1" indent="2"/>
    </xf>
    <xf numFmtId="0" fontId="160" fillId="58" borderId="267" xfId="0" applyNumberFormat="1" applyFont="1" applyFill="1" applyBorder="1" applyAlignment="1">
      <alignment vertical="top" wrapText="1" indent="2"/>
    </xf>
    <xf numFmtId="185" fontId="160" fillId="58" borderId="267" xfId="0" applyNumberFormat="1" applyFont="1" applyFill="1" applyBorder="1" applyAlignment="1">
      <alignment horizontal="right" vertical="top" wrapText="1"/>
    </xf>
    <xf numFmtId="185" fontId="160" fillId="34" borderId="267" xfId="0" applyNumberFormat="1" applyFont="1" applyFill="1" applyBorder="1" applyAlignment="1">
      <alignment horizontal="right" vertical="top" wrapText="1"/>
    </xf>
    <xf numFmtId="0" fontId="158" fillId="56" borderId="264" xfId="0" applyNumberFormat="1" applyFont="1" applyFill="1" applyBorder="1" applyAlignment="1">
      <alignment vertical="top" wrapText="1"/>
    </xf>
    <xf numFmtId="0" fontId="164" fillId="39" borderId="267" xfId="0" applyNumberFormat="1" applyFont="1" applyFill="1" applyBorder="1" applyAlignment="1">
      <alignment vertical="top" wrapText="1"/>
    </xf>
    <xf numFmtId="185" fontId="164" fillId="39" borderId="267" xfId="0" applyNumberFormat="1" applyFont="1" applyFill="1" applyBorder="1" applyAlignment="1">
      <alignment horizontal="right" vertical="top" wrapText="1"/>
    </xf>
    <xf numFmtId="0" fontId="157" fillId="0" borderId="0" xfId="0" applyNumberFormat="1" applyFont="1" applyAlignment="1">
      <alignment wrapText="1"/>
    </xf>
    <xf numFmtId="0" fontId="19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2" fillId="0" borderId="0" xfId="0" applyFont="1" applyAlignment="1">
      <alignment horizontal="left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0" borderId="192" xfId="0" applyFont="1" applyBorder="1" applyAlignment="1">
      <alignment horizontal="center" wrapText="1"/>
    </xf>
    <xf numFmtId="0" fontId="12" fillId="37" borderId="193" xfId="0" applyFont="1" applyFill="1" applyBorder="1" applyAlignment="1">
      <alignment horizontal="center"/>
    </xf>
    <xf numFmtId="0" fontId="12" fillId="37" borderId="194" xfId="0" applyFont="1" applyFill="1" applyBorder="1" applyAlignment="1">
      <alignment horizontal="center"/>
    </xf>
    <xf numFmtId="4" fontId="12" fillId="43" borderId="193" xfId="0" applyNumberFormat="1" applyFont="1" applyFill="1" applyBorder="1" applyAlignment="1">
      <alignment horizontal="center" vertical="center"/>
    </xf>
    <xf numFmtId="4" fontId="12" fillId="43" borderId="199" xfId="0" applyNumberFormat="1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0" fontId="12" fillId="38" borderId="214" xfId="0" applyFont="1" applyFill="1" applyBorder="1" applyAlignment="1">
      <alignment horizontal="left" vertical="center"/>
    </xf>
    <xf numFmtId="0" fontId="12" fillId="38" borderId="216" xfId="0" applyFont="1" applyFill="1" applyBorder="1" applyAlignment="1">
      <alignment horizontal="left" vertical="center"/>
    </xf>
    <xf numFmtId="0" fontId="12" fillId="38" borderId="205" xfId="0" applyFont="1" applyFill="1" applyBorder="1" applyAlignment="1">
      <alignment horizontal="center"/>
    </xf>
    <xf numFmtId="0" fontId="12" fillId="39" borderId="205" xfId="0" applyFont="1" applyFill="1" applyBorder="1" applyAlignment="1">
      <alignment horizontal="center"/>
    </xf>
    <xf numFmtId="0" fontId="12" fillId="39" borderId="206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12" fillId="39" borderId="217" xfId="0" applyFont="1" applyFill="1" applyBorder="1" applyAlignment="1">
      <alignment horizontal="center"/>
    </xf>
    <xf numFmtId="0" fontId="12" fillId="39" borderId="218" xfId="0" applyFont="1" applyFill="1" applyBorder="1" applyAlignment="1">
      <alignment horizontal="center"/>
    </xf>
    <xf numFmtId="0" fontId="12" fillId="39" borderId="219" xfId="0" applyFont="1" applyFill="1" applyBorder="1" applyAlignment="1">
      <alignment horizontal="center"/>
    </xf>
    <xf numFmtId="0" fontId="12" fillId="39" borderId="208" xfId="0" applyFont="1" applyFill="1" applyBorder="1" applyAlignment="1">
      <alignment horizontal="center"/>
    </xf>
    <xf numFmtId="0" fontId="12" fillId="39" borderId="216" xfId="0" applyFont="1" applyFill="1" applyBorder="1" applyAlignment="1">
      <alignment horizontal="center"/>
    </xf>
    <xf numFmtId="2" fontId="11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horizontal="center" vertical="center"/>
    </xf>
    <xf numFmtId="0" fontId="12" fillId="39" borderId="262" xfId="0" applyFont="1" applyFill="1" applyBorder="1" applyAlignment="1">
      <alignment horizontal="center" vertical="center" wrapText="1"/>
    </xf>
    <xf numFmtId="0" fontId="12" fillId="39" borderId="263" xfId="0" applyFont="1" applyFill="1" applyBorder="1" applyAlignment="1">
      <alignment horizontal="center" vertical="center" wrapText="1"/>
    </xf>
    <xf numFmtId="0" fontId="12" fillId="39" borderId="255" xfId="0" applyFont="1" applyFill="1" applyBorder="1" applyAlignment="1">
      <alignment horizontal="center"/>
    </xf>
    <xf numFmtId="0" fontId="12" fillId="39" borderId="261" xfId="0" applyFont="1" applyFill="1" applyBorder="1" applyAlignment="1">
      <alignment horizontal="center"/>
    </xf>
    <xf numFmtId="0" fontId="12" fillId="39" borderId="256" xfId="0" applyFont="1" applyFill="1" applyBorder="1" applyAlignment="1">
      <alignment horizontal="center"/>
    </xf>
    <xf numFmtId="0" fontId="12" fillId="39" borderId="254" xfId="0" applyFont="1" applyFill="1" applyBorder="1" applyAlignment="1">
      <alignment horizontal="center" vertical="center"/>
    </xf>
    <xf numFmtId="0" fontId="12" fillId="39" borderId="254" xfId="0" applyFont="1" applyFill="1" applyBorder="1" applyAlignment="1">
      <alignment horizontal="center"/>
    </xf>
    <xf numFmtId="0" fontId="12" fillId="39" borderId="254" xfId="0" applyFont="1" applyFill="1" applyBorder="1" applyAlignment="1">
      <alignment horizontal="center" wrapText="1"/>
    </xf>
    <xf numFmtId="0" fontId="12" fillId="39" borderId="262" xfId="0" applyFont="1" applyFill="1" applyBorder="1" applyAlignment="1">
      <alignment horizontal="center" wrapText="1"/>
    </xf>
    <xf numFmtId="0" fontId="12" fillId="39" borderId="263" xfId="0" applyFont="1" applyFill="1" applyBorder="1" applyAlignment="1">
      <alignment horizontal="center" wrapText="1"/>
    </xf>
  </cellXfs>
  <cellStyles count="157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0 2" xfId="156"/>
    <cellStyle name="Обычный 11" xfId="151"/>
    <cellStyle name="Обычный 12" xfId="152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8 2" xfId="153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Процентный 6 2" xfId="154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Финансовый 5" xfId="155"/>
    <cellStyle name="Хороший 2" xfId="95"/>
  </cellStyles>
  <dxfs count="0"/>
  <tableStyles count="0" defaultTableStyle="TableStyleMedium9" defaultPivotStyle="PivotStyleLight16"/>
  <colors>
    <mruColors>
      <color rgb="FFFF33CC"/>
      <color rgb="FF5F0152"/>
      <color rgb="FFCCFFCC"/>
      <color rgb="FFFFFFCC"/>
      <color rgb="FFCCFFFF"/>
      <color rgb="FF99FF99"/>
      <color rgb="FF66FFFF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12" Type="http://schemas.openxmlformats.org/officeDocument/2006/relationships/externalLink" Target="externalLinks/externalLink2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0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5.xml"/><Relationship Id="rId110" Type="http://schemas.openxmlformats.org/officeDocument/2006/relationships/externalLink" Target="externalLinks/externalLink23.xml"/><Relationship Id="rId115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3.xml"/><Relationship Id="rId95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26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6.xml"/><Relationship Id="rId9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21.xml"/><Relationship Id="rId116" Type="http://schemas.openxmlformats.org/officeDocument/2006/relationships/externalLink" Target="externalLinks/externalLink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externalLink" Target="externalLinks/externalLink9.xml"/><Relationship Id="rId11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27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7.xml"/><Relationship Id="rId99" Type="http://schemas.openxmlformats.org/officeDocument/2006/relationships/externalLink" Target="externalLinks/externalLink12.xml"/><Relationship Id="rId10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0.xml"/><Relationship Id="rId104" Type="http://schemas.openxmlformats.org/officeDocument/2006/relationships/externalLink" Target="externalLinks/externalLink17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/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/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/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/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/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/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/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/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/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82;&#1086;&#1085;&#1086;&#1084;&#1080;&#1089;&#1090;/&#1044;&#1086;&#1082;&#1091;&#1084;&#1077;&#1085;&#1090;&#1099;%202019%20&#1075;&#1086;&#1076;/&#1060;&#1061;&#1044;/&#1055;&#1051;&#1040;&#1053;,%20&#1060;&#1040;&#1050;&#1058;,%20&#1060;&#1061;&#1044;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>
            <v>653.08500000000004</v>
          </cell>
        </row>
        <row r="187">
          <cell r="Z187">
            <v>0</v>
          </cell>
        </row>
        <row r="188">
          <cell r="Z188">
            <v>0</v>
          </cell>
        </row>
        <row r="189">
          <cell r="Z189">
            <v>0</v>
          </cell>
        </row>
        <row r="190">
          <cell r="Z190">
            <v>0</v>
          </cell>
        </row>
        <row r="191">
          <cell r="Z191">
            <v>0</v>
          </cell>
        </row>
        <row r="192">
          <cell r="Z192">
            <v>0</v>
          </cell>
        </row>
        <row r="193">
          <cell r="Z193">
            <v>0</v>
          </cell>
        </row>
        <row r="195">
          <cell r="Z195">
            <v>0</v>
          </cell>
        </row>
        <row r="196">
          <cell r="Z196">
            <v>0</v>
          </cell>
        </row>
        <row r="197">
          <cell r="Z197">
            <v>0</v>
          </cell>
        </row>
        <row r="198">
          <cell r="Z198">
            <v>0</v>
          </cell>
        </row>
        <row r="199">
          <cell r="Z199">
            <v>0</v>
          </cell>
        </row>
        <row r="200">
          <cell r="Z200">
            <v>0</v>
          </cell>
        </row>
        <row r="201">
          <cell r="Z201">
            <v>0</v>
          </cell>
        </row>
        <row r="202">
          <cell r="Z202">
            <v>0</v>
          </cell>
        </row>
        <row r="203">
          <cell r="Z203">
            <v>0</v>
          </cell>
        </row>
        <row r="204">
          <cell r="Z204">
            <v>0</v>
          </cell>
        </row>
        <row r="205">
          <cell r="Z205">
            <v>0</v>
          </cell>
        </row>
        <row r="206">
          <cell r="Z206">
            <v>0</v>
          </cell>
        </row>
        <row r="207">
          <cell r="Z207">
            <v>0</v>
          </cell>
        </row>
        <row r="208">
          <cell r="Z208">
            <v>0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2">
          <cell r="Z212">
            <v>0</v>
          </cell>
        </row>
        <row r="213">
          <cell r="Z21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940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1523</v>
      </c>
    </row>
    <row r="2" spans="1:24" ht="27" hidden="1" thickBot="1" x14ac:dyDescent="0.45">
      <c r="A2" s="3560" t="s">
        <v>871</v>
      </c>
      <c r="B2" s="3561"/>
      <c r="C2" s="3561"/>
      <c r="D2" s="3561"/>
      <c r="E2" s="3561"/>
      <c r="F2" s="3561"/>
      <c r="G2" s="3561"/>
      <c r="H2" s="3561"/>
      <c r="I2" s="3561"/>
      <c r="J2" s="3561"/>
      <c r="K2" s="3561"/>
      <c r="L2" s="3561"/>
      <c r="M2" s="3561"/>
      <c r="N2" s="3561"/>
      <c r="O2" s="3561"/>
      <c r="P2" s="3561"/>
      <c r="Q2" s="3561"/>
      <c r="R2" s="3561"/>
      <c r="S2" s="3561"/>
      <c r="T2" s="3561"/>
      <c r="U2" s="3561"/>
      <c r="V2" s="3561"/>
      <c r="W2" s="3561"/>
      <c r="X2" s="3562"/>
    </row>
    <row r="3" spans="1:24" ht="15" hidden="1" customHeight="1" thickBot="1" x14ac:dyDescent="0.25">
      <c r="A3" s="3532">
        <v>2015</v>
      </c>
      <c r="B3" s="3535" t="s">
        <v>396</v>
      </c>
      <c r="C3" s="3535"/>
      <c r="D3" s="3535"/>
      <c r="E3" s="3535"/>
      <c r="F3" s="3535"/>
      <c r="G3" s="3535"/>
      <c r="H3" s="3535"/>
      <c r="I3" s="3535"/>
      <c r="J3" s="3535"/>
      <c r="K3" s="3535"/>
      <c r="L3" s="3535"/>
      <c r="M3" s="3535"/>
      <c r="N3" s="3535"/>
      <c r="O3" s="3535"/>
      <c r="P3" s="3536"/>
      <c r="Q3" s="3537" t="s">
        <v>400</v>
      </c>
      <c r="R3" s="3538"/>
      <c r="S3" s="3538"/>
      <c r="T3" s="3539"/>
      <c r="U3" s="3537" t="s">
        <v>401</v>
      </c>
      <c r="V3" s="3538"/>
      <c r="W3" s="3538"/>
      <c r="X3" s="3539"/>
    </row>
    <row r="4" spans="1:24" ht="15" hidden="1" customHeight="1" thickBot="1" x14ac:dyDescent="0.25">
      <c r="A4" s="3533"/>
      <c r="B4" s="3543" t="s">
        <v>397</v>
      </c>
      <c r="C4" s="3544"/>
      <c r="D4" s="3544"/>
      <c r="E4" s="3544"/>
      <c r="F4" s="3545"/>
      <c r="G4" s="3546" t="s">
        <v>398</v>
      </c>
      <c r="H4" s="3547"/>
      <c r="I4" s="3547"/>
      <c r="J4" s="3547"/>
      <c r="K4" s="3548"/>
      <c r="L4" s="3546" t="s">
        <v>373</v>
      </c>
      <c r="M4" s="3547"/>
      <c r="N4" s="3547"/>
      <c r="O4" s="3547"/>
      <c r="P4" s="3549"/>
      <c r="Q4" s="3540"/>
      <c r="R4" s="3541"/>
      <c r="S4" s="3541"/>
      <c r="T4" s="3542"/>
      <c r="U4" s="3540"/>
      <c r="V4" s="3541"/>
      <c r="W4" s="3541"/>
      <c r="X4" s="3542"/>
    </row>
    <row r="5" spans="1:24" ht="15" hidden="1" customHeight="1" x14ac:dyDescent="0.2">
      <c r="A5" s="3533"/>
      <c r="B5" s="3550" t="s">
        <v>296</v>
      </c>
      <c r="C5" s="3553" t="s">
        <v>50</v>
      </c>
      <c r="D5" s="3553"/>
      <c r="E5" s="3553"/>
      <c r="F5" s="3554"/>
      <c r="G5" s="3555" t="s">
        <v>296</v>
      </c>
      <c r="H5" s="3556" t="s">
        <v>50</v>
      </c>
      <c r="I5" s="3556"/>
      <c r="J5" s="3556"/>
      <c r="K5" s="3557"/>
      <c r="L5" s="3555" t="s">
        <v>296</v>
      </c>
      <c r="M5" s="3556" t="s">
        <v>50</v>
      </c>
      <c r="N5" s="3556"/>
      <c r="O5" s="3556"/>
      <c r="P5" s="3557"/>
      <c r="Q5" s="3555" t="s">
        <v>296</v>
      </c>
      <c r="R5" s="3558" t="s">
        <v>50</v>
      </c>
      <c r="S5" s="3558"/>
      <c r="T5" s="3559"/>
      <c r="U5" s="3555" t="s">
        <v>296</v>
      </c>
      <c r="V5" s="3558" t="s">
        <v>50</v>
      </c>
      <c r="W5" s="3558"/>
      <c r="X5" s="3559"/>
    </row>
    <row r="6" spans="1:24" ht="15" hidden="1" customHeight="1" x14ac:dyDescent="0.2">
      <c r="A6" s="3533"/>
      <c r="B6" s="3551"/>
      <c r="C6" s="3524" t="s">
        <v>377</v>
      </c>
      <c r="D6" s="3526" t="s">
        <v>236</v>
      </c>
      <c r="E6" s="3526"/>
      <c r="F6" s="3566" t="s">
        <v>868</v>
      </c>
      <c r="G6" s="3551"/>
      <c r="H6" s="3524" t="s">
        <v>377</v>
      </c>
      <c r="I6" s="3526" t="s">
        <v>236</v>
      </c>
      <c r="J6" s="3526"/>
      <c r="K6" s="3566" t="s">
        <v>868</v>
      </c>
      <c r="L6" s="3551"/>
      <c r="M6" s="3524" t="s">
        <v>377</v>
      </c>
      <c r="N6" s="3526" t="s">
        <v>236</v>
      </c>
      <c r="O6" s="3526"/>
      <c r="P6" s="3566" t="s">
        <v>868</v>
      </c>
      <c r="Q6" s="3551"/>
      <c r="R6" s="3524" t="s">
        <v>377</v>
      </c>
      <c r="S6" s="3524"/>
      <c r="T6" s="3568" t="s">
        <v>868</v>
      </c>
      <c r="U6" s="3551"/>
      <c r="V6" s="3524" t="s">
        <v>377</v>
      </c>
      <c r="W6" s="3524"/>
      <c r="X6" s="3568" t="s">
        <v>868</v>
      </c>
    </row>
    <row r="7" spans="1:24" ht="15" hidden="1" customHeight="1" thickBot="1" x14ac:dyDescent="0.25">
      <c r="A7" s="3534"/>
      <c r="B7" s="3552"/>
      <c r="C7" s="3525"/>
      <c r="D7" s="961" t="s">
        <v>261</v>
      </c>
      <c r="E7" s="961" t="s">
        <v>295</v>
      </c>
      <c r="F7" s="3567"/>
      <c r="G7" s="3552"/>
      <c r="H7" s="3525"/>
      <c r="I7" s="961" t="s">
        <v>261</v>
      </c>
      <c r="J7" s="961" t="s">
        <v>295</v>
      </c>
      <c r="K7" s="3567"/>
      <c r="L7" s="3552"/>
      <c r="M7" s="3525"/>
      <c r="N7" s="961" t="s">
        <v>261</v>
      </c>
      <c r="O7" s="961" t="s">
        <v>295</v>
      </c>
      <c r="P7" s="3567"/>
      <c r="Q7" s="3552"/>
      <c r="R7" s="966" t="s">
        <v>869</v>
      </c>
      <c r="S7" s="966" t="s">
        <v>261</v>
      </c>
      <c r="T7" s="3567"/>
      <c r="U7" s="3552"/>
      <c r="V7" s="966" t="s">
        <v>869</v>
      </c>
      <c r="W7" s="966" t="s">
        <v>261</v>
      </c>
      <c r="X7" s="3567"/>
    </row>
    <row r="8" spans="1:24" ht="30" hidden="1" customHeight="1" x14ac:dyDescent="0.2">
      <c r="A8" s="965" t="s">
        <v>390</v>
      </c>
      <c r="B8" s="962">
        <f>объемы!M48/2</f>
        <v>2003.135</v>
      </c>
      <c r="C8" s="963">
        <f>SUM(D8:E8)</f>
        <v>2003.135</v>
      </c>
      <c r="D8" s="963">
        <f>SUM(объемы!M49/2)</f>
        <v>1222.71</v>
      </c>
      <c r="E8" s="963">
        <f>SUM(объемы!M51+объемы!M52)/2</f>
        <v>780.42499999999995</v>
      </c>
      <c r="F8" s="964">
        <f>SUM(объемы!M50/2)</f>
        <v>0</v>
      </c>
      <c r="G8" s="962">
        <f>B8</f>
        <v>2003.135</v>
      </c>
      <c r="H8" s="963">
        <f>C8</f>
        <v>2003.135</v>
      </c>
      <c r="I8" s="963">
        <f>D8</f>
        <v>1222.71</v>
      </c>
      <c r="J8" s="963">
        <f>E8</f>
        <v>780.42499999999995</v>
      </c>
      <c r="K8" s="964">
        <f>F8</f>
        <v>0</v>
      </c>
      <c r="L8" s="962">
        <f>SUM(B8+G8)</f>
        <v>4006.27</v>
      </c>
      <c r="M8" s="963">
        <f>SUM(C8+H8)</f>
        <v>4006.27</v>
      </c>
      <c r="N8" s="963">
        <f>SUM(D8+I8)</f>
        <v>2445.42</v>
      </c>
      <c r="O8" s="963">
        <f>SUM(E8+J8)</f>
        <v>1560.85</v>
      </c>
      <c r="P8" s="964">
        <f>SUM(F8+K8)</f>
        <v>0</v>
      </c>
      <c r="Q8" s="962"/>
      <c r="R8" s="967"/>
      <c r="S8" s="967"/>
      <c r="T8" s="968"/>
      <c r="U8" s="969"/>
      <c r="V8" s="967"/>
      <c r="W8" s="967"/>
      <c r="X8" s="968"/>
    </row>
    <row r="9" spans="1:24" ht="30" hidden="1" customHeight="1" x14ac:dyDescent="0.2">
      <c r="A9" s="948" t="s">
        <v>391</v>
      </c>
      <c r="B9" s="954">
        <f>SUM(B10/B8)</f>
        <v>30</v>
      </c>
      <c r="C9" s="955">
        <f>SUM(C10/C8)</f>
        <v>30</v>
      </c>
      <c r="D9" s="955">
        <v>22.66</v>
      </c>
      <c r="E9" s="955">
        <v>30</v>
      </c>
      <c r="F9" s="956">
        <v>18.420000000000002</v>
      </c>
      <c r="G9" s="954">
        <f>SUM(G10/G8)</f>
        <v>31.91252271822421</v>
      </c>
      <c r="H9" s="955">
        <f>H10/H8</f>
        <v>31.478836558261353</v>
      </c>
      <c r="I9" s="955">
        <f>D9*1.145</f>
        <v>25.945700000000002</v>
      </c>
      <c r="J9" s="955">
        <f>SUM(H9)</f>
        <v>31.478836558261353</v>
      </c>
      <c r="K9" s="956">
        <v>20.11</v>
      </c>
      <c r="L9" s="954">
        <f>SUM(L10/L8)</f>
        <v>30.956261359112105</v>
      </c>
      <c r="M9" s="955">
        <f>SUM(M10/M8)</f>
        <v>30.739418279130678</v>
      </c>
      <c r="N9" s="955">
        <f>SUM(N10/N8)</f>
        <v>24.302849999999999</v>
      </c>
      <c r="O9" s="955">
        <f>SUM(O10/O8)</f>
        <v>30.739418279130675</v>
      </c>
      <c r="P9" s="956" t="e">
        <f>SUM(P10/P8)</f>
        <v>#DIV/0!</v>
      </c>
      <c r="Q9" s="957">
        <f>SUM(G9/B9)</f>
        <v>1.0637507572741403</v>
      </c>
      <c r="R9" s="943">
        <f>SUM(H9/C9)</f>
        <v>1.0492945519420451</v>
      </c>
      <c r="S9" s="943">
        <f>I9/D9</f>
        <v>1.145</v>
      </c>
      <c r="T9" s="950">
        <f>SUM(K9/F9)</f>
        <v>1.0917480998914222</v>
      </c>
      <c r="U9" s="952">
        <f>SUM(L9/вода!AA71)</f>
        <v>1.1069086406649788</v>
      </c>
      <c r="V9" s="944">
        <f>SUM(M9/вода!AC71)</f>
        <v>1.0938837450127319</v>
      </c>
      <c r="W9" s="944">
        <f>SUM(N9/20.9)</f>
        <v>1.1628157894736844</v>
      </c>
      <c r="X9" s="945" t="e">
        <f>SUM(P9/вода!AD71)</f>
        <v>#DIV/0!</v>
      </c>
    </row>
    <row r="10" spans="1:24" ht="30" hidden="1" customHeight="1" x14ac:dyDescent="0.2">
      <c r="A10" s="948" t="s">
        <v>392</v>
      </c>
      <c r="B10" s="954">
        <f>SUM(C10+F10)</f>
        <v>60094.05</v>
      </c>
      <c r="C10" s="955">
        <f>SUM(D10:E10)+D11</f>
        <v>60094.05</v>
      </c>
      <c r="D10" s="955">
        <f>D9*D8</f>
        <v>27706.6086</v>
      </c>
      <c r="E10" s="955">
        <f>E9*E8</f>
        <v>23412.75</v>
      </c>
      <c r="F10" s="956">
        <f>F9*F8</f>
        <v>0</v>
      </c>
      <c r="G10" s="954">
        <f>SUM(L10-B10)</f>
        <v>63925.091195170055</v>
      </c>
      <c r="H10" s="955">
        <f>SUM(M10-C10)</f>
        <v>63056.359269132852</v>
      </c>
      <c r="I10" s="955">
        <f>I9*I8</f>
        <v>31724.066847000002</v>
      </c>
      <c r="J10" s="955">
        <f>SUM(J8*J9)</f>
        <v>24566.871020981114</v>
      </c>
      <c r="K10" s="956">
        <f>SUM(P10-F10)</f>
        <v>868.7319260372135</v>
      </c>
      <c r="L10" s="954">
        <f>SUM(вода!AL70)</f>
        <v>124019.14119517006</v>
      </c>
      <c r="M10" s="955">
        <f>SUM(вода!AN70)</f>
        <v>123150.40926913286</v>
      </c>
      <c r="N10" s="955">
        <f>SUM(D10+I10)</f>
        <v>59430.675447000001</v>
      </c>
      <c r="O10" s="955">
        <f>SUM(E10+J10)</f>
        <v>47979.621020981111</v>
      </c>
      <c r="P10" s="956">
        <f>SUM(вода!AO70)</f>
        <v>868.7319260372135</v>
      </c>
      <c r="Q10" s="954"/>
      <c r="R10" s="941"/>
      <c r="S10" s="941"/>
      <c r="T10" s="942"/>
      <c r="U10" s="951"/>
      <c r="V10" s="941"/>
      <c r="W10" s="941"/>
      <c r="X10" s="942"/>
    </row>
    <row r="11" spans="1:24" ht="30" hidden="1" customHeight="1" thickBot="1" x14ac:dyDescent="0.25">
      <c r="A11" s="949" t="s">
        <v>394</v>
      </c>
      <c r="B11" s="958">
        <f>SUM(C11:F11)</f>
        <v>8974.6913999999997</v>
      </c>
      <c r="C11" s="959">
        <v>0</v>
      </c>
      <c r="D11" s="959">
        <f>SUM(E9-D9)*D8</f>
        <v>8974.6913999999997</v>
      </c>
      <c r="E11" s="959">
        <v>0</v>
      </c>
      <c r="F11" s="960">
        <v>0</v>
      </c>
      <c r="G11" s="958">
        <f>SUM(H11:K11)</f>
        <v>6765.4214011517361</v>
      </c>
      <c r="H11" s="959">
        <v>0</v>
      </c>
      <c r="I11" s="959">
        <f>SUM(H9-I9)*I8</f>
        <v>6765.4214011517361</v>
      </c>
      <c r="J11" s="959">
        <v>0</v>
      </c>
      <c r="K11" s="960">
        <v>0</v>
      </c>
      <c r="L11" s="958">
        <f>SUM(M11:P11)</f>
        <v>15740.112801151736</v>
      </c>
      <c r="M11" s="959">
        <v>0</v>
      </c>
      <c r="N11" s="959">
        <f>SUM(B11+G11)</f>
        <v>15740.112801151736</v>
      </c>
      <c r="O11" s="959">
        <v>0</v>
      </c>
      <c r="P11" s="960">
        <v>0</v>
      </c>
      <c r="Q11" s="958"/>
      <c r="R11" s="946"/>
      <c r="S11" s="946"/>
      <c r="T11" s="947"/>
      <c r="U11" s="953"/>
      <c r="V11" s="946"/>
      <c r="W11" s="946"/>
      <c r="X11" s="947"/>
    </row>
    <row r="12" spans="1:24" ht="15" hidden="1" customHeight="1" thickBot="1" x14ac:dyDescent="0.25">
      <c r="A12" s="3495"/>
      <c r="B12" s="3496"/>
      <c r="C12" s="3496"/>
      <c r="D12" s="3496"/>
      <c r="E12" s="3496"/>
      <c r="F12" s="3496"/>
      <c r="G12" s="3496"/>
      <c r="H12" s="3496"/>
      <c r="I12" s="3496"/>
      <c r="J12" s="3496"/>
      <c r="K12" s="3496"/>
      <c r="L12" s="3496"/>
      <c r="M12" s="3496"/>
      <c r="N12" s="3496"/>
      <c r="O12" s="3496"/>
      <c r="P12" s="3496"/>
      <c r="Q12" s="3496"/>
      <c r="R12" s="3496"/>
      <c r="S12" s="3496"/>
      <c r="T12" s="3496"/>
      <c r="U12" s="3496"/>
      <c r="V12" s="3496"/>
      <c r="W12" s="3496"/>
      <c r="X12" s="3497"/>
    </row>
    <row r="13" spans="1:24" ht="15" hidden="1" customHeight="1" thickBot="1" x14ac:dyDescent="0.25">
      <c r="A13" s="3532">
        <v>2015</v>
      </c>
      <c r="B13" s="3535" t="s">
        <v>393</v>
      </c>
      <c r="C13" s="3535"/>
      <c r="D13" s="3535"/>
      <c r="E13" s="3535"/>
      <c r="F13" s="3535"/>
      <c r="G13" s="3535"/>
      <c r="H13" s="3535"/>
      <c r="I13" s="3535"/>
      <c r="J13" s="3535"/>
      <c r="K13" s="3535"/>
      <c r="L13" s="3535"/>
      <c r="M13" s="3535"/>
      <c r="N13" s="3535"/>
      <c r="O13" s="3535"/>
      <c r="P13" s="3536"/>
      <c r="Q13" s="3537" t="s">
        <v>400</v>
      </c>
      <c r="R13" s="3538"/>
      <c r="S13" s="3538"/>
      <c r="T13" s="3539"/>
      <c r="U13" s="3537" t="s">
        <v>401</v>
      </c>
      <c r="V13" s="3538"/>
      <c r="W13" s="3538"/>
      <c r="X13" s="3539"/>
    </row>
    <row r="14" spans="1:24" ht="15" hidden="1" customHeight="1" thickBot="1" x14ac:dyDescent="0.25">
      <c r="A14" s="3533"/>
      <c r="B14" s="3543" t="s">
        <v>397</v>
      </c>
      <c r="C14" s="3544"/>
      <c r="D14" s="3544"/>
      <c r="E14" s="3544"/>
      <c r="F14" s="3545"/>
      <c r="G14" s="3546" t="s">
        <v>398</v>
      </c>
      <c r="H14" s="3547"/>
      <c r="I14" s="3547"/>
      <c r="J14" s="3547"/>
      <c r="K14" s="3548"/>
      <c r="L14" s="3546" t="s">
        <v>373</v>
      </c>
      <c r="M14" s="3547"/>
      <c r="N14" s="3547"/>
      <c r="O14" s="3547"/>
      <c r="P14" s="3549"/>
      <c r="Q14" s="3540"/>
      <c r="R14" s="3541"/>
      <c r="S14" s="3541"/>
      <c r="T14" s="3542"/>
      <c r="U14" s="3540"/>
      <c r="V14" s="3541"/>
      <c r="W14" s="3541"/>
      <c r="X14" s="3542"/>
    </row>
    <row r="15" spans="1:24" ht="15" hidden="1" customHeight="1" x14ac:dyDescent="0.2">
      <c r="A15" s="3533"/>
      <c r="B15" s="3550" t="s">
        <v>296</v>
      </c>
      <c r="C15" s="3553" t="s">
        <v>50</v>
      </c>
      <c r="D15" s="3553"/>
      <c r="E15" s="3553"/>
      <c r="F15" s="3554"/>
      <c r="G15" s="3555" t="s">
        <v>296</v>
      </c>
      <c r="H15" s="3556" t="s">
        <v>50</v>
      </c>
      <c r="I15" s="3556"/>
      <c r="J15" s="3556"/>
      <c r="K15" s="3557"/>
      <c r="L15" s="3555" t="s">
        <v>296</v>
      </c>
      <c r="M15" s="3556" t="s">
        <v>50</v>
      </c>
      <c r="N15" s="3556"/>
      <c r="O15" s="3556"/>
      <c r="P15" s="3557"/>
      <c r="Q15" s="3555" t="s">
        <v>296</v>
      </c>
      <c r="R15" s="3558" t="s">
        <v>50</v>
      </c>
      <c r="S15" s="3558"/>
      <c r="T15" s="3559"/>
      <c r="U15" s="3555" t="s">
        <v>296</v>
      </c>
      <c r="V15" s="3558" t="s">
        <v>50</v>
      </c>
      <c r="W15" s="3558"/>
      <c r="X15" s="3559"/>
    </row>
    <row r="16" spans="1:24" ht="15" hidden="1" customHeight="1" x14ac:dyDescent="0.2">
      <c r="A16" s="3533"/>
      <c r="B16" s="3551"/>
      <c r="C16" s="3524" t="s">
        <v>377</v>
      </c>
      <c r="D16" s="3526" t="s">
        <v>236</v>
      </c>
      <c r="E16" s="3526"/>
      <c r="F16" s="3566" t="s">
        <v>868</v>
      </c>
      <c r="G16" s="3551"/>
      <c r="H16" s="3524" t="s">
        <v>377</v>
      </c>
      <c r="I16" s="3526" t="s">
        <v>236</v>
      </c>
      <c r="J16" s="3526"/>
      <c r="K16" s="3566" t="s">
        <v>868</v>
      </c>
      <c r="L16" s="3551"/>
      <c r="M16" s="3524" t="s">
        <v>377</v>
      </c>
      <c r="N16" s="3526" t="s">
        <v>236</v>
      </c>
      <c r="O16" s="3526"/>
      <c r="P16" s="3566" t="s">
        <v>868</v>
      </c>
      <c r="Q16" s="3551"/>
      <c r="R16" s="3524" t="s">
        <v>377</v>
      </c>
      <c r="S16" s="3524"/>
      <c r="T16" s="3568" t="s">
        <v>868</v>
      </c>
      <c r="U16" s="3551"/>
      <c r="V16" s="3524" t="s">
        <v>377</v>
      </c>
      <c r="W16" s="3524"/>
      <c r="X16" s="3568" t="s">
        <v>868</v>
      </c>
    </row>
    <row r="17" spans="1:24" ht="15" hidden="1" customHeight="1" thickBot="1" x14ac:dyDescent="0.25">
      <c r="A17" s="3534"/>
      <c r="B17" s="3552"/>
      <c r="C17" s="3525"/>
      <c r="D17" s="961" t="s">
        <v>261</v>
      </c>
      <c r="E17" s="961" t="s">
        <v>295</v>
      </c>
      <c r="F17" s="3567"/>
      <c r="G17" s="3552"/>
      <c r="H17" s="3525"/>
      <c r="I17" s="961" t="s">
        <v>261</v>
      </c>
      <c r="J17" s="961" t="s">
        <v>295</v>
      </c>
      <c r="K17" s="3567"/>
      <c r="L17" s="3552"/>
      <c r="M17" s="3525"/>
      <c r="N17" s="961" t="s">
        <v>261</v>
      </c>
      <c r="O17" s="961" t="s">
        <v>295</v>
      </c>
      <c r="P17" s="3567"/>
      <c r="Q17" s="3552"/>
      <c r="R17" s="966" t="s">
        <v>869</v>
      </c>
      <c r="S17" s="966" t="s">
        <v>261</v>
      </c>
      <c r="T17" s="3567"/>
      <c r="U17" s="3552"/>
      <c r="V17" s="966" t="s">
        <v>869</v>
      </c>
      <c r="W17" s="966" t="s">
        <v>261</v>
      </c>
      <c r="X17" s="3567"/>
    </row>
    <row r="18" spans="1:24" ht="30" hidden="1" customHeight="1" x14ac:dyDescent="0.2">
      <c r="A18" s="965" t="s">
        <v>390</v>
      </c>
      <c r="B18" s="962">
        <f>SUM(B8)</f>
        <v>2003.135</v>
      </c>
      <c r="C18" s="963">
        <f t="shared" ref="C18:P18" si="0">SUM(C8)</f>
        <v>2003.135</v>
      </c>
      <c r="D18" s="963">
        <f t="shared" si="0"/>
        <v>1222.71</v>
      </c>
      <c r="E18" s="963">
        <f t="shared" si="0"/>
        <v>780.42499999999995</v>
      </c>
      <c r="F18" s="964">
        <f t="shared" si="0"/>
        <v>0</v>
      </c>
      <c r="G18" s="962">
        <f t="shared" si="0"/>
        <v>2003.135</v>
      </c>
      <c r="H18" s="963">
        <f t="shared" si="0"/>
        <v>2003.135</v>
      </c>
      <c r="I18" s="963">
        <f t="shared" si="0"/>
        <v>1222.71</v>
      </c>
      <c r="J18" s="963">
        <f t="shared" si="0"/>
        <v>780.42499999999995</v>
      </c>
      <c r="K18" s="964">
        <f t="shared" si="0"/>
        <v>0</v>
      </c>
      <c r="L18" s="962">
        <f t="shared" si="0"/>
        <v>4006.27</v>
      </c>
      <c r="M18" s="963">
        <f t="shared" si="0"/>
        <v>4006.27</v>
      </c>
      <c r="N18" s="963">
        <f t="shared" si="0"/>
        <v>2445.42</v>
      </c>
      <c r="O18" s="963">
        <f t="shared" si="0"/>
        <v>1560.85</v>
      </c>
      <c r="P18" s="964">
        <f t="shared" si="0"/>
        <v>0</v>
      </c>
      <c r="Q18" s="962"/>
      <c r="R18" s="967"/>
      <c r="S18" s="967"/>
      <c r="T18" s="968"/>
      <c r="U18" s="969"/>
      <c r="V18" s="967"/>
      <c r="W18" s="967"/>
      <c r="X18" s="968"/>
    </row>
    <row r="19" spans="1:24" ht="30" hidden="1" customHeight="1" x14ac:dyDescent="0.2">
      <c r="A19" s="948" t="s">
        <v>391</v>
      </c>
      <c r="B19" s="954">
        <f>SUM(B20/B18)</f>
        <v>27.64</v>
      </c>
      <c r="C19" s="955">
        <f>SUM(C20/C18)</f>
        <v>27.64</v>
      </c>
      <c r="D19" s="955">
        <v>22.66</v>
      </c>
      <c r="E19" s="955">
        <v>27.64</v>
      </c>
      <c r="F19" s="956">
        <v>18.420000000000002</v>
      </c>
      <c r="G19" s="954">
        <f>SUM(G20/G18)</f>
        <v>32.054000252189724</v>
      </c>
      <c r="H19" s="955">
        <f>H20/H18</f>
        <v>31.62031409222686</v>
      </c>
      <c r="I19" s="955">
        <f>D19*1.145</f>
        <v>25.945700000000002</v>
      </c>
      <c r="J19" s="955">
        <f>SUM(H19)</f>
        <v>31.62031409222686</v>
      </c>
      <c r="K19" s="956">
        <v>20.11</v>
      </c>
      <c r="L19" s="954">
        <f>SUM(L20/L18)</f>
        <v>29.847000126094862</v>
      </c>
      <c r="M19" s="955">
        <f>SUM(M20/M18)</f>
        <v>29.630157046113432</v>
      </c>
      <c r="N19" s="955">
        <f>SUM(N20/N18)</f>
        <v>24.302849999999999</v>
      </c>
      <c r="O19" s="955">
        <f>SUM(O20/O18)</f>
        <v>29.630157046113432</v>
      </c>
      <c r="P19" s="956" t="e">
        <f>SUM(P20/P18)</f>
        <v>#DIV/0!</v>
      </c>
      <c r="Q19" s="957">
        <f>SUM(G19/B19)</f>
        <v>1.1596961017434777</v>
      </c>
      <c r="R19" s="943">
        <f>SUM(H19/C19)</f>
        <v>1.1440055749720281</v>
      </c>
      <c r="S19" s="943">
        <f>I19/D19</f>
        <v>1.145</v>
      </c>
      <c r="T19" s="950">
        <f>SUM(K19/F19)</f>
        <v>1.0917480998914222</v>
      </c>
      <c r="U19" s="952">
        <f>SUM(L19/вода!AA68)</f>
        <v>1.1130619250534282</v>
      </c>
      <c r="V19" s="944">
        <f>SUM(M19/вода!AC68)</f>
        <v>1.1008084166852701</v>
      </c>
      <c r="W19" s="944">
        <f>SUM(N19/20.9)</f>
        <v>1.1628157894736844</v>
      </c>
      <c r="X19" s="945" t="e">
        <f>SUM(P19/вода!AD68)</f>
        <v>#DIV/0!</v>
      </c>
    </row>
    <row r="20" spans="1:24" ht="30" hidden="1" customHeight="1" x14ac:dyDescent="0.2">
      <c r="A20" s="948" t="s">
        <v>392</v>
      </c>
      <c r="B20" s="954">
        <f>SUM(C20+F20)</f>
        <v>55366.651400000002</v>
      </c>
      <c r="C20" s="955">
        <f>SUM(D20:E20)+D21</f>
        <v>55366.651400000002</v>
      </c>
      <c r="D20" s="955">
        <f>D19*D18</f>
        <v>27706.6086</v>
      </c>
      <c r="E20" s="955">
        <f>E19*E18</f>
        <v>21570.947</v>
      </c>
      <c r="F20" s="956">
        <f>F19*F18</f>
        <v>0</v>
      </c>
      <c r="G20" s="954">
        <f>SUM(L20-B20)</f>
        <v>64208.489795170055</v>
      </c>
      <c r="H20" s="955">
        <f>SUM(M20-C20)</f>
        <v>63339.757869132853</v>
      </c>
      <c r="I20" s="955">
        <f>I19*I18</f>
        <v>31724.066847000002</v>
      </c>
      <c r="J20" s="955">
        <f>SUM(J18*J19)</f>
        <v>24677.283625426146</v>
      </c>
      <c r="K20" s="956">
        <f>SUM(P20-F20)</f>
        <v>868.7319260372135</v>
      </c>
      <c r="L20" s="954">
        <f>SUM(вода!AL67)</f>
        <v>119575.14119517006</v>
      </c>
      <c r="M20" s="955">
        <f>SUM(вода!AN67)</f>
        <v>118706.40926913286</v>
      </c>
      <c r="N20" s="955">
        <f>SUM(D20+I20)</f>
        <v>59430.675447000001</v>
      </c>
      <c r="O20" s="955">
        <f>SUM(E20+J20)</f>
        <v>46248.230625426149</v>
      </c>
      <c r="P20" s="956">
        <f>SUM(вода!AO67)</f>
        <v>868.7319260372135</v>
      </c>
      <c r="Q20" s="954"/>
      <c r="R20" s="941"/>
      <c r="S20" s="941"/>
      <c r="T20" s="942"/>
      <c r="U20" s="951"/>
      <c r="V20" s="941"/>
      <c r="W20" s="941"/>
      <c r="X20" s="942"/>
    </row>
    <row r="21" spans="1:24" ht="30" hidden="1" customHeight="1" thickBot="1" x14ac:dyDescent="0.25">
      <c r="A21" s="949" t="s">
        <v>394</v>
      </c>
      <c r="B21" s="958">
        <f>SUM(C21:F21)</f>
        <v>6089.095800000001</v>
      </c>
      <c r="C21" s="959">
        <v>0</v>
      </c>
      <c r="D21" s="959">
        <f>SUM(E19-D19)*D18</f>
        <v>6089.095800000001</v>
      </c>
      <c r="E21" s="959">
        <v>0</v>
      </c>
      <c r="F21" s="960">
        <v>0</v>
      </c>
      <c r="G21" s="958">
        <f>SUM(H21:K21)</f>
        <v>6938.4073967067006</v>
      </c>
      <c r="H21" s="959">
        <v>0</v>
      </c>
      <c r="I21" s="959">
        <f>SUM(H19-I19)*I18</f>
        <v>6938.4073967067006</v>
      </c>
      <c r="J21" s="959">
        <v>0</v>
      </c>
      <c r="K21" s="960">
        <v>0</v>
      </c>
      <c r="L21" s="958">
        <f>SUM(M21:P21)</f>
        <v>13027.503196706701</v>
      </c>
      <c r="M21" s="959">
        <v>0</v>
      </c>
      <c r="N21" s="959">
        <f>SUM(B21+G21)</f>
        <v>13027.503196706701</v>
      </c>
      <c r="O21" s="959">
        <v>0</v>
      </c>
      <c r="P21" s="960">
        <v>0</v>
      </c>
      <c r="Q21" s="958"/>
      <c r="R21" s="946"/>
      <c r="S21" s="946"/>
      <c r="T21" s="947"/>
      <c r="U21" s="953"/>
      <c r="V21" s="946"/>
      <c r="W21" s="946"/>
      <c r="X21" s="947"/>
    </row>
    <row r="22" spans="1:24" ht="26.25" customHeight="1" thickBot="1" x14ac:dyDescent="0.45">
      <c r="A22" s="3560" t="s">
        <v>872</v>
      </c>
      <c r="B22" s="3561"/>
      <c r="C22" s="3561"/>
      <c r="D22" s="3561"/>
      <c r="E22" s="3561"/>
      <c r="F22" s="3561"/>
      <c r="G22" s="3561"/>
      <c r="H22" s="3561"/>
      <c r="I22" s="3561"/>
      <c r="J22" s="3561"/>
      <c r="K22" s="3561"/>
      <c r="L22" s="3561"/>
      <c r="M22" s="3561"/>
      <c r="N22" s="3561"/>
      <c r="O22" s="3561"/>
      <c r="P22" s="3561"/>
      <c r="Q22" s="3561"/>
      <c r="R22" s="3561"/>
      <c r="S22" s="3561"/>
      <c r="T22" s="3561"/>
      <c r="U22" s="3561"/>
      <c r="V22" s="3561"/>
      <c r="W22" s="3561"/>
      <c r="X22" s="3562"/>
    </row>
    <row r="23" spans="1:24" ht="15" customHeight="1" thickBot="1" x14ac:dyDescent="0.25">
      <c r="A23" s="3532">
        <v>2016</v>
      </c>
      <c r="B23" s="3535" t="s">
        <v>396</v>
      </c>
      <c r="C23" s="3535"/>
      <c r="D23" s="3535"/>
      <c r="E23" s="3535"/>
      <c r="F23" s="3535"/>
      <c r="G23" s="3535"/>
      <c r="H23" s="3535"/>
      <c r="I23" s="3535"/>
      <c r="J23" s="3535"/>
      <c r="K23" s="3535"/>
      <c r="L23" s="3535"/>
      <c r="M23" s="3535"/>
      <c r="N23" s="3535"/>
      <c r="O23" s="3535"/>
      <c r="P23" s="3536"/>
      <c r="Q23" s="3537" t="s">
        <v>400</v>
      </c>
      <c r="R23" s="3538"/>
      <c r="S23" s="3538"/>
      <c r="T23" s="3539"/>
      <c r="U23" s="3537" t="s">
        <v>401</v>
      </c>
      <c r="V23" s="3538"/>
      <c r="W23" s="3538"/>
      <c r="X23" s="3539"/>
    </row>
    <row r="24" spans="1:24" ht="15" customHeight="1" thickBot="1" x14ac:dyDescent="0.25">
      <c r="A24" s="3533"/>
      <c r="B24" s="3543" t="s">
        <v>866</v>
      </c>
      <c r="C24" s="3544"/>
      <c r="D24" s="3544"/>
      <c r="E24" s="3544"/>
      <c r="F24" s="3545"/>
      <c r="G24" s="3546" t="s">
        <v>867</v>
      </c>
      <c r="H24" s="3547"/>
      <c r="I24" s="3547"/>
      <c r="J24" s="3547"/>
      <c r="K24" s="3548"/>
      <c r="L24" s="3546" t="s">
        <v>829</v>
      </c>
      <c r="M24" s="3547"/>
      <c r="N24" s="3547"/>
      <c r="O24" s="3547"/>
      <c r="P24" s="3549"/>
      <c r="Q24" s="3540"/>
      <c r="R24" s="3541"/>
      <c r="S24" s="3541"/>
      <c r="T24" s="3542"/>
      <c r="U24" s="3540"/>
      <c r="V24" s="3541"/>
      <c r="W24" s="3541"/>
      <c r="X24" s="3542"/>
    </row>
    <row r="25" spans="1:24" ht="15" customHeight="1" x14ac:dyDescent="0.2">
      <c r="A25" s="3533"/>
      <c r="B25" s="3550" t="s">
        <v>296</v>
      </c>
      <c r="C25" s="3553" t="s">
        <v>50</v>
      </c>
      <c r="D25" s="3553"/>
      <c r="E25" s="3553"/>
      <c r="F25" s="3554"/>
      <c r="G25" s="3555" t="s">
        <v>296</v>
      </c>
      <c r="H25" s="3556" t="s">
        <v>50</v>
      </c>
      <c r="I25" s="3556"/>
      <c r="J25" s="3556"/>
      <c r="K25" s="3557"/>
      <c r="L25" s="3555" t="s">
        <v>296</v>
      </c>
      <c r="M25" s="3556" t="s">
        <v>50</v>
      </c>
      <c r="N25" s="3556"/>
      <c r="O25" s="3556"/>
      <c r="P25" s="3557"/>
      <c r="Q25" s="3555" t="s">
        <v>296</v>
      </c>
      <c r="R25" s="3558" t="s">
        <v>50</v>
      </c>
      <c r="S25" s="3558"/>
      <c r="T25" s="3559"/>
      <c r="U25" s="3555" t="s">
        <v>296</v>
      </c>
      <c r="V25" s="3558" t="s">
        <v>50</v>
      </c>
      <c r="W25" s="3558"/>
      <c r="X25" s="3559"/>
    </row>
    <row r="26" spans="1:24" ht="15" customHeight="1" x14ac:dyDescent="0.2">
      <c r="A26" s="3533"/>
      <c r="B26" s="3551"/>
      <c r="C26" s="3524" t="s">
        <v>377</v>
      </c>
      <c r="D26" s="3526" t="s">
        <v>236</v>
      </c>
      <c r="E26" s="3526"/>
      <c r="F26" s="3566" t="s">
        <v>868</v>
      </c>
      <c r="G26" s="3551"/>
      <c r="H26" s="3524" t="s">
        <v>377</v>
      </c>
      <c r="I26" s="3526" t="s">
        <v>236</v>
      </c>
      <c r="J26" s="3526"/>
      <c r="K26" s="3566" t="s">
        <v>868</v>
      </c>
      <c r="L26" s="3551"/>
      <c r="M26" s="3524" t="s">
        <v>377</v>
      </c>
      <c r="N26" s="3526" t="s">
        <v>236</v>
      </c>
      <c r="O26" s="3526"/>
      <c r="P26" s="3566" t="s">
        <v>868</v>
      </c>
      <c r="Q26" s="3551"/>
      <c r="R26" s="3524" t="s">
        <v>377</v>
      </c>
      <c r="S26" s="3524"/>
      <c r="T26" s="3568" t="s">
        <v>868</v>
      </c>
      <c r="U26" s="3551"/>
      <c r="V26" s="3524" t="s">
        <v>377</v>
      </c>
      <c r="W26" s="3524"/>
      <c r="X26" s="3568" t="s">
        <v>868</v>
      </c>
    </row>
    <row r="27" spans="1:24" ht="15" customHeight="1" thickBot="1" x14ac:dyDescent="0.25">
      <c r="A27" s="3534"/>
      <c r="B27" s="3552"/>
      <c r="C27" s="3525"/>
      <c r="D27" s="961" t="s">
        <v>261</v>
      </c>
      <c r="E27" s="961" t="s">
        <v>295</v>
      </c>
      <c r="F27" s="3567"/>
      <c r="G27" s="3552"/>
      <c r="H27" s="3525"/>
      <c r="I27" s="961" t="s">
        <v>261</v>
      </c>
      <c r="J27" s="961" t="s">
        <v>295</v>
      </c>
      <c r="K27" s="3567"/>
      <c r="L27" s="3552"/>
      <c r="M27" s="3525"/>
      <c r="N27" s="961" t="s">
        <v>261</v>
      </c>
      <c r="O27" s="961" t="s">
        <v>295</v>
      </c>
      <c r="P27" s="3567"/>
      <c r="Q27" s="3552"/>
      <c r="R27" s="966" t="s">
        <v>869</v>
      </c>
      <c r="S27" s="966" t="s">
        <v>261</v>
      </c>
      <c r="T27" s="3567"/>
      <c r="U27" s="3552"/>
      <c r="V27" s="966" t="s">
        <v>869</v>
      </c>
      <c r="W27" s="966" t="s">
        <v>261</v>
      </c>
      <c r="X27" s="3567"/>
    </row>
    <row r="28" spans="1:24" ht="30" customHeight="1" x14ac:dyDescent="0.2">
      <c r="A28" s="965" t="s">
        <v>390</v>
      </c>
      <c r="B28" s="962">
        <f>SUM(объемы!T48/2)</f>
        <v>2005.3184999999999</v>
      </c>
      <c r="C28" s="963">
        <f>SUM(D28:E28)</f>
        <v>1994.6085</v>
      </c>
      <c r="D28" s="963">
        <f>SUM(объемы!T49/2)</f>
        <v>1214.28</v>
      </c>
      <c r="E28" s="963">
        <f>SUM(объемы!T51+объемы!T52)/2</f>
        <v>780.32850000000008</v>
      </c>
      <c r="F28" s="964">
        <f>SUM(объемы!T50/2)</f>
        <v>10.71</v>
      </c>
      <c r="G28" s="962">
        <f>B28</f>
        <v>2005.3184999999999</v>
      </c>
      <c r="H28" s="963">
        <f>C28</f>
        <v>1994.6085</v>
      </c>
      <c r="I28" s="963">
        <f>D28</f>
        <v>1214.28</v>
      </c>
      <c r="J28" s="963">
        <f>E28</f>
        <v>780.32850000000008</v>
      </c>
      <c r="K28" s="964">
        <f>F28</f>
        <v>10.71</v>
      </c>
      <c r="L28" s="962">
        <f>SUM(B28+G28)</f>
        <v>4010.6369999999997</v>
      </c>
      <c r="M28" s="963">
        <f>SUM(C28+H28)</f>
        <v>3989.2170000000001</v>
      </c>
      <c r="N28" s="963">
        <f>SUM(D28+I28)</f>
        <v>2428.56</v>
      </c>
      <c r="O28" s="963">
        <f>SUM(E28+J28)</f>
        <v>1560.6570000000002</v>
      </c>
      <c r="P28" s="964">
        <f>SUM(F28+K28)</f>
        <v>21.42</v>
      </c>
      <c r="Q28" s="962"/>
      <c r="R28" s="967"/>
      <c r="S28" s="967"/>
      <c r="T28" s="968"/>
      <c r="U28" s="969"/>
      <c r="V28" s="967"/>
      <c r="W28" s="967"/>
      <c r="X28" s="968"/>
    </row>
    <row r="29" spans="1:24" ht="30" customHeight="1" x14ac:dyDescent="0.2">
      <c r="A29" s="948" t="s">
        <v>391</v>
      </c>
      <c r="B29" s="954">
        <f>SUM(B30/B28)</f>
        <v>31.418117904571695</v>
      </c>
      <c r="C29" s="955">
        <f>SUM(C30/C28)</f>
        <v>31.478836558261353</v>
      </c>
      <c r="D29" s="955">
        <f>SUM(I9)</f>
        <v>25.945700000000002</v>
      </c>
      <c r="E29" s="955">
        <f>SUM(J9)</f>
        <v>31.478836558261353</v>
      </c>
      <c r="F29" s="956">
        <f>SUM(K9)</f>
        <v>20.11</v>
      </c>
      <c r="G29" s="954">
        <f>SUM(G30/G28)</f>
        <v>41.363346083361613</v>
      </c>
      <c r="H29" s="955">
        <f>H30/H28</f>
        <v>41.449326738523055</v>
      </c>
      <c r="I29" s="955">
        <f>D29*1.2</f>
        <v>31.134840000000001</v>
      </c>
      <c r="J29" s="955">
        <f>SUM(H29)</f>
        <v>41.449326738523055</v>
      </c>
      <c r="K29" s="956">
        <f t="shared" ref="K29:P29" si="1">SUM(K30/K28)</f>
        <v>25.350484680875475</v>
      </c>
      <c r="L29" s="954">
        <f t="shared" si="1"/>
        <v>36.390731993966654</v>
      </c>
      <c r="M29" s="955">
        <f t="shared" si="1"/>
        <v>36.464081648392202</v>
      </c>
      <c r="N29" s="955">
        <f t="shared" si="1"/>
        <v>28.540270000000003</v>
      </c>
      <c r="O29" s="955">
        <f t="shared" si="1"/>
        <v>36.464081648392202</v>
      </c>
      <c r="P29" s="956">
        <f t="shared" si="1"/>
        <v>22.730242340437737</v>
      </c>
      <c r="Q29" s="957">
        <f>SUM(G29/B29)</f>
        <v>1.3165443649106292</v>
      </c>
      <c r="R29" s="943">
        <f>SUM(H29/C29)</f>
        <v>1.3167362987449749</v>
      </c>
      <c r="S29" s="943">
        <f>I29/D29</f>
        <v>1.2</v>
      </c>
      <c r="T29" s="950">
        <f>SUM(K29/F29)</f>
        <v>1.2605909836337879</v>
      </c>
      <c r="U29" s="952">
        <f>SUM(L29/L9)</f>
        <v>1.175553196550813</v>
      </c>
      <c r="V29" s="944">
        <f>SUM(M29/M9)</f>
        <v>1.186232000790596</v>
      </c>
      <c r="W29" s="944">
        <f>SUM(N29/N9)</f>
        <v>1.1743589743589746</v>
      </c>
      <c r="X29" s="945" t="e">
        <f>SUM(P29/P9)</f>
        <v>#DIV/0!</v>
      </c>
    </row>
    <row r="30" spans="1:24" ht="30" customHeight="1" x14ac:dyDescent="0.2">
      <c r="A30" s="948" t="s">
        <v>392</v>
      </c>
      <c r="B30" s="954">
        <f>SUM(C30+F30)</f>
        <v>63003.333069218847</v>
      </c>
      <c r="C30" s="955">
        <f>SUM(D30:E30)+D31</f>
        <v>62787.954969218845</v>
      </c>
      <c r="D30" s="955">
        <f>D29*D28</f>
        <v>31505.344596000003</v>
      </c>
      <c r="E30" s="955">
        <f>E29*E28</f>
        <v>24563.833313253246</v>
      </c>
      <c r="F30" s="956">
        <f>F29*F28</f>
        <v>215.37810000000002</v>
      </c>
      <c r="G30" s="954">
        <f>SUM(L30-B30)</f>
        <v>82946.683122867573</v>
      </c>
      <c r="H30" s="955">
        <f>SUM(M30-C30)</f>
        <v>82675.179431935365</v>
      </c>
      <c r="I30" s="955">
        <f>I29*I28</f>
        <v>37806.413515200002</v>
      </c>
      <c r="J30" s="955">
        <f>SUM(J28*J29)</f>
        <v>32344.090959881592</v>
      </c>
      <c r="K30" s="956">
        <f>SUM(P30-F30)</f>
        <v>271.50369093217637</v>
      </c>
      <c r="L30" s="954">
        <f>SUM(вода!AZ70)</f>
        <v>145950.01619208642</v>
      </c>
      <c r="M30" s="955">
        <f>SUM(вода!BB70)</f>
        <v>145463.13440115421</v>
      </c>
      <c r="N30" s="955">
        <f>SUM(D30+I30)</f>
        <v>69311.758111200004</v>
      </c>
      <c r="O30" s="955">
        <f>SUM(E30+J30)</f>
        <v>56907.924273134835</v>
      </c>
      <c r="P30" s="956">
        <f>SUM(вода!BC70)</f>
        <v>486.88179093217639</v>
      </c>
      <c r="Q30" s="954"/>
      <c r="R30" s="941"/>
      <c r="S30" s="941"/>
      <c r="T30" s="942"/>
      <c r="U30" s="951"/>
      <c r="V30" s="941"/>
      <c r="W30" s="941"/>
      <c r="X30" s="942"/>
    </row>
    <row r="31" spans="1:24" ht="30" customHeight="1" thickBot="1" x14ac:dyDescent="0.25">
      <c r="A31" s="949" t="s">
        <v>394</v>
      </c>
      <c r="B31" s="958">
        <f>SUM(C31:F31)</f>
        <v>6718.7770599655933</v>
      </c>
      <c r="C31" s="959">
        <v>0</v>
      </c>
      <c r="D31" s="959">
        <f>SUM(E29-D29)*D28</f>
        <v>6718.7770599655933</v>
      </c>
      <c r="E31" s="959">
        <v>0</v>
      </c>
      <c r="F31" s="960">
        <v>0</v>
      </c>
      <c r="G31" s="958">
        <f>SUM(H31:K31)</f>
        <v>12524.674956853774</v>
      </c>
      <c r="H31" s="959">
        <v>0</v>
      </c>
      <c r="I31" s="959">
        <f>SUM(H29-I29)*I28</f>
        <v>12524.674956853774</v>
      </c>
      <c r="J31" s="959">
        <v>0</v>
      </c>
      <c r="K31" s="960">
        <v>0</v>
      </c>
      <c r="L31" s="958">
        <f>SUM(M31:P31)</f>
        <v>19243.452016819367</v>
      </c>
      <c r="M31" s="959">
        <v>0</v>
      </c>
      <c r="N31" s="959">
        <f>SUM(B31+G31)</f>
        <v>19243.452016819367</v>
      </c>
      <c r="O31" s="959">
        <v>0</v>
      </c>
      <c r="P31" s="960">
        <v>0</v>
      </c>
      <c r="Q31" s="958"/>
      <c r="R31" s="946"/>
      <c r="S31" s="946"/>
      <c r="T31" s="947"/>
      <c r="U31" s="953"/>
      <c r="V31" s="946"/>
      <c r="W31" s="946"/>
      <c r="X31" s="947"/>
    </row>
    <row r="32" spans="1:24" ht="15" customHeight="1" thickBot="1" x14ac:dyDescent="0.25">
      <c r="A32" s="3495"/>
      <c r="B32" s="3496"/>
      <c r="C32" s="3496"/>
      <c r="D32" s="3496"/>
      <c r="E32" s="3496"/>
      <c r="F32" s="3496"/>
      <c r="G32" s="3496"/>
      <c r="H32" s="3496"/>
      <c r="I32" s="3496"/>
      <c r="J32" s="3496"/>
      <c r="K32" s="3496"/>
      <c r="L32" s="3496"/>
      <c r="M32" s="3496"/>
      <c r="N32" s="3496"/>
      <c r="O32" s="3496"/>
      <c r="P32" s="3496"/>
      <c r="Q32" s="3496"/>
      <c r="R32" s="3496"/>
      <c r="S32" s="3496"/>
      <c r="T32" s="3496"/>
      <c r="U32" s="3496"/>
      <c r="V32" s="3496"/>
      <c r="W32" s="3496"/>
      <c r="X32" s="3497"/>
    </row>
    <row r="33" spans="1:24" ht="15" customHeight="1" thickBot="1" x14ac:dyDescent="0.25">
      <c r="A33" s="3532">
        <v>2016</v>
      </c>
      <c r="B33" s="3535" t="s">
        <v>393</v>
      </c>
      <c r="C33" s="3535"/>
      <c r="D33" s="3535"/>
      <c r="E33" s="3535"/>
      <c r="F33" s="3535"/>
      <c r="G33" s="3535"/>
      <c r="H33" s="3535"/>
      <c r="I33" s="3535"/>
      <c r="J33" s="3535"/>
      <c r="K33" s="3535"/>
      <c r="L33" s="3535"/>
      <c r="M33" s="3535"/>
      <c r="N33" s="3535"/>
      <c r="O33" s="3535"/>
      <c r="P33" s="3536"/>
      <c r="Q33" s="3537" t="s">
        <v>400</v>
      </c>
      <c r="R33" s="3538"/>
      <c r="S33" s="3538"/>
      <c r="T33" s="3539"/>
      <c r="U33" s="3537" t="s">
        <v>401</v>
      </c>
      <c r="V33" s="3538"/>
      <c r="W33" s="3538"/>
      <c r="X33" s="3539"/>
    </row>
    <row r="34" spans="1:24" ht="15" customHeight="1" thickBot="1" x14ac:dyDescent="0.25">
      <c r="A34" s="3533"/>
      <c r="B34" s="3543" t="s">
        <v>866</v>
      </c>
      <c r="C34" s="3544"/>
      <c r="D34" s="3544"/>
      <c r="E34" s="3544"/>
      <c r="F34" s="3545"/>
      <c r="G34" s="3546" t="s">
        <v>867</v>
      </c>
      <c r="H34" s="3547"/>
      <c r="I34" s="3547"/>
      <c r="J34" s="3547"/>
      <c r="K34" s="3548"/>
      <c r="L34" s="3546" t="s">
        <v>829</v>
      </c>
      <c r="M34" s="3547"/>
      <c r="N34" s="3547"/>
      <c r="O34" s="3547"/>
      <c r="P34" s="3549"/>
      <c r="Q34" s="3540"/>
      <c r="R34" s="3541"/>
      <c r="S34" s="3541"/>
      <c r="T34" s="3542"/>
      <c r="U34" s="3540"/>
      <c r="V34" s="3541"/>
      <c r="W34" s="3541"/>
      <c r="X34" s="3542"/>
    </row>
    <row r="35" spans="1:24" ht="15" customHeight="1" x14ac:dyDescent="0.2">
      <c r="A35" s="3533"/>
      <c r="B35" s="3550" t="s">
        <v>296</v>
      </c>
      <c r="C35" s="3553" t="s">
        <v>50</v>
      </c>
      <c r="D35" s="3553"/>
      <c r="E35" s="3553"/>
      <c r="F35" s="3554"/>
      <c r="G35" s="3555" t="s">
        <v>296</v>
      </c>
      <c r="H35" s="3556" t="s">
        <v>50</v>
      </c>
      <c r="I35" s="3556"/>
      <c r="J35" s="3556"/>
      <c r="K35" s="3557"/>
      <c r="L35" s="3555" t="s">
        <v>296</v>
      </c>
      <c r="M35" s="3556" t="s">
        <v>50</v>
      </c>
      <c r="N35" s="3556"/>
      <c r="O35" s="3556"/>
      <c r="P35" s="3557"/>
      <c r="Q35" s="3555" t="s">
        <v>296</v>
      </c>
      <c r="R35" s="3558" t="s">
        <v>50</v>
      </c>
      <c r="S35" s="3558"/>
      <c r="T35" s="3559"/>
      <c r="U35" s="3555" t="s">
        <v>296</v>
      </c>
      <c r="V35" s="3558" t="s">
        <v>50</v>
      </c>
      <c r="W35" s="3558"/>
      <c r="X35" s="3559"/>
    </row>
    <row r="36" spans="1:24" ht="15" customHeight="1" x14ac:dyDescent="0.2">
      <c r="A36" s="3533"/>
      <c r="B36" s="3551"/>
      <c r="C36" s="3524" t="s">
        <v>377</v>
      </c>
      <c r="D36" s="3526" t="s">
        <v>236</v>
      </c>
      <c r="E36" s="3526"/>
      <c r="F36" s="3566" t="s">
        <v>868</v>
      </c>
      <c r="G36" s="3551"/>
      <c r="H36" s="3524" t="s">
        <v>377</v>
      </c>
      <c r="I36" s="3526" t="s">
        <v>236</v>
      </c>
      <c r="J36" s="3526"/>
      <c r="K36" s="3566" t="s">
        <v>868</v>
      </c>
      <c r="L36" s="3551"/>
      <c r="M36" s="3524" t="s">
        <v>377</v>
      </c>
      <c r="N36" s="3526" t="s">
        <v>236</v>
      </c>
      <c r="O36" s="3526"/>
      <c r="P36" s="3566" t="s">
        <v>868</v>
      </c>
      <c r="Q36" s="3551"/>
      <c r="R36" s="3524" t="s">
        <v>377</v>
      </c>
      <c r="S36" s="3524"/>
      <c r="T36" s="3568" t="s">
        <v>868</v>
      </c>
      <c r="U36" s="3551"/>
      <c r="V36" s="3524" t="s">
        <v>377</v>
      </c>
      <c r="W36" s="3524"/>
      <c r="X36" s="3568" t="s">
        <v>868</v>
      </c>
    </row>
    <row r="37" spans="1:24" ht="15" customHeight="1" thickBot="1" x14ac:dyDescent="0.25">
      <c r="A37" s="3534"/>
      <c r="B37" s="3552"/>
      <c r="C37" s="3525"/>
      <c r="D37" s="961" t="s">
        <v>261</v>
      </c>
      <c r="E37" s="961" t="s">
        <v>295</v>
      </c>
      <c r="F37" s="3567"/>
      <c r="G37" s="3552"/>
      <c r="H37" s="3525"/>
      <c r="I37" s="961" t="s">
        <v>261</v>
      </c>
      <c r="J37" s="961" t="s">
        <v>295</v>
      </c>
      <c r="K37" s="3567"/>
      <c r="L37" s="3552"/>
      <c r="M37" s="3525"/>
      <c r="N37" s="961" t="s">
        <v>261</v>
      </c>
      <c r="O37" s="961" t="s">
        <v>295</v>
      </c>
      <c r="P37" s="3567"/>
      <c r="Q37" s="3552"/>
      <c r="R37" s="966" t="s">
        <v>869</v>
      </c>
      <c r="S37" s="966" t="s">
        <v>261</v>
      </c>
      <c r="T37" s="3567"/>
      <c r="U37" s="3552"/>
      <c r="V37" s="966" t="s">
        <v>869</v>
      </c>
      <c r="W37" s="966" t="s">
        <v>261</v>
      </c>
      <c r="X37" s="3567"/>
    </row>
    <row r="38" spans="1:24" ht="30" customHeight="1" x14ac:dyDescent="0.2">
      <c r="A38" s="965" t="s">
        <v>390</v>
      </c>
      <c r="B38" s="962">
        <f>SUM(B28)</f>
        <v>2005.3184999999999</v>
      </c>
      <c r="C38" s="963">
        <f t="shared" ref="C38:P38" si="2">SUM(C28)</f>
        <v>1994.6085</v>
      </c>
      <c r="D38" s="963">
        <f t="shared" si="2"/>
        <v>1214.28</v>
      </c>
      <c r="E38" s="963">
        <f t="shared" si="2"/>
        <v>780.32850000000008</v>
      </c>
      <c r="F38" s="964">
        <f t="shared" si="2"/>
        <v>10.71</v>
      </c>
      <c r="G38" s="962">
        <f t="shared" si="2"/>
        <v>2005.3184999999999</v>
      </c>
      <c r="H38" s="963">
        <f t="shared" si="2"/>
        <v>1994.6085</v>
      </c>
      <c r="I38" s="963">
        <f t="shared" si="2"/>
        <v>1214.28</v>
      </c>
      <c r="J38" s="963">
        <f t="shared" si="2"/>
        <v>780.32850000000008</v>
      </c>
      <c r="K38" s="964">
        <f t="shared" si="2"/>
        <v>10.71</v>
      </c>
      <c r="L38" s="962">
        <f t="shared" si="2"/>
        <v>4010.6369999999997</v>
      </c>
      <c r="M38" s="963">
        <f t="shared" si="2"/>
        <v>3989.2170000000001</v>
      </c>
      <c r="N38" s="963">
        <f t="shared" si="2"/>
        <v>2428.56</v>
      </c>
      <c r="O38" s="963">
        <f t="shared" si="2"/>
        <v>1560.6570000000002</v>
      </c>
      <c r="P38" s="964">
        <f t="shared" si="2"/>
        <v>21.42</v>
      </c>
      <c r="Q38" s="962"/>
      <c r="R38" s="967"/>
      <c r="S38" s="967"/>
      <c r="T38" s="968"/>
      <c r="U38" s="969"/>
      <c r="V38" s="967"/>
      <c r="W38" s="967"/>
      <c r="X38" s="968"/>
    </row>
    <row r="39" spans="1:24" ht="30" customHeight="1" x14ac:dyDescent="0.2">
      <c r="A39" s="948" t="s">
        <v>391</v>
      </c>
      <c r="B39" s="954">
        <f>SUM(B40/B38)</f>
        <v>31.558839835679713</v>
      </c>
      <c r="C39" s="955">
        <f>SUM(C40/C38)</f>
        <v>31.62031409222686</v>
      </c>
      <c r="D39" s="955">
        <f>SUM(I19)</f>
        <v>25.945700000000002</v>
      </c>
      <c r="E39" s="955">
        <f>SUM(J19)</f>
        <v>31.62031409222686</v>
      </c>
      <c r="F39" s="956">
        <f>SUM(K19)</f>
        <v>20.11</v>
      </c>
      <c r="G39" s="954">
        <f>SUM(G40/G38)</f>
        <v>39.239896720177342</v>
      </c>
      <c r="H39" s="955">
        <f>H40/H38</f>
        <v>39.314475567575663</v>
      </c>
      <c r="I39" s="955">
        <f>D39*1.2</f>
        <v>31.134840000000001</v>
      </c>
      <c r="J39" s="955">
        <f>SUM(H39)</f>
        <v>39.314475567575663</v>
      </c>
      <c r="K39" s="956">
        <f t="shared" ref="K39:P39" si="3">SUM(K40/K38)</f>
        <v>25.350484680875475</v>
      </c>
      <c r="L39" s="954">
        <f t="shared" si="3"/>
        <v>35.399368277928524</v>
      </c>
      <c r="M39" s="955">
        <f t="shared" si="3"/>
        <v>35.467394829901259</v>
      </c>
      <c r="N39" s="955">
        <f t="shared" si="3"/>
        <v>28.540270000000003</v>
      </c>
      <c r="O39" s="955">
        <f t="shared" si="3"/>
        <v>35.467394829901266</v>
      </c>
      <c r="P39" s="956">
        <f t="shared" si="3"/>
        <v>22.730242340437737</v>
      </c>
      <c r="Q39" s="957">
        <f>SUM(G39/B39)</f>
        <v>1.2433884428100428</v>
      </c>
      <c r="R39" s="943">
        <f>SUM(H39/C39)</f>
        <v>1.2433296978931729</v>
      </c>
      <c r="S39" s="943">
        <f>I39/D39</f>
        <v>1.2</v>
      </c>
      <c r="T39" s="950">
        <f>SUM(K39/F39)</f>
        <v>1.2605909836337879</v>
      </c>
      <c r="U39" s="952">
        <f>SUM(L39/L19)</f>
        <v>1.1860276787742998</v>
      </c>
      <c r="V39" s="944">
        <f>SUM(M39/M19)</f>
        <v>1.1970032684843124</v>
      </c>
      <c r="W39" s="944">
        <f>SUM(N39/N19)</f>
        <v>1.1743589743589746</v>
      </c>
      <c r="X39" s="945" t="e">
        <f>SUM(P39/P19)</f>
        <v>#DIV/0!</v>
      </c>
    </row>
    <row r="40" spans="1:24" ht="30" customHeight="1" x14ac:dyDescent="0.2">
      <c r="A40" s="948" t="s">
        <v>392</v>
      </c>
      <c r="B40" s="954">
        <f>SUM(C40+F40)</f>
        <v>63285.52536102548</v>
      </c>
      <c r="C40" s="955">
        <f>SUM(D40:E40)+D41</f>
        <v>63070.147261025479</v>
      </c>
      <c r="D40" s="955">
        <f>D39*D38</f>
        <v>31505.344596000003</v>
      </c>
      <c r="E40" s="955">
        <f>E39*E38</f>
        <v>24674.23226511625</v>
      </c>
      <c r="F40" s="956">
        <f>F39*F38</f>
        <v>215.37810000000002</v>
      </c>
      <c r="G40" s="954">
        <f>SUM(L40-B40)</f>
        <v>78688.490831060946</v>
      </c>
      <c r="H40" s="955">
        <f>SUM(M40-C40)</f>
        <v>78416.987140128738</v>
      </c>
      <c r="I40" s="955">
        <f>I39*I38</f>
        <v>37806.413515200002</v>
      </c>
      <c r="J40" s="955">
        <f>SUM(J38*J39)</f>
        <v>30678.205747932967</v>
      </c>
      <c r="K40" s="956">
        <f>SUM(P40-F40)</f>
        <v>271.50369093217637</v>
      </c>
      <c r="L40" s="954">
        <f>SUM(вода!AZ67)</f>
        <v>141974.01619208642</v>
      </c>
      <c r="M40" s="955">
        <f>SUM(вода!BB67)</f>
        <v>141487.13440115421</v>
      </c>
      <c r="N40" s="955">
        <f>SUM(D40+I40)</f>
        <v>69311.758111200004</v>
      </c>
      <c r="O40" s="955">
        <f>SUM(E40+J40)</f>
        <v>55352.438013049221</v>
      </c>
      <c r="P40" s="956">
        <f>SUM(вода!BC67)</f>
        <v>486.88179093217639</v>
      </c>
      <c r="Q40" s="954"/>
      <c r="R40" s="941"/>
      <c r="S40" s="941"/>
      <c r="T40" s="942"/>
      <c r="U40" s="951"/>
      <c r="V40" s="941"/>
      <c r="W40" s="941"/>
      <c r="X40" s="942"/>
    </row>
    <row r="41" spans="1:24" ht="30" customHeight="1" thickBot="1" x14ac:dyDescent="0.25">
      <c r="A41" s="949" t="s">
        <v>394</v>
      </c>
      <c r="B41" s="958">
        <f>SUM(C41:F41)</f>
        <v>6890.5703999092284</v>
      </c>
      <c r="C41" s="959">
        <v>0</v>
      </c>
      <c r="D41" s="959">
        <f>SUM(E39-D39)*D38</f>
        <v>6890.5703999092284</v>
      </c>
      <c r="E41" s="959">
        <v>0</v>
      </c>
      <c r="F41" s="960">
        <v>0</v>
      </c>
      <c r="G41" s="958">
        <f>SUM(H41:K41)</f>
        <v>9932.3678769957751</v>
      </c>
      <c r="H41" s="959">
        <v>0</v>
      </c>
      <c r="I41" s="959">
        <f>SUM(H39-I39)*I38</f>
        <v>9932.3678769957751</v>
      </c>
      <c r="J41" s="959">
        <v>0</v>
      </c>
      <c r="K41" s="960">
        <v>0</v>
      </c>
      <c r="L41" s="958">
        <f>SUM(M41:P41)</f>
        <v>16822.938276905003</v>
      </c>
      <c r="M41" s="959">
        <v>0</v>
      </c>
      <c r="N41" s="959">
        <f>SUM(B41+G41)</f>
        <v>16822.938276905003</v>
      </c>
      <c r="O41" s="959">
        <v>0</v>
      </c>
      <c r="P41" s="960">
        <v>0</v>
      </c>
      <c r="Q41" s="958"/>
      <c r="R41" s="946"/>
      <c r="S41" s="946"/>
      <c r="T41" s="947"/>
      <c r="U41" s="953"/>
      <c r="V41" s="946"/>
      <c r="W41" s="946"/>
      <c r="X41" s="947"/>
    </row>
    <row r="42" spans="1:24" ht="26.25" customHeight="1" thickBot="1" x14ac:dyDescent="0.45">
      <c r="A42" s="3529" t="s">
        <v>870</v>
      </c>
      <c r="B42" s="3530"/>
      <c r="C42" s="3530"/>
      <c r="D42" s="3530"/>
      <c r="E42" s="3530"/>
      <c r="F42" s="3530"/>
      <c r="G42" s="3530"/>
      <c r="H42" s="3530"/>
      <c r="I42" s="3530"/>
      <c r="J42" s="3530"/>
      <c r="K42" s="3530"/>
      <c r="L42" s="3530"/>
      <c r="M42" s="3530"/>
      <c r="N42" s="3530"/>
      <c r="O42" s="3530"/>
      <c r="P42" s="3530"/>
      <c r="Q42" s="3530"/>
      <c r="R42" s="3530"/>
      <c r="S42" s="3530"/>
      <c r="T42" s="3530"/>
      <c r="U42" s="3530"/>
      <c r="V42" s="3530"/>
      <c r="W42" s="3530"/>
      <c r="X42" s="3531"/>
    </row>
    <row r="43" spans="1:24" ht="15" customHeight="1" thickBot="1" x14ac:dyDescent="0.25">
      <c r="A43" s="3498">
        <v>2016</v>
      </c>
      <c r="B43" s="3501" t="s">
        <v>396</v>
      </c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3501"/>
      <c r="N43" s="3501"/>
      <c r="O43" s="3501"/>
      <c r="P43" s="3502"/>
      <c r="Q43" s="3511" t="s">
        <v>400</v>
      </c>
      <c r="R43" s="3512"/>
      <c r="S43" s="3512"/>
      <c r="T43" s="3513"/>
      <c r="U43" s="3511" t="s">
        <v>401</v>
      </c>
      <c r="V43" s="3512"/>
      <c r="W43" s="3512"/>
      <c r="X43" s="3513"/>
    </row>
    <row r="44" spans="1:24" ht="15" customHeight="1" thickBot="1" x14ac:dyDescent="0.25">
      <c r="A44" s="3499"/>
      <c r="B44" s="3517" t="s">
        <v>866</v>
      </c>
      <c r="C44" s="3518"/>
      <c r="D44" s="3518"/>
      <c r="E44" s="3518"/>
      <c r="F44" s="3519"/>
      <c r="G44" s="3520" t="s">
        <v>867</v>
      </c>
      <c r="H44" s="3521"/>
      <c r="I44" s="3521"/>
      <c r="J44" s="3521"/>
      <c r="K44" s="3522"/>
      <c r="L44" s="3520" t="s">
        <v>829</v>
      </c>
      <c r="M44" s="3521"/>
      <c r="N44" s="3521"/>
      <c r="O44" s="3521"/>
      <c r="P44" s="3523"/>
      <c r="Q44" s="3514"/>
      <c r="R44" s="3515"/>
      <c r="S44" s="3515"/>
      <c r="T44" s="3516"/>
      <c r="U44" s="3514"/>
      <c r="V44" s="3515"/>
      <c r="W44" s="3515"/>
      <c r="X44" s="3516"/>
    </row>
    <row r="45" spans="1:24" ht="15" customHeight="1" x14ac:dyDescent="0.2">
      <c r="A45" s="3499"/>
      <c r="B45" s="3503" t="s">
        <v>296</v>
      </c>
      <c r="C45" s="3506" t="s">
        <v>50</v>
      </c>
      <c r="D45" s="3506"/>
      <c r="E45" s="3506"/>
      <c r="F45" s="3507"/>
      <c r="G45" s="3508" t="s">
        <v>296</v>
      </c>
      <c r="H45" s="3509" t="s">
        <v>50</v>
      </c>
      <c r="I45" s="3509"/>
      <c r="J45" s="3509"/>
      <c r="K45" s="3510"/>
      <c r="L45" s="3508" t="s">
        <v>296</v>
      </c>
      <c r="M45" s="3509" t="s">
        <v>50</v>
      </c>
      <c r="N45" s="3509"/>
      <c r="O45" s="3509"/>
      <c r="P45" s="3510"/>
      <c r="Q45" s="3508" t="s">
        <v>296</v>
      </c>
      <c r="R45" s="3484" t="s">
        <v>50</v>
      </c>
      <c r="S45" s="3484"/>
      <c r="T45" s="3485"/>
      <c r="U45" s="3508" t="s">
        <v>296</v>
      </c>
      <c r="V45" s="3484" t="s">
        <v>50</v>
      </c>
      <c r="W45" s="3484"/>
      <c r="X45" s="3485"/>
    </row>
    <row r="46" spans="1:24" ht="15" customHeight="1" x14ac:dyDescent="0.2">
      <c r="A46" s="3499"/>
      <c r="B46" s="3504"/>
      <c r="C46" s="3486" t="s">
        <v>377</v>
      </c>
      <c r="D46" s="3494" t="s">
        <v>236</v>
      </c>
      <c r="E46" s="3494"/>
      <c r="F46" s="3563" t="s">
        <v>868</v>
      </c>
      <c r="G46" s="3504"/>
      <c r="H46" s="3486" t="s">
        <v>377</v>
      </c>
      <c r="I46" s="3494" t="s">
        <v>236</v>
      </c>
      <c r="J46" s="3494"/>
      <c r="K46" s="3563" t="s">
        <v>868</v>
      </c>
      <c r="L46" s="3504"/>
      <c r="M46" s="3486" t="s">
        <v>377</v>
      </c>
      <c r="N46" s="3494" t="s">
        <v>236</v>
      </c>
      <c r="O46" s="3494"/>
      <c r="P46" s="3563" t="s">
        <v>868</v>
      </c>
      <c r="Q46" s="3504"/>
      <c r="R46" s="3486" t="s">
        <v>377</v>
      </c>
      <c r="S46" s="3486"/>
      <c r="T46" s="3565" t="s">
        <v>868</v>
      </c>
      <c r="U46" s="3504"/>
      <c r="V46" s="3486" t="s">
        <v>377</v>
      </c>
      <c r="W46" s="3486"/>
      <c r="X46" s="3565" t="s">
        <v>868</v>
      </c>
    </row>
    <row r="47" spans="1:24" ht="15" customHeight="1" thickBot="1" x14ac:dyDescent="0.25">
      <c r="A47" s="3500"/>
      <c r="B47" s="3505"/>
      <c r="C47" s="3493"/>
      <c r="D47" s="970" t="s">
        <v>261</v>
      </c>
      <c r="E47" s="970" t="s">
        <v>295</v>
      </c>
      <c r="F47" s="3564"/>
      <c r="G47" s="3505"/>
      <c r="H47" s="3493"/>
      <c r="I47" s="970" t="s">
        <v>261</v>
      </c>
      <c r="J47" s="970" t="s">
        <v>295</v>
      </c>
      <c r="K47" s="3564"/>
      <c r="L47" s="3505"/>
      <c r="M47" s="3493"/>
      <c r="N47" s="970" t="s">
        <v>261</v>
      </c>
      <c r="O47" s="970" t="s">
        <v>295</v>
      </c>
      <c r="P47" s="3564"/>
      <c r="Q47" s="3505"/>
      <c r="R47" s="970" t="s">
        <v>869</v>
      </c>
      <c r="S47" s="970" t="s">
        <v>261</v>
      </c>
      <c r="T47" s="3564"/>
      <c r="U47" s="3505"/>
      <c r="V47" s="970" t="s">
        <v>869</v>
      </c>
      <c r="W47" s="970" t="s">
        <v>261</v>
      </c>
      <c r="X47" s="3564"/>
    </row>
    <row r="48" spans="1:24" ht="30" customHeight="1" x14ac:dyDescent="0.2">
      <c r="A48" s="971" t="s">
        <v>390</v>
      </c>
      <c r="B48" s="972">
        <f>SUM(объемы!AA48/2)</f>
        <v>1994.6085</v>
      </c>
      <c r="C48" s="973">
        <f>SUM(D48:E48)</f>
        <v>1994.6085</v>
      </c>
      <c r="D48" s="973">
        <f>SUM(объемы!AA49/2)</f>
        <v>1214.28</v>
      </c>
      <c r="E48" s="973">
        <f>SUM(объемы!AA51+объемы!AA52)/2</f>
        <v>780.32850000000008</v>
      </c>
      <c r="F48" s="974">
        <f>SUM(объемы!AA50/2)</f>
        <v>0</v>
      </c>
      <c r="G48" s="972">
        <f>B48</f>
        <v>1994.6085</v>
      </c>
      <c r="H48" s="973">
        <f>C48</f>
        <v>1994.6085</v>
      </c>
      <c r="I48" s="973">
        <f>D48</f>
        <v>1214.28</v>
      </c>
      <c r="J48" s="973">
        <f>E48</f>
        <v>780.32850000000008</v>
      </c>
      <c r="K48" s="974">
        <f>F48</f>
        <v>0</v>
      </c>
      <c r="L48" s="972">
        <f>SUM(B48+G48)</f>
        <v>3989.2170000000001</v>
      </c>
      <c r="M48" s="973">
        <f>SUM(C48+H48)</f>
        <v>3989.2170000000001</v>
      </c>
      <c r="N48" s="973">
        <f>SUM(D48+I48)</f>
        <v>2428.56</v>
      </c>
      <c r="O48" s="973">
        <f>SUM(E48+J48)</f>
        <v>1560.6570000000002</v>
      </c>
      <c r="P48" s="974">
        <f>SUM(F48+K48)</f>
        <v>0</v>
      </c>
      <c r="Q48" s="972"/>
      <c r="R48" s="975"/>
      <c r="S48" s="975"/>
      <c r="T48" s="976"/>
      <c r="U48" s="977"/>
      <c r="V48" s="975"/>
      <c r="W48" s="975"/>
      <c r="X48" s="976"/>
    </row>
    <row r="49" spans="1:24" ht="30" customHeight="1" x14ac:dyDescent="0.2">
      <c r="A49" s="978" t="s">
        <v>391</v>
      </c>
      <c r="B49" s="979">
        <f>SUM(B50/B48)</f>
        <v>31.478836558261353</v>
      </c>
      <c r="C49" s="980">
        <f>SUM(C50/C48)</f>
        <v>31.478836558261353</v>
      </c>
      <c r="D49" s="980">
        <f>SUM(I9)</f>
        <v>25.945700000000002</v>
      </c>
      <c r="E49" s="980">
        <f>SUM(J9)</f>
        <v>31.478836558261353</v>
      </c>
      <c r="F49" s="981">
        <f>SUM(K9)</f>
        <v>20.11</v>
      </c>
      <c r="G49" s="979">
        <f>SUM(G50/G48)</f>
        <v>33.777560230480169</v>
      </c>
      <c r="H49" s="980">
        <f>H50/H48</f>
        <v>33.777560230480169</v>
      </c>
      <c r="I49" s="980">
        <f>D49*1.045</f>
        <v>27.113256500000002</v>
      </c>
      <c r="J49" s="980">
        <f>SUM(H49)</f>
        <v>33.777560230480169</v>
      </c>
      <c r="K49" s="981" t="e">
        <f t="shared" ref="K49:P49" si="4">SUM(K50/K48)</f>
        <v>#DIV/0!</v>
      </c>
      <c r="L49" s="979">
        <f t="shared" si="4"/>
        <v>32.628198394370763</v>
      </c>
      <c r="M49" s="980">
        <f t="shared" si="4"/>
        <v>32.628198394370763</v>
      </c>
      <c r="N49" s="980">
        <f t="shared" si="4"/>
        <v>26.529478250000004</v>
      </c>
      <c r="O49" s="980">
        <f t="shared" si="4"/>
        <v>32.628198394370763</v>
      </c>
      <c r="P49" s="981" t="e">
        <f t="shared" si="4"/>
        <v>#DIV/0!</v>
      </c>
      <c r="Q49" s="982">
        <f>SUM(G49/B49)</f>
        <v>1.0730244165143878</v>
      </c>
      <c r="R49" s="983">
        <f>SUM(H49/C49)</f>
        <v>1.0730244165143878</v>
      </c>
      <c r="S49" s="983">
        <f>I49/D49</f>
        <v>1.0449999999999999</v>
      </c>
      <c r="T49" s="984" t="e">
        <f>SUM(K49/F49)</f>
        <v>#DIV/0!</v>
      </c>
      <c r="U49" s="985">
        <f>SUM(L49/L9)</f>
        <v>1.0540096562651133</v>
      </c>
      <c r="V49" s="986">
        <f>SUM(M49/M9)</f>
        <v>1.0614448880616065</v>
      </c>
      <c r="W49" s="986">
        <f>SUM(N49/N9)</f>
        <v>1.0916200466200467</v>
      </c>
      <c r="X49" s="987" t="e">
        <f>SUM(P49/P9)</f>
        <v>#DIV/0!</v>
      </c>
    </row>
    <row r="50" spans="1:24" ht="30" customHeight="1" x14ac:dyDescent="0.2">
      <c r="A50" s="978" t="s">
        <v>392</v>
      </c>
      <c r="B50" s="979">
        <f>SUM(C50+F50)</f>
        <v>62787.954969218845</v>
      </c>
      <c r="C50" s="980">
        <f>SUM(D50:E50)+D51</f>
        <v>62787.954969218845</v>
      </c>
      <c r="D50" s="980">
        <f>D49*D48</f>
        <v>31505.344596000003</v>
      </c>
      <c r="E50" s="980">
        <f>E49*E48</f>
        <v>24563.833313253246</v>
      </c>
      <c r="F50" s="981">
        <f>F49*F48</f>
        <v>0</v>
      </c>
      <c r="G50" s="979">
        <f>SUM(L50-B50)</f>
        <v>67373.008744977706</v>
      </c>
      <c r="H50" s="980">
        <f>SUM(M50-C50)</f>
        <v>67373.008744977706</v>
      </c>
      <c r="I50" s="980">
        <f>I49*I48</f>
        <v>32923.085102820005</v>
      </c>
      <c r="J50" s="980">
        <f>SUM(J48*J49)</f>
        <v>26357.592908310249</v>
      </c>
      <c r="K50" s="981">
        <f>SUM(P50-F50)</f>
        <v>344.13892519829579</v>
      </c>
      <c r="L50" s="979">
        <f>вода!BF70</f>
        <v>130160.96371419655</v>
      </c>
      <c r="M50" s="980">
        <f>SUM(вода!BF70)</f>
        <v>130160.96371419655</v>
      </c>
      <c r="N50" s="980">
        <f>SUM(D50+I50)</f>
        <v>64428.429698820008</v>
      </c>
      <c r="O50" s="980">
        <f>SUM(E50+J50)</f>
        <v>50921.426221563495</v>
      </c>
      <c r="P50" s="981">
        <f>SUM(вода!BG70)</f>
        <v>344.13892519829579</v>
      </c>
      <c r="Q50" s="979"/>
      <c r="R50" s="988"/>
      <c r="S50" s="988"/>
      <c r="T50" s="989"/>
      <c r="U50" s="990"/>
      <c r="V50" s="988"/>
      <c r="W50" s="988"/>
      <c r="X50" s="989"/>
    </row>
    <row r="51" spans="1:24" ht="30" customHeight="1" thickBot="1" x14ac:dyDescent="0.25">
      <c r="A51" s="991" t="s">
        <v>394</v>
      </c>
      <c r="B51" s="992">
        <f>SUM(C51:F51)</f>
        <v>6718.7770599655933</v>
      </c>
      <c r="C51" s="993">
        <v>0</v>
      </c>
      <c r="D51" s="993">
        <f>SUM(E49-D49)*D48</f>
        <v>6718.7770599655933</v>
      </c>
      <c r="E51" s="993">
        <v>0</v>
      </c>
      <c r="F51" s="994">
        <v>0</v>
      </c>
      <c r="G51" s="992">
        <f>SUM(H51:K51)</f>
        <v>8092.3307338474579</v>
      </c>
      <c r="H51" s="993">
        <v>0</v>
      </c>
      <c r="I51" s="993">
        <f>SUM(H49-I49)*I48</f>
        <v>8092.3307338474579</v>
      </c>
      <c r="J51" s="993">
        <v>0</v>
      </c>
      <c r="K51" s="994">
        <v>0</v>
      </c>
      <c r="L51" s="992">
        <f>SUM(M51:P51)</f>
        <v>14811.107793813051</v>
      </c>
      <c r="M51" s="993">
        <v>0</v>
      </c>
      <c r="N51" s="993">
        <f>SUM(B51+G51)</f>
        <v>14811.107793813051</v>
      </c>
      <c r="O51" s="993">
        <v>0</v>
      </c>
      <c r="P51" s="994">
        <v>0</v>
      </c>
      <c r="Q51" s="992"/>
      <c r="R51" s="995"/>
      <c r="S51" s="995"/>
      <c r="T51" s="996"/>
      <c r="U51" s="997"/>
      <c r="V51" s="995"/>
      <c r="W51" s="995"/>
      <c r="X51" s="996"/>
    </row>
    <row r="52" spans="1:24" ht="15" customHeight="1" thickBot="1" x14ac:dyDescent="0.25">
      <c r="A52" s="3495"/>
      <c r="B52" s="3496"/>
      <c r="C52" s="3496"/>
      <c r="D52" s="3496"/>
      <c r="E52" s="3496"/>
      <c r="F52" s="3496"/>
      <c r="G52" s="3496"/>
      <c r="H52" s="3496"/>
      <c r="I52" s="3496"/>
      <c r="J52" s="3496"/>
      <c r="K52" s="3496"/>
      <c r="L52" s="3496"/>
      <c r="M52" s="3496"/>
      <c r="N52" s="3496"/>
      <c r="O52" s="3496"/>
      <c r="P52" s="3496"/>
      <c r="Q52" s="3496"/>
      <c r="R52" s="3496"/>
      <c r="S52" s="3496"/>
      <c r="T52" s="3496"/>
      <c r="U52" s="3496"/>
      <c r="V52" s="3496"/>
      <c r="W52" s="3496"/>
      <c r="X52" s="3497"/>
    </row>
    <row r="53" spans="1:24" ht="15" customHeight="1" thickBot="1" x14ac:dyDescent="0.25">
      <c r="A53" s="3498">
        <v>2016</v>
      </c>
      <c r="B53" s="3501" t="s">
        <v>393</v>
      </c>
      <c r="C53" s="3501"/>
      <c r="D53" s="3501"/>
      <c r="E53" s="3501"/>
      <c r="F53" s="3501"/>
      <c r="G53" s="3501"/>
      <c r="H53" s="3501"/>
      <c r="I53" s="3501"/>
      <c r="J53" s="3501"/>
      <c r="K53" s="3501"/>
      <c r="L53" s="3501"/>
      <c r="M53" s="3501"/>
      <c r="N53" s="3501"/>
      <c r="O53" s="3501"/>
      <c r="P53" s="3502"/>
      <c r="Q53" s="3511" t="s">
        <v>400</v>
      </c>
      <c r="R53" s="3512"/>
      <c r="S53" s="3512"/>
      <c r="T53" s="3513"/>
      <c r="U53" s="3511" t="s">
        <v>401</v>
      </c>
      <c r="V53" s="3512"/>
      <c r="W53" s="3512"/>
      <c r="X53" s="3513"/>
    </row>
    <row r="54" spans="1:24" ht="15" customHeight="1" thickBot="1" x14ac:dyDescent="0.25">
      <c r="A54" s="3499"/>
      <c r="B54" s="3517" t="s">
        <v>866</v>
      </c>
      <c r="C54" s="3518"/>
      <c r="D54" s="3518"/>
      <c r="E54" s="3518"/>
      <c r="F54" s="3519"/>
      <c r="G54" s="3520" t="s">
        <v>867</v>
      </c>
      <c r="H54" s="3521"/>
      <c r="I54" s="3521"/>
      <c r="J54" s="3521"/>
      <c r="K54" s="3522"/>
      <c r="L54" s="3520" t="s">
        <v>829</v>
      </c>
      <c r="M54" s="3521"/>
      <c r="N54" s="3521"/>
      <c r="O54" s="3521"/>
      <c r="P54" s="3523"/>
      <c r="Q54" s="3514"/>
      <c r="R54" s="3515"/>
      <c r="S54" s="3515"/>
      <c r="T54" s="3516"/>
      <c r="U54" s="3514"/>
      <c r="V54" s="3515"/>
      <c r="W54" s="3515"/>
      <c r="X54" s="3516"/>
    </row>
    <row r="55" spans="1:24" ht="15" customHeight="1" x14ac:dyDescent="0.2">
      <c r="A55" s="3499"/>
      <c r="B55" s="3503" t="s">
        <v>296</v>
      </c>
      <c r="C55" s="3506" t="s">
        <v>50</v>
      </c>
      <c r="D55" s="3506"/>
      <c r="E55" s="3506"/>
      <c r="F55" s="3507"/>
      <c r="G55" s="3508" t="s">
        <v>296</v>
      </c>
      <c r="H55" s="3509" t="s">
        <v>50</v>
      </c>
      <c r="I55" s="3509"/>
      <c r="J55" s="3509"/>
      <c r="K55" s="3510"/>
      <c r="L55" s="3508" t="s">
        <v>296</v>
      </c>
      <c r="M55" s="3509" t="s">
        <v>50</v>
      </c>
      <c r="N55" s="3509"/>
      <c r="O55" s="3509"/>
      <c r="P55" s="3510"/>
      <c r="Q55" s="3508" t="s">
        <v>296</v>
      </c>
      <c r="R55" s="3484" t="s">
        <v>50</v>
      </c>
      <c r="S55" s="3484"/>
      <c r="T55" s="3485"/>
      <c r="U55" s="3508" t="s">
        <v>296</v>
      </c>
      <c r="V55" s="3484" t="s">
        <v>50</v>
      </c>
      <c r="W55" s="3484"/>
      <c r="X55" s="3485"/>
    </row>
    <row r="56" spans="1:24" ht="15" customHeight="1" x14ac:dyDescent="0.2">
      <c r="A56" s="3499"/>
      <c r="B56" s="3504"/>
      <c r="C56" s="3486" t="s">
        <v>377</v>
      </c>
      <c r="D56" s="3494" t="s">
        <v>236</v>
      </c>
      <c r="E56" s="3494"/>
      <c r="F56" s="3563" t="s">
        <v>868</v>
      </c>
      <c r="G56" s="3504"/>
      <c r="H56" s="3486" t="s">
        <v>377</v>
      </c>
      <c r="I56" s="3494" t="s">
        <v>236</v>
      </c>
      <c r="J56" s="3494"/>
      <c r="K56" s="3563" t="s">
        <v>868</v>
      </c>
      <c r="L56" s="3504"/>
      <c r="M56" s="3486" t="s">
        <v>377</v>
      </c>
      <c r="N56" s="3494" t="s">
        <v>236</v>
      </c>
      <c r="O56" s="3494"/>
      <c r="P56" s="3563" t="s">
        <v>868</v>
      </c>
      <c r="Q56" s="3504"/>
      <c r="R56" s="3486" t="s">
        <v>377</v>
      </c>
      <c r="S56" s="3486"/>
      <c r="T56" s="3565" t="s">
        <v>868</v>
      </c>
      <c r="U56" s="3504"/>
      <c r="V56" s="3486" t="s">
        <v>377</v>
      </c>
      <c r="W56" s="3486"/>
      <c r="X56" s="3565" t="s">
        <v>868</v>
      </c>
    </row>
    <row r="57" spans="1:24" ht="15" customHeight="1" thickBot="1" x14ac:dyDescent="0.25">
      <c r="A57" s="3500"/>
      <c r="B57" s="3505"/>
      <c r="C57" s="3493"/>
      <c r="D57" s="970" t="s">
        <v>261</v>
      </c>
      <c r="E57" s="970" t="s">
        <v>295</v>
      </c>
      <c r="F57" s="3564"/>
      <c r="G57" s="3505"/>
      <c r="H57" s="3493"/>
      <c r="I57" s="970" t="s">
        <v>261</v>
      </c>
      <c r="J57" s="970" t="s">
        <v>295</v>
      </c>
      <c r="K57" s="3564"/>
      <c r="L57" s="3505"/>
      <c r="M57" s="3493"/>
      <c r="N57" s="970" t="s">
        <v>261</v>
      </c>
      <c r="O57" s="970" t="s">
        <v>295</v>
      </c>
      <c r="P57" s="3564"/>
      <c r="Q57" s="3505"/>
      <c r="R57" s="970" t="s">
        <v>869</v>
      </c>
      <c r="S57" s="970" t="s">
        <v>261</v>
      </c>
      <c r="T57" s="3564"/>
      <c r="U57" s="3505"/>
      <c r="V57" s="970" t="s">
        <v>869</v>
      </c>
      <c r="W57" s="970" t="s">
        <v>261</v>
      </c>
      <c r="X57" s="3564"/>
    </row>
    <row r="58" spans="1:24" ht="30" customHeight="1" x14ac:dyDescent="0.2">
      <c r="A58" s="971" t="s">
        <v>390</v>
      </c>
      <c r="B58" s="972">
        <f>SUM(B48)</f>
        <v>1994.6085</v>
      </c>
      <c r="C58" s="973">
        <f t="shared" ref="C58:P58" si="5">SUM(C48)</f>
        <v>1994.6085</v>
      </c>
      <c r="D58" s="973">
        <f t="shared" si="5"/>
        <v>1214.28</v>
      </c>
      <c r="E58" s="973">
        <f t="shared" si="5"/>
        <v>780.32850000000008</v>
      </c>
      <c r="F58" s="974">
        <f t="shared" si="5"/>
        <v>0</v>
      </c>
      <c r="G58" s="972">
        <f t="shared" si="5"/>
        <v>1994.6085</v>
      </c>
      <c r="H58" s="973">
        <f t="shared" si="5"/>
        <v>1994.6085</v>
      </c>
      <c r="I58" s="973">
        <f t="shared" si="5"/>
        <v>1214.28</v>
      </c>
      <c r="J58" s="973">
        <f t="shared" si="5"/>
        <v>780.32850000000008</v>
      </c>
      <c r="K58" s="974">
        <f t="shared" si="5"/>
        <v>0</v>
      </c>
      <c r="L58" s="972">
        <f t="shared" si="5"/>
        <v>3989.2170000000001</v>
      </c>
      <c r="M58" s="973">
        <f t="shared" si="5"/>
        <v>3989.2170000000001</v>
      </c>
      <c r="N58" s="973">
        <f t="shared" si="5"/>
        <v>2428.56</v>
      </c>
      <c r="O58" s="973">
        <f t="shared" si="5"/>
        <v>1560.6570000000002</v>
      </c>
      <c r="P58" s="974">
        <f t="shared" si="5"/>
        <v>0</v>
      </c>
      <c r="Q58" s="972"/>
      <c r="R58" s="975"/>
      <c r="S58" s="975"/>
      <c r="T58" s="976"/>
      <c r="U58" s="977"/>
      <c r="V58" s="975"/>
      <c r="W58" s="975"/>
      <c r="X58" s="976"/>
    </row>
    <row r="59" spans="1:24" ht="30" customHeight="1" x14ac:dyDescent="0.2">
      <c r="A59" s="978" t="s">
        <v>391</v>
      </c>
      <c r="B59" s="979">
        <f>SUM(B60/B58)</f>
        <v>31.62031409222686</v>
      </c>
      <c r="C59" s="980">
        <f>SUM(C60/C58)</f>
        <v>31.62031409222686</v>
      </c>
      <c r="D59" s="980">
        <f t="shared" ref="D59:E59" si="6">SUM(I19)</f>
        <v>25.945700000000002</v>
      </c>
      <c r="E59" s="980">
        <f t="shared" si="6"/>
        <v>31.62031409222686</v>
      </c>
      <c r="F59" s="981">
        <f>SUM(K19)</f>
        <v>20.11</v>
      </c>
      <c r="G59" s="979">
        <f>SUM(G60/G58)</f>
        <v>31.815243632206215</v>
      </c>
      <c r="H59" s="980">
        <f>H60/H58</f>
        <v>31.64270905953277</v>
      </c>
      <c r="I59" s="980">
        <f>D59*1.045</f>
        <v>27.113256500000002</v>
      </c>
      <c r="J59" s="980">
        <f>SUM(H59)</f>
        <v>31.64270905953277</v>
      </c>
      <c r="K59" s="981" t="e">
        <f t="shared" ref="K59:P59" si="7">SUM(K60/K58)</f>
        <v>#DIV/0!</v>
      </c>
      <c r="L59" s="979">
        <f t="shared" si="7"/>
        <v>31.717778862216537</v>
      </c>
      <c r="M59" s="980">
        <f t="shared" si="7"/>
        <v>31.631511575879816</v>
      </c>
      <c r="N59" s="980">
        <f t="shared" si="7"/>
        <v>26.529478250000004</v>
      </c>
      <c r="O59" s="980">
        <f t="shared" si="7"/>
        <v>31.631511575879813</v>
      </c>
      <c r="P59" s="981" t="e">
        <f t="shared" si="7"/>
        <v>#DIV/0!</v>
      </c>
      <c r="Q59" s="982">
        <f>SUM(G59/B59)</f>
        <v>1.0061646933490542</v>
      </c>
      <c r="R59" s="983">
        <f>SUM(H59/C59)</f>
        <v>1.0007082462002304</v>
      </c>
      <c r="S59" s="983">
        <f>I59/D59</f>
        <v>1.0449999999999999</v>
      </c>
      <c r="T59" s="984" t="e">
        <f>SUM(K59/F59)</f>
        <v>#DIV/0!</v>
      </c>
      <c r="U59" s="985">
        <f>SUM(L59/L19)</f>
        <v>1.0626789536039865</v>
      </c>
      <c r="V59" s="986">
        <f>SUM(M59/M19)</f>
        <v>1.0675445130665921</v>
      </c>
      <c r="W59" s="986">
        <f>SUM(N59/N19)</f>
        <v>1.0916200466200467</v>
      </c>
      <c r="X59" s="987" t="e">
        <f>SUM(P59/P19)</f>
        <v>#DIV/0!</v>
      </c>
    </row>
    <row r="60" spans="1:24" ht="30" customHeight="1" x14ac:dyDescent="0.2">
      <c r="A60" s="978" t="s">
        <v>392</v>
      </c>
      <c r="B60" s="979">
        <f>SUM(C60+F60)</f>
        <v>63070.147261025479</v>
      </c>
      <c r="C60" s="980">
        <f>SUM(D60:E60)+D61</f>
        <v>63070.147261025479</v>
      </c>
      <c r="D60" s="980">
        <f>D59*D58</f>
        <v>31505.344596000003</v>
      </c>
      <c r="E60" s="980">
        <f>E59*E58</f>
        <v>24674.23226511625</v>
      </c>
      <c r="F60" s="981">
        <f>F59*F58</f>
        <v>0</v>
      </c>
      <c r="G60" s="979">
        <f>SUM(L60-B60)</f>
        <v>63458.955378369392</v>
      </c>
      <c r="H60" s="980">
        <f>SUM(M60-C60)</f>
        <v>63114.816453171072</v>
      </c>
      <c r="I60" s="980">
        <f>I59*I58</f>
        <v>32923.085102820005</v>
      </c>
      <c r="J60" s="980">
        <f>SUM(J58*J59)</f>
        <v>24691.70769636162</v>
      </c>
      <c r="K60" s="981">
        <f>SUM(P60-F60)</f>
        <v>344.13892519829579</v>
      </c>
      <c r="L60" s="979">
        <f>SUM(вода!BD67)</f>
        <v>126529.10263939487</v>
      </c>
      <c r="M60" s="980">
        <f>SUM(вода!BF67)</f>
        <v>126184.96371419655</v>
      </c>
      <c r="N60" s="980">
        <f>SUM(D60+I60)</f>
        <v>64428.429698820008</v>
      </c>
      <c r="O60" s="980">
        <f>SUM(E60+J60)</f>
        <v>49365.939961477867</v>
      </c>
      <c r="P60" s="981">
        <f>SUM(вода!BG67)</f>
        <v>344.13892519829579</v>
      </c>
      <c r="Q60" s="979"/>
      <c r="R60" s="988"/>
      <c r="S60" s="988"/>
      <c r="T60" s="989"/>
      <c r="U60" s="990"/>
      <c r="V60" s="988"/>
      <c r="W60" s="988"/>
      <c r="X60" s="989"/>
    </row>
    <row r="61" spans="1:24" ht="30" customHeight="1" thickBot="1" x14ac:dyDescent="0.25">
      <c r="A61" s="991" t="s">
        <v>394</v>
      </c>
      <c r="B61" s="992">
        <f>SUM(C61:F61)</f>
        <v>6890.5703999092284</v>
      </c>
      <c r="C61" s="993">
        <v>0</v>
      </c>
      <c r="D61" s="993">
        <f>SUM(E59-D59)*D58</f>
        <v>6890.5703999092284</v>
      </c>
      <c r="E61" s="993">
        <v>0</v>
      </c>
      <c r="F61" s="994">
        <v>0</v>
      </c>
      <c r="G61" s="992">
        <f>SUM(H61:K61)</f>
        <v>5500.0236539894495</v>
      </c>
      <c r="H61" s="993">
        <v>0</v>
      </c>
      <c r="I61" s="993">
        <f>SUM(H59-I59)*I58</f>
        <v>5500.0236539894495</v>
      </c>
      <c r="J61" s="993">
        <v>0</v>
      </c>
      <c r="K61" s="994">
        <v>0</v>
      </c>
      <c r="L61" s="992">
        <f>SUM(M61:P61)</f>
        <v>12390.594053898678</v>
      </c>
      <c r="M61" s="993">
        <v>0</v>
      </c>
      <c r="N61" s="993">
        <f>SUM(B61+G61)</f>
        <v>12390.594053898678</v>
      </c>
      <c r="O61" s="993">
        <v>0</v>
      </c>
      <c r="P61" s="994">
        <v>0</v>
      </c>
      <c r="Q61" s="992"/>
      <c r="R61" s="995"/>
      <c r="S61" s="995"/>
      <c r="T61" s="996"/>
      <c r="U61" s="997"/>
      <c r="V61" s="995"/>
      <c r="W61" s="995"/>
      <c r="X61" s="996"/>
    </row>
    <row r="62" spans="1:24" ht="30" customHeight="1" x14ac:dyDescent="0.2">
      <c r="A62" s="3489"/>
      <c r="B62" s="3490"/>
      <c r="C62" s="3490"/>
      <c r="D62" s="3490"/>
      <c r="E62" s="3490"/>
      <c r="F62" s="3490"/>
      <c r="G62" s="3490"/>
      <c r="H62" s="3490"/>
      <c r="I62" s="3490"/>
      <c r="J62" s="3490"/>
      <c r="K62" s="3490"/>
      <c r="L62" s="3490"/>
      <c r="M62" s="3490"/>
      <c r="N62" s="3490"/>
      <c r="O62" s="3490"/>
      <c r="P62" s="3490"/>
      <c r="Q62" s="3490"/>
      <c r="R62" s="3490"/>
      <c r="S62" s="3490"/>
      <c r="T62" s="3490"/>
      <c r="U62" s="3490"/>
      <c r="V62" s="3490"/>
      <c r="W62" s="3490"/>
      <c r="X62" s="3490"/>
    </row>
    <row r="63" spans="1:24" x14ac:dyDescent="0.2">
      <c r="A63" s="3491"/>
      <c r="B63" s="3491"/>
      <c r="C63" s="3491"/>
      <c r="D63" s="3491"/>
      <c r="E63" s="3491"/>
      <c r="F63" s="3491"/>
      <c r="G63" s="3491"/>
      <c r="H63" s="3491"/>
      <c r="I63" s="3491"/>
      <c r="J63" s="3491"/>
      <c r="K63" s="3491"/>
      <c r="L63" s="3491"/>
      <c r="M63" s="3491"/>
      <c r="N63" s="3491"/>
      <c r="O63" s="3491"/>
      <c r="P63" s="3491"/>
      <c r="Q63" s="3491"/>
      <c r="R63" s="3491"/>
      <c r="S63" s="3491"/>
      <c r="T63" s="3491"/>
      <c r="U63" s="3491"/>
      <c r="V63" s="3491"/>
      <c r="W63" s="3491"/>
      <c r="X63" s="3491"/>
    </row>
    <row r="64" spans="1:24" ht="13.5" thickBot="1" x14ac:dyDescent="0.25">
      <c r="A64" s="3492"/>
      <c r="B64" s="3492"/>
      <c r="C64" s="3492"/>
      <c r="D64" s="3492"/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</row>
    <row r="65" spans="1:24" ht="27" hidden="1" thickBot="1" x14ac:dyDescent="0.45">
      <c r="A65" s="3560" t="s">
        <v>873</v>
      </c>
      <c r="B65" s="3561"/>
      <c r="C65" s="3561"/>
      <c r="D65" s="3561"/>
      <c r="E65" s="3561"/>
      <c r="F65" s="3561"/>
      <c r="G65" s="3561"/>
      <c r="H65" s="3561"/>
      <c r="I65" s="3561"/>
      <c r="J65" s="3561"/>
      <c r="K65" s="3561"/>
      <c r="L65" s="3561"/>
      <c r="M65" s="3561"/>
      <c r="N65" s="3561"/>
      <c r="O65" s="3561"/>
      <c r="P65" s="3561"/>
      <c r="Q65" s="3561"/>
      <c r="R65" s="3561"/>
      <c r="S65" s="3561"/>
      <c r="T65" s="3561"/>
      <c r="U65" s="3561"/>
      <c r="V65" s="3561"/>
      <c r="W65" s="3561"/>
      <c r="X65" s="3562"/>
    </row>
    <row r="66" spans="1:24" ht="15.75" hidden="1" customHeight="1" thickBot="1" x14ac:dyDescent="0.25">
      <c r="A66" s="3532">
        <v>2015</v>
      </c>
      <c r="B66" s="3535" t="s">
        <v>396</v>
      </c>
      <c r="C66" s="3535"/>
      <c r="D66" s="3535"/>
      <c r="E66" s="3535"/>
      <c r="F66" s="3535"/>
      <c r="G66" s="3535"/>
      <c r="H66" s="3535"/>
      <c r="I66" s="3535"/>
      <c r="J66" s="3535"/>
      <c r="K66" s="3535"/>
      <c r="L66" s="3535"/>
      <c r="M66" s="3535"/>
      <c r="N66" s="3535"/>
      <c r="O66" s="3535"/>
      <c r="P66" s="3536"/>
      <c r="Q66" s="3537" t="s">
        <v>400</v>
      </c>
      <c r="R66" s="3538"/>
      <c r="S66" s="3538"/>
      <c r="T66" s="3539"/>
      <c r="U66" s="3537" t="s">
        <v>401</v>
      </c>
      <c r="V66" s="3538"/>
      <c r="W66" s="3538"/>
      <c r="X66" s="3539"/>
    </row>
    <row r="67" spans="1:24" ht="15.75" hidden="1" customHeight="1" thickBot="1" x14ac:dyDescent="0.25">
      <c r="A67" s="3533"/>
      <c r="B67" s="3543" t="s">
        <v>397</v>
      </c>
      <c r="C67" s="3544"/>
      <c r="D67" s="3544"/>
      <c r="E67" s="3544"/>
      <c r="F67" s="3545"/>
      <c r="G67" s="3546" t="s">
        <v>398</v>
      </c>
      <c r="H67" s="3547"/>
      <c r="I67" s="3547"/>
      <c r="J67" s="3547"/>
      <c r="K67" s="3548"/>
      <c r="L67" s="3546" t="s">
        <v>373</v>
      </c>
      <c r="M67" s="3547"/>
      <c r="N67" s="3547"/>
      <c r="O67" s="3547"/>
      <c r="P67" s="3549"/>
      <c r="Q67" s="3540"/>
      <c r="R67" s="3541"/>
      <c r="S67" s="3541"/>
      <c r="T67" s="3542"/>
      <c r="U67" s="3540"/>
      <c r="V67" s="3541"/>
      <c r="W67" s="3541"/>
      <c r="X67" s="3542"/>
    </row>
    <row r="68" spans="1:24" ht="15.75" hidden="1" customHeight="1" x14ac:dyDescent="0.2">
      <c r="A68" s="3533"/>
      <c r="B68" s="3550" t="s">
        <v>296</v>
      </c>
      <c r="C68" s="3553" t="s">
        <v>50</v>
      </c>
      <c r="D68" s="3553"/>
      <c r="E68" s="3553"/>
      <c r="F68" s="3554"/>
      <c r="G68" s="3555" t="s">
        <v>296</v>
      </c>
      <c r="H68" s="3556" t="s">
        <v>50</v>
      </c>
      <c r="I68" s="3556"/>
      <c r="J68" s="3556"/>
      <c r="K68" s="3557"/>
      <c r="L68" s="3555" t="s">
        <v>296</v>
      </c>
      <c r="M68" s="3556" t="s">
        <v>50</v>
      </c>
      <c r="N68" s="3556"/>
      <c r="O68" s="3556"/>
      <c r="P68" s="3557"/>
      <c r="Q68" s="3555" t="s">
        <v>296</v>
      </c>
      <c r="R68" s="3558" t="s">
        <v>50</v>
      </c>
      <c r="S68" s="3558"/>
      <c r="T68" s="3559"/>
      <c r="U68" s="3555" t="s">
        <v>296</v>
      </c>
      <c r="V68" s="3558" t="s">
        <v>50</v>
      </c>
      <c r="W68" s="3558"/>
      <c r="X68" s="3559"/>
    </row>
    <row r="69" spans="1:24" ht="15.75" hidden="1" customHeight="1" x14ac:dyDescent="0.2">
      <c r="A69" s="3533"/>
      <c r="B69" s="3551"/>
      <c r="C69" s="3524" t="s">
        <v>324</v>
      </c>
      <c r="D69" s="3526" t="s">
        <v>236</v>
      </c>
      <c r="E69" s="3526"/>
      <c r="F69" s="3527" t="s">
        <v>876</v>
      </c>
      <c r="G69" s="3551"/>
      <c r="H69" s="3524" t="s">
        <v>324</v>
      </c>
      <c r="I69" s="3526" t="s">
        <v>236</v>
      </c>
      <c r="J69" s="3526"/>
      <c r="K69" s="3527" t="s">
        <v>876</v>
      </c>
      <c r="L69" s="3551"/>
      <c r="M69" s="3524" t="s">
        <v>324</v>
      </c>
      <c r="N69" s="3526" t="s">
        <v>236</v>
      </c>
      <c r="O69" s="3526"/>
      <c r="P69" s="3527" t="s">
        <v>876</v>
      </c>
      <c r="Q69" s="3551"/>
      <c r="R69" s="3524" t="s">
        <v>324</v>
      </c>
      <c r="S69" s="3524"/>
      <c r="T69" s="3527" t="s">
        <v>876</v>
      </c>
      <c r="U69" s="3551"/>
      <c r="V69" s="3524" t="s">
        <v>324</v>
      </c>
      <c r="W69" s="3524"/>
      <c r="X69" s="3527" t="s">
        <v>876</v>
      </c>
    </row>
    <row r="70" spans="1:24" ht="15.75" hidden="1" customHeight="1" thickBot="1" x14ac:dyDescent="0.25">
      <c r="A70" s="3534"/>
      <c r="B70" s="3552"/>
      <c r="C70" s="3525"/>
      <c r="D70" s="961" t="s">
        <v>261</v>
      </c>
      <c r="E70" s="961" t="s">
        <v>295</v>
      </c>
      <c r="F70" s="3528"/>
      <c r="G70" s="3552"/>
      <c r="H70" s="3525"/>
      <c r="I70" s="961" t="s">
        <v>261</v>
      </c>
      <c r="J70" s="961" t="s">
        <v>295</v>
      </c>
      <c r="K70" s="3528"/>
      <c r="L70" s="3552"/>
      <c r="M70" s="3525"/>
      <c r="N70" s="961" t="s">
        <v>261</v>
      </c>
      <c r="O70" s="961" t="s">
        <v>295</v>
      </c>
      <c r="P70" s="3528"/>
      <c r="Q70" s="3552"/>
      <c r="R70" s="966" t="s">
        <v>869</v>
      </c>
      <c r="S70" s="966" t="s">
        <v>261</v>
      </c>
      <c r="T70" s="3528"/>
      <c r="U70" s="3552"/>
      <c r="V70" s="966" t="s">
        <v>869</v>
      </c>
      <c r="W70" s="966" t="s">
        <v>261</v>
      </c>
      <c r="X70" s="3528"/>
    </row>
    <row r="71" spans="1:24" ht="30" hidden="1" customHeight="1" x14ac:dyDescent="0.2">
      <c r="A71" s="965" t="s">
        <v>390</v>
      </c>
      <c r="B71" s="962">
        <f>SUM(объемы!M58/2)</f>
        <v>1822.35</v>
      </c>
      <c r="C71" s="963">
        <f>SUM(D71:E71)</f>
        <v>1822.35</v>
      </c>
      <c r="D71" s="963">
        <f>SUM(объемы!M59/2)</f>
        <v>1300</v>
      </c>
      <c r="E71" s="963">
        <f>SUM(объемы!M60/2)</f>
        <v>522.35</v>
      </c>
      <c r="F71" s="964">
        <f>SUM(объемы!M61/2)</f>
        <v>0</v>
      </c>
      <c r="G71" s="962">
        <f>B71</f>
        <v>1822.35</v>
      </c>
      <c r="H71" s="963">
        <f>C71</f>
        <v>1822.35</v>
      </c>
      <c r="I71" s="963">
        <f>D71</f>
        <v>1300</v>
      </c>
      <c r="J71" s="963">
        <f>E71</f>
        <v>522.35</v>
      </c>
      <c r="K71" s="964">
        <f>F71</f>
        <v>0</v>
      </c>
      <c r="L71" s="962">
        <f>SUM(B71+G71)</f>
        <v>3644.7</v>
      </c>
      <c r="M71" s="963">
        <f>SUM(C71+H71)</f>
        <v>3644.7</v>
      </c>
      <c r="N71" s="963">
        <f>SUM(D71+I71)</f>
        <v>2600</v>
      </c>
      <c r="O71" s="963">
        <f>SUM(E71+J71)</f>
        <v>1044.7</v>
      </c>
      <c r="P71" s="964">
        <f>SUM(F71+K71)</f>
        <v>0</v>
      </c>
      <c r="Q71" s="962"/>
      <c r="R71" s="998"/>
      <c r="S71" s="998"/>
      <c r="T71" s="999"/>
      <c r="U71" s="1000"/>
      <c r="V71" s="998"/>
      <c r="W71" s="998"/>
      <c r="X71" s="999"/>
    </row>
    <row r="72" spans="1:24" ht="30" hidden="1" customHeight="1" x14ac:dyDescent="0.2">
      <c r="A72" s="948" t="s">
        <v>391</v>
      </c>
      <c r="B72" s="954">
        <f>SUM(B73/B71)</f>
        <v>24.290000000000003</v>
      </c>
      <c r="C72" s="955">
        <f>SUM(C73/C71)</f>
        <v>24.290000000000003</v>
      </c>
      <c r="D72" s="955">
        <v>18.350000000000001</v>
      </c>
      <c r="E72" s="955">
        <v>24.29</v>
      </c>
      <c r="F72" s="956">
        <v>12.04</v>
      </c>
      <c r="G72" s="954">
        <f>SUM(G73/G71)</f>
        <v>24.455974230585213</v>
      </c>
      <c r="H72" s="955">
        <f>H73/H71</f>
        <v>24.290850429656398</v>
      </c>
      <c r="I72" s="955">
        <v>21.01</v>
      </c>
      <c r="J72" s="955">
        <f>SUM(H72)</f>
        <v>24.290850429656398</v>
      </c>
      <c r="K72" s="956">
        <v>13.79</v>
      </c>
      <c r="L72" s="954">
        <f>SUM(L73/L71)</f>
        <v>24.372987115292606</v>
      </c>
      <c r="M72" s="955">
        <f>SUM(M73/M71)</f>
        <v>24.2904252148282</v>
      </c>
      <c r="N72" s="955">
        <f>SUM(N73/N71)</f>
        <v>19.680000000000003</v>
      </c>
      <c r="O72" s="955">
        <f>SUM(O73/O71)</f>
        <v>24.2904252148282</v>
      </c>
      <c r="P72" s="956" t="e">
        <f>SUM(P73/P71)</f>
        <v>#DIV/0!</v>
      </c>
      <c r="Q72" s="957">
        <f>SUM(G72/B72)</f>
        <v>1.0068330271957682</v>
      </c>
      <c r="R72" s="1001">
        <f>SUM(H72/C72)</f>
        <v>1.0000350115132317</v>
      </c>
      <c r="S72" s="1001">
        <f>I72/D72</f>
        <v>1.144959128065395</v>
      </c>
      <c r="T72" s="1002">
        <f>SUM(K72/F72)</f>
        <v>1.1453488372093024</v>
      </c>
      <c r="U72" s="1003">
        <f>SUM(L72/стоки!Y94)</f>
        <v>1.0900290388817013</v>
      </c>
      <c r="V72" s="1004">
        <f>SUM(M72/стоки!Z94)</f>
        <v>1.0823929430279522</v>
      </c>
      <c r="W72" s="1004">
        <f>SUM(N72/16.93)</f>
        <v>1.1624335499114</v>
      </c>
      <c r="X72" s="1005" t="e">
        <f>SUM(P72/стоки!AA94)</f>
        <v>#DIV/0!</v>
      </c>
    </row>
    <row r="73" spans="1:24" ht="30" hidden="1" customHeight="1" x14ac:dyDescent="0.2">
      <c r="A73" s="948" t="s">
        <v>392</v>
      </c>
      <c r="B73" s="954">
        <f>SUM(C73+F73)</f>
        <v>44264.881500000003</v>
      </c>
      <c r="C73" s="955">
        <f>SUM(D73:E73)+D74</f>
        <v>44264.881500000003</v>
      </c>
      <c r="D73" s="955">
        <f>D72*D71</f>
        <v>23855.000000000004</v>
      </c>
      <c r="E73" s="955">
        <f>E72*E71</f>
        <v>12687.8815</v>
      </c>
      <c r="F73" s="956">
        <f>F72*F71</f>
        <v>0</v>
      </c>
      <c r="G73" s="954">
        <f>SUM(L73-B73)</f>
        <v>44567.344639106959</v>
      </c>
      <c r="H73" s="955">
        <f>SUM(M73-C73)</f>
        <v>44266.431280484336</v>
      </c>
      <c r="I73" s="955">
        <f>I72*I71</f>
        <v>27313.000000000004</v>
      </c>
      <c r="J73" s="955">
        <f>SUM(J71*J72)</f>
        <v>12688.32572193102</v>
      </c>
      <c r="K73" s="956">
        <f>SUM(P73-F73)</f>
        <v>300.91335862265248</v>
      </c>
      <c r="L73" s="954">
        <f>SUM(стоки!AI93)</f>
        <v>88832.226139106962</v>
      </c>
      <c r="M73" s="955">
        <f>SUM(стоки!AK93)</f>
        <v>88531.312780484339</v>
      </c>
      <c r="N73" s="955">
        <f>SUM(D73+I73)</f>
        <v>51168.000000000007</v>
      </c>
      <c r="O73" s="955">
        <f>SUM(E73+J73)</f>
        <v>25376.207221931021</v>
      </c>
      <c r="P73" s="956">
        <f>SUM(стоки!AL93)</f>
        <v>300.91335862265248</v>
      </c>
      <c r="Q73" s="954"/>
      <c r="R73" s="1006"/>
      <c r="S73" s="1006"/>
      <c r="T73" s="1007"/>
      <c r="U73" s="1008"/>
      <c r="V73" s="1006"/>
      <c r="W73" s="1006"/>
      <c r="X73" s="1007"/>
    </row>
    <row r="74" spans="1:24" ht="30" hidden="1" customHeight="1" thickBot="1" x14ac:dyDescent="0.25">
      <c r="A74" s="949" t="s">
        <v>394</v>
      </c>
      <c r="B74" s="958">
        <f>SUM(C74:F74)</f>
        <v>7721.9999999999973</v>
      </c>
      <c r="C74" s="959">
        <v>0</v>
      </c>
      <c r="D74" s="959">
        <f>SUM(E72-D72)*D71</f>
        <v>7721.9999999999973</v>
      </c>
      <c r="E74" s="959">
        <v>0</v>
      </c>
      <c r="F74" s="960">
        <v>0</v>
      </c>
      <c r="G74" s="958">
        <f>SUM(H74:K74)</f>
        <v>4265.1055585533159</v>
      </c>
      <c r="H74" s="959">
        <v>0</v>
      </c>
      <c r="I74" s="959">
        <f>SUM(H72-I72)*I71</f>
        <v>4265.1055585533159</v>
      </c>
      <c r="J74" s="959">
        <v>0</v>
      </c>
      <c r="K74" s="960">
        <v>0</v>
      </c>
      <c r="L74" s="958">
        <f>SUM(M74:P74)</f>
        <v>11987.105558553314</v>
      </c>
      <c r="M74" s="959">
        <v>0</v>
      </c>
      <c r="N74" s="959">
        <f>SUM(B74+G74)</f>
        <v>11987.105558553314</v>
      </c>
      <c r="O74" s="959">
        <v>0</v>
      </c>
      <c r="P74" s="960">
        <v>0</v>
      </c>
      <c r="Q74" s="958"/>
      <c r="R74" s="1009"/>
      <c r="S74" s="1009"/>
      <c r="T74" s="1010"/>
      <c r="U74" s="1011"/>
      <c r="V74" s="1009"/>
      <c r="W74" s="1009"/>
      <c r="X74" s="1010"/>
    </row>
    <row r="75" spans="1:24" ht="15.75" hidden="1" customHeight="1" thickBot="1" x14ac:dyDescent="0.25">
      <c r="A75" s="3495"/>
      <c r="B75" s="3496"/>
      <c r="C75" s="3496"/>
      <c r="D75" s="3496"/>
      <c r="E75" s="3496"/>
      <c r="F75" s="3496"/>
      <c r="G75" s="3496"/>
      <c r="H75" s="3496"/>
      <c r="I75" s="3496"/>
      <c r="J75" s="3496"/>
      <c r="K75" s="3496"/>
      <c r="L75" s="3496"/>
      <c r="M75" s="3496"/>
      <c r="N75" s="3496"/>
      <c r="O75" s="3496"/>
      <c r="P75" s="3496"/>
      <c r="Q75" s="3496"/>
      <c r="R75" s="3496"/>
      <c r="S75" s="3496"/>
      <c r="T75" s="3496"/>
      <c r="U75" s="3496"/>
      <c r="V75" s="3496"/>
      <c r="W75" s="3496"/>
      <c r="X75" s="3497"/>
    </row>
    <row r="76" spans="1:24" ht="15.75" hidden="1" customHeight="1" thickBot="1" x14ac:dyDescent="0.25">
      <c r="A76" s="3532">
        <v>2015</v>
      </c>
      <c r="B76" s="3535" t="s">
        <v>393</v>
      </c>
      <c r="C76" s="3535"/>
      <c r="D76" s="3535"/>
      <c r="E76" s="3535"/>
      <c r="F76" s="3535"/>
      <c r="G76" s="3535"/>
      <c r="H76" s="3535"/>
      <c r="I76" s="3535"/>
      <c r="J76" s="3535"/>
      <c r="K76" s="3535"/>
      <c r="L76" s="3535"/>
      <c r="M76" s="3535"/>
      <c r="N76" s="3535"/>
      <c r="O76" s="3535"/>
      <c r="P76" s="3536"/>
      <c r="Q76" s="3537" t="s">
        <v>400</v>
      </c>
      <c r="R76" s="3538"/>
      <c r="S76" s="3538"/>
      <c r="T76" s="3539"/>
      <c r="U76" s="3537" t="s">
        <v>401</v>
      </c>
      <c r="V76" s="3538"/>
      <c r="W76" s="3538"/>
      <c r="X76" s="3539"/>
    </row>
    <row r="77" spans="1:24" ht="15.75" hidden="1" customHeight="1" thickBot="1" x14ac:dyDescent="0.25">
      <c r="A77" s="3533"/>
      <c r="B77" s="3543" t="s">
        <v>397</v>
      </c>
      <c r="C77" s="3544"/>
      <c r="D77" s="3544"/>
      <c r="E77" s="3544"/>
      <c r="F77" s="3545"/>
      <c r="G77" s="3546" t="s">
        <v>398</v>
      </c>
      <c r="H77" s="3547"/>
      <c r="I77" s="3547"/>
      <c r="J77" s="3547"/>
      <c r="K77" s="3548"/>
      <c r="L77" s="3546" t="s">
        <v>373</v>
      </c>
      <c r="M77" s="3547"/>
      <c r="N77" s="3547"/>
      <c r="O77" s="3547"/>
      <c r="P77" s="3549"/>
      <c r="Q77" s="3540"/>
      <c r="R77" s="3541"/>
      <c r="S77" s="3541"/>
      <c r="T77" s="3542"/>
      <c r="U77" s="3540"/>
      <c r="V77" s="3541"/>
      <c r="W77" s="3541"/>
      <c r="X77" s="3542"/>
    </row>
    <row r="78" spans="1:24" ht="15.75" hidden="1" customHeight="1" x14ac:dyDescent="0.2">
      <c r="A78" s="3533"/>
      <c r="B78" s="3550" t="s">
        <v>296</v>
      </c>
      <c r="C78" s="3553" t="s">
        <v>50</v>
      </c>
      <c r="D78" s="3553"/>
      <c r="E78" s="3553"/>
      <c r="F78" s="3554"/>
      <c r="G78" s="3555" t="s">
        <v>296</v>
      </c>
      <c r="H78" s="3556" t="s">
        <v>50</v>
      </c>
      <c r="I78" s="3556"/>
      <c r="J78" s="3556"/>
      <c r="K78" s="3557"/>
      <c r="L78" s="3555" t="s">
        <v>296</v>
      </c>
      <c r="M78" s="3556" t="s">
        <v>50</v>
      </c>
      <c r="N78" s="3556"/>
      <c r="O78" s="3556"/>
      <c r="P78" s="3557"/>
      <c r="Q78" s="3555" t="s">
        <v>296</v>
      </c>
      <c r="R78" s="3558" t="s">
        <v>50</v>
      </c>
      <c r="S78" s="3558"/>
      <c r="T78" s="3559"/>
      <c r="U78" s="3555" t="s">
        <v>296</v>
      </c>
      <c r="V78" s="3558" t="s">
        <v>50</v>
      </c>
      <c r="W78" s="3558"/>
      <c r="X78" s="3559"/>
    </row>
    <row r="79" spans="1:24" ht="15.75" hidden="1" customHeight="1" x14ac:dyDescent="0.2">
      <c r="A79" s="3533"/>
      <c r="B79" s="3551"/>
      <c r="C79" s="3524" t="s">
        <v>324</v>
      </c>
      <c r="D79" s="3526" t="s">
        <v>236</v>
      </c>
      <c r="E79" s="3526"/>
      <c r="F79" s="3527" t="s">
        <v>876</v>
      </c>
      <c r="G79" s="3551"/>
      <c r="H79" s="3524" t="s">
        <v>324</v>
      </c>
      <c r="I79" s="3526" t="s">
        <v>236</v>
      </c>
      <c r="J79" s="3526"/>
      <c r="K79" s="3527" t="s">
        <v>876</v>
      </c>
      <c r="L79" s="3551"/>
      <c r="M79" s="3524" t="s">
        <v>324</v>
      </c>
      <c r="N79" s="3526" t="s">
        <v>236</v>
      </c>
      <c r="O79" s="3526"/>
      <c r="P79" s="3527" t="s">
        <v>876</v>
      </c>
      <c r="Q79" s="3551"/>
      <c r="R79" s="3524" t="s">
        <v>324</v>
      </c>
      <c r="S79" s="3524"/>
      <c r="T79" s="3527" t="s">
        <v>876</v>
      </c>
      <c r="U79" s="3551"/>
      <c r="V79" s="3524" t="s">
        <v>324</v>
      </c>
      <c r="W79" s="3524"/>
      <c r="X79" s="3527" t="s">
        <v>876</v>
      </c>
    </row>
    <row r="80" spans="1:24" ht="15.75" hidden="1" customHeight="1" thickBot="1" x14ac:dyDescent="0.25">
      <c r="A80" s="3534"/>
      <c r="B80" s="3552"/>
      <c r="C80" s="3525"/>
      <c r="D80" s="961" t="s">
        <v>261</v>
      </c>
      <c r="E80" s="961" t="s">
        <v>295</v>
      </c>
      <c r="F80" s="3528"/>
      <c r="G80" s="3552"/>
      <c r="H80" s="3525"/>
      <c r="I80" s="961" t="s">
        <v>261</v>
      </c>
      <c r="J80" s="961" t="s">
        <v>295</v>
      </c>
      <c r="K80" s="3528"/>
      <c r="L80" s="3552"/>
      <c r="M80" s="3525"/>
      <c r="N80" s="961" t="s">
        <v>261</v>
      </c>
      <c r="O80" s="961" t="s">
        <v>295</v>
      </c>
      <c r="P80" s="3528"/>
      <c r="Q80" s="3552"/>
      <c r="R80" s="966" t="s">
        <v>869</v>
      </c>
      <c r="S80" s="966" t="s">
        <v>261</v>
      </c>
      <c r="T80" s="3528"/>
      <c r="U80" s="3552"/>
      <c r="V80" s="966" t="s">
        <v>869</v>
      </c>
      <c r="W80" s="966" t="s">
        <v>261</v>
      </c>
      <c r="X80" s="3528"/>
    </row>
    <row r="81" spans="1:24" ht="30" hidden="1" customHeight="1" x14ac:dyDescent="0.2">
      <c r="A81" s="965" t="s">
        <v>390</v>
      </c>
      <c r="B81" s="962">
        <f>SUM(B71)</f>
        <v>1822.35</v>
      </c>
      <c r="C81" s="963">
        <f t="shared" ref="C81:P81" si="8">SUM(C71)</f>
        <v>1822.35</v>
      </c>
      <c r="D81" s="963">
        <f t="shared" si="8"/>
        <v>1300</v>
      </c>
      <c r="E81" s="963">
        <f t="shared" si="8"/>
        <v>522.35</v>
      </c>
      <c r="F81" s="964">
        <f t="shared" si="8"/>
        <v>0</v>
      </c>
      <c r="G81" s="962">
        <f t="shared" si="8"/>
        <v>1822.35</v>
      </c>
      <c r="H81" s="963">
        <f t="shared" si="8"/>
        <v>1822.35</v>
      </c>
      <c r="I81" s="963">
        <f t="shared" si="8"/>
        <v>1300</v>
      </c>
      <c r="J81" s="963">
        <f t="shared" si="8"/>
        <v>522.35</v>
      </c>
      <c r="K81" s="964">
        <f t="shared" si="8"/>
        <v>0</v>
      </c>
      <c r="L81" s="962">
        <f t="shared" si="8"/>
        <v>3644.7</v>
      </c>
      <c r="M81" s="963">
        <f t="shared" si="8"/>
        <v>3644.7</v>
      </c>
      <c r="N81" s="963">
        <f t="shared" si="8"/>
        <v>2600</v>
      </c>
      <c r="O81" s="963">
        <f t="shared" si="8"/>
        <v>1044.7</v>
      </c>
      <c r="P81" s="964">
        <f t="shared" si="8"/>
        <v>0</v>
      </c>
      <c r="Q81" s="962"/>
      <c r="R81" s="998"/>
      <c r="S81" s="998"/>
      <c r="T81" s="999"/>
      <c r="U81" s="1000"/>
      <c r="V81" s="998"/>
      <c r="W81" s="998"/>
      <c r="X81" s="999"/>
    </row>
    <row r="82" spans="1:24" ht="30" hidden="1" customHeight="1" x14ac:dyDescent="0.2">
      <c r="A82" s="948" t="s">
        <v>391</v>
      </c>
      <c r="B82" s="954">
        <f>SUM(B83/B81)</f>
        <v>21.58</v>
      </c>
      <c r="C82" s="955">
        <f>SUM(C83/C81)</f>
        <v>21.58</v>
      </c>
      <c r="D82" s="955">
        <v>18.350000000000001</v>
      </c>
      <c r="E82" s="955">
        <v>21.58</v>
      </c>
      <c r="F82" s="956">
        <v>12.04</v>
      </c>
      <c r="G82" s="954">
        <f>SUM(G83/G81)</f>
        <v>25.208007868470361</v>
      </c>
      <c r="H82" s="955">
        <v>25.05</v>
      </c>
      <c r="I82" s="955">
        <v>21.01</v>
      </c>
      <c r="J82" s="955">
        <v>25.05</v>
      </c>
      <c r="K82" s="956">
        <v>13.79</v>
      </c>
      <c r="L82" s="954">
        <f>SUM(L83/L81)</f>
        <v>23.39400393423518</v>
      </c>
      <c r="M82" s="955">
        <f>SUM(M83/M81)</f>
        <v>23.311442033770774</v>
      </c>
      <c r="N82" s="955">
        <f>SUM(N83/N81)</f>
        <v>19.680000000000003</v>
      </c>
      <c r="O82" s="955">
        <f>SUM(O83/O81)</f>
        <v>23.315000000000001</v>
      </c>
      <c r="P82" s="956" t="e">
        <f>SUM(P83/P81)</f>
        <v>#DIV/0!</v>
      </c>
      <c r="Q82" s="957">
        <f>SUM(G82/B82)</f>
        <v>1.1681189929782374</v>
      </c>
      <c r="R82" s="1001">
        <f>SUM(H82/C82)</f>
        <v>1.1607970342910103</v>
      </c>
      <c r="S82" s="1001">
        <f>I82/D82</f>
        <v>1.144959128065395</v>
      </c>
      <c r="T82" s="1002">
        <f>SUM(K82/F82)</f>
        <v>1.1453488372093024</v>
      </c>
      <c r="U82" s="1003">
        <f>SUM(L82/стоки!Y91)</f>
        <v>1.1133121871881431</v>
      </c>
      <c r="V82" s="1004">
        <f>SUM(M82/стоки!Z91)</f>
        <v>1.1056409483198997</v>
      </c>
      <c r="W82" s="1004">
        <f>SUM(N82/16.93)</f>
        <v>1.1624335499114</v>
      </c>
      <c r="X82" s="1005" t="e">
        <f>SUM(P82/стоки!AA91)</f>
        <v>#DIV/0!</v>
      </c>
    </row>
    <row r="83" spans="1:24" ht="30" hidden="1" customHeight="1" x14ac:dyDescent="0.2">
      <c r="A83" s="948" t="s">
        <v>392</v>
      </c>
      <c r="B83" s="954">
        <f>SUM(C83+F83)</f>
        <v>39326.312999999995</v>
      </c>
      <c r="C83" s="955">
        <f>SUM(D83:E83)+D84</f>
        <v>39326.312999999995</v>
      </c>
      <c r="D83" s="955">
        <f>D82*D81</f>
        <v>23855.000000000004</v>
      </c>
      <c r="E83" s="955">
        <f>E82*E81</f>
        <v>11272.313</v>
      </c>
      <c r="F83" s="956">
        <f>F82*F81</f>
        <v>0</v>
      </c>
      <c r="G83" s="954">
        <f>SUM(L83-B83)</f>
        <v>45937.813139106962</v>
      </c>
      <c r="H83" s="955">
        <f>SUM(M83-C83)</f>
        <v>45636.899780484338</v>
      </c>
      <c r="I83" s="955">
        <f>I82*I81</f>
        <v>27313.000000000004</v>
      </c>
      <c r="J83" s="955">
        <f>SUM(J81*J82)</f>
        <v>13084.8675</v>
      </c>
      <c r="K83" s="956">
        <f>SUM(P83-F83)</f>
        <v>300.91335862265248</v>
      </c>
      <c r="L83" s="954">
        <f>SUM(стоки!AI90)</f>
        <v>85264.126139106957</v>
      </c>
      <c r="M83" s="955">
        <f>SUM(стоки!AK90)</f>
        <v>84963.212780484333</v>
      </c>
      <c r="N83" s="955">
        <f>SUM(D83+I83)</f>
        <v>51168.000000000007</v>
      </c>
      <c r="O83" s="955">
        <f>SUM(E83+J83)</f>
        <v>24357.180500000002</v>
      </c>
      <c r="P83" s="956">
        <f>SUM(стоки!AL90)</f>
        <v>300.91335862265248</v>
      </c>
      <c r="Q83" s="954"/>
      <c r="R83" s="1006"/>
      <c r="S83" s="1006"/>
      <c r="T83" s="1007"/>
      <c r="U83" s="1008"/>
      <c r="V83" s="1006"/>
      <c r="W83" s="1006"/>
      <c r="X83" s="1007"/>
    </row>
    <row r="84" spans="1:24" ht="30" hidden="1" customHeight="1" thickBot="1" x14ac:dyDescent="0.25">
      <c r="A84" s="949" t="s">
        <v>394</v>
      </c>
      <c r="B84" s="958">
        <f>SUM(C84:F84)</f>
        <v>4198.9999999999964</v>
      </c>
      <c r="C84" s="959">
        <v>0</v>
      </c>
      <c r="D84" s="959">
        <f>SUM(E82-D82)*D81</f>
        <v>4198.9999999999964</v>
      </c>
      <c r="E84" s="959">
        <v>0</v>
      </c>
      <c r="F84" s="960">
        <v>0</v>
      </c>
      <c r="G84" s="958">
        <f>SUM(H84:K84)</f>
        <v>5251.9999999999991</v>
      </c>
      <c r="H84" s="959">
        <v>0</v>
      </c>
      <c r="I84" s="959">
        <f>SUM(H82-I82)*I81</f>
        <v>5251.9999999999991</v>
      </c>
      <c r="J84" s="959">
        <v>0</v>
      </c>
      <c r="K84" s="960">
        <v>0</v>
      </c>
      <c r="L84" s="958">
        <f>SUM(M84:P84)</f>
        <v>9450.9999999999964</v>
      </c>
      <c r="M84" s="959">
        <v>0</v>
      </c>
      <c r="N84" s="959">
        <f>SUM(B84+G84)</f>
        <v>9450.9999999999964</v>
      </c>
      <c r="O84" s="959">
        <v>0</v>
      </c>
      <c r="P84" s="960">
        <v>0</v>
      </c>
      <c r="Q84" s="958"/>
      <c r="R84" s="1009"/>
      <c r="S84" s="1009"/>
      <c r="T84" s="1010"/>
      <c r="U84" s="1011"/>
      <c r="V84" s="1009"/>
      <c r="W84" s="1009"/>
      <c r="X84" s="1010"/>
    </row>
    <row r="85" spans="1:24" ht="27" thickBot="1" x14ac:dyDescent="0.45">
      <c r="A85" s="3560" t="s">
        <v>874</v>
      </c>
      <c r="B85" s="3561"/>
      <c r="C85" s="3561"/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2"/>
    </row>
    <row r="86" spans="1:24" ht="15.75" customHeight="1" thickBot="1" x14ac:dyDescent="0.25">
      <c r="A86" s="3532">
        <v>2016</v>
      </c>
      <c r="B86" s="3535" t="s">
        <v>396</v>
      </c>
      <c r="C86" s="3535"/>
      <c r="D86" s="3535"/>
      <c r="E86" s="3535"/>
      <c r="F86" s="3535"/>
      <c r="G86" s="3535"/>
      <c r="H86" s="3535"/>
      <c r="I86" s="3535"/>
      <c r="J86" s="3535"/>
      <c r="K86" s="3535"/>
      <c r="L86" s="3535"/>
      <c r="M86" s="3535"/>
      <c r="N86" s="3535"/>
      <c r="O86" s="3535"/>
      <c r="P86" s="3536"/>
      <c r="Q86" s="3537" t="s">
        <v>400</v>
      </c>
      <c r="R86" s="3538"/>
      <c r="S86" s="3538"/>
      <c r="T86" s="3539"/>
      <c r="U86" s="3537" t="s">
        <v>401</v>
      </c>
      <c r="V86" s="3538"/>
      <c r="W86" s="3538"/>
      <c r="X86" s="3539"/>
    </row>
    <row r="87" spans="1:24" ht="15.75" customHeight="1" thickBot="1" x14ac:dyDescent="0.25">
      <c r="A87" s="3533"/>
      <c r="B87" s="3543" t="s">
        <v>866</v>
      </c>
      <c r="C87" s="3544"/>
      <c r="D87" s="3544"/>
      <c r="E87" s="3544"/>
      <c r="F87" s="3545"/>
      <c r="G87" s="3546" t="s">
        <v>867</v>
      </c>
      <c r="H87" s="3547"/>
      <c r="I87" s="3547"/>
      <c r="J87" s="3547"/>
      <c r="K87" s="3548"/>
      <c r="L87" s="3546" t="s">
        <v>829</v>
      </c>
      <c r="M87" s="3547"/>
      <c r="N87" s="3547"/>
      <c r="O87" s="3547"/>
      <c r="P87" s="3549"/>
      <c r="Q87" s="3540"/>
      <c r="R87" s="3541"/>
      <c r="S87" s="3541"/>
      <c r="T87" s="3542"/>
      <c r="U87" s="3540"/>
      <c r="V87" s="3541"/>
      <c r="W87" s="3541"/>
      <c r="X87" s="3542"/>
    </row>
    <row r="88" spans="1:24" ht="15.75" customHeight="1" x14ac:dyDescent="0.2">
      <c r="A88" s="3533"/>
      <c r="B88" s="3550" t="s">
        <v>296</v>
      </c>
      <c r="C88" s="3553" t="s">
        <v>50</v>
      </c>
      <c r="D88" s="3553"/>
      <c r="E88" s="3553"/>
      <c r="F88" s="3554"/>
      <c r="G88" s="3555" t="s">
        <v>296</v>
      </c>
      <c r="H88" s="3556" t="s">
        <v>50</v>
      </c>
      <c r="I88" s="3556"/>
      <c r="J88" s="3556"/>
      <c r="K88" s="3557"/>
      <c r="L88" s="3555" t="s">
        <v>296</v>
      </c>
      <c r="M88" s="3556" t="s">
        <v>50</v>
      </c>
      <c r="N88" s="3556"/>
      <c r="O88" s="3556"/>
      <c r="P88" s="3557"/>
      <c r="Q88" s="3555" t="s">
        <v>296</v>
      </c>
      <c r="R88" s="3558" t="s">
        <v>50</v>
      </c>
      <c r="S88" s="3558"/>
      <c r="T88" s="3559"/>
      <c r="U88" s="3555" t="s">
        <v>296</v>
      </c>
      <c r="V88" s="3558" t="s">
        <v>50</v>
      </c>
      <c r="W88" s="3558"/>
      <c r="X88" s="3559"/>
    </row>
    <row r="89" spans="1:24" ht="15.75" customHeight="1" x14ac:dyDescent="0.2">
      <c r="A89" s="3533"/>
      <c r="B89" s="3551"/>
      <c r="C89" s="3524" t="s">
        <v>324</v>
      </c>
      <c r="D89" s="3526" t="s">
        <v>236</v>
      </c>
      <c r="E89" s="3526"/>
      <c r="F89" s="3527" t="s">
        <v>876</v>
      </c>
      <c r="G89" s="3551"/>
      <c r="H89" s="3524" t="s">
        <v>324</v>
      </c>
      <c r="I89" s="3526" t="s">
        <v>236</v>
      </c>
      <c r="J89" s="3526"/>
      <c r="K89" s="3527" t="s">
        <v>876</v>
      </c>
      <c r="L89" s="3551"/>
      <c r="M89" s="3524" t="s">
        <v>324</v>
      </c>
      <c r="N89" s="3526" t="s">
        <v>236</v>
      </c>
      <c r="O89" s="3526"/>
      <c r="P89" s="3527" t="s">
        <v>876</v>
      </c>
      <c r="Q89" s="3551"/>
      <c r="R89" s="3524" t="s">
        <v>324</v>
      </c>
      <c r="S89" s="3524"/>
      <c r="T89" s="3527" t="s">
        <v>876</v>
      </c>
      <c r="U89" s="3551"/>
      <c r="V89" s="3524" t="s">
        <v>324</v>
      </c>
      <c r="W89" s="3524"/>
      <c r="X89" s="3527" t="s">
        <v>876</v>
      </c>
    </row>
    <row r="90" spans="1:24" ht="15.75" customHeight="1" thickBot="1" x14ac:dyDescent="0.25">
      <c r="A90" s="3534"/>
      <c r="B90" s="3552"/>
      <c r="C90" s="3525"/>
      <c r="D90" s="961" t="s">
        <v>261</v>
      </c>
      <c r="E90" s="961" t="s">
        <v>295</v>
      </c>
      <c r="F90" s="3528"/>
      <c r="G90" s="3552"/>
      <c r="H90" s="3525"/>
      <c r="I90" s="961" t="s">
        <v>261</v>
      </c>
      <c r="J90" s="961" t="s">
        <v>295</v>
      </c>
      <c r="K90" s="3528"/>
      <c r="L90" s="3552"/>
      <c r="M90" s="3525"/>
      <c r="N90" s="961" t="s">
        <v>261</v>
      </c>
      <c r="O90" s="961" t="s">
        <v>295</v>
      </c>
      <c r="P90" s="3528"/>
      <c r="Q90" s="3552"/>
      <c r="R90" s="966" t="s">
        <v>869</v>
      </c>
      <c r="S90" s="966" t="s">
        <v>261</v>
      </c>
      <c r="T90" s="3528"/>
      <c r="U90" s="3552"/>
      <c r="V90" s="966" t="s">
        <v>869</v>
      </c>
      <c r="W90" s="966" t="s">
        <v>261</v>
      </c>
      <c r="X90" s="3528"/>
    </row>
    <row r="91" spans="1:24" ht="30" customHeight="1" x14ac:dyDescent="0.2">
      <c r="A91" s="965" t="s">
        <v>390</v>
      </c>
      <c r="B91" s="962">
        <f>SUM(объемы!T58/2)</f>
        <v>1736.5</v>
      </c>
      <c r="C91" s="963">
        <f>SUM(D91:E91)</f>
        <v>1722.5</v>
      </c>
      <c r="D91" s="963">
        <f>SUM(объемы!T59/2)</f>
        <v>1224</v>
      </c>
      <c r="E91" s="963">
        <f>SUM(объемы!T60/2)</f>
        <v>498.5</v>
      </c>
      <c r="F91" s="964">
        <f>SUM(объемы!T61/2)</f>
        <v>14</v>
      </c>
      <c r="G91" s="962">
        <f>B91</f>
        <v>1736.5</v>
      </c>
      <c r="H91" s="963">
        <f>C91</f>
        <v>1722.5</v>
      </c>
      <c r="I91" s="963">
        <f>D91</f>
        <v>1224</v>
      </c>
      <c r="J91" s="963">
        <f>E91</f>
        <v>498.5</v>
      </c>
      <c r="K91" s="964">
        <f>F91</f>
        <v>14</v>
      </c>
      <c r="L91" s="962">
        <f>SUM(B91+G91)</f>
        <v>3473</v>
      </c>
      <c r="M91" s="963">
        <f>SUM(C91+H91)</f>
        <v>3445</v>
      </c>
      <c r="N91" s="963">
        <f>SUM(D91+I91)</f>
        <v>2448</v>
      </c>
      <c r="O91" s="963">
        <f>SUM(E91+J91)</f>
        <v>997</v>
      </c>
      <c r="P91" s="964">
        <f>SUM(F91+K91)</f>
        <v>28</v>
      </c>
      <c r="Q91" s="962"/>
      <c r="R91" s="998"/>
      <c r="S91" s="998"/>
      <c r="T91" s="999"/>
      <c r="U91" s="1000"/>
      <c r="V91" s="967"/>
      <c r="W91" s="967"/>
      <c r="X91" s="968"/>
    </row>
    <row r="92" spans="1:24" ht="30" customHeight="1" x14ac:dyDescent="0.2">
      <c r="A92" s="948" t="s">
        <v>391</v>
      </c>
      <c r="B92" s="954">
        <f>SUM(B93/B91)</f>
        <v>24.206190535607913</v>
      </c>
      <c r="C92" s="955">
        <f>SUM(C93/C91)</f>
        <v>24.290850429656398</v>
      </c>
      <c r="D92" s="955">
        <f>SUM(I72)</f>
        <v>21.01</v>
      </c>
      <c r="E92" s="955">
        <f>SUM(J72)</f>
        <v>24.290850429656398</v>
      </c>
      <c r="F92" s="956">
        <f>SUM(K72)</f>
        <v>13.79</v>
      </c>
      <c r="G92" s="954">
        <f>SUM(G93/G91)</f>
        <v>31.542854403419369</v>
      </c>
      <c r="H92" s="955">
        <f>H93/H91</f>
        <v>31.691236299943128</v>
      </c>
      <c r="I92" s="955">
        <f>D92*1.2</f>
        <v>25.212</v>
      </c>
      <c r="J92" s="955">
        <f>SUM(H92)</f>
        <v>31.691236299943128</v>
      </c>
      <c r="K92" s="956">
        <f t="shared" ref="K92:P92" si="9">SUM(K93/K91)</f>
        <v>13.286581777548991</v>
      </c>
      <c r="L92" s="954">
        <f t="shared" si="9"/>
        <v>27.874522469513643</v>
      </c>
      <c r="M92" s="955">
        <f t="shared" si="9"/>
        <v>27.991043364799765</v>
      </c>
      <c r="N92" s="955">
        <f t="shared" si="9"/>
        <v>23.111000000000001</v>
      </c>
      <c r="O92" s="955">
        <f t="shared" si="9"/>
        <v>27.991043364799765</v>
      </c>
      <c r="P92" s="956">
        <f t="shared" si="9"/>
        <v>13.538290888774496</v>
      </c>
      <c r="Q92" s="957">
        <f>SUM(G92/B92)</f>
        <v>1.303090395699358</v>
      </c>
      <c r="R92" s="1001">
        <f>SUM(H92/C92)</f>
        <v>1.3046573396727061</v>
      </c>
      <c r="S92" s="1001">
        <f>I92/D92</f>
        <v>1.2</v>
      </c>
      <c r="T92" s="1002">
        <f>SUM(K92/F92)</f>
        <v>0.96349396501443008</v>
      </c>
      <c r="U92" s="1003">
        <f>SUM(L92/L72)</f>
        <v>1.1436645962867651</v>
      </c>
      <c r="V92" s="944">
        <f>SUM(M92/M72)</f>
        <v>1.152348841868462</v>
      </c>
      <c r="W92" s="944">
        <f>SUM(N92/N72)</f>
        <v>1.1743394308943087</v>
      </c>
      <c r="X92" s="945" t="e">
        <f>SUM(P92/P72)</f>
        <v>#DIV/0!</v>
      </c>
    </row>
    <row r="93" spans="1:24" ht="30" customHeight="1" x14ac:dyDescent="0.2">
      <c r="A93" s="948" t="s">
        <v>392</v>
      </c>
      <c r="B93" s="954">
        <f>SUM(C93+F93)</f>
        <v>42034.049865083143</v>
      </c>
      <c r="C93" s="955">
        <f>SUM(D93:E93)+D94</f>
        <v>41840.989865083146</v>
      </c>
      <c r="D93" s="955">
        <f>D92*D91</f>
        <v>25716.240000000002</v>
      </c>
      <c r="E93" s="955">
        <f>E92*E91</f>
        <v>12108.988939183715</v>
      </c>
      <c r="F93" s="956">
        <f>F92*F91</f>
        <v>193.06</v>
      </c>
      <c r="G93" s="954">
        <f>SUM(L93-B93)</f>
        <v>54774.166671537736</v>
      </c>
      <c r="H93" s="955">
        <f>SUM(M93-C93)</f>
        <v>54588.154526652041</v>
      </c>
      <c r="I93" s="955">
        <f>I92*I91</f>
        <v>30859.488000000001</v>
      </c>
      <c r="J93" s="955">
        <f>SUM(J91*J92)</f>
        <v>15798.08129552165</v>
      </c>
      <c r="K93" s="956">
        <f>SUM(P93-F93)</f>
        <v>186.01214488568587</v>
      </c>
      <c r="L93" s="954">
        <f>SUM(стоки!AV93)</f>
        <v>96808.216536620879</v>
      </c>
      <c r="M93" s="955">
        <f>SUM(стоки!AX93)</f>
        <v>96429.144391735186</v>
      </c>
      <c r="N93" s="955">
        <f>SUM(D93+I93)</f>
        <v>56575.728000000003</v>
      </c>
      <c r="O93" s="955">
        <f>SUM(E93+J93)</f>
        <v>27907.070234705367</v>
      </c>
      <c r="P93" s="956">
        <f>SUM(стоки!AY93)</f>
        <v>379.07214488568587</v>
      </c>
      <c r="Q93" s="954"/>
      <c r="R93" s="1006"/>
      <c r="S93" s="1006"/>
      <c r="T93" s="1007"/>
      <c r="U93" s="1008"/>
      <c r="V93" s="941"/>
      <c r="W93" s="941"/>
      <c r="X93" s="942"/>
    </row>
    <row r="94" spans="1:24" ht="30" customHeight="1" thickBot="1" x14ac:dyDescent="0.25">
      <c r="A94" s="949" t="s">
        <v>394</v>
      </c>
      <c r="B94" s="958">
        <f>SUM(C94:F94)</f>
        <v>4015.7609258994298</v>
      </c>
      <c r="C94" s="959">
        <v>0</v>
      </c>
      <c r="D94" s="959">
        <f>SUM(E92-D92)*D91</f>
        <v>4015.7609258994298</v>
      </c>
      <c r="E94" s="959">
        <v>0</v>
      </c>
      <c r="F94" s="960">
        <v>0</v>
      </c>
      <c r="G94" s="958">
        <f>SUM(H94:K94)</f>
        <v>7930.5852311303888</v>
      </c>
      <c r="H94" s="959">
        <v>0</v>
      </c>
      <c r="I94" s="959">
        <f>SUM(H92-I92)*I91</f>
        <v>7930.5852311303888</v>
      </c>
      <c r="J94" s="959">
        <v>0</v>
      </c>
      <c r="K94" s="960">
        <v>0</v>
      </c>
      <c r="L94" s="958">
        <f>SUM(M94:P94)</f>
        <v>11946.346157029819</v>
      </c>
      <c r="M94" s="959">
        <v>0</v>
      </c>
      <c r="N94" s="959">
        <f>SUM(B94+G94)</f>
        <v>11946.346157029819</v>
      </c>
      <c r="O94" s="959">
        <v>0</v>
      </c>
      <c r="P94" s="960">
        <v>0</v>
      </c>
      <c r="Q94" s="958"/>
      <c r="R94" s="1009"/>
      <c r="S94" s="1009"/>
      <c r="T94" s="1010"/>
      <c r="U94" s="1011"/>
      <c r="V94" s="946"/>
      <c r="W94" s="946"/>
      <c r="X94" s="947"/>
    </row>
    <row r="95" spans="1:24" ht="15.75" customHeight="1" thickBot="1" x14ac:dyDescent="0.25">
      <c r="A95" s="3495"/>
      <c r="B95" s="3496"/>
      <c r="C95" s="3496"/>
      <c r="D95" s="3496"/>
      <c r="E95" s="3496"/>
      <c r="F95" s="3496"/>
      <c r="G95" s="3496"/>
      <c r="H95" s="3496"/>
      <c r="I95" s="3496"/>
      <c r="J95" s="3496"/>
      <c r="K95" s="3496"/>
      <c r="L95" s="3496"/>
      <c r="M95" s="3496"/>
      <c r="N95" s="3496"/>
      <c r="O95" s="3496"/>
      <c r="P95" s="3496"/>
      <c r="Q95" s="3496"/>
      <c r="R95" s="3496"/>
      <c r="S95" s="3496"/>
      <c r="T95" s="3496"/>
      <c r="U95" s="3496"/>
      <c r="V95" s="3496"/>
      <c r="W95" s="3496"/>
      <c r="X95" s="3497"/>
    </row>
    <row r="96" spans="1:24" ht="15.75" customHeight="1" thickBot="1" x14ac:dyDescent="0.25">
      <c r="A96" s="3532">
        <v>2016</v>
      </c>
      <c r="B96" s="3535" t="s">
        <v>393</v>
      </c>
      <c r="C96" s="3535"/>
      <c r="D96" s="3535"/>
      <c r="E96" s="3535"/>
      <c r="F96" s="3535"/>
      <c r="G96" s="3535"/>
      <c r="H96" s="3535"/>
      <c r="I96" s="3535"/>
      <c r="J96" s="3535"/>
      <c r="K96" s="3535"/>
      <c r="L96" s="3535"/>
      <c r="M96" s="3535"/>
      <c r="N96" s="3535"/>
      <c r="O96" s="3535"/>
      <c r="P96" s="3536"/>
      <c r="Q96" s="3537" t="s">
        <v>400</v>
      </c>
      <c r="R96" s="3538"/>
      <c r="S96" s="3538"/>
      <c r="T96" s="3539"/>
      <c r="U96" s="3537" t="s">
        <v>401</v>
      </c>
      <c r="V96" s="3538"/>
      <c r="W96" s="3538"/>
      <c r="X96" s="3539"/>
    </row>
    <row r="97" spans="1:24" ht="15.75" customHeight="1" thickBot="1" x14ac:dyDescent="0.25">
      <c r="A97" s="3533"/>
      <c r="B97" s="3543" t="s">
        <v>866</v>
      </c>
      <c r="C97" s="3544"/>
      <c r="D97" s="3544"/>
      <c r="E97" s="3544"/>
      <c r="F97" s="3545"/>
      <c r="G97" s="3546" t="s">
        <v>867</v>
      </c>
      <c r="H97" s="3547"/>
      <c r="I97" s="3547"/>
      <c r="J97" s="3547"/>
      <c r="K97" s="3548"/>
      <c r="L97" s="3546" t="s">
        <v>829</v>
      </c>
      <c r="M97" s="3547"/>
      <c r="N97" s="3547"/>
      <c r="O97" s="3547"/>
      <c r="P97" s="3549"/>
      <c r="Q97" s="3540"/>
      <c r="R97" s="3541"/>
      <c r="S97" s="3541"/>
      <c r="T97" s="3542"/>
      <c r="U97" s="3540"/>
      <c r="V97" s="3541"/>
      <c r="W97" s="3541"/>
      <c r="X97" s="3542"/>
    </row>
    <row r="98" spans="1:24" ht="15.75" customHeight="1" x14ac:dyDescent="0.2">
      <c r="A98" s="3533"/>
      <c r="B98" s="3550" t="s">
        <v>296</v>
      </c>
      <c r="C98" s="3553" t="s">
        <v>50</v>
      </c>
      <c r="D98" s="3553"/>
      <c r="E98" s="3553"/>
      <c r="F98" s="3554"/>
      <c r="G98" s="3555" t="s">
        <v>296</v>
      </c>
      <c r="H98" s="3556" t="s">
        <v>50</v>
      </c>
      <c r="I98" s="3556"/>
      <c r="J98" s="3556"/>
      <c r="K98" s="3557"/>
      <c r="L98" s="3555" t="s">
        <v>296</v>
      </c>
      <c r="M98" s="3556" t="s">
        <v>50</v>
      </c>
      <c r="N98" s="3556"/>
      <c r="O98" s="3556"/>
      <c r="P98" s="3557"/>
      <c r="Q98" s="3555" t="s">
        <v>296</v>
      </c>
      <c r="R98" s="3558" t="s">
        <v>50</v>
      </c>
      <c r="S98" s="3558"/>
      <c r="T98" s="3559"/>
      <c r="U98" s="3555" t="s">
        <v>296</v>
      </c>
      <c r="V98" s="3558" t="s">
        <v>50</v>
      </c>
      <c r="W98" s="3558"/>
      <c r="X98" s="3559"/>
    </row>
    <row r="99" spans="1:24" ht="15.75" customHeight="1" x14ac:dyDescent="0.2">
      <c r="A99" s="3533"/>
      <c r="B99" s="3551"/>
      <c r="C99" s="3524" t="s">
        <v>324</v>
      </c>
      <c r="D99" s="3526" t="s">
        <v>236</v>
      </c>
      <c r="E99" s="3526"/>
      <c r="F99" s="3527" t="s">
        <v>876</v>
      </c>
      <c r="G99" s="3551"/>
      <c r="H99" s="3524" t="s">
        <v>324</v>
      </c>
      <c r="I99" s="3526" t="s">
        <v>236</v>
      </c>
      <c r="J99" s="3526"/>
      <c r="K99" s="3527" t="s">
        <v>876</v>
      </c>
      <c r="L99" s="3551"/>
      <c r="M99" s="3524" t="s">
        <v>324</v>
      </c>
      <c r="N99" s="3526" t="s">
        <v>236</v>
      </c>
      <c r="O99" s="3526"/>
      <c r="P99" s="3527" t="s">
        <v>876</v>
      </c>
      <c r="Q99" s="3551"/>
      <c r="R99" s="3524" t="s">
        <v>324</v>
      </c>
      <c r="S99" s="3524"/>
      <c r="T99" s="3527" t="s">
        <v>876</v>
      </c>
      <c r="U99" s="3551"/>
      <c r="V99" s="3524" t="s">
        <v>324</v>
      </c>
      <c r="W99" s="3524"/>
      <c r="X99" s="3527" t="s">
        <v>876</v>
      </c>
    </row>
    <row r="100" spans="1:24" ht="15.75" customHeight="1" thickBot="1" x14ac:dyDescent="0.25">
      <c r="A100" s="3534"/>
      <c r="B100" s="3552"/>
      <c r="C100" s="3525"/>
      <c r="D100" s="961" t="s">
        <v>261</v>
      </c>
      <c r="E100" s="961" t="s">
        <v>295</v>
      </c>
      <c r="F100" s="3528"/>
      <c r="G100" s="3552"/>
      <c r="H100" s="3525"/>
      <c r="I100" s="961" t="s">
        <v>261</v>
      </c>
      <c r="J100" s="961" t="s">
        <v>295</v>
      </c>
      <c r="K100" s="3528"/>
      <c r="L100" s="3552"/>
      <c r="M100" s="3525"/>
      <c r="N100" s="961" t="s">
        <v>261</v>
      </c>
      <c r="O100" s="961" t="s">
        <v>295</v>
      </c>
      <c r="P100" s="3528"/>
      <c r="Q100" s="3552"/>
      <c r="R100" s="966" t="s">
        <v>869</v>
      </c>
      <c r="S100" s="966" t="s">
        <v>261</v>
      </c>
      <c r="T100" s="3528"/>
      <c r="U100" s="3552"/>
      <c r="V100" s="966" t="s">
        <v>869</v>
      </c>
      <c r="W100" s="966" t="s">
        <v>261</v>
      </c>
      <c r="X100" s="3528"/>
    </row>
    <row r="101" spans="1:24" ht="30" customHeight="1" x14ac:dyDescent="0.2">
      <c r="A101" s="965" t="s">
        <v>390</v>
      </c>
      <c r="B101" s="962">
        <f>SUM(B91)</f>
        <v>1736.5</v>
      </c>
      <c r="C101" s="963">
        <f t="shared" ref="C101:P101" si="10">SUM(C91)</f>
        <v>1722.5</v>
      </c>
      <c r="D101" s="963">
        <f t="shared" si="10"/>
        <v>1224</v>
      </c>
      <c r="E101" s="963">
        <f t="shared" si="10"/>
        <v>498.5</v>
      </c>
      <c r="F101" s="964">
        <f t="shared" si="10"/>
        <v>14</v>
      </c>
      <c r="G101" s="962">
        <f t="shared" si="10"/>
        <v>1736.5</v>
      </c>
      <c r="H101" s="963">
        <f t="shared" si="10"/>
        <v>1722.5</v>
      </c>
      <c r="I101" s="963">
        <f t="shared" si="10"/>
        <v>1224</v>
      </c>
      <c r="J101" s="963">
        <f t="shared" si="10"/>
        <v>498.5</v>
      </c>
      <c r="K101" s="964">
        <f t="shared" si="10"/>
        <v>14</v>
      </c>
      <c r="L101" s="962">
        <f t="shared" si="10"/>
        <v>3473</v>
      </c>
      <c r="M101" s="963">
        <f t="shared" si="10"/>
        <v>3445</v>
      </c>
      <c r="N101" s="963">
        <f t="shared" si="10"/>
        <v>2448</v>
      </c>
      <c r="O101" s="963">
        <f t="shared" si="10"/>
        <v>997</v>
      </c>
      <c r="P101" s="964">
        <f t="shared" si="10"/>
        <v>28</v>
      </c>
      <c r="Q101" s="962"/>
      <c r="R101" s="967"/>
      <c r="S101" s="967"/>
      <c r="T101" s="968"/>
      <c r="U101" s="969"/>
      <c r="V101" s="967"/>
      <c r="W101" s="967"/>
      <c r="X101" s="968"/>
    </row>
    <row r="102" spans="1:24" ht="30" customHeight="1" x14ac:dyDescent="0.2">
      <c r="A102" s="948" t="s">
        <v>391</v>
      </c>
      <c r="B102" s="954">
        <f>SUM(B103/B101)</f>
        <v>24.959219694788366</v>
      </c>
      <c r="C102" s="955">
        <f>SUM(C103/C101)</f>
        <v>25.05</v>
      </c>
      <c r="D102" s="955">
        <f>SUM(I82)</f>
        <v>21.01</v>
      </c>
      <c r="E102" s="955">
        <f>SUM(J82)</f>
        <v>25.05</v>
      </c>
      <c r="F102" s="956">
        <f>SUM(K82)</f>
        <v>13.79</v>
      </c>
      <c r="G102" s="954">
        <f>SUM(G103/G101)</f>
        <v>30.789306960334518</v>
      </c>
      <c r="H102" s="955">
        <f>H103/H101</f>
        <v>30.931564233227977</v>
      </c>
      <c r="I102" s="955">
        <f>D102*1.2</f>
        <v>25.212</v>
      </c>
      <c r="J102" s="955">
        <f>SUM(H102)</f>
        <v>30.931564233227977</v>
      </c>
      <c r="K102" s="956">
        <f t="shared" ref="K102:P102" si="11">SUM(K103/K101)</f>
        <v>13.286581777548991</v>
      </c>
      <c r="L102" s="954">
        <f t="shared" si="11"/>
        <v>27.87426332756144</v>
      </c>
      <c r="M102" s="955">
        <f t="shared" si="11"/>
        <v>27.990782116613989</v>
      </c>
      <c r="N102" s="955">
        <f t="shared" si="11"/>
        <v>23.111000000000001</v>
      </c>
      <c r="O102" s="955">
        <f t="shared" si="11"/>
        <v>27.990782116613989</v>
      </c>
      <c r="P102" s="956">
        <f t="shared" si="11"/>
        <v>13.538290888774496</v>
      </c>
      <c r="Q102" s="957">
        <f>SUM(G102/B102)</f>
        <v>1.2335845165369295</v>
      </c>
      <c r="R102" s="943">
        <f>SUM(H102/C102)</f>
        <v>1.2347929833623943</v>
      </c>
      <c r="S102" s="943">
        <f>I102/D102</f>
        <v>1.2</v>
      </c>
      <c r="T102" s="950">
        <f>SUM(K102/F102)</f>
        <v>0.96349396501443008</v>
      </c>
      <c r="U102" s="952">
        <f>SUM(L102/L82)</f>
        <v>1.1915131503748178</v>
      </c>
      <c r="V102" s="944">
        <f>SUM(M102/M82)</f>
        <v>1.2007314723844349</v>
      </c>
      <c r="W102" s="944">
        <f>SUM(N102/N82)</f>
        <v>1.1743394308943087</v>
      </c>
      <c r="X102" s="945" t="e">
        <f>SUM(P102/P82)</f>
        <v>#DIV/0!</v>
      </c>
    </row>
    <row r="103" spans="1:24" ht="30" customHeight="1" x14ac:dyDescent="0.2">
      <c r="A103" s="948" t="s">
        <v>392</v>
      </c>
      <c r="B103" s="954">
        <f>SUM(C103+F103)</f>
        <v>43341.684999999998</v>
      </c>
      <c r="C103" s="955">
        <f>SUM(D103:E103)+D104</f>
        <v>43148.625</v>
      </c>
      <c r="D103" s="955">
        <f>D102*D101</f>
        <v>25716.240000000002</v>
      </c>
      <c r="E103" s="955">
        <f>E102*E101</f>
        <v>12487.425000000001</v>
      </c>
      <c r="F103" s="956">
        <f>F102*F101</f>
        <v>193.06</v>
      </c>
      <c r="G103" s="954">
        <f>SUM(L103-B103)</f>
        <v>53465.631536620887</v>
      </c>
      <c r="H103" s="955">
        <f>SUM(M103-C103)</f>
        <v>53279.619391735192</v>
      </c>
      <c r="I103" s="955">
        <f>I102*I101</f>
        <v>30859.488000000001</v>
      </c>
      <c r="J103" s="955">
        <f>SUM(J101*J102)</f>
        <v>15419.384770264147</v>
      </c>
      <c r="K103" s="956">
        <f>SUM(P103-F103)</f>
        <v>186.01214488568587</v>
      </c>
      <c r="L103" s="954">
        <f>SUM(стоки!AV90)</f>
        <v>96807.316536620885</v>
      </c>
      <c r="M103" s="955">
        <f>SUM(стоки!AX90)</f>
        <v>96428.244391735192</v>
      </c>
      <c r="N103" s="955">
        <f>SUM(D103+I103)</f>
        <v>56575.728000000003</v>
      </c>
      <c r="O103" s="955">
        <f>SUM(E103+J103)</f>
        <v>27906.809770264146</v>
      </c>
      <c r="P103" s="956">
        <f>SUM(стоки!AY90)</f>
        <v>379.07214488568587</v>
      </c>
      <c r="Q103" s="954"/>
      <c r="R103" s="941"/>
      <c r="S103" s="941"/>
      <c r="T103" s="942"/>
      <c r="U103" s="951"/>
      <c r="V103" s="941"/>
      <c r="W103" s="941"/>
      <c r="X103" s="942"/>
    </row>
    <row r="104" spans="1:24" ht="30" customHeight="1" thickBot="1" x14ac:dyDescent="0.25">
      <c r="A104" s="949" t="s">
        <v>394</v>
      </c>
      <c r="B104" s="958">
        <f>SUM(C104:F104)</f>
        <v>4944.9599999999991</v>
      </c>
      <c r="C104" s="959">
        <v>0</v>
      </c>
      <c r="D104" s="959">
        <f>SUM(E102-D102)*D101</f>
        <v>4944.9599999999991</v>
      </c>
      <c r="E104" s="959">
        <v>0</v>
      </c>
      <c r="F104" s="960">
        <v>0</v>
      </c>
      <c r="G104" s="958">
        <f>SUM(H104:K104)</f>
        <v>7000.7466214710448</v>
      </c>
      <c r="H104" s="959">
        <v>0</v>
      </c>
      <c r="I104" s="959">
        <f>SUM(H102-I102)*I101</f>
        <v>7000.7466214710448</v>
      </c>
      <c r="J104" s="959">
        <v>0</v>
      </c>
      <c r="K104" s="960">
        <v>0</v>
      </c>
      <c r="L104" s="958">
        <f>SUM(M104:P104)</f>
        <v>11945.706621471043</v>
      </c>
      <c r="M104" s="959">
        <v>0</v>
      </c>
      <c r="N104" s="959">
        <f>SUM(B104+G104)</f>
        <v>11945.706621471043</v>
      </c>
      <c r="O104" s="959">
        <v>0</v>
      </c>
      <c r="P104" s="960">
        <v>0</v>
      </c>
      <c r="Q104" s="958"/>
      <c r="R104" s="946"/>
      <c r="S104" s="946"/>
      <c r="T104" s="947"/>
      <c r="U104" s="953"/>
      <c r="V104" s="946"/>
      <c r="W104" s="946"/>
      <c r="X104" s="947"/>
    </row>
    <row r="105" spans="1:24" ht="27" thickBot="1" x14ac:dyDescent="0.45">
      <c r="A105" s="3529" t="s">
        <v>875</v>
      </c>
      <c r="B105" s="3530"/>
      <c r="C105" s="3530"/>
      <c r="D105" s="3530"/>
      <c r="E105" s="3530"/>
      <c r="F105" s="3530"/>
      <c r="G105" s="3530"/>
      <c r="H105" s="3530"/>
      <c r="I105" s="3530"/>
      <c r="J105" s="3530"/>
      <c r="K105" s="3530"/>
      <c r="L105" s="3530"/>
      <c r="M105" s="3530"/>
      <c r="N105" s="3530"/>
      <c r="O105" s="3530"/>
      <c r="P105" s="3530"/>
      <c r="Q105" s="3530"/>
      <c r="R105" s="3530"/>
      <c r="S105" s="3530"/>
      <c r="T105" s="3530"/>
      <c r="U105" s="3530"/>
      <c r="V105" s="3530"/>
      <c r="W105" s="3530"/>
      <c r="X105" s="3531"/>
    </row>
    <row r="106" spans="1:24" ht="15.75" customHeight="1" thickBot="1" x14ac:dyDescent="0.25">
      <c r="A106" s="3498">
        <v>2016</v>
      </c>
      <c r="B106" s="3501" t="s">
        <v>396</v>
      </c>
      <c r="C106" s="3501"/>
      <c r="D106" s="3501"/>
      <c r="E106" s="3501"/>
      <c r="F106" s="3501"/>
      <c r="G106" s="3501"/>
      <c r="H106" s="3501"/>
      <c r="I106" s="3501"/>
      <c r="J106" s="3501"/>
      <c r="K106" s="3501"/>
      <c r="L106" s="3501"/>
      <c r="M106" s="3501"/>
      <c r="N106" s="3501"/>
      <c r="O106" s="3501"/>
      <c r="P106" s="3502"/>
      <c r="Q106" s="3511" t="s">
        <v>400</v>
      </c>
      <c r="R106" s="3512"/>
      <c r="S106" s="3512"/>
      <c r="T106" s="3513"/>
      <c r="U106" s="3511" t="s">
        <v>401</v>
      </c>
      <c r="V106" s="3512"/>
      <c r="W106" s="3512"/>
      <c r="X106" s="3513"/>
    </row>
    <row r="107" spans="1:24" ht="15.75" customHeight="1" thickBot="1" x14ac:dyDescent="0.25">
      <c r="A107" s="3499"/>
      <c r="B107" s="3517" t="s">
        <v>866</v>
      </c>
      <c r="C107" s="3518"/>
      <c r="D107" s="3518"/>
      <c r="E107" s="3518"/>
      <c r="F107" s="3519"/>
      <c r="G107" s="3520" t="s">
        <v>867</v>
      </c>
      <c r="H107" s="3521"/>
      <c r="I107" s="3521"/>
      <c r="J107" s="3521"/>
      <c r="K107" s="3522"/>
      <c r="L107" s="3520" t="s">
        <v>829</v>
      </c>
      <c r="M107" s="3521"/>
      <c r="N107" s="3521"/>
      <c r="O107" s="3521"/>
      <c r="P107" s="3523"/>
      <c r="Q107" s="3514"/>
      <c r="R107" s="3515"/>
      <c r="S107" s="3515"/>
      <c r="T107" s="3516"/>
      <c r="U107" s="3514"/>
      <c r="V107" s="3515"/>
      <c r="W107" s="3515"/>
      <c r="X107" s="3516"/>
    </row>
    <row r="108" spans="1:24" ht="15.75" customHeight="1" x14ac:dyDescent="0.2">
      <c r="A108" s="3499"/>
      <c r="B108" s="3503" t="s">
        <v>296</v>
      </c>
      <c r="C108" s="3506" t="s">
        <v>50</v>
      </c>
      <c r="D108" s="3506"/>
      <c r="E108" s="3506"/>
      <c r="F108" s="3507"/>
      <c r="G108" s="3508" t="s">
        <v>296</v>
      </c>
      <c r="H108" s="3509" t="s">
        <v>50</v>
      </c>
      <c r="I108" s="3509"/>
      <c r="J108" s="3509"/>
      <c r="K108" s="3510"/>
      <c r="L108" s="3508" t="s">
        <v>296</v>
      </c>
      <c r="M108" s="3509" t="s">
        <v>50</v>
      </c>
      <c r="N108" s="3509"/>
      <c r="O108" s="3509"/>
      <c r="P108" s="3510"/>
      <c r="Q108" s="3508" t="s">
        <v>296</v>
      </c>
      <c r="R108" s="3484" t="s">
        <v>50</v>
      </c>
      <c r="S108" s="3484"/>
      <c r="T108" s="3485"/>
      <c r="U108" s="3508" t="s">
        <v>296</v>
      </c>
      <c r="V108" s="3484" t="s">
        <v>50</v>
      </c>
      <c r="W108" s="3484"/>
      <c r="X108" s="3485"/>
    </row>
    <row r="109" spans="1:24" ht="15.75" customHeight="1" x14ac:dyDescent="0.2">
      <c r="A109" s="3499"/>
      <c r="B109" s="3504"/>
      <c r="C109" s="3486" t="s">
        <v>324</v>
      </c>
      <c r="D109" s="3494" t="s">
        <v>236</v>
      </c>
      <c r="E109" s="3494"/>
      <c r="F109" s="3487" t="s">
        <v>876</v>
      </c>
      <c r="G109" s="3504"/>
      <c r="H109" s="3486" t="s">
        <v>324</v>
      </c>
      <c r="I109" s="3494" t="s">
        <v>236</v>
      </c>
      <c r="J109" s="3494"/>
      <c r="K109" s="3487" t="s">
        <v>876</v>
      </c>
      <c r="L109" s="3504"/>
      <c r="M109" s="3486" t="s">
        <v>324</v>
      </c>
      <c r="N109" s="3494" t="s">
        <v>236</v>
      </c>
      <c r="O109" s="3494"/>
      <c r="P109" s="3487" t="s">
        <v>876</v>
      </c>
      <c r="Q109" s="3504"/>
      <c r="R109" s="3486" t="s">
        <v>324</v>
      </c>
      <c r="S109" s="3486"/>
      <c r="T109" s="3487" t="s">
        <v>876</v>
      </c>
      <c r="U109" s="3504"/>
      <c r="V109" s="3486" t="s">
        <v>324</v>
      </c>
      <c r="W109" s="3486"/>
      <c r="X109" s="3487" t="s">
        <v>876</v>
      </c>
    </row>
    <row r="110" spans="1:24" ht="15.75" customHeight="1" thickBot="1" x14ac:dyDescent="0.25">
      <c r="A110" s="3500"/>
      <c r="B110" s="3505"/>
      <c r="C110" s="3493"/>
      <c r="D110" s="970" t="s">
        <v>261</v>
      </c>
      <c r="E110" s="970" t="s">
        <v>295</v>
      </c>
      <c r="F110" s="3488"/>
      <c r="G110" s="3505"/>
      <c r="H110" s="3493"/>
      <c r="I110" s="970" t="s">
        <v>261</v>
      </c>
      <c r="J110" s="970" t="s">
        <v>295</v>
      </c>
      <c r="K110" s="3488"/>
      <c r="L110" s="3505"/>
      <c r="M110" s="3493"/>
      <c r="N110" s="970" t="s">
        <v>261</v>
      </c>
      <c r="O110" s="970" t="s">
        <v>295</v>
      </c>
      <c r="P110" s="3488"/>
      <c r="Q110" s="3505"/>
      <c r="R110" s="970" t="s">
        <v>869</v>
      </c>
      <c r="S110" s="970" t="s">
        <v>261</v>
      </c>
      <c r="T110" s="3488"/>
      <c r="U110" s="3505"/>
      <c r="V110" s="970" t="s">
        <v>869</v>
      </c>
      <c r="W110" s="970" t="s">
        <v>261</v>
      </c>
      <c r="X110" s="3488"/>
    </row>
    <row r="111" spans="1:24" ht="30" customHeight="1" x14ac:dyDescent="0.2">
      <c r="A111" s="971" t="s">
        <v>390</v>
      </c>
      <c r="B111" s="972">
        <f>SUM(объемы!AA58/2)</f>
        <v>1722.5</v>
      </c>
      <c r="C111" s="973">
        <f>SUM(D111:E111)</f>
        <v>1722.5</v>
      </c>
      <c r="D111" s="973">
        <f>SUM(объемы!AA59/2)</f>
        <v>1224</v>
      </c>
      <c r="E111" s="973">
        <f>SUM(объемы!AA60/2)</f>
        <v>498.5</v>
      </c>
      <c r="F111" s="974">
        <f>SUM(объемы!AA61/2)</f>
        <v>0</v>
      </c>
      <c r="G111" s="972">
        <f>B111</f>
        <v>1722.5</v>
      </c>
      <c r="H111" s="973">
        <f>C111</f>
        <v>1722.5</v>
      </c>
      <c r="I111" s="973">
        <f>D111</f>
        <v>1224</v>
      </c>
      <c r="J111" s="973">
        <f>E111</f>
        <v>498.5</v>
      </c>
      <c r="K111" s="974">
        <f>F111</f>
        <v>0</v>
      </c>
      <c r="L111" s="972">
        <f>SUM(B111+G111)</f>
        <v>3445</v>
      </c>
      <c r="M111" s="973">
        <f>SUM(C111+H111)</f>
        <v>3445</v>
      </c>
      <c r="N111" s="973">
        <f>SUM(D111+I111)</f>
        <v>2448</v>
      </c>
      <c r="O111" s="973">
        <f>SUM(E111+J111)</f>
        <v>997</v>
      </c>
      <c r="P111" s="974">
        <f>SUM(F111+K111)</f>
        <v>0</v>
      </c>
      <c r="Q111" s="972"/>
      <c r="R111" s="975"/>
      <c r="S111" s="975"/>
      <c r="T111" s="976"/>
      <c r="U111" s="977"/>
      <c r="V111" s="975"/>
      <c r="W111" s="975"/>
      <c r="X111" s="976"/>
    </row>
    <row r="112" spans="1:24" ht="30" customHeight="1" x14ac:dyDescent="0.2">
      <c r="A112" s="978" t="s">
        <v>391</v>
      </c>
      <c r="B112" s="979">
        <f>SUM(B113/B111)</f>
        <v>24.290850429656398</v>
      </c>
      <c r="C112" s="980">
        <f>SUM(C113/C111)</f>
        <v>24.290850429656398</v>
      </c>
      <c r="D112" s="980">
        <f>SUM(I72)</f>
        <v>21.01</v>
      </c>
      <c r="E112" s="980">
        <f>SUM(J72)</f>
        <v>24.290850429656398</v>
      </c>
      <c r="F112" s="981">
        <f>SUM(K72)</f>
        <v>13.79</v>
      </c>
      <c r="G112" s="979">
        <f>SUM(G113/G111)</f>
        <v>25.279777557813851</v>
      </c>
      <c r="H112" s="980">
        <f>H113/H111</f>
        <v>25.125513320940165</v>
      </c>
      <c r="I112" s="980">
        <f>D112*1.045</f>
        <v>21.955449999999999</v>
      </c>
      <c r="J112" s="980">
        <f>SUM(H112)</f>
        <v>25.125513320940165</v>
      </c>
      <c r="K112" s="981" t="e">
        <f t="shared" ref="K112:P112" si="12">SUM(K113/K111)</f>
        <v>#DIV/0!</v>
      </c>
      <c r="L112" s="979">
        <f t="shared" si="12"/>
        <v>24.785313993735123</v>
      </c>
      <c r="M112" s="980">
        <f t="shared" si="12"/>
        <v>24.708181875298283</v>
      </c>
      <c r="N112" s="980">
        <f t="shared" si="12"/>
        <v>21.482725000000002</v>
      </c>
      <c r="O112" s="980">
        <f t="shared" si="12"/>
        <v>24.708181875298283</v>
      </c>
      <c r="P112" s="981" t="e">
        <f t="shared" si="12"/>
        <v>#DIV/0!</v>
      </c>
      <c r="Q112" s="982">
        <f>SUM(G112/B112)</f>
        <v>1.0407119187128204</v>
      </c>
      <c r="R112" s="983">
        <f>SUM(H112/C112)</f>
        <v>1.034361205001894</v>
      </c>
      <c r="S112" s="983">
        <f>I112/D112</f>
        <v>1.0449999999999999</v>
      </c>
      <c r="T112" s="984" t="e">
        <f>SUM(K112/F112)</f>
        <v>#DIV/0!</v>
      </c>
      <c r="U112" s="985">
        <f>SUM(L112/L72)</f>
        <v>1.016917371534809</v>
      </c>
      <c r="V112" s="986">
        <f>SUM(M112/M72)</f>
        <v>1.0171984087052977</v>
      </c>
      <c r="W112" s="986">
        <f>SUM(N112/N72)</f>
        <v>1.0916018800813008</v>
      </c>
      <c r="X112" s="987" t="e">
        <f>SUM(P112/P72)</f>
        <v>#DIV/0!</v>
      </c>
    </row>
    <row r="113" spans="1:24" ht="30" customHeight="1" x14ac:dyDescent="0.2">
      <c r="A113" s="978" t="s">
        <v>392</v>
      </c>
      <c r="B113" s="979">
        <f>SUM(C113+F113)</f>
        <v>41840.989865083146</v>
      </c>
      <c r="C113" s="980">
        <f>SUM(D113:E113)+D114</f>
        <v>41840.989865083146</v>
      </c>
      <c r="D113" s="980">
        <f>D112*D111</f>
        <v>25716.240000000002</v>
      </c>
      <c r="E113" s="980">
        <f>E112*E111</f>
        <v>12108.988939183715</v>
      </c>
      <c r="F113" s="981">
        <f>F112*F111</f>
        <v>0</v>
      </c>
      <c r="G113" s="979">
        <f>SUM(L113-B113)</f>
        <v>43544.416843334358</v>
      </c>
      <c r="H113" s="980">
        <f>SUM(M113-C113)</f>
        <v>43278.696695319435</v>
      </c>
      <c r="I113" s="980">
        <f>I112*I111</f>
        <v>26873.470799999999</v>
      </c>
      <c r="J113" s="980">
        <f>SUM(J111*J112)</f>
        <v>12525.068390488672</v>
      </c>
      <c r="K113" s="981">
        <f>SUM(P113-F113)</f>
        <v>265.72014801492907</v>
      </c>
      <c r="L113" s="979">
        <f>SUM(стоки!AZ93)</f>
        <v>85385.406708417504</v>
      </c>
      <c r="M113" s="980">
        <f>SUM(стоки!BB93)</f>
        <v>85119.686560402581</v>
      </c>
      <c r="N113" s="980">
        <f>SUM(D113+I113)</f>
        <v>52589.710800000001</v>
      </c>
      <c r="O113" s="980">
        <f>SUM(E113+J113)</f>
        <v>24634.057329672389</v>
      </c>
      <c r="P113" s="981">
        <f>SUM(стоки!BC93)</f>
        <v>265.72014801492907</v>
      </c>
      <c r="Q113" s="979"/>
      <c r="R113" s="988"/>
      <c r="S113" s="988"/>
      <c r="T113" s="989"/>
      <c r="U113" s="990"/>
      <c r="V113" s="988"/>
      <c r="W113" s="988"/>
      <c r="X113" s="989"/>
    </row>
    <row r="114" spans="1:24" ht="30" customHeight="1" thickBot="1" x14ac:dyDescent="0.25">
      <c r="A114" s="991" t="s">
        <v>394</v>
      </c>
      <c r="B114" s="992">
        <f>SUM(C114:F114)</f>
        <v>4015.7609258994298</v>
      </c>
      <c r="C114" s="993">
        <v>0</v>
      </c>
      <c r="D114" s="993">
        <f>SUM(E112-D112)*D111</f>
        <v>4015.7609258994298</v>
      </c>
      <c r="E114" s="993">
        <v>0</v>
      </c>
      <c r="F114" s="994">
        <v>0</v>
      </c>
      <c r="G114" s="992">
        <f>SUM(H114:K114)</f>
        <v>3880.1575048307632</v>
      </c>
      <c r="H114" s="993">
        <v>0</v>
      </c>
      <c r="I114" s="993">
        <f>SUM(H112-I112)*I111</f>
        <v>3880.1575048307632</v>
      </c>
      <c r="J114" s="993">
        <v>0</v>
      </c>
      <c r="K114" s="994">
        <v>0</v>
      </c>
      <c r="L114" s="992">
        <f>SUM(M114:P114)</f>
        <v>7895.918430730193</v>
      </c>
      <c r="M114" s="993">
        <v>0</v>
      </c>
      <c r="N114" s="993">
        <f>SUM(B114+G114)</f>
        <v>7895.918430730193</v>
      </c>
      <c r="O114" s="993">
        <v>0</v>
      </c>
      <c r="P114" s="994">
        <v>0</v>
      </c>
      <c r="Q114" s="992"/>
      <c r="R114" s="995"/>
      <c r="S114" s="995"/>
      <c r="T114" s="996"/>
      <c r="U114" s="997"/>
      <c r="V114" s="995"/>
      <c r="W114" s="995"/>
      <c r="X114" s="996"/>
    </row>
    <row r="115" spans="1:24" ht="15.75" customHeight="1" thickBot="1" x14ac:dyDescent="0.25">
      <c r="A115" s="3495"/>
      <c r="B115" s="3496"/>
      <c r="C115" s="3496"/>
      <c r="D115" s="3496"/>
      <c r="E115" s="3496"/>
      <c r="F115" s="3496"/>
      <c r="G115" s="3496"/>
      <c r="H115" s="3496"/>
      <c r="I115" s="3496"/>
      <c r="J115" s="3496"/>
      <c r="K115" s="3496"/>
      <c r="L115" s="3496"/>
      <c r="M115" s="3496"/>
      <c r="N115" s="3496"/>
      <c r="O115" s="3496"/>
      <c r="P115" s="3496"/>
      <c r="Q115" s="3496"/>
      <c r="R115" s="3496"/>
      <c r="S115" s="3496"/>
      <c r="T115" s="3496"/>
      <c r="U115" s="3496"/>
      <c r="V115" s="3496"/>
      <c r="W115" s="3496"/>
      <c r="X115" s="3497"/>
    </row>
    <row r="116" spans="1:24" ht="15.75" customHeight="1" thickBot="1" x14ac:dyDescent="0.25">
      <c r="A116" s="3498">
        <v>2016</v>
      </c>
      <c r="B116" s="3501" t="s">
        <v>393</v>
      </c>
      <c r="C116" s="3501"/>
      <c r="D116" s="3501"/>
      <c r="E116" s="3501"/>
      <c r="F116" s="3501"/>
      <c r="G116" s="3501"/>
      <c r="H116" s="3501"/>
      <c r="I116" s="3501"/>
      <c r="J116" s="3501"/>
      <c r="K116" s="3501"/>
      <c r="L116" s="3501"/>
      <c r="M116" s="3501"/>
      <c r="N116" s="3501"/>
      <c r="O116" s="3501"/>
      <c r="P116" s="3502"/>
      <c r="Q116" s="3511" t="s">
        <v>400</v>
      </c>
      <c r="R116" s="3512"/>
      <c r="S116" s="3512"/>
      <c r="T116" s="3513"/>
      <c r="U116" s="3511" t="s">
        <v>401</v>
      </c>
      <c r="V116" s="3512"/>
      <c r="W116" s="3512"/>
      <c r="X116" s="3513"/>
    </row>
    <row r="117" spans="1:24" ht="15.75" customHeight="1" thickBot="1" x14ac:dyDescent="0.25">
      <c r="A117" s="3499"/>
      <c r="B117" s="3517" t="s">
        <v>866</v>
      </c>
      <c r="C117" s="3518"/>
      <c r="D117" s="3518"/>
      <c r="E117" s="3518"/>
      <c r="F117" s="3519"/>
      <c r="G117" s="3520" t="s">
        <v>867</v>
      </c>
      <c r="H117" s="3521"/>
      <c r="I117" s="3521"/>
      <c r="J117" s="3521"/>
      <c r="K117" s="3522"/>
      <c r="L117" s="3520" t="s">
        <v>829</v>
      </c>
      <c r="M117" s="3521"/>
      <c r="N117" s="3521"/>
      <c r="O117" s="3521"/>
      <c r="P117" s="3523"/>
      <c r="Q117" s="3514"/>
      <c r="R117" s="3515"/>
      <c r="S117" s="3515"/>
      <c r="T117" s="3516"/>
      <c r="U117" s="3514"/>
      <c r="V117" s="3515"/>
      <c r="W117" s="3515"/>
      <c r="X117" s="3516"/>
    </row>
    <row r="118" spans="1:24" ht="15.75" customHeight="1" x14ac:dyDescent="0.2">
      <c r="A118" s="3499"/>
      <c r="B118" s="3503" t="s">
        <v>296</v>
      </c>
      <c r="C118" s="3506" t="s">
        <v>50</v>
      </c>
      <c r="D118" s="3506"/>
      <c r="E118" s="3506"/>
      <c r="F118" s="3507"/>
      <c r="G118" s="3508" t="s">
        <v>296</v>
      </c>
      <c r="H118" s="3509" t="s">
        <v>50</v>
      </c>
      <c r="I118" s="3509"/>
      <c r="J118" s="3509"/>
      <c r="K118" s="3510"/>
      <c r="L118" s="3508" t="s">
        <v>296</v>
      </c>
      <c r="M118" s="3509" t="s">
        <v>50</v>
      </c>
      <c r="N118" s="3509"/>
      <c r="O118" s="3509"/>
      <c r="P118" s="3510"/>
      <c r="Q118" s="3508" t="s">
        <v>296</v>
      </c>
      <c r="R118" s="3484" t="s">
        <v>50</v>
      </c>
      <c r="S118" s="3484"/>
      <c r="T118" s="3485"/>
      <c r="U118" s="3508" t="s">
        <v>296</v>
      </c>
      <c r="V118" s="3484" t="s">
        <v>50</v>
      </c>
      <c r="W118" s="3484"/>
      <c r="X118" s="3485"/>
    </row>
    <row r="119" spans="1:24" ht="15.75" customHeight="1" x14ac:dyDescent="0.2">
      <c r="A119" s="3499"/>
      <c r="B119" s="3504"/>
      <c r="C119" s="3486" t="s">
        <v>324</v>
      </c>
      <c r="D119" s="3494" t="s">
        <v>236</v>
      </c>
      <c r="E119" s="3494"/>
      <c r="F119" s="3487" t="s">
        <v>876</v>
      </c>
      <c r="G119" s="3504"/>
      <c r="H119" s="3486" t="s">
        <v>324</v>
      </c>
      <c r="I119" s="3494" t="s">
        <v>236</v>
      </c>
      <c r="J119" s="3494"/>
      <c r="K119" s="3487" t="s">
        <v>876</v>
      </c>
      <c r="L119" s="3504"/>
      <c r="M119" s="3486" t="s">
        <v>324</v>
      </c>
      <c r="N119" s="3494" t="s">
        <v>236</v>
      </c>
      <c r="O119" s="3494"/>
      <c r="P119" s="3487" t="s">
        <v>876</v>
      </c>
      <c r="Q119" s="3504"/>
      <c r="R119" s="3486" t="s">
        <v>324</v>
      </c>
      <c r="S119" s="3486"/>
      <c r="T119" s="3487" t="s">
        <v>876</v>
      </c>
      <c r="U119" s="3504"/>
      <c r="V119" s="3486" t="s">
        <v>324</v>
      </c>
      <c r="W119" s="3486"/>
      <c r="X119" s="3487" t="s">
        <v>876</v>
      </c>
    </row>
    <row r="120" spans="1:24" ht="15.75" customHeight="1" thickBot="1" x14ac:dyDescent="0.25">
      <c r="A120" s="3500"/>
      <c r="B120" s="3505"/>
      <c r="C120" s="3493"/>
      <c r="D120" s="970" t="s">
        <v>261</v>
      </c>
      <c r="E120" s="970" t="s">
        <v>295</v>
      </c>
      <c r="F120" s="3488"/>
      <c r="G120" s="3505"/>
      <c r="H120" s="3493"/>
      <c r="I120" s="970" t="s">
        <v>261</v>
      </c>
      <c r="J120" s="970" t="s">
        <v>295</v>
      </c>
      <c r="K120" s="3488"/>
      <c r="L120" s="3505"/>
      <c r="M120" s="3493"/>
      <c r="N120" s="970" t="s">
        <v>261</v>
      </c>
      <c r="O120" s="970" t="s">
        <v>295</v>
      </c>
      <c r="P120" s="3488"/>
      <c r="Q120" s="3505"/>
      <c r="R120" s="970" t="s">
        <v>869</v>
      </c>
      <c r="S120" s="970" t="s">
        <v>261</v>
      </c>
      <c r="T120" s="3488"/>
      <c r="U120" s="3505"/>
      <c r="V120" s="970" t="s">
        <v>869</v>
      </c>
      <c r="W120" s="970" t="s">
        <v>261</v>
      </c>
      <c r="X120" s="3488"/>
    </row>
    <row r="121" spans="1:24" ht="30" customHeight="1" x14ac:dyDescent="0.2">
      <c r="A121" s="971" t="s">
        <v>390</v>
      </c>
      <c r="B121" s="972">
        <f>SUM(B111)</f>
        <v>1722.5</v>
      </c>
      <c r="C121" s="973">
        <f t="shared" ref="C121:P121" si="13">SUM(C111)</f>
        <v>1722.5</v>
      </c>
      <c r="D121" s="973">
        <f t="shared" si="13"/>
        <v>1224</v>
      </c>
      <c r="E121" s="973">
        <f t="shared" si="13"/>
        <v>498.5</v>
      </c>
      <c r="F121" s="974">
        <f t="shared" si="13"/>
        <v>0</v>
      </c>
      <c r="G121" s="972">
        <f t="shared" si="13"/>
        <v>1722.5</v>
      </c>
      <c r="H121" s="973">
        <f t="shared" si="13"/>
        <v>1722.5</v>
      </c>
      <c r="I121" s="973">
        <f t="shared" si="13"/>
        <v>1224</v>
      </c>
      <c r="J121" s="973">
        <f t="shared" si="13"/>
        <v>498.5</v>
      </c>
      <c r="K121" s="974">
        <f t="shared" si="13"/>
        <v>0</v>
      </c>
      <c r="L121" s="972">
        <f t="shared" si="13"/>
        <v>3445</v>
      </c>
      <c r="M121" s="973">
        <f t="shared" si="13"/>
        <v>3445</v>
      </c>
      <c r="N121" s="973">
        <f t="shared" si="13"/>
        <v>2448</v>
      </c>
      <c r="O121" s="973">
        <f t="shared" si="13"/>
        <v>997</v>
      </c>
      <c r="P121" s="974">
        <f t="shared" si="13"/>
        <v>0</v>
      </c>
      <c r="Q121" s="972"/>
      <c r="R121" s="975"/>
      <c r="S121" s="975"/>
      <c r="T121" s="976"/>
      <c r="U121" s="977"/>
      <c r="V121" s="975"/>
      <c r="W121" s="975"/>
      <c r="X121" s="976"/>
    </row>
    <row r="122" spans="1:24" ht="30" customHeight="1" x14ac:dyDescent="0.2">
      <c r="A122" s="978" t="s">
        <v>391</v>
      </c>
      <c r="B122" s="979">
        <f>SUM(B123/B121)</f>
        <v>25.05</v>
      </c>
      <c r="C122" s="980">
        <f>SUM(C123/C121)</f>
        <v>25.05</v>
      </c>
      <c r="D122" s="980">
        <f t="shared" ref="D122" si="14">SUM(I82)</f>
        <v>21.01</v>
      </c>
      <c r="E122" s="980">
        <f t="shared" ref="E122" si="15">SUM(J82)</f>
        <v>25.05</v>
      </c>
      <c r="F122" s="981">
        <f>SUM(K82)</f>
        <v>13.79</v>
      </c>
      <c r="G122" s="979">
        <f>SUM(G123/G121)</f>
        <v>24.5201054910987</v>
      </c>
      <c r="H122" s="980">
        <f>H123/H121</f>
        <v>24.365841254225014</v>
      </c>
      <c r="I122" s="980">
        <f>D122*1.045</f>
        <v>21.955449999999999</v>
      </c>
      <c r="J122" s="980">
        <f>SUM(H122)</f>
        <v>24.365841254225014</v>
      </c>
      <c r="K122" s="981" t="e">
        <f t="shared" ref="K122:P122" si="16">SUM(K123/K121)</f>
        <v>#DIV/0!</v>
      </c>
      <c r="L122" s="979">
        <f t="shared" si="16"/>
        <v>24.785052745549351</v>
      </c>
      <c r="M122" s="980">
        <f t="shared" si="16"/>
        <v>24.707920627112507</v>
      </c>
      <c r="N122" s="980">
        <f t="shared" si="16"/>
        <v>21.482725000000002</v>
      </c>
      <c r="O122" s="980">
        <f t="shared" si="16"/>
        <v>24.707920627112507</v>
      </c>
      <c r="P122" s="981" t="e">
        <f t="shared" si="16"/>
        <v>#DIV/0!</v>
      </c>
      <c r="Q122" s="982">
        <f>SUM(G122/B122)</f>
        <v>0.97884652659076643</v>
      </c>
      <c r="R122" s="983">
        <f>SUM(H122/C122)</f>
        <v>0.97268827362175703</v>
      </c>
      <c r="S122" s="983">
        <f>I122/D122</f>
        <v>1.0449999999999999</v>
      </c>
      <c r="T122" s="984" t="e">
        <f>SUM(K122/F122)</f>
        <v>#DIV/0!</v>
      </c>
      <c r="U122" s="985">
        <f>SUM(L122/L82)</f>
        <v>1.0594617670076769</v>
      </c>
      <c r="V122" s="986">
        <f>SUM(M122/M82)</f>
        <v>1.0599052856240589</v>
      </c>
      <c r="W122" s="986">
        <f>SUM(N122/N82)</f>
        <v>1.0916018800813008</v>
      </c>
      <c r="X122" s="987" t="e">
        <f>SUM(P122/P82)</f>
        <v>#DIV/0!</v>
      </c>
    </row>
    <row r="123" spans="1:24" ht="30" customHeight="1" x14ac:dyDescent="0.2">
      <c r="A123" s="978" t="s">
        <v>392</v>
      </c>
      <c r="B123" s="979">
        <f>SUM(C123+F123)</f>
        <v>43148.625</v>
      </c>
      <c r="C123" s="980">
        <f>SUM(D123:E123)+D124</f>
        <v>43148.625</v>
      </c>
      <c r="D123" s="980">
        <f>D122*D121</f>
        <v>25716.240000000002</v>
      </c>
      <c r="E123" s="980">
        <f>E122*E121</f>
        <v>12487.425000000001</v>
      </c>
      <c r="F123" s="981">
        <f>F122*F121</f>
        <v>0</v>
      </c>
      <c r="G123" s="979">
        <f>SUM(L123-B123)</f>
        <v>42235.88170841751</v>
      </c>
      <c r="H123" s="980">
        <f>SUM(M123-C123)</f>
        <v>41970.161560402586</v>
      </c>
      <c r="I123" s="980">
        <f>I122*I121</f>
        <v>26873.470799999999</v>
      </c>
      <c r="J123" s="980">
        <f>SUM(J121*J122)</f>
        <v>12146.371865231169</v>
      </c>
      <c r="K123" s="981">
        <f>SUM(P123-F123)</f>
        <v>265.72014801492907</v>
      </c>
      <c r="L123" s="979">
        <f>SUM(стоки!AZ90)</f>
        <v>85384.50670841751</v>
      </c>
      <c r="M123" s="980">
        <f>SUM(стоки!BB90)</f>
        <v>85118.786560402586</v>
      </c>
      <c r="N123" s="980">
        <f>SUM(D123+I123)</f>
        <v>52589.710800000001</v>
      </c>
      <c r="O123" s="980">
        <f>SUM(E123+J123)</f>
        <v>24633.796865231168</v>
      </c>
      <c r="P123" s="981">
        <f>SUM(стоки!BC90)</f>
        <v>265.72014801492907</v>
      </c>
      <c r="Q123" s="979"/>
      <c r="R123" s="988"/>
      <c r="S123" s="988"/>
      <c r="T123" s="989"/>
      <c r="U123" s="990"/>
      <c r="V123" s="988"/>
      <c r="W123" s="988"/>
      <c r="X123" s="989"/>
    </row>
    <row r="124" spans="1:24" ht="30" customHeight="1" thickBot="1" x14ac:dyDescent="0.25">
      <c r="A124" s="991" t="s">
        <v>394</v>
      </c>
      <c r="B124" s="992">
        <f>SUM(C124:F124)</f>
        <v>4944.9599999999991</v>
      </c>
      <c r="C124" s="993">
        <v>0</v>
      </c>
      <c r="D124" s="993">
        <f>SUM(E122-D122)*D121</f>
        <v>4944.9599999999991</v>
      </c>
      <c r="E124" s="993">
        <v>0</v>
      </c>
      <c r="F124" s="994">
        <v>0</v>
      </c>
      <c r="G124" s="992">
        <f>SUM(H124:K124)</f>
        <v>2950.3188951714183</v>
      </c>
      <c r="H124" s="993">
        <v>0</v>
      </c>
      <c r="I124" s="993">
        <f>SUM(H122-I122)*I121</f>
        <v>2950.3188951714183</v>
      </c>
      <c r="J124" s="993">
        <v>0</v>
      </c>
      <c r="K124" s="994">
        <v>0</v>
      </c>
      <c r="L124" s="992">
        <f>SUM(M124:P124)</f>
        <v>7895.2788951714174</v>
      </c>
      <c r="M124" s="993">
        <v>0</v>
      </c>
      <c r="N124" s="993">
        <f>SUM(B124+G124)</f>
        <v>7895.2788951714174</v>
      </c>
      <c r="O124" s="993">
        <v>0</v>
      </c>
      <c r="P124" s="994">
        <v>0</v>
      </c>
      <c r="Q124" s="992"/>
      <c r="R124" s="995"/>
      <c r="S124" s="995"/>
      <c r="T124" s="996"/>
      <c r="U124" s="997"/>
      <c r="V124" s="995"/>
      <c r="W124" s="995"/>
      <c r="X124" s="996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GK426"/>
  <sheetViews>
    <sheetView zoomScale="80" zoomScaleNormal="80" zoomScalePageLayoutView="90" workbookViewId="0">
      <pane xSplit="1" ySplit="6" topLeftCell="EA7" activePane="bottomRight" state="frozen"/>
      <selection pane="topRight" activeCell="B1" sqref="B1"/>
      <selection pane="bottomLeft" activeCell="A7" sqref="A7"/>
      <selection pane="bottomRight" activeCell="EM5" sqref="EM5:GK5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0" width="12.7109375" hidden="1" customWidth="1"/>
    <col min="131" max="133" width="12.7109375" customWidth="1"/>
    <col min="134" max="136" width="13.140625" customWidth="1"/>
    <col min="137" max="139" width="12.7109375" customWidth="1"/>
    <col min="140" max="140" width="13.28515625" customWidth="1"/>
    <col min="141" max="141" width="13.140625" customWidth="1"/>
    <col min="142" max="142" width="12.7109375" customWidth="1"/>
    <col min="143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90" width="12.7109375" hidden="1" customWidth="1"/>
    <col min="191" max="192" width="13.140625" hidden="1" customWidth="1"/>
    <col min="193" max="193" width="12.7109375" hidden="1" customWidth="1"/>
  </cols>
  <sheetData>
    <row r="1" spans="1:193" ht="23.25" x14ac:dyDescent="0.35">
      <c r="A1" s="3102" t="s">
        <v>3670</v>
      </c>
      <c r="BA1" s="3161"/>
      <c r="BB1" s="3161"/>
      <c r="BC1" s="3161"/>
    </row>
    <row r="2" spans="1:193" ht="23.25" x14ac:dyDescent="0.35">
      <c r="A2" s="3102" t="s">
        <v>3673</v>
      </c>
      <c r="BA2" s="3161"/>
      <c r="BB2" s="3161"/>
      <c r="BC2" s="3161"/>
    </row>
    <row r="3" spans="1:193" ht="23.25" x14ac:dyDescent="0.35">
      <c r="BA3" s="3161"/>
      <c r="BB3" s="3161"/>
      <c r="BC3" s="3161"/>
    </row>
    <row r="4" spans="1:193" ht="18.75" customHeight="1" x14ac:dyDescent="0.2">
      <c r="A4" s="3683" t="s">
        <v>3655</v>
      </c>
      <c r="B4" s="3684"/>
      <c r="C4" s="3684"/>
      <c r="D4" s="3684"/>
      <c r="E4" s="3684"/>
      <c r="F4" s="3684"/>
      <c r="G4" s="3684"/>
      <c r="H4" s="3684"/>
      <c r="I4" s="3684"/>
      <c r="J4" s="3684"/>
      <c r="K4" s="3684"/>
      <c r="L4" s="3684"/>
      <c r="M4" s="3684"/>
      <c r="N4" s="3684"/>
      <c r="O4" s="3684"/>
      <c r="P4" s="3684"/>
      <c r="Q4" s="3684"/>
      <c r="R4" s="3684"/>
      <c r="S4" s="3684"/>
      <c r="T4" s="3684"/>
      <c r="U4" s="3684"/>
      <c r="V4" s="3684"/>
      <c r="W4" s="3684"/>
      <c r="X4" s="3684"/>
      <c r="Y4" s="3684"/>
      <c r="Z4" s="3684"/>
      <c r="AA4" s="3684"/>
      <c r="AB4" s="3684"/>
      <c r="AC4" s="3684"/>
      <c r="AD4" s="3684"/>
      <c r="AE4" s="3684"/>
      <c r="AF4" s="3684"/>
      <c r="AG4" s="3684"/>
      <c r="AH4" s="3684"/>
      <c r="AI4" s="3684"/>
      <c r="AJ4" s="3684"/>
      <c r="AK4" s="3684"/>
      <c r="AL4" s="3684"/>
      <c r="AM4" s="3684"/>
      <c r="AN4" s="3684"/>
      <c r="AO4" s="3684"/>
      <c r="AP4" s="3684"/>
      <c r="AQ4" s="3684"/>
      <c r="AR4" s="3684"/>
      <c r="AS4" s="3684"/>
      <c r="AT4" s="3684"/>
      <c r="AU4" s="3684"/>
      <c r="AV4" s="3684"/>
      <c r="AW4" s="3684"/>
      <c r="AX4" s="3684"/>
      <c r="AY4" s="3684"/>
      <c r="AZ4" s="3684"/>
      <c r="BA4" s="3684"/>
      <c r="BB4" s="3684"/>
      <c r="BC4" s="3684"/>
      <c r="BD4" s="3684"/>
      <c r="BE4" s="3684"/>
      <c r="BF4" s="3684"/>
      <c r="BG4" s="3684"/>
      <c r="BH4" s="3684"/>
      <c r="BI4" s="3684"/>
      <c r="BJ4" s="3684"/>
      <c r="BK4" s="3684"/>
      <c r="BL4" s="3684"/>
      <c r="BM4" s="3684"/>
      <c r="BN4" s="3684"/>
      <c r="BO4" s="3684"/>
      <c r="BP4" s="3684"/>
      <c r="BQ4" s="3684"/>
      <c r="BR4" s="3684"/>
      <c r="BS4" s="3684"/>
      <c r="BT4" s="3684"/>
      <c r="BU4" s="3684"/>
      <c r="BV4" s="3684"/>
      <c r="BW4" s="3684"/>
      <c r="BX4" s="3684"/>
      <c r="BY4" s="3684"/>
      <c r="BZ4" s="3684"/>
      <c r="CA4" s="3684"/>
      <c r="CB4" s="3684"/>
      <c r="CC4" s="3684"/>
      <c r="CD4" s="3684"/>
      <c r="CE4" s="3684"/>
      <c r="CF4" s="3684"/>
      <c r="CG4" s="3684"/>
      <c r="CH4" s="3684"/>
      <c r="CI4" s="3684"/>
      <c r="CJ4" s="3684"/>
      <c r="CK4" s="3684"/>
      <c r="CL4" s="3684"/>
      <c r="CM4" s="3684"/>
      <c r="CN4" s="3684"/>
      <c r="CO4" s="3684"/>
      <c r="CP4" s="3684"/>
      <c r="CQ4" s="3684"/>
      <c r="CR4" s="3684"/>
      <c r="CS4" s="3684"/>
      <c r="CT4" s="3684"/>
      <c r="CU4" s="3684"/>
      <c r="CV4" s="3684"/>
      <c r="CW4" s="3684"/>
      <c r="CX4" s="3684"/>
      <c r="CY4" s="3684"/>
      <c r="CZ4" s="3684"/>
      <c r="DA4" s="3684"/>
      <c r="DB4" s="3684"/>
      <c r="DC4" s="3684"/>
      <c r="DD4" s="3684"/>
      <c r="DE4" s="3684"/>
      <c r="DF4" s="3684"/>
      <c r="DG4" s="3684"/>
      <c r="DH4" s="3684"/>
      <c r="DI4" s="3684"/>
      <c r="DJ4" s="3684"/>
      <c r="DK4" s="3684"/>
      <c r="DL4" s="3684"/>
      <c r="DM4" s="3684"/>
      <c r="DN4" s="3684"/>
      <c r="DO4" s="3684"/>
      <c r="DP4" s="3684"/>
      <c r="DQ4" s="3684"/>
      <c r="DR4" s="3684"/>
      <c r="DS4" s="3684"/>
      <c r="DT4" s="3684"/>
      <c r="DU4" s="3684"/>
      <c r="DV4" s="3684"/>
      <c r="DW4" s="3684"/>
      <c r="DX4" s="3684"/>
      <c r="DY4" s="3684"/>
      <c r="DZ4" s="3684"/>
      <c r="EA4" s="3684"/>
      <c r="EB4" s="3684"/>
      <c r="EC4" s="3684"/>
      <c r="ED4" s="3684"/>
      <c r="EE4" s="3684"/>
      <c r="EF4" s="3684"/>
      <c r="EG4" s="3684"/>
      <c r="EH4" s="3684"/>
      <c r="EI4" s="3684"/>
      <c r="EJ4" s="3684"/>
      <c r="EK4" s="3684"/>
      <c r="EL4" s="3684"/>
      <c r="EM4" s="3684"/>
      <c r="EN4" s="3684"/>
      <c r="EO4" s="3684"/>
      <c r="EP4" s="3684"/>
      <c r="EQ4" s="3684"/>
      <c r="ER4" s="3684"/>
      <c r="ES4" s="3684"/>
      <c r="ET4" s="3684"/>
      <c r="EU4" s="3684"/>
      <c r="EV4" s="3684"/>
      <c r="EW4" s="3684"/>
      <c r="EX4" s="3684"/>
      <c r="EY4" s="3684"/>
      <c r="EZ4" s="3684"/>
      <c r="FA4" s="3684"/>
      <c r="FB4" s="3684"/>
      <c r="FC4" s="3684"/>
      <c r="FD4" s="3684"/>
      <c r="FE4" s="3684"/>
      <c r="FF4" s="3684"/>
      <c r="FG4" s="3684"/>
      <c r="FH4" s="3684"/>
      <c r="FI4" s="3684"/>
      <c r="FJ4" s="3684"/>
      <c r="FK4" s="3684"/>
      <c r="FL4" s="3684"/>
      <c r="FM4" s="3684"/>
      <c r="FN4" s="3684"/>
      <c r="FO4" s="3684"/>
      <c r="FP4" s="3684"/>
      <c r="FQ4" s="3684"/>
      <c r="FR4" s="3684"/>
      <c r="FS4" s="3684"/>
      <c r="FT4" s="3684"/>
      <c r="FU4" s="3684"/>
      <c r="FV4" s="3684"/>
      <c r="FW4" s="3684"/>
      <c r="FX4" s="3684"/>
      <c r="FY4" s="3684"/>
      <c r="FZ4" s="3684"/>
      <c r="GA4" s="3684"/>
      <c r="GB4" s="3684"/>
      <c r="GC4" s="3684"/>
      <c r="GD4" s="3684"/>
      <c r="GE4" s="3684"/>
      <c r="GF4" s="3684"/>
      <c r="GG4" s="3684"/>
      <c r="GH4" s="3684"/>
      <c r="GI4" s="3684"/>
      <c r="GJ4" s="3684"/>
      <c r="GK4" s="3685"/>
    </row>
    <row r="5" spans="1:193" ht="19.5" customHeight="1" x14ac:dyDescent="0.2">
      <c r="A5" s="3637" t="s">
        <v>536</v>
      </c>
      <c r="B5" s="3647" t="s">
        <v>3628</v>
      </c>
      <c r="C5" s="3648"/>
      <c r="D5" s="3648"/>
      <c r="E5" s="3649"/>
      <c r="F5" s="3649"/>
      <c r="G5" s="3649"/>
      <c r="H5" s="3649"/>
      <c r="I5" s="3655"/>
      <c r="J5" s="3656"/>
      <c r="K5" s="3647" t="s">
        <v>3629</v>
      </c>
      <c r="L5" s="3648"/>
      <c r="M5" s="3648"/>
      <c r="N5" s="3649"/>
      <c r="O5" s="3649"/>
      <c r="P5" s="3649"/>
      <c r="Q5" s="3649"/>
      <c r="R5" s="3655"/>
      <c r="S5" s="3656"/>
      <c r="T5" s="3647" t="s">
        <v>3630</v>
      </c>
      <c r="U5" s="3648"/>
      <c r="V5" s="3648"/>
      <c r="W5" s="3649"/>
      <c r="X5" s="3649"/>
      <c r="Y5" s="3649"/>
      <c r="Z5" s="3649"/>
      <c r="AA5" s="3650"/>
      <c r="AB5" s="3651"/>
      <c r="AC5" s="3652" t="s">
        <v>3575</v>
      </c>
      <c r="AD5" s="3653"/>
      <c r="AE5" s="3653"/>
      <c r="AF5" s="3654"/>
      <c r="AG5" s="3654"/>
      <c r="AH5" s="3654"/>
      <c r="AI5" s="3654"/>
      <c r="AJ5" s="3654"/>
      <c r="AK5" s="3654"/>
      <c r="AL5" s="3654"/>
      <c r="AM5" s="3654"/>
      <c r="AN5" s="3654"/>
      <c r="AO5" s="3647" t="s">
        <v>3631</v>
      </c>
      <c r="AP5" s="3648"/>
      <c r="AQ5" s="3648"/>
      <c r="AR5" s="3649"/>
      <c r="AS5" s="3649"/>
      <c r="AT5" s="3649"/>
      <c r="AU5" s="3649"/>
      <c r="AV5" s="3650"/>
      <c r="AW5" s="3651"/>
      <c r="AX5" s="3647" t="s">
        <v>3632</v>
      </c>
      <c r="AY5" s="3648"/>
      <c r="AZ5" s="3648"/>
      <c r="BA5" s="3649"/>
      <c r="BB5" s="3649"/>
      <c r="BC5" s="3649"/>
      <c r="BD5" s="3649"/>
      <c r="BE5" s="3655"/>
      <c r="BF5" s="3656"/>
      <c r="BG5" s="3647" t="s">
        <v>3633</v>
      </c>
      <c r="BH5" s="3648"/>
      <c r="BI5" s="3648"/>
      <c r="BJ5" s="3649"/>
      <c r="BK5" s="3649"/>
      <c r="BL5" s="3649"/>
      <c r="BM5" s="3649"/>
      <c r="BN5" s="3655"/>
      <c r="BO5" s="3656"/>
      <c r="BP5" s="3652" t="s">
        <v>3576</v>
      </c>
      <c r="BQ5" s="3653"/>
      <c r="BR5" s="3653"/>
      <c r="BS5" s="3654"/>
      <c r="BT5" s="3654"/>
      <c r="BU5" s="3654"/>
      <c r="BV5" s="3654"/>
      <c r="BW5" s="3654"/>
      <c r="BX5" s="3654"/>
      <c r="BY5" s="3655"/>
      <c r="BZ5" s="3655"/>
      <c r="CA5" s="3655"/>
      <c r="CB5" s="3652" t="s">
        <v>3577</v>
      </c>
      <c r="CC5" s="3653"/>
      <c r="CD5" s="3653"/>
      <c r="CE5" s="3654"/>
      <c r="CF5" s="3654"/>
      <c r="CG5" s="3654"/>
      <c r="CH5" s="3654"/>
      <c r="CI5" s="3654"/>
      <c r="CJ5" s="3654"/>
      <c r="CK5" s="3655"/>
      <c r="CL5" s="3655"/>
      <c r="CM5" s="3655"/>
      <c r="CN5" s="3647" t="s">
        <v>1373</v>
      </c>
      <c r="CO5" s="3648"/>
      <c r="CP5" s="3648"/>
      <c r="CQ5" s="3649"/>
      <c r="CR5" s="3649"/>
      <c r="CS5" s="3649"/>
      <c r="CT5" s="3649"/>
      <c r="CU5" s="3655"/>
      <c r="CV5" s="3656"/>
      <c r="CW5" s="3647" t="s">
        <v>3634</v>
      </c>
      <c r="CX5" s="3648"/>
      <c r="CY5" s="3648"/>
      <c r="CZ5" s="3649"/>
      <c r="DA5" s="3649"/>
      <c r="DB5" s="3649"/>
      <c r="DC5" s="3649"/>
      <c r="DD5" s="3655"/>
      <c r="DE5" s="3656"/>
      <c r="DF5" s="3647" t="s">
        <v>3635</v>
      </c>
      <c r="DG5" s="3648"/>
      <c r="DH5" s="3648"/>
      <c r="DI5" s="3649"/>
      <c r="DJ5" s="3649"/>
      <c r="DK5" s="3649"/>
      <c r="DL5" s="3649"/>
      <c r="DM5" s="3655"/>
      <c r="DN5" s="3656"/>
      <c r="DO5" s="3652" t="s">
        <v>3578</v>
      </c>
      <c r="DP5" s="3653"/>
      <c r="DQ5" s="3653"/>
      <c r="DR5" s="3654"/>
      <c r="DS5" s="3654"/>
      <c r="DT5" s="3654"/>
      <c r="DU5" s="3654"/>
      <c r="DV5" s="3654"/>
      <c r="DW5" s="3654"/>
      <c r="DX5" s="3655"/>
      <c r="DY5" s="3655"/>
      <c r="DZ5" s="3655"/>
      <c r="EA5" s="3652" t="s">
        <v>3579</v>
      </c>
      <c r="EB5" s="3653"/>
      <c r="EC5" s="3653"/>
      <c r="ED5" s="3654"/>
      <c r="EE5" s="3654"/>
      <c r="EF5" s="3654"/>
      <c r="EG5" s="3654"/>
      <c r="EH5" s="3654"/>
      <c r="EI5" s="3654"/>
      <c r="EJ5" s="3655"/>
      <c r="EK5" s="3655"/>
      <c r="EL5" s="3655"/>
      <c r="EM5" s="3647" t="s">
        <v>3636</v>
      </c>
      <c r="EN5" s="3648"/>
      <c r="EO5" s="3648"/>
      <c r="EP5" s="3649"/>
      <c r="EQ5" s="3649"/>
      <c r="ER5" s="3649"/>
      <c r="ES5" s="3649"/>
      <c r="ET5" s="3655"/>
      <c r="EU5" s="3656"/>
      <c r="EV5" s="3647" t="s">
        <v>3637</v>
      </c>
      <c r="EW5" s="3648"/>
      <c r="EX5" s="3648"/>
      <c r="EY5" s="3649"/>
      <c r="EZ5" s="3649"/>
      <c r="FA5" s="3649"/>
      <c r="FB5" s="3649"/>
      <c r="FC5" s="3655"/>
      <c r="FD5" s="3656"/>
      <c r="FE5" s="3647" t="s">
        <v>3638</v>
      </c>
      <c r="FF5" s="3648"/>
      <c r="FG5" s="3648"/>
      <c r="FH5" s="3649"/>
      <c r="FI5" s="3649"/>
      <c r="FJ5" s="3649"/>
      <c r="FK5" s="3649"/>
      <c r="FL5" s="3655"/>
      <c r="FM5" s="3656"/>
      <c r="FN5" s="3652" t="s">
        <v>3580</v>
      </c>
      <c r="FO5" s="3653"/>
      <c r="FP5" s="3653"/>
      <c r="FQ5" s="3654"/>
      <c r="FR5" s="3654"/>
      <c r="FS5" s="3654"/>
      <c r="FT5" s="3654"/>
      <c r="FU5" s="3654"/>
      <c r="FV5" s="3654"/>
      <c r="FW5" s="3655"/>
      <c r="FX5" s="3655"/>
      <c r="FY5" s="3655"/>
      <c r="FZ5" s="3657" t="s">
        <v>2019</v>
      </c>
      <c r="GA5" s="3658"/>
      <c r="GB5" s="3658"/>
      <c r="GC5" s="3659"/>
      <c r="GD5" s="3659"/>
      <c r="GE5" s="3659"/>
      <c r="GF5" s="3659"/>
      <c r="GG5" s="3659"/>
      <c r="GH5" s="3659"/>
      <c r="GI5" s="3660"/>
      <c r="GJ5" s="3660"/>
      <c r="GK5" s="3661"/>
    </row>
    <row r="6" spans="1:193" ht="19.5" customHeight="1" x14ac:dyDescent="0.2">
      <c r="A6" s="3637"/>
      <c r="B6" s="3638" t="s">
        <v>3581</v>
      </c>
      <c r="C6" s="3639"/>
      <c r="D6" s="3640"/>
      <c r="E6" s="3638" t="s">
        <v>1692</v>
      </c>
      <c r="F6" s="3639"/>
      <c r="G6" s="3640"/>
      <c r="H6" s="3638" t="s">
        <v>3639</v>
      </c>
      <c r="I6" s="3639"/>
      <c r="J6" s="3640"/>
      <c r="K6" s="3638" t="s">
        <v>3581</v>
      </c>
      <c r="L6" s="3639"/>
      <c r="M6" s="3640"/>
      <c r="N6" s="3638" t="s">
        <v>1692</v>
      </c>
      <c r="O6" s="3639"/>
      <c r="P6" s="3640"/>
      <c r="Q6" s="3638" t="s">
        <v>3639</v>
      </c>
      <c r="R6" s="3639"/>
      <c r="S6" s="3640"/>
      <c r="T6" s="3638" t="s">
        <v>3581</v>
      </c>
      <c r="U6" s="3639"/>
      <c r="V6" s="3640"/>
      <c r="W6" s="3638" t="s">
        <v>1692</v>
      </c>
      <c r="X6" s="3639"/>
      <c r="Y6" s="3640"/>
      <c r="Z6" s="3638" t="s">
        <v>3639</v>
      </c>
      <c r="AA6" s="3639"/>
      <c r="AB6" s="3640"/>
      <c r="AC6" s="3644" t="s">
        <v>3581</v>
      </c>
      <c r="AD6" s="3645"/>
      <c r="AE6" s="3646"/>
      <c r="AF6" s="3641" t="s">
        <v>1692</v>
      </c>
      <c r="AG6" s="3642"/>
      <c r="AH6" s="3643"/>
      <c r="AI6" s="3641" t="s">
        <v>3639</v>
      </c>
      <c r="AJ6" s="3642"/>
      <c r="AK6" s="3643"/>
      <c r="AL6" s="3644" t="s">
        <v>3654</v>
      </c>
      <c r="AM6" s="3645"/>
      <c r="AN6" s="3646"/>
      <c r="AO6" s="3638" t="s">
        <v>3581</v>
      </c>
      <c r="AP6" s="3639"/>
      <c r="AQ6" s="3640"/>
      <c r="AR6" s="3638" t="s">
        <v>1692</v>
      </c>
      <c r="AS6" s="3639"/>
      <c r="AT6" s="3640"/>
      <c r="AU6" s="3638" t="s">
        <v>3639</v>
      </c>
      <c r="AV6" s="3639"/>
      <c r="AW6" s="3640"/>
      <c r="AX6" s="3638" t="s">
        <v>3581</v>
      </c>
      <c r="AY6" s="3639"/>
      <c r="AZ6" s="3640"/>
      <c r="BA6" s="3638" t="s">
        <v>1692</v>
      </c>
      <c r="BB6" s="3639"/>
      <c r="BC6" s="3640"/>
      <c r="BD6" s="3638" t="s">
        <v>3639</v>
      </c>
      <c r="BE6" s="3639"/>
      <c r="BF6" s="3640"/>
      <c r="BG6" s="3638" t="s">
        <v>3581</v>
      </c>
      <c r="BH6" s="3639"/>
      <c r="BI6" s="3640"/>
      <c r="BJ6" s="3638" t="s">
        <v>1692</v>
      </c>
      <c r="BK6" s="3639"/>
      <c r="BL6" s="3640"/>
      <c r="BM6" s="3638" t="s">
        <v>3639</v>
      </c>
      <c r="BN6" s="3639"/>
      <c r="BO6" s="3640"/>
      <c r="BP6" s="3644" t="s">
        <v>3581</v>
      </c>
      <c r="BQ6" s="3645"/>
      <c r="BR6" s="3646"/>
      <c r="BS6" s="3641" t="s">
        <v>1692</v>
      </c>
      <c r="BT6" s="3642"/>
      <c r="BU6" s="3643"/>
      <c r="BV6" s="3641" t="s">
        <v>3639</v>
      </c>
      <c r="BW6" s="3642"/>
      <c r="BX6" s="3643"/>
      <c r="BY6" s="3644" t="s">
        <v>3654</v>
      </c>
      <c r="BZ6" s="3645"/>
      <c r="CA6" s="3646"/>
      <c r="CB6" s="3644" t="s">
        <v>3581</v>
      </c>
      <c r="CC6" s="3645"/>
      <c r="CD6" s="3646"/>
      <c r="CE6" s="3641" t="s">
        <v>1692</v>
      </c>
      <c r="CF6" s="3642"/>
      <c r="CG6" s="3643"/>
      <c r="CH6" s="3641" t="s">
        <v>3639</v>
      </c>
      <c r="CI6" s="3642"/>
      <c r="CJ6" s="3643"/>
      <c r="CK6" s="3644" t="s">
        <v>3654</v>
      </c>
      <c r="CL6" s="3645"/>
      <c r="CM6" s="3646"/>
      <c r="CN6" s="3638" t="s">
        <v>3581</v>
      </c>
      <c r="CO6" s="3639"/>
      <c r="CP6" s="3640"/>
      <c r="CQ6" s="3638" t="s">
        <v>1692</v>
      </c>
      <c r="CR6" s="3639"/>
      <c r="CS6" s="3640"/>
      <c r="CT6" s="3638" t="s">
        <v>3639</v>
      </c>
      <c r="CU6" s="3639"/>
      <c r="CV6" s="3640"/>
      <c r="CW6" s="3638" t="s">
        <v>3581</v>
      </c>
      <c r="CX6" s="3639"/>
      <c r="CY6" s="3640"/>
      <c r="CZ6" s="3638" t="s">
        <v>1692</v>
      </c>
      <c r="DA6" s="3639"/>
      <c r="DB6" s="3640"/>
      <c r="DC6" s="3638" t="s">
        <v>3639</v>
      </c>
      <c r="DD6" s="3639"/>
      <c r="DE6" s="3640"/>
      <c r="DF6" s="3638" t="s">
        <v>3581</v>
      </c>
      <c r="DG6" s="3639"/>
      <c r="DH6" s="3640"/>
      <c r="DI6" s="3638" t="s">
        <v>1692</v>
      </c>
      <c r="DJ6" s="3639"/>
      <c r="DK6" s="3640"/>
      <c r="DL6" s="3638" t="s">
        <v>3639</v>
      </c>
      <c r="DM6" s="3639"/>
      <c r="DN6" s="3640"/>
      <c r="DO6" s="3644" t="s">
        <v>3581</v>
      </c>
      <c r="DP6" s="3645"/>
      <c r="DQ6" s="3646"/>
      <c r="DR6" s="3641" t="s">
        <v>1692</v>
      </c>
      <c r="DS6" s="3642"/>
      <c r="DT6" s="3643"/>
      <c r="DU6" s="3641" t="s">
        <v>3639</v>
      </c>
      <c r="DV6" s="3642"/>
      <c r="DW6" s="3643"/>
      <c r="DX6" s="3644" t="s">
        <v>3654</v>
      </c>
      <c r="DY6" s="3645"/>
      <c r="DZ6" s="3646"/>
      <c r="EA6" s="3644" t="s">
        <v>3581</v>
      </c>
      <c r="EB6" s="3645"/>
      <c r="EC6" s="3646"/>
      <c r="ED6" s="3641" t="s">
        <v>1692</v>
      </c>
      <c r="EE6" s="3642"/>
      <c r="EF6" s="3643"/>
      <c r="EG6" s="3641" t="s">
        <v>3639</v>
      </c>
      <c r="EH6" s="3642"/>
      <c r="EI6" s="3643"/>
      <c r="EJ6" s="3644" t="s">
        <v>3654</v>
      </c>
      <c r="EK6" s="3645"/>
      <c r="EL6" s="3646"/>
      <c r="EM6" s="3638" t="s">
        <v>3581</v>
      </c>
      <c r="EN6" s="3639"/>
      <c r="EO6" s="3640"/>
      <c r="EP6" s="3638" t="s">
        <v>1692</v>
      </c>
      <c r="EQ6" s="3639"/>
      <c r="ER6" s="3640"/>
      <c r="ES6" s="3638" t="s">
        <v>3639</v>
      </c>
      <c r="ET6" s="3639"/>
      <c r="EU6" s="3640"/>
      <c r="EV6" s="3638" t="s">
        <v>3581</v>
      </c>
      <c r="EW6" s="3639"/>
      <c r="EX6" s="3640"/>
      <c r="EY6" s="3638" t="s">
        <v>1692</v>
      </c>
      <c r="EZ6" s="3639"/>
      <c r="FA6" s="3640"/>
      <c r="FB6" s="3638" t="s">
        <v>3639</v>
      </c>
      <c r="FC6" s="3639"/>
      <c r="FD6" s="3640"/>
      <c r="FE6" s="3638" t="s">
        <v>3581</v>
      </c>
      <c r="FF6" s="3639"/>
      <c r="FG6" s="3640"/>
      <c r="FH6" s="3638" t="s">
        <v>1692</v>
      </c>
      <c r="FI6" s="3639"/>
      <c r="FJ6" s="3640"/>
      <c r="FK6" s="3638" t="s">
        <v>3639</v>
      </c>
      <c r="FL6" s="3639"/>
      <c r="FM6" s="3640"/>
      <c r="FN6" s="3644" t="s">
        <v>3581</v>
      </c>
      <c r="FO6" s="3645"/>
      <c r="FP6" s="3646"/>
      <c r="FQ6" s="3641" t="s">
        <v>1692</v>
      </c>
      <c r="FR6" s="3642"/>
      <c r="FS6" s="3643"/>
      <c r="FT6" s="3641" t="s">
        <v>3639</v>
      </c>
      <c r="FU6" s="3642"/>
      <c r="FV6" s="3643"/>
      <c r="FW6" s="3644" t="s">
        <v>3654</v>
      </c>
      <c r="FX6" s="3645"/>
      <c r="FY6" s="3646"/>
      <c r="FZ6" s="3662" t="s">
        <v>3581</v>
      </c>
      <c r="GA6" s="3663"/>
      <c r="GB6" s="3664"/>
      <c r="GC6" s="3665" t="s">
        <v>1692</v>
      </c>
      <c r="GD6" s="3666"/>
      <c r="GE6" s="3667"/>
      <c r="GF6" s="3665" t="s">
        <v>3639</v>
      </c>
      <c r="GG6" s="3666"/>
      <c r="GH6" s="3667"/>
      <c r="GI6" s="3662" t="s">
        <v>3654</v>
      </c>
      <c r="GJ6" s="3663"/>
      <c r="GK6" s="3664"/>
    </row>
    <row r="7" spans="1:193" ht="24.75" customHeight="1" x14ac:dyDescent="0.2">
      <c r="A7" s="3637"/>
      <c r="B7" s="3095" t="s">
        <v>627</v>
      </c>
      <c r="C7" s="3095" t="s">
        <v>3668</v>
      </c>
      <c r="D7" s="3095" t="s">
        <v>3669</v>
      </c>
      <c r="E7" s="3095" t="s">
        <v>627</v>
      </c>
      <c r="F7" s="3095" t="s">
        <v>3668</v>
      </c>
      <c r="G7" s="3095" t="s">
        <v>3669</v>
      </c>
      <c r="H7" s="3095" t="s">
        <v>627</v>
      </c>
      <c r="I7" s="3095" t="s">
        <v>3668</v>
      </c>
      <c r="J7" s="3095" t="s">
        <v>3669</v>
      </c>
      <c r="K7" s="3095" t="s">
        <v>627</v>
      </c>
      <c r="L7" s="3095" t="s">
        <v>3668</v>
      </c>
      <c r="M7" s="3095" t="s">
        <v>3669</v>
      </c>
      <c r="N7" s="3095" t="s">
        <v>627</v>
      </c>
      <c r="O7" s="3095" t="s">
        <v>3668</v>
      </c>
      <c r="P7" s="3095" t="s">
        <v>3669</v>
      </c>
      <c r="Q7" s="3095" t="s">
        <v>627</v>
      </c>
      <c r="R7" s="3095" t="s">
        <v>3668</v>
      </c>
      <c r="S7" s="3095" t="s">
        <v>3669</v>
      </c>
      <c r="T7" s="3095" t="s">
        <v>627</v>
      </c>
      <c r="U7" s="3095" t="s">
        <v>3668</v>
      </c>
      <c r="V7" s="3095" t="s">
        <v>3669</v>
      </c>
      <c r="W7" s="3095" t="s">
        <v>627</v>
      </c>
      <c r="X7" s="3095" t="s">
        <v>3668</v>
      </c>
      <c r="Y7" s="3095" t="s">
        <v>3669</v>
      </c>
      <c r="Z7" s="3095" t="s">
        <v>627</v>
      </c>
      <c r="AA7" s="3095" t="s">
        <v>3668</v>
      </c>
      <c r="AB7" s="3095" t="s">
        <v>3669</v>
      </c>
      <c r="AC7" s="3096" t="s">
        <v>627</v>
      </c>
      <c r="AD7" s="3096" t="s">
        <v>3668</v>
      </c>
      <c r="AE7" s="3096" t="s">
        <v>3669</v>
      </c>
      <c r="AF7" s="3096" t="s">
        <v>627</v>
      </c>
      <c r="AG7" s="3096" t="s">
        <v>3668</v>
      </c>
      <c r="AH7" s="3096" t="s">
        <v>3669</v>
      </c>
      <c r="AI7" s="3096" t="s">
        <v>627</v>
      </c>
      <c r="AJ7" s="3096" t="s">
        <v>3668</v>
      </c>
      <c r="AK7" s="3096" t="s">
        <v>3669</v>
      </c>
      <c r="AL7" s="3096" t="s">
        <v>627</v>
      </c>
      <c r="AM7" s="3096" t="s">
        <v>3668</v>
      </c>
      <c r="AN7" s="3096" t="s">
        <v>3669</v>
      </c>
      <c r="AO7" s="3095" t="s">
        <v>627</v>
      </c>
      <c r="AP7" s="3095" t="s">
        <v>3668</v>
      </c>
      <c r="AQ7" s="3095" t="s">
        <v>3669</v>
      </c>
      <c r="AR7" s="3095" t="s">
        <v>627</v>
      </c>
      <c r="AS7" s="3095" t="s">
        <v>3668</v>
      </c>
      <c r="AT7" s="3095" t="s">
        <v>3669</v>
      </c>
      <c r="AU7" s="3095" t="s">
        <v>627</v>
      </c>
      <c r="AV7" s="3095" t="s">
        <v>3668</v>
      </c>
      <c r="AW7" s="3095" t="s">
        <v>3669</v>
      </c>
      <c r="AX7" s="3095" t="s">
        <v>627</v>
      </c>
      <c r="AY7" s="3095" t="s">
        <v>3668</v>
      </c>
      <c r="AZ7" s="3095" t="s">
        <v>3669</v>
      </c>
      <c r="BA7" s="3095" t="s">
        <v>627</v>
      </c>
      <c r="BB7" s="3095" t="s">
        <v>3668</v>
      </c>
      <c r="BC7" s="3095" t="s">
        <v>3669</v>
      </c>
      <c r="BD7" s="3095" t="s">
        <v>627</v>
      </c>
      <c r="BE7" s="3095" t="s">
        <v>3668</v>
      </c>
      <c r="BF7" s="3095" t="s">
        <v>3669</v>
      </c>
      <c r="BG7" s="3095" t="s">
        <v>627</v>
      </c>
      <c r="BH7" s="3095" t="s">
        <v>3668</v>
      </c>
      <c r="BI7" s="3095" t="s">
        <v>3669</v>
      </c>
      <c r="BJ7" s="3095" t="s">
        <v>627</v>
      </c>
      <c r="BK7" s="3095" t="s">
        <v>3668</v>
      </c>
      <c r="BL7" s="3095" t="s">
        <v>3669</v>
      </c>
      <c r="BM7" s="3095" t="s">
        <v>627</v>
      </c>
      <c r="BN7" s="3095" t="s">
        <v>3668</v>
      </c>
      <c r="BO7" s="3095" t="s">
        <v>3669</v>
      </c>
      <c r="BP7" s="3096" t="s">
        <v>627</v>
      </c>
      <c r="BQ7" s="3096" t="s">
        <v>3668</v>
      </c>
      <c r="BR7" s="3096" t="s">
        <v>3669</v>
      </c>
      <c r="BS7" s="3096" t="s">
        <v>627</v>
      </c>
      <c r="BT7" s="3096" t="s">
        <v>3668</v>
      </c>
      <c r="BU7" s="3096" t="s">
        <v>3669</v>
      </c>
      <c r="BV7" s="3096" t="s">
        <v>627</v>
      </c>
      <c r="BW7" s="3096" t="s">
        <v>3668</v>
      </c>
      <c r="BX7" s="3096" t="s">
        <v>3669</v>
      </c>
      <c r="BY7" s="3096" t="s">
        <v>627</v>
      </c>
      <c r="BZ7" s="3096" t="s">
        <v>3668</v>
      </c>
      <c r="CA7" s="3096" t="s">
        <v>3669</v>
      </c>
      <c r="CB7" s="3096" t="s">
        <v>627</v>
      </c>
      <c r="CC7" s="3096" t="s">
        <v>3668</v>
      </c>
      <c r="CD7" s="3096" t="s">
        <v>3669</v>
      </c>
      <c r="CE7" s="3096" t="s">
        <v>627</v>
      </c>
      <c r="CF7" s="3096" t="s">
        <v>3668</v>
      </c>
      <c r="CG7" s="3096" t="s">
        <v>3669</v>
      </c>
      <c r="CH7" s="3096" t="s">
        <v>627</v>
      </c>
      <c r="CI7" s="3096" t="s">
        <v>3668</v>
      </c>
      <c r="CJ7" s="3096" t="s">
        <v>3669</v>
      </c>
      <c r="CK7" s="3096" t="s">
        <v>627</v>
      </c>
      <c r="CL7" s="3096" t="s">
        <v>3668</v>
      </c>
      <c r="CM7" s="3096" t="s">
        <v>3669</v>
      </c>
      <c r="CN7" s="3095" t="s">
        <v>627</v>
      </c>
      <c r="CO7" s="3095" t="s">
        <v>3668</v>
      </c>
      <c r="CP7" s="3095" t="s">
        <v>3669</v>
      </c>
      <c r="CQ7" s="3095" t="s">
        <v>627</v>
      </c>
      <c r="CR7" s="3095" t="s">
        <v>3668</v>
      </c>
      <c r="CS7" s="3095" t="s">
        <v>3669</v>
      </c>
      <c r="CT7" s="3095" t="s">
        <v>627</v>
      </c>
      <c r="CU7" s="3095" t="s">
        <v>3668</v>
      </c>
      <c r="CV7" s="3095" t="s">
        <v>3669</v>
      </c>
      <c r="CW7" s="3095" t="s">
        <v>627</v>
      </c>
      <c r="CX7" s="3095" t="s">
        <v>3668</v>
      </c>
      <c r="CY7" s="3095" t="s">
        <v>3669</v>
      </c>
      <c r="CZ7" s="3095" t="s">
        <v>627</v>
      </c>
      <c r="DA7" s="3095" t="s">
        <v>3668</v>
      </c>
      <c r="DB7" s="3095" t="s">
        <v>3669</v>
      </c>
      <c r="DC7" s="3095" t="s">
        <v>627</v>
      </c>
      <c r="DD7" s="3095" t="s">
        <v>3668</v>
      </c>
      <c r="DE7" s="3095" t="s">
        <v>3669</v>
      </c>
      <c r="DF7" s="3095" t="s">
        <v>627</v>
      </c>
      <c r="DG7" s="3095" t="s">
        <v>3668</v>
      </c>
      <c r="DH7" s="3095" t="s">
        <v>3669</v>
      </c>
      <c r="DI7" s="3095" t="s">
        <v>627</v>
      </c>
      <c r="DJ7" s="3095" t="s">
        <v>3668</v>
      </c>
      <c r="DK7" s="3095" t="s">
        <v>3669</v>
      </c>
      <c r="DL7" s="3095" t="s">
        <v>627</v>
      </c>
      <c r="DM7" s="3095" t="s">
        <v>3668</v>
      </c>
      <c r="DN7" s="3095" t="s">
        <v>3669</v>
      </c>
      <c r="DO7" s="3096" t="s">
        <v>627</v>
      </c>
      <c r="DP7" s="3096" t="s">
        <v>3668</v>
      </c>
      <c r="DQ7" s="3096" t="s">
        <v>3669</v>
      </c>
      <c r="DR7" s="3096" t="s">
        <v>627</v>
      </c>
      <c r="DS7" s="3096" t="s">
        <v>3668</v>
      </c>
      <c r="DT7" s="3096" t="s">
        <v>3669</v>
      </c>
      <c r="DU7" s="3096" t="s">
        <v>627</v>
      </c>
      <c r="DV7" s="3096" t="s">
        <v>3668</v>
      </c>
      <c r="DW7" s="3096" t="s">
        <v>3669</v>
      </c>
      <c r="DX7" s="3096" t="s">
        <v>627</v>
      </c>
      <c r="DY7" s="3096" t="s">
        <v>3668</v>
      </c>
      <c r="DZ7" s="3096" t="s">
        <v>3669</v>
      </c>
      <c r="EA7" s="3096" t="s">
        <v>627</v>
      </c>
      <c r="EB7" s="3096" t="s">
        <v>3668</v>
      </c>
      <c r="EC7" s="3096" t="s">
        <v>3669</v>
      </c>
      <c r="ED7" s="3096" t="s">
        <v>627</v>
      </c>
      <c r="EE7" s="3096" t="s">
        <v>3668</v>
      </c>
      <c r="EF7" s="3096" t="s">
        <v>3669</v>
      </c>
      <c r="EG7" s="3096" t="s">
        <v>627</v>
      </c>
      <c r="EH7" s="3096" t="s">
        <v>3668</v>
      </c>
      <c r="EI7" s="3096" t="s">
        <v>3669</v>
      </c>
      <c r="EJ7" s="3096" t="s">
        <v>627</v>
      </c>
      <c r="EK7" s="3096" t="s">
        <v>3668</v>
      </c>
      <c r="EL7" s="3096" t="s">
        <v>3669</v>
      </c>
      <c r="EM7" s="3095" t="s">
        <v>627</v>
      </c>
      <c r="EN7" s="3095" t="s">
        <v>3668</v>
      </c>
      <c r="EO7" s="3095" t="s">
        <v>3669</v>
      </c>
      <c r="EP7" s="3095" t="s">
        <v>627</v>
      </c>
      <c r="EQ7" s="3095" t="s">
        <v>3668</v>
      </c>
      <c r="ER7" s="3095" t="s">
        <v>3669</v>
      </c>
      <c r="ES7" s="3095" t="s">
        <v>627</v>
      </c>
      <c r="ET7" s="3095" t="s">
        <v>3668</v>
      </c>
      <c r="EU7" s="3095" t="s">
        <v>3669</v>
      </c>
      <c r="EV7" s="3095" t="s">
        <v>627</v>
      </c>
      <c r="EW7" s="3095" t="s">
        <v>3668</v>
      </c>
      <c r="EX7" s="3095" t="s">
        <v>3669</v>
      </c>
      <c r="EY7" s="3095" t="s">
        <v>627</v>
      </c>
      <c r="EZ7" s="3095" t="s">
        <v>3668</v>
      </c>
      <c r="FA7" s="3095" t="s">
        <v>3669</v>
      </c>
      <c r="FB7" s="3095" t="s">
        <v>627</v>
      </c>
      <c r="FC7" s="3095" t="s">
        <v>3668</v>
      </c>
      <c r="FD7" s="3095" t="s">
        <v>3669</v>
      </c>
      <c r="FE7" s="3095" t="s">
        <v>627</v>
      </c>
      <c r="FF7" s="3095" t="s">
        <v>3668</v>
      </c>
      <c r="FG7" s="3095" t="s">
        <v>3669</v>
      </c>
      <c r="FH7" s="3095" t="s">
        <v>627</v>
      </c>
      <c r="FI7" s="3095" t="s">
        <v>3668</v>
      </c>
      <c r="FJ7" s="3095" t="s">
        <v>3669</v>
      </c>
      <c r="FK7" s="3095" t="s">
        <v>627</v>
      </c>
      <c r="FL7" s="3095" t="s">
        <v>3668</v>
      </c>
      <c r="FM7" s="3095" t="s">
        <v>3669</v>
      </c>
      <c r="FN7" s="3096" t="s">
        <v>627</v>
      </c>
      <c r="FO7" s="3096" t="s">
        <v>3668</v>
      </c>
      <c r="FP7" s="3096" t="s">
        <v>3669</v>
      </c>
      <c r="FQ7" s="3096" t="s">
        <v>627</v>
      </c>
      <c r="FR7" s="3096" t="s">
        <v>3668</v>
      </c>
      <c r="FS7" s="3096" t="s">
        <v>3669</v>
      </c>
      <c r="FT7" s="3096" t="s">
        <v>627</v>
      </c>
      <c r="FU7" s="3096" t="s">
        <v>3668</v>
      </c>
      <c r="FV7" s="3096" t="s">
        <v>3669</v>
      </c>
      <c r="FW7" s="3096" t="s">
        <v>627</v>
      </c>
      <c r="FX7" s="3096" t="s">
        <v>3668</v>
      </c>
      <c r="FY7" s="3096" t="s">
        <v>3669</v>
      </c>
      <c r="FZ7" s="3217" t="s">
        <v>627</v>
      </c>
      <c r="GA7" s="3217" t="s">
        <v>3668</v>
      </c>
      <c r="GB7" s="3217" t="s">
        <v>3669</v>
      </c>
      <c r="GC7" s="3217" t="s">
        <v>627</v>
      </c>
      <c r="GD7" s="3217" t="s">
        <v>3668</v>
      </c>
      <c r="GE7" s="3217" t="s">
        <v>3669</v>
      </c>
      <c r="GF7" s="3217" t="s">
        <v>627</v>
      </c>
      <c r="GG7" s="3217" t="s">
        <v>3668</v>
      </c>
      <c r="GH7" s="3217" t="s">
        <v>3669</v>
      </c>
      <c r="GI7" s="3217" t="s">
        <v>627</v>
      </c>
      <c r="GJ7" s="3217" t="s">
        <v>3668</v>
      </c>
      <c r="GK7" s="3217" t="s">
        <v>3669</v>
      </c>
    </row>
    <row r="8" spans="1:193" ht="18.75" customHeight="1" x14ac:dyDescent="0.3">
      <c r="A8" s="3187" t="s">
        <v>3656</v>
      </c>
      <c r="B8" s="3207">
        <f>SUM(C8:D8)</f>
        <v>251.66697026317493</v>
      </c>
      <c r="C8" s="3207">
        <f>SUM(GA8/12)</f>
        <v>250.1947480409527</v>
      </c>
      <c r="D8" s="3207">
        <f>SUM(GB8/12)</f>
        <v>1.4722222222222223</v>
      </c>
      <c r="E8" s="3207">
        <f>SUM(F8:G8)</f>
        <v>458.41999999999996</v>
      </c>
      <c r="F8" s="3249">
        <f>SUM('ПОЛНАЯ СЕБЕСТОИМОСТЬ СТОКИ 2019'!F8)</f>
        <v>458.21749999999997</v>
      </c>
      <c r="G8" s="3249">
        <f>SUM('ПОЛНАЯ СЕБЕСТОИМОСТЬ СТОКИ 2019'!G8)</f>
        <v>0.20250000000000001</v>
      </c>
      <c r="H8" s="3250">
        <v>307.29000000000002</v>
      </c>
      <c r="I8" s="3250">
        <f>SUM(H8-J8)</f>
        <v>307.05</v>
      </c>
      <c r="J8" s="3250">
        <f>SUM(J9)</f>
        <v>0.24</v>
      </c>
      <c r="K8" s="3207">
        <f>SUM(L8:M8)</f>
        <v>251.66697026317493</v>
      </c>
      <c r="L8" s="3207">
        <f t="shared" ref="L8:M12" si="0">SUM(GA8/12)</f>
        <v>250.1947480409527</v>
      </c>
      <c r="M8" s="3207">
        <f t="shared" si="0"/>
        <v>1.4722222222222223</v>
      </c>
      <c r="N8" s="3207">
        <f>SUM(O8:P8)</f>
        <v>405.82799999999997</v>
      </c>
      <c r="O8" s="3249">
        <f>SUM('ПОЛНАЯ СЕБЕСТОИМОСТЬ СТОКИ 2019'!I8)</f>
        <v>405.65499999999997</v>
      </c>
      <c r="P8" s="3249">
        <f>SUM('ПОЛНАЯ СЕБЕСТОИМОСТЬ СТОКИ 2019'!J8)</f>
        <v>0.17299999999999999</v>
      </c>
      <c r="Q8" s="3250">
        <v>251.1</v>
      </c>
      <c r="R8" s="3250">
        <f>SUM(Q8-S8)</f>
        <v>250.91</v>
      </c>
      <c r="S8" s="3250">
        <f>SUM(S9)</f>
        <v>0.19</v>
      </c>
      <c r="T8" s="3207">
        <f>SUM(U8:V8)</f>
        <v>251.66697026317493</v>
      </c>
      <c r="U8" s="3207">
        <f t="shared" ref="U8:V12" si="1">SUM(GA8/12)</f>
        <v>250.1947480409527</v>
      </c>
      <c r="V8" s="3207">
        <f t="shared" si="1"/>
        <v>1.4722222222222223</v>
      </c>
      <c r="W8" s="3207">
        <f>SUM(X8:Y8)</f>
        <v>504.87</v>
      </c>
      <c r="X8" s="3249">
        <f>SUM('ПОЛНАЯ СЕБЕСТОИМОСТЬ СТОКИ 2019'!L8)</f>
        <v>501.19</v>
      </c>
      <c r="Y8" s="3249">
        <f>SUM('ПОЛНАЯ СЕБЕСТОИМОСТЬ СТОКИ 2019'!M8)</f>
        <v>3.68</v>
      </c>
      <c r="Z8" s="3250">
        <v>279.60000000000002</v>
      </c>
      <c r="AA8" s="3250">
        <f>SUM(Z8-AB8)</f>
        <v>275.92</v>
      </c>
      <c r="AB8" s="3250">
        <f>SUM(AB9)</f>
        <v>3.68</v>
      </c>
      <c r="AC8" s="3206">
        <f>SUM(AD8:AE8)</f>
        <v>755.00091078952471</v>
      </c>
      <c r="AD8" s="3206">
        <f>SUM(C8+L8+U8)</f>
        <v>750.58424412285808</v>
      </c>
      <c r="AE8" s="3206">
        <f>SUM(D8+M8+V8)</f>
        <v>4.416666666666667</v>
      </c>
      <c r="AF8" s="3206">
        <f>SUM(AG8:AH8)</f>
        <v>1369.1179999999999</v>
      </c>
      <c r="AG8" s="3206">
        <f>SUM(F8+O8+X8)</f>
        <v>1365.0625</v>
      </c>
      <c r="AH8" s="3206">
        <f>SUM(G8+P8+Y8)</f>
        <v>4.0555000000000003</v>
      </c>
      <c r="AI8" s="3109">
        <f t="shared" ref="AI8:AK8" si="2">SUM(H8+Q8+Z8)</f>
        <v>837.99</v>
      </c>
      <c r="AJ8" s="3109">
        <f t="shared" si="2"/>
        <v>833.88000000000011</v>
      </c>
      <c r="AK8" s="3109">
        <f t="shared" si="2"/>
        <v>4.1100000000000003</v>
      </c>
      <c r="AL8" s="3206">
        <f>SUM(AM8:AN8)</f>
        <v>614.11708921047523</v>
      </c>
      <c r="AM8" s="3206">
        <f>SUM(AG8-AD8)</f>
        <v>614.47825587714192</v>
      </c>
      <c r="AN8" s="3206">
        <f>SUM(AH8-AE8)</f>
        <v>-0.36116666666666664</v>
      </c>
      <c r="AO8" s="3207">
        <f>SUM(AP8:AQ8)</f>
        <v>251.66697026317493</v>
      </c>
      <c r="AP8" s="3207">
        <f t="shared" ref="AP8:AQ12" si="3">SUM(GA8/12)</f>
        <v>250.1947480409527</v>
      </c>
      <c r="AQ8" s="3207">
        <f t="shared" si="3"/>
        <v>1.4722222222222223</v>
      </c>
      <c r="AR8" s="3207">
        <f>SUM(AS8:AT8)</f>
        <v>676.83199999999999</v>
      </c>
      <c r="AS8" s="3249">
        <f>SUM('ПОЛНАЯ СЕБЕСТОИМОСТЬ СТОКИ 2019'!U8)</f>
        <v>676.53200000000004</v>
      </c>
      <c r="AT8" s="3249">
        <f>SUM('ПОЛНАЯ СЕБЕСТОИМОСТЬ СТОКИ 2019'!V8)</f>
        <v>0.3</v>
      </c>
      <c r="AU8" s="3250">
        <v>651.75099999999998</v>
      </c>
      <c r="AV8" s="3250">
        <f>SUM(AU8-AW8)</f>
        <v>651.49099999999999</v>
      </c>
      <c r="AW8" s="3250">
        <f>SUM(AW9)</f>
        <v>0.26</v>
      </c>
      <c r="AX8" s="3207">
        <f>SUM(AY8:AZ8)</f>
        <v>251.66697026317493</v>
      </c>
      <c r="AY8" s="3207">
        <f t="shared" ref="AY8:AZ12" si="4">SUM(GA8/12)</f>
        <v>250.1947480409527</v>
      </c>
      <c r="AZ8" s="3207">
        <f t="shared" si="4"/>
        <v>1.4722222222222223</v>
      </c>
      <c r="BA8" s="3207">
        <f>SUM(BB8:BC8)</f>
        <v>539.16999999999996</v>
      </c>
      <c r="BB8" s="3249">
        <f>SUM('ПОЛНАЯ СЕБЕСТОИМОСТЬ СТОКИ 2019'!X8)</f>
        <v>538.66</v>
      </c>
      <c r="BC8" s="3249">
        <f>SUM('ПОЛНАЯ СЕБЕСТОИМОСТЬ СТОКИ 2019'!Y8)</f>
        <v>0.51</v>
      </c>
      <c r="BD8" s="3250">
        <v>517.57399999999996</v>
      </c>
      <c r="BE8" s="3250">
        <f>SUM(BD8-BF8)</f>
        <v>516.98399999999992</v>
      </c>
      <c r="BF8" s="3250">
        <f>SUM(BF9)</f>
        <v>0.59</v>
      </c>
      <c r="BG8" s="3207">
        <f>SUM(BH8:BI8)</f>
        <v>251.66697026317493</v>
      </c>
      <c r="BH8" s="3207">
        <f t="shared" ref="BH8:BI12" si="5">SUM(GA8/12)</f>
        <v>250.1947480409527</v>
      </c>
      <c r="BI8" s="3207">
        <f t="shared" si="5"/>
        <v>1.4722222222222223</v>
      </c>
      <c r="BJ8" s="3207">
        <f>SUM(BK8:BL8)</f>
        <v>447.476</v>
      </c>
      <c r="BK8" s="3249">
        <f>SUM('ПОЛНАЯ СЕБЕСТОИМОСТЬ СТОКИ 2019'!AA8)</f>
        <v>443.61</v>
      </c>
      <c r="BL8" s="3249">
        <f>SUM('ПОЛНАЯ СЕБЕСТОИМОСТЬ СТОКИ 2019'!AB8)</f>
        <v>3.8660000000000001</v>
      </c>
      <c r="BM8" s="3250">
        <v>491.72199999999998</v>
      </c>
      <c r="BN8" s="3250">
        <f>SUM(BM8-BO8)</f>
        <v>487.97199999999998</v>
      </c>
      <c r="BO8" s="3250">
        <f>SUM(BO9)</f>
        <v>3.75</v>
      </c>
      <c r="BP8" s="3206">
        <f>SUM(BQ8:BR8)</f>
        <v>755.00091078952471</v>
      </c>
      <c r="BQ8" s="3206">
        <f>SUM(AP8+AY8+BH8)</f>
        <v>750.58424412285808</v>
      </c>
      <c r="BR8" s="3206">
        <f>SUM(AQ8+AZ8+BI8)</f>
        <v>4.416666666666667</v>
      </c>
      <c r="BS8" s="3206">
        <f>SUM(BT8:BU8)</f>
        <v>1663.4780000000001</v>
      </c>
      <c r="BT8" s="3206">
        <f>SUM(AS8+BB8+BK8)</f>
        <v>1658.8020000000001</v>
      </c>
      <c r="BU8" s="3206">
        <f>SUM(AT8+BC8+BL8)</f>
        <v>4.6760000000000002</v>
      </c>
      <c r="BV8" s="3109">
        <f t="shared" ref="BV8:BX8" si="6">SUM(AU8+BD8+BM8)</f>
        <v>1661.0469999999998</v>
      </c>
      <c r="BW8" s="3206">
        <f t="shared" si="6"/>
        <v>1656.4469999999999</v>
      </c>
      <c r="BX8" s="3206">
        <f t="shared" si="6"/>
        <v>4.5999999999999996</v>
      </c>
      <c r="BY8" s="3206">
        <f>SUM(BZ8:CA8)</f>
        <v>908.47708921047536</v>
      </c>
      <c r="BZ8" s="3206">
        <f>SUM(BT8-BQ8)</f>
        <v>908.21775587714205</v>
      </c>
      <c r="CA8" s="3206">
        <f>SUM(BU8-BR8)</f>
        <v>0.25933333333333319</v>
      </c>
      <c r="CB8" s="3206">
        <f>SUM(CC8:CD8)</f>
        <v>1510.0018215790494</v>
      </c>
      <c r="CC8" s="3206">
        <f>SUM(AD8+BQ8)</f>
        <v>1501.1684882457162</v>
      </c>
      <c r="CD8" s="3206">
        <f>SUM(AE8+BR8)</f>
        <v>8.8333333333333339</v>
      </c>
      <c r="CE8" s="3206">
        <f>SUM(CF8:CG8)</f>
        <v>3032.596</v>
      </c>
      <c r="CF8" s="3206">
        <f t="shared" ref="CF8:CJ8" si="7">SUM(AG8+BT8)</f>
        <v>3023.8645000000001</v>
      </c>
      <c r="CG8" s="3206">
        <f t="shared" si="7"/>
        <v>8.7315000000000005</v>
      </c>
      <c r="CH8" s="3109">
        <f t="shared" si="7"/>
        <v>2499.0369999999998</v>
      </c>
      <c r="CI8" s="3109">
        <f t="shared" si="7"/>
        <v>2490.3270000000002</v>
      </c>
      <c r="CJ8" s="3109">
        <f t="shared" si="7"/>
        <v>8.7100000000000009</v>
      </c>
      <c r="CK8" s="3206">
        <f>SUM(CL8:CM8)</f>
        <v>1522.5941784209506</v>
      </c>
      <c r="CL8" s="3212">
        <f t="shared" ref="CL8:CM8" si="8">SUM(CF8-CC8)</f>
        <v>1522.696011754284</v>
      </c>
      <c r="CM8" s="3212">
        <f t="shared" si="8"/>
        <v>-0.10183333333333344</v>
      </c>
      <c r="CN8" s="3207">
        <f>SUM(CO8:CP8)</f>
        <v>251.66697026317493</v>
      </c>
      <c r="CO8" s="3207">
        <f t="shared" ref="CO8:CP12" si="9">SUM(GA8/12)</f>
        <v>250.1947480409527</v>
      </c>
      <c r="CP8" s="3207">
        <f t="shared" si="9"/>
        <v>1.4722222222222223</v>
      </c>
      <c r="CQ8" s="3207">
        <f>SUM(CR8:CS8)</f>
        <v>609.21</v>
      </c>
      <c r="CR8" s="3249">
        <f>SUM('ПОЛНАЯ СЕБЕСТОИМОСТЬ СТОКИ 2019'!AS8)</f>
        <v>608.899</v>
      </c>
      <c r="CS8" s="3249">
        <f>SUM('ПОЛНАЯ СЕБЕСТОИМОСТЬ СТОКИ 2019'!AT8)</f>
        <v>0.311</v>
      </c>
      <c r="CT8" s="3250">
        <v>470.5</v>
      </c>
      <c r="CU8" s="3250">
        <f>SUM(CT8-CV8)</f>
        <v>470.16</v>
      </c>
      <c r="CV8" s="3250">
        <f>SUM(CV9)</f>
        <v>0.34</v>
      </c>
      <c r="CW8" s="3207">
        <f>SUM(CX8:CY8)</f>
        <v>251.66697026317493</v>
      </c>
      <c r="CX8" s="3207">
        <f t="shared" ref="CX8:CY12" si="10">SUM(GA8/12)</f>
        <v>250.1947480409527</v>
      </c>
      <c r="CY8" s="3207">
        <f t="shared" si="10"/>
        <v>1.4722222222222223</v>
      </c>
      <c r="CZ8" s="3207">
        <f>SUM(DA8:DB8)</f>
        <v>524.38</v>
      </c>
      <c r="DA8" s="3249">
        <f>SUM('ПОЛНАЯ СЕБЕСТОИМОСТЬ СТОКИ 2019'!AV8)</f>
        <v>524.00099999999998</v>
      </c>
      <c r="DB8" s="3249">
        <f>SUM('ПОЛНАЯ СЕБЕСТОИМОСТЬ СТОКИ 2019'!AW8)</f>
        <v>0.379</v>
      </c>
      <c r="DC8" s="3250">
        <v>412.12</v>
      </c>
      <c r="DD8" s="3250">
        <f>SUM(DC8-DE8)</f>
        <v>411.6</v>
      </c>
      <c r="DE8" s="3250">
        <f>SUM(DE9)</f>
        <v>0.52</v>
      </c>
      <c r="DF8" s="3207">
        <f>SUM(DG8:DH8)</f>
        <v>251.66697026317493</v>
      </c>
      <c r="DG8" s="3207">
        <f t="shared" ref="DG8:DH12" si="11">SUM(GA8/12)</f>
        <v>250.1947480409527</v>
      </c>
      <c r="DH8" s="3207">
        <f t="shared" si="11"/>
        <v>1.4722222222222223</v>
      </c>
      <c r="DI8" s="3207">
        <f>SUM(DJ8:DK8)</f>
        <v>498.43</v>
      </c>
      <c r="DJ8" s="3249">
        <f>SUM('ПОЛНАЯ СЕБЕСТОИМОСТЬ СТОКИ 2019'!AY8)</f>
        <v>494.52199999999999</v>
      </c>
      <c r="DK8" s="3249">
        <f>SUM('ПОЛНАЯ СЕБЕСТОИМОСТЬ СТОКИ 2019'!AZ8)</f>
        <v>3.9079999999999999</v>
      </c>
      <c r="DL8" s="3250">
        <v>461.36</v>
      </c>
      <c r="DM8" s="3250">
        <f>SUM(DL8-DN8)</f>
        <v>457.68</v>
      </c>
      <c r="DN8" s="3250">
        <f>SUM(DN9)</f>
        <v>3.68</v>
      </c>
      <c r="DO8" s="3206">
        <f>SUM(DP8:DQ8)</f>
        <v>755.00091078952471</v>
      </c>
      <c r="DP8" s="3206">
        <f>SUM(CO8+CX8+DG8)</f>
        <v>750.58424412285808</v>
      </c>
      <c r="DQ8" s="3206">
        <f>SUM(CP8+CY8+DH8)</f>
        <v>4.416666666666667</v>
      </c>
      <c r="DR8" s="3206">
        <f>SUM(DS8:DT8)</f>
        <v>1632.02</v>
      </c>
      <c r="DS8" s="3206">
        <f>SUM(CR8+DA8+DJ8)</f>
        <v>1627.422</v>
      </c>
      <c r="DT8" s="3206">
        <f>SUM(CS8+DB8+DK8)</f>
        <v>4.5979999999999999</v>
      </c>
      <c r="DU8" s="3109">
        <f t="shared" ref="DU8:DW8" si="12">SUM(CT8+DC8+DL8)</f>
        <v>1343.98</v>
      </c>
      <c r="DV8" s="3206">
        <f t="shared" si="12"/>
        <v>1339.44</v>
      </c>
      <c r="DW8" s="3206">
        <f t="shared" si="12"/>
        <v>4.54</v>
      </c>
      <c r="DX8" s="3206">
        <f>SUM(DY8:DZ8)</f>
        <v>877.01908921047527</v>
      </c>
      <c r="DY8" s="3212">
        <f t="shared" ref="DY8:DZ8" si="13">SUM(DS8-DP8)</f>
        <v>876.83775587714194</v>
      </c>
      <c r="DZ8" s="3212">
        <f t="shared" si="13"/>
        <v>0.1813333333333329</v>
      </c>
      <c r="EA8" s="3206">
        <f>SUM(EB8:EC8)</f>
        <v>2265.0027323685745</v>
      </c>
      <c r="EB8" s="3206">
        <f>SUM(CC8+DP8)</f>
        <v>2251.7527323685745</v>
      </c>
      <c r="EC8" s="3206">
        <f>SUM(CD8+DQ8)</f>
        <v>13.25</v>
      </c>
      <c r="ED8" s="3206">
        <f>SUM(EE8:EF8)</f>
        <v>4664.616</v>
      </c>
      <c r="EE8" s="3206">
        <f t="shared" ref="EE8:EI8" si="14">SUM(CF8+DS8)</f>
        <v>4651.2865000000002</v>
      </c>
      <c r="EF8" s="3206">
        <f t="shared" si="14"/>
        <v>13.329499999999999</v>
      </c>
      <c r="EG8" s="3206">
        <f t="shared" si="14"/>
        <v>3843.0169999999998</v>
      </c>
      <c r="EH8" s="3206">
        <f t="shared" si="14"/>
        <v>3829.7670000000003</v>
      </c>
      <c r="EI8" s="3206">
        <f t="shared" si="14"/>
        <v>13.25</v>
      </c>
      <c r="EJ8" s="3206">
        <f>SUM(EK8:EL8)</f>
        <v>2399.6132676314255</v>
      </c>
      <c r="EK8" s="3212">
        <f t="shared" ref="EK8:EL8" si="15">SUM(EE8-EB8)</f>
        <v>2399.5337676314257</v>
      </c>
      <c r="EL8" s="3212">
        <f t="shared" si="15"/>
        <v>7.949999999999946E-2</v>
      </c>
      <c r="EM8" s="3207">
        <f>SUM(EN8:EO8)</f>
        <v>251.66697026317493</v>
      </c>
      <c r="EN8" s="3207">
        <f t="shared" ref="EN8:EO12" si="16">SUM(GA8/12)</f>
        <v>250.1947480409527</v>
      </c>
      <c r="EO8" s="3207">
        <f t="shared" si="16"/>
        <v>1.4722222222222223</v>
      </c>
      <c r="EP8" s="3207">
        <f>SUM(EQ8:ER8)</f>
        <v>0</v>
      </c>
      <c r="EQ8" s="3249">
        <f>SUM('ПОЛНАЯ СЕБЕСТОИМОСТЬ СТОКИ 2019'!BQ8)</f>
        <v>0</v>
      </c>
      <c r="ER8" s="3249">
        <f>SUM('ПОЛНАЯ СЕБЕСТОИМОСТЬ СТОКИ 2019'!BR8)</f>
        <v>0</v>
      </c>
      <c r="ES8" s="3250">
        <v>568.14</v>
      </c>
      <c r="ET8" s="3250">
        <f>SUM(ES8-EU8)</f>
        <v>567.6</v>
      </c>
      <c r="EU8" s="3250">
        <f>SUM(EU9)</f>
        <v>0.54</v>
      </c>
      <c r="EV8" s="3207">
        <f>SUM(EW8:EX8)</f>
        <v>251.66697026317493</v>
      </c>
      <c r="EW8" s="3207">
        <f t="shared" ref="EW8:EX12" si="17">SUM(GA8/12)</f>
        <v>250.1947480409527</v>
      </c>
      <c r="EX8" s="3207">
        <f t="shared" si="17"/>
        <v>1.4722222222222223</v>
      </c>
      <c r="EY8" s="3207">
        <f>SUM(EZ8:FA8)</f>
        <v>0</v>
      </c>
      <c r="EZ8" s="3249">
        <f>SUM('ПОЛНАЯ СЕБЕСТОИМОСТЬ СТОКИ 2019'!BT8)</f>
        <v>0</v>
      </c>
      <c r="FA8" s="3249">
        <f>SUM('ПОЛНАЯ СЕБЕСТОИМОСТЬ СТОКИ 2019'!BU8)</f>
        <v>0</v>
      </c>
      <c r="FB8" s="3250">
        <v>489.32</v>
      </c>
      <c r="FC8" s="3250">
        <f>SUM(FB8-FD8)</f>
        <v>488.76</v>
      </c>
      <c r="FD8" s="3250">
        <f>SUM(FD9)</f>
        <v>0.56000000000000005</v>
      </c>
      <c r="FE8" s="3207">
        <f>SUM(FF8:FG8)</f>
        <v>251.66697026317493</v>
      </c>
      <c r="FF8" s="3207">
        <f t="shared" ref="FF8:FG12" si="18">SUM(GA8/12)</f>
        <v>250.1947480409527</v>
      </c>
      <c r="FG8" s="3207">
        <f t="shared" si="18"/>
        <v>1.4722222222222223</v>
      </c>
      <c r="FH8" s="3207">
        <f>SUM(FI8:FJ8)</f>
        <v>0</v>
      </c>
      <c r="FI8" s="3249">
        <f>SUM('ПОЛНАЯ СЕБЕСТОИМОСТЬ СТОКИ 2019'!BW8)</f>
        <v>0</v>
      </c>
      <c r="FJ8" s="3249">
        <f>SUM('ПОЛНАЯ СЕБЕСТОИМОСТЬ СТОКИ 2019'!BX8)</f>
        <v>0</v>
      </c>
      <c r="FK8" s="3250">
        <v>447.82</v>
      </c>
      <c r="FL8" s="3250">
        <f>SUM(FK8-FM8)</f>
        <v>443.92</v>
      </c>
      <c r="FM8" s="3250">
        <f>SUM(FM9)</f>
        <v>3.9</v>
      </c>
      <c r="FN8" s="3206">
        <f>SUM(FO8:FP8)</f>
        <v>755.00091078952471</v>
      </c>
      <c r="FO8" s="3206">
        <f>SUM(EN8+EW8+FF8)</f>
        <v>750.58424412285808</v>
      </c>
      <c r="FP8" s="3206">
        <f>SUM(EO8+EX8+FG8)</f>
        <v>4.416666666666667</v>
      </c>
      <c r="FQ8" s="3206">
        <f>SUM(FR8:FS8)</f>
        <v>0</v>
      </c>
      <c r="FR8" s="3206">
        <f>SUM(EQ8+EZ8+FI8)</f>
        <v>0</v>
      </c>
      <c r="FS8" s="3206">
        <f>SUM(ER8+FA8+FJ8)</f>
        <v>0</v>
      </c>
      <c r="FT8" s="3109">
        <f t="shared" ref="FT8:FV8" si="19">SUM(ES8+FB8+FK8)</f>
        <v>1505.28</v>
      </c>
      <c r="FU8" s="3109">
        <f t="shared" si="19"/>
        <v>1500.2800000000002</v>
      </c>
      <c r="FV8" s="3109">
        <f t="shared" si="19"/>
        <v>5</v>
      </c>
      <c r="FW8" s="3206">
        <f>SUM(FX8:FY8)</f>
        <v>-755.00091078952471</v>
      </c>
      <c r="FX8" s="3212">
        <f t="shared" ref="FX8:FY8" si="20">SUM(FR8-FO8)</f>
        <v>-750.58424412285808</v>
      </c>
      <c r="FY8" s="3212">
        <f t="shared" si="20"/>
        <v>-4.416666666666667</v>
      </c>
      <c r="FZ8" s="3218">
        <f>SUM(GA8:GB8)</f>
        <v>3020.0036431580988</v>
      </c>
      <c r="GA8" s="3218">
        <f>SUM(объемы!AX58)</f>
        <v>3002.3369764914323</v>
      </c>
      <c r="GB8" s="3218">
        <f>SUM(объемы!AY58)</f>
        <v>17.666666666666668</v>
      </c>
      <c r="GC8" s="3206">
        <f>SUM(GD8:GE8)</f>
        <v>4664.616</v>
      </c>
      <c r="GD8" s="3219">
        <f t="shared" ref="GD8:GE8" si="21">SUM(EE8+FR8)</f>
        <v>4651.2865000000002</v>
      </c>
      <c r="GE8" s="3219">
        <f t="shared" si="21"/>
        <v>13.329499999999999</v>
      </c>
      <c r="GF8" s="3219">
        <f>SUM(EG8+FT8)</f>
        <v>5348.2969999999996</v>
      </c>
      <c r="GG8" s="3219">
        <f t="shared" ref="GG8:GH8" si="22">SUM(EH8+FU8)</f>
        <v>5330.0470000000005</v>
      </c>
      <c r="GH8" s="3219">
        <f t="shared" si="22"/>
        <v>18.25</v>
      </c>
      <c r="GI8" s="3206">
        <f>SUM(GJ8:GK8)</f>
        <v>1644.6123568419011</v>
      </c>
      <c r="GJ8" s="3220">
        <f t="shared" ref="GJ8:GK8" si="23">SUM(GD8-GA8)</f>
        <v>1648.9495235085678</v>
      </c>
      <c r="GK8" s="3220">
        <f t="shared" si="23"/>
        <v>-4.3371666666666684</v>
      </c>
    </row>
    <row r="9" spans="1:193" ht="18.75" customHeight="1" x14ac:dyDescent="0.3">
      <c r="A9" s="3106" t="s">
        <v>3665</v>
      </c>
      <c r="B9" s="3207">
        <f t="shared" ref="B9:B12" si="24">SUM(C9:D9)</f>
        <v>251.66697026317493</v>
      </c>
      <c r="C9" s="3207">
        <f t="shared" ref="C9:C12" si="25">SUM(GA9/12)</f>
        <v>250.1947480409527</v>
      </c>
      <c r="D9" s="3207">
        <f t="shared" ref="D9:D12" si="26">SUM(GB9/12)</f>
        <v>1.4722222222222223</v>
      </c>
      <c r="E9" s="3207">
        <f t="shared" ref="E9:E12" si="27">SUM(F9:G9)</f>
        <v>266.49549999999999</v>
      </c>
      <c r="F9" s="3249">
        <f>SUM('ПОЛНАЯ СЕБЕСТОИМОСТЬ СТОКИ 2019'!F9)</f>
        <v>266.29300000000001</v>
      </c>
      <c r="G9" s="3249">
        <f>SUM('ПОЛНАЯ СЕБЕСТОИМОСТЬ СТОКИ 2019'!G9)</f>
        <v>0.20250000000000001</v>
      </c>
      <c r="H9" s="3251">
        <f>SUM(H10:H12)</f>
        <v>270.69</v>
      </c>
      <c r="I9" s="3251">
        <f t="shared" ref="I9:J9" si="28">SUM(I10:I12)</f>
        <v>270.45</v>
      </c>
      <c r="J9" s="3251">
        <f t="shared" si="28"/>
        <v>0.24</v>
      </c>
      <c r="K9" s="3207">
        <f>SUM(L9:M9)</f>
        <v>251.66697026317493</v>
      </c>
      <c r="L9" s="3207">
        <f t="shared" si="0"/>
        <v>250.1947480409527</v>
      </c>
      <c r="M9" s="3207">
        <f t="shared" si="0"/>
        <v>1.4722222222222223</v>
      </c>
      <c r="N9" s="3207">
        <f t="shared" ref="N9:N12" si="29">SUM(O9:P9)</f>
        <v>256.30599999999998</v>
      </c>
      <c r="O9" s="3249">
        <f>SUM('ПОЛНАЯ СЕБЕСТОИМОСТЬ СТОКИ 2019'!I9)</f>
        <v>256.13299999999998</v>
      </c>
      <c r="P9" s="3249">
        <f>SUM('ПОЛНАЯ СЕБЕСТОИМОСТЬ СТОКИ 2019'!J9)</f>
        <v>0.17299999999999999</v>
      </c>
      <c r="Q9" s="3251">
        <f>SUM(Q10:Q12)</f>
        <v>264.64999999999998</v>
      </c>
      <c r="R9" s="3251">
        <f t="shared" ref="R9:S9" si="30">SUM(R10:R12)</f>
        <v>264.46000000000004</v>
      </c>
      <c r="S9" s="3251">
        <f t="shared" si="30"/>
        <v>0.19</v>
      </c>
      <c r="T9" s="3207">
        <f>SUM(U9:V9)</f>
        <v>251.66697026317493</v>
      </c>
      <c r="U9" s="3207">
        <f t="shared" si="1"/>
        <v>250.1947480409527</v>
      </c>
      <c r="V9" s="3207">
        <f t="shared" si="1"/>
        <v>1.4722222222222223</v>
      </c>
      <c r="W9" s="3207">
        <f t="shared" ref="W9:W12" si="31">SUM(X9:Y9)</f>
        <v>252.04300000000001</v>
      </c>
      <c r="X9" s="3249">
        <f>SUM('ПОЛНАЯ СЕБЕСТОИМОСТЬ СТОКИ 2019'!L9)</f>
        <v>248.363</v>
      </c>
      <c r="Y9" s="3249">
        <f>SUM('ПОЛНАЯ СЕБЕСТОИМОСТЬ СТОКИ 2019'!M9)</f>
        <v>3.68</v>
      </c>
      <c r="Z9" s="3251">
        <f>SUM(Z10:Z12)</f>
        <v>261.37</v>
      </c>
      <c r="AA9" s="3251">
        <f t="shared" ref="AA9:AB9" si="32">SUM(AA10:AA12)</f>
        <v>257.69</v>
      </c>
      <c r="AB9" s="3251">
        <f t="shared" si="32"/>
        <v>3.68</v>
      </c>
      <c r="AC9" s="3206">
        <f t="shared" ref="AC9:AC12" si="33">SUM(AD9:AE9)</f>
        <v>755.00091078952471</v>
      </c>
      <c r="AD9" s="3206">
        <f t="shared" ref="AD9:AD12" si="34">SUM(C9+L9+U9)</f>
        <v>750.58424412285808</v>
      </c>
      <c r="AE9" s="3206">
        <f t="shared" ref="AE9:AE12" si="35">SUM(D9+M9+V9)</f>
        <v>4.416666666666667</v>
      </c>
      <c r="AF9" s="3206">
        <f t="shared" ref="AF9:AF12" si="36">SUM(AG9:AH9)</f>
        <v>774.84450000000004</v>
      </c>
      <c r="AG9" s="3206">
        <f t="shared" ref="AG9:AG12" si="37">SUM(F9+O9+X9)</f>
        <v>770.78899999999999</v>
      </c>
      <c r="AH9" s="3206">
        <f t="shared" ref="AH9:AH12" si="38">SUM(G9+P9+Y9)</f>
        <v>4.0555000000000003</v>
      </c>
      <c r="AI9" s="3109">
        <f t="shared" ref="AI9:AI12" si="39">SUM(H9+Q9+Z9)</f>
        <v>796.70999999999992</v>
      </c>
      <c r="AJ9" s="3109">
        <f t="shared" ref="AJ9:AJ12" si="40">SUM(I9+R9+AA9)</f>
        <v>792.60000000000014</v>
      </c>
      <c r="AK9" s="3109">
        <f t="shared" ref="AK9:AK12" si="41">SUM(J9+S9+AB9)</f>
        <v>4.1100000000000003</v>
      </c>
      <c r="AL9" s="3206">
        <f t="shared" ref="AL9:AL12" si="42">SUM(AM9:AN9)</f>
        <v>19.84358921047524</v>
      </c>
      <c r="AM9" s="3206">
        <f t="shared" ref="AM9:AM12" si="43">SUM(AG9-AD9)</f>
        <v>20.204755877141906</v>
      </c>
      <c r="AN9" s="3206">
        <f t="shared" ref="AN9:AN12" si="44">SUM(AH9-AE9)</f>
        <v>-0.36116666666666664</v>
      </c>
      <c r="AO9" s="3207">
        <f>SUM(AP9:AQ9)</f>
        <v>251.66697026317493</v>
      </c>
      <c r="AP9" s="3207">
        <f t="shared" si="3"/>
        <v>250.1947480409527</v>
      </c>
      <c r="AQ9" s="3207">
        <f t="shared" si="3"/>
        <v>1.4722222222222223</v>
      </c>
      <c r="AR9" s="3207">
        <f t="shared" ref="AR9:AR12" si="45">SUM(AS9:AT9)</f>
        <v>260.08700000000005</v>
      </c>
      <c r="AS9" s="3249">
        <f>SUM('ПОЛНАЯ СЕБЕСТОИМОСТЬ СТОКИ 2019'!U9)</f>
        <v>259.78700000000003</v>
      </c>
      <c r="AT9" s="3249">
        <f>SUM('ПОЛНАЯ СЕБЕСТОИМОСТЬ СТОКИ 2019'!V9)</f>
        <v>0.3</v>
      </c>
      <c r="AU9" s="3251">
        <f>SUM(AU10:AU12)</f>
        <v>274.02999999999997</v>
      </c>
      <c r="AV9" s="3251">
        <f t="shared" ref="AV9:AW9" si="46">SUM(AV10:AV12)</f>
        <v>273.77</v>
      </c>
      <c r="AW9" s="3251">
        <f t="shared" si="46"/>
        <v>0.26</v>
      </c>
      <c r="AX9" s="3207">
        <f>SUM(AY9:AZ9)</f>
        <v>251.66697026317493</v>
      </c>
      <c r="AY9" s="3207">
        <f t="shared" si="4"/>
        <v>250.1947480409527</v>
      </c>
      <c r="AZ9" s="3207">
        <f t="shared" si="4"/>
        <v>1.4722222222222223</v>
      </c>
      <c r="BA9" s="3207">
        <f t="shared" ref="BA9:BA12" si="47">SUM(BB9:BC9)</f>
        <v>254.17200000000003</v>
      </c>
      <c r="BB9" s="3249">
        <f>SUM('ПОЛНАЯ СЕБЕСТОИМОСТЬ СТОКИ 2019'!X9)</f>
        <v>253.66200000000003</v>
      </c>
      <c r="BC9" s="3249">
        <f>SUM('ПОЛНАЯ СЕБЕСТОИМОСТЬ СТОКИ 2019'!Y9)</f>
        <v>0.51</v>
      </c>
      <c r="BD9" s="3251">
        <f>SUM(BD10:BD12)</f>
        <v>261.78999999999996</v>
      </c>
      <c r="BE9" s="3251">
        <f t="shared" ref="BE9:BF9" si="48">SUM(BE10:BE12)</f>
        <v>261.2</v>
      </c>
      <c r="BF9" s="3251">
        <f t="shared" si="48"/>
        <v>0.59</v>
      </c>
      <c r="BG9" s="3207">
        <f>SUM(BH9:BI9)</f>
        <v>251.66697026317493</v>
      </c>
      <c r="BH9" s="3207">
        <f t="shared" si="5"/>
        <v>250.1947480409527</v>
      </c>
      <c r="BI9" s="3207">
        <f t="shared" si="5"/>
        <v>1.4722222222222223</v>
      </c>
      <c r="BJ9" s="3207">
        <f t="shared" ref="BJ9:BJ12" si="49">SUM(BK9:BL9)</f>
        <v>258.279</v>
      </c>
      <c r="BK9" s="3249">
        <f>SUM('ПОЛНАЯ СЕБЕСТОИМОСТЬ СТОКИ 2019'!AA9)</f>
        <v>254.41299999999998</v>
      </c>
      <c r="BL9" s="3249">
        <f>SUM('ПОЛНАЯ СЕБЕСТОИМОСТЬ СТОКИ 2019'!AB9)</f>
        <v>3.8660000000000001</v>
      </c>
      <c r="BM9" s="3251">
        <f>SUM(BM10:BM12)</f>
        <v>281.02999999999997</v>
      </c>
      <c r="BN9" s="3251">
        <f t="shared" ref="BN9:BO9" si="50">SUM(BN10:BN12)</f>
        <v>277.27999999999997</v>
      </c>
      <c r="BO9" s="3251">
        <f t="shared" si="50"/>
        <v>3.75</v>
      </c>
      <c r="BP9" s="3206">
        <f t="shared" ref="BP9:BP12" si="51">SUM(BQ9:BR9)</f>
        <v>755.00091078952471</v>
      </c>
      <c r="BQ9" s="3206">
        <f t="shared" ref="BQ9:BQ12" si="52">SUM(AP9+AY9+BH9)</f>
        <v>750.58424412285808</v>
      </c>
      <c r="BR9" s="3206">
        <f t="shared" ref="BR9:BR12" si="53">SUM(AQ9+AZ9+BI9)</f>
        <v>4.416666666666667</v>
      </c>
      <c r="BS9" s="3206">
        <f t="shared" ref="BS9:BS12" si="54">SUM(BT9:BU9)</f>
        <v>772.53800000000012</v>
      </c>
      <c r="BT9" s="3206">
        <f t="shared" ref="BT9:BT12" si="55">SUM(AS9+BB9+BK9)</f>
        <v>767.86200000000008</v>
      </c>
      <c r="BU9" s="3206">
        <f t="shared" ref="BU9:BU12" si="56">SUM(AT9+BC9+BL9)</f>
        <v>4.6760000000000002</v>
      </c>
      <c r="BV9" s="3109">
        <f t="shared" ref="BV9:BV12" si="57">SUM(AU9+BD9+BM9)</f>
        <v>816.84999999999991</v>
      </c>
      <c r="BW9" s="3206">
        <f t="shared" ref="BW9:BW12" si="58">SUM(AV9+BE9+BN9)</f>
        <v>812.25</v>
      </c>
      <c r="BX9" s="3206">
        <f t="shared" ref="BX9:BX12" si="59">SUM(AW9+BF9+BO9)</f>
        <v>4.5999999999999996</v>
      </c>
      <c r="BY9" s="3206">
        <f t="shared" ref="BY9:BY12" si="60">SUM(BZ9:CA9)</f>
        <v>17.537089210475333</v>
      </c>
      <c r="BZ9" s="3206">
        <f t="shared" ref="BZ9:BZ12" si="61">SUM(BT9-BQ9)</f>
        <v>17.277755877141999</v>
      </c>
      <c r="CA9" s="3206">
        <f t="shared" ref="CA9:CA12" si="62">SUM(BU9-BR9)</f>
        <v>0.25933333333333319</v>
      </c>
      <c r="CB9" s="3206">
        <f t="shared" ref="CB9:CB12" si="63">SUM(CC9:CD9)</f>
        <v>1510.0018215790494</v>
      </c>
      <c r="CC9" s="3206">
        <f t="shared" ref="CC9:CC12" si="64">SUM(AD9+BQ9)</f>
        <v>1501.1684882457162</v>
      </c>
      <c r="CD9" s="3206">
        <f t="shared" ref="CD9:CD12" si="65">SUM(AE9+BR9)</f>
        <v>8.8333333333333339</v>
      </c>
      <c r="CE9" s="3206">
        <f>SUM(CF9:CG9)</f>
        <v>1547.3825000000002</v>
      </c>
      <c r="CF9" s="3206">
        <f t="shared" ref="CF9:CF12" si="66">SUM(AG9+BT9)</f>
        <v>1538.6510000000001</v>
      </c>
      <c r="CG9" s="3206">
        <f t="shared" ref="CG9:CG12" si="67">SUM(AH9+BU9)</f>
        <v>8.7315000000000005</v>
      </c>
      <c r="CH9" s="3109">
        <f t="shared" ref="CH9:CH12" si="68">SUM(AI9+BV9)</f>
        <v>1613.56</v>
      </c>
      <c r="CI9" s="3109">
        <f t="shared" ref="CI9:CI12" si="69">SUM(AJ9+BW9)</f>
        <v>1604.8500000000001</v>
      </c>
      <c r="CJ9" s="3109">
        <f t="shared" ref="CJ9:CJ12" si="70">SUM(AK9+BX9)</f>
        <v>8.7100000000000009</v>
      </c>
      <c r="CK9" s="3206">
        <f t="shared" ref="CK9:CK12" si="71">SUM(CL9:CM9)</f>
        <v>37.380678420950574</v>
      </c>
      <c r="CL9" s="3212">
        <f t="shared" ref="CL9:CL12" si="72">SUM(CF9-CC9)</f>
        <v>37.482511754283905</v>
      </c>
      <c r="CM9" s="3212">
        <f t="shared" ref="CM9:CM12" si="73">SUM(CG9-CD9)</f>
        <v>-0.10183333333333344</v>
      </c>
      <c r="CN9" s="3207">
        <f>SUM(CO9:CP9)</f>
        <v>251.66697026317493</v>
      </c>
      <c r="CO9" s="3207">
        <f t="shared" si="9"/>
        <v>250.1947480409527</v>
      </c>
      <c r="CP9" s="3207">
        <f t="shared" si="9"/>
        <v>1.4722222222222223</v>
      </c>
      <c r="CQ9" s="3207">
        <f t="shared" ref="CQ9:CQ12" si="74">SUM(CR9:CS9)</f>
        <v>242.05600000000001</v>
      </c>
      <c r="CR9" s="3249">
        <f>SUM('ПОЛНАЯ СЕБЕСТОИМОСТЬ СТОКИ 2019'!AS9)</f>
        <v>241.745</v>
      </c>
      <c r="CS9" s="3249">
        <f>SUM('ПОЛНАЯ СЕБЕСТОИМОСТЬ СТОКИ 2019'!AT9)</f>
        <v>0.311</v>
      </c>
      <c r="CT9" s="3251">
        <f>SUM(CT10:CT12)</f>
        <v>241.94</v>
      </c>
      <c r="CU9" s="3251">
        <f t="shared" ref="CU9:CV9" si="75">SUM(CU10:CU12)</f>
        <v>241.6</v>
      </c>
      <c r="CV9" s="3251">
        <f t="shared" si="75"/>
        <v>0.34</v>
      </c>
      <c r="CW9" s="3207">
        <f>SUM(CX9:CY9)</f>
        <v>251.66697026317493</v>
      </c>
      <c r="CX9" s="3207">
        <f t="shared" si="10"/>
        <v>250.1947480409527</v>
      </c>
      <c r="CY9" s="3207">
        <f t="shared" si="10"/>
        <v>1.4722222222222223</v>
      </c>
      <c r="CZ9" s="3207">
        <f t="shared" ref="CZ9:CZ12" si="76">SUM(DA9:DB9)</f>
        <v>275.63300000000004</v>
      </c>
      <c r="DA9" s="3249">
        <f>SUM('ПОЛНАЯ СЕБЕСТОИМОСТЬ СТОКИ 2019'!AV9)</f>
        <v>275.25400000000002</v>
      </c>
      <c r="DB9" s="3249">
        <f>SUM('ПОЛНАЯ СЕБЕСТОИМОСТЬ СТОКИ 2019'!AW9)</f>
        <v>0.379</v>
      </c>
      <c r="DC9" s="3251">
        <f>SUM(DC10:DC12)</f>
        <v>258.52</v>
      </c>
      <c r="DD9" s="3251">
        <f t="shared" ref="DD9:DE9" si="77">SUM(DD10:DD12)</f>
        <v>258</v>
      </c>
      <c r="DE9" s="3251">
        <f t="shared" si="77"/>
        <v>0.52</v>
      </c>
      <c r="DF9" s="3207">
        <f>SUM(DG9:DH9)</f>
        <v>251.66697026317493</v>
      </c>
      <c r="DG9" s="3207">
        <f t="shared" si="11"/>
        <v>250.1947480409527</v>
      </c>
      <c r="DH9" s="3207">
        <f t="shared" si="11"/>
        <v>1.4722222222222223</v>
      </c>
      <c r="DI9" s="3207">
        <f t="shared" ref="DI9:DI12" si="78">SUM(DJ9:DK9)</f>
        <v>257.37900000000002</v>
      </c>
      <c r="DJ9" s="3249">
        <f>SUM('ПОЛНАЯ СЕБЕСТОИМОСТЬ СТОКИ 2019'!AY9)</f>
        <v>253.471</v>
      </c>
      <c r="DK9" s="3249">
        <f>SUM('ПОЛНАЯ СЕБЕСТОИМОСТЬ СТОКИ 2019'!AZ9)</f>
        <v>3.9079999999999999</v>
      </c>
      <c r="DL9" s="3251">
        <f>SUM(DL10:DL12)</f>
        <v>257.13</v>
      </c>
      <c r="DM9" s="3251">
        <f t="shared" ref="DM9:DN9" si="79">SUM(DM10:DM12)</f>
        <v>253.45</v>
      </c>
      <c r="DN9" s="3251">
        <f t="shared" si="79"/>
        <v>3.68</v>
      </c>
      <c r="DO9" s="3206">
        <f t="shared" ref="DO9:DO12" si="80">SUM(DP9:DQ9)</f>
        <v>755.00091078952471</v>
      </c>
      <c r="DP9" s="3206">
        <f t="shared" ref="DP9:DP12" si="81">SUM(CO9+CX9+DG9)</f>
        <v>750.58424412285808</v>
      </c>
      <c r="DQ9" s="3206">
        <f t="shared" ref="DQ9:DQ12" si="82">SUM(CP9+CY9+DH9)</f>
        <v>4.416666666666667</v>
      </c>
      <c r="DR9" s="3206">
        <f t="shared" ref="DR9:DR12" si="83">SUM(DS9:DT9)</f>
        <v>775.06799999999998</v>
      </c>
      <c r="DS9" s="3206">
        <f t="shared" ref="DS9:DS12" si="84">SUM(CR9+DA9+DJ9)</f>
        <v>770.47</v>
      </c>
      <c r="DT9" s="3206">
        <f t="shared" ref="DT9:DT12" si="85">SUM(CS9+DB9+DK9)</f>
        <v>4.5979999999999999</v>
      </c>
      <c r="DU9" s="3109">
        <f t="shared" ref="DU9:DU12" si="86">SUM(CT9+DC9+DL9)</f>
        <v>757.58999999999992</v>
      </c>
      <c r="DV9" s="3206">
        <f t="shared" ref="DV9:DV12" si="87">SUM(CU9+DD9+DM9)</f>
        <v>753.05</v>
      </c>
      <c r="DW9" s="3206">
        <f t="shared" ref="DW9:DW12" si="88">SUM(CV9+DE9+DN9)</f>
        <v>4.54</v>
      </c>
      <c r="DX9" s="3206">
        <f t="shared" ref="DX9:DX12" si="89">SUM(DY9:DZ9)</f>
        <v>20.067089210475281</v>
      </c>
      <c r="DY9" s="3212">
        <f t="shared" ref="DY9:DY12" si="90">SUM(DS9-DP9)</f>
        <v>19.885755877141946</v>
      </c>
      <c r="DZ9" s="3212">
        <f t="shared" ref="DZ9:DZ12" si="91">SUM(DT9-DQ9)</f>
        <v>0.1813333333333329</v>
      </c>
      <c r="EA9" s="3206">
        <f t="shared" ref="EA9:EA12" si="92">SUM(EB9:EC9)</f>
        <v>2265.0027323685745</v>
      </c>
      <c r="EB9" s="3206">
        <f t="shared" ref="EB9:EB12" si="93">SUM(CC9+DP9)</f>
        <v>2251.7527323685745</v>
      </c>
      <c r="EC9" s="3206">
        <f t="shared" ref="EC9:EC12" si="94">SUM(CD9+DQ9)</f>
        <v>13.25</v>
      </c>
      <c r="ED9" s="3206">
        <f t="shared" ref="ED9:ED12" si="95">SUM(EE9:EF9)</f>
        <v>2322.4504999999999</v>
      </c>
      <c r="EE9" s="3206">
        <f t="shared" ref="EE9:EE12" si="96">SUM(CF9+DS9)</f>
        <v>2309.1210000000001</v>
      </c>
      <c r="EF9" s="3206">
        <f t="shared" ref="EF9:EF12" si="97">SUM(CG9+DT9)</f>
        <v>13.329499999999999</v>
      </c>
      <c r="EG9" s="3206">
        <f t="shared" ref="EG9:EG12" si="98">SUM(CH9+DU9)</f>
        <v>2371.1499999999996</v>
      </c>
      <c r="EH9" s="3206">
        <f t="shared" ref="EH9:EH12" si="99">SUM(CI9+DV9)</f>
        <v>2357.9</v>
      </c>
      <c r="EI9" s="3206">
        <f t="shared" ref="EI9:EI12" si="100">SUM(CJ9+DW9)</f>
        <v>13.25</v>
      </c>
      <c r="EJ9" s="3206">
        <f t="shared" ref="EJ9:EJ12" si="101">SUM(EK9:EL9)</f>
        <v>57.44776763142562</v>
      </c>
      <c r="EK9" s="3212">
        <f t="shared" ref="EK9:EK12" si="102">SUM(EE9-EB9)</f>
        <v>57.368267631425624</v>
      </c>
      <c r="EL9" s="3212">
        <f t="shared" ref="EL9:EL12" si="103">SUM(EF9-EC9)</f>
        <v>7.949999999999946E-2</v>
      </c>
      <c r="EM9" s="3207">
        <f>SUM(EN9:EO9)</f>
        <v>251.66697026317493</v>
      </c>
      <c r="EN9" s="3207">
        <f t="shared" si="16"/>
        <v>250.1947480409527</v>
      </c>
      <c r="EO9" s="3207">
        <f t="shared" si="16"/>
        <v>1.4722222222222223</v>
      </c>
      <c r="EP9" s="3207">
        <f t="shared" ref="EP9:EP12" si="104">SUM(EQ9:ER9)</f>
        <v>0</v>
      </c>
      <c r="EQ9" s="3249">
        <f>SUM('ПОЛНАЯ СЕБЕСТОИМОСТЬ СТОКИ 2019'!BQ9)</f>
        <v>0</v>
      </c>
      <c r="ER9" s="3249">
        <f>SUM('ПОЛНАЯ СЕБЕСТОИМОСТЬ СТОКИ 2019'!BR9)</f>
        <v>0</v>
      </c>
      <c r="ES9" s="3251">
        <f>SUM(ES10:ES12)</f>
        <v>260.77999999999997</v>
      </c>
      <c r="ET9" s="3251">
        <f t="shared" ref="ET9:EU9" si="105">SUM(ET10:ET12)</f>
        <v>260.24</v>
      </c>
      <c r="EU9" s="3251">
        <f t="shared" si="105"/>
        <v>0.54</v>
      </c>
      <c r="EV9" s="3207">
        <f>SUM(EW9:EX9)</f>
        <v>251.66697026317493</v>
      </c>
      <c r="EW9" s="3207">
        <f t="shared" si="17"/>
        <v>250.1947480409527</v>
      </c>
      <c r="EX9" s="3207">
        <f t="shared" si="17"/>
        <v>1.4722222222222223</v>
      </c>
      <c r="EY9" s="3207">
        <f t="shared" ref="EY9:EY12" si="106">SUM(EZ9:FA9)</f>
        <v>0</v>
      </c>
      <c r="EZ9" s="3249">
        <f>SUM('ПОЛНАЯ СЕБЕСТОИМОСТЬ СТОКИ 2019'!BT9)</f>
        <v>0</v>
      </c>
      <c r="FA9" s="3249">
        <f>SUM('ПОЛНАЯ СЕБЕСТОИМОСТЬ СТОКИ 2019'!BU9)</f>
        <v>0</v>
      </c>
      <c r="FB9" s="3251">
        <f>SUM(FB10:FB12)</f>
        <v>261.19</v>
      </c>
      <c r="FC9" s="3251">
        <f t="shared" ref="FC9:FD9" si="107">SUM(FC10:FC12)</f>
        <v>260.63</v>
      </c>
      <c r="FD9" s="3251">
        <f t="shared" si="107"/>
        <v>0.56000000000000005</v>
      </c>
      <c r="FE9" s="3207">
        <f>SUM(FF9:FG9)</f>
        <v>251.66697026317493</v>
      </c>
      <c r="FF9" s="3207">
        <f t="shared" si="18"/>
        <v>250.1947480409527</v>
      </c>
      <c r="FG9" s="3207">
        <f t="shared" si="18"/>
        <v>1.4722222222222223</v>
      </c>
      <c r="FH9" s="3207">
        <f t="shared" ref="FH9:FH12" si="108">SUM(FI9:FJ9)</f>
        <v>0</v>
      </c>
      <c r="FI9" s="3249">
        <f>SUM('ПОЛНАЯ СЕБЕСТОИМОСТЬ СТОКИ 2019'!BW9)</f>
        <v>0</v>
      </c>
      <c r="FJ9" s="3249">
        <f>SUM('ПОЛНАЯ СЕБЕСТОИМОСТЬ СТОКИ 2019'!BX9)</f>
        <v>0</v>
      </c>
      <c r="FK9" s="3251">
        <f>SUM(FK10:FK12)</f>
        <v>257.25</v>
      </c>
      <c r="FL9" s="3251">
        <f t="shared" ref="FL9:FM9" si="109">SUM(FL10:FL12)</f>
        <v>253.35</v>
      </c>
      <c r="FM9" s="3251">
        <f t="shared" si="109"/>
        <v>3.9</v>
      </c>
      <c r="FN9" s="3206">
        <f t="shared" ref="FN9:FN12" si="110">SUM(FO9:FP9)</f>
        <v>755.00091078952471</v>
      </c>
      <c r="FO9" s="3206">
        <f t="shared" ref="FO9:FO12" si="111">SUM(EN9+EW9+FF9)</f>
        <v>750.58424412285808</v>
      </c>
      <c r="FP9" s="3206">
        <f t="shared" ref="FP9:FP12" si="112">SUM(EO9+EX9+FG9)</f>
        <v>4.416666666666667</v>
      </c>
      <c r="FQ9" s="3206">
        <f t="shared" ref="FQ9:FQ12" si="113">SUM(FR9:FS9)</f>
        <v>0</v>
      </c>
      <c r="FR9" s="3206">
        <f t="shared" ref="FR9:FR12" si="114">SUM(EQ9+EZ9+FI9)</f>
        <v>0</v>
      </c>
      <c r="FS9" s="3206">
        <f t="shared" ref="FS9:FS12" si="115">SUM(ER9+FA9+FJ9)</f>
        <v>0</v>
      </c>
      <c r="FT9" s="3109">
        <f t="shared" ref="FT9:FT12" si="116">SUM(ES9+FB9+FK9)</f>
        <v>779.22</v>
      </c>
      <c r="FU9" s="3109">
        <f t="shared" ref="FU9:FU12" si="117">SUM(ET9+FC9+FL9)</f>
        <v>774.22</v>
      </c>
      <c r="FV9" s="3109">
        <f t="shared" ref="FV9:FV12" si="118">SUM(EU9+FD9+FM9)</f>
        <v>5</v>
      </c>
      <c r="FW9" s="3206">
        <f t="shared" ref="FW9:FW12" si="119">SUM(FX9:FY9)</f>
        <v>-755.00091078952471</v>
      </c>
      <c r="FX9" s="3212">
        <f t="shared" ref="FX9:FX12" si="120">SUM(FR9-FO9)</f>
        <v>-750.58424412285808</v>
      </c>
      <c r="FY9" s="3212">
        <f t="shared" ref="FY9:FY12" si="121">SUM(FS9-FP9)</f>
        <v>-4.416666666666667</v>
      </c>
      <c r="FZ9" s="3218">
        <f t="shared" ref="FZ9:FZ12" si="122">SUM(GA9:GB9)</f>
        <v>3020.0036431580988</v>
      </c>
      <c r="GA9" s="3218">
        <f>SUM(объемы!AX58)</f>
        <v>3002.3369764914323</v>
      </c>
      <c r="GB9" s="3218">
        <f>SUM(объемы!AY58)</f>
        <v>17.666666666666668</v>
      </c>
      <c r="GC9" s="3206">
        <f t="shared" ref="GC9:GC12" si="123">SUM(GD9:GE9)</f>
        <v>2322.4504999999999</v>
      </c>
      <c r="GD9" s="3219">
        <f t="shared" ref="GD9:GD12" si="124">SUM(EE9+FR9)</f>
        <v>2309.1210000000001</v>
      </c>
      <c r="GE9" s="3219">
        <f t="shared" ref="GE9:GE12" si="125">SUM(EF9+FS9)</f>
        <v>13.329499999999999</v>
      </c>
      <c r="GF9" s="3219">
        <f t="shared" ref="GF9:GF12" si="126">SUM(EG9+FT9)</f>
        <v>3150.37</v>
      </c>
      <c r="GG9" s="3219">
        <f t="shared" ref="GG9:GG12" si="127">SUM(EH9+FU9)</f>
        <v>3132.12</v>
      </c>
      <c r="GH9" s="3219">
        <f t="shared" ref="GH9:GH12" si="128">SUM(EI9+FV9)</f>
        <v>18.25</v>
      </c>
      <c r="GI9" s="3206">
        <f t="shared" ref="GI9:GI12" si="129">SUM(GJ9:GK9)</f>
        <v>-697.55314315809892</v>
      </c>
      <c r="GJ9" s="3220">
        <f t="shared" ref="GJ9:GJ12" si="130">SUM(GD9-GA9)</f>
        <v>-693.21597649143223</v>
      </c>
      <c r="GK9" s="3220">
        <f t="shared" ref="GK9:GK12" si="131">SUM(GE9-GB9)</f>
        <v>-4.3371666666666684</v>
      </c>
    </row>
    <row r="10" spans="1:193" ht="18.75" customHeight="1" x14ac:dyDescent="0.3">
      <c r="A10" s="3111" t="s">
        <v>261</v>
      </c>
      <c r="B10" s="3208">
        <f t="shared" si="24"/>
        <v>190</v>
      </c>
      <c r="C10" s="3208">
        <f t="shared" si="25"/>
        <v>190</v>
      </c>
      <c r="D10" s="3208">
        <f t="shared" si="26"/>
        <v>0</v>
      </c>
      <c r="E10" s="3208">
        <f t="shared" si="27"/>
        <v>208.13900000000001</v>
      </c>
      <c r="F10" s="3252">
        <f>SUM('ПОЛНАЯ СЕБЕСТОИМОСТЬ СТОКИ 2019'!F10)</f>
        <v>208.13900000000001</v>
      </c>
      <c r="G10" s="3252">
        <f>SUM('ПОЛНАЯ СЕБЕСТОИМОСТЬ СТОКИ 2019'!G10)</f>
        <v>0</v>
      </c>
      <c r="H10" s="3253">
        <v>209.85</v>
      </c>
      <c r="I10" s="3253">
        <f>SUM(H10)</f>
        <v>209.85</v>
      </c>
      <c r="J10" s="3253"/>
      <c r="K10" s="3208">
        <f>SUM(L10:M10)</f>
        <v>190</v>
      </c>
      <c r="L10" s="3208">
        <f t="shared" si="0"/>
        <v>190</v>
      </c>
      <c r="M10" s="3208">
        <f t="shared" si="0"/>
        <v>0</v>
      </c>
      <c r="N10" s="3208">
        <f t="shared" si="29"/>
        <v>194.65</v>
      </c>
      <c r="O10" s="3252">
        <f>SUM('ПОЛНАЯ СЕБЕСТОИМОСТЬ СТОКИ 2019'!I10)</f>
        <v>194.65</v>
      </c>
      <c r="P10" s="3252">
        <f>SUM('ПОЛНАЯ СЕБЕСТОИМОСТЬ СТОКИ 2019'!J10)</f>
        <v>0</v>
      </c>
      <c r="Q10" s="3253">
        <v>199.96</v>
      </c>
      <c r="R10" s="3253">
        <f>SUM(Q10)</f>
        <v>199.96</v>
      </c>
      <c r="S10" s="3253"/>
      <c r="T10" s="3208">
        <f>SUM(U10:V10)</f>
        <v>190</v>
      </c>
      <c r="U10" s="3208">
        <f t="shared" si="1"/>
        <v>190</v>
      </c>
      <c r="V10" s="3208">
        <f t="shared" si="1"/>
        <v>0</v>
      </c>
      <c r="W10" s="3208">
        <f t="shared" si="31"/>
        <v>188.65</v>
      </c>
      <c r="X10" s="3252">
        <f>SUM('ПОЛНАЯ СЕБЕСТОИМОСТЬ СТОКИ 2019'!L10)</f>
        <v>188.65</v>
      </c>
      <c r="Y10" s="3252">
        <f>SUM('ПОЛНАЯ СЕБЕСТОИМОСТЬ СТОКИ 2019'!M10)</f>
        <v>0</v>
      </c>
      <c r="Z10" s="3253">
        <v>197.46</v>
      </c>
      <c r="AA10" s="3253">
        <f>SUM(Z10)</f>
        <v>197.46</v>
      </c>
      <c r="AB10" s="3253"/>
      <c r="AC10" s="3209">
        <f t="shared" si="33"/>
        <v>570</v>
      </c>
      <c r="AD10" s="3209">
        <f t="shared" si="34"/>
        <v>570</v>
      </c>
      <c r="AE10" s="3209">
        <f t="shared" si="35"/>
        <v>0</v>
      </c>
      <c r="AF10" s="3209">
        <f t="shared" si="36"/>
        <v>591.43899999999996</v>
      </c>
      <c r="AG10" s="3209">
        <f t="shared" si="37"/>
        <v>591.43899999999996</v>
      </c>
      <c r="AH10" s="3209">
        <f t="shared" si="38"/>
        <v>0</v>
      </c>
      <c r="AI10" s="3114">
        <f t="shared" si="39"/>
        <v>607.27</v>
      </c>
      <c r="AJ10" s="3114">
        <f t="shared" si="40"/>
        <v>607.27</v>
      </c>
      <c r="AK10" s="3114">
        <f t="shared" si="41"/>
        <v>0</v>
      </c>
      <c r="AL10" s="3209">
        <f t="shared" si="42"/>
        <v>21.438999999999965</v>
      </c>
      <c r="AM10" s="3209">
        <f t="shared" si="43"/>
        <v>21.438999999999965</v>
      </c>
      <c r="AN10" s="3209">
        <f t="shared" si="44"/>
        <v>0</v>
      </c>
      <c r="AO10" s="3208">
        <f>SUM(AP10:AQ10)</f>
        <v>190</v>
      </c>
      <c r="AP10" s="3208">
        <f t="shared" si="3"/>
        <v>190</v>
      </c>
      <c r="AQ10" s="3208">
        <f t="shared" si="3"/>
        <v>0</v>
      </c>
      <c r="AR10" s="3208">
        <f t="shared" si="45"/>
        <v>194.28100000000001</v>
      </c>
      <c r="AS10" s="3252">
        <f>SUM('ПОЛНАЯ СЕБЕСТОИМОСТЬ СТОКИ 2019'!U10)</f>
        <v>194.28100000000001</v>
      </c>
      <c r="AT10" s="3252">
        <f>SUM('ПОЛНАЯ СЕБЕСТОИМОСТЬ СТОКИ 2019'!V10)</f>
        <v>0</v>
      </c>
      <c r="AU10" s="3253">
        <v>206.13</v>
      </c>
      <c r="AV10" s="3253">
        <f>SUM(AU10)</f>
        <v>206.13</v>
      </c>
      <c r="AW10" s="3253"/>
      <c r="AX10" s="3208">
        <f>SUM(AY10:AZ10)</f>
        <v>190</v>
      </c>
      <c r="AY10" s="3208">
        <f t="shared" si="4"/>
        <v>190</v>
      </c>
      <c r="AZ10" s="3208">
        <f t="shared" si="4"/>
        <v>0</v>
      </c>
      <c r="BA10" s="3208">
        <f t="shared" si="47"/>
        <v>196.55900000000003</v>
      </c>
      <c r="BB10" s="3252">
        <f>SUM('ПОЛНАЯ СЕБЕСТОИМОСТЬ СТОКИ 2019'!X10)</f>
        <v>196.55900000000003</v>
      </c>
      <c r="BC10" s="3252">
        <f>SUM('ПОЛНАЯ СЕБЕСТОИМОСТЬ СТОКИ 2019'!Y10)</f>
        <v>0</v>
      </c>
      <c r="BD10" s="3253">
        <v>199.51</v>
      </c>
      <c r="BE10" s="3253">
        <f>SUM(BD10)</f>
        <v>199.51</v>
      </c>
      <c r="BF10" s="3253"/>
      <c r="BG10" s="3208">
        <f>SUM(BH10:BI10)</f>
        <v>190</v>
      </c>
      <c r="BH10" s="3208">
        <f t="shared" si="5"/>
        <v>190</v>
      </c>
      <c r="BI10" s="3208">
        <f t="shared" si="5"/>
        <v>0</v>
      </c>
      <c r="BJ10" s="3208">
        <f t="shared" si="49"/>
        <v>190.40799999999999</v>
      </c>
      <c r="BK10" s="3252">
        <f>SUM('ПОЛНАЯ СЕБЕСТОИМОСТЬ СТОКИ 2019'!AA10)</f>
        <v>190.40799999999999</v>
      </c>
      <c r="BL10" s="3252">
        <f>SUM('ПОЛНАЯ СЕБЕСТОИМОСТЬ СТОКИ 2019'!AB10)</f>
        <v>0</v>
      </c>
      <c r="BM10" s="3253">
        <v>213.38</v>
      </c>
      <c r="BN10" s="3253">
        <f>SUM(BM10)</f>
        <v>213.38</v>
      </c>
      <c r="BO10" s="3253"/>
      <c r="BP10" s="3209">
        <f t="shared" si="51"/>
        <v>570</v>
      </c>
      <c r="BQ10" s="3209">
        <f t="shared" si="52"/>
        <v>570</v>
      </c>
      <c r="BR10" s="3209">
        <f t="shared" si="53"/>
        <v>0</v>
      </c>
      <c r="BS10" s="3209">
        <f t="shared" si="54"/>
        <v>581.24800000000005</v>
      </c>
      <c r="BT10" s="3209">
        <f t="shared" si="55"/>
        <v>581.24800000000005</v>
      </c>
      <c r="BU10" s="3209">
        <f t="shared" si="56"/>
        <v>0</v>
      </c>
      <c r="BV10" s="3114">
        <f t="shared" si="57"/>
        <v>619.02</v>
      </c>
      <c r="BW10" s="3209">
        <f t="shared" si="58"/>
        <v>619.02</v>
      </c>
      <c r="BX10" s="3209">
        <f t="shared" si="59"/>
        <v>0</v>
      </c>
      <c r="BY10" s="3209">
        <f t="shared" si="60"/>
        <v>11.248000000000047</v>
      </c>
      <c r="BZ10" s="3209">
        <f t="shared" si="61"/>
        <v>11.248000000000047</v>
      </c>
      <c r="CA10" s="3209">
        <f t="shared" si="62"/>
        <v>0</v>
      </c>
      <c r="CB10" s="3209">
        <f t="shared" si="63"/>
        <v>1140</v>
      </c>
      <c r="CC10" s="3209">
        <f t="shared" si="64"/>
        <v>1140</v>
      </c>
      <c r="CD10" s="3209">
        <f t="shared" si="65"/>
        <v>0</v>
      </c>
      <c r="CE10" s="3209">
        <f t="shared" ref="CE10:CE12" si="132">SUM(CF10:CG10)</f>
        <v>1172.6869999999999</v>
      </c>
      <c r="CF10" s="3209">
        <f t="shared" si="66"/>
        <v>1172.6869999999999</v>
      </c>
      <c r="CG10" s="3209">
        <f t="shared" si="67"/>
        <v>0</v>
      </c>
      <c r="CH10" s="3114">
        <f t="shared" si="68"/>
        <v>1226.29</v>
      </c>
      <c r="CI10" s="3114">
        <f t="shared" si="69"/>
        <v>1226.29</v>
      </c>
      <c r="CJ10" s="3114">
        <f t="shared" si="70"/>
        <v>0</v>
      </c>
      <c r="CK10" s="3209">
        <f t="shared" si="71"/>
        <v>32.686999999999898</v>
      </c>
      <c r="CL10" s="3213">
        <f t="shared" si="72"/>
        <v>32.686999999999898</v>
      </c>
      <c r="CM10" s="3213">
        <f t="shared" si="73"/>
        <v>0</v>
      </c>
      <c r="CN10" s="3208">
        <f>SUM(CO10:CP10)</f>
        <v>190</v>
      </c>
      <c r="CO10" s="3208">
        <f t="shared" si="9"/>
        <v>190</v>
      </c>
      <c r="CP10" s="3208">
        <f t="shared" si="9"/>
        <v>0</v>
      </c>
      <c r="CQ10" s="3208">
        <f t="shared" si="74"/>
        <v>186.721</v>
      </c>
      <c r="CR10" s="3252">
        <f>SUM('ПОЛНАЯ СЕБЕСТОИМОСТЬ СТОКИ 2019'!AS10)</f>
        <v>186.721</v>
      </c>
      <c r="CS10" s="3252">
        <f>SUM('ПОЛНАЯ СЕБЕСТОИМОСТЬ СТОКИ 2019'!AT10)</f>
        <v>0</v>
      </c>
      <c r="CT10" s="3253">
        <v>185.22</v>
      </c>
      <c r="CU10" s="3253">
        <f>SUM(CT10)</f>
        <v>185.22</v>
      </c>
      <c r="CV10" s="3253"/>
      <c r="CW10" s="3208">
        <f>SUM(CX10:CY10)</f>
        <v>190</v>
      </c>
      <c r="CX10" s="3208">
        <f t="shared" si="10"/>
        <v>190</v>
      </c>
      <c r="CY10" s="3208">
        <f t="shared" si="10"/>
        <v>0</v>
      </c>
      <c r="CZ10" s="3208">
        <f t="shared" si="76"/>
        <v>217.06299999999999</v>
      </c>
      <c r="DA10" s="3252">
        <f>SUM('ПОЛНАЯ СЕБЕСТОИМОСТЬ СТОКИ 2019'!AV10)</f>
        <v>217.06299999999999</v>
      </c>
      <c r="DB10" s="3252">
        <f>SUM('ПОЛНАЯ СЕБЕСТОИМОСТЬ СТОКИ 2019'!AW10)</f>
        <v>0</v>
      </c>
      <c r="DC10" s="3253">
        <v>203.57</v>
      </c>
      <c r="DD10" s="3253">
        <f>SUM(DC10)</f>
        <v>203.57</v>
      </c>
      <c r="DE10" s="3253"/>
      <c r="DF10" s="3208">
        <f>SUM(DG10:DH10)</f>
        <v>190</v>
      </c>
      <c r="DG10" s="3208">
        <f t="shared" si="11"/>
        <v>190</v>
      </c>
      <c r="DH10" s="3208">
        <f t="shared" si="11"/>
        <v>0</v>
      </c>
      <c r="DI10" s="3208">
        <f t="shared" si="78"/>
        <v>173.76599999999999</v>
      </c>
      <c r="DJ10" s="3252">
        <f>SUM('ПОЛНАЯ СЕБЕСТОИМОСТЬ СТОКИ 2019'!AY10)</f>
        <v>173.76599999999999</v>
      </c>
      <c r="DK10" s="3252">
        <f>SUM('ПОЛНАЯ СЕБЕСТОИМОСТЬ СТОКИ 2019'!AZ10)</f>
        <v>0</v>
      </c>
      <c r="DL10" s="3253">
        <v>190.82</v>
      </c>
      <c r="DM10" s="3253">
        <f>SUM(DL10)</f>
        <v>190.82</v>
      </c>
      <c r="DN10" s="3253"/>
      <c r="DO10" s="3209">
        <f t="shared" si="80"/>
        <v>570</v>
      </c>
      <c r="DP10" s="3209">
        <f t="shared" si="81"/>
        <v>570</v>
      </c>
      <c r="DQ10" s="3209">
        <f t="shared" si="82"/>
        <v>0</v>
      </c>
      <c r="DR10" s="3209">
        <f t="shared" si="83"/>
        <v>577.54999999999995</v>
      </c>
      <c r="DS10" s="3209">
        <f t="shared" si="84"/>
        <v>577.54999999999995</v>
      </c>
      <c r="DT10" s="3209">
        <f t="shared" si="85"/>
        <v>0</v>
      </c>
      <c r="DU10" s="3114">
        <f t="shared" si="86"/>
        <v>579.6099999999999</v>
      </c>
      <c r="DV10" s="3209">
        <f t="shared" si="87"/>
        <v>579.6099999999999</v>
      </c>
      <c r="DW10" s="3209">
        <f t="shared" si="88"/>
        <v>0</v>
      </c>
      <c r="DX10" s="3209">
        <f t="shared" si="89"/>
        <v>7.5499999999999545</v>
      </c>
      <c r="DY10" s="3213">
        <f t="shared" si="90"/>
        <v>7.5499999999999545</v>
      </c>
      <c r="DZ10" s="3213">
        <f t="shared" si="91"/>
        <v>0</v>
      </c>
      <c r="EA10" s="3209">
        <f t="shared" si="92"/>
        <v>1710</v>
      </c>
      <c r="EB10" s="3209">
        <f t="shared" si="93"/>
        <v>1710</v>
      </c>
      <c r="EC10" s="3209">
        <f t="shared" si="94"/>
        <v>0</v>
      </c>
      <c r="ED10" s="3209">
        <f t="shared" si="95"/>
        <v>1750.2369999999999</v>
      </c>
      <c r="EE10" s="3209">
        <f t="shared" si="96"/>
        <v>1750.2369999999999</v>
      </c>
      <c r="EF10" s="3209">
        <f t="shared" si="97"/>
        <v>0</v>
      </c>
      <c r="EG10" s="3209">
        <f t="shared" si="98"/>
        <v>1805.8999999999999</v>
      </c>
      <c r="EH10" s="3209">
        <f t="shared" si="99"/>
        <v>1805.8999999999999</v>
      </c>
      <c r="EI10" s="3209">
        <f t="shared" si="100"/>
        <v>0</v>
      </c>
      <c r="EJ10" s="3209">
        <f t="shared" si="101"/>
        <v>40.236999999999853</v>
      </c>
      <c r="EK10" s="3213">
        <f t="shared" si="102"/>
        <v>40.236999999999853</v>
      </c>
      <c r="EL10" s="3213">
        <f t="shared" si="103"/>
        <v>0</v>
      </c>
      <c r="EM10" s="3208">
        <f>SUM(EN10:EO10)</f>
        <v>190</v>
      </c>
      <c r="EN10" s="3208">
        <f t="shared" si="16"/>
        <v>190</v>
      </c>
      <c r="EO10" s="3208">
        <f t="shared" si="16"/>
        <v>0</v>
      </c>
      <c r="EP10" s="3208">
        <f t="shared" si="104"/>
        <v>0</v>
      </c>
      <c r="EQ10" s="3252">
        <f>SUM('ПОЛНАЯ СЕБЕСТОИМОСТЬ СТОКИ 2019'!BQ10)</f>
        <v>0</v>
      </c>
      <c r="ER10" s="3252">
        <f>SUM('ПОЛНАЯ СЕБЕСТОИМОСТЬ СТОКИ 2019'!BR10)</f>
        <v>0</v>
      </c>
      <c r="ES10" s="3253">
        <v>200.35</v>
      </c>
      <c r="ET10" s="3253">
        <f>SUM(ES10)</f>
        <v>200.35</v>
      </c>
      <c r="EU10" s="3253"/>
      <c r="EV10" s="3208">
        <f>SUM(EW10:EX10)</f>
        <v>190</v>
      </c>
      <c r="EW10" s="3208">
        <f t="shared" si="17"/>
        <v>190</v>
      </c>
      <c r="EX10" s="3208">
        <f t="shared" si="17"/>
        <v>0</v>
      </c>
      <c r="EY10" s="3208">
        <f t="shared" si="106"/>
        <v>0</v>
      </c>
      <c r="EZ10" s="3252">
        <f>SUM('ПОЛНАЯ СЕБЕСТОИМОСТЬ СТОКИ 2019'!BT10)</f>
        <v>0</v>
      </c>
      <c r="FA10" s="3252">
        <f>SUM('ПОЛНАЯ СЕБЕСТОИМОСТЬ СТОКИ 2019'!BU10)</f>
        <v>0</v>
      </c>
      <c r="FB10" s="3253">
        <v>191.89</v>
      </c>
      <c r="FC10" s="3253">
        <f>SUM(FB10)</f>
        <v>191.89</v>
      </c>
      <c r="FD10" s="3253"/>
      <c r="FE10" s="3208">
        <f>SUM(FF10:FG10)</f>
        <v>190</v>
      </c>
      <c r="FF10" s="3208">
        <f t="shared" si="18"/>
        <v>190</v>
      </c>
      <c r="FG10" s="3208">
        <f t="shared" si="18"/>
        <v>0</v>
      </c>
      <c r="FH10" s="3208">
        <f t="shared" si="108"/>
        <v>0</v>
      </c>
      <c r="FI10" s="3252">
        <f>SUM('ПОЛНАЯ СЕБЕСТОИМОСТЬ СТОКИ 2019'!BW10)</f>
        <v>0</v>
      </c>
      <c r="FJ10" s="3252">
        <f>SUM('ПОЛНАЯ СЕБЕСТОИМОСТЬ СТОКИ 2019'!BX10)</f>
        <v>0</v>
      </c>
      <c r="FK10" s="3253">
        <v>186.78</v>
      </c>
      <c r="FL10" s="3253">
        <f>SUM(FK10)</f>
        <v>186.78</v>
      </c>
      <c r="FM10" s="3253"/>
      <c r="FN10" s="3209">
        <f t="shared" si="110"/>
        <v>570</v>
      </c>
      <c r="FO10" s="3209">
        <f t="shared" si="111"/>
        <v>570</v>
      </c>
      <c r="FP10" s="3209">
        <f t="shared" si="112"/>
        <v>0</v>
      </c>
      <c r="FQ10" s="3209">
        <f t="shared" si="113"/>
        <v>0</v>
      </c>
      <c r="FR10" s="3209">
        <f t="shared" si="114"/>
        <v>0</v>
      </c>
      <c r="FS10" s="3209">
        <f t="shared" si="115"/>
        <v>0</v>
      </c>
      <c r="FT10" s="3114">
        <f t="shared" si="116"/>
        <v>579.02</v>
      </c>
      <c r="FU10" s="3114">
        <f t="shared" si="117"/>
        <v>579.02</v>
      </c>
      <c r="FV10" s="3114">
        <f t="shared" si="118"/>
        <v>0</v>
      </c>
      <c r="FW10" s="3209">
        <f t="shared" si="119"/>
        <v>-570</v>
      </c>
      <c r="FX10" s="3213">
        <f t="shared" si="120"/>
        <v>-570</v>
      </c>
      <c r="FY10" s="3213">
        <f t="shared" si="121"/>
        <v>0</v>
      </c>
      <c r="FZ10" s="3221">
        <f t="shared" si="122"/>
        <v>2280</v>
      </c>
      <c r="GA10" s="3221">
        <f>SUM(объемы!AX59)</f>
        <v>2280</v>
      </c>
      <c r="GB10" s="3221">
        <v>0</v>
      </c>
      <c r="GC10" s="3209">
        <f t="shared" si="123"/>
        <v>1750.2369999999999</v>
      </c>
      <c r="GD10" s="3222">
        <f t="shared" si="124"/>
        <v>1750.2369999999999</v>
      </c>
      <c r="GE10" s="3222">
        <f t="shared" si="125"/>
        <v>0</v>
      </c>
      <c r="GF10" s="3222">
        <f t="shared" si="126"/>
        <v>2384.92</v>
      </c>
      <c r="GG10" s="3222">
        <f t="shared" si="127"/>
        <v>2384.92</v>
      </c>
      <c r="GH10" s="3222">
        <f t="shared" si="128"/>
        <v>0</v>
      </c>
      <c r="GI10" s="3209">
        <f t="shared" si="129"/>
        <v>-529.76300000000015</v>
      </c>
      <c r="GJ10" s="3223">
        <f t="shared" si="130"/>
        <v>-529.76300000000015</v>
      </c>
      <c r="GK10" s="3223">
        <f t="shared" si="131"/>
        <v>0</v>
      </c>
    </row>
    <row r="11" spans="1:193" ht="18.75" customHeight="1" x14ac:dyDescent="0.3">
      <c r="A11" s="3111" t="s">
        <v>3675</v>
      </c>
      <c r="B11" s="3208">
        <f t="shared" si="24"/>
        <v>1.4722222222222223</v>
      </c>
      <c r="C11" s="3208">
        <f>SUM(GA11/12)</f>
        <v>0</v>
      </c>
      <c r="D11" s="3208">
        <f t="shared" si="26"/>
        <v>1.4722222222222223</v>
      </c>
      <c r="E11" s="3208">
        <f t="shared" si="27"/>
        <v>0.20250000000000001</v>
      </c>
      <c r="F11" s="3252">
        <f>SUM('ПОЛНАЯ СЕБЕСТОИМОСТЬ СТОКИ 2019'!F11)</f>
        <v>0</v>
      </c>
      <c r="G11" s="3252">
        <f>SUM('ПОЛНАЯ СЕБЕСТОИМОСТЬ СТОКИ 2019'!G11)</f>
        <v>0.20250000000000001</v>
      </c>
      <c r="H11" s="3253">
        <v>0.24</v>
      </c>
      <c r="I11" s="3253"/>
      <c r="J11" s="3253">
        <f>SUM(H11)</f>
        <v>0.24</v>
      </c>
      <c r="K11" s="3208">
        <f>SUM(L11:M11)</f>
        <v>1.4722222222222223</v>
      </c>
      <c r="L11" s="3208">
        <f t="shared" si="0"/>
        <v>0</v>
      </c>
      <c r="M11" s="3208">
        <f t="shared" si="0"/>
        <v>1.4722222222222223</v>
      </c>
      <c r="N11" s="3208">
        <f t="shared" si="29"/>
        <v>0.17299999999999999</v>
      </c>
      <c r="O11" s="3252">
        <f>SUM('ПОЛНАЯ СЕБЕСТОИМОСТЬ СТОКИ 2019'!I11)</f>
        <v>0</v>
      </c>
      <c r="P11" s="3252">
        <f>SUM('ПОЛНАЯ СЕБЕСТОИМОСТЬ СТОКИ 2019'!J11)</f>
        <v>0.17299999999999999</v>
      </c>
      <c r="Q11" s="3253">
        <v>0.19</v>
      </c>
      <c r="R11" s="3253"/>
      <c r="S11" s="3253">
        <f>SUM(Q11)</f>
        <v>0.19</v>
      </c>
      <c r="T11" s="3208">
        <f>SUM(U11:V11)</f>
        <v>1.4722222222222223</v>
      </c>
      <c r="U11" s="3208">
        <f t="shared" si="1"/>
        <v>0</v>
      </c>
      <c r="V11" s="3208">
        <f t="shared" si="1"/>
        <v>1.4722222222222223</v>
      </c>
      <c r="W11" s="3208">
        <f t="shared" si="31"/>
        <v>3.68</v>
      </c>
      <c r="X11" s="3252">
        <f>SUM('ПОЛНАЯ СЕБЕСТОИМОСТЬ СТОКИ 2019'!L11)</f>
        <v>0</v>
      </c>
      <c r="Y11" s="3252">
        <f>SUM('ПОЛНАЯ СЕБЕСТОИМОСТЬ СТОКИ 2019'!M11)</f>
        <v>3.68</v>
      </c>
      <c r="Z11" s="3253">
        <v>3.68</v>
      </c>
      <c r="AA11" s="3253"/>
      <c r="AB11" s="3253">
        <f>SUM(Z11)</f>
        <v>3.68</v>
      </c>
      <c r="AC11" s="3209">
        <f t="shared" si="33"/>
        <v>4.416666666666667</v>
      </c>
      <c r="AD11" s="3209">
        <f t="shared" si="34"/>
        <v>0</v>
      </c>
      <c r="AE11" s="3209">
        <f t="shared" si="35"/>
        <v>4.416666666666667</v>
      </c>
      <c r="AF11" s="3209">
        <f t="shared" si="36"/>
        <v>4.0555000000000003</v>
      </c>
      <c r="AG11" s="3209">
        <f t="shared" si="37"/>
        <v>0</v>
      </c>
      <c r="AH11" s="3209">
        <f t="shared" si="38"/>
        <v>4.0555000000000003</v>
      </c>
      <c r="AI11" s="3114">
        <f t="shared" si="39"/>
        <v>4.1100000000000003</v>
      </c>
      <c r="AJ11" s="3114">
        <f t="shared" si="40"/>
        <v>0</v>
      </c>
      <c r="AK11" s="3114">
        <f t="shared" si="41"/>
        <v>4.1100000000000003</v>
      </c>
      <c r="AL11" s="3209">
        <f t="shared" si="42"/>
        <v>-0.36116666666666664</v>
      </c>
      <c r="AM11" s="3209">
        <f t="shared" si="43"/>
        <v>0</v>
      </c>
      <c r="AN11" s="3209">
        <f t="shared" si="44"/>
        <v>-0.36116666666666664</v>
      </c>
      <c r="AO11" s="3208">
        <f>SUM(AP11:AQ11)</f>
        <v>1.4722222222222223</v>
      </c>
      <c r="AP11" s="3208">
        <f t="shared" si="3"/>
        <v>0</v>
      </c>
      <c r="AQ11" s="3208">
        <f t="shared" si="3"/>
        <v>1.4722222222222223</v>
      </c>
      <c r="AR11" s="3208">
        <f t="shared" si="45"/>
        <v>0.3</v>
      </c>
      <c r="AS11" s="3252">
        <f>SUM('ПОЛНАЯ СЕБЕСТОИМОСТЬ СТОКИ 2019'!U11)</f>
        <v>0</v>
      </c>
      <c r="AT11" s="3252">
        <f>SUM('ПОЛНАЯ СЕБЕСТОИМОСТЬ СТОКИ 2019'!V11)</f>
        <v>0.3</v>
      </c>
      <c r="AU11" s="3253">
        <v>0.26</v>
      </c>
      <c r="AV11" s="3253"/>
      <c r="AW11" s="3253">
        <f>SUM(AU11)</f>
        <v>0.26</v>
      </c>
      <c r="AX11" s="3208">
        <f>SUM(AY11:AZ11)</f>
        <v>1.4722222222222223</v>
      </c>
      <c r="AY11" s="3208">
        <f t="shared" si="4"/>
        <v>0</v>
      </c>
      <c r="AZ11" s="3208">
        <f t="shared" si="4"/>
        <v>1.4722222222222223</v>
      </c>
      <c r="BA11" s="3208">
        <f t="shared" si="47"/>
        <v>0.51</v>
      </c>
      <c r="BB11" s="3252">
        <f>SUM('ПОЛНАЯ СЕБЕСТОИМОСТЬ СТОКИ 2019'!X11)</f>
        <v>0</v>
      </c>
      <c r="BC11" s="3252">
        <f>SUM('ПОЛНАЯ СЕБЕСТОИМОСТЬ СТОКИ 2019'!Y11)</f>
        <v>0.51</v>
      </c>
      <c r="BD11" s="3253">
        <v>0.59</v>
      </c>
      <c r="BE11" s="3253"/>
      <c r="BF11" s="3253">
        <f>SUM(BD11)</f>
        <v>0.59</v>
      </c>
      <c r="BG11" s="3208">
        <f>SUM(BH11:BI11)</f>
        <v>1.4722222222222223</v>
      </c>
      <c r="BH11" s="3208">
        <f t="shared" si="5"/>
        <v>0</v>
      </c>
      <c r="BI11" s="3208">
        <f t="shared" si="5"/>
        <v>1.4722222222222223</v>
      </c>
      <c r="BJ11" s="3208">
        <f t="shared" si="49"/>
        <v>3.8660000000000001</v>
      </c>
      <c r="BK11" s="3252">
        <f>SUM('ПОЛНАЯ СЕБЕСТОИМОСТЬ СТОКИ 2019'!AA11)</f>
        <v>0</v>
      </c>
      <c r="BL11" s="3252">
        <f>SUM('ПОЛНАЯ СЕБЕСТОИМОСТЬ СТОКИ 2019'!AB11)</f>
        <v>3.8660000000000001</v>
      </c>
      <c r="BM11" s="3253">
        <v>3.75</v>
      </c>
      <c r="BN11" s="3253"/>
      <c r="BO11" s="3253">
        <f>SUM(BM11)</f>
        <v>3.75</v>
      </c>
      <c r="BP11" s="3209">
        <f t="shared" si="51"/>
        <v>4.416666666666667</v>
      </c>
      <c r="BQ11" s="3209">
        <f t="shared" si="52"/>
        <v>0</v>
      </c>
      <c r="BR11" s="3209">
        <f t="shared" si="53"/>
        <v>4.416666666666667</v>
      </c>
      <c r="BS11" s="3209">
        <f t="shared" si="54"/>
        <v>4.6760000000000002</v>
      </c>
      <c r="BT11" s="3209">
        <f t="shared" si="55"/>
        <v>0</v>
      </c>
      <c r="BU11" s="3209">
        <f t="shared" si="56"/>
        <v>4.6760000000000002</v>
      </c>
      <c r="BV11" s="3114">
        <f t="shared" si="57"/>
        <v>4.5999999999999996</v>
      </c>
      <c r="BW11" s="3209">
        <f t="shared" si="58"/>
        <v>0</v>
      </c>
      <c r="BX11" s="3209">
        <f t="shared" si="59"/>
        <v>4.5999999999999996</v>
      </c>
      <c r="BY11" s="3209">
        <f t="shared" si="60"/>
        <v>0.25933333333333319</v>
      </c>
      <c r="BZ11" s="3209">
        <f t="shared" si="61"/>
        <v>0</v>
      </c>
      <c r="CA11" s="3209">
        <f t="shared" si="62"/>
        <v>0.25933333333333319</v>
      </c>
      <c r="CB11" s="3209">
        <f t="shared" si="63"/>
        <v>8.8333333333333339</v>
      </c>
      <c r="CC11" s="3209">
        <f t="shared" si="64"/>
        <v>0</v>
      </c>
      <c r="CD11" s="3209">
        <f t="shared" si="65"/>
        <v>8.8333333333333339</v>
      </c>
      <c r="CE11" s="3209">
        <f t="shared" si="132"/>
        <v>8.7315000000000005</v>
      </c>
      <c r="CF11" s="3209">
        <f t="shared" si="66"/>
        <v>0</v>
      </c>
      <c r="CG11" s="3209">
        <f t="shared" si="67"/>
        <v>8.7315000000000005</v>
      </c>
      <c r="CH11" s="3114">
        <f t="shared" si="68"/>
        <v>8.7100000000000009</v>
      </c>
      <c r="CI11" s="3114">
        <f t="shared" si="69"/>
        <v>0</v>
      </c>
      <c r="CJ11" s="3114">
        <f t="shared" si="70"/>
        <v>8.7100000000000009</v>
      </c>
      <c r="CK11" s="3209">
        <f t="shared" si="71"/>
        <v>-0.10183333333333344</v>
      </c>
      <c r="CL11" s="3213">
        <f t="shared" si="72"/>
        <v>0</v>
      </c>
      <c r="CM11" s="3213">
        <f t="shared" si="73"/>
        <v>-0.10183333333333344</v>
      </c>
      <c r="CN11" s="3208">
        <f>SUM(CO11:CP11)</f>
        <v>1.4722222222222223</v>
      </c>
      <c r="CO11" s="3208">
        <f t="shared" si="9"/>
        <v>0</v>
      </c>
      <c r="CP11" s="3208">
        <f t="shared" si="9"/>
        <v>1.4722222222222223</v>
      </c>
      <c r="CQ11" s="3208">
        <f t="shared" si="74"/>
        <v>0.311</v>
      </c>
      <c r="CR11" s="3252">
        <f>SUM('ПОЛНАЯ СЕБЕСТОИМОСТЬ СТОКИ 2019'!AS11)</f>
        <v>0</v>
      </c>
      <c r="CS11" s="3252">
        <f>SUM('ПОЛНАЯ СЕБЕСТОИМОСТЬ СТОКИ 2019'!AT11)</f>
        <v>0.311</v>
      </c>
      <c r="CT11" s="3253">
        <v>0.34</v>
      </c>
      <c r="CU11" s="3253"/>
      <c r="CV11" s="3253">
        <f>SUM(CT11)</f>
        <v>0.34</v>
      </c>
      <c r="CW11" s="3208">
        <f>SUM(CX11:CY11)</f>
        <v>1.4722222222222223</v>
      </c>
      <c r="CX11" s="3208">
        <f t="shared" si="10"/>
        <v>0</v>
      </c>
      <c r="CY11" s="3208">
        <f t="shared" si="10"/>
        <v>1.4722222222222223</v>
      </c>
      <c r="CZ11" s="3208">
        <f t="shared" si="76"/>
        <v>0.379</v>
      </c>
      <c r="DA11" s="3252">
        <f>SUM('ПОЛНАЯ СЕБЕСТОИМОСТЬ СТОКИ 2019'!AV11)</f>
        <v>0</v>
      </c>
      <c r="DB11" s="3252">
        <f>SUM('ПОЛНАЯ СЕБЕСТОИМОСТЬ СТОКИ 2019'!AW11)</f>
        <v>0.379</v>
      </c>
      <c r="DC11" s="3253">
        <v>0.52</v>
      </c>
      <c r="DD11" s="3253"/>
      <c r="DE11" s="3253">
        <f>SUM(DC11)</f>
        <v>0.52</v>
      </c>
      <c r="DF11" s="3208">
        <f>SUM(DG11:DH11)</f>
        <v>1.4722222222222223</v>
      </c>
      <c r="DG11" s="3208">
        <f t="shared" si="11"/>
        <v>0</v>
      </c>
      <c r="DH11" s="3208">
        <f t="shared" si="11"/>
        <v>1.4722222222222223</v>
      </c>
      <c r="DI11" s="3208">
        <f t="shared" si="78"/>
        <v>3.9079999999999999</v>
      </c>
      <c r="DJ11" s="3252">
        <f>SUM('ПОЛНАЯ СЕБЕСТОИМОСТЬ СТОКИ 2019'!AY11)</f>
        <v>0</v>
      </c>
      <c r="DK11" s="3252">
        <f>SUM('ПОЛНАЯ СЕБЕСТОИМОСТЬ СТОКИ 2019'!AZ11)</f>
        <v>3.9079999999999999</v>
      </c>
      <c r="DL11" s="3253">
        <v>3.68</v>
      </c>
      <c r="DM11" s="3253"/>
      <c r="DN11" s="3253">
        <f>SUM(DL11)</f>
        <v>3.68</v>
      </c>
      <c r="DO11" s="3209">
        <f t="shared" si="80"/>
        <v>4.416666666666667</v>
      </c>
      <c r="DP11" s="3209">
        <f t="shared" si="81"/>
        <v>0</v>
      </c>
      <c r="DQ11" s="3209">
        <f t="shared" si="82"/>
        <v>4.416666666666667</v>
      </c>
      <c r="DR11" s="3209">
        <f t="shared" si="83"/>
        <v>4.5979999999999999</v>
      </c>
      <c r="DS11" s="3209">
        <f t="shared" si="84"/>
        <v>0</v>
      </c>
      <c r="DT11" s="3209">
        <f t="shared" si="85"/>
        <v>4.5979999999999999</v>
      </c>
      <c r="DU11" s="3114">
        <f t="shared" si="86"/>
        <v>4.54</v>
      </c>
      <c r="DV11" s="3209">
        <f t="shared" si="87"/>
        <v>0</v>
      </c>
      <c r="DW11" s="3209">
        <f t="shared" si="88"/>
        <v>4.54</v>
      </c>
      <c r="DX11" s="3209">
        <f t="shared" si="89"/>
        <v>0.1813333333333329</v>
      </c>
      <c r="DY11" s="3213">
        <f t="shared" si="90"/>
        <v>0</v>
      </c>
      <c r="DZ11" s="3213">
        <f t="shared" si="91"/>
        <v>0.1813333333333329</v>
      </c>
      <c r="EA11" s="3209">
        <f t="shared" si="92"/>
        <v>13.25</v>
      </c>
      <c r="EB11" s="3209">
        <f t="shared" si="93"/>
        <v>0</v>
      </c>
      <c r="EC11" s="3209">
        <f t="shared" si="94"/>
        <v>13.25</v>
      </c>
      <c r="ED11" s="3209">
        <f t="shared" si="95"/>
        <v>13.329499999999999</v>
      </c>
      <c r="EE11" s="3209">
        <f t="shared" si="96"/>
        <v>0</v>
      </c>
      <c r="EF11" s="3209">
        <f t="shared" si="97"/>
        <v>13.329499999999999</v>
      </c>
      <c r="EG11" s="3209">
        <f t="shared" si="98"/>
        <v>13.25</v>
      </c>
      <c r="EH11" s="3209">
        <f t="shared" si="99"/>
        <v>0</v>
      </c>
      <c r="EI11" s="3209">
        <f t="shared" si="100"/>
        <v>13.25</v>
      </c>
      <c r="EJ11" s="3209">
        <f t="shared" si="101"/>
        <v>7.949999999999946E-2</v>
      </c>
      <c r="EK11" s="3213">
        <f t="shared" si="102"/>
        <v>0</v>
      </c>
      <c r="EL11" s="3213">
        <f t="shared" si="103"/>
        <v>7.949999999999946E-2</v>
      </c>
      <c r="EM11" s="3208">
        <f>SUM(EN11:EO11)</f>
        <v>1.4722222222222223</v>
      </c>
      <c r="EN11" s="3208">
        <f t="shared" si="16"/>
        <v>0</v>
      </c>
      <c r="EO11" s="3208">
        <f t="shared" si="16"/>
        <v>1.4722222222222223</v>
      </c>
      <c r="EP11" s="3208">
        <f t="shared" si="104"/>
        <v>0</v>
      </c>
      <c r="EQ11" s="3252">
        <f>SUM('ПОЛНАЯ СЕБЕСТОИМОСТЬ СТОКИ 2019'!BQ11)</f>
        <v>0</v>
      </c>
      <c r="ER11" s="3252">
        <f>SUM('ПОЛНАЯ СЕБЕСТОИМОСТЬ СТОКИ 2019'!BR11)</f>
        <v>0</v>
      </c>
      <c r="ES11" s="3253">
        <v>0.54</v>
      </c>
      <c r="ET11" s="3253"/>
      <c r="EU11" s="3253">
        <f>SUM(ES11)</f>
        <v>0.54</v>
      </c>
      <c r="EV11" s="3208">
        <f>SUM(EW11:EX11)</f>
        <v>1.4722222222222223</v>
      </c>
      <c r="EW11" s="3208">
        <f t="shared" si="17"/>
        <v>0</v>
      </c>
      <c r="EX11" s="3208">
        <f t="shared" si="17"/>
        <v>1.4722222222222223</v>
      </c>
      <c r="EY11" s="3208">
        <f t="shared" si="106"/>
        <v>0</v>
      </c>
      <c r="EZ11" s="3252">
        <f>SUM('ПОЛНАЯ СЕБЕСТОИМОСТЬ СТОКИ 2019'!BT11)</f>
        <v>0</v>
      </c>
      <c r="FA11" s="3252">
        <f>SUM('ПОЛНАЯ СЕБЕСТОИМОСТЬ СТОКИ 2019'!BU11)</f>
        <v>0</v>
      </c>
      <c r="FB11" s="3253">
        <v>0.56000000000000005</v>
      </c>
      <c r="FC11" s="3253"/>
      <c r="FD11" s="3253">
        <f>SUM(FB11)</f>
        <v>0.56000000000000005</v>
      </c>
      <c r="FE11" s="3208">
        <f>SUM(FF11:FG11)</f>
        <v>1.4722222222222223</v>
      </c>
      <c r="FF11" s="3208">
        <f t="shared" si="18"/>
        <v>0</v>
      </c>
      <c r="FG11" s="3208">
        <f t="shared" si="18"/>
        <v>1.4722222222222223</v>
      </c>
      <c r="FH11" s="3208">
        <f t="shared" si="108"/>
        <v>0</v>
      </c>
      <c r="FI11" s="3252">
        <f>SUM('ПОЛНАЯ СЕБЕСТОИМОСТЬ СТОКИ 2019'!BW11)</f>
        <v>0</v>
      </c>
      <c r="FJ11" s="3252">
        <f>SUM('ПОЛНАЯ СЕБЕСТОИМОСТЬ СТОКИ 2019'!BX11)</f>
        <v>0</v>
      </c>
      <c r="FK11" s="3253">
        <v>3.9</v>
      </c>
      <c r="FL11" s="3253"/>
      <c r="FM11" s="3253">
        <f>SUM(FK11)</f>
        <v>3.9</v>
      </c>
      <c r="FN11" s="3209">
        <f t="shared" si="110"/>
        <v>4.416666666666667</v>
      </c>
      <c r="FO11" s="3209">
        <f t="shared" si="111"/>
        <v>0</v>
      </c>
      <c r="FP11" s="3209">
        <f t="shared" si="112"/>
        <v>4.416666666666667</v>
      </c>
      <c r="FQ11" s="3209">
        <f t="shared" si="113"/>
        <v>0</v>
      </c>
      <c r="FR11" s="3209">
        <f t="shared" si="114"/>
        <v>0</v>
      </c>
      <c r="FS11" s="3209">
        <f t="shared" si="115"/>
        <v>0</v>
      </c>
      <c r="FT11" s="3114">
        <f t="shared" si="116"/>
        <v>5</v>
      </c>
      <c r="FU11" s="3114">
        <f t="shared" si="117"/>
        <v>0</v>
      </c>
      <c r="FV11" s="3114">
        <f t="shared" si="118"/>
        <v>5</v>
      </c>
      <c r="FW11" s="3209">
        <f t="shared" si="119"/>
        <v>-4.416666666666667</v>
      </c>
      <c r="FX11" s="3213">
        <f t="shared" si="120"/>
        <v>0</v>
      </c>
      <c r="FY11" s="3213">
        <f t="shared" si="121"/>
        <v>-4.416666666666667</v>
      </c>
      <c r="FZ11" s="3221">
        <f t="shared" si="122"/>
        <v>17.666666666666668</v>
      </c>
      <c r="GA11" s="3221">
        <v>0</v>
      </c>
      <c r="GB11" s="3221">
        <f>SUM(объемы!AY58)</f>
        <v>17.666666666666668</v>
      </c>
      <c r="GC11" s="3209">
        <f t="shared" si="123"/>
        <v>13.329499999999999</v>
      </c>
      <c r="GD11" s="3222">
        <f t="shared" si="124"/>
        <v>0</v>
      </c>
      <c r="GE11" s="3222">
        <f t="shared" si="125"/>
        <v>13.329499999999999</v>
      </c>
      <c r="GF11" s="3222">
        <f t="shared" si="126"/>
        <v>18.25</v>
      </c>
      <c r="GG11" s="3222">
        <f t="shared" si="127"/>
        <v>0</v>
      </c>
      <c r="GH11" s="3222">
        <f t="shared" si="128"/>
        <v>18.25</v>
      </c>
      <c r="GI11" s="3209">
        <f t="shared" si="129"/>
        <v>-4.3371666666666684</v>
      </c>
      <c r="GJ11" s="3223">
        <f t="shared" si="130"/>
        <v>0</v>
      </c>
      <c r="GK11" s="3223">
        <f t="shared" si="131"/>
        <v>-4.3371666666666684</v>
      </c>
    </row>
    <row r="12" spans="1:193" ht="18.75" customHeight="1" x14ac:dyDescent="0.3">
      <c r="A12" s="3111" t="s">
        <v>3659</v>
      </c>
      <c r="B12" s="3208">
        <f t="shared" si="24"/>
        <v>60.194748040952696</v>
      </c>
      <c r="C12" s="3208">
        <f t="shared" si="25"/>
        <v>60.194748040952696</v>
      </c>
      <c r="D12" s="3208">
        <f t="shared" si="26"/>
        <v>0</v>
      </c>
      <c r="E12" s="3208">
        <f t="shared" si="27"/>
        <v>58.154000000000003</v>
      </c>
      <c r="F12" s="3252">
        <f>SUM('ПОЛНАЯ СЕБЕСТОИМОСТЬ СТОКИ 2019'!F12)</f>
        <v>58.154000000000003</v>
      </c>
      <c r="G12" s="3252">
        <f>SUM('ПОЛНАЯ СЕБЕСТОИМОСТЬ СТОКИ 2019'!G12)</f>
        <v>0</v>
      </c>
      <c r="H12" s="3253">
        <v>60.6</v>
      </c>
      <c r="I12" s="3253">
        <f>SUM(H12)</f>
        <v>60.6</v>
      </c>
      <c r="J12" s="3253"/>
      <c r="K12" s="3208">
        <f>SUM(L12:M12)</f>
        <v>60.194748040952696</v>
      </c>
      <c r="L12" s="3208">
        <f t="shared" si="0"/>
        <v>60.194748040952696</v>
      </c>
      <c r="M12" s="3208">
        <f t="shared" si="0"/>
        <v>0</v>
      </c>
      <c r="N12" s="3208">
        <f t="shared" si="29"/>
        <v>61.482999999999997</v>
      </c>
      <c r="O12" s="3252">
        <f>SUM('ПОЛНАЯ СЕБЕСТОИМОСТЬ СТОКИ 2019'!I12)</f>
        <v>61.482999999999997</v>
      </c>
      <c r="P12" s="3252">
        <f>SUM('ПОЛНАЯ СЕБЕСТОИМОСТЬ СТОКИ 2019'!J12)</f>
        <v>0</v>
      </c>
      <c r="Q12" s="3253">
        <v>64.5</v>
      </c>
      <c r="R12" s="3253">
        <f>SUM(Q12)</f>
        <v>64.5</v>
      </c>
      <c r="S12" s="3253"/>
      <c r="T12" s="3208">
        <f>SUM(U12:V12)</f>
        <v>60.194748040952696</v>
      </c>
      <c r="U12" s="3208">
        <f t="shared" si="1"/>
        <v>60.194748040952696</v>
      </c>
      <c r="V12" s="3208">
        <f t="shared" si="1"/>
        <v>0</v>
      </c>
      <c r="W12" s="3208">
        <f t="shared" si="31"/>
        <v>59.713000000000001</v>
      </c>
      <c r="X12" s="3252">
        <f>SUM('ПОЛНАЯ СЕБЕСТОИМОСТЬ СТОКИ 2019'!L12)</f>
        <v>59.713000000000001</v>
      </c>
      <c r="Y12" s="3252">
        <f>SUM('ПОЛНАЯ СЕБЕСТОИМОСТЬ СТОКИ 2019'!M12)</f>
        <v>0</v>
      </c>
      <c r="Z12" s="3253">
        <v>60.23</v>
      </c>
      <c r="AA12" s="3253">
        <f>SUM(Z12)</f>
        <v>60.23</v>
      </c>
      <c r="AB12" s="3253"/>
      <c r="AC12" s="3209">
        <f t="shared" si="33"/>
        <v>180.58424412285808</v>
      </c>
      <c r="AD12" s="3209">
        <f t="shared" si="34"/>
        <v>180.58424412285808</v>
      </c>
      <c r="AE12" s="3209">
        <f t="shared" si="35"/>
        <v>0</v>
      </c>
      <c r="AF12" s="3209">
        <f t="shared" si="36"/>
        <v>179.35</v>
      </c>
      <c r="AG12" s="3209">
        <f t="shared" si="37"/>
        <v>179.35</v>
      </c>
      <c r="AH12" s="3209">
        <f t="shared" si="38"/>
        <v>0</v>
      </c>
      <c r="AI12" s="3114">
        <f t="shared" si="39"/>
        <v>185.32999999999998</v>
      </c>
      <c r="AJ12" s="3114">
        <f t="shared" si="40"/>
        <v>185.32999999999998</v>
      </c>
      <c r="AK12" s="3114">
        <f t="shared" si="41"/>
        <v>0</v>
      </c>
      <c r="AL12" s="3209">
        <f t="shared" si="42"/>
        <v>-1.2342441228580867</v>
      </c>
      <c r="AM12" s="3209">
        <f t="shared" si="43"/>
        <v>-1.2342441228580867</v>
      </c>
      <c r="AN12" s="3209">
        <f t="shared" si="44"/>
        <v>0</v>
      </c>
      <c r="AO12" s="3208">
        <f>SUM(AP12:AQ12)</f>
        <v>60.194748040952696</v>
      </c>
      <c r="AP12" s="3208">
        <f t="shared" si="3"/>
        <v>60.194748040952696</v>
      </c>
      <c r="AQ12" s="3208">
        <f t="shared" si="3"/>
        <v>0</v>
      </c>
      <c r="AR12" s="3208">
        <f t="shared" si="45"/>
        <v>65.506</v>
      </c>
      <c r="AS12" s="3252">
        <f>SUM('ПОЛНАЯ СЕБЕСТОИМОСТЬ СТОКИ 2019'!U12)</f>
        <v>65.506</v>
      </c>
      <c r="AT12" s="3252">
        <f>SUM('ПОЛНАЯ СЕБЕСТОИМОСТЬ СТОКИ 2019'!V12)</f>
        <v>0</v>
      </c>
      <c r="AU12" s="3253">
        <v>67.64</v>
      </c>
      <c r="AV12" s="3253">
        <f>SUM(AU12)</f>
        <v>67.64</v>
      </c>
      <c r="AW12" s="3253"/>
      <c r="AX12" s="3208">
        <f>SUM(AY12:AZ12)</f>
        <v>60.194748040952696</v>
      </c>
      <c r="AY12" s="3208">
        <f t="shared" si="4"/>
        <v>60.194748040952696</v>
      </c>
      <c r="AZ12" s="3208">
        <f t="shared" si="4"/>
        <v>0</v>
      </c>
      <c r="BA12" s="3208">
        <f t="shared" si="47"/>
        <v>57.103000000000002</v>
      </c>
      <c r="BB12" s="3252">
        <f>SUM('ПОЛНАЯ СЕБЕСТОИМОСТЬ СТОКИ 2019'!X12)</f>
        <v>57.103000000000002</v>
      </c>
      <c r="BC12" s="3252">
        <f>SUM('ПОЛНАЯ СЕБЕСТОИМОСТЬ СТОКИ 2019'!Y12)</f>
        <v>0</v>
      </c>
      <c r="BD12" s="3253">
        <v>61.69</v>
      </c>
      <c r="BE12" s="3253">
        <f>SUM(BD12)</f>
        <v>61.69</v>
      </c>
      <c r="BF12" s="3253"/>
      <c r="BG12" s="3208">
        <f>SUM(BH12:BI12)</f>
        <v>60.194748040952696</v>
      </c>
      <c r="BH12" s="3208">
        <f t="shared" si="5"/>
        <v>60.194748040952696</v>
      </c>
      <c r="BI12" s="3208">
        <f t="shared" si="5"/>
        <v>0</v>
      </c>
      <c r="BJ12" s="3208">
        <f t="shared" si="49"/>
        <v>64.004999999999995</v>
      </c>
      <c r="BK12" s="3252">
        <f>SUM('ПОЛНАЯ СЕБЕСТОИМОСТЬ СТОКИ 2019'!AA12)</f>
        <v>64.004999999999995</v>
      </c>
      <c r="BL12" s="3252">
        <f>SUM('ПОЛНАЯ СЕБЕСТОИМОСТЬ СТОКИ 2019'!AB12)</f>
        <v>0</v>
      </c>
      <c r="BM12" s="3253">
        <v>63.9</v>
      </c>
      <c r="BN12" s="3253">
        <f>SUM(BM12)</f>
        <v>63.9</v>
      </c>
      <c r="BO12" s="3253"/>
      <c r="BP12" s="3209">
        <f t="shared" si="51"/>
        <v>180.58424412285808</v>
      </c>
      <c r="BQ12" s="3209">
        <f t="shared" si="52"/>
        <v>180.58424412285808</v>
      </c>
      <c r="BR12" s="3209">
        <f t="shared" si="53"/>
        <v>0</v>
      </c>
      <c r="BS12" s="3209">
        <f t="shared" si="54"/>
        <v>186.614</v>
      </c>
      <c r="BT12" s="3209">
        <f t="shared" si="55"/>
        <v>186.614</v>
      </c>
      <c r="BU12" s="3209">
        <f t="shared" si="56"/>
        <v>0</v>
      </c>
      <c r="BV12" s="3114">
        <f t="shared" si="57"/>
        <v>193.23</v>
      </c>
      <c r="BW12" s="3209">
        <f t="shared" si="58"/>
        <v>193.23</v>
      </c>
      <c r="BX12" s="3209">
        <f t="shared" si="59"/>
        <v>0</v>
      </c>
      <c r="BY12" s="3209">
        <f t="shared" si="60"/>
        <v>6.0297558771419233</v>
      </c>
      <c r="BZ12" s="3209">
        <f t="shared" si="61"/>
        <v>6.0297558771419233</v>
      </c>
      <c r="CA12" s="3209">
        <f t="shared" si="62"/>
        <v>0</v>
      </c>
      <c r="CB12" s="3209">
        <f t="shared" si="63"/>
        <v>361.16848824571616</v>
      </c>
      <c r="CC12" s="3209">
        <f t="shared" si="64"/>
        <v>361.16848824571616</v>
      </c>
      <c r="CD12" s="3209">
        <f t="shared" si="65"/>
        <v>0</v>
      </c>
      <c r="CE12" s="3209">
        <f t="shared" si="132"/>
        <v>365.964</v>
      </c>
      <c r="CF12" s="3209">
        <f t="shared" si="66"/>
        <v>365.964</v>
      </c>
      <c r="CG12" s="3209">
        <f t="shared" si="67"/>
        <v>0</v>
      </c>
      <c r="CH12" s="3114">
        <f t="shared" si="68"/>
        <v>378.55999999999995</v>
      </c>
      <c r="CI12" s="3114">
        <f t="shared" si="69"/>
        <v>378.55999999999995</v>
      </c>
      <c r="CJ12" s="3114">
        <f t="shared" si="70"/>
        <v>0</v>
      </c>
      <c r="CK12" s="3209">
        <f t="shared" si="71"/>
        <v>4.7955117542838366</v>
      </c>
      <c r="CL12" s="3213">
        <f t="shared" si="72"/>
        <v>4.7955117542838366</v>
      </c>
      <c r="CM12" s="3213">
        <f t="shared" si="73"/>
        <v>0</v>
      </c>
      <c r="CN12" s="3208">
        <f>SUM(CO12:CP12)</f>
        <v>60.194748040952696</v>
      </c>
      <c r="CO12" s="3208">
        <f t="shared" si="9"/>
        <v>60.194748040952696</v>
      </c>
      <c r="CP12" s="3208">
        <f t="shared" si="9"/>
        <v>0</v>
      </c>
      <c r="CQ12" s="3208">
        <f t="shared" si="74"/>
        <v>55.024000000000001</v>
      </c>
      <c r="CR12" s="3252">
        <f>SUM('ПОЛНАЯ СЕБЕСТОИМОСТЬ СТОКИ 2019'!AS12)</f>
        <v>55.024000000000001</v>
      </c>
      <c r="CS12" s="3252">
        <f>SUM('ПОЛНАЯ СЕБЕСТОИМОСТЬ СТОКИ 2019'!AT12)</f>
        <v>0</v>
      </c>
      <c r="CT12" s="3253">
        <v>56.38</v>
      </c>
      <c r="CU12" s="3253">
        <f>SUM(CT12)</f>
        <v>56.38</v>
      </c>
      <c r="CV12" s="3253"/>
      <c r="CW12" s="3208">
        <f>SUM(CX12:CY12)</f>
        <v>60.194748040952696</v>
      </c>
      <c r="CX12" s="3208">
        <f t="shared" si="10"/>
        <v>60.194748040952696</v>
      </c>
      <c r="CY12" s="3208">
        <f t="shared" si="10"/>
        <v>0</v>
      </c>
      <c r="CZ12" s="3208">
        <f t="shared" si="76"/>
        <v>58.191000000000003</v>
      </c>
      <c r="DA12" s="3252">
        <f>SUM('ПОЛНАЯ СЕБЕСТОИМОСТЬ СТОКИ 2019'!AV12)</f>
        <v>58.191000000000003</v>
      </c>
      <c r="DB12" s="3252">
        <f>SUM('ПОЛНАЯ СЕБЕСТОИМОСТЬ СТОКИ 2019'!AW12)</f>
        <v>0</v>
      </c>
      <c r="DC12" s="3253">
        <v>54.43</v>
      </c>
      <c r="DD12" s="3253">
        <f>SUM(DC12)</f>
        <v>54.43</v>
      </c>
      <c r="DE12" s="3253"/>
      <c r="DF12" s="3208">
        <f>SUM(DG12:DH12)</f>
        <v>60.194748040952696</v>
      </c>
      <c r="DG12" s="3208">
        <f t="shared" si="11"/>
        <v>60.194748040952696</v>
      </c>
      <c r="DH12" s="3208">
        <f t="shared" si="11"/>
        <v>0</v>
      </c>
      <c r="DI12" s="3208">
        <f t="shared" si="78"/>
        <v>79.704999999999998</v>
      </c>
      <c r="DJ12" s="3252">
        <f>SUM('ПОЛНАЯ СЕБЕСТОИМОСТЬ СТОКИ 2019'!AY12)</f>
        <v>79.704999999999998</v>
      </c>
      <c r="DK12" s="3252">
        <f>SUM('ПОЛНАЯ СЕБЕСТОИМОСТЬ СТОКИ 2019'!AZ12)</f>
        <v>0</v>
      </c>
      <c r="DL12" s="3253">
        <v>62.63</v>
      </c>
      <c r="DM12" s="3253">
        <f>SUM(DL12)</f>
        <v>62.63</v>
      </c>
      <c r="DN12" s="3253"/>
      <c r="DO12" s="3209">
        <f t="shared" si="80"/>
        <v>180.58424412285808</v>
      </c>
      <c r="DP12" s="3209">
        <f t="shared" si="81"/>
        <v>180.58424412285808</v>
      </c>
      <c r="DQ12" s="3209">
        <f t="shared" si="82"/>
        <v>0</v>
      </c>
      <c r="DR12" s="3209">
        <f t="shared" si="83"/>
        <v>192.92000000000002</v>
      </c>
      <c r="DS12" s="3209">
        <f t="shared" si="84"/>
        <v>192.92000000000002</v>
      </c>
      <c r="DT12" s="3209">
        <f t="shared" si="85"/>
        <v>0</v>
      </c>
      <c r="DU12" s="3114">
        <f t="shared" si="86"/>
        <v>173.44</v>
      </c>
      <c r="DV12" s="3209">
        <f t="shared" si="87"/>
        <v>173.44</v>
      </c>
      <c r="DW12" s="3209">
        <f t="shared" si="88"/>
        <v>0</v>
      </c>
      <c r="DX12" s="3209">
        <f t="shared" si="89"/>
        <v>12.335755877141935</v>
      </c>
      <c r="DY12" s="3213">
        <f t="shared" si="90"/>
        <v>12.335755877141935</v>
      </c>
      <c r="DZ12" s="3213">
        <f t="shared" si="91"/>
        <v>0</v>
      </c>
      <c r="EA12" s="3209">
        <f t="shared" si="92"/>
        <v>541.75273236857424</v>
      </c>
      <c r="EB12" s="3209">
        <f t="shared" si="93"/>
        <v>541.75273236857424</v>
      </c>
      <c r="EC12" s="3209">
        <f t="shared" si="94"/>
        <v>0</v>
      </c>
      <c r="ED12" s="3209">
        <f t="shared" si="95"/>
        <v>558.88400000000001</v>
      </c>
      <c r="EE12" s="3209">
        <f t="shared" si="96"/>
        <v>558.88400000000001</v>
      </c>
      <c r="EF12" s="3209">
        <f t="shared" si="97"/>
        <v>0</v>
      </c>
      <c r="EG12" s="3209">
        <f t="shared" si="98"/>
        <v>552</v>
      </c>
      <c r="EH12" s="3209">
        <f t="shared" si="99"/>
        <v>552</v>
      </c>
      <c r="EI12" s="3209">
        <f t="shared" si="100"/>
        <v>0</v>
      </c>
      <c r="EJ12" s="3209">
        <f t="shared" si="101"/>
        <v>17.131267631425771</v>
      </c>
      <c r="EK12" s="3213">
        <f t="shared" si="102"/>
        <v>17.131267631425771</v>
      </c>
      <c r="EL12" s="3213">
        <f t="shared" si="103"/>
        <v>0</v>
      </c>
      <c r="EM12" s="3208">
        <f>SUM(EN12:EO12)</f>
        <v>60.194748040952696</v>
      </c>
      <c r="EN12" s="3208">
        <f t="shared" si="16"/>
        <v>60.194748040952696</v>
      </c>
      <c r="EO12" s="3208">
        <f t="shared" si="16"/>
        <v>0</v>
      </c>
      <c r="EP12" s="3208">
        <f t="shared" si="104"/>
        <v>0</v>
      </c>
      <c r="EQ12" s="3252">
        <f>SUM('ПОЛНАЯ СЕБЕСТОИМОСТЬ СТОКИ 2019'!BQ12)</f>
        <v>0</v>
      </c>
      <c r="ER12" s="3252">
        <f>SUM('ПОЛНАЯ СЕБЕСТОИМОСТЬ СТОКИ 2019'!BR12)</f>
        <v>0</v>
      </c>
      <c r="ES12" s="3253">
        <v>59.89</v>
      </c>
      <c r="ET12" s="3253">
        <f>SUM(ES12)</f>
        <v>59.89</v>
      </c>
      <c r="EU12" s="3253"/>
      <c r="EV12" s="3208">
        <f>SUM(EW12:EX12)</f>
        <v>60.194748040952696</v>
      </c>
      <c r="EW12" s="3208">
        <f t="shared" si="17"/>
        <v>60.194748040952696</v>
      </c>
      <c r="EX12" s="3208">
        <f t="shared" si="17"/>
        <v>0</v>
      </c>
      <c r="EY12" s="3208">
        <f t="shared" si="106"/>
        <v>0</v>
      </c>
      <c r="EZ12" s="3252">
        <f>SUM('ПОЛНАЯ СЕБЕСТОИМОСТЬ СТОКИ 2019'!BT12)</f>
        <v>0</v>
      </c>
      <c r="FA12" s="3252">
        <f>SUM('ПОЛНАЯ СЕБЕСТОИМОСТЬ СТОКИ 2019'!BU12)</f>
        <v>0</v>
      </c>
      <c r="FB12" s="3253">
        <v>68.739999999999995</v>
      </c>
      <c r="FC12" s="3253">
        <f>SUM(FB12)</f>
        <v>68.739999999999995</v>
      </c>
      <c r="FD12" s="3253"/>
      <c r="FE12" s="3208">
        <f>SUM(FF12:FG12)</f>
        <v>60.194748040952696</v>
      </c>
      <c r="FF12" s="3208">
        <f t="shared" si="18"/>
        <v>60.194748040952696</v>
      </c>
      <c r="FG12" s="3208">
        <f t="shared" si="18"/>
        <v>0</v>
      </c>
      <c r="FH12" s="3208">
        <f t="shared" si="108"/>
        <v>0</v>
      </c>
      <c r="FI12" s="3252">
        <f>SUM('ПОЛНАЯ СЕБЕСТОИМОСТЬ СТОКИ 2019'!BW12)</f>
        <v>0</v>
      </c>
      <c r="FJ12" s="3252">
        <f>SUM('ПОЛНАЯ СЕБЕСТОИМОСТЬ СТОКИ 2019'!BX12)</f>
        <v>0</v>
      </c>
      <c r="FK12" s="3253">
        <v>66.569999999999993</v>
      </c>
      <c r="FL12" s="3253">
        <f>SUM(FK12)</f>
        <v>66.569999999999993</v>
      </c>
      <c r="FM12" s="3253"/>
      <c r="FN12" s="3209">
        <f t="shared" si="110"/>
        <v>180.58424412285808</v>
      </c>
      <c r="FO12" s="3209">
        <f t="shared" si="111"/>
        <v>180.58424412285808</v>
      </c>
      <c r="FP12" s="3209">
        <f t="shared" si="112"/>
        <v>0</v>
      </c>
      <c r="FQ12" s="3209">
        <f t="shared" si="113"/>
        <v>0</v>
      </c>
      <c r="FR12" s="3209">
        <f t="shared" si="114"/>
        <v>0</v>
      </c>
      <c r="FS12" s="3209">
        <f t="shared" si="115"/>
        <v>0</v>
      </c>
      <c r="FT12" s="3114">
        <f t="shared" si="116"/>
        <v>195.2</v>
      </c>
      <c r="FU12" s="3114">
        <f t="shared" si="117"/>
        <v>195.2</v>
      </c>
      <c r="FV12" s="3114">
        <f t="shared" si="118"/>
        <v>0</v>
      </c>
      <c r="FW12" s="3209">
        <f t="shared" si="119"/>
        <v>-180.58424412285808</v>
      </c>
      <c r="FX12" s="3213">
        <f t="shared" si="120"/>
        <v>-180.58424412285808</v>
      </c>
      <c r="FY12" s="3213">
        <f t="shared" si="121"/>
        <v>0</v>
      </c>
      <c r="FZ12" s="3221">
        <f t="shared" si="122"/>
        <v>722.33697649143232</v>
      </c>
      <c r="GA12" s="3221">
        <f>SUM(объемы!AX60)</f>
        <v>722.33697649143232</v>
      </c>
      <c r="GB12" s="3221">
        <v>0</v>
      </c>
      <c r="GC12" s="3209">
        <f t="shared" si="123"/>
        <v>558.88400000000001</v>
      </c>
      <c r="GD12" s="3222">
        <f t="shared" si="124"/>
        <v>558.88400000000001</v>
      </c>
      <c r="GE12" s="3222">
        <f t="shared" si="125"/>
        <v>0</v>
      </c>
      <c r="GF12" s="3222">
        <f t="shared" si="126"/>
        <v>747.2</v>
      </c>
      <c r="GG12" s="3222">
        <f t="shared" si="127"/>
        <v>747.2</v>
      </c>
      <c r="GH12" s="3222">
        <f t="shared" si="128"/>
        <v>0</v>
      </c>
      <c r="GI12" s="3209">
        <f t="shared" si="129"/>
        <v>-163.45297649143231</v>
      </c>
      <c r="GJ12" s="3223">
        <f t="shared" si="130"/>
        <v>-163.45297649143231</v>
      </c>
      <c r="GK12" s="3223">
        <f t="shared" si="131"/>
        <v>0</v>
      </c>
    </row>
    <row r="13" spans="1:193" ht="18.75" customHeight="1" x14ac:dyDescent="0.3">
      <c r="A13" s="3188" t="s">
        <v>3640</v>
      </c>
      <c r="B13" s="3189"/>
      <c r="C13" s="3189"/>
      <c r="D13" s="3189"/>
      <c r="E13" s="3189"/>
      <c r="F13" s="3189"/>
      <c r="G13" s="3189"/>
      <c r="H13" s="3189"/>
      <c r="I13" s="3189"/>
      <c r="J13" s="3189"/>
      <c r="K13" s="3190"/>
      <c r="L13" s="3190"/>
      <c r="M13" s="3190"/>
      <c r="N13" s="3190"/>
      <c r="O13" s="3190"/>
      <c r="P13" s="3190"/>
      <c r="Q13" s="3190"/>
      <c r="R13" s="3190"/>
      <c r="S13" s="3190"/>
      <c r="T13" s="3190"/>
      <c r="U13" s="3190"/>
      <c r="V13" s="3190"/>
      <c r="W13" s="3190"/>
      <c r="X13" s="3190"/>
      <c r="Y13" s="3190"/>
      <c r="Z13" s="3190"/>
      <c r="AA13" s="3190"/>
      <c r="AB13" s="3190"/>
      <c r="AC13" s="3190"/>
      <c r="AD13" s="3190"/>
      <c r="AE13" s="3190"/>
      <c r="AF13" s="3190"/>
      <c r="AG13" s="3190"/>
      <c r="AH13" s="3190"/>
      <c r="AI13" s="3190"/>
      <c r="AJ13" s="3190"/>
      <c r="AK13" s="3190"/>
      <c r="AL13" s="3190"/>
      <c r="AM13" s="3190"/>
      <c r="AN13" s="3190"/>
      <c r="AO13" s="3190"/>
      <c r="AP13" s="3190"/>
      <c r="AQ13" s="3190"/>
      <c r="AR13" s="3190"/>
      <c r="AS13" s="3190"/>
      <c r="AT13" s="3190"/>
      <c r="AU13" s="3190"/>
      <c r="AV13" s="3190"/>
      <c r="AW13" s="3190"/>
      <c r="AX13" s="3190"/>
      <c r="AY13" s="3190"/>
      <c r="AZ13" s="3190"/>
      <c r="BA13" s="3190"/>
      <c r="BB13" s="3190"/>
      <c r="BC13" s="3190"/>
      <c r="BD13" s="3190"/>
      <c r="BE13" s="3190"/>
      <c r="BF13" s="3190"/>
      <c r="BG13" s="3190"/>
      <c r="BH13" s="3190"/>
      <c r="BI13" s="3190"/>
      <c r="BJ13" s="3190"/>
      <c r="BK13" s="3190"/>
      <c r="BL13" s="3190"/>
      <c r="BM13" s="3190"/>
      <c r="BN13" s="3190"/>
      <c r="BO13" s="3190"/>
      <c r="BP13" s="3190"/>
      <c r="BQ13" s="3190"/>
      <c r="BR13" s="3190"/>
      <c r="BS13" s="3190"/>
      <c r="BT13" s="3190"/>
      <c r="BU13" s="3190"/>
      <c r="BV13" s="3190"/>
      <c r="BW13" s="3190"/>
      <c r="BX13" s="3190"/>
      <c r="BY13" s="3190"/>
      <c r="BZ13" s="3190"/>
      <c r="CA13" s="3190"/>
      <c r="CB13" s="3190"/>
      <c r="CC13" s="3190"/>
      <c r="CD13" s="3190"/>
      <c r="CE13" s="3190"/>
      <c r="CF13" s="3190"/>
      <c r="CG13" s="3190"/>
      <c r="CH13" s="3190"/>
      <c r="CI13" s="3190"/>
      <c r="CJ13" s="3190"/>
      <c r="CK13" s="3190"/>
      <c r="CL13" s="3190"/>
      <c r="CM13" s="3190"/>
      <c r="CN13" s="3190"/>
      <c r="CO13" s="3190"/>
      <c r="CP13" s="3190"/>
      <c r="CQ13" s="3190"/>
      <c r="CR13" s="3190"/>
      <c r="CS13" s="3190"/>
      <c r="CT13" s="3190"/>
      <c r="CU13" s="3190"/>
      <c r="CV13" s="3190"/>
      <c r="CW13" s="3190"/>
      <c r="CX13" s="3190"/>
      <c r="CY13" s="3190"/>
      <c r="CZ13" s="3190"/>
      <c r="DA13" s="3190"/>
      <c r="DB13" s="3190"/>
      <c r="DC13" s="3190"/>
      <c r="DD13" s="3190"/>
      <c r="DE13" s="3190"/>
      <c r="DF13" s="3190"/>
      <c r="DG13" s="3190"/>
      <c r="DH13" s="3190"/>
      <c r="DI13" s="3190"/>
      <c r="DJ13" s="3190"/>
      <c r="DK13" s="3190"/>
      <c r="DL13" s="3190"/>
      <c r="DM13" s="3190"/>
      <c r="DN13" s="3190"/>
      <c r="DO13" s="3190"/>
      <c r="DP13" s="3190"/>
      <c r="DQ13" s="3190"/>
      <c r="DR13" s="3190"/>
      <c r="DS13" s="3190"/>
      <c r="DT13" s="3190"/>
      <c r="DU13" s="3190"/>
      <c r="DV13" s="3190"/>
      <c r="DW13" s="3190"/>
      <c r="DX13" s="3190"/>
      <c r="DY13" s="3190"/>
      <c r="DZ13" s="3190"/>
      <c r="EA13" s="3190"/>
      <c r="EB13" s="3190"/>
      <c r="EC13" s="3190"/>
      <c r="ED13" s="3190"/>
      <c r="EE13" s="3190"/>
      <c r="EF13" s="3190"/>
      <c r="EG13" s="3190"/>
      <c r="EH13" s="3190"/>
      <c r="EI13" s="3190"/>
      <c r="EJ13" s="3190"/>
      <c r="EK13" s="3190"/>
      <c r="EL13" s="3190"/>
      <c r="EM13" s="3190"/>
      <c r="EN13" s="3190"/>
      <c r="EO13" s="3190"/>
      <c r="EP13" s="3190"/>
      <c r="EQ13" s="3190"/>
      <c r="ER13" s="3190"/>
      <c r="ES13" s="3190"/>
      <c r="ET13" s="3190"/>
      <c r="EU13" s="3190"/>
      <c r="EV13" s="3190"/>
      <c r="EW13" s="3190"/>
      <c r="EX13" s="3190"/>
      <c r="EY13" s="3190"/>
      <c r="EZ13" s="3190"/>
      <c r="FA13" s="3190"/>
      <c r="FB13" s="3190"/>
      <c r="FC13" s="3190"/>
      <c r="FD13" s="3190"/>
      <c r="FE13" s="3190"/>
      <c r="FF13" s="3190"/>
      <c r="FG13" s="3190"/>
      <c r="FH13" s="3190"/>
      <c r="FI13" s="3190"/>
      <c r="FJ13" s="3190"/>
      <c r="FK13" s="3190"/>
      <c r="FL13" s="3190"/>
      <c r="FM13" s="3190"/>
      <c r="FN13" s="3191"/>
      <c r="FO13" s="3191"/>
      <c r="FP13" s="3191"/>
      <c r="FQ13" s="3191"/>
      <c r="FR13" s="3191"/>
      <c r="FS13" s="3191"/>
      <c r="FT13" s="3191"/>
      <c r="FU13" s="3191"/>
      <c r="FV13" s="3191"/>
      <c r="FW13" s="3191"/>
      <c r="FX13" s="3191"/>
      <c r="FY13" s="3191"/>
      <c r="FZ13" s="3244"/>
      <c r="GA13" s="3244"/>
      <c r="GB13" s="3244"/>
      <c r="GC13" s="3244"/>
      <c r="GD13" s="3244"/>
      <c r="GE13" s="3244"/>
      <c r="GF13" s="3244"/>
      <c r="GG13" s="3244"/>
      <c r="GH13" s="3244"/>
      <c r="GI13" s="3244"/>
      <c r="GJ13" s="3244"/>
      <c r="GK13" s="3245"/>
    </row>
    <row r="14" spans="1:193" ht="18.75" customHeight="1" x14ac:dyDescent="0.2">
      <c r="A14" s="3637" t="s">
        <v>536</v>
      </c>
      <c r="B14" s="3647" t="s">
        <v>3628</v>
      </c>
      <c r="C14" s="3648"/>
      <c r="D14" s="3648"/>
      <c r="E14" s="3649"/>
      <c r="F14" s="3649"/>
      <c r="G14" s="3649"/>
      <c r="H14" s="3649"/>
      <c r="I14" s="3655"/>
      <c r="J14" s="3656"/>
      <c r="K14" s="3647" t="s">
        <v>3629</v>
      </c>
      <c r="L14" s="3648"/>
      <c r="M14" s="3648"/>
      <c r="N14" s="3649"/>
      <c r="O14" s="3649"/>
      <c r="P14" s="3649"/>
      <c r="Q14" s="3649"/>
      <c r="R14" s="3655"/>
      <c r="S14" s="3656"/>
      <c r="T14" s="3647" t="s">
        <v>3630</v>
      </c>
      <c r="U14" s="3648"/>
      <c r="V14" s="3648"/>
      <c r="W14" s="3649"/>
      <c r="X14" s="3649"/>
      <c r="Y14" s="3649"/>
      <c r="Z14" s="3649"/>
      <c r="AA14" s="3650"/>
      <c r="AB14" s="3651"/>
      <c r="AC14" s="3652" t="s">
        <v>3575</v>
      </c>
      <c r="AD14" s="3653"/>
      <c r="AE14" s="3653"/>
      <c r="AF14" s="3654"/>
      <c r="AG14" s="3654"/>
      <c r="AH14" s="3654"/>
      <c r="AI14" s="3654"/>
      <c r="AJ14" s="3654"/>
      <c r="AK14" s="3654"/>
      <c r="AL14" s="3654"/>
      <c r="AM14" s="3654"/>
      <c r="AN14" s="3654"/>
      <c r="AO14" s="3647" t="s">
        <v>3631</v>
      </c>
      <c r="AP14" s="3648"/>
      <c r="AQ14" s="3648"/>
      <c r="AR14" s="3649"/>
      <c r="AS14" s="3649"/>
      <c r="AT14" s="3649"/>
      <c r="AU14" s="3649"/>
      <c r="AV14" s="3650"/>
      <c r="AW14" s="3651"/>
      <c r="AX14" s="3647" t="s">
        <v>3632</v>
      </c>
      <c r="AY14" s="3648"/>
      <c r="AZ14" s="3648"/>
      <c r="BA14" s="3649"/>
      <c r="BB14" s="3649"/>
      <c r="BC14" s="3649"/>
      <c r="BD14" s="3649"/>
      <c r="BE14" s="3655"/>
      <c r="BF14" s="3656"/>
      <c r="BG14" s="3647" t="s">
        <v>3633</v>
      </c>
      <c r="BH14" s="3648"/>
      <c r="BI14" s="3648"/>
      <c r="BJ14" s="3649"/>
      <c r="BK14" s="3649"/>
      <c r="BL14" s="3649"/>
      <c r="BM14" s="3649"/>
      <c r="BN14" s="3655"/>
      <c r="BO14" s="3656"/>
      <c r="BP14" s="3652" t="s">
        <v>3576</v>
      </c>
      <c r="BQ14" s="3653"/>
      <c r="BR14" s="3653"/>
      <c r="BS14" s="3654"/>
      <c r="BT14" s="3654"/>
      <c r="BU14" s="3654"/>
      <c r="BV14" s="3654"/>
      <c r="BW14" s="3654"/>
      <c r="BX14" s="3654"/>
      <c r="BY14" s="3655"/>
      <c r="BZ14" s="3655"/>
      <c r="CA14" s="3655"/>
      <c r="CB14" s="3652" t="s">
        <v>3577</v>
      </c>
      <c r="CC14" s="3653"/>
      <c r="CD14" s="3653"/>
      <c r="CE14" s="3654"/>
      <c r="CF14" s="3654"/>
      <c r="CG14" s="3654"/>
      <c r="CH14" s="3654"/>
      <c r="CI14" s="3654"/>
      <c r="CJ14" s="3654"/>
      <c r="CK14" s="3655"/>
      <c r="CL14" s="3655"/>
      <c r="CM14" s="3655"/>
      <c r="CN14" s="3647" t="s">
        <v>1373</v>
      </c>
      <c r="CO14" s="3648"/>
      <c r="CP14" s="3648"/>
      <c r="CQ14" s="3649"/>
      <c r="CR14" s="3649"/>
      <c r="CS14" s="3649"/>
      <c r="CT14" s="3649"/>
      <c r="CU14" s="3655"/>
      <c r="CV14" s="3656"/>
      <c r="CW14" s="3647" t="s">
        <v>3634</v>
      </c>
      <c r="CX14" s="3648"/>
      <c r="CY14" s="3648"/>
      <c r="CZ14" s="3649"/>
      <c r="DA14" s="3649"/>
      <c r="DB14" s="3649"/>
      <c r="DC14" s="3649"/>
      <c r="DD14" s="3655"/>
      <c r="DE14" s="3656"/>
      <c r="DF14" s="3647" t="s">
        <v>3635</v>
      </c>
      <c r="DG14" s="3648"/>
      <c r="DH14" s="3648"/>
      <c r="DI14" s="3649"/>
      <c r="DJ14" s="3649"/>
      <c r="DK14" s="3649"/>
      <c r="DL14" s="3649"/>
      <c r="DM14" s="3655"/>
      <c r="DN14" s="3656"/>
      <c r="DO14" s="3652" t="s">
        <v>3578</v>
      </c>
      <c r="DP14" s="3653"/>
      <c r="DQ14" s="3653"/>
      <c r="DR14" s="3654"/>
      <c r="DS14" s="3654"/>
      <c r="DT14" s="3654"/>
      <c r="DU14" s="3654"/>
      <c r="DV14" s="3654"/>
      <c r="DW14" s="3654"/>
      <c r="DX14" s="3655"/>
      <c r="DY14" s="3655"/>
      <c r="DZ14" s="3655"/>
      <c r="EA14" s="3652" t="s">
        <v>3579</v>
      </c>
      <c r="EB14" s="3653"/>
      <c r="EC14" s="3653"/>
      <c r="ED14" s="3654"/>
      <c r="EE14" s="3654"/>
      <c r="EF14" s="3654"/>
      <c r="EG14" s="3654"/>
      <c r="EH14" s="3654"/>
      <c r="EI14" s="3654"/>
      <c r="EJ14" s="3655"/>
      <c r="EK14" s="3655"/>
      <c r="EL14" s="3655"/>
      <c r="EM14" s="3647" t="s">
        <v>3636</v>
      </c>
      <c r="EN14" s="3648"/>
      <c r="EO14" s="3648"/>
      <c r="EP14" s="3649"/>
      <c r="EQ14" s="3649"/>
      <c r="ER14" s="3649"/>
      <c r="ES14" s="3649"/>
      <c r="ET14" s="3655"/>
      <c r="EU14" s="3656"/>
      <c r="EV14" s="3647" t="s">
        <v>3637</v>
      </c>
      <c r="EW14" s="3648"/>
      <c r="EX14" s="3648"/>
      <c r="EY14" s="3649"/>
      <c r="EZ14" s="3649"/>
      <c r="FA14" s="3649"/>
      <c r="FB14" s="3649"/>
      <c r="FC14" s="3655"/>
      <c r="FD14" s="3656"/>
      <c r="FE14" s="3647" t="s">
        <v>3638</v>
      </c>
      <c r="FF14" s="3648"/>
      <c r="FG14" s="3648"/>
      <c r="FH14" s="3649"/>
      <c r="FI14" s="3649"/>
      <c r="FJ14" s="3649"/>
      <c r="FK14" s="3649"/>
      <c r="FL14" s="3655"/>
      <c r="FM14" s="3656"/>
      <c r="FN14" s="3652" t="s">
        <v>3580</v>
      </c>
      <c r="FO14" s="3653"/>
      <c r="FP14" s="3653"/>
      <c r="FQ14" s="3654"/>
      <c r="FR14" s="3654"/>
      <c r="FS14" s="3654"/>
      <c r="FT14" s="3654"/>
      <c r="FU14" s="3654"/>
      <c r="FV14" s="3654"/>
      <c r="FW14" s="3655"/>
      <c r="FX14" s="3655"/>
      <c r="FY14" s="3655"/>
      <c r="FZ14" s="3657" t="s">
        <v>2019</v>
      </c>
      <c r="GA14" s="3658"/>
      <c r="GB14" s="3658"/>
      <c r="GC14" s="3659"/>
      <c r="GD14" s="3659"/>
      <c r="GE14" s="3659"/>
      <c r="GF14" s="3659"/>
      <c r="GG14" s="3659"/>
      <c r="GH14" s="3659"/>
      <c r="GI14" s="3660"/>
      <c r="GJ14" s="3660"/>
      <c r="GK14" s="3661"/>
    </row>
    <row r="15" spans="1:193" ht="18.75" customHeight="1" x14ac:dyDescent="0.2">
      <c r="A15" s="3637"/>
      <c r="B15" s="3638" t="s">
        <v>3581</v>
      </c>
      <c r="C15" s="3639"/>
      <c r="D15" s="3640"/>
      <c r="E15" s="3638" t="s">
        <v>1692</v>
      </c>
      <c r="F15" s="3639"/>
      <c r="G15" s="3640"/>
      <c r="H15" s="3638" t="s">
        <v>3639</v>
      </c>
      <c r="I15" s="3639"/>
      <c r="J15" s="3640"/>
      <c r="K15" s="3638" t="s">
        <v>3581</v>
      </c>
      <c r="L15" s="3639"/>
      <c r="M15" s="3640"/>
      <c r="N15" s="3638" t="s">
        <v>1692</v>
      </c>
      <c r="O15" s="3639"/>
      <c r="P15" s="3640"/>
      <c r="Q15" s="3638" t="s">
        <v>3639</v>
      </c>
      <c r="R15" s="3639"/>
      <c r="S15" s="3640"/>
      <c r="T15" s="3638" t="s">
        <v>3581</v>
      </c>
      <c r="U15" s="3639"/>
      <c r="V15" s="3640"/>
      <c r="W15" s="3638" t="s">
        <v>1692</v>
      </c>
      <c r="X15" s="3639"/>
      <c r="Y15" s="3640"/>
      <c r="Z15" s="3638" t="s">
        <v>3639</v>
      </c>
      <c r="AA15" s="3639"/>
      <c r="AB15" s="3640"/>
      <c r="AC15" s="3644" t="s">
        <v>3581</v>
      </c>
      <c r="AD15" s="3645"/>
      <c r="AE15" s="3646"/>
      <c r="AF15" s="3641" t="s">
        <v>1692</v>
      </c>
      <c r="AG15" s="3642"/>
      <c r="AH15" s="3643"/>
      <c r="AI15" s="3641" t="s">
        <v>3639</v>
      </c>
      <c r="AJ15" s="3642"/>
      <c r="AK15" s="3643"/>
      <c r="AL15" s="3644" t="s">
        <v>3654</v>
      </c>
      <c r="AM15" s="3645"/>
      <c r="AN15" s="3646"/>
      <c r="AO15" s="3638" t="s">
        <v>3581</v>
      </c>
      <c r="AP15" s="3639"/>
      <c r="AQ15" s="3640"/>
      <c r="AR15" s="3638" t="s">
        <v>1692</v>
      </c>
      <c r="AS15" s="3639"/>
      <c r="AT15" s="3640"/>
      <c r="AU15" s="3638" t="s">
        <v>3639</v>
      </c>
      <c r="AV15" s="3639"/>
      <c r="AW15" s="3640"/>
      <c r="AX15" s="3638" t="s">
        <v>3581</v>
      </c>
      <c r="AY15" s="3639"/>
      <c r="AZ15" s="3640"/>
      <c r="BA15" s="3638" t="s">
        <v>1692</v>
      </c>
      <c r="BB15" s="3639"/>
      <c r="BC15" s="3640"/>
      <c r="BD15" s="3638" t="s">
        <v>3639</v>
      </c>
      <c r="BE15" s="3639"/>
      <c r="BF15" s="3640"/>
      <c r="BG15" s="3638" t="s">
        <v>3581</v>
      </c>
      <c r="BH15" s="3639"/>
      <c r="BI15" s="3640"/>
      <c r="BJ15" s="3638" t="s">
        <v>1692</v>
      </c>
      <c r="BK15" s="3639"/>
      <c r="BL15" s="3640"/>
      <c r="BM15" s="3638" t="s">
        <v>3639</v>
      </c>
      <c r="BN15" s="3639"/>
      <c r="BO15" s="3640"/>
      <c r="BP15" s="3644" t="s">
        <v>3581</v>
      </c>
      <c r="BQ15" s="3645"/>
      <c r="BR15" s="3646"/>
      <c r="BS15" s="3641" t="s">
        <v>1692</v>
      </c>
      <c r="BT15" s="3642"/>
      <c r="BU15" s="3643"/>
      <c r="BV15" s="3641" t="s">
        <v>3639</v>
      </c>
      <c r="BW15" s="3642"/>
      <c r="BX15" s="3643"/>
      <c r="BY15" s="3644" t="s">
        <v>3654</v>
      </c>
      <c r="BZ15" s="3645"/>
      <c r="CA15" s="3646"/>
      <c r="CB15" s="3644" t="s">
        <v>3581</v>
      </c>
      <c r="CC15" s="3645"/>
      <c r="CD15" s="3646"/>
      <c r="CE15" s="3641" t="s">
        <v>1692</v>
      </c>
      <c r="CF15" s="3642"/>
      <c r="CG15" s="3643"/>
      <c r="CH15" s="3641" t="s">
        <v>3639</v>
      </c>
      <c r="CI15" s="3642"/>
      <c r="CJ15" s="3643"/>
      <c r="CK15" s="3644" t="s">
        <v>3654</v>
      </c>
      <c r="CL15" s="3645"/>
      <c r="CM15" s="3646"/>
      <c r="CN15" s="3638" t="s">
        <v>3581</v>
      </c>
      <c r="CO15" s="3639"/>
      <c r="CP15" s="3640"/>
      <c r="CQ15" s="3638" t="s">
        <v>1692</v>
      </c>
      <c r="CR15" s="3639"/>
      <c r="CS15" s="3640"/>
      <c r="CT15" s="3638" t="s">
        <v>3639</v>
      </c>
      <c r="CU15" s="3639"/>
      <c r="CV15" s="3640"/>
      <c r="CW15" s="3638" t="s">
        <v>3581</v>
      </c>
      <c r="CX15" s="3639"/>
      <c r="CY15" s="3640"/>
      <c r="CZ15" s="3638" t="s">
        <v>1692</v>
      </c>
      <c r="DA15" s="3639"/>
      <c r="DB15" s="3640"/>
      <c r="DC15" s="3638" t="s">
        <v>3639</v>
      </c>
      <c r="DD15" s="3639"/>
      <c r="DE15" s="3640"/>
      <c r="DF15" s="3638" t="s">
        <v>3581</v>
      </c>
      <c r="DG15" s="3639"/>
      <c r="DH15" s="3640"/>
      <c r="DI15" s="3638" t="s">
        <v>1692</v>
      </c>
      <c r="DJ15" s="3639"/>
      <c r="DK15" s="3640"/>
      <c r="DL15" s="3638" t="s">
        <v>3639</v>
      </c>
      <c r="DM15" s="3639"/>
      <c r="DN15" s="3640"/>
      <c r="DO15" s="3644" t="s">
        <v>3581</v>
      </c>
      <c r="DP15" s="3645"/>
      <c r="DQ15" s="3646"/>
      <c r="DR15" s="3641" t="s">
        <v>1692</v>
      </c>
      <c r="DS15" s="3642"/>
      <c r="DT15" s="3643"/>
      <c r="DU15" s="3641" t="s">
        <v>3639</v>
      </c>
      <c r="DV15" s="3642"/>
      <c r="DW15" s="3643"/>
      <c r="DX15" s="3644" t="s">
        <v>3654</v>
      </c>
      <c r="DY15" s="3645"/>
      <c r="DZ15" s="3646"/>
      <c r="EA15" s="3644" t="s">
        <v>3581</v>
      </c>
      <c r="EB15" s="3645"/>
      <c r="EC15" s="3646"/>
      <c r="ED15" s="3641" t="s">
        <v>1692</v>
      </c>
      <c r="EE15" s="3642"/>
      <c r="EF15" s="3643"/>
      <c r="EG15" s="3641" t="s">
        <v>3639</v>
      </c>
      <c r="EH15" s="3642"/>
      <c r="EI15" s="3643"/>
      <c r="EJ15" s="3644" t="s">
        <v>3654</v>
      </c>
      <c r="EK15" s="3645"/>
      <c r="EL15" s="3646"/>
      <c r="EM15" s="3638" t="s">
        <v>3581</v>
      </c>
      <c r="EN15" s="3639"/>
      <c r="EO15" s="3640"/>
      <c r="EP15" s="3638" t="s">
        <v>1692</v>
      </c>
      <c r="EQ15" s="3639"/>
      <c r="ER15" s="3640"/>
      <c r="ES15" s="3638" t="s">
        <v>3639</v>
      </c>
      <c r="ET15" s="3639"/>
      <c r="EU15" s="3640"/>
      <c r="EV15" s="3638" t="s">
        <v>3581</v>
      </c>
      <c r="EW15" s="3639"/>
      <c r="EX15" s="3640"/>
      <c r="EY15" s="3638" t="s">
        <v>1692</v>
      </c>
      <c r="EZ15" s="3639"/>
      <c r="FA15" s="3640"/>
      <c r="FB15" s="3638" t="s">
        <v>3639</v>
      </c>
      <c r="FC15" s="3639"/>
      <c r="FD15" s="3640"/>
      <c r="FE15" s="3638" t="s">
        <v>3581</v>
      </c>
      <c r="FF15" s="3639"/>
      <c r="FG15" s="3640"/>
      <c r="FH15" s="3638" t="s">
        <v>1692</v>
      </c>
      <c r="FI15" s="3639"/>
      <c r="FJ15" s="3640"/>
      <c r="FK15" s="3638" t="s">
        <v>3639</v>
      </c>
      <c r="FL15" s="3639"/>
      <c r="FM15" s="3640"/>
      <c r="FN15" s="3644" t="s">
        <v>3581</v>
      </c>
      <c r="FO15" s="3645"/>
      <c r="FP15" s="3646"/>
      <c r="FQ15" s="3641" t="s">
        <v>1692</v>
      </c>
      <c r="FR15" s="3642"/>
      <c r="FS15" s="3643"/>
      <c r="FT15" s="3641" t="s">
        <v>3639</v>
      </c>
      <c r="FU15" s="3642"/>
      <c r="FV15" s="3643"/>
      <c r="FW15" s="3644" t="s">
        <v>3654</v>
      </c>
      <c r="FX15" s="3645"/>
      <c r="FY15" s="3646"/>
      <c r="FZ15" s="3662" t="s">
        <v>3581</v>
      </c>
      <c r="GA15" s="3663"/>
      <c r="GB15" s="3664"/>
      <c r="GC15" s="3665" t="s">
        <v>1692</v>
      </c>
      <c r="GD15" s="3666"/>
      <c r="GE15" s="3667"/>
      <c r="GF15" s="3665" t="s">
        <v>3639</v>
      </c>
      <c r="GG15" s="3666"/>
      <c r="GH15" s="3667"/>
      <c r="GI15" s="3662" t="s">
        <v>3654</v>
      </c>
      <c r="GJ15" s="3663"/>
      <c r="GK15" s="3664"/>
    </row>
    <row r="16" spans="1:193" ht="24.75" customHeight="1" x14ac:dyDescent="0.2">
      <c r="A16" s="3637"/>
      <c r="B16" s="3095" t="s">
        <v>627</v>
      </c>
      <c r="C16" s="3095" t="s">
        <v>3668</v>
      </c>
      <c r="D16" s="3095" t="s">
        <v>3669</v>
      </c>
      <c r="E16" s="3095" t="s">
        <v>627</v>
      </c>
      <c r="F16" s="3095" t="s">
        <v>3668</v>
      </c>
      <c r="G16" s="3095" t="s">
        <v>3669</v>
      </c>
      <c r="H16" s="3095" t="s">
        <v>627</v>
      </c>
      <c r="I16" s="3095" t="s">
        <v>3668</v>
      </c>
      <c r="J16" s="3095" t="s">
        <v>3669</v>
      </c>
      <c r="K16" s="3095" t="s">
        <v>627</v>
      </c>
      <c r="L16" s="3095" t="s">
        <v>3668</v>
      </c>
      <c r="M16" s="3095" t="s">
        <v>3669</v>
      </c>
      <c r="N16" s="3095" t="s">
        <v>627</v>
      </c>
      <c r="O16" s="3095" t="s">
        <v>3668</v>
      </c>
      <c r="P16" s="3095" t="s">
        <v>3669</v>
      </c>
      <c r="Q16" s="3095" t="s">
        <v>627</v>
      </c>
      <c r="R16" s="3095" t="s">
        <v>3668</v>
      </c>
      <c r="S16" s="3095" t="s">
        <v>3669</v>
      </c>
      <c r="T16" s="3095" t="s">
        <v>627</v>
      </c>
      <c r="U16" s="3095" t="s">
        <v>3668</v>
      </c>
      <c r="V16" s="3095" t="s">
        <v>3669</v>
      </c>
      <c r="W16" s="3095" t="s">
        <v>627</v>
      </c>
      <c r="X16" s="3095" t="s">
        <v>3668</v>
      </c>
      <c r="Y16" s="3095" t="s">
        <v>3669</v>
      </c>
      <c r="Z16" s="3095" t="s">
        <v>627</v>
      </c>
      <c r="AA16" s="3095" t="s">
        <v>3668</v>
      </c>
      <c r="AB16" s="3095" t="s">
        <v>3669</v>
      </c>
      <c r="AC16" s="3096" t="s">
        <v>627</v>
      </c>
      <c r="AD16" s="3096" t="s">
        <v>3668</v>
      </c>
      <c r="AE16" s="3096" t="s">
        <v>3669</v>
      </c>
      <c r="AF16" s="3096" t="s">
        <v>627</v>
      </c>
      <c r="AG16" s="3096" t="s">
        <v>3668</v>
      </c>
      <c r="AH16" s="3096" t="s">
        <v>3669</v>
      </c>
      <c r="AI16" s="3096" t="s">
        <v>627</v>
      </c>
      <c r="AJ16" s="3096" t="s">
        <v>3668</v>
      </c>
      <c r="AK16" s="3096" t="s">
        <v>3669</v>
      </c>
      <c r="AL16" s="3096" t="s">
        <v>627</v>
      </c>
      <c r="AM16" s="3096" t="s">
        <v>3668</v>
      </c>
      <c r="AN16" s="3096" t="s">
        <v>3669</v>
      </c>
      <c r="AO16" s="3095" t="s">
        <v>627</v>
      </c>
      <c r="AP16" s="3095" t="s">
        <v>3668</v>
      </c>
      <c r="AQ16" s="3095" t="s">
        <v>3669</v>
      </c>
      <c r="AR16" s="3095" t="s">
        <v>627</v>
      </c>
      <c r="AS16" s="3095" t="s">
        <v>3668</v>
      </c>
      <c r="AT16" s="3095" t="s">
        <v>3669</v>
      </c>
      <c r="AU16" s="3095" t="s">
        <v>627</v>
      </c>
      <c r="AV16" s="3095" t="s">
        <v>3668</v>
      </c>
      <c r="AW16" s="3095" t="s">
        <v>3669</v>
      </c>
      <c r="AX16" s="3095" t="s">
        <v>627</v>
      </c>
      <c r="AY16" s="3095" t="s">
        <v>3668</v>
      </c>
      <c r="AZ16" s="3095" t="s">
        <v>3669</v>
      </c>
      <c r="BA16" s="3095" t="s">
        <v>627</v>
      </c>
      <c r="BB16" s="3095" t="s">
        <v>3668</v>
      </c>
      <c r="BC16" s="3095" t="s">
        <v>3669</v>
      </c>
      <c r="BD16" s="3095" t="s">
        <v>627</v>
      </c>
      <c r="BE16" s="3095" t="s">
        <v>3668</v>
      </c>
      <c r="BF16" s="3095" t="s">
        <v>3669</v>
      </c>
      <c r="BG16" s="3095" t="s">
        <v>627</v>
      </c>
      <c r="BH16" s="3095" t="s">
        <v>3668</v>
      </c>
      <c r="BI16" s="3095" t="s">
        <v>3669</v>
      </c>
      <c r="BJ16" s="3095" t="s">
        <v>627</v>
      </c>
      <c r="BK16" s="3095" t="s">
        <v>3668</v>
      </c>
      <c r="BL16" s="3095" t="s">
        <v>3669</v>
      </c>
      <c r="BM16" s="3095" t="s">
        <v>627</v>
      </c>
      <c r="BN16" s="3095" t="s">
        <v>3668</v>
      </c>
      <c r="BO16" s="3095" t="s">
        <v>3669</v>
      </c>
      <c r="BP16" s="3096" t="s">
        <v>627</v>
      </c>
      <c r="BQ16" s="3096" t="s">
        <v>3668</v>
      </c>
      <c r="BR16" s="3096" t="s">
        <v>3669</v>
      </c>
      <c r="BS16" s="3096" t="s">
        <v>627</v>
      </c>
      <c r="BT16" s="3096" t="s">
        <v>3668</v>
      </c>
      <c r="BU16" s="3096" t="s">
        <v>3669</v>
      </c>
      <c r="BV16" s="3096" t="s">
        <v>627</v>
      </c>
      <c r="BW16" s="3096" t="s">
        <v>3668</v>
      </c>
      <c r="BX16" s="3096" t="s">
        <v>3669</v>
      </c>
      <c r="BY16" s="3096" t="s">
        <v>627</v>
      </c>
      <c r="BZ16" s="3096" t="s">
        <v>3668</v>
      </c>
      <c r="CA16" s="3096" t="s">
        <v>3669</v>
      </c>
      <c r="CB16" s="3096" t="s">
        <v>627</v>
      </c>
      <c r="CC16" s="3096" t="s">
        <v>3668</v>
      </c>
      <c r="CD16" s="3096" t="s">
        <v>3669</v>
      </c>
      <c r="CE16" s="3096" t="s">
        <v>627</v>
      </c>
      <c r="CF16" s="3096" t="s">
        <v>3668</v>
      </c>
      <c r="CG16" s="3096" t="s">
        <v>3669</v>
      </c>
      <c r="CH16" s="3096" t="s">
        <v>627</v>
      </c>
      <c r="CI16" s="3096" t="s">
        <v>3668</v>
      </c>
      <c r="CJ16" s="3096" t="s">
        <v>3669</v>
      </c>
      <c r="CK16" s="3096" t="s">
        <v>627</v>
      </c>
      <c r="CL16" s="3096" t="s">
        <v>3668</v>
      </c>
      <c r="CM16" s="3096" t="s">
        <v>3669</v>
      </c>
      <c r="CN16" s="3095" t="s">
        <v>627</v>
      </c>
      <c r="CO16" s="3095" t="s">
        <v>3668</v>
      </c>
      <c r="CP16" s="3095" t="s">
        <v>3669</v>
      </c>
      <c r="CQ16" s="3095" t="s">
        <v>627</v>
      </c>
      <c r="CR16" s="3095" t="s">
        <v>3668</v>
      </c>
      <c r="CS16" s="3095" t="s">
        <v>3669</v>
      </c>
      <c r="CT16" s="3095" t="s">
        <v>627</v>
      </c>
      <c r="CU16" s="3095" t="s">
        <v>3668</v>
      </c>
      <c r="CV16" s="3095" t="s">
        <v>3669</v>
      </c>
      <c r="CW16" s="3095" t="s">
        <v>627</v>
      </c>
      <c r="CX16" s="3095" t="s">
        <v>3668</v>
      </c>
      <c r="CY16" s="3095" t="s">
        <v>3669</v>
      </c>
      <c r="CZ16" s="3095" t="s">
        <v>627</v>
      </c>
      <c r="DA16" s="3095" t="s">
        <v>3668</v>
      </c>
      <c r="DB16" s="3095" t="s">
        <v>3669</v>
      </c>
      <c r="DC16" s="3095" t="s">
        <v>627</v>
      </c>
      <c r="DD16" s="3095" t="s">
        <v>3668</v>
      </c>
      <c r="DE16" s="3095" t="s">
        <v>3669</v>
      </c>
      <c r="DF16" s="3095" t="s">
        <v>627</v>
      </c>
      <c r="DG16" s="3095" t="s">
        <v>3668</v>
      </c>
      <c r="DH16" s="3095" t="s">
        <v>3669</v>
      </c>
      <c r="DI16" s="3095" t="s">
        <v>627</v>
      </c>
      <c r="DJ16" s="3095" t="s">
        <v>3668</v>
      </c>
      <c r="DK16" s="3095" t="s">
        <v>3669</v>
      </c>
      <c r="DL16" s="3095" t="s">
        <v>627</v>
      </c>
      <c r="DM16" s="3095" t="s">
        <v>3668</v>
      </c>
      <c r="DN16" s="3095" t="s">
        <v>3669</v>
      </c>
      <c r="DO16" s="3096" t="s">
        <v>627</v>
      </c>
      <c r="DP16" s="3096" t="s">
        <v>3668</v>
      </c>
      <c r="DQ16" s="3096" t="s">
        <v>3669</v>
      </c>
      <c r="DR16" s="3096" t="s">
        <v>627</v>
      </c>
      <c r="DS16" s="3096" t="s">
        <v>3668</v>
      </c>
      <c r="DT16" s="3096" t="s">
        <v>3669</v>
      </c>
      <c r="DU16" s="3096" t="s">
        <v>627</v>
      </c>
      <c r="DV16" s="3096" t="s">
        <v>3668</v>
      </c>
      <c r="DW16" s="3096" t="s">
        <v>3669</v>
      </c>
      <c r="DX16" s="3096" t="s">
        <v>627</v>
      </c>
      <c r="DY16" s="3096" t="s">
        <v>3668</v>
      </c>
      <c r="DZ16" s="3096" t="s">
        <v>3669</v>
      </c>
      <c r="EA16" s="3096" t="s">
        <v>627</v>
      </c>
      <c r="EB16" s="3096" t="s">
        <v>3668</v>
      </c>
      <c r="EC16" s="3096" t="s">
        <v>3669</v>
      </c>
      <c r="ED16" s="3096" t="s">
        <v>627</v>
      </c>
      <c r="EE16" s="3096" t="s">
        <v>3668</v>
      </c>
      <c r="EF16" s="3096" t="s">
        <v>3669</v>
      </c>
      <c r="EG16" s="3096" t="s">
        <v>627</v>
      </c>
      <c r="EH16" s="3096" t="s">
        <v>3668</v>
      </c>
      <c r="EI16" s="3096" t="s">
        <v>3669</v>
      </c>
      <c r="EJ16" s="3096" t="s">
        <v>627</v>
      </c>
      <c r="EK16" s="3096" t="s">
        <v>3668</v>
      </c>
      <c r="EL16" s="3096" t="s">
        <v>3669</v>
      </c>
      <c r="EM16" s="3095" t="s">
        <v>627</v>
      </c>
      <c r="EN16" s="3095" t="s">
        <v>3668</v>
      </c>
      <c r="EO16" s="3095" t="s">
        <v>3669</v>
      </c>
      <c r="EP16" s="3095" t="s">
        <v>627</v>
      </c>
      <c r="EQ16" s="3095" t="s">
        <v>3668</v>
      </c>
      <c r="ER16" s="3095" t="s">
        <v>3669</v>
      </c>
      <c r="ES16" s="3095" t="s">
        <v>627</v>
      </c>
      <c r="ET16" s="3095" t="s">
        <v>3668</v>
      </c>
      <c r="EU16" s="3095" t="s">
        <v>3669</v>
      </c>
      <c r="EV16" s="3095" t="s">
        <v>627</v>
      </c>
      <c r="EW16" s="3095" t="s">
        <v>3668</v>
      </c>
      <c r="EX16" s="3095" t="s">
        <v>3669</v>
      </c>
      <c r="EY16" s="3095" t="s">
        <v>627</v>
      </c>
      <c r="EZ16" s="3095" t="s">
        <v>3668</v>
      </c>
      <c r="FA16" s="3095" t="s">
        <v>3669</v>
      </c>
      <c r="FB16" s="3095" t="s">
        <v>627</v>
      </c>
      <c r="FC16" s="3095" t="s">
        <v>3668</v>
      </c>
      <c r="FD16" s="3095" t="s">
        <v>3669</v>
      </c>
      <c r="FE16" s="3095" t="s">
        <v>627</v>
      </c>
      <c r="FF16" s="3095" t="s">
        <v>3668</v>
      </c>
      <c r="FG16" s="3095" t="s">
        <v>3669</v>
      </c>
      <c r="FH16" s="3095" t="s">
        <v>627</v>
      </c>
      <c r="FI16" s="3095" t="s">
        <v>3668</v>
      </c>
      <c r="FJ16" s="3095" t="s">
        <v>3669</v>
      </c>
      <c r="FK16" s="3095" t="s">
        <v>627</v>
      </c>
      <c r="FL16" s="3095" t="s">
        <v>3668</v>
      </c>
      <c r="FM16" s="3095" t="s">
        <v>3669</v>
      </c>
      <c r="FN16" s="3096" t="s">
        <v>627</v>
      </c>
      <c r="FO16" s="3096" t="s">
        <v>3668</v>
      </c>
      <c r="FP16" s="3096" t="s">
        <v>3669</v>
      </c>
      <c r="FQ16" s="3096" t="s">
        <v>627</v>
      </c>
      <c r="FR16" s="3096" t="s">
        <v>3668</v>
      </c>
      <c r="FS16" s="3096" t="s">
        <v>3669</v>
      </c>
      <c r="FT16" s="3096" t="s">
        <v>627</v>
      </c>
      <c r="FU16" s="3096" t="s">
        <v>3668</v>
      </c>
      <c r="FV16" s="3096" t="s">
        <v>3669</v>
      </c>
      <c r="FW16" s="3096" t="s">
        <v>627</v>
      </c>
      <c r="FX16" s="3096" t="s">
        <v>3668</v>
      </c>
      <c r="FY16" s="3096" t="s">
        <v>3669</v>
      </c>
      <c r="FZ16" s="3217" t="s">
        <v>627</v>
      </c>
      <c r="GA16" s="3217" t="s">
        <v>3668</v>
      </c>
      <c r="GB16" s="3217" t="s">
        <v>3669</v>
      </c>
      <c r="GC16" s="3217" t="s">
        <v>627</v>
      </c>
      <c r="GD16" s="3217" t="s">
        <v>3668</v>
      </c>
      <c r="GE16" s="3217" t="s">
        <v>3669</v>
      </c>
      <c r="GF16" s="3217" t="s">
        <v>627</v>
      </c>
      <c r="GG16" s="3217" t="s">
        <v>3668</v>
      </c>
      <c r="GH16" s="3217" t="s">
        <v>3669</v>
      </c>
      <c r="GI16" s="3217" t="s">
        <v>627</v>
      </c>
      <c r="GJ16" s="3217" t="s">
        <v>3668</v>
      </c>
      <c r="GK16" s="3217" t="s">
        <v>3669</v>
      </c>
    </row>
    <row r="17" spans="1:193" ht="18.75" customHeight="1" x14ac:dyDescent="0.3">
      <c r="A17" s="3111" t="s">
        <v>3641</v>
      </c>
      <c r="B17" s="3178">
        <f>SUM(C17:D17)</f>
        <v>4725.3</v>
      </c>
      <c r="C17" s="3178">
        <f>SUM(C10*C23)</f>
        <v>4725.3</v>
      </c>
      <c r="D17" s="3178"/>
      <c r="E17" s="3178">
        <f>SUM(F17:G17)</f>
        <v>5175.7299999999996</v>
      </c>
      <c r="F17" s="3192">
        <v>5175.7299999999996</v>
      </c>
      <c r="G17" s="3192"/>
      <c r="H17" s="3192">
        <v>4924.45</v>
      </c>
      <c r="I17" s="3192">
        <f>SUM(H17)</f>
        <v>4924.45</v>
      </c>
      <c r="J17" s="3192"/>
      <c r="K17" s="3178">
        <f>SUM(L17:M17)</f>
        <v>4725.3</v>
      </c>
      <c r="L17" s="3178">
        <f>SUM(L10*L23)</f>
        <v>4725.3</v>
      </c>
      <c r="M17" s="3178"/>
      <c r="N17" s="3178">
        <f>SUM(O17:P17)</f>
        <v>4840.32</v>
      </c>
      <c r="O17" s="3192">
        <v>4840.32</v>
      </c>
      <c r="P17" s="3192"/>
      <c r="Q17" s="3192">
        <v>4692.26</v>
      </c>
      <c r="R17" s="3192">
        <f>SUM(Q17)</f>
        <v>4692.26</v>
      </c>
      <c r="S17" s="3192"/>
      <c r="T17" s="3178">
        <f>SUM(U17:V17)</f>
        <v>4725.3</v>
      </c>
      <c r="U17" s="3178">
        <f>SUM(U10*U23)</f>
        <v>4725.3</v>
      </c>
      <c r="V17" s="3178"/>
      <c r="W17" s="3178">
        <f>SUM(X17:Y17)</f>
        <v>4690.96</v>
      </c>
      <c r="X17" s="3192">
        <v>4690.96</v>
      </c>
      <c r="Y17" s="3192"/>
      <c r="Z17" s="3192">
        <v>4633.6400000000003</v>
      </c>
      <c r="AA17" s="3192">
        <f>SUM(Z17)</f>
        <v>4633.6400000000003</v>
      </c>
      <c r="AB17" s="3192"/>
      <c r="AC17" s="3180">
        <f t="shared" ref="AC17:AC21" si="133">SUM(B17+K17+T17)</f>
        <v>14175.900000000001</v>
      </c>
      <c r="AD17" s="3180">
        <f t="shared" ref="AD17:AD21" si="134">SUM(C17+L17+U17)</f>
        <v>14175.900000000001</v>
      </c>
      <c r="AE17" s="3180">
        <f t="shared" ref="AE17:AE21" si="135">SUM(D17+M17+V17)</f>
        <v>0</v>
      </c>
      <c r="AF17" s="3180">
        <f t="shared" ref="AF17:AF21" si="136">SUM(E17+N17+W17)</f>
        <v>14707.009999999998</v>
      </c>
      <c r="AG17" s="3180">
        <f t="shared" ref="AG17:AG21" si="137">SUM(F17+O17+X17)</f>
        <v>14707.009999999998</v>
      </c>
      <c r="AH17" s="3180">
        <f t="shared" ref="AH17:AH21" si="138">SUM(G17+P17+Y17)</f>
        <v>0</v>
      </c>
      <c r="AI17" s="3180">
        <f t="shared" ref="AI17:AI21" si="139">SUM(H17+Q17+Z17)</f>
        <v>14250.349999999999</v>
      </c>
      <c r="AJ17" s="3180">
        <f t="shared" ref="AJ17:AJ21" si="140">SUM(I17+R17+AA17)</f>
        <v>14250.349999999999</v>
      </c>
      <c r="AK17" s="3180">
        <f t="shared" ref="AK17:AK21" si="141">SUM(J17+S17+AB17)</f>
        <v>0</v>
      </c>
      <c r="AL17" s="3143">
        <f t="shared" ref="AL17:AL22" si="142">SUM(AF17-AC17)</f>
        <v>531.10999999999694</v>
      </c>
      <c r="AM17" s="3143">
        <f t="shared" ref="AM17:AM26" si="143">SUM(AG17-AD17)</f>
        <v>531.10999999999694</v>
      </c>
      <c r="AN17" s="3143">
        <f t="shared" ref="AN17:AN26" si="144">SUM(AH17-AE17)</f>
        <v>0</v>
      </c>
      <c r="AO17" s="3178">
        <f>SUM(AP17:AQ17)</f>
        <v>4725.3</v>
      </c>
      <c r="AP17" s="3178">
        <f>SUM(AP10*AP23)</f>
        <v>4725.3</v>
      </c>
      <c r="AQ17" s="3178"/>
      <c r="AR17" s="3178">
        <f>SUM(AS17:AT17)</f>
        <v>4831.13</v>
      </c>
      <c r="AS17" s="3192">
        <v>4831.13</v>
      </c>
      <c r="AT17" s="3192"/>
      <c r="AU17" s="3192">
        <v>4837.08</v>
      </c>
      <c r="AV17" s="3192">
        <f>SUM(AU17)</f>
        <v>4837.08</v>
      </c>
      <c r="AW17" s="3192"/>
      <c r="AX17" s="3178">
        <f>SUM(AY17:AZ17)</f>
        <v>4725.3</v>
      </c>
      <c r="AY17" s="3178">
        <f>SUM(AY10*AY23)</f>
        <v>4725.3</v>
      </c>
      <c r="AZ17" s="3178"/>
      <c r="BA17" s="3178">
        <f>SUM(BB17:BC17)</f>
        <v>4887.8500000000004</v>
      </c>
      <c r="BB17" s="3192">
        <v>4887.8500000000004</v>
      </c>
      <c r="BC17" s="3192"/>
      <c r="BD17" s="3192">
        <v>4681.66</v>
      </c>
      <c r="BE17" s="3192">
        <f>SUM(BD17)</f>
        <v>4681.66</v>
      </c>
      <c r="BF17" s="3192"/>
      <c r="BG17" s="3178">
        <f>SUM(BH17:BI17)</f>
        <v>4725.3</v>
      </c>
      <c r="BH17" s="3178">
        <f>SUM(BH10*BH23)</f>
        <v>4725.3</v>
      </c>
      <c r="BI17" s="3178"/>
      <c r="BJ17" s="3178">
        <f>SUM(BK17:BL17)</f>
        <v>4734.8100000000004</v>
      </c>
      <c r="BK17" s="3192">
        <v>4734.8100000000004</v>
      </c>
      <c r="BL17" s="3192"/>
      <c r="BM17" s="3192">
        <v>5007.08</v>
      </c>
      <c r="BN17" s="3192">
        <f>SUM(BM17)</f>
        <v>5007.08</v>
      </c>
      <c r="BO17" s="3192"/>
      <c r="BP17" s="3180">
        <f t="shared" ref="BP17:BP21" si="145">SUM(AO17+AX17+BG17)</f>
        <v>14175.900000000001</v>
      </c>
      <c r="BQ17" s="3180">
        <f t="shared" ref="BQ17:BQ21" si="146">SUM(AP17+AY17+BH17)</f>
        <v>14175.900000000001</v>
      </c>
      <c r="BR17" s="3180">
        <f t="shared" ref="BR17:BR21" si="147">SUM(AQ17+AZ17+BI17)</f>
        <v>0</v>
      </c>
      <c r="BS17" s="3180">
        <f t="shared" ref="BS17:BS21" si="148">SUM(AR17+BA17+BJ17)</f>
        <v>14453.79</v>
      </c>
      <c r="BT17" s="3180">
        <f t="shared" ref="BT17:BT21" si="149">SUM(AS17+BB17+BK17)</f>
        <v>14453.79</v>
      </c>
      <c r="BU17" s="3180">
        <f t="shared" ref="BU17:BU21" si="150">SUM(AT17+BC17+BL17)</f>
        <v>0</v>
      </c>
      <c r="BV17" s="3180">
        <f t="shared" ref="BV17:BV21" si="151">SUM(AU17+BD17+BM17)</f>
        <v>14525.82</v>
      </c>
      <c r="BW17" s="3180">
        <f t="shared" ref="BW17:BW21" si="152">SUM(AV17+BE17+BN17)</f>
        <v>14525.82</v>
      </c>
      <c r="BX17" s="3180">
        <f t="shared" ref="BX17:BX21" si="153">SUM(AW17+BF17+BO17)</f>
        <v>0</v>
      </c>
      <c r="BY17" s="3143">
        <f t="shared" ref="BY17:BY26" si="154">SUM(BS17-BP17)</f>
        <v>277.88999999999942</v>
      </c>
      <c r="BZ17" s="3143">
        <f t="shared" ref="BZ17:BZ26" si="155">SUM(BT17-BQ17)</f>
        <v>277.88999999999942</v>
      </c>
      <c r="CA17" s="3143">
        <f t="shared" ref="CA17:CA26" si="156">SUM(BU17-BR17)</f>
        <v>0</v>
      </c>
      <c r="CB17" s="3180">
        <f t="shared" ref="CB17:CB21" si="157">SUM(AC17+BP17)</f>
        <v>28351.800000000003</v>
      </c>
      <c r="CC17" s="3180">
        <f t="shared" ref="CC17:CC21" si="158">SUM(AD17+BQ17)</f>
        <v>28351.800000000003</v>
      </c>
      <c r="CD17" s="3180">
        <f t="shared" ref="CD17:CD21" si="159">SUM(AE17+BR17)</f>
        <v>0</v>
      </c>
      <c r="CE17" s="3180">
        <f t="shared" ref="CE17:CE21" si="160">SUM(AF17+BS17)</f>
        <v>29160.799999999999</v>
      </c>
      <c r="CF17" s="3180">
        <f t="shared" ref="CF17:CF21" si="161">SUM(AG17+BT17)</f>
        <v>29160.799999999999</v>
      </c>
      <c r="CG17" s="3180">
        <f t="shared" ref="CG17:CG21" si="162">SUM(AH17+BU17)</f>
        <v>0</v>
      </c>
      <c r="CH17" s="3180">
        <f t="shared" ref="CH17:CH21" si="163">SUM(AI17+BV17)</f>
        <v>28776.17</v>
      </c>
      <c r="CI17" s="3180">
        <f t="shared" ref="CI17:CI21" si="164">SUM(AJ17+BW17)</f>
        <v>28776.17</v>
      </c>
      <c r="CJ17" s="3180">
        <f t="shared" ref="CJ17:CJ21" si="165">SUM(AK17+BX17)</f>
        <v>0</v>
      </c>
      <c r="CK17" s="3143">
        <f t="shared" ref="CK17:CK26" si="166">SUM(CE17-CB17)</f>
        <v>808.99999999999636</v>
      </c>
      <c r="CL17" s="3143">
        <f t="shared" ref="CL17:CL26" si="167">SUM(CF17-CC17)</f>
        <v>808.99999999999636</v>
      </c>
      <c r="CM17" s="3143">
        <f t="shared" ref="CM17:CM26" si="168">SUM(CG17-CD17)</f>
        <v>0</v>
      </c>
      <c r="CN17" s="3178">
        <f>SUM(CO17:CP17)</f>
        <v>4833.9818999999998</v>
      </c>
      <c r="CO17" s="3178">
        <f>SUM(CO10*CO23)</f>
        <v>4833.9818999999998</v>
      </c>
      <c r="CP17" s="3178"/>
      <c r="CQ17" s="3178">
        <f>SUM(CR17:CS17)</f>
        <v>4750.4799999999996</v>
      </c>
      <c r="CR17" s="3192">
        <v>4750.4799999999996</v>
      </c>
      <c r="CS17" s="3192"/>
      <c r="CT17" s="3192">
        <v>4606.63</v>
      </c>
      <c r="CU17" s="3192">
        <f>SUM(CT17)</f>
        <v>4606.63</v>
      </c>
      <c r="CV17" s="3192"/>
      <c r="CW17" s="3178">
        <f>SUM(CX17:CY17)</f>
        <v>4833.9818999999998</v>
      </c>
      <c r="CX17" s="3178">
        <f>SUM(CX10*CX23)</f>
        <v>4833.9818999999998</v>
      </c>
      <c r="CY17" s="3178"/>
      <c r="CZ17" s="3178">
        <f>SUM(DA17:DB17)</f>
        <v>5522.46</v>
      </c>
      <c r="DA17" s="3192">
        <v>5522.46</v>
      </c>
      <c r="DB17" s="3192"/>
      <c r="DC17" s="3192">
        <v>5063.24</v>
      </c>
      <c r="DD17" s="3192">
        <f>SUM(DC17)</f>
        <v>5063.24</v>
      </c>
      <c r="DE17" s="3192"/>
      <c r="DF17" s="3178">
        <f>SUM(DG17:DH17)</f>
        <v>4833.9818999999998</v>
      </c>
      <c r="DG17" s="3178">
        <f>SUM(DG10*DG23)</f>
        <v>4833.9818999999998</v>
      </c>
      <c r="DH17" s="3178"/>
      <c r="DI17" s="3178">
        <f>SUM(DJ17:DK17)</f>
        <v>4420.9059999999999</v>
      </c>
      <c r="DJ17" s="3192">
        <v>4420.9059999999999</v>
      </c>
      <c r="DK17" s="3192"/>
      <c r="DL17" s="3192">
        <v>4746.17</v>
      </c>
      <c r="DM17" s="3192">
        <f>SUM(DL17)</f>
        <v>4746.17</v>
      </c>
      <c r="DN17" s="3192"/>
      <c r="DO17" s="3180">
        <f t="shared" ref="DO17:DO21" si="169">SUM(CN17+CW17+DF17)</f>
        <v>14501.9457</v>
      </c>
      <c r="DP17" s="3180">
        <f t="shared" ref="DP17:DP21" si="170">SUM(CO17+CX17+DG17)</f>
        <v>14501.9457</v>
      </c>
      <c r="DQ17" s="3180">
        <f t="shared" ref="DQ17:DQ21" si="171">SUM(CP17+CY17+DH17)</f>
        <v>0</v>
      </c>
      <c r="DR17" s="3180">
        <f t="shared" ref="DR17:DR21" si="172">SUM(CQ17+CZ17+DI17)</f>
        <v>14693.845999999998</v>
      </c>
      <c r="DS17" s="3180">
        <f t="shared" ref="DS17:DS21" si="173">SUM(CR17+DA17+DJ17)</f>
        <v>14693.845999999998</v>
      </c>
      <c r="DT17" s="3180">
        <f t="shared" ref="DT17:DT21" si="174">SUM(CS17+DB17+DK17)</f>
        <v>0</v>
      </c>
      <c r="DU17" s="3180">
        <f t="shared" ref="DU17:DU21" si="175">SUM(CT17+DC17+DL17)</f>
        <v>14416.039999999999</v>
      </c>
      <c r="DV17" s="3180">
        <f t="shared" ref="DV17:DV21" si="176">SUM(CU17+DD17+DM17)</f>
        <v>14416.039999999999</v>
      </c>
      <c r="DW17" s="3180">
        <f t="shared" ref="DW17:DW21" si="177">SUM(CV17+DE17+DN17)</f>
        <v>0</v>
      </c>
      <c r="DX17" s="3143">
        <f t="shared" ref="DX17:DX26" si="178">SUM(DR17-DO17)</f>
        <v>191.90029999999751</v>
      </c>
      <c r="DY17" s="3143">
        <f t="shared" ref="DY17:DY26" si="179">SUM(DS17-DP17)</f>
        <v>191.90029999999751</v>
      </c>
      <c r="DZ17" s="3143">
        <f t="shared" ref="DZ17:DZ26" si="180">SUM(DT17-DQ17)</f>
        <v>0</v>
      </c>
      <c r="EA17" s="3180">
        <f t="shared" ref="EA17:EA21" si="181">SUM(CB17+DO17)</f>
        <v>42853.745699999999</v>
      </c>
      <c r="EB17" s="3180">
        <f t="shared" ref="EB17:EB21" si="182">SUM(CC17+DP17)</f>
        <v>42853.745699999999</v>
      </c>
      <c r="EC17" s="3180">
        <f t="shared" ref="EC17:EC21" si="183">SUM(CD17+DQ17)</f>
        <v>0</v>
      </c>
      <c r="ED17" s="3180">
        <f t="shared" ref="ED17:ED21" si="184">SUM(CE17+DR17)</f>
        <v>43854.645999999993</v>
      </c>
      <c r="EE17" s="3180">
        <f t="shared" ref="EE17:EE21" si="185">SUM(CF17+DS17)</f>
        <v>43854.645999999993</v>
      </c>
      <c r="EF17" s="3180">
        <f t="shared" ref="EF17:EF21" si="186">SUM(CG17+DT17)</f>
        <v>0</v>
      </c>
      <c r="EG17" s="3180">
        <f t="shared" ref="EG17:EG21" si="187">SUM(CH17+DU17)</f>
        <v>43192.21</v>
      </c>
      <c r="EH17" s="3180">
        <f t="shared" ref="EH17:EH21" si="188">SUM(CI17+DV17)</f>
        <v>43192.21</v>
      </c>
      <c r="EI17" s="3180">
        <f t="shared" ref="EI17:EI21" si="189">SUM(CJ17+DW17)</f>
        <v>0</v>
      </c>
      <c r="EJ17" s="3143">
        <f t="shared" ref="EJ17:EJ26" si="190">SUM(ED17-EA17)</f>
        <v>1000.9002999999939</v>
      </c>
      <c r="EK17" s="3143">
        <f t="shared" ref="EK17:EK26" si="191">SUM(EE17-EB17)</f>
        <v>1000.9002999999939</v>
      </c>
      <c r="EL17" s="3143">
        <f t="shared" ref="EL17:EL26" si="192">SUM(EF17-EC17)</f>
        <v>0</v>
      </c>
      <c r="EM17" s="3178">
        <f>SUM(EN17:EO17)</f>
        <v>4833.9818999999998</v>
      </c>
      <c r="EN17" s="3178">
        <f>SUM(EN10*EN23)</f>
        <v>4833.9818999999998</v>
      </c>
      <c r="EO17" s="3178"/>
      <c r="EP17" s="3178">
        <f>SUM(EQ17:ER17)</f>
        <v>0</v>
      </c>
      <c r="EQ17" s="3192"/>
      <c r="ER17" s="3192"/>
      <c r="ES17" s="3192">
        <v>4983.43</v>
      </c>
      <c r="ET17" s="3192">
        <f>SUM(ES17)</f>
        <v>4983.43</v>
      </c>
      <c r="EU17" s="3192"/>
      <c r="EV17" s="3178">
        <f>SUM(EW17:EX17)</f>
        <v>4833.9818999999998</v>
      </c>
      <c r="EW17" s="3178">
        <f>SUM(EW10*EW23)</f>
        <v>4833.9818999999998</v>
      </c>
      <c r="EX17" s="3178"/>
      <c r="EY17" s="3178">
        <f>SUM(EZ17:FA17)</f>
        <v>0</v>
      </c>
      <c r="EZ17" s="3192"/>
      <c r="FA17" s="3192"/>
      <c r="FB17" s="3192">
        <v>4772.83</v>
      </c>
      <c r="FC17" s="3192">
        <f>SUM(FB17)</f>
        <v>4772.83</v>
      </c>
      <c r="FD17" s="3192"/>
      <c r="FE17" s="3178">
        <f>SUM(FF17:FG17)</f>
        <v>4833.9818999999998</v>
      </c>
      <c r="FF17" s="3178">
        <f>SUM(FF10*FF23)</f>
        <v>4833.9818999999998</v>
      </c>
      <c r="FG17" s="3178"/>
      <c r="FH17" s="3178">
        <f>SUM(FI17:FJ17)</f>
        <v>0</v>
      </c>
      <c r="FI17" s="3192"/>
      <c r="FJ17" s="3192"/>
      <c r="FK17" s="3192">
        <v>4645.78</v>
      </c>
      <c r="FL17" s="3192">
        <f>SUM(FK17)</f>
        <v>4645.78</v>
      </c>
      <c r="FM17" s="3192"/>
      <c r="FN17" s="3180">
        <f t="shared" ref="FN17:FN21" si="193">SUM(EM17+EV17+FE17)</f>
        <v>14501.9457</v>
      </c>
      <c r="FO17" s="3180">
        <f t="shared" ref="FO17:FO21" si="194">SUM(EN17+EW17+FF17)</f>
        <v>14501.9457</v>
      </c>
      <c r="FP17" s="3180">
        <f t="shared" ref="FP17:FP21" si="195">SUM(EO17+EX17+FG17)</f>
        <v>0</v>
      </c>
      <c r="FQ17" s="3180">
        <f t="shared" ref="FQ17:FQ21" si="196">SUM(EP17+EY17+FH17)</f>
        <v>0</v>
      </c>
      <c r="FR17" s="3180">
        <f t="shared" ref="FR17:FR21" si="197">SUM(EQ17+EZ17+FI17)</f>
        <v>0</v>
      </c>
      <c r="FS17" s="3180">
        <f t="shared" ref="FS17:FS21" si="198">SUM(ER17+FA17+FJ17)</f>
        <v>0</v>
      </c>
      <c r="FT17" s="3180">
        <f t="shared" ref="FT17:FT21" si="199">SUM(ES17+FB17+FK17)</f>
        <v>14402.04</v>
      </c>
      <c r="FU17" s="3180">
        <f t="shared" ref="FU17:FU21" si="200">SUM(ET17+FC17+FL17)</f>
        <v>14402.04</v>
      </c>
      <c r="FV17" s="3180">
        <f t="shared" ref="FV17:FV21" si="201">SUM(EU17+FD17+FM17)</f>
        <v>0</v>
      </c>
      <c r="FW17" s="3143">
        <f t="shared" ref="FW17:FW26" si="202">SUM(FQ17-FN17)</f>
        <v>-14501.9457</v>
      </c>
      <c r="FX17" s="3143">
        <f t="shared" ref="FX17:FX26" si="203">SUM(FR17-FO17)</f>
        <v>-14501.9457</v>
      </c>
      <c r="FY17" s="3143">
        <f t="shared" ref="FY17:FY26" si="204">SUM(FS17-FP17)</f>
        <v>0</v>
      </c>
      <c r="FZ17" s="3242">
        <f t="shared" ref="FZ17:FZ21" si="205">SUM(EA17+FN17)</f>
        <v>57355.691399999996</v>
      </c>
      <c r="GA17" s="3242">
        <f t="shared" ref="GA17:GA21" si="206">SUM(EB17+FO17)</f>
        <v>57355.691399999996</v>
      </c>
      <c r="GB17" s="3242">
        <f t="shared" ref="GB17:GB21" si="207">SUM(EC17+FP17)</f>
        <v>0</v>
      </c>
      <c r="GC17" s="3242">
        <f t="shared" ref="GC17:GC21" si="208">SUM(ED17+FQ17)</f>
        <v>43854.645999999993</v>
      </c>
      <c r="GD17" s="3242">
        <f t="shared" ref="GD17:GD21" si="209">SUM(EE17+FR17)</f>
        <v>43854.645999999993</v>
      </c>
      <c r="GE17" s="3242">
        <f t="shared" ref="GE17:GE21" si="210">SUM(EF17+FS17)</f>
        <v>0</v>
      </c>
      <c r="GF17" s="3242">
        <f t="shared" ref="GF17:GF21" si="211">SUM(EG17+FT17)</f>
        <v>57594.25</v>
      </c>
      <c r="GG17" s="3242">
        <f t="shared" ref="GG17:GG21" si="212">SUM(EH17+FU17)</f>
        <v>57594.25</v>
      </c>
      <c r="GH17" s="3242">
        <f t="shared" ref="GH17:GH21" si="213">SUM(EI17+FV17)</f>
        <v>0</v>
      </c>
      <c r="GI17" s="3243">
        <f t="shared" ref="GI17:GI26" si="214">SUM(GC17-FZ17)</f>
        <v>-13501.045400000003</v>
      </c>
      <c r="GJ17" s="3243">
        <f t="shared" ref="GJ17:GJ26" si="215">SUM(GD17-GA17)</f>
        <v>-13501.045400000003</v>
      </c>
      <c r="GK17" s="3243">
        <f t="shared" ref="GK17:GK26" si="216">SUM(GE17-GB17)</f>
        <v>0</v>
      </c>
    </row>
    <row r="18" spans="1:193" ht="18.75" customHeight="1" x14ac:dyDescent="0.3">
      <c r="A18" s="3111" t="s">
        <v>3642</v>
      </c>
      <c r="B18" s="3178">
        <f t="shared" ref="B18:B21" si="217">SUM(C18:D18)</f>
        <v>1366.6960851192634</v>
      </c>
      <c r="C18" s="3178">
        <f>SUM(C10*C24)</f>
        <v>1366.6960851192634</v>
      </c>
      <c r="D18" s="3178"/>
      <c r="E18" s="3178">
        <f t="shared" ref="E18:E21" si="218">SUM(F18:G18)</f>
        <v>1496.52</v>
      </c>
      <c r="F18" s="3192">
        <v>1496.52</v>
      </c>
      <c r="G18" s="3192"/>
      <c r="H18" s="3192">
        <v>665.24</v>
      </c>
      <c r="I18" s="3192">
        <f>SUM(H18)</f>
        <v>665.24</v>
      </c>
      <c r="J18" s="3192"/>
      <c r="K18" s="3178">
        <f t="shared" ref="K18:K21" si="219">SUM(L18:M18)</f>
        <v>1366.6960851192634</v>
      </c>
      <c r="L18" s="3178">
        <f>SUM(L10*L24)</f>
        <v>1366.6960851192634</v>
      </c>
      <c r="M18" s="3178"/>
      <c r="N18" s="3178">
        <f t="shared" ref="N18:N21" si="220">SUM(O18:P18)</f>
        <v>1399.54</v>
      </c>
      <c r="O18" s="3192">
        <v>1399.54</v>
      </c>
      <c r="P18" s="3192"/>
      <c r="Q18" s="3192">
        <v>633.87</v>
      </c>
      <c r="R18" s="3192">
        <f>SUM(Q18)</f>
        <v>633.87</v>
      </c>
      <c r="S18" s="3192"/>
      <c r="T18" s="3178">
        <f t="shared" ref="T18:T21" si="221">SUM(U18:V18)</f>
        <v>1366.6960851192634</v>
      </c>
      <c r="U18" s="3178">
        <f>SUM(U10*U24)</f>
        <v>1366.6960851192634</v>
      </c>
      <c r="V18" s="3178"/>
      <c r="W18" s="3178">
        <f t="shared" ref="W18:W21" si="222">SUM(X18:Y18)</f>
        <v>1356.36</v>
      </c>
      <c r="X18" s="3192">
        <v>1356.36</v>
      </c>
      <c r="Y18" s="3192"/>
      <c r="Z18" s="3192">
        <v>625.95000000000005</v>
      </c>
      <c r="AA18" s="3192">
        <f>SUM(Z18)</f>
        <v>625.95000000000005</v>
      </c>
      <c r="AB18" s="3192"/>
      <c r="AC18" s="3180">
        <f t="shared" si="133"/>
        <v>4100.0882553577903</v>
      </c>
      <c r="AD18" s="3180">
        <f t="shared" si="134"/>
        <v>4100.0882553577903</v>
      </c>
      <c r="AE18" s="3180">
        <f t="shared" si="135"/>
        <v>0</v>
      </c>
      <c r="AF18" s="3180">
        <f t="shared" si="136"/>
        <v>4252.42</v>
      </c>
      <c r="AG18" s="3180">
        <f t="shared" si="137"/>
        <v>4252.42</v>
      </c>
      <c r="AH18" s="3180">
        <f t="shared" si="138"/>
        <v>0</v>
      </c>
      <c r="AI18" s="3180">
        <f t="shared" si="139"/>
        <v>1925.0600000000002</v>
      </c>
      <c r="AJ18" s="3180">
        <f t="shared" si="140"/>
        <v>1925.0600000000002</v>
      </c>
      <c r="AK18" s="3180">
        <f t="shared" si="141"/>
        <v>0</v>
      </c>
      <c r="AL18" s="3143">
        <f t="shared" si="142"/>
        <v>152.33174464220974</v>
      </c>
      <c r="AM18" s="3143">
        <f t="shared" si="143"/>
        <v>152.33174464220974</v>
      </c>
      <c r="AN18" s="3143">
        <f t="shared" si="144"/>
        <v>0</v>
      </c>
      <c r="AO18" s="3178">
        <f t="shared" ref="AO18:AO21" si="223">SUM(AP18:AQ18)</f>
        <v>1366.6960851192634</v>
      </c>
      <c r="AP18" s="3178">
        <f>SUM(AP10*AP24)</f>
        <v>1366.6960851192634</v>
      </c>
      <c r="AQ18" s="3178"/>
      <c r="AR18" s="3178">
        <f t="shared" ref="AR18:AR21" si="224">SUM(AS18:AT18)</f>
        <v>1396.88</v>
      </c>
      <c r="AS18" s="3192">
        <v>1396.88</v>
      </c>
      <c r="AT18" s="3192"/>
      <c r="AU18" s="3192">
        <v>653.42999999999995</v>
      </c>
      <c r="AV18" s="3192">
        <f>SUM(AU18)</f>
        <v>653.42999999999995</v>
      </c>
      <c r="AW18" s="3192"/>
      <c r="AX18" s="3178">
        <f t="shared" ref="AX18:AX21" si="225">SUM(AY18:AZ18)</f>
        <v>1366.6960851192634</v>
      </c>
      <c r="AY18" s="3178">
        <f>SUM(AY10*AY24)</f>
        <v>1366.6960851192634</v>
      </c>
      <c r="AZ18" s="3178"/>
      <c r="BA18" s="3178">
        <f t="shared" ref="BA18:BA21" si="226">SUM(BB18:BC18)</f>
        <v>1413.28</v>
      </c>
      <c r="BB18" s="3192">
        <v>1413.28</v>
      </c>
      <c r="BC18" s="3192"/>
      <c r="BD18" s="3192">
        <v>632.44000000000005</v>
      </c>
      <c r="BE18" s="3192">
        <f>SUM(BD18)</f>
        <v>632.44000000000005</v>
      </c>
      <c r="BF18" s="3192"/>
      <c r="BG18" s="3178">
        <f t="shared" ref="BG18:BG21" si="227">SUM(BH18:BI18)</f>
        <v>1366.6960851192634</v>
      </c>
      <c r="BH18" s="3178">
        <f>SUM(BH10*BH24)</f>
        <v>1366.6960851192634</v>
      </c>
      <c r="BI18" s="3178"/>
      <c r="BJ18" s="3178">
        <f t="shared" ref="BJ18:BJ21" si="228">SUM(BK18:BL18)</f>
        <v>1369.03</v>
      </c>
      <c r="BK18" s="3192">
        <v>1369.03</v>
      </c>
      <c r="BL18" s="3192"/>
      <c r="BM18" s="3192">
        <v>676.4</v>
      </c>
      <c r="BN18" s="3192">
        <f>SUM(BM18)</f>
        <v>676.4</v>
      </c>
      <c r="BO18" s="3192"/>
      <c r="BP18" s="3180">
        <f t="shared" si="145"/>
        <v>4100.0882553577903</v>
      </c>
      <c r="BQ18" s="3180">
        <f t="shared" si="146"/>
        <v>4100.0882553577903</v>
      </c>
      <c r="BR18" s="3180">
        <f t="shared" si="147"/>
        <v>0</v>
      </c>
      <c r="BS18" s="3180">
        <f t="shared" si="148"/>
        <v>4179.1899999999996</v>
      </c>
      <c r="BT18" s="3180">
        <f t="shared" si="149"/>
        <v>4179.1899999999996</v>
      </c>
      <c r="BU18" s="3180">
        <f t="shared" si="150"/>
        <v>0</v>
      </c>
      <c r="BV18" s="3180">
        <f t="shared" si="151"/>
        <v>1962.27</v>
      </c>
      <c r="BW18" s="3180">
        <f t="shared" si="152"/>
        <v>1962.27</v>
      </c>
      <c r="BX18" s="3180">
        <f t="shared" si="153"/>
        <v>0</v>
      </c>
      <c r="BY18" s="3143">
        <f t="shared" si="154"/>
        <v>79.101744642209269</v>
      </c>
      <c r="BZ18" s="3143">
        <f t="shared" si="155"/>
        <v>79.101744642209269</v>
      </c>
      <c r="CA18" s="3143">
        <f t="shared" si="156"/>
        <v>0</v>
      </c>
      <c r="CB18" s="3180">
        <f t="shared" si="157"/>
        <v>8200.1765107155807</v>
      </c>
      <c r="CC18" s="3180">
        <f t="shared" si="158"/>
        <v>8200.1765107155807</v>
      </c>
      <c r="CD18" s="3180">
        <f t="shared" si="159"/>
        <v>0</v>
      </c>
      <c r="CE18" s="3180">
        <f t="shared" si="160"/>
        <v>8431.61</v>
      </c>
      <c r="CF18" s="3180">
        <f t="shared" si="161"/>
        <v>8431.61</v>
      </c>
      <c r="CG18" s="3180">
        <f t="shared" si="162"/>
        <v>0</v>
      </c>
      <c r="CH18" s="3180">
        <f t="shared" si="163"/>
        <v>3887.33</v>
      </c>
      <c r="CI18" s="3180">
        <f t="shared" si="164"/>
        <v>3887.33</v>
      </c>
      <c r="CJ18" s="3180">
        <f t="shared" si="165"/>
        <v>0</v>
      </c>
      <c r="CK18" s="3143">
        <f t="shared" si="166"/>
        <v>231.43348928441992</v>
      </c>
      <c r="CL18" s="3143">
        <f t="shared" si="167"/>
        <v>231.43348928441992</v>
      </c>
      <c r="CM18" s="3143">
        <f t="shared" si="168"/>
        <v>0</v>
      </c>
      <c r="CN18" s="3178">
        <f t="shared" ref="CN18:CN21" si="229">SUM(CO18:CP18)</f>
        <v>1258.0141851192636</v>
      </c>
      <c r="CO18" s="3178">
        <f>SUM(CO10*CO24)</f>
        <v>1258.0141851192636</v>
      </c>
      <c r="CP18" s="3178"/>
      <c r="CQ18" s="3178">
        <f t="shared" ref="CQ18:CQ21" si="230">SUM(CR18:CS18)</f>
        <v>1236.0899999999999</v>
      </c>
      <c r="CR18" s="3192">
        <v>1236.0899999999999</v>
      </c>
      <c r="CS18" s="3192"/>
      <c r="CT18" s="3192">
        <v>1813.39</v>
      </c>
      <c r="CU18" s="3192">
        <f>SUM(CT18)</f>
        <v>1813.39</v>
      </c>
      <c r="CV18" s="3192"/>
      <c r="CW18" s="3178">
        <f t="shared" ref="CW18:CW21" si="231">SUM(CX18:CY18)</f>
        <v>1258.0141851192636</v>
      </c>
      <c r="CX18" s="3178">
        <f>SUM(CX10*CX24)</f>
        <v>1258.0141851192636</v>
      </c>
      <c r="CY18" s="3178"/>
      <c r="CZ18" s="3178">
        <f t="shared" ref="CZ18:CZ21" si="232">SUM(DA18:DB18)</f>
        <v>1436.96</v>
      </c>
      <c r="DA18" s="3192">
        <v>1436.96</v>
      </c>
      <c r="DB18" s="3192"/>
      <c r="DC18" s="3192">
        <v>1992.9</v>
      </c>
      <c r="DD18" s="3192">
        <f>SUM(DC18)</f>
        <v>1992.9</v>
      </c>
      <c r="DE18" s="3192"/>
      <c r="DF18" s="3178">
        <f t="shared" ref="DF18:DF21" si="233">SUM(DG18:DH18)</f>
        <v>1258.0141851192636</v>
      </c>
      <c r="DG18" s="3178">
        <f>SUM(DG10*DG24)</f>
        <v>1258.0141851192636</v>
      </c>
      <c r="DH18" s="3178"/>
      <c r="DI18" s="3178">
        <f t="shared" ref="DI18:DI21" si="234">SUM(DJ18:DK18)</f>
        <v>1150.3399999999999</v>
      </c>
      <c r="DJ18" s="3192">
        <v>1150.3399999999999</v>
      </c>
      <c r="DK18" s="3192"/>
      <c r="DL18" s="3192">
        <v>1868.09</v>
      </c>
      <c r="DM18" s="3192">
        <f>SUM(DL18)</f>
        <v>1868.09</v>
      </c>
      <c r="DN18" s="3192"/>
      <c r="DO18" s="3180">
        <f t="shared" si="169"/>
        <v>3774.0425553577907</v>
      </c>
      <c r="DP18" s="3180">
        <f t="shared" si="170"/>
        <v>3774.0425553577907</v>
      </c>
      <c r="DQ18" s="3180">
        <f t="shared" si="171"/>
        <v>0</v>
      </c>
      <c r="DR18" s="3180">
        <f t="shared" si="172"/>
        <v>3823.3900000000003</v>
      </c>
      <c r="DS18" s="3180">
        <f t="shared" si="173"/>
        <v>3823.3900000000003</v>
      </c>
      <c r="DT18" s="3180">
        <f t="shared" si="174"/>
        <v>0</v>
      </c>
      <c r="DU18" s="3180">
        <f t="shared" si="175"/>
        <v>5674.38</v>
      </c>
      <c r="DV18" s="3180">
        <f t="shared" si="176"/>
        <v>5674.38</v>
      </c>
      <c r="DW18" s="3180">
        <f t="shared" si="177"/>
        <v>0</v>
      </c>
      <c r="DX18" s="3143">
        <f t="shared" si="178"/>
        <v>49.347444642209666</v>
      </c>
      <c r="DY18" s="3143">
        <f t="shared" si="179"/>
        <v>49.347444642209666</v>
      </c>
      <c r="DZ18" s="3143">
        <f t="shared" si="180"/>
        <v>0</v>
      </c>
      <c r="EA18" s="3180">
        <f t="shared" si="181"/>
        <v>11974.219066073372</v>
      </c>
      <c r="EB18" s="3180">
        <f t="shared" si="182"/>
        <v>11974.219066073372</v>
      </c>
      <c r="EC18" s="3180">
        <f t="shared" si="183"/>
        <v>0</v>
      </c>
      <c r="ED18" s="3180">
        <f t="shared" si="184"/>
        <v>12255</v>
      </c>
      <c r="EE18" s="3180">
        <f t="shared" si="185"/>
        <v>12255</v>
      </c>
      <c r="EF18" s="3180">
        <f t="shared" si="186"/>
        <v>0</v>
      </c>
      <c r="EG18" s="3180">
        <f t="shared" si="187"/>
        <v>9561.7099999999991</v>
      </c>
      <c r="EH18" s="3180">
        <f t="shared" si="188"/>
        <v>9561.7099999999991</v>
      </c>
      <c r="EI18" s="3180">
        <f t="shared" si="189"/>
        <v>0</v>
      </c>
      <c r="EJ18" s="3143">
        <f t="shared" si="190"/>
        <v>280.78093392662777</v>
      </c>
      <c r="EK18" s="3143">
        <f t="shared" si="191"/>
        <v>280.78093392662777</v>
      </c>
      <c r="EL18" s="3143">
        <f t="shared" si="192"/>
        <v>0</v>
      </c>
      <c r="EM18" s="3178">
        <f t="shared" ref="EM18:EM21" si="235">SUM(EN18:EO18)</f>
        <v>1258.0141851192636</v>
      </c>
      <c r="EN18" s="3178">
        <f>SUM(EN10*EN24)</f>
        <v>1258.0141851192636</v>
      </c>
      <c r="EO18" s="3178"/>
      <c r="EP18" s="3178">
        <f t="shared" ref="EP18:EP21" si="236">SUM(EQ18:ER18)</f>
        <v>0</v>
      </c>
      <c r="EQ18" s="3192"/>
      <c r="ER18" s="3192"/>
      <c r="ES18" s="3192">
        <v>1961.49</v>
      </c>
      <c r="ET18" s="3192">
        <f>SUM(ES18)</f>
        <v>1961.49</v>
      </c>
      <c r="EU18" s="3192"/>
      <c r="EV18" s="3178">
        <f t="shared" ref="EV18:EV21" si="237">SUM(EW18:EX18)</f>
        <v>1258.0141851192636</v>
      </c>
      <c r="EW18" s="3178">
        <f>SUM(EW10*EW24)</f>
        <v>1258.0141851192636</v>
      </c>
      <c r="EX18" s="3178"/>
      <c r="EY18" s="3178">
        <f t="shared" ref="EY18:EY21" si="238">SUM(EZ18:FA18)</f>
        <v>0</v>
      </c>
      <c r="EZ18" s="3192"/>
      <c r="FA18" s="3192"/>
      <c r="FB18" s="3192">
        <v>1878.59</v>
      </c>
      <c r="FC18" s="3192">
        <f>SUM(FB18)</f>
        <v>1878.59</v>
      </c>
      <c r="FD18" s="3192"/>
      <c r="FE18" s="3178">
        <f t="shared" ref="FE18:FE21" si="239">SUM(FF18:FG18)</f>
        <v>1258.0141851192636</v>
      </c>
      <c r="FF18" s="3178">
        <f>SUM(FF10*FF24)</f>
        <v>1258.0141851192636</v>
      </c>
      <c r="FG18" s="3178"/>
      <c r="FH18" s="3178">
        <f t="shared" ref="FH18:FH21" si="240">SUM(FI18:FJ18)</f>
        <v>0</v>
      </c>
      <c r="FI18" s="3192"/>
      <c r="FJ18" s="3192"/>
      <c r="FK18" s="3192">
        <v>1828.58</v>
      </c>
      <c r="FL18" s="3192">
        <f>SUM(FK18)</f>
        <v>1828.58</v>
      </c>
      <c r="FM18" s="3192"/>
      <c r="FN18" s="3180">
        <f t="shared" si="193"/>
        <v>3774.0425553577907</v>
      </c>
      <c r="FO18" s="3180">
        <f t="shared" si="194"/>
        <v>3774.0425553577907</v>
      </c>
      <c r="FP18" s="3180">
        <f t="shared" si="195"/>
        <v>0</v>
      </c>
      <c r="FQ18" s="3180">
        <f t="shared" si="196"/>
        <v>0</v>
      </c>
      <c r="FR18" s="3180">
        <f t="shared" si="197"/>
        <v>0</v>
      </c>
      <c r="FS18" s="3180">
        <f t="shared" si="198"/>
        <v>0</v>
      </c>
      <c r="FT18" s="3180">
        <f t="shared" si="199"/>
        <v>5668.66</v>
      </c>
      <c r="FU18" s="3180">
        <f t="shared" si="200"/>
        <v>5668.66</v>
      </c>
      <c r="FV18" s="3180">
        <f t="shared" si="201"/>
        <v>0</v>
      </c>
      <c r="FW18" s="3143">
        <f t="shared" si="202"/>
        <v>-3774.0425553577907</v>
      </c>
      <c r="FX18" s="3143">
        <f t="shared" si="203"/>
        <v>-3774.0425553577907</v>
      </c>
      <c r="FY18" s="3143">
        <f t="shared" si="204"/>
        <v>0</v>
      </c>
      <c r="FZ18" s="3242">
        <f t="shared" si="205"/>
        <v>15748.261621431164</v>
      </c>
      <c r="GA18" s="3242">
        <f t="shared" si="206"/>
        <v>15748.261621431164</v>
      </c>
      <c r="GB18" s="3242">
        <f t="shared" si="207"/>
        <v>0</v>
      </c>
      <c r="GC18" s="3242">
        <f t="shared" si="208"/>
        <v>12255</v>
      </c>
      <c r="GD18" s="3242">
        <f t="shared" si="209"/>
        <v>12255</v>
      </c>
      <c r="GE18" s="3242">
        <f t="shared" si="210"/>
        <v>0</v>
      </c>
      <c r="GF18" s="3242">
        <f t="shared" si="211"/>
        <v>15230.369999999999</v>
      </c>
      <c r="GG18" s="3242">
        <f t="shared" si="212"/>
        <v>15230.369999999999</v>
      </c>
      <c r="GH18" s="3242">
        <f t="shared" si="213"/>
        <v>0</v>
      </c>
      <c r="GI18" s="3243">
        <f t="shared" si="214"/>
        <v>-3493.2616214311638</v>
      </c>
      <c r="GJ18" s="3243">
        <f t="shared" si="215"/>
        <v>-3493.2616214311638</v>
      </c>
      <c r="GK18" s="3243">
        <f t="shared" si="216"/>
        <v>0</v>
      </c>
    </row>
    <row r="19" spans="1:193" ht="18.75" customHeight="1" x14ac:dyDescent="0.3">
      <c r="A19" s="3111" t="s">
        <v>3671</v>
      </c>
      <c r="B19" s="3178">
        <f t="shared" si="217"/>
        <v>20.967941991226851</v>
      </c>
      <c r="C19" s="3178"/>
      <c r="D19" s="3178">
        <f>SUM(D11*D25)</f>
        <v>20.967941991226851</v>
      </c>
      <c r="E19" s="3178">
        <f t="shared" si="218"/>
        <v>2.88</v>
      </c>
      <c r="F19" s="3192"/>
      <c r="G19" s="3192">
        <v>2.88</v>
      </c>
      <c r="H19" s="3192">
        <v>3.54</v>
      </c>
      <c r="I19" s="3192"/>
      <c r="J19" s="3192">
        <f>SUM(H19)</f>
        <v>3.54</v>
      </c>
      <c r="K19" s="3178">
        <f t="shared" si="219"/>
        <v>20.967941991226851</v>
      </c>
      <c r="L19" s="3178"/>
      <c r="M19" s="3178">
        <f>SUM(M11*M25)</f>
        <v>20.967941991226851</v>
      </c>
      <c r="N19" s="3178">
        <f t="shared" si="220"/>
        <v>2.46</v>
      </c>
      <c r="O19" s="3192"/>
      <c r="P19" s="3192">
        <v>2.46</v>
      </c>
      <c r="Q19" s="3192">
        <v>2.84</v>
      </c>
      <c r="R19" s="3192"/>
      <c r="S19" s="3192">
        <f>SUM(Q19)</f>
        <v>2.84</v>
      </c>
      <c r="T19" s="3178">
        <f t="shared" si="221"/>
        <v>20.967941991226851</v>
      </c>
      <c r="U19" s="3178"/>
      <c r="V19" s="3178">
        <f>SUM(V11*V25)</f>
        <v>20.967941991226851</v>
      </c>
      <c r="W19" s="3178">
        <f t="shared" si="222"/>
        <v>52.42</v>
      </c>
      <c r="X19" s="3192"/>
      <c r="Y19" s="3192">
        <v>52.42</v>
      </c>
      <c r="Z19" s="3192">
        <v>54.71</v>
      </c>
      <c r="AA19" s="3192"/>
      <c r="AB19" s="3192">
        <f>SUM(Z19)</f>
        <v>54.71</v>
      </c>
      <c r="AC19" s="3180">
        <f t="shared" si="133"/>
        <v>62.903825973680554</v>
      </c>
      <c r="AD19" s="3180">
        <f t="shared" si="134"/>
        <v>0</v>
      </c>
      <c r="AE19" s="3180">
        <f t="shared" si="135"/>
        <v>62.903825973680554</v>
      </c>
      <c r="AF19" s="3180">
        <f t="shared" si="136"/>
        <v>57.760000000000005</v>
      </c>
      <c r="AG19" s="3180">
        <f t="shared" si="137"/>
        <v>0</v>
      </c>
      <c r="AH19" s="3180">
        <f t="shared" si="138"/>
        <v>57.760000000000005</v>
      </c>
      <c r="AI19" s="3180">
        <f t="shared" si="139"/>
        <v>61.09</v>
      </c>
      <c r="AJ19" s="3180">
        <f t="shared" si="140"/>
        <v>0</v>
      </c>
      <c r="AK19" s="3180">
        <f t="shared" si="141"/>
        <v>61.09</v>
      </c>
      <c r="AL19" s="3143">
        <f t="shared" si="142"/>
        <v>-5.1438259736805492</v>
      </c>
      <c r="AM19" s="3143">
        <f t="shared" si="143"/>
        <v>0</v>
      </c>
      <c r="AN19" s="3143">
        <f t="shared" si="144"/>
        <v>-5.1438259736805492</v>
      </c>
      <c r="AO19" s="3178">
        <f t="shared" si="223"/>
        <v>20.967941991226851</v>
      </c>
      <c r="AP19" s="3178"/>
      <c r="AQ19" s="3178">
        <f>SUM(AQ11*AQ25)</f>
        <v>20.967941991226851</v>
      </c>
      <c r="AR19" s="3178">
        <f t="shared" si="224"/>
        <v>4.2699999999999996</v>
      </c>
      <c r="AS19" s="3192">
        <v>0</v>
      </c>
      <c r="AT19" s="3192">
        <v>4.2699999999999996</v>
      </c>
      <c r="AU19" s="3192">
        <v>1.0900000000000001</v>
      </c>
      <c r="AV19" s="3192"/>
      <c r="AW19" s="3192">
        <f>SUM(AU19)</f>
        <v>1.0900000000000001</v>
      </c>
      <c r="AX19" s="3178">
        <f t="shared" si="225"/>
        <v>20.967941991226851</v>
      </c>
      <c r="AY19" s="3178"/>
      <c r="AZ19" s="3178">
        <f>SUM(AZ11*AZ25)</f>
        <v>20.967941991226851</v>
      </c>
      <c r="BA19" s="3178">
        <f t="shared" si="226"/>
        <v>7.26</v>
      </c>
      <c r="BB19" s="3192"/>
      <c r="BC19" s="3192">
        <v>7.26</v>
      </c>
      <c r="BD19" s="3192">
        <v>8.44</v>
      </c>
      <c r="BE19" s="3192"/>
      <c r="BF19" s="3192">
        <f>SUM(BD19)</f>
        <v>8.44</v>
      </c>
      <c r="BG19" s="3178">
        <f t="shared" si="227"/>
        <v>20.967941991226851</v>
      </c>
      <c r="BH19" s="3178"/>
      <c r="BI19" s="3178">
        <f>SUM(BI11*BI25)</f>
        <v>20.967941991226851</v>
      </c>
      <c r="BJ19" s="3178">
        <f t="shared" si="228"/>
        <v>55.06</v>
      </c>
      <c r="BK19" s="3192"/>
      <c r="BL19" s="3192">
        <v>55.06</v>
      </c>
      <c r="BM19" s="3192">
        <v>53.43</v>
      </c>
      <c r="BN19" s="3192"/>
      <c r="BO19" s="3192">
        <f>SUM(BM19)</f>
        <v>53.43</v>
      </c>
      <c r="BP19" s="3180">
        <f t="shared" si="145"/>
        <v>62.903825973680554</v>
      </c>
      <c r="BQ19" s="3180">
        <f t="shared" si="146"/>
        <v>0</v>
      </c>
      <c r="BR19" s="3180">
        <f t="shared" si="147"/>
        <v>62.903825973680554</v>
      </c>
      <c r="BS19" s="3180">
        <f t="shared" si="148"/>
        <v>66.59</v>
      </c>
      <c r="BT19" s="3180">
        <f t="shared" si="149"/>
        <v>0</v>
      </c>
      <c r="BU19" s="3180">
        <f t="shared" si="150"/>
        <v>66.59</v>
      </c>
      <c r="BV19" s="3180">
        <f t="shared" si="151"/>
        <v>62.96</v>
      </c>
      <c r="BW19" s="3180">
        <f t="shared" si="152"/>
        <v>0</v>
      </c>
      <c r="BX19" s="3180">
        <f t="shared" si="153"/>
        <v>62.96</v>
      </c>
      <c r="BY19" s="3143">
        <f t="shared" si="154"/>
        <v>3.6861740263194491</v>
      </c>
      <c r="BZ19" s="3143">
        <f t="shared" si="155"/>
        <v>0</v>
      </c>
      <c r="CA19" s="3143">
        <f t="shared" si="156"/>
        <v>3.6861740263194491</v>
      </c>
      <c r="CB19" s="3180">
        <f t="shared" si="157"/>
        <v>125.80765194736111</v>
      </c>
      <c r="CC19" s="3180">
        <f t="shared" si="158"/>
        <v>0</v>
      </c>
      <c r="CD19" s="3180">
        <f t="shared" si="159"/>
        <v>125.80765194736111</v>
      </c>
      <c r="CE19" s="3180">
        <f t="shared" si="160"/>
        <v>124.35000000000001</v>
      </c>
      <c r="CF19" s="3180">
        <f t="shared" si="161"/>
        <v>0</v>
      </c>
      <c r="CG19" s="3180">
        <f t="shared" si="162"/>
        <v>124.35000000000001</v>
      </c>
      <c r="CH19" s="3180">
        <f t="shared" si="163"/>
        <v>124.05000000000001</v>
      </c>
      <c r="CI19" s="3180">
        <f t="shared" si="164"/>
        <v>0</v>
      </c>
      <c r="CJ19" s="3180">
        <f t="shared" si="165"/>
        <v>124.05000000000001</v>
      </c>
      <c r="CK19" s="3143">
        <f t="shared" si="166"/>
        <v>-1.4576519473611</v>
      </c>
      <c r="CL19" s="3143">
        <f t="shared" si="167"/>
        <v>0</v>
      </c>
      <c r="CM19" s="3143">
        <f t="shared" si="168"/>
        <v>-1.4576519473611</v>
      </c>
      <c r="CN19" s="3178">
        <f t="shared" si="229"/>
        <v>21.431554521660093</v>
      </c>
      <c r="CO19" s="3178"/>
      <c r="CP19" s="3178">
        <f>SUM(CP11*CP25)</f>
        <v>21.431554521660093</v>
      </c>
      <c r="CQ19" s="3178">
        <f t="shared" si="230"/>
        <v>4.54</v>
      </c>
      <c r="CR19" s="3192">
        <v>0</v>
      </c>
      <c r="CS19" s="3192">
        <v>4.54</v>
      </c>
      <c r="CT19" s="3192">
        <v>4.82</v>
      </c>
      <c r="CU19" s="3192"/>
      <c r="CV19" s="3192">
        <f>SUM(CT19)</f>
        <v>4.82</v>
      </c>
      <c r="CW19" s="3178">
        <f t="shared" si="231"/>
        <v>21.431554521660093</v>
      </c>
      <c r="CX19" s="3178"/>
      <c r="CY19" s="3178">
        <f>SUM(CY11*CY25)</f>
        <v>21.431554521660093</v>
      </c>
      <c r="CZ19" s="3178">
        <f t="shared" si="232"/>
        <v>5.51</v>
      </c>
      <c r="DA19" s="3192">
        <v>0</v>
      </c>
      <c r="DB19" s="3192">
        <v>5.51</v>
      </c>
      <c r="DC19" s="3192">
        <v>7.37</v>
      </c>
      <c r="DD19" s="3192"/>
      <c r="DE19" s="3192">
        <f>SUM(DC19)</f>
        <v>7.37</v>
      </c>
      <c r="DF19" s="3178">
        <f t="shared" si="233"/>
        <v>21.431554521660093</v>
      </c>
      <c r="DG19" s="3178"/>
      <c r="DH19" s="3178">
        <f>SUM(DH11*DH25)</f>
        <v>21.431554521660093</v>
      </c>
      <c r="DI19" s="3178">
        <f t="shared" si="234"/>
        <v>56.896000000000001</v>
      </c>
      <c r="DJ19" s="3192"/>
      <c r="DK19" s="3192">
        <v>56.896000000000001</v>
      </c>
      <c r="DL19" s="3192">
        <v>52.5</v>
      </c>
      <c r="DM19" s="3192"/>
      <c r="DN19" s="3192">
        <f>SUM(DL19)</f>
        <v>52.5</v>
      </c>
      <c r="DO19" s="3180">
        <f t="shared" si="169"/>
        <v>64.294663564980283</v>
      </c>
      <c r="DP19" s="3180">
        <f t="shared" si="170"/>
        <v>0</v>
      </c>
      <c r="DQ19" s="3180">
        <f t="shared" si="171"/>
        <v>64.294663564980283</v>
      </c>
      <c r="DR19" s="3180">
        <f t="shared" si="172"/>
        <v>66.945999999999998</v>
      </c>
      <c r="DS19" s="3180">
        <f t="shared" si="173"/>
        <v>0</v>
      </c>
      <c r="DT19" s="3180">
        <f t="shared" si="174"/>
        <v>66.945999999999998</v>
      </c>
      <c r="DU19" s="3180">
        <f t="shared" si="175"/>
        <v>64.69</v>
      </c>
      <c r="DV19" s="3180">
        <f t="shared" si="176"/>
        <v>0</v>
      </c>
      <c r="DW19" s="3180">
        <f t="shared" si="177"/>
        <v>64.69</v>
      </c>
      <c r="DX19" s="3143">
        <f t="shared" si="178"/>
        <v>2.6513364350197151</v>
      </c>
      <c r="DY19" s="3143">
        <f t="shared" si="179"/>
        <v>0</v>
      </c>
      <c r="DZ19" s="3143">
        <f t="shared" si="180"/>
        <v>2.6513364350197151</v>
      </c>
      <c r="EA19" s="3180">
        <f t="shared" si="181"/>
        <v>190.10231551234139</v>
      </c>
      <c r="EB19" s="3180">
        <f t="shared" si="182"/>
        <v>0</v>
      </c>
      <c r="EC19" s="3180">
        <f t="shared" si="183"/>
        <v>190.10231551234139</v>
      </c>
      <c r="ED19" s="3180">
        <f t="shared" si="184"/>
        <v>191.29599999999999</v>
      </c>
      <c r="EE19" s="3180">
        <f t="shared" si="185"/>
        <v>0</v>
      </c>
      <c r="EF19" s="3180">
        <f t="shared" si="186"/>
        <v>191.29599999999999</v>
      </c>
      <c r="EG19" s="3180">
        <f t="shared" si="187"/>
        <v>188.74</v>
      </c>
      <c r="EH19" s="3180">
        <f t="shared" si="188"/>
        <v>0</v>
      </c>
      <c r="EI19" s="3180">
        <f t="shared" si="189"/>
        <v>188.74</v>
      </c>
      <c r="EJ19" s="3143">
        <f t="shared" si="190"/>
        <v>1.1936844876586008</v>
      </c>
      <c r="EK19" s="3143">
        <f t="shared" si="191"/>
        <v>0</v>
      </c>
      <c r="EL19" s="3143">
        <f t="shared" si="192"/>
        <v>1.1936844876586008</v>
      </c>
      <c r="EM19" s="3178">
        <f t="shared" si="235"/>
        <v>21.431554521660093</v>
      </c>
      <c r="EN19" s="3178"/>
      <c r="EO19" s="3178">
        <f>SUM(EO11*EO25)</f>
        <v>21.431554521660093</v>
      </c>
      <c r="EP19" s="3178">
        <f t="shared" si="236"/>
        <v>0</v>
      </c>
      <c r="EQ19" s="3192"/>
      <c r="ER19" s="3192"/>
      <c r="ES19" s="3192">
        <v>7.74</v>
      </c>
      <c r="ET19" s="3192"/>
      <c r="EU19" s="3192">
        <f>SUM(ES19)</f>
        <v>7.74</v>
      </c>
      <c r="EV19" s="3178">
        <f t="shared" si="237"/>
        <v>21.431554521660093</v>
      </c>
      <c r="EW19" s="3178"/>
      <c r="EX19" s="3178">
        <f>SUM(EX11*EX25)</f>
        <v>21.431554521660093</v>
      </c>
      <c r="EY19" s="3178">
        <f t="shared" si="238"/>
        <v>0</v>
      </c>
      <c r="EZ19" s="3192"/>
      <c r="FA19" s="3192"/>
      <c r="FB19" s="3192">
        <v>7.85</v>
      </c>
      <c r="FC19" s="3192"/>
      <c r="FD19" s="3192">
        <f>SUM(FB19)</f>
        <v>7.85</v>
      </c>
      <c r="FE19" s="3178">
        <f t="shared" si="239"/>
        <v>21.431554521660093</v>
      </c>
      <c r="FF19" s="3178"/>
      <c r="FG19" s="3178">
        <f>SUM(FG11*FG25)</f>
        <v>21.431554521660093</v>
      </c>
      <c r="FH19" s="3178">
        <f t="shared" si="240"/>
        <v>0</v>
      </c>
      <c r="FI19" s="3192"/>
      <c r="FJ19" s="3192"/>
      <c r="FK19" s="3192">
        <v>55.52</v>
      </c>
      <c r="FL19" s="3192"/>
      <c r="FM19" s="3192">
        <f>SUM(FK19)</f>
        <v>55.52</v>
      </c>
      <c r="FN19" s="3180">
        <f t="shared" si="193"/>
        <v>64.294663564980283</v>
      </c>
      <c r="FO19" s="3180">
        <f t="shared" si="194"/>
        <v>0</v>
      </c>
      <c r="FP19" s="3180">
        <f t="shared" si="195"/>
        <v>64.294663564980283</v>
      </c>
      <c r="FQ19" s="3180">
        <f t="shared" si="196"/>
        <v>0</v>
      </c>
      <c r="FR19" s="3180">
        <f t="shared" si="197"/>
        <v>0</v>
      </c>
      <c r="FS19" s="3180">
        <f t="shared" si="198"/>
        <v>0</v>
      </c>
      <c r="FT19" s="3180">
        <f t="shared" si="199"/>
        <v>71.11</v>
      </c>
      <c r="FU19" s="3180">
        <f t="shared" si="200"/>
        <v>0</v>
      </c>
      <c r="FV19" s="3180">
        <f t="shared" si="201"/>
        <v>71.11</v>
      </c>
      <c r="FW19" s="3143">
        <f t="shared" si="202"/>
        <v>-64.294663564980283</v>
      </c>
      <c r="FX19" s="3143">
        <f t="shared" si="203"/>
        <v>0</v>
      </c>
      <c r="FY19" s="3143">
        <f t="shared" si="204"/>
        <v>-64.294663564980283</v>
      </c>
      <c r="FZ19" s="3242">
        <f t="shared" si="205"/>
        <v>254.39697907732167</v>
      </c>
      <c r="GA19" s="3242">
        <f t="shared" si="206"/>
        <v>0</v>
      </c>
      <c r="GB19" s="3242">
        <f t="shared" si="207"/>
        <v>254.39697907732167</v>
      </c>
      <c r="GC19" s="3242">
        <f t="shared" si="208"/>
        <v>191.29599999999999</v>
      </c>
      <c r="GD19" s="3242">
        <f t="shared" si="209"/>
        <v>0</v>
      </c>
      <c r="GE19" s="3242">
        <f t="shared" si="210"/>
        <v>191.29599999999999</v>
      </c>
      <c r="GF19" s="3242">
        <f t="shared" si="211"/>
        <v>259.85000000000002</v>
      </c>
      <c r="GG19" s="3242">
        <f t="shared" si="212"/>
        <v>0</v>
      </c>
      <c r="GH19" s="3242">
        <f t="shared" si="213"/>
        <v>259.85000000000002</v>
      </c>
      <c r="GI19" s="3243">
        <f t="shared" si="214"/>
        <v>-63.100979077321682</v>
      </c>
      <c r="GJ19" s="3243">
        <f t="shared" si="215"/>
        <v>0</v>
      </c>
      <c r="GK19" s="3243">
        <f t="shared" si="216"/>
        <v>-63.100979077321682</v>
      </c>
    </row>
    <row r="20" spans="1:193" ht="18.75" customHeight="1" x14ac:dyDescent="0.3">
      <c r="A20" s="3111" t="s">
        <v>3643</v>
      </c>
      <c r="B20" s="3178">
        <f t="shared" si="217"/>
        <v>1930.0324705801279</v>
      </c>
      <c r="C20" s="3178">
        <f>SUM(C12*C26)</f>
        <v>1930.0324705801279</v>
      </c>
      <c r="D20" s="3178"/>
      <c r="E20" s="3178">
        <f t="shared" si="218"/>
        <v>1864.44</v>
      </c>
      <c r="F20" s="3192">
        <v>1864.44</v>
      </c>
      <c r="G20" s="3192"/>
      <c r="H20" s="3192">
        <v>1614.47</v>
      </c>
      <c r="I20" s="3192">
        <f>SUM(H20)</f>
        <v>1614.47</v>
      </c>
      <c r="J20" s="3192"/>
      <c r="K20" s="3178">
        <f t="shared" si="219"/>
        <v>1930.0324705801279</v>
      </c>
      <c r="L20" s="3178">
        <f>SUM(L12*L26)</f>
        <v>1930.0324705801279</v>
      </c>
      <c r="M20" s="3178"/>
      <c r="N20" s="3178">
        <f t="shared" si="220"/>
        <v>1971.18</v>
      </c>
      <c r="O20" s="3192">
        <v>1971.18</v>
      </c>
      <c r="P20" s="3192"/>
      <c r="Q20" s="3192">
        <v>1718.21</v>
      </c>
      <c r="R20" s="3192">
        <f>SUM(Q20)</f>
        <v>1718.21</v>
      </c>
      <c r="S20" s="3192"/>
      <c r="T20" s="3178">
        <f t="shared" si="221"/>
        <v>1930.0324705801279</v>
      </c>
      <c r="U20" s="3178">
        <f>SUM(U12*U26)</f>
        <v>1930.0324705801279</v>
      </c>
      <c r="V20" s="3178"/>
      <c r="W20" s="3178">
        <f t="shared" si="222"/>
        <v>1914.29</v>
      </c>
      <c r="X20" s="3192">
        <v>1914.29</v>
      </c>
      <c r="Y20" s="3192"/>
      <c r="Z20" s="3192">
        <v>1604.51</v>
      </c>
      <c r="AA20" s="3192">
        <f>SUM(Z20)</f>
        <v>1604.51</v>
      </c>
      <c r="AB20" s="3192"/>
      <c r="AC20" s="3180">
        <f t="shared" si="133"/>
        <v>5790.0974117403839</v>
      </c>
      <c r="AD20" s="3180">
        <f t="shared" si="134"/>
        <v>5790.0974117403839</v>
      </c>
      <c r="AE20" s="3180">
        <f t="shared" si="135"/>
        <v>0</v>
      </c>
      <c r="AF20" s="3180">
        <f t="shared" si="136"/>
        <v>5749.91</v>
      </c>
      <c r="AG20" s="3180">
        <f t="shared" si="137"/>
        <v>5749.91</v>
      </c>
      <c r="AH20" s="3180">
        <f t="shared" si="138"/>
        <v>0</v>
      </c>
      <c r="AI20" s="3180">
        <f t="shared" si="139"/>
        <v>4937.1900000000005</v>
      </c>
      <c r="AJ20" s="3180">
        <f t="shared" si="140"/>
        <v>4937.1900000000005</v>
      </c>
      <c r="AK20" s="3180">
        <f t="shared" si="141"/>
        <v>0</v>
      </c>
      <c r="AL20" s="3143">
        <f t="shared" si="142"/>
        <v>-40.18741174038405</v>
      </c>
      <c r="AM20" s="3143">
        <f t="shared" si="143"/>
        <v>-40.18741174038405</v>
      </c>
      <c r="AN20" s="3143">
        <f t="shared" si="144"/>
        <v>0</v>
      </c>
      <c r="AO20" s="3178">
        <f t="shared" si="223"/>
        <v>1930.0324705801279</v>
      </c>
      <c r="AP20" s="3178">
        <f>SUM(AP12*AP26)</f>
        <v>1930.0324705801279</v>
      </c>
      <c r="AQ20" s="3178"/>
      <c r="AR20" s="3178">
        <f t="shared" si="224"/>
        <v>2100.16</v>
      </c>
      <c r="AS20" s="3192">
        <v>2100.16</v>
      </c>
      <c r="AT20" s="3192"/>
      <c r="AU20" s="3192">
        <v>1801.83</v>
      </c>
      <c r="AV20" s="3192">
        <f>SUM(AU20)</f>
        <v>1801.83</v>
      </c>
      <c r="AW20" s="3192"/>
      <c r="AX20" s="3178">
        <f t="shared" si="225"/>
        <v>1930.0324705801279</v>
      </c>
      <c r="AY20" s="3178">
        <f>SUM(AY12*AY26)</f>
        <v>1930.0324705801279</v>
      </c>
      <c r="AZ20" s="3178"/>
      <c r="BA20" s="3178">
        <f t="shared" si="226"/>
        <v>1830.78</v>
      </c>
      <c r="BB20" s="3192">
        <v>1830.78</v>
      </c>
      <c r="BC20" s="3192"/>
      <c r="BD20" s="3192">
        <v>1643.47</v>
      </c>
      <c r="BE20" s="3192">
        <f>SUM(BD20)</f>
        <v>1643.47</v>
      </c>
      <c r="BF20" s="3192"/>
      <c r="BG20" s="3178">
        <f t="shared" si="227"/>
        <v>1930.0324705801279</v>
      </c>
      <c r="BH20" s="3178">
        <f>SUM(BH12*BH26)</f>
        <v>1930.0324705801279</v>
      </c>
      <c r="BI20" s="3178"/>
      <c r="BJ20" s="3178">
        <f t="shared" si="228"/>
        <v>2052.0700000000002</v>
      </c>
      <c r="BK20" s="3192">
        <v>2052.0700000000002</v>
      </c>
      <c r="BL20" s="3192"/>
      <c r="BM20" s="3192">
        <v>1702.35</v>
      </c>
      <c r="BN20" s="3192">
        <f>SUM(BM20)</f>
        <v>1702.35</v>
      </c>
      <c r="BO20" s="3192"/>
      <c r="BP20" s="3180">
        <f t="shared" si="145"/>
        <v>5790.0974117403839</v>
      </c>
      <c r="BQ20" s="3180">
        <f t="shared" si="146"/>
        <v>5790.0974117403839</v>
      </c>
      <c r="BR20" s="3180">
        <f t="shared" si="147"/>
        <v>0</v>
      </c>
      <c r="BS20" s="3180">
        <f t="shared" si="148"/>
        <v>5983.01</v>
      </c>
      <c r="BT20" s="3180">
        <f t="shared" si="149"/>
        <v>5983.01</v>
      </c>
      <c r="BU20" s="3180">
        <f t="shared" si="150"/>
        <v>0</v>
      </c>
      <c r="BV20" s="3180">
        <f t="shared" si="151"/>
        <v>5147.6499999999996</v>
      </c>
      <c r="BW20" s="3180">
        <f t="shared" si="152"/>
        <v>5147.6499999999996</v>
      </c>
      <c r="BX20" s="3180">
        <f t="shared" si="153"/>
        <v>0</v>
      </c>
      <c r="BY20" s="3143">
        <f t="shared" si="154"/>
        <v>192.91258825961631</v>
      </c>
      <c r="BZ20" s="3143">
        <f t="shared" si="155"/>
        <v>192.91258825961631</v>
      </c>
      <c r="CA20" s="3143">
        <f t="shared" si="156"/>
        <v>0</v>
      </c>
      <c r="CB20" s="3180">
        <f t="shared" si="157"/>
        <v>11580.194823480768</v>
      </c>
      <c r="CC20" s="3180">
        <f t="shared" si="158"/>
        <v>11580.194823480768</v>
      </c>
      <c r="CD20" s="3180">
        <f t="shared" si="159"/>
        <v>0</v>
      </c>
      <c r="CE20" s="3180">
        <f t="shared" si="160"/>
        <v>11732.92</v>
      </c>
      <c r="CF20" s="3180">
        <f t="shared" si="161"/>
        <v>11732.92</v>
      </c>
      <c r="CG20" s="3180">
        <f t="shared" si="162"/>
        <v>0</v>
      </c>
      <c r="CH20" s="3180">
        <f t="shared" si="163"/>
        <v>10084.84</v>
      </c>
      <c r="CI20" s="3180">
        <f t="shared" si="164"/>
        <v>10084.84</v>
      </c>
      <c r="CJ20" s="3180">
        <f t="shared" si="165"/>
        <v>0</v>
      </c>
      <c r="CK20" s="3143">
        <f t="shared" si="166"/>
        <v>152.72517651923226</v>
      </c>
      <c r="CL20" s="3143">
        <f t="shared" si="167"/>
        <v>152.72517651923226</v>
      </c>
      <c r="CM20" s="3143">
        <f t="shared" si="168"/>
        <v>0</v>
      </c>
      <c r="CN20" s="3178">
        <f t="shared" si="229"/>
        <v>1930.0324705801279</v>
      </c>
      <c r="CO20" s="3178">
        <f>SUM(CO12*CO26)</f>
        <v>1930.0324705801279</v>
      </c>
      <c r="CP20" s="3178"/>
      <c r="CQ20" s="3178">
        <f t="shared" si="230"/>
        <v>1764.07</v>
      </c>
      <c r="CR20" s="3192">
        <v>1764.07</v>
      </c>
      <c r="CS20" s="3192"/>
      <c r="CT20" s="3192">
        <v>1953.33</v>
      </c>
      <c r="CU20" s="3192">
        <f>SUM(CT20)</f>
        <v>1953.33</v>
      </c>
      <c r="CV20" s="3192"/>
      <c r="CW20" s="3178">
        <f t="shared" si="231"/>
        <v>1930.0324705801279</v>
      </c>
      <c r="CX20" s="3178">
        <f>SUM(CX12*CX26)</f>
        <v>1930.0324705801279</v>
      </c>
      <c r="CY20" s="3178"/>
      <c r="CZ20" s="3178">
        <f t="shared" si="232"/>
        <v>1865.62</v>
      </c>
      <c r="DA20" s="3192">
        <v>1865.62</v>
      </c>
      <c r="DB20" s="3192"/>
      <c r="DC20" s="3192">
        <v>1886.68</v>
      </c>
      <c r="DD20" s="3192">
        <f>SUM(DC20)</f>
        <v>1886.68</v>
      </c>
      <c r="DE20" s="3192"/>
      <c r="DF20" s="3178">
        <f t="shared" si="233"/>
        <v>1930.0324705801279</v>
      </c>
      <c r="DG20" s="3178">
        <f>SUM(DG12*DG26)</f>
        <v>1930.0324705801279</v>
      </c>
      <c r="DH20" s="3178"/>
      <c r="DI20" s="3178">
        <f t="shared" si="234"/>
        <v>2555.35</v>
      </c>
      <c r="DJ20" s="3192">
        <v>2555.35</v>
      </c>
      <c r="DK20" s="3192"/>
      <c r="DL20" s="3192">
        <v>2170.37</v>
      </c>
      <c r="DM20" s="3192">
        <f>SUM(DL20)</f>
        <v>2170.37</v>
      </c>
      <c r="DN20" s="3192"/>
      <c r="DO20" s="3180">
        <f t="shared" si="169"/>
        <v>5790.0974117403839</v>
      </c>
      <c r="DP20" s="3180">
        <f t="shared" si="170"/>
        <v>5790.0974117403839</v>
      </c>
      <c r="DQ20" s="3180">
        <f t="shared" si="171"/>
        <v>0</v>
      </c>
      <c r="DR20" s="3180">
        <f t="shared" si="172"/>
        <v>6185.0399999999991</v>
      </c>
      <c r="DS20" s="3180">
        <f t="shared" si="173"/>
        <v>6185.0399999999991</v>
      </c>
      <c r="DT20" s="3180">
        <f t="shared" si="174"/>
        <v>0</v>
      </c>
      <c r="DU20" s="3180">
        <f t="shared" si="175"/>
        <v>6010.38</v>
      </c>
      <c r="DV20" s="3180">
        <f t="shared" si="176"/>
        <v>6010.38</v>
      </c>
      <c r="DW20" s="3180">
        <f t="shared" si="177"/>
        <v>0</v>
      </c>
      <c r="DX20" s="3143">
        <f t="shared" si="178"/>
        <v>394.94258825961515</v>
      </c>
      <c r="DY20" s="3143">
        <f t="shared" si="179"/>
        <v>394.94258825961515</v>
      </c>
      <c r="DZ20" s="3143">
        <f t="shared" si="180"/>
        <v>0</v>
      </c>
      <c r="EA20" s="3180">
        <f t="shared" si="181"/>
        <v>17370.292235221154</v>
      </c>
      <c r="EB20" s="3180">
        <f t="shared" si="182"/>
        <v>17370.292235221154</v>
      </c>
      <c r="EC20" s="3180">
        <f t="shared" si="183"/>
        <v>0</v>
      </c>
      <c r="ED20" s="3180">
        <f t="shared" si="184"/>
        <v>17917.96</v>
      </c>
      <c r="EE20" s="3180">
        <f t="shared" si="185"/>
        <v>17917.96</v>
      </c>
      <c r="EF20" s="3180">
        <f t="shared" si="186"/>
        <v>0</v>
      </c>
      <c r="EG20" s="3180">
        <f t="shared" si="187"/>
        <v>16095.220000000001</v>
      </c>
      <c r="EH20" s="3180">
        <f t="shared" si="188"/>
        <v>16095.220000000001</v>
      </c>
      <c r="EI20" s="3180">
        <f t="shared" si="189"/>
        <v>0</v>
      </c>
      <c r="EJ20" s="3143">
        <f t="shared" si="190"/>
        <v>547.66776477884559</v>
      </c>
      <c r="EK20" s="3143">
        <f t="shared" si="191"/>
        <v>547.66776477884559</v>
      </c>
      <c r="EL20" s="3143">
        <f t="shared" si="192"/>
        <v>0</v>
      </c>
      <c r="EM20" s="3178">
        <f t="shared" si="235"/>
        <v>1930.0324705801279</v>
      </c>
      <c r="EN20" s="3178">
        <f>SUM(EN12*EN26)</f>
        <v>1930.0324705801279</v>
      </c>
      <c r="EO20" s="3178"/>
      <c r="EP20" s="3178">
        <f t="shared" si="236"/>
        <v>0</v>
      </c>
      <c r="EQ20" s="3192"/>
      <c r="ER20" s="3192"/>
      <c r="ES20" s="3192">
        <v>2075.81</v>
      </c>
      <c r="ET20" s="3192">
        <f>SUM(ES20)</f>
        <v>2075.81</v>
      </c>
      <c r="EU20" s="3192"/>
      <c r="EV20" s="3178">
        <f t="shared" si="237"/>
        <v>1930.0324705801279</v>
      </c>
      <c r="EW20" s="3178">
        <f>SUM(EW12*EW26)</f>
        <v>1930.0324705801279</v>
      </c>
      <c r="EX20" s="3178"/>
      <c r="EY20" s="3178">
        <f t="shared" si="238"/>
        <v>0</v>
      </c>
      <c r="EZ20" s="3192"/>
      <c r="FA20" s="3192"/>
      <c r="FB20" s="3192">
        <v>2382.48</v>
      </c>
      <c r="FC20" s="3192">
        <f>SUM(FB20)</f>
        <v>2382.48</v>
      </c>
      <c r="FD20" s="3192"/>
      <c r="FE20" s="3178">
        <f t="shared" si="239"/>
        <v>1930.0324705801279</v>
      </c>
      <c r="FF20" s="3178">
        <f>SUM(FF12*FF26)</f>
        <v>1930.0324705801279</v>
      </c>
      <c r="FG20" s="3178"/>
      <c r="FH20" s="3178">
        <f t="shared" si="240"/>
        <v>0</v>
      </c>
      <c r="FI20" s="3192"/>
      <c r="FJ20" s="3192"/>
      <c r="FK20" s="3192">
        <v>2325.21</v>
      </c>
      <c r="FL20" s="3192">
        <f>SUM(FK20)</f>
        <v>2325.21</v>
      </c>
      <c r="FM20" s="3192"/>
      <c r="FN20" s="3180">
        <f t="shared" si="193"/>
        <v>5790.0974117403839</v>
      </c>
      <c r="FO20" s="3180">
        <f t="shared" si="194"/>
        <v>5790.0974117403839</v>
      </c>
      <c r="FP20" s="3180">
        <f t="shared" si="195"/>
        <v>0</v>
      </c>
      <c r="FQ20" s="3180">
        <f t="shared" si="196"/>
        <v>0</v>
      </c>
      <c r="FR20" s="3180">
        <f t="shared" si="197"/>
        <v>0</v>
      </c>
      <c r="FS20" s="3180">
        <f t="shared" si="198"/>
        <v>0</v>
      </c>
      <c r="FT20" s="3180">
        <f t="shared" si="199"/>
        <v>6783.5</v>
      </c>
      <c r="FU20" s="3180">
        <f t="shared" si="200"/>
        <v>6783.5</v>
      </c>
      <c r="FV20" s="3180">
        <f t="shared" si="201"/>
        <v>0</v>
      </c>
      <c r="FW20" s="3143">
        <f t="shared" si="202"/>
        <v>-5790.0974117403839</v>
      </c>
      <c r="FX20" s="3143">
        <f t="shared" si="203"/>
        <v>-5790.0974117403839</v>
      </c>
      <c r="FY20" s="3143">
        <f t="shared" si="204"/>
        <v>0</v>
      </c>
      <c r="FZ20" s="3242">
        <f t="shared" si="205"/>
        <v>23160.389646961536</v>
      </c>
      <c r="GA20" s="3242">
        <f t="shared" si="206"/>
        <v>23160.389646961536</v>
      </c>
      <c r="GB20" s="3242">
        <f t="shared" si="207"/>
        <v>0</v>
      </c>
      <c r="GC20" s="3242">
        <f t="shared" si="208"/>
        <v>17917.96</v>
      </c>
      <c r="GD20" s="3242">
        <f t="shared" si="209"/>
        <v>17917.96</v>
      </c>
      <c r="GE20" s="3242">
        <f t="shared" si="210"/>
        <v>0</v>
      </c>
      <c r="GF20" s="3242">
        <f t="shared" si="211"/>
        <v>22878.720000000001</v>
      </c>
      <c r="GG20" s="3242">
        <f t="shared" si="212"/>
        <v>22878.720000000001</v>
      </c>
      <c r="GH20" s="3242">
        <f t="shared" si="213"/>
        <v>0</v>
      </c>
      <c r="GI20" s="3243">
        <f t="shared" si="214"/>
        <v>-5242.4296469615365</v>
      </c>
      <c r="GJ20" s="3243">
        <f t="shared" si="215"/>
        <v>-5242.4296469615365</v>
      </c>
      <c r="GK20" s="3243">
        <f t="shared" si="216"/>
        <v>0</v>
      </c>
    </row>
    <row r="21" spans="1:193" ht="18.75" customHeight="1" x14ac:dyDescent="0.3">
      <c r="A21" s="3106" t="s">
        <v>3645</v>
      </c>
      <c r="B21" s="3177">
        <f t="shared" si="217"/>
        <v>8042.9964976906185</v>
      </c>
      <c r="C21" s="3177">
        <f>SUM(C17:C20)</f>
        <v>8022.0285556993913</v>
      </c>
      <c r="D21" s="3177">
        <f>SUM(D17:D20)</f>
        <v>20.967941991226851</v>
      </c>
      <c r="E21" s="3177">
        <f t="shared" si="218"/>
        <v>8539.57</v>
      </c>
      <c r="F21" s="3177">
        <f>SUM(F17:F20)</f>
        <v>8536.69</v>
      </c>
      <c r="G21" s="3177">
        <f>SUM(G17:G20)</f>
        <v>2.88</v>
      </c>
      <c r="H21" s="3177">
        <f>SUM(H17:H20)</f>
        <v>7207.7</v>
      </c>
      <c r="I21" s="3177">
        <f>SUM(I17:I20)</f>
        <v>7204.16</v>
      </c>
      <c r="J21" s="3177">
        <f>SUM(J17:J20)</f>
        <v>3.54</v>
      </c>
      <c r="K21" s="3177">
        <f t="shared" si="219"/>
        <v>8042.9964976906185</v>
      </c>
      <c r="L21" s="3177">
        <f>SUM(L17:L20)</f>
        <v>8022.0285556993913</v>
      </c>
      <c r="M21" s="3177">
        <f>SUM(M17:M20)</f>
        <v>20.967941991226851</v>
      </c>
      <c r="N21" s="3177">
        <f t="shared" si="220"/>
        <v>8213.4999999999982</v>
      </c>
      <c r="O21" s="3177">
        <f>SUM(O17:O20)</f>
        <v>8211.0399999999991</v>
      </c>
      <c r="P21" s="3177">
        <f>SUM(P17:P20)</f>
        <v>2.46</v>
      </c>
      <c r="Q21" s="3177">
        <f>SUM(Q17:Q20)</f>
        <v>7047.18</v>
      </c>
      <c r="R21" s="3177">
        <f>SUM(R17:R20)</f>
        <v>7044.34</v>
      </c>
      <c r="S21" s="3177">
        <f>SUM(S17:S20)</f>
        <v>2.84</v>
      </c>
      <c r="T21" s="3177">
        <f t="shared" si="221"/>
        <v>8042.9964976906185</v>
      </c>
      <c r="U21" s="3177">
        <f>SUM(U17:U20)</f>
        <v>8022.0285556993913</v>
      </c>
      <c r="V21" s="3177">
        <f>SUM(V17:V20)</f>
        <v>20.967941991226851</v>
      </c>
      <c r="W21" s="3177">
        <f t="shared" si="222"/>
        <v>8014.03</v>
      </c>
      <c r="X21" s="3177">
        <f>SUM(X17:X20)</f>
        <v>7961.61</v>
      </c>
      <c r="Y21" s="3177">
        <f>SUM(Y17:Y20)</f>
        <v>52.42</v>
      </c>
      <c r="Z21" s="3177">
        <f>SUM(Z17:Z20)</f>
        <v>6918.81</v>
      </c>
      <c r="AA21" s="3177">
        <f>SUM(AA17:AA20)</f>
        <v>6864.1</v>
      </c>
      <c r="AB21" s="3177">
        <f>SUM(AB17:AB20)</f>
        <v>54.71</v>
      </c>
      <c r="AC21" s="3157">
        <f t="shared" si="133"/>
        <v>24128.989493071855</v>
      </c>
      <c r="AD21" s="3157">
        <f t="shared" si="134"/>
        <v>24066.085667098174</v>
      </c>
      <c r="AE21" s="3157">
        <f t="shared" si="135"/>
        <v>62.903825973680554</v>
      </c>
      <c r="AF21" s="3157">
        <f t="shared" si="136"/>
        <v>24767.1</v>
      </c>
      <c r="AG21" s="3157">
        <f t="shared" si="137"/>
        <v>24709.34</v>
      </c>
      <c r="AH21" s="3157">
        <f t="shared" si="138"/>
        <v>57.760000000000005</v>
      </c>
      <c r="AI21" s="3157">
        <f t="shared" si="139"/>
        <v>21173.690000000002</v>
      </c>
      <c r="AJ21" s="3157">
        <f t="shared" si="140"/>
        <v>21112.6</v>
      </c>
      <c r="AK21" s="3157">
        <f t="shared" si="141"/>
        <v>61.09</v>
      </c>
      <c r="AL21" s="3154">
        <f t="shared" si="142"/>
        <v>638.11050692814388</v>
      </c>
      <c r="AM21" s="3154">
        <f t="shared" si="143"/>
        <v>643.25433290182627</v>
      </c>
      <c r="AN21" s="3154">
        <f t="shared" si="144"/>
        <v>-5.1438259736805492</v>
      </c>
      <c r="AO21" s="3177">
        <f t="shared" si="223"/>
        <v>8042.9964976906185</v>
      </c>
      <c r="AP21" s="3177">
        <f>SUM(AP17:AP20)</f>
        <v>8022.0285556993913</v>
      </c>
      <c r="AQ21" s="3177">
        <f>SUM(AQ17:AQ20)</f>
        <v>20.967941991226851</v>
      </c>
      <c r="AR21" s="3177">
        <f t="shared" si="224"/>
        <v>8332.44</v>
      </c>
      <c r="AS21" s="3177">
        <f>SUM(AS17:AS20)</f>
        <v>8328.17</v>
      </c>
      <c r="AT21" s="3177">
        <f>SUM(AT17:AT20)</f>
        <v>4.2699999999999996</v>
      </c>
      <c r="AU21" s="3177">
        <f>SUM(AU17:AU20)</f>
        <v>7293.43</v>
      </c>
      <c r="AV21" s="3177">
        <f>SUM(AV17:AV20)</f>
        <v>7292.34</v>
      </c>
      <c r="AW21" s="3177">
        <f>SUM(AW17:AW20)</f>
        <v>1.0900000000000001</v>
      </c>
      <c r="AX21" s="3177">
        <f t="shared" si="225"/>
        <v>8042.9964976906185</v>
      </c>
      <c r="AY21" s="3177">
        <f>SUM(AY17:AY20)</f>
        <v>8022.0285556993913</v>
      </c>
      <c r="AZ21" s="3177">
        <f>SUM(AZ17:AZ20)</f>
        <v>20.967941991226851</v>
      </c>
      <c r="BA21" s="3177">
        <f t="shared" si="226"/>
        <v>8139.17</v>
      </c>
      <c r="BB21" s="3177">
        <f>SUM(BB17:BB20)</f>
        <v>8131.91</v>
      </c>
      <c r="BC21" s="3177">
        <f>SUM(BC17:BC20)</f>
        <v>7.26</v>
      </c>
      <c r="BD21" s="3177">
        <f>SUM(BD17:BD20)</f>
        <v>6966.01</v>
      </c>
      <c r="BE21" s="3177">
        <f>SUM(BE17:BE20)</f>
        <v>6957.5700000000006</v>
      </c>
      <c r="BF21" s="3177">
        <f>SUM(BF17:BF20)</f>
        <v>8.44</v>
      </c>
      <c r="BG21" s="3177">
        <f t="shared" si="227"/>
        <v>8042.9964976906185</v>
      </c>
      <c r="BH21" s="3177">
        <f>SUM(BH17:BH20)</f>
        <v>8022.0285556993913</v>
      </c>
      <c r="BI21" s="3177">
        <f>SUM(BI17:BI20)</f>
        <v>20.967941991226851</v>
      </c>
      <c r="BJ21" s="3177">
        <f t="shared" si="228"/>
        <v>8210.9699999999993</v>
      </c>
      <c r="BK21" s="3177">
        <f>SUM(BK17:BK20)</f>
        <v>8155.91</v>
      </c>
      <c r="BL21" s="3177">
        <f>SUM(BL17:BL20)</f>
        <v>55.06</v>
      </c>
      <c r="BM21" s="3177">
        <f>SUM(BM17:BM20)</f>
        <v>7439.26</v>
      </c>
      <c r="BN21" s="3177">
        <f>SUM(BN17:BN20)</f>
        <v>7385.83</v>
      </c>
      <c r="BO21" s="3177">
        <f>SUM(BO17:BO20)</f>
        <v>53.43</v>
      </c>
      <c r="BP21" s="3157">
        <f t="shared" si="145"/>
        <v>24128.989493071855</v>
      </c>
      <c r="BQ21" s="3157">
        <f t="shared" si="146"/>
        <v>24066.085667098174</v>
      </c>
      <c r="BR21" s="3157">
        <f t="shared" si="147"/>
        <v>62.903825973680554</v>
      </c>
      <c r="BS21" s="3157">
        <f t="shared" si="148"/>
        <v>24682.58</v>
      </c>
      <c r="BT21" s="3157">
        <f t="shared" si="149"/>
        <v>24615.99</v>
      </c>
      <c r="BU21" s="3157">
        <f t="shared" si="150"/>
        <v>66.59</v>
      </c>
      <c r="BV21" s="3157">
        <f t="shared" si="151"/>
        <v>21698.7</v>
      </c>
      <c r="BW21" s="3157">
        <f t="shared" si="152"/>
        <v>21635.739999999998</v>
      </c>
      <c r="BX21" s="3157">
        <f t="shared" si="153"/>
        <v>62.96</v>
      </c>
      <c r="BY21" s="3154">
        <f t="shared" si="154"/>
        <v>553.59050692814708</v>
      </c>
      <c r="BZ21" s="3154">
        <f t="shared" si="155"/>
        <v>549.90433290182773</v>
      </c>
      <c r="CA21" s="3154">
        <f t="shared" si="156"/>
        <v>3.6861740263194491</v>
      </c>
      <c r="CB21" s="3157">
        <f t="shared" si="157"/>
        <v>48257.978986143709</v>
      </c>
      <c r="CC21" s="3157">
        <f t="shared" si="158"/>
        <v>48132.171334196348</v>
      </c>
      <c r="CD21" s="3157">
        <f t="shared" si="159"/>
        <v>125.80765194736111</v>
      </c>
      <c r="CE21" s="3157">
        <f t="shared" si="160"/>
        <v>49449.68</v>
      </c>
      <c r="CF21" s="3157">
        <f t="shared" si="161"/>
        <v>49325.33</v>
      </c>
      <c r="CG21" s="3157">
        <f t="shared" si="162"/>
        <v>124.35000000000001</v>
      </c>
      <c r="CH21" s="3157">
        <f t="shared" si="163"/>
        <v>42872.39</v>
      </c>
      <c r="CI21" s="3157">
        <f t="shared" si="164"/>
        <v>42748.34</v>
      </c>
      <c r="CJ21" s="3157">
        <f t="shared" si="165"/>
        <v>124.05000000000001</v>
      </c>
      <c r="CK21" s="3154">
        <f t="shared" si="166"/>
        <v>1191.701013856291</v>
      </c>
      <c r="CL21" s="3154">
        <f t="shared" si="167"/>
        <v>1193.158665803654</v>
      </c>
      <c r="CM21" s="3154">
        <f t="shared" si="168"/>
        <v>-1.4576519473611</v>
      </c>
      <c r="CN21" s="3177">
        <f t="shared" si="229"/>
        <v>8043.4601102210518</v>
      </c>
      <c r="CO21" s="3177">
        <f>SUM(CO17:CO20)</f>
        <v>8022.0285556993913</v>
      </c>
      <c r="CP21" s="3177">
        <f>SUM(CP17:CP20)</f>
        <v>21.431554521660093</v>
      </c>
      <c r="CQ21" s="3177">
        <f t="shared" si="230"/>
        <v>7755.1799999999994</v>
      </c>
      <c r="CR21" s="3177">
        <f>SUM(CR17:CR20)</f>
        <v>7750.6399999999994</v>
      </c>
      <c r="CS21" s="3177">
        <f>SUM(CS17:CS20)</f>
        <v>4.54</v>
      </c>
      <c r="CT21" s="3177">
        <f>SUM(CT17:CT20)</f>
        <v>8378.17</v>
      </c>
      <c r="CU21" s="3177">
        <f>SUM(CU17:CU20)</f>
        <v>8373.35</v>
      </c>
      <c r="CV21" s="3177">
        <f>SUM(CV17:CV20)</f>
        <v>4.82</v>
      </c>
      <c r="CW21" s="3177">
        <f t="shared" si="231"/>
        <v>8043.4601102210518</v>
      </c>
      <c r="CX21" s="3177">
        <f>SUM(CX17:CX20)</f>
        <v>8022.0285556993913</v>
      </c>
      <c r="CY21" s="3177">
        <f>SUM(CY17:CY20)</f>
        <v>21.431554521660093</v>
      </c>
      <c r="CZ21" s="3177">
        <f t="shared" si="232"/>
        <v>8830.5500000000011</v>
      </c>
      <c r="DA21" s="3177">
        <f>SUM(DA17:DA20)</f>
        <v>8825.0400000000009</v>
      </c>
      <c r="DB21" s="3177">
        <f>SUM(DB17:DB20)</f>
        <v>5.51</v>
      </c>
      <c r="DC21" s="3177">
        <f>SUM(DC17:DC20)</f>
        <v>8950.1899999999987</v>
      </c>
      <c r="DD21" s="3177">
        <f>SUM(DD17:DD20)</f>
        <v>8942.82</v>
      </c>
      <c r="DE21" s="3177">
        <f>SUM(DE17:DE20)</f>
        <v>7.37</v>
      </c>
      <c r="DF21" s="3177">
        <f t="shared" si="233"/>
        <v>8043.4601102210518</v>
      </c>
      <c r="DG21" s="3177">
        <f>SUM(DG17:DG20)</f>
        <v>8022.0285556993913</v>
      </c>
      <c r="DH21" s="3177">
        <f>SUM(DH17:DH20)</f>
        <v>21.431554521660093</v>
      </c>
      <c r="DI21" s="3177">
        <f t="shared" si="234"/>
        <v>8183.4919999999993</v>
      </c>
      <c r="DJ21" s="3177">
        <f>SUM(DJ17:DJ20)</f>
        <v>8126.5959999999995</v>
      </c>
      <c r="DK21" s="3177">
        <f>SUM(DK17:DK20)</f>
        <v>56.896000000000001</v>
      </c>
      <c r="DL21" s="3177">
        <f>SUM(DL17:DL20)</f>
        <v>8837.130000000001</v>
      </c>
      <c r="DM21" s="3177">
        <f>SUM(DM17:DM20)</f>
        <v>8784.630000000001</v>
      </c>
      <c r="DN21" s="3177">
        <f>SUM(DN17:DN20)</f>
        <v>52.5</v>
      </c>
      <c r="DO21" s="3157">
        <f t="shared" si="169"/>
        <v>24130.380330663156</v>
      </c>
      <c r="DP21" s="3157">
        <f t="shared" si="170"/>
        <v>24066.085667098174</v>
      </c>
      <c r="DQ21" s="3157">
        <f t="shared" si="171"/>
        <v>64.294663564980283</v>
      </c>
      <c r="DR21" s="3157">
        <f t="shared" si="172"/>
        <v>24769.221999999998</v>
      </c>
      <c r="DS21" s="3157">
        <f t="shared" si="173"/>
        <v>24702.275999999998</v>
      </c>
      <c r="DT21" s="3157">
        <f t="shared" si="174"/>
        <v>66.945999999999998</v>
      </c>
      <c r="DU21" s="3157">
        <f t="shared" si="175"/>
        <v>26165.49</v>
      </c>
      <c r="DV21" s="3157">
        <f t="shared" si="176"/>
        <v>26100.799999999999</v>
      </c>
      <c r="DW21" s="3157">
        <f t="shared" si="177"/>
        <v>64.69</v>
      </c>
      <c r="DX21" s="3154">
        <f t="shared" si="178"/>
        <v>638.84166933684173</v>
      </c>
      <c r="DY21" s="3154">
        <f t="shared" si="179"/>
        <v>636.19033290182415</v>
      </c>
      <c r="DZ21" s="3154">
        <f t="shared" si="180"/>
        <v>2.6513364350197151</v>
      </c>
      <c r="EA21" s="3157">
        <f t="shared" si="181"/>
        <v>72388.359316806862</v>
      </c>
      <c r="EB21" s="3157">
        <f t="shared" si="182"/>
        <v>72198.257001294522</v>
      </c>
      <c r="EC21" s="3157">
        <f t="shared" si="183"/>
        <v>190.10231551234139</v>
      </c>
      <c r="ED21" s="3157">
        <f t="shared" si="184"/>
        <v>74218.902000000002</v>
      </c>
      <c r="EE21" s="3157">
        <f t="shared" si="185"/>
        <v>74027.606</v>
      </c>
      <c r="EF21" s="3157">
        <f t="shared" si="186"/>
        <v>191.29599999999999</v>
      </c>
      <c r="EG21" s="3157">
        <f t="shared" si="187"/>
        <v>69037.88</v>
      </c>
      <c r="EH21" s="3157">
        <f t="shared" si="188"/>
        <v>68849.14</v>
      </c>
      <c r="EI21" s="3157">
        <f t="shared" si="189"/>
        <v>188.74</v>
      </c>
      <c r="EJ21" s="3154">
        <f t="shared" si="190"/>
        <v>1830.54268319314</v>
      </c>
      <c r="EK21" s="3154">
        <f t="shared" si="191"/>
        <v>1829.3489987054782</v>
      </c>
      <c r="EL21" s="3154">
        <f t="shared" si="192"/>
        <v>1.1936844876586008</v>
      </c>
      <c r="EM21" s="3177">
        <f t="shared" si="235"/>
        <v>8043.4601102210518</v>
      </c>
      <c r="EN21" s="3177">
        <f>SUM(EN17:EN20)</f>
        <v>8022.0285556993913</v>
      </c>
      <c r="EO21" s="3177">
        <f>SUM(EO17:EO20)</f>
        <v>21.431554521660093</v>
      </c>
      <c r="EP21" s="3177">
        <f t="shared" si="236"/>
        <v>0</v>
      </c>
      <c r="EQ21" s="3177">
        <f>SUM(EQ17:EQ20)</f>
        <v>0</v>
      </c>
      <c r="ER21" s="3177">
        <f>SUM(ER17:ER20)</f>
        <v>0</v>
      </c>
      <c r="ES21" s="3177">
        <f>SUM(ES17:ES20)</f>
        <v>9028.4699999999993</v>
      </c>
      <c r="ET21" s="3177">
        <f>SUM(ET17:ET20)</f>
        <v>9020.73</v>
      </c>
      <c r="EU21" s="3177">
        <f>SUM(EU17:EU20)</f>
        <v>7.74</v>
      </c>
      <c r="EV21" s="3177">
        <f t="shared" si="237"/>
        <v>8043.4601102210518</v>
      </c>
      <c r="EW21" s="3177">
        <f>SUM(EW17:EW20)</f>
        <v>8022.0285556993913</v>
      </c>
      <c r="EX21" s="3177">
        <f>SUM(EX17:EX20)</f>
        <v>21.431554521660093</v>
      </c>
      <c r="EY21" s="3177">
        <f t="shared" si="238"/>
        <v>0</v>
      </c>
      <c r="EZ21" s="3177">
        <f>SUM(EZ17:EZ20)</f>
        <v>0</v>
      </c>
      <c r="FA21" s="3177">
        <f>SUM(FA17:FA20)</f>
        <v>0</v>
      </c>
      <c r="FB21" s="3177">
        <f>SUM(FB17:FB20)</f>
        <v>9041.75</v>
      </c>
      <c r="FC21" s="3177">
        <f>SUM(FC17:FC20)</f>
        <v>9033.9</v>
      </c>
      <c r="FD21" s="3177">
        <f>SUM(FD17:FD20)</f>
        <v>7.85</v>
      </c>
      <c r="FE21" s="3177">
        <f t="shared" si="239"/>
        <v>8043.4601102210518</v>
      </c>
      <c r="FF21" s="3177">
        <f>SUM(FF17:FF20)</f>
        <v>8022.0285556993913</v>
      </c>
      <c r="FG21" s="3177">
        <f>SUM(FG17:FG20)</f>
        <v>21.431554521660093</v>
      </c>
      <c r="FH21" s="3177">
        <f t="shared" si="240"/>
        <v>0</v>
      </c>
      <c r="FI21" s="3177">
        <f>SUM(FI17:FI20)</f>
        <v>0</v>
      </c>
      <c r="FJ21" s="3177">
        <f>SUM(FJ17:FJ20)</f>
        <v>0</v>
      </c>
      <c r="FK21" s="3177">
        <f>SUM(FK17:FK20)</f>
        <v>8855.09</v>
      </c>
      <c r="FL21" s="3177">
        <f>SUM(FL17:FL20)</f>
        <v>8799.57</v>
      </c>
      <c r="FM21" s="3177">
        <f>SUM(FM17:FM20)</f>
        <v>55.52</v>
      </c>
      <c r="FN21" s="3157">
        <f t="shared" si="193"/>
        <v>24130.380330663156</v>
      </c>
      <c r="FO21" s="3157">
        <f t="shared" si="194"/>
        <v>24066.085667098174</v>
      </c>
      <c r="FP21" s="3157">
        <f t="shared" si="195"/>
        <v>64.294663564980283</v>
      </c>
      <c r="FQ21" s="3157">
        <f t="shared" si="196"/>
        <v>0</v>
      </c>
      <c r="FR21" s="3157">
        <f t="shared" si="197"/>
        <v>0</v>
      </c>
      <c r="FS21" s="3157">
        <f t="shared" si="198"/>
        <v>0</v>
      </c>
      <c r="FT21" s="3157">
        <f t="shared" si="199"/>
        <v>26925.31</v>
      </c>
      <c r="FU21" s="3157">
        <f t="shared" si="200"/>
        <v>26854.199999999997</v>
      </c>
      <c r="FV21" s="3157">
        <f t="shared" si="201"/>
        <v>71.11</v>
      </c>
      <c r="FW21" s="3154">
        <f t="shared" si="202"/>
        <v>-24130.380330663156</v>
      </c>
      <c r="FX21" s="3154">
        <f t="shared" si="203"/>
        <v>-24066.085667098174</v>
      </c>
      <c r="FY21" s="3154">
        <f t="shared" si="204"/>
        <v>-64.294663564980283</v>
      </c>
      <c r="FZ21" s="3236">
        <f t="shared" si="205"/>
        <v>96518.739647470022</v>
      </c>
      <c r="GA21" s="3236">
        <f t="shared" si="206"/>
        <v>96264.342668392695</v>
      </c>
      <c r="GB21" s="3236">
        <f t="shared" si="207"/>
        <v>254.39697907732167</v>
      </c>
      <c r="GC21" s="3236">
        <f t="shared" si="208"/>
        <v>74218.902000000002</v>
      </c>
      <c r="GD21" s="3236">
        <f t="shared" si="209"/>
        <v>74027.606</v>
      </c>
      <c r="GE21" s="3236">
        <f t="shared" si="210"/>
        <v>191.29599999999999</v>
      </c>
      <c r="GF21" s="3236">
        <f t="shared" si="211"/>
        <v>95963.19</v>
      </c>
      <c r="GG21" s="3236">
        <f t="shared" si="212"/>
        <v>95703.34</v>
      </c>
      <c r="GH21" s="3236">
        <f t="shared" si="213"/>
        <v>259.85000000000002</v>
      </c>
      <c r="GI21" s="3237">
        <f t="shared" si="214"/>
        <v>-22299.83764747002</v>
      </c>
      <c r="GJ21" s="3237">
        <f t="shared" si="215"/>
        <v>-22236.736668392696</v>
      </c>
      <c r="GK21" s="3237">
        <f t="shared" si="216"/>
        <v>-63.100979077321682</v>
      </c>
    </row>
    <row r="22" spans="1:193" ht="18.75" customHeight="1" x14ac:dyDescent="0.3">
      <c r="A22" s="3106" t="s">
        <v>3646</v>
      </c>
      <c r="B22" s="3128">
        <f>SUM(B21/B9)</f>
        <v>31.958887927485438</v>
      </c>
      <c r="C22" s="3128">
        <f t="shared" ref="C22:D22" si="241">SUM(C21/C9)</f>
        <v>32.063137290101388</v>
      </c>
      <c r="D22" s="3128">
        <f t="shared" si="241"/>
        <v>14.242375692154086</v>
      </c>
      <c r="E22" s="3128">
        <f>SUM(E21/E9)</f>
        <v>32.043955714073974</v>
      </c>
      <c r="F22" s="3128">
        <f t="shared" ref="F22:G22" si="242">SUM(F21/F9)</f>
        <v>32.05750808320159</v>
      </c>
      <c r="G22" s="3128">
        <f t="shared" si="242"/>
        <v>14.222222222222221</v>
      </c>
      <c r="H22" s="3128">
        <f>SUM(H21/H9)</f>
        <v>26.627138054601204</v>
      </c>
      <c r="I22" s="3128">
        <f t="shared" ref="I22" si="243">SUM(I21/I9)</f>
        <v>26.63767794416713</v>
      </c>
      <c r="J22" s="3128">
        <f t="shared" ref="J22" si="244">SUM(J21/J9)</f>
        <v>14.75</v>
      </c>
      <c r="K22" s="3128">
        <f>SUM(K21/K9)</f>
        <v>31.958887927485438</v>
      </c>
      <c r="L22" s="3128">
        <f t="shared" ref="L22" si="245">SUM(L21/L9)</f>
        <v>32.063137290101388</v>
      </c>
      <c r="M22" s="3128">
        <f t="shared" ref="M22" si="246">SUM(M21/M9)</f>
        <v>14.242375692154086</v>
      </c>
      <c r="N22" s="3128">
        <f>SUM(N21/N9)</f>
        <v>32.045679773395861</v>
      </c>
      <c r="O22" s="3128">
        <f t="shared" ref="O22" si="247">SUM(O21/O9)</f>
        <v>32.057720012649675</v>
      </c>
      <c r="P22" s="3128">
        <f t="shared" ref="P22" si="248">SUM(P21/P9)</f>
        <v>14.219653179190752</v>
      </c>
      <c r="Q22" s="3128">
        <f>SUM(Q21/Q9)</f>
        <v>26.628301530323071</v>
      </c>
      <c r="R22" s="3128">
        <f t="shared" ref="R22:S22" si="249">SUM(R21/R9)</f>
        <v>26.636693639869922</v>
      </c>
      <c r="S22" s="3128">
        <f t="shared" si="249"/>
        <v>14.94736842105263</v>
      </c>
      <c r="T22" s="3128">
        <f>SUM(T21/T9)</f>
        <v>31.958887927485438</v>
      </c>
      <c r="U22" s="3128">
        <f t="shared" ref="U22" si="250">SUM(U21/U9)</f>
        <v>32.063137290101388</v>
      </c>
      <c r="V22" s="3128">
        <f t="shared" ref="V22" si="251">SUM(V21/V9)</f>
        <v>14.242375692154086</v>
      </c>
      <c r="W22" s="3128">
        <f>SUM(W21/W9)</f>
        <v>31.796280793356686</v>
      </c>
      <c r="X22" s="3128">
        <f t="shared" ref="X22" si="252">SUM(X21/X9)</f>
        <v>32.056344946711064</v>
      </c>
      <c r="Y22" s="3128">
        <f t="shared" ref="Y22" si="253">SUM(Y21/Y9)</f>
        <v>14.244565217391305</v>
      </c>
      <c r="Z22" s="3128">
        <f>SUM(Z21/Z9)</f>
        <v>26.471324176454836</v>
      </c>
      <c r="AA22" s="3128">
        <f t="shared" ref="AA22:AB22" si="254">SUM(AA21/AA9)</f>
        <v>26.637044510846369</v>
      </c>
      <c r="AB22" s="3128">
        <f t="shared" si="254"/>
        <v>14.866847826086957</v>
      </c>
      <c r="AC22" s="3193">
        <f t="shared" ref="AC22:GF22" si="255">SUM(AC21/AC9)</f>
        <v>31.958887927485442</v>
      </c>
      <c r="AD22" s="3193">
        <f t="shared" ref="AD22:AF22" si="256">SUM(AD21/AD9)</f>
        <v>32.063137290101388</v>
      </c>
      <c r="AE22" s="3193">
        <f t="shared" si="256"/>
        <v>14.242375692154086</v>
      </c>
      <c r="AF22" s="3193">
        <f t="shared" si="256"/>
        <v>31.963961801367883</v>
      </c>
      <c r="AG22" s="3193">
        <f t="shared" ref="AG22:AI22" si="257">SUM(AG21/AG9)</f>
        <v>32.057203722419494</v>
      </c>
      <c r="AH22" s="3193">
        <f t="shared" si="257"/>
        <v>14.242386882012083</v>
      </c>
      <c r="AI22" s="3193">
        <f t="shared" si="257"/>
        <v>26.576407977808746</v>
      </c>
      <c r="AJ22" s="3193">
        <f t="shared" ref="AJ22:AK22" si="258">SUM(AJ21/AJ9)</f>
        <v>26.637143578097394</v>
      </c>
      <c r="AK22" s="3193">
        <f t="shared" si="258"/>
        <v>14.863746958637469</v>
      </c>
      <c r="AL22" s="3154">
        <f t="shared" si="142"/>
        <v>5.0738738824414042E-3</v>
      </c>
      <c r="AM22" s="3154">
        <f t="shared" si="143"/>
        <v>-5.933567681893237E-3</v>
      </c>
      <c r="AN22" s="3154">
        <f t="shared" si="144"/>
        <v>1.118985799664074E-5</v>
      </c>
      <c r="AO22" s="3128">
        <f>SUM(AO21/AO9)</f>
        <v>31.958887927485438</v>
      </c>
      <c r="AP22" s="3128">
        <f t="shared" ref="AP22" si="259">SUM(AP21/AP9)</f>
        <v>32.063137290101388</v>
      </c>
      <c r="AQ22" s="3128">
        <f t="shared" ref="AQ22" si="260">SUM(AQ21/AQ9)</f>
        <v>14.242375692154086</v>
      </c>
      <c r="AR22" s="3128">
        <f>SUM(AR21/AR9)</f>
        <v>32.037126038594771</v>
      </c>
      <c r="AS22" s="3128">
        <f t="shared" ref="AS22" si="261">SUM(AS21/AS9)</f>
        <v>32.057685719454781</v>
      </c>
      <c r="AT22" s="3128">
        <f t="shared" ref="AT22" si="262">SUM(AT21/AT9)</f>
        <v>14.233333333333333</v>
      </c>
      <c r="AU22" s="3128">
        <f>SUM(AU21/AU9)</f>
        <v>26.615443564573226</v>
      </c>
      <c r="AV22" s="3128">
        <f t="shared" ref="AV22:AW22" si="263">SUM(AV21/AV9)</f>
        <v>26.636738868393181</v>
      </c>
      <c r="AW22" s="3128">
        <f t="shared" si="263"/>
        <v>4.1923076923076925</v>
      </c>
      <c r="AX22" s="3128">
        <f>SUM(AX21/AX9)</f>
        <v>31.958887927485438</v>
      </c>
      <c r="AY22" s="3128">
        <f t="shared" ref="AY22" si="264">SUM(AY21/AY9)</f>
        <v>32.063137290101388</v>
      </c>
      <c r="AZ22" s="3128">
        <f t="shared" ref="AZ22" si="265">SUM(AZ21/AZ9)</f>
        <v>14.242375692154086</v>
      </c>
      <c r="BA22" s="3128">
        <f>SUM(BA21/BA9)</f>
        <v>32.022291991250015</v>
      </c>
      <c r="BB22" s="3128">
        <f t="shared" ref="BB22" si="266">SUM(BB21/BB9)</f>
        <v>32.058053630421583</v>
      </c>
      <c r="BC22" s="3128">
        <f t="shared" ref="BC22" si="267">SUM(BC21/BC9)</f>
        <v>14.235294117647058</v>
      </c>
      <c r="BD22" s="3128">
        <f>SUM(BD21/BD9)</f>
        <v>26.609152374040267</v>
      </c>
      <c r="BE22" s="3128">
        <f t="shared" ref="BE22:BF22" si="268">SUM(BE21/BE9)</f>
        <v>26.636944869831549</v>
      </c>
      <c r="BF22" s="3128">
        <f t="shared" si="268"/>
        <v>14.305084745762711</v>
      </c>
      <c r="BG22" s="3128">
        <f>SUM(BG21/BG9)</f>
        <v>31.958887927485438</v>
      </c>
      <c r="BH22" s="3128">
        <f t="shared" ref="BH22" si="269">SUM(BH21/BH9)</f>
        <v>32.063137290101388</v>
      </c>
      <c r="BI22" s="3128">
        <f t="shared" ref="BI22" si="270">SUM(BI21/BI9)</f>
        <v>14.242375692154086</v>
      </c>
      <c r="BJ22" s="3128">
        <f>SUM(BJ21/BJ9)</f>
        <v>31.791086383329652</v>
      </c>
      <c r="BK22" s="3128">
        <f t="shared" ref="BK22" si="271">SUM(BK21/BK9)</f>
        <v>32.05775648256968</v>
      </c>
      <c r="BL22" s="3128">
        <f t="shared" ref="BL22" si="272">SUM(BL21/BL9)</f>
        <v>14.242110708742887</v>
      </c>
      <c r="BM22" s="3128">
        <f>SUM(BM21/BM9)</f>
        <v>26.471408746397184</v>
      </c>
      <c r="BN22" s="3128">
        <f t="shared" ref="BN22:BO22" si="273">SUM(BN21/BN9)</f>
        <v>26.636721004039241</v>
      </c>
      <c r="BO22" s="3128">
        <f t="shared" si="273"/>
        <v>14.247999999999999</v>
      </c>
      <c r="BP22" s="3193">
        <f t="shared" si="255"/>
        <v>31.958887927485442</v>
      </c>
      <c r="BQ22" s="3193">
        <f t="shared" ref="BQ22:BS22" si="274">SUM(BQ21/BQ9)</f>
        <v>32.063137290101388</v>
      </c>
      <c r="BR22" s="3193">
        <f t="shared" si="274"/>
        <v>14.242375692154086</v>
      </c>
      <c r="BS22" s="3193">
        <f t="shared" si="274"/>
        <v>31.949988220644158</v>
      </c>
      <c r="BT22" s="3193">
        <f t="shared" ref="BT22:BV22" si="275">SUM(BT21/BT9)</f>
        <v>32.057830703954615</v>
      </c>
      <c r="BU22" s="3193">
        <f t="shared" si="275"/>
        <v>14.240804106073567</v>
      </c>
      <c r="BV22" s="3193">
        <f t="shared" si="275"/>
        <v>26.563873416171884</v>
      </c>
      <c r="BW22" s="3193">
        <f t="shared" ref="BW22:BX22" si="276">SUM(BW21/BW9)</f>
        <v>26.636799015081561</v>
      </c>
      <c r="BX22" s="3193">
        <f t="shared" si="276"/>
        <v>13.686956521739132</v>
      </c>
      <c r="BY22" s="3154">
        <f t="shared" si="154"/>
        <v>-8.8997068412837166E-3</v>
      </c>
      <c r="BZ22" s="3154">
        <f t="shared" si="155"/>
        <v>-5.3065861467729292E-3</v>
      </c>
      <c r="CA22" s="3154">
        <f t="shared" si="156"/>
        <v>-1.5715860805194382E-3</v>
      </c>
      <c r="CB22" s="3193">
        <f t="shared" ref="CB22:CD22" si="277">SUM(CB21/CB9)</f>
        <v>31.958887927485442</v>
      </c>
      <c r="CC22" s="3193">
        <f t="shared" si="277"/>
        <v>32.063137290101388</v>
      </c>
      <c r="CD22" s="3193">
        <f t="shared" si="277"/>
        <v>14.242375692154086</v>
      </c>
      <c r="CE22" s="3193">
        <f t="shared" ref="CE22:CG22" si="278">SUM(CE21/CE9)</f>
        <v>31.956985425387707</v>
      </c>
      <c r="CF22" s="3193">
        <f t="shared" si="278"/>
        <v>32.057516616828636</v>
      </c>
      <c r="CG22" s="3193">
        <f t="shared" si="278"/>
        <v>14.241539254423639</v>
      </c>
      <c r="CH22" s="3193">
        <f t="shared" ref="CH22:CJ22" si="279">SUM(CH21/CH9)</f>
        <v>26.570062470561989</v>
      </c>
      <c r="CI22" s="3193">
        <f t="shared" si="279"/>
        <v>26.636969187151443</v>
      </c>
      <c r="CJ22" s="3193">
        <f t="shared" si="279"/>
        <v>14.242250287026406</v>
      </c>
      <c r="CK22" s="3154">
        <f t="shared" si="166"/>
        <v>-1.9025020977352369E-3</v>
      </c>
      <c r="CL22" s="3154">
        <f t="shared" si="167"/>
        <v>-5.6206732727517306E-3</v>
      </c>
      <c r="CM22" s="3154">
        <f t="shared" si="168"/>
        <v>-8.3643773044705938E-4</v>
      </c>
      <c r="CN22" s="3128">
        <f>SUM(CN21/CN9)</f>
        <v>31.960730094258253</v>
      </c>
      <c r="CO22" s="3128">
        <f t="shared" ref="CO22" si="280">SUM(CO21/CO9)</f>
        <v>32.063137290101388</v>
      </c>
      <c r="CP22" s="3128">
        <f t="shared" ref="CP22" si="281">SUM(CP21/CP9)</f>
        <v>14.557282316599307</v>
      </c>
      <c r="CQ22" s="3128">
        <f>SUM(CQ21/CQ9)</f>
        <v>32.038784413524141</v>
      </c>
      <c r="CR22" s="3128">
        <f t="shared" ref="CR22" si="282">SUM(CR21/CR9)</f>
        <v>32.06122153508862</v>
      </c>
      <c r="CS22" s="3128">
        <f t="shared" ref="CS22" si="283">SUM(CS21/CS9)</f>
        <v>14.59807073954984</v>
      </c>
      <c r="CT22" s="3128">
        <f>SUM(CT21/CT9)</f>
        <v>34.629122923038771</v>
      </c>
      <c r="CU22" s="3128">
        <f t="shared" ref="CU22:CV22" si="284">SUM(CU21/CU9)</f>
        <v>34.657905629139073</v>
      </c>
      <c r="CV22" s="3128">
        <f t="shared" si="284"/>
        <v>14.176470588235293</v>
      </c>
      <c r="CW22" s="3128">
        <f>SUM(CW21/CW9)</f>
        <v>31.960730094258253</v>
      </c>
      <c r="CX22" s="3128">
        <f t="shared" ref="CX22" si="285">SUM(CX21/CX9)</f>
        <v>32.063137290101388</v>
      </c>
      <c r="CY22" s="3128">
        <f t="shared" ref="CY22" si="286">SUM(CY21/CY9)</f>
        <v>14.557282316599307</v>
      </c>
      <c r="CZ22" s="3128">
        <f>SUM(CZ21/CZ9)</f>
        <v>32.037346761817346</v>
      </c>
      <c r="DA22" s="3128">
        <f t="shared" ref="DA22" si="287">SUM(DA21/DA9)</f>
        <v>32.0614414322771</v>
      </c>
      <c r="DB22" s="3128">
        <f t="shared" ref="DB22" si="288">SUM(DB21/DB9)</f>
        <v>14.538258575197888</v>
      </c>
      <c r="DC22" s="3128">
        <f>SUM(DC21/DC9)</f>
        <v>34.62088039610088</v>
      </c>
      <c r="DD22" s="3128">
        <f t="shared" ref="DD22:DE22" si="289">SUM(DD21/DD9)</f>
        <v>34.662093023255814</v>
      </c>
      <c r="DE22" s="3128">
        <f t="shared" si="289"/>
        <v>14.173076923076923</v>
      </c>
      <c r="DF22" s="3128">
        <f>SUM(DF21/DF9)</f>
        <v>31.960730094258253</v>
      </c>
      <c r="DG22" s="3128">
        <f t="shared" ref="DG22" si="290">SUM(DG21/DG9)</f>
        <v>32.063137290101388</v>
      </c>
      <c r="DH22" s="3128">
        <f t="shared" ref="DH22" si="291">SUM(DH21/DH9)</f>
        <v>14.557282316599307</v>
      </c>
      <c r="DI22" s="3128">
        <f>SUM(DI21/DI9)</f>
        <v>31.79549225072752</v>
      </c>
      <c r="DJ22" s="3128">
        <f t="shared" ref="DJ22" si="292">SUM(DJ21/DJ9)</f>
        <v>32.061245665184572</v>
      </c>
      <c r="DK22" s="3128">
        <f t="shared" ref="DK22" si="293">SUM(DK21/DK9)</f>
        <v>14.558853633572161</v>
      </c>
      <c r="DL22" s="3128">
        <f>SUM(DL21/DL9)</f>
        <v>34.368335083420845</v>
      </c>
      <c r="DM22" s="3128">
        <f t="shared" ref="DM22:DN22" si="294">SUM(DM21/DM9)</f>
        <v>34.660209114223719</v>
      </c>
      <c r="DN22" s="3128">
        <f t="shared" si="294"/>
        <v>14.266304347826086</v>
      </c>
      <c r="DO22" s="3193">
        <f t="shared" si="255"/>
        <v>31.960730094258256</v>
      </c>
      <c r="DP22" s="3193">
        <f t="shared" ref="DP22:DQ22" si="295">SUM(DP21/DP9)</f>
        <v>32.063137290101388</v>
      </c>
      <c r="DQ22" s="3193">
        <f t="shared" si="295"/>
        <v>14.557282316599307</v>
      </c>
      <c r="DR22" s="3193">
        <f t="shared" si="255"/>
        <v>31.957482440250402</v>
      </c>
      <c r="DS22" s="3193">
        <f t="shared" ref="DS22:DT22" si="296">SUM(DS21/DS9)</f>
        <v>32.061308032759221</v>
      </c>
      <c r="DT22" s="3193">
        <f t="shared" si="296"/>
        <v>14.559808612440191</v>
      </c>
      <c r="DU22" s="3193">
        <f t="shared" si="255"/>
        <v>34.537797489407204</v>
      </c>
      <c r="DV22" s="3193">
        <f t="shared" ref="DV22:DW22" si="297">SUM(DV21/DV9)</f>
        <v>34.660115530177279</v>
      </c>
      <c r="DW22" s="3193">
        <f t="shared" si="297"/>
        <v>14.248898678414097</v>
      </c>
      <c r="DX22" s="3154">
        <f t="shared" si="178"/>
        <v>-3.247654007854095E-3</v>
      </c>
      <c r="DY22" s="3154">
        <f t="shared" si="179"/>
        <v>-1.8292573421661018E-3</v>
      </c>
      <c r="DZ22" s="3154">
        <f t="shared" si="180"/>
        <v>2.5262958408838188E-3</v>
      </c>
      <c r="EA22" s="3193">
        <f t="shared" si="255"/>
        <v>31.959501983076375</v>
      </c>
      <c r="EB22" s="3193">
        <f t="shared" ref="EB22:EC22" si="298">SUM(EB21/EB9)</f>
        <v>32.06313729010138</v>
      </c>
      <c r="EC22" s="3193">
        <f t="shared" si="298"/>
        <v>14.347344566969161</v>
      </c>
      <c r="ED22" s="3193">
        <f t="shared" si="255"/>
        <v>31.957151293429074</v>
      </c>
      <c r="EE22" s="3193">
        <f t="shared" ref="EE22:EF22" si="299">SUM(EE21/EE9)</f>
        <v>32.058781674931716</v>
      </c>
      <c r="EF22" s="3193">
        <f t="shared" si="299"/>
        <v>14.35132600622679</v>
      </c>
      <c r="EG22" s="3193">
        <f t="shared" si="255"/>
        <v>29.11577926322671</v>
      </c>
      <c r="EH22" s="3193">
        <f t="shared" ref="EH22:EI22" si="300">SUM(EH21/EH9)</f>
        <v>29.199346876457863</v>
      </c>
      <c r="EI22" s="3193">
        <f t="shared" si="300"/>
        <v>14.244528301886794</v>
      </c>
      <c r="EJ22" s="3154">
        <f t="shared" si="190"/>
        <v>-2.3506896473008965E-3</v>
      </c>
      <c r="EK22" s="3154">
        <f t="shared" si="191"/>
        <v>-4.3556151696648726E-3</v>
      </c>
      <c r="EL22" s="3154">
        <f t="shared" si="192"/>
        <v>3.9814392576289492E-3</v>
      </c>
      <c r="EM22" s="3128">
        <f>SUM(EM21/EM9)</f>
        <v>31.960730094258253</v>
      </c>
      <c r="EN22" s="3128">
        <f t="shared" ref="EN22" si="301">SUM(EN21/EN9)</f>
        <v>32.063137290101388</v>
      </c>
      <c r="EO22" s="3128">
        <f t="shared" ref="EO22" si="302">SUM(EO21/EO9)</f>
        <v>14.557282316599307</v>
      </c>
      <c r="EP22" s="3128" t="e">
        <f>SUM(EP21/EP9)</f>
        <v>#DIV/0!</v>
      </c>
      <c r="EQ22" s="3128" t="e">
        <f t="shared" ref="EQ22" si="303">SUM(EQ21/EQ9)</f>
        <v>#DIV/0!</v>
      </c>
      <c r="ER22" s="3128" t="e">
        <f t="shared" ref="ER22" si="304">SUM(ER21/ER9)</f>
        <v>#DIV/0!</v>
      </c>
      <c r="ES22" s="3128">
        <f>SUM(ES21/ES9)</f>
        <v>34.621021550732422</v>
      </c>
      <c r="ET22" s="3128">
        <f t="shared" ref="ET22:EU22" si="305">SUM(ET21/ET9)</f>
        <v>34.663118659698739</v>
      </c>
      <c r="EU22" s="3128">
        <f t="shared" si="305"/>
        <v>14.333333333333332</v>
      </c>
      <c r="EV22" s="3128">
        <f>SUM(EV21/EV9)</f>
        <v>31.960730094258253</v>
      </c>
      <c r="EW22" s="3128">
        <f t="shared" ref="EW22" si="306">SUM(EW21/EW9)</f>
        <v>32.063137290101388</v>
      </c>
      <c r="EX22" s="3128">
        <f t="shared" ref="EX22" si="307">SUM(EX21/EX9)</f>
        <v>14.557282316599307</v>
      </c>
      <c r="EY22" s="3128" t="e">
        <f>SUM(EY21/EY9)</f>
        <v>#DIV/0!</v>
      </c>
      <c r="EZ22" s="3128" t="e">
        <f t="shared" ref="EZ22" si="308">SUM(EZ21/EZ9)</f>
        <v>#DIV/0!</v>
      </c>
      <c r="FA22" s="3128" t="e">
        <f t="shared" ref="FA22" si="309">SUM(FA21/FA9)</f>
        <v>#DIV/0!</v>
      </c>
      <c r="FB22" s="3128">
        <f>SUM(FB21/FB9)</f>
        <v>34.617519813162829</v>
      </c>
      <c r="FC22" s="3128">
        <f t="shared" ref="FC22:FD22" si="310">SUM(FC21/FC9)</f>
        <v>34.661781068948315</v>
      </c>
      <c r="FD22" s="3128">
        <f t="shared" si="310"/>
        <v>14.017857142857141</v>
      </c>
      <c r="FE22" s="3128">
        <f>SUM(FE21/FE9)</f>
        <v>31.960730094258253</v>
      </c>
      <c r="FF22" s="3128">
        <f t="shared" ref="FF22" si="311">SUM(FF21/FF9)</f>
        <v>32.063137290101388</v>
      </c>
      <c r="FG22" s="3128">
        <f t="shared" ref="FG22" si="312">SUM(FG21/FG9)</f>
        <v>14.557282316599307</v>
      </c>
      <c r="FH22" s="3128" t="e">
        <f>SUM(FH21/FH9)</f>
        <v>#DIV/0!</v>
      </c>
      <c r="FI22" s="3128" t="e">
        <f t="shared" ref="FI22" si="313">SUM(FI21/FI9)</f>
        <v>#DIV/0!</v>
      </c>
      <c r="FJ22" s="3128" t="e">
        <f t="shared" ref="FJ22" si="314">SUM(FJ21/FJ9)</f>
        <v>#DIV/0!</v>
      </c>
      <c r="FK22" s="3128">
        <f>SUM(FK21/FK9)</f>
        <v>34.422118561710398</v>
      </c>
      <c r="FL22" s="3128">
        <f t="shared" ref="FL22:FM22" si="315">SUM(FL21/FL9)</f>
        <v>34.732859680284193</v>
      </c>
      <c r="FM22" s="3128">
        <f t="shared" si="315"/>
        <v>14.235897435897437</v>
      </c>
      <c r="FN22" s="3193">
        <f t="shared" si="255"/>
        <v>31.960730094258256</v>
      </c>
      <c r="FO22" s="3193">
        <f t="shared" ref="FO22:FP22" si="316">SUM(FO21/FO9)</f>
        <v>32.063137290101388</v>
      </c>
      <c r="FP22" s="3193">
        <f t="shared" si="316"/>
        <v>14.557282316599307</v>
      </c>
      <c r="FQ22" s="3193" t="e">
        <f t="shared" si="255"/>
        <v>#DIV/0!</v>
      </c>
      <c r="FR22" s="3193" t="e">
        <f t="shared" ref="FR22:FS22" si="317">SUM(FR21/FR9)</f>
        <v>#DIV/0!</v>
      </c>
      <c r="FS22" s="3193" t="e">
        <f t="shared" si="317"/>
        <v>#DIV/0!</v>
      </c>
      <c r="FT22" s="3193">
        <f t="shared" si="255"/>
        <v>34.554182387515723</v>
      </c>
      <c r="FU22" s="3193">
        <f t="shared" ref="FU22:FV22" si="318">SUM(FU21/FU9)</f>
        <v>34.68548991242799</v>
      </c>
      <c r="FV22" s="3193">
        <f t="shared" si="318"/>
        <v>14.222</v>
      </c>
      <c r="FW22" s="3154" t="e">
        <f t="shared" si="202"/>
        <v>#DIV/0!</v>
      </c>
      <c r="FX22" s="3154" t="e">
        <f t="shared" si="203"/>
        <v>#DIV/0!</v>
      </c>
      <c r="FY22" s="3154" t="e">
        <f t="shared" si="204"/>
        <v>#DIV/0!</v>
      </c>
      <c r="FZ22" s="3247">
        <f t="shared" si="255"/>
        <v>31.959809010871851</v>
      </c>
      <c r="GA22" s="3247">
        <f t="shared" ref="GA22:GB22" si="319">SUM(GA21/GA9)</f>
        <v>32.063137290101388</v>
      </c>
      <c r="GB22" s="3247">
        <f t="shared" si="319"/>
        <v>14.399829004376697</v>
      </c>
      <c r="GC22" s="3247">
        <f t="shared" si="255"/>
        <v>31.957151293429074</v>
      </c>
      <c r="GD22" s="3247">
        <f t="shared" ref="GD22:GE22" si="320">SUM(GD21/GD9)</f>
        <v>32.058781674931716</v>
      </c>
      <c r="GE22" s="3247">
        <f t="shared" si="320"/>
        <v>14.35132600622679</v>
      </c>
      <c r="GF22" s="3247">
        <f t="shared" si="255"/>
        <v>30.460926811771319</v>
      </c>
      <c r="GG22" s="3247">
        <f t="shared" ref="GG22:GH22" si="321">SUM(GG21/GG9)</f>
        <v>30.555451259849558</v>
      </c>
      <c r="GH22" s="3247">
        <f t="shared" si="321"/>
        <v>14.238356164383562</v>
      </c>
      <c r="GI22" s="3237">
        <f t="shared" si="214"/>
        <v>-2.6577174427764305E-3</v>
      </c>
      <c r="GJ22" s="3237">
        <f t="shared" si="215"/>
        <v>-4.355615169671978E-3</v>
      </c>
      <c r="GK22" s="3237">
        <f t="shared" si="216"/>
        <v>-4.8502998149906773E-2</v>
      </c>
    </row>
    <row r="23" spans="1:193" ht="18.75" customHeight="1" x14ac:dyDescent="0.3">
      <c r="A23" s="3124" t="s">
        <v>261</v>
      </c>
      <c r="B23" s="3290">
        <f>SUM(C23)</f>
        <v>24.87</v>
      </c>
      <c r="C23" s="3290">
        <f>SUM('стоки 2018'!Y46)</f>
        <v>24.87</v>
      </c>
      <c r="D23" s="3290"/>
      <c r="E23" s="3125">
        <f>SUM(E17/E10)</f>
        <v>24.866699657440456</v>
      </c>
      <c r="F23" s="3125">
        <f>SUM(F17/F10)</f>
        <v>24.866699657440456</v>
      </c>
      <c r="G23" s="3290"/>
      <c r="H23" s="3125">
        <f>SUM(H17/H10)</f>
        <v>23.466523707410055</v>
      </c>
      <c r="I23" s="3125">
        <f>SUM(I17/I10)</f>
        <v>23.466523707410055</v>
      </c>
      <c r="J23" s="3290"/>
      <c r="K23" s="3290">
        <f>SUM(L23)</f>
        <v>24.87</v>
      </c>
      <c r="L23" s="3290">
        <f>SUM(C23)</f>
        <v>24.87</v>
      </c>
      <c r="M23" s="3290"/>
      <c r="N23" s="3125">
        <f>SUM(N17/N10)</f>
        <v>24.866786539943487</v>
      </c>
      <c r="O23" s="3125">
        <f>SUM(O17/O10)</f>
        <v>24.866786539943487</v>
      </c>
      <c r="P23" s="3290"/>
      <c r="Q23" s="3125">
        <f>SUM(Q17/Q10)</f>
        <v>23.46599319863973</v>
      </c>
      <c r="R23" s="3125">
        <f>SUM(R17/R10)</f>
        <v>23.46599319863973</v>
      </c>
      <c r="S23" s="3290"/>
      <c r="T23" s="3290">
        <f>SUM(U23)</f>
        <v>24.87</v>
      </c>
      <c r="U23" s="3290">
        <f>SUM(C23)</f>
        <v>24.87</v>
      </c>
      <c r="V23" s="3290"/>
      <c r="W23" s="3125">
        <f>SUM(W17/W10)</f>
        <v>24.865942221044261</v>
      </c>
      <c r="X23" s="3125">
        <f>SUM(X17/X10)</f>
        <v>24.865942221044261</v>
      </c>
      <c r="Y23" s="3290"/>
      <c r="Z23" s="3125">
        <f>SUM(Z17/Z10)</f>
        <v>23.466221006786185</v>
      </c>
      <c r="AA23" s="3125">
        <f>SUM(AA17/AA10)</f>
        <v>23.466221006786185</v>
      </c>
      <c r="AB23" s="3290"/>
      <c r="AC23" s="3194">
        <f>SUM(AC17/AC10)</f>
        <v>24.87</v>
      </c>
      <c r="AD23" s="3194">
        <f t="shared" ref="AD23" si="322">SUM(AD17/AD10)</f>
        <v>24.87</v>
      </c>
      <c r="AE23" s="3194"/>
      <c r="AF23" s="3194">
        <f>SUM(AF17/AF10)</f>
        <v>24.866486653737748</v>
      </c>
      <c r="AG23" s="3194">
        <f t="shared" ref="AG23" si="323">SUM(AG17/AG10)</f>
        <v>24.866486653737748</v>
      </c>
      <c r="AH23" s="3194"/>
      <c r="AI23" s="3194">
        <f>SUM(AI17/AI10)</f>
        <v>23.466250596933818</v>
      </c>
      <c r="AJ23" s="3194">
        <f t="shared" ref="AJ23" si="324">SUM(AJ17/AJ10)</f>
        <v>23.466250596933818</v>
      </c>
      <c r="AK23" s="3194"/>
      <c r="AL23" s="3148">
        <f t="shared" ref="AL23:AL26" si="325">SUM(AF23-AC23)</f>
        <v>-3.5133462622525258E-3</v>
      </c>
      <c r="AM23" s="3148">
        <f t="shared" si="143"/>
        <v>-3.5133462622525258E-3</v>
      </c>
      <c r="AN23" s="3148">
        <f t="shared" si="144"/>
        <v>0</v>
      </c>
      <c r="AO23" s="3290">
        <f>SUM(AP23)</f>
        <v>24.87</v>
      </c>
      <c r="AP23" s="3290">
        <f>SUM(C23)</f>
        <v>24.87</v>
      </c>
      <c r="AQ23" s="3290"/>
      <c r="AR23" s="3125">
        <f>SUM(AR17/AR10)</f>
        <v>24.866713677611294</v>
      </c>
      <c r="AS23" s="3125">
        <f>SUM(AS17/AS10)</f>
        <v>24.866713677611294</v>
      </c>
      <c r="AT23" s="3290"/>
      <c r="AU23" s="3125">
        <f>SUM(AU17/AU10)</f>
        <v>23.466162130694222</v>
      </c>
      <c r="AV23" s="3125">
        <f>SUM(AV17/AV10)</f>
        <v>23.466162130694222</v>
      </c>
      <c r="AW23" s="3290"/>
      <c r="AX23" s="3290">
        <f>SUM(AY23)</f>
        <v>24.87</v>
      </c>
      <c r="AY23" s="3290">
        <f>SUM(L23)</f>
        <v>24.87</v>
      </c>
      <c r="AZ23" s="3290"/>
      <c r="BA23" s="3125">
        <f>SUM(BA17/BA10)</f>
        <v>24.867088253399743</v>
      </c>
      <c r="BB23" s="3125">
        <f>SUM(BB17/BB10)</f>
        <v>24.867088253399743</v>
      </c>
      <c r="BC23" s="3290"/>
      <c r="BD23" s="3125">
        <f>SUM(BD17/BD10)</f>
        <v>23.465791188411607</v>
      </c>
      <c r="BE23" s="3125">
        <f>SUM(BE17/BE10)</f>
        <v>23.465791188411607</v>
      </c>
      <c r="BF23" s="3290"/>
      <c r="BG23" s="3290">
        <f>SUM(BH23)</f>
        <v>24.87</v>
      </c>
      <c r="BH23" s="3290">
        <f>SUM(C23)</f>
        <v>24.87</v>
      </c>
      <c r="BI23" s="3290"/>
      <c r="BJ23" s="3125">
        <f>SUM(BJ17/BJ10)</f>
        <v>24.866654762404945</v>
      </c>
      <c r="BK23" s="3125">
        <f>SUM(BK17/BK10)</f>
        <v>24.866654762404945</v>
      </c>
      <c r="BL23" s="3290"/>
      <c r="BM23" s="3125">
        <f>SUM(BM17/BM10)</f>
        <v>23.465554409972817</v>
      </c>
      <c r="BN23" s="3125">
        <f>SUM(BN17/BN10)</f>
        <v>23.465554409972817</v>
      </c>
      <c r="BO23" s="3290"/>
      <c r="BP23" s="3194">
        <f>SUM(BP17/BP10)</f>
        <v>24.87</v>
      </c>
      <c r="BQ23" s="3194">
        <f t="shared" ref="BQ23" si="326">SUM(BQ17/BQ10)</f>
        <v>24.87</v>
      </c>
      <c r="BR23" s="3194"/>
      <c r="BS23" s="3194">
        <f>SUM(BS17/BS10)</f>
        <v>24.866821047126184</v>
      </c>
      <c r="BT23" s="3194">
        <f t="shared" ref="BT23" si="327">SUM(BT17/BT10)</f>
        <v>24.866821047126184</v>
      </c>
      <c r="BU23" s="3194"/>
      <c r="BV23" s="3194">
        <f>SUM(BV17/BV10)</f>
        <v>23.465833091014829</v>
      </c>
      <c r="BW23" s="3194">
        <f t="shared" ref="BW23" si="328">SUM(BW17/BW10)</f>
        <v>23.465833091014829</v>
      </c>
      <c r="BX23" s="3194"/>
      <c r="BY23" s="3148">
        <f t="shared" si="154"/>
        <v>-3.178952873817309E-3</v>
      </c>
      <c r="BZ23" s="3148">
        <f t="shared" si="155"/>
        <v>-3.178952873817309E-3</v>
      </c>
      <c r="CA23" s="3148">
        <f t="shared" si="156"/>
        <v>0</v>
      </c>
      <c r="CB23" s="3194">
        <f>SUM(CB17/CB10)</f>
        <v>24.87</v>
      </c>
      <c r="CC23" s="3194">
        <f t="shared" ref="CC23" si="329">SUM(CC17/CC10)</f>
        <v>24.87</v>
      </c>
      <c r="CD23" s="3194"/>
      <c r="CE23" s="3194">
        <f>SUM(CE17/CE10)</f>
        <v>24.866652397442799</v>
      </c>
      <c r="CF23" s="3194">
        <f t="shared" ref="CF23" si="330">SUM(CF17/CF10)</f>
        <v>24.866652397442799</v>
      </c>
      <c r="CG23" s="3194"/>
      <c r="CH23" s="3194">
        <f>SUM(CH17/CH10)</f>
        <v>23.46603984375637</v>
      </c>
      <c r="CI23" s="3194">
        <f t="shared" ref="CI23" si="331">SUM(CI17/CI10)</f>
        <v>23.46603984375637</v>
      </c>
      <c r="CJ23" s="3194"/>
      <c r="CK23" s="3148">
        <f t="shared" si="166"/>
        <v>-3.3476025572021229E-3</v>
      </c>
      <c r="CL23" s="3148">
        <f t="shared" si="167"/>
        <v>-3.3476025572021229E-3</v>
      </c>
      <c r="CM23" s="3148">
        <f t="shared" si="168"/>
        <v>0</v>
      </c>
      <c r="CN23" s="3290">
        <f>SUM(CO23)</f>
        <v>25.44201</v>
      </c>
      <c r="CO23" s="3290">
        <f>SUM('стоки 2018'!Y47)</f>
        <v>25.44201</v>
      </c>
      <c r="CP23" s="3290"/>
      <c r="CQ23" s="3125">
        <f>SUM(CQ17/CQ10)</f>
        <v>25.441594678691736</v>
      </c>
      <c r="CR23" s="3125">
        <f>SUM(CR17/CR10)</f>
        <v>25.441594678691736</v>
      </c>
      <c r="CS23" s="3290"/>
      <c r="CT23" s="3125">
        <f>SUM(CT17/CT10)</f>
        <v>24.871126228269087</v>
      </c>
      <c r="CU23" s="3125">
        <f>SUM(CU17/CU10)</f>
        <v>24.871126228269087</v>
      </c>
      <c r="CV23" s="3290"/>
      <c r="CW23" s="3290">
        <f>SUM(CX23)</f>
        <v>25.44201</v>
      </c>
      <c r="CX23" s="3290">
        <f>SUM(CO23)</f>
        <v>25.44201</v>
      </c>
      <c r="CY23" s="3290"/>
      <c r="CZ23" s="3125">
        <f>SUM(CZ17/CZ10)</f>
        <v>25.441738112898101</v>
      </c>
      <c r="DA23" s="3125">
        <f>SUM(DA17/DA10)</f>
        <v>25.441738112898101</v>
      </c>
      <c r="DB23" s="3290"/>
      <c r="DC23" s="3125">
        <f>SUM(DC17/DC10)</f>
        <v>24.872230682320577</v>
      </c>
      <c r="DD23" s="3125">
        <f>SUM(DD17/DD10)</f>
        <v>24.872230682320577</v>
      </c>
      <c r="DE23" s="3290"/>
      <c r="DF23" s="3290">
        <f>SUM(DG23)</f>
        <v>25.44201</v>
      </c>
      <c r="DG23" s="3290">
        <f>SUM(CO23)</f>
        <v>25.44201</v>
      </c>
      <c r="DH23" s="3290"/>
      <c r="DI23" s="3125">
        <f>SUM(DI17/DI10)</f>
        <v>25.441720474661327</v>
      </c>
      <c r="DJ23" s="3125">
        <f>SUM(DJ17/DJ10)</f>
        <v>25.441720474661327</v>
      </c>
      <c r="DK23" s="3290"/>
      <c r="DL23" s="3125">
        <f>SUM(DL17/DL10)</f>
        <v>24.872497641756631</v>
      </c>
      <c r="DM23" s="3125">
        <f>SUM(DM17/DM10)</f>
        <v>24.872497641756631</v>
      </c>
      <c r="DN23" s="3290"/>
      <c r="DO23" s="3194">
        <f>SUM(DO17/DO10)</f>
        <v>25.44201</v>
      </c>
      <c r="DP23" s="3194">
        <f t="shared" ref="DP23" si="332">SUM(DP17/DP10)</f>
        <v>25.44201</v>
      </c>
      <c r="DQ23" s="3194"/>
      <c r="DR23" s="3194">
        <f t="shared" ref="DR23:DU23" si="333">SUM(DR17/DR10)</f>
        <v>25.44168643407497</v>
      </c>
      <c r="DS23" s="3194">
        <f t="shared" ref="DS23" si="334">SUM(DS17/DS10)</f>
        <v>25.44168643407497</v>
      </c>
      <c r="DT23" s="3194"/>
      <c r="DU23" s="3194">
        <f t="shared" si="333"/>
        <v>24.871965632062942</v>
      </c>
      <c r="DV23" s="3194">
        <f t="shared" ref="DV23" si="335">SUM(DV17/DV10)</f>
        <v>24.871965632062942</v>
      </c>
      <c r="DW23" s="3194"/>
      <c r="DX23" s="3148">
        <f t="shared" si="178"/>
        <v>-3.2356592502935655E-4</v>
      </c>
      <c r="DY23" s="3148">
        <f t="shared" si="179"/>
        <v>-3.2356592502935655E-4</v>
      </c>
      <c r="DZ23" s="3148">
        <f t="shared" si="180"/>
        <v>0</v>
      </c>
      <c r="EA23" s="3194">
        <f>SUM(EA17/EA10)</f>
        <v>25.060669999999998</v>
      </c>
      <c r="EB23" s="3194">
        <f t="shared" ref="EB23" si="336">SUM(EB17/EB10)</f>
        <v>25.060669999999998</v>
      </c>
      <c r="EC23" s="3194"/>
      <c r="ED23" s="3194">
        <f t="shared" ref="ED23:EG23" si="337">SUM(ED17/ED10)</f>
        <v>25.056404361237934</v>
      </c>
      <c r="EE23" s="3194">
        <f t="shared" ref="EE23" si="338">SUM(EE17/EE10)</f>
        <v>25.056404361237934</v>
      </c>
      <c r="EF23" s="3194"/>
      <c r="EG23" s="3194">
        <f t="shared" si="337"/>
        <v>23.917276704136444</v>
      </c>
      <c r="EH23" s="3194">
        <f t="shared" ref="EH23" si="339">SUM(EH17/EH10)</f>
        <v>23.917276704136444</v>
      </c>
      <c r="EI23" s="3194"/>
      <c r="EJ23" s="3148">
        <f t="shared" si="190"/>
        <v>-4.2656387620638725E-3</v>
      </c>
      <c r="EK23" s="3148">
        <f t="shared" si="191"/>
        <v>-4.2656387620638725E-3</v>
      </c>
      <c r="EL23" s="3148">
        <f t="shared" si="192"/>
        <v>0</v>
      </c>
      <c r="EM23" s="3290">
        <f>SUM(EN23)</f>
        <v>25.44201</v>
      </c>
      <c r="EN23" s="3290">
        <f>SUM(CO23)</f>
        <v>25.44201</v>
      </c>
      <c r="EO23" s="3290"/>
      <c r="EP23" s="3125" t="e">
        <f>SUM(EP17/EP10)</f>
        <v>#DIV/0!</v>
      </c>
      <c r="EQ23" s="3125" t="e">
        <f>SUM(EQ17/EQ10)</f>
        <v>#DIV/0!</v>
      </c>
      <c r="ER23" s="3290"/>
      <c r="ES23" s="3125">
        <f>SUM(ES17/ES10)</f>
        <v>24.873621162964813</v>
      </c>
      <c r="ET23" s="3125">
        <f>SUM(ET17/ET10)</f>
        <v>24.873621162964813</v>
      </c>
      <c r="EU23" s="3290"/>
      <c r="EV23" s="3290">
        <f>SUM(EW23)</f>
        <v>25.44201</v>
      </c>
      <c r="EW23" s="3290">
        <f>SUM(CO23)</f>
        <v>25.44201</v>
      </c>
      <c r="EX23" s="3290"/>
      <c r="EY23" s="3125" t="e">
        <f>SUM(EY17/EY10)</f>
        <v>#DIV/0!</v>
      </c>
      <c r="EZ23" s="3125" t="e">
        <f>SUM(EZ17/EZ10)</f>
        <v>#DIV/0!</v>
      </c>
      <c r="FA23" s="3290"/>
      <c r="FB23" s="3125">
        <f>SUM(FB17/FB10)</f>
        <v>24.872739590390328</v>
      </c>
      <c r="FC23" s="3125">
        <f>SUM(FC17/FC10)</f>
        <v>24.872739590390328</v>
      </c>
      <c r="FD23" s="3290"/>
      <c r="FE23" s="3290">
        <f>SUM(FF23)</f>
        <v>25.44201</v>
      </c>
      <c r="FF23" s="3290">
        <f>SUM(CO23)</f>
        <v>25.44201</v>
      </c>
      <c r="FG23" s="3290"/>
      <c r="FH23" s="3125" t="e">
        <f>SUM(FH17/FH10)</f>
        <v>#DIV/0!</v>
      </c>
      <c r="FI23" s="3125" t="e">
        <f>SUM(FI17/FI10)</f>
        <v>#DIV/0!</v>
      </c>
      <c r="FJ23" s="3290"/>
      <c r="FK23" s="3125">
        <f>SUM(FK17/FK10)</f>
        <v>24.873005675125814</v>
      </c>
      <c r="FL23" s="3125">
        <f>SUM(FL17/FL10)</f>
        <v>24.873005675125814</v>
      </c>
      <c r="FM23" s="3290"/>
      <c r="FN23" s="3194">
        <f>SUM(FN17/FN10)</f>
        <v>25.44201</v>
      </c>
      <c r="FO23" s="3194">
        <f t="shared" ref="FO23" si="340">SUM(FO17/FO10)</f>
        <v>25.44201</v>
      </c>
      <c r="FP23" s="3194"/>
      <c r="FQ23" s="3194" t="e">
        <f t="shared" ref="FQ23:FT23" si="341">SUM(FQ17/FQ10)</f>
        <v>#DIV/0!</v>
      </c>
      <c r="FR23" s="3194" t="e">
        <f t="shared" ref="FR23" si="342">SUM(FR17/FR10)</f>
        <v>#DIV/0!</v>
      </c>
      <c r="FS23" s="3194"/>
      <c r="FT23" s="3194">
        <f t="shared" si="341"/>
        <v>24.873130461814792</v>
      </c>
      <c r="FU23" s="3194">
        <f t="shared" ref="FU23" si="343">SUM(FU17/FU10)</f>
        <v>24.873130461814792</v>
      </c>
      <c r="FV23" s="3194"/>
      <c r="FW23" s="3148" t="e">
        <f t="shared" si="202"/>
        <v>#DIV/0!</v>
      </c>
      <c r="FX23" s="3148" t="e">
        <f t="shared" si="203"/>
        <v>#DIV/0!</v>
      </c>
      <c r="FY23" s="3148">
        <f t="shared" si="204"/>
        <v>0</v>
      </c>
      <c r="FZ23" s="3248">
        <f>SUM(FZ17/FZ10)</f>
        <v>25.156004999999997</v>
      </c>
      <c r="GA23" s="3248">
        <f t="shared" ref="GA23" si="344">SUM(GA17/GA10)</f>
        <v>25.156004999999997</v>
      </c>
      <c r="GB23" s="3248"/>
      <c r="GC23" s="3248">
        <f t="shared" ref="GC23:GF23" si="345">SUM(GC17/GC10)</f>
        <v>25.056404361237934</v>
      </c>
      <c r="GD23" s="3248">
        <f t="shared" ref="GD23" si="346">SUM(GD17/GD10)</f>
        <v>25.056404361237934</v>
      </c>
      <c r="GE23" s="3248"/>
      <c r="GF23" s="3248">
        <f t="shared" si="345"/>
        <v>24.149342535598677</v>
      </c>
      <c r="GG23" s="3248">
        <f t="shared" ref="GG23" si="347">SUM(GG17/GG10)</f>
        <v>24.149342535598677</v>
      </c>
      <c r="GH23" s="3248"/>
      <c r="GI23" s="3246">
        <f t="shared" si="214"/>
        <v>-9.9600638762062488E-2</v>
      </c>
      <c r="GJ23" s="3246">
        <f t="shared" si="215"/>
        <v>-9.9600638762062488E-2</v>
      </c>
      <c r="GK23" s="3246">
        <f t="shared" si="216"/>
        <v>0</v>
      </c>
    </row>
    <row r="24" spans="1:193" ht="18.75" customHeight="1" x14ac:dyDescent="0.3">
      <c r="A24" s="3124" t="s">
        <v>3647</v>
      </c>
      <c r="B24" s="3290">
        <f>SUM(C24)</f>
        <v>7.1931372901013866</v>
      </c>
      <c r="C24" s="3290">
        <f>SUM(C26-C23)</f>
        <v>7.1931372901013866</v>
      </c>
      <c r="D24" s="3290"/>
      <c r="E24" s="3125">
        <f>SUM(E18/E10)</f>
        <v>7.1900028346441553</v>
      </c>
      <c r="F24" s="3125">
        <f>SUM(F18/F10)</f>
        <v>7.1900028346441553</v>
      </c>
      <c r="G24" s="3290"/>
      <c r="H24" s="3125">
        <f>SUM(H18/H10)</f>
        <v>3.170073862282583</v>
      </c>
      <c r="I24" s="3125">
        <f>SUM(I18/I10)</f>
        <v>3.170073862282583</v>
      </c>
      <c r="J24" s="3290"/>
      <c r="K24" s="3290">
        <f>SUM(L24)</f>
        <v>7.1931372901013866</v>
      </c>
      <c r="L24" s="3290">
        <f t="shared" ref="L24:L26" si="348">SUM(C24)</f>
        <v>7.1931372901013866</v>
      </c>
      <c r="M24" s="3290"/>
      <c r="N24" s="3125">
        <f>SUM(N18/N10)</f>
        <v>7.1900333932699709</v>
      </c>
      <c r="O24" s="3125">
        <f>SUM(O18/O10)</f>
        <v>7.1900333932699709</v>
      </c>
      <c r="P24" s="3290"/>
      <c r="Q24" s="3125">
        <f>SUM(Q18/Q10)</f>
        <v>3.1699839967993597</v>
      </c>
      <c r="R24" s="3125">
        <f>SUM(R18/R10)</f>
        <v>3.1699839967993597</v>
      </c>
      <c r="S24" s="3290"/>
      <c r="T24" s="3290">
        <f>SUM(U24)</f>
        <v>7.1931372901013866</v>
      </c>
      <c r="U24" s="3290">
        <f t="shared" ref="U24:U26" si="349">SUM(C24)</f>
        <v>7.1931372901013866</v>
      </c>
      <c r="V24" s="3290"/>
      <c r="W24" s="3125">
        <f>SUM(W18/W10)</f>
        <v>7.1898224224754825</v>
      </c>
      <c r="X24" s="3125">
        <f>SUM(X18/X10)</f>
        <v>7.1898224224754825</v>
      </c>
      <c r="Y24" s="3290"/>
      <c r="Z24" s="3125">
        <f>SUM(Z18/Z10)</f>
        <v>3.1700091157702825</v>
      </c>
      <c r="AA24" s="3125">
        <f>SUM(AA18/AA10)</f>
        <v>3.1700091157702825</v>
      </c>
      <c r="AB24" s="3290"/>
      <c r="AC24" s="3194">
        <f>SUM(AC18/AC10)</f>
        <v>7.1931372901013866</v>
      </c>
      <c r="AD24" s="3194">
        <f t="shared" ref="AD24" si="350">SUM(AD18/AD10)</f>
        <v>7.1931372901013866</v>
      </c>
      <c r="AE24" s="3194"/>
      <c r="AF24" s="3194">
        <f>SUM(AF18/AF10)</f>
        <v>7.1899553461980021</v>
      </c>
      <c r="AG24" s="3194">
        <f t="shared" ref="AG24" si="351">SUM(AG18/AG10)</f>
        <v>7.1899553461980021</v>
      </c>
      <c r="AH24" s="3194"/>
      <c r="AI24" s="3194">
        <f>SUM(AI18/AI10)</f>
        <v>3.1700232186671502</v>
      </c>
      <c r="AJ24" s="3194">
        <f t="shared" ref="AJ24" si="352">SUM(AJ18/AJ10)</f>
        <v>3.1700232186671502</v>
      </c>
      <c r="AK24" s="3194"/>
      <c r="AL24" s="3148">
        <f t="shared" si="325"/>
        <v>-3.1819439033844432E-3</v>
      </c>
      <c r="AM24" s="3148">
        <f t="shared" si="143"/>
        <v>-3.1819439033844432E-3</v>
      </c>
      <c r="AN24" s="3148">
        <f t="shared" si="144"/>
        <v>0</v>
      </c>
      <c r="AO24" s="3290">
        <f>SUM(AP24)</f>
        <v>7.1931372901013866</v>
      </c>
      <c r="AP24" s="3290">
        <f t="shared" ref="AP24:AP26" si="353">SUM(C24)</f>
        <v>7.1931372901013866</v>
      </c>
      <c r="AQ24" s="3290"/>
      <c r="AR24" s="3125">
        <f>SUM(AR18/AR10)</f>
        <v>7.1899979925983502</v>
      </c>
      <c r="AS24" s="3125">
        <f>SUM(AS18/AS10)</f>
        <v>7.1899979925983502</v>
      </c>
      <c r="AT24" s="3290"/>
      <c r="AU24" s="3125">
        <f>SUM(AU18/AU10)</f>
        <v>3.1699898122544026</v>
      </c>
      <c r="AV24" s="3125">
        <f>SUM(AV18/AV10)</f>
        <v>3.1699898122544026</v>
      </c>
      <c r="AW24" s="3290"/>
      <c r="AX24" s="3290">
        <f>SUM(AY24)</f>
        <v>7.1931372901013866</v>
      </c>
      <c r="AY24" s="3290">
        <f t="shared" ref="AY24" si="354">SUM(L24)</f>
        <v>7.1931372901013866</v>
      </c>
      <c r="AZ24" s="3290"/>
      <c r="BA24" s="3125">
        <f>SUM(BA18/BA10)</f>
        <v>7.1901057697688726</v>
      </c>
      <c r="BB24" s="3125">
        <f>SUM(BB18/BB10)</f>
        <v>7.1901057697688726</v>
      </c>
      <c r="BC24" s="3290"/>
      <c r="BD24" s="3125">
        <f>SUM(BD18/BD10)</f>
        <v>3.169966417723423</v>
      </c>
      <c r="BE24" s="3125">
        <f>SUM(BE18/BE10)</f>
        <v>3.169966417723423</v>
      </c>
      <c r="BF24" s="3290"/>
      <c r="BG24" s="3290">
        <f>SUM(BH24)</f>
        <v>7.1931372901013866</v>
      </c>
      <c r="BH24" s="3290">
        <f t="shared" ref="BH24:BH26" si="355">SUM(C24)</f>
        <v>7.1931372901013866</v>
      </c>
      <c r="BI24" s="3290"/>
      <c r="BJ24" s="3125">
        <f>SUM(BJ18/BJ10)</f>
        <v>7.1899815133817908</v>
      </c>
      <c r="BK24" s="3125">
        <f>SUM(BK18/BK10)</f>
        <v>7.1899815133817908</v>
      </c>
      <c r="BL24" s="3290"/>
      <c r="BM24" s="3125">
        <f>SUM(BM18/BM10)</f>
        <v>3.169931577467429</v>
      </c>
      <c r="BN24" s="3125">
        <f>SUM(BN18/BN10)</f>
        <v>3.169931577467429</v>
      </c>
      <c r="BO24" s="3290"/>
      <c r="BP24" s="3194">
        <f>SUM(BP18/BP10)</f>
        <v>7.1931372901013866</v>
      </c>
      <c r="BQ24" s="3194">
        <f t="shared" ref="BQ24" si="356">SUM(BQ18/BQ10)</f>
        <v>7.1931372901013866</v>
      </c>
      <c r="BR24" s="3194"/>
      <c r="BS24" s="3194">
        <f>SUM(BS18/BS10)</f>
        <v>7.1900290409601393</v>
      </c>
      <c r="BT24" s="3194">
        <f t="shared" ref="BT24" si="357">SUM(BT18/BT10)</f>
        <v>7.1900290409601393</v>
      </c>
      <c r="BU24" s="3194"/>
      <c r="BV24" s="3194">
        <f>SUM(BV18/BV10)</f>
        <v>3.1699621983134634</v>
      </c>
      <c r="BW24" s="3194">
        <f t="shared" ref="BW24" si="358">SUM(BW18/BW10)</f>
        <v>3.1699621983134634</v>
      </c>
      <c r="BX24" s="3194"/>
      <c r="BY24" s="3148">
        <f t="shared" si="154"/>
        <v>-3.108249141247299E-3</v>
      </c>
      <c r="BZ24" s="3148">
        <f t="shared" si="155"/>
        <v>-3.108249141247299E-3</v>
      </c>
      <c r="CA24" s="3148">
        <f t="shared" si="156"/>
        <v>0</v>
      </c>
      <c r="CB24" s="3194">
        <f>SUM(CB18/CB10)</f>
        <v>7.1931372901013866</v>
      </c>
      <c r="CC24" s="3194">
        <f t="shared" ref="CC24" si="359">SUM(CC18/CC10)</f>
        <v>7.1931372901013866</v>
      </c>
      <c r="CD24" s="3194"/>
      <c r="CE24" s="3194">
        <f>SUM(CE18/CE10)</f>
        <v>7.1899918733643347</v>
      </c>
      <c r="CF24" s="3194">
        <f t="shared" ref="CF24" si="360">SUM(CF18/CF10)</f>
        <v>7.1899918733643347</v>
      </c>
      <c r="CG24" s="3194"/>
      <c r="CH24" s="3194">
        <f>SUM(CH18/CH10)</f>
        <v>3.1699924161495243</v>
      </c>
      <c r="CI24" s="3194">
        <f t="shared" ref="CI24" si="361">SUM(CI18/CI10)</f>
        <v>3.1699924161495243</v>
      </c>
      <c r="CJ24" s="3194"/>
      <c r="CK24" s="3148">
        <f t="shared" si="166"/>
        <v>-3.1454167370519315E-3</v>
      </c>
      <c r="CL24" s="3148">
        <f t="shared" si="167"/>
        <v>-3.1454167370519315E-3</v>
      </c>
      <c r="CM24" s="3148">
        <f t="shared" si="168"/>
        <v>0</v>
      </c>
      <c r="CN24" s="3290">
        <f>SUM(CO24)</f>
        <v>6.6211272901013878</v>
      </c>
      <c r="CO24" s="3290">
        <f>SUM(CO26-CO23)</f>
        <v>6.6211272901013878</v>
      </c>
      <c r="CP24" s="3290"/>
      <c r="CQ24" s="3125">
        <f>SUM(CQ18/CQ10)</f>
        <v>6.6199838261363206</v>
      </c>
      <c r="CR24" s="3125">
        <f>SUM(CR18/CR10)</f>
        <v>6.6199838261363206</v>
      </c>
      <c r="CS24" s="3290"/>
      <c r="CT24" s="3125">
        <f>SUM(CT18/CT10)</f>
        <v>9.79046539250621</v>
      </c>
      <c r="CU24" s="3125">
        <f>SUM(CU18/CU10)</f>
        <v>9.79046539250621</v>
      </c>
      <c r="CV24" s="3290"/>
      <c r="CW24" s="3290">
        <f>SUM(CX24)</f>
        <v>6.6211272901013878</v>
      </c>
      <c r="CX24" s="3290">
        <f>SUM(CO24)</f>
        <v>6.6211272901013878</v>
      </c>
      <c r="CY24" s="3290"/>
      <c r="CZ24" s="3125">
        <f>SUM(CZ18/CZ10)</f>
        <v>6.620013544454836</v>
      </c>
      <c r="DA24" s="3125">
        <f>SUM(DA18/DA10)</f>
        <v>6.620013544454836</v>
      </c>
      <c r="DB24" s="3290"/>
      <c r="DC24" s="3125">
        <f>SUM(DC18/DC10)</f>
        <v>9.789752910546742</v>
      </c>
      <c r="DD24" s="3125">
        <f>SUM(DD18/DD10)</f>
        <v>9.789752910546742</v>
      </c>
      <c r="DE24" s="3290"/>
      <c r="DF24" s="3290">
        <f>SUM(DG24)</f>
        <v>6.6211272901013878</v>
      </c>
      <c r="DG24" s="3290">
        <f t="shared" ref="DG24:DG26" si="362">SUM(CO24)</f>
        <v>6.6211272901013878</v>
      </c>
      <c r="DH24" s="3290"/>
      <c r="DI24" s="3125">
        <f>SUM(DI18/DI10)</f>
        <v>6.6200522541809095</v>
      </c>
      <c r="DJ24" s="3125">
        <f>SUM(DJ18/DJ10)</f>
        <v>6.6200522541809095</v>
      </c>
      <c r="DK24" s="3290"/>
      <c r="DL24" s="3125">
        <f>SUM(DL18/DL10)</f>
        <v>9.7898019075568605</v>
      </c>
      <c r="DM24" s="3125">
        <f>SUM(DM18/DM10)</f>
        <v>9.7898019075568605</v>
      </c>
      <c r="DN24" s="3290"/>
      <c r="DO24" s="3194">
        <f>SUM(DO18/DO10)</f>
        <v>6.6211272901013869</v>
      </c>
      <c r="DP24" s="3194">
        <f t="shared" ref="DP24" si="363">SUM(DP18/DP10)</f>
        <v>6.6211272901013869</v>
      </c>
      <c r="DQ24" s="3194"/>
      <c r="DR24" s="3194">
        <f t="shared" ref="DR24:DU26" si="364">SUM(DR18/DR10)</f>
        <v>6.6200155830664027</v>
      </c>
      <c r="DS24" s="3194">
        <f t="shared" ref="DS24" si="365">SUM(DS18/DS10)</f>
        <v>6.6200155830664027</v>
      </c>
      <c r="DT24" s="3194"/>
      <c r="DU24" s="3194">
        <f t="shared" si="364"/>
        <v>9.7899967219337167</v>
      </c>
      <c r="DV24" s="3194">
        <f t="shared" ref="DV24" si="366">SUM(DV18/DV10)</f>
        <v>9.7899967219337167</v>
      </c>
      <c r="DW24" s="3194"/>
      <c r="DX24" s="3148">
        <f t="shared" si="178"/>
        <v>-1.1117070349841995E-3</v>
      </c>
      <c r="DY24" s="3148">
        <f t="shared" si="179"/>
        <v>-1.1117070349841995E-3</v>
      </c>
      <c r="DZ24" s="3148">
        <f t="shared" si="180"/>
        <v>0</v>
      </c>
      <c r="EA24" s="3194">
        <f>SUM(EA18/EA10)</f>
        <v>7.0024672901013876</v>
      </c>
      <c r="EB24" s="3194">
        <f t="shared" ref="EB24" si="367">SUM(EB18/EB10)</f>
        <v>7.0024672901013876</v>
      </c>
      <c r="EC24" s="3194"/>
      <c r="ED24" s="3194">
        <f t="shared" ref="ED24:EG26" si="368">SUM(ED18/ED10)</f>
        <v>7.001908884339664</v>
      </c>
      <c r="EE24" s="3194">
        <f t="shared" ref="EE24" si="369">SUM(EE18/EE10)</f>
        <v>7.001908884339664</v>
      </c>
      <c r="EF24" s="3194"/>
      <c r="EG24" s="3194">
        <f t="shared" si="368"/>
        <v>5.2947062406556284</v>
      </c>
      <c r="EH24" s="3194">
        <f t="shared" ref="EH24" si="370">SUM(EH18/EH10)</f>
        <v>5.2947062406556284</v>
      </c>
      <c r="EI24" s="3194"/>
      <c r="EJ24" s="3148">
        <f t="shared" si="190"/>
        <v>-5.5840576172361267E-4</v>
      </c>
      <c r="EK24" s="3148">
        <f t="shared" si="191"/>
        <v>-5.5840576172361267E-4</v>
      </c>
      <c r="EL24" s="3148">
        <f t="shared" si="192"/>
        <v>0</v>
      </c>
      <c r="EM24" s="3290">
        <f>SUM(EN24)</f>
        <v>6.6211272901013878</v>
      </c>
      <c r="EN24" s="3290">
        <f t="shared" ref="EN24:EN26" si="371">SUM(CO24)</f>
        <v>6.6211272901013878</v>
      </c>
      <c r="EO24" s="3290"/>
      <c r="EP24" s="3125" t="e">
        <f>SUM(EP18/EP10)</f>
        <v>#DIV/0!</v>
      </c>
      <c r="EQ24" s="3125" t="e">
        <f>SUM(EQ18/EQ10)</f>
        <v>#DIV/0!</v>
      </c>
      <c r="ER24" s="3290"/>
      <c r="ES24" s="3125">
        <f>SUM(ES18/ES10)</f>
        <v>9.790316945345646</v>
      </c>
      <c r="ET24" s="3125">
        <f>SUM(ET18/ET10)</f>
        <v>9.790316945345646</v>
      </c>
      <c r="EU24" s="3290"/>
      <c r="EV24" s="3290">
        <f>SUM(EW24)</f>
        <v>6.6211272901013878</v>
      </c>
      <c r="EW24" s="3290">
        <f t="shared" ref="EW24:EW26" si="372">SUM(CO24)</f>
        <v>6.6211272901013878</v>
      </c>
      <c r="EX24" s="3290"/>
      <c r="EY24" s="3125" t="e">
        <f>SUM(EY18/EY10)</f>
        <v>#DIV/0!</v>
      </c>
      <c r="EZ24" s="3125" t="e">
        <f>SUM(EZ18/EZ10)</f>
        <v>#DIV/0!</v>
      </c>
      <c r="FA24" s="3290"/>
      <c r="FB24" s="3125">
        <f>SUM(FB18/FB10)</f>
        <v>9.7899317317212997</v>
      </c>
      <c r="FC24" s="3125">
        <f>SUM(FC18/FC10)</f>
        <v>9.7899317317212997</v>
      </c>
      <c r="FD24" s="3290"/>
      <c r="FE24" s="3290">
        <f>SUM(FF24)</f>
        <v>6.6211272901013878</v>
      </c>
      <c r="FF24" s="3290">
        <f t="shared" ref="FF24:FF26" si="373">SUM(CO24)</f>
        <v>6.6211272901013878</v>
      </c>
      <c r="FG24" s="3290"/>
      <c r="FH24" s="3125" t="e">
        <f>SUM(FH18/FH10)</f>
        <v>#DIV/0!</v>
      </c>
      <c r="FI24" s="3125" t="e">
        <f>SUM(FI18/FI10)</f>
        <v>#DIV/0!</v>
      </c>
      <c r="FJ24" s="3290"/>
      <c r="FK24" s="3125">
        <f>SUM(FK18/FK10)</f>
        <v>9.790020344790662</v>
      </c>
      <c r="FL24" s="3125">
        <f>SUM(FL18/FL10)</f>
        <v>9.790020344790662</v>
      </c>
      <c r="FM24" s="3290"/>
      <c r="FN24" s="3194">
        <f>SUM(FN18/FN10)</f>
        <v>6.6211272901013869</v>
      </c>
      <c r="FO24" s="3194">
        <f t="shared" ref="FO24" si="374">SUM(FO18/FO10)</f>
        <v>6.6211272901013869</v>
      </c>
      <c r="FP24" s="3194"/>
      <c r="FQ24" s="3194" t="e">
        <f t="shared" ref="FQ24:FT26" si="375">SUM(FQ18/FQ10)</f>
        <v>#DIV/0!</v>
      </c>
      <c r="FR24" s="3194" t="e">
        <f t="shared" ref="FR24" si="376">SUM(FR18/FR10)</f>
        <v>#DIV/0!</v>
      </c>
      <c r="FS24" s="3194"/>
      <c r="FT24" s="3194">
        <f t="shared" si="375"/>
        <v>9.7900936064384645</v>
      </c>
      <c r="FU24" s="3194">
        <f t="shared" ref="FU24" si="377">SUM(FU18/FU10)</f>
        <v>9.7900936064384645</v>
      </c>
      <c r="FV24" s="3194"/>
      <c r="FW24" s="3148" t="e">
        <f t="shared" si="202"/>
        <v>#DIV/0!</v>
      </c>
      <c r="FX24" s="3148" t="e">
        <f t="shared" si="203"/>
        <v>#DIV/0!</v>
      </c>
      <c r="FY24" s="3148">
        <f t="shared" si="204"/>
        <v>0</v>
      </c>
      <c r="FZ24" s="3248">
        <f>SUM(FZ18/FZ10)</f>
        <v>6.9071322901013881</v>
      </c>
      <c r="GA24" s="3248">
        <f t="shared" ref="GA24" si="378">SUM(GA18/GA10)</f>
        <v>6.9071322901013881</v>
      </c>
      <c r="GB24" s="3248"/>
      <c r="GC24" s="3248">
        <f t="shared" ref="GC24:GF26" si="379">SUM(GC18/GC10)</f>
        <v>7.001908884339664</v>
      </c>
      <c r="GD24" s="3248">
        <f t="shared" ref="GD24" si="380">SUM(GD18/GD10)</f>
        <v>7.001908884339664</v>
      </c>
      <c r="GE24" s="3248"/>
      <c r="GF24" s="3248">
        <f t="shared" si="379"/>
        <v>6.386113580329738</v>
      </c>
      <c r="GG24" s="3248">
        <f t="shared" ref="GG24" si="381">SUM(GG18/GG10)</f>
        <v>6.386113580329738</v>
      </c>
      <c r="GH24" s="3248"/>
      <c r="GI24" s="3246">
        <f t="shared" si="214"/>
        <v>9.4776594238275891E-2</v>
      </c>
      <c r="GJ24" s="3246">
        <f t="shared" si="215"/>
        <v>9.4776594238275891E-2</v>
      </c>
      <c r="GK24" s="3246">
        <f t="shared" si="216"/>
        <v>0</v>
      </c>
    </row>
    <row r="25" spans="1:193" ht="18.75" customHeight="1" x14ac:dyDescent="0.3">
      <c r="A25" s="3124" t="s">
        <v>3675</v>
      </c>
      <c r="B25" s="3290">
        <f>SUM(D25)</f>
        <v>14.242375692154086</v>
      </c>
      <c r="C25" s="3290"/>
      <c r="D25" s="3290">
        <f>SUM('очистка 2016-2018'!W45)</f>
        <v>14.242375692154086</v>
      </c>
      <c r="E25" s="3125">
        <f>SUM(E19/E11)</f>
        <v>14.222222222222221</v>
      </c>
      <c r="F25" s="3125"/>
      <c r="G25" s="3290">
        <f>SUM(G19/G11)</f>
        <v>14.222222222222221</v>
      </c>
      <c r="H25" s="3125">
        <f>SUM(H19/H11)</f>
        <v>14.75</v>
      </c>
      <c r="I25" s="3125"/>
      <c r="J25" s="3290">
        <f>SUM(J19/J11)</f>
        <v>14.75</v>
      </c>
      <c r="K25" s="3290">
        <f>SUM(M25)</f>
        <v>14.242375692154086</v>
      </c>
      <c r="L25" s="3290"/>
      <c r="M25" s="3290">
        <f>SUM(D25)</f>
        <v>14.242375692154086</v>
      </c>
      <c r="N25" s="3125">
        <f>SUM(N19/N11)</f>
        <v>14.219653179190752</v>
      </c>
      <c r="O25" s="3125"/>
      <c r="P25" s="3290">
        <f>SUM(P19/P11)</f>
        <v>14.219653179190752</v>
      </c>
      <c r="Q25" s="3125">
        <f>SUM(Q19/Q11)</f>
        <v>14.94736842105263</v>
      </c>
      <c r="R25" s="3125"/>
      <c r="S25" s="3290">
        <f>SUM(S19/S11)</f>
        <v>14.94736842105263</v>
      </c>
      <c r="T25" s="3290">
        <f>SUM(V25)</f>
        <v>14.242375692154086</v>
      </c>
      <c r="U25" s="3290"/>
      <c r="V25" s="3290">
        <f>SUM(D25)</f>
        <v>14.242375692154086</v>
      </c>
      <c r="W25" s="3125">
        <f>SUM(W19/W11)</f>
        <v>14.244565217391305</v>
      </c>
      <c r="X25" s="3125"/>
      <c r="Y25" s="3290">
        <f>SUM(Y19/Y11)</f>
        <v>14.244565217391305</v>
      </c>
      <c r="Z25" s="3125">
        <f>SUM(Z19/Z11)</f>
        <v>14.866847826086957</v>
      </c>
      <c r="AA25" s="3125"/>
      <c r="AB25" s="3290">
        <f>SUM(AB19/AB11)</f>
        <v>14.866847826086957</v>
      </c>
      <c r="AC25" s="3194">
        <f>SUM(AC19/AC11)</f>
        <v>14.242375692154086</v>
      </c>
      <c r="AD25" s="3194"/>
      <c r="AE25" s="3194">
        <f t="shared" ref="AE25" si="382">SUM(AE19/AE11)</f>
        <v>14.242375692154086</v>
      </c>
      <c r="AF25" s="3194">
        <f>SUM(AF19/AF11)</f>
        <v>14.242386882012083</v>
      </c>
      <c r="AG25" s="3194"/>
      <c r="AH25" s="3194">
        <f t="shared" ref="AH25" si="383">SUM(AH19/AH11)</f>
        <v>14.242386882012083</v>
      </c>
      <c r="AI25" s="3194">
        <f>SUM(AI19/AI11)</f>
        <v>14.863746958637469</v>
      </c>
      <c r="AJ25" s="3194"/>
      <c r="AK25" s="3194">
        <f t="shared" ref="AJ25:AK26" si="384">SUM(AK19/AK11)</f>
        <v>14.863746958637469</v>
      </c>
      <c r="AL25" s="3148">
        <f t="shared" si="325"/>
        <v>1.118985799664074E-5</v>
      </c>
      <c r="AM25" s="3148">
        <f t="shared" si="143"/>
        <v>0</v>
      </c>
      <c r="AN25" s="3148">
        <f t="shared" si="144"/>
        <v>1.118985799664074E-5</v>
      </c>
      <c r="AO25" s="3290">
        <f>SUM(AQ25)</f>
        <v>14.242375692154086</v>
      </c>
      <c r="AP25" s="3290"/>
      <c r="AQ25" s="3290">
        <f>SUM(D25)</f>
        <v>14.242375692154086</v>
      </c>
      <c r="AR25" s="3125">
        <f>SUM(AR19/AR11)</f>
        <v>14.233333333333333</v>
      </c>
      <c r="AS25" s="3125"/>
      <c r="AT25" s="3290">
        <f>SUM(AT19/AT11)</f>
        <v>14.233333333333333</v>
      </c>
      <c r="AU25" s="3125">
        <f>SUM(AU19/AU11)</f>
        <v>4.1923076923076925</v>
      </c>
      <c r="AV25" s="3125"/>
      <c r="AW25" s="3290">
        <f>SUM(AW19/AW11)</f>
        <v>4.1923076923076925</v>
      </c>
      <c r="AX25" s="3290">
        <f>SUM(AZ25)</f>
        <v>14.242375692154086</v>
      </c>
      <c r="AY25" s="3290"/>
      <c r="AZ25" s="3290">
        <f>SUM(M25)</f>
        <v>14.242375692154086</v>
      </c>
      <c r="BA25" s="3125">
        <f>SUM(BA19/BA11)</f>
        <v>14.235294117647058</v>
      </c>
      <c r="BB25" s="3125"/>
      <c r="BC25" s="3290">
        <f>SUM(BC19/BC11)</f>
        <v>14.235294117647058</v>
      </c>
      <c r="BD25" s="3125">
        <f>SUM(BD19/BD11)</f>
        <v>14.305084745762711</v>
      </c>
      <c r="BE25" s="3125"/>
      <c r="BF25" s="3290">
        <f>SUM(BF19/BF11)</f>
        <v>14.305084745762711</v>
      </c>
      <c r="BG25" s="3290">
        <f>SUM(BI25)</f>
        <v>14.242375692154086</v>
      </c>
      <c r="BH25" s="3290"/>
      <c r="BI25" s="3290">
        <f>SUM(D25)</f>
        <v>14.242375692154086</v>
      </c>
      <c r="BJ25" s="3125">
        <f>SUM(BJ19/BJ11)</f>
        <v>14.242110708742887</v>
      </c>
      <c r="BK25" s="3125"/>
      <c r="BL25" s="3290">
        <f>SUM(BL19/BL11)</f>
        <v>14.242110708742887</v>
      </c>
      <c r="BM25" s="3125">
        <f>SUM(BM19/BM11)</f>
        <v>14.247999999999999</v>
      </c>
      <c r="BN25" s="3125"/>
      <c r="BO25" s="3290">
        <f>SUM(BO19/BO11)</f>
        <v>14.247999999999999</v>
      </c>
      <c r="BP25" s="3194">
        <f>SUM(BP19/BP11)</f>
        <v>14.242375692154086</v>
      </c>
      <c r="BQ25" s="3194"/>
      <c r="BR25" s="3194">
        <f t="shared" ref="BR25" si="385">SUM(BR19/BR11)</f>
        <v>14.242375692154086</v>
      </c>
      <c r="BS25" s="3194">
        <f>SUM(BS19/BS11)</f>
        <v>14.240804106073567</v>
      </c>
      <c r="BT25" s="3194"/>
      <c r="BU25" s="3194">
        <f t="shared" ref="BU25" si="386">SUM(BU19/BU11)</f>
        <v>14.240804106073567</v>
      </c>
      <c r="BV25" s="3194">
        <f>SUM(BV19/BV11)</f>
        <v>13.686956521739132</v>
      </c>
      <c r="BW25" s="3194"/>
      <c r="BX25" s="3194">
        <f t="shared" ref="BX25" si="387">SUM(BX19/BX11)</f>
        <v>13.686956521739132</v>
      </c>
      <c r="BY25" s="3148">
        <f t="shared" si="154"/>
        <v>-1.5715860805194382E-3</v>
      </c>
      <c r="BZ25" s="3148">
        <f t="shared" si="155"/>
        <v>0</v>
      </c>
      <c r="CA25" s="3148">
        <f t="shared" si="156"/>
        <v>-1.5715860805194382E-3</v>
      </c>
      <c r="CB25" s="3194">
        <f>SUM(CB19/CB11)</f>
        <v>14.242375692154086</v>
      </c>
      <c r="CC25" s="3194"/>
      <c r="CD25" s="3194">
        <f t="shared" ref="CD25" si="388">SUM(CD19/CD11)</f>
        <v>14.242375692154086</v>
      </c>
      <c r="CE25" s="3194">
        <f>SUM(CE19/CE11)</f>
        <v>14.241539254423639</v>
      </c>
      <c r="CF25" s="3194"/>
      <c r="CG25" s="3194">
        <f t="shared" ref="CG25" si="389">SUM(CG19/CG11)</f>
        <v>14.241539254423639</v>
      </c>
      <c r="CH25" s="3194">
        <f>SUM(CH19/CH11)</f>
        <v>14.242250287026406</v>
      </c>
      <c r="CI25" s="3194"/>
      <c r="CJ25" s="3194">
        <f t="shared" ref="CJ25" si="390">SUM(CJ19/CJ11)</f>
        <v>14.242250287026406</v>
      </c>
      <c r="CK25" s="3148">
        <f t="shared" si="166"/>
        <v>-8.3643773044705938E-4</v>
      </c>
      <c r="CL25" s="3148">
        <f t="shared" si="167"/>
        <v>0</v>
      </c>
      <c r="CM25" s="3148">
        <f t="shared" si="168"/>
        <v>-8.3643773044705938E-4</v>
      </c>
      <c r="CN25" s="3290">
        <f>SUM(CP25)</f>
        <v>14.557282316599307</v>
      </c>
      <c r="CO25" s="3290"/>
      <c r="CP25" s="3290">
        <f>SUM('очистка 2016-2018'!W40)</f>
        <v>14.557282316599307</v>
      </c>
      <c r="CQ25" s="3125">
        <f>SUM(CQ19/CQ11)</f>
        <v>14.59807073954984</v>
      </c>
      <c r="CR25" s="3125"/>
      <c r="CS25" s="3290">
        <f>SUM(CS19/CS11)</f>
        <v>14.59807073954984</v>
      </c>
      <c r="CT25" s="3125">
        <f>SUM(CT19/CT11)</f>
        <v>14.176470588235293</v>
      </c>
      <c r="CU25" s="3125"/>
      <c r="CV25" s="3290">
        <f>SUM(CV19/CV11)</f>
        <v>14.176470588235293</v>
      </c>
      <c r="CW25" s="3290">
        <f>SUM(CY25)</f>
        <v>14.557282316599307</v>
      </c>
      <c r="CX25" s="3290"/>
      <c r="CY25" s="3290">
        <f>SUM(CP25)</f>
        <v>14.557282316599307</v>
      </c>
      <c r="CZ25" s="3125">
        <f>SUM(CZ19/CZ11)</f>
        <v>14.538258575197888</v>
      </c>
      <c r="DA25" s="3125"/>
      <c r="DB25" s="3290">
        <f>SUM(DB19/DB11)</f>
        <v>14.538258575197888</v>
      </c>
      <c r="DC25" s="3125">
        <f>SUM(DC19/DC11)</f>
        <v>14.173076923076923</v>
      </c>
      <c r="DD25" s="3125"/>
      <c r="DE25" s="3290">
        <f>SUM(DE19/DE11)</f>
        <v>14.173076923076923</v>
      </c>
      <c r="DF25" s="3290">
        <f>SUM(DH25)</f>
        <v>14.557282316599307</v>
      </c>
      <c r="DG25" s="3290"/>
      <c r="DH25" s="3290">
        <f>SUM(CP25)</f>
        <v>14.557282316599307</v>
      </c>
      <c r="DI25" s="3125">
        <f>SUM(DI19/DI11)</f>
        <v>14.558853633572161</v>
      </c>
      <c r="DJ25" s="3125"/>
      <c r="DK25" s="3290">
        <f>SUM(DK19/DK11)</f>
        <v>14.558853633572161</v>
      </c>
      <c r="DL25" s="3125">
        <f>SUM(DL19/DL11)</f>
        <v>14.266304347826086</v>
      </c>
      <c r="DM25" s="3125"/>
      <c r="DN25" s="3290">
        <f>SUM(DN19/DN11)</f>
        <v>14.266304347826086</v>
      </c>
      <c r="DO25" s="3194">
        <f>SUM(DO19/DO11)</f>
        <v>14.557282316599307</v>
      </c>
      <c r="DP25" s="3194"/>
      <c r="DQ25" s="3194">
        <f t="shared" ref="DQ25" si="391">SUM(DQ19/DQ11)</f>
        <v>14.557282316599307</v>
      </c>
      <c r="DR25" s="3194">
        <f t="shared" si="364"/>
        <v>14.559808612440191</v>
      </c>
      <c r="DS25" s="3194"/>
      <c r="DT25" s="3194">
        <f t="shared" ref="DT25" si="392">SUM(DT19/DT11)</f>
        <v>14.559808612440191</v>
      </c>
      <c r="DU25" s="3194">
        <f t="shared" si="364"/>
        <v>14.248898678414097</v>
      </c>
      <c r="DV25" s="3194"/>
      <c r="DW25" s="3194">
        <f t="shared" ref="DW25" si="393">SUM(DW19/DW11)</f>
        <v>14.248898678414097</v>
      </c>
      <c r="DX25" s="3148">
        <f t="shared" si="178"/>
        <v>2.5262958408838188E-3</v>
      </c>
      <c r="DY25" s="3148">
        <f t="shared" si="179"/>
        <v>0</v>
      </c>
      <c r="DZ25" s="3148">
        <f t="shared" si="180"/>
        <v>2.5262958408838188E-3</v>
      </c>
      <c r="EA25" s="3194">
        <f>SUM(EA19/EA11)</f>
        <v>14.347344566969161</v>
      </c>
      <c r="EB25" s="3194"/>
      <c r="EC25" s="3194">
        <f t="shared" ref="EC25" si="394">SUM(EC19/EC11)</f>
        <v>14.347344566969161</v>
      </c>
      <c r="ED25" s="3194">
        <f t="shared" si="368"/>
        <v>14.35132600622679</v>
      </c>
      <c r="EE25" s="3194"/>
      <c r="EF25" s="3194">
        <f t="shared" ref="EF25" si="395">SUM(EF19/EF11)</f>
        <v>14.35132600622679</v>
      </c>
      <c r="EG25" s="3194">
        <f t="shared" si="368"/>
        <v>14.244528301886794</v>
      </c>
      <c r="EH25" s="3194"/>
      <c r="EI25" s="3194">
        <f t="shared" ref="EI25" si="396">SUM(EI19/EI11)</f>
        <v>14.244528301886794</v>
      </c>
      <c r="EJ25" s="3148">
        <f t="shared" si="190"/>
        <v>3.9814392576289492E-3</v>
      </c>
      <c r="EK25" s="3148">
        <f t="shared" si="191"/>
        <v>0</v>
      </c>
      <c r="EL25" s="3148">
        <f t="shared" si="192"/>
        <v>3.9814392576289492E-3</v>
      </c>
      <c r="EM25" s="3290">
        <f>SUM(EO25)</f>
        <v>14.557282316599307</v>
      </c>
      <c r="EN25" s="3290"/>
      <c r="EO25" s="3290">
        <f>SUM(CP25)</f>
        <v>14.557282316599307</v>
      </c>
      <c r="EP25" s="3125" t="e">
        <f>SUM(EP19/EP11)</f>
        <v>#DIV/0!</v>
      </c>
      <c r="EQ25" s="3125"/>
      <c r="ER25" s="3290" t="e">
        <f>SUM(ER19/ER11)</f>
        <v>#DIV/0!</v>
      </c>
      <c r="ES25" s="3125">
        <f>SUM(ES19/ES11)</f>
        <v>14.333333333333332</v>
      </c>
      <c r="ET25" s="3125"/>
      <c r="EU25" s="3290">
        <f>SUM(EU19/EU11)</f>
        <v>14.333333333333332</v>
      </c>
      <c r="EV25" s="3290">
        <f>SUM(EX25)</f>
        <v>14.557282316599307</v>
      </c>
      <c r="EW25" s="3290"/>
      <c r="EX25" s="3290">
        <f>SUM(CP25)</f>
        <v>14.557282316599307</v>
      </c>
      <c r="EY25" s="3125" t="e">
        <f>SUM(EY19/EY11)</f>
        <v>#DIV/0!</v>
      </c>
      <c r="EZ25" s="3125"/>
      <c r="FA25" s="3290" t="e">
        <f>SUM(FA19/FA11)</f>
        <v>#DIV/0!</v>
      </c>
      <c r="FB25" s="3125">
        <f>SUM(FB19/FB11)</f>
        <v>14.017857142857141</v>
      </c>
      <c r="FC25" s="3125"/>
      <c r="FD25" s="3290">
        <f>SUM(FD19/FD11)</f>
        <v>14.017857142857141</v>
      </c>
      <c r="FE25" s="3290">
        <f>SUM(FG25)</f>
        <v>14.557282316599307</v>
      </c>
      <c r="FF25" s="3290"/>
      <c r="FG25" s="3290">
        <f>SUM(CP25)</f>
        <v>14.557282316599307</v>
      </c>
      <c r="FH25" s="3125" t="e">
        <f>SUM(FH19/FH11)</f>
        <v>#DIV/0!</v>
      </c>
      <c r="FI25" s="3125"/>
      <c r="FJ25" s="3290" t="e">
        <f>SUM(FJ19/FJ11)</f>
        <v>#DIV/0!</v>
      </c>
      <c r="FK25" s="3125">
        <f>SUM(FK19/FK11)</f>
        <v>14.235897435897437</v>
      </c>
      <c r="FL25" s="3125"/>
      <c r="FM25" s="3290">
        <f>SUM(FM19/FM11)</f>
        <v>14.235897435897437</v>
      </c>
      <c r="FN25" s="3194">
        <f>SUM(FN19/FN11)</f>
        <v>14.557282316599307</v>
      </c>
      <c r="FO25" s="3194"/>
      <c r="FP25" s="3194">
        <f t="shared" ref="FP25" si="397">SUM(FP19/FP11)</f>
        <v>14.557282316599307</v>
      </c>
      <c r="FQ25" s="3194" t="e">
        <f t="shared" si="375"/>
        <v>#DIV/0!</v>
      </c>
      <c r="FR25" s="3194"/>
      <c r="FS25" s="3194" t="e">
        <f t="shared" ref="FS25" si="398">SUM(FS19/FS11)</f>
        <v>#DIV/0!</v>
      </c>
      <c r="FT25" s="3194">
        <f t="shared" si="375"/>
        <v>14.222</v>
      </c>
      <c r="FU25" s="3194"/>
      <c r="FV25" s="3194">
        <f t="shared" ref="FV25" si="399">SUM(FV19/FV11)</f>
        <v>14.222</v>
      </c>
      <c r="FW25" s="3148" t="e">
        <f t="shared" si="202"/>
        <v>#DIV/0!</v>
      </c>
      <c r="FX25" s="3148">
        <f t="shared" si="203"/>
        <v>0</v>
      </c>
      <c r="FY25" s="3148" t="e">
        <f t="shared" si="204"/>
        <v>#DIV/0!</v>
      </c>
      <c r="FZ25" s="3248">
        <f>SUM(FZ19/FZ11)</f>
        <v>14.399829004376697</v>
      </c>
      <c r="GA25" s="3248"/>
      <c r="GB25" s="3248">
        <f t="shared" ref="GB25" si="400">SUM(GB19/GB11)</f>
        <v>14.399829004376697</v>
      </c>
      <c r="GC25" s="3248">
        <f t="shared" si="379"/>
        <v>14.35132600622679</v>
      </c>
      <c r="GD25" s="3248"/>
      <c r="GE25" s="3248">
        <f t="shared" ref="GE25" si="401">SUM(GE19/GE11)</f>
        <v>14.35132600622679</v>
      </c>
      <c r="GF25" s="3248">
        <f t="shared" si="379"/>
        <v>14.238356164383562</v>
      </c>
      <c r="GG25" s="3248"/>
      <c r="GH25" s="3248">
        <f t="shared" ref="GH25" si="402">SUM(GH19/GH11)</f>
        <v>14.238356164383562</v>
      </c>
      <c r="GI25" s="3246">
        <f t="shared" si="214"/>
        <v>-4.8502998149906773E-2</v>
      </c>
      <c r="GJ25" s="3246">
        <f t="shared" si="215"/>
        <v>0</v>
      </c>
      <c r="GK25" s="3246">
        <f t="shared" si="216"/>
        <v>-4.8502998149906773E-2</v>
      </c>
    </row>
    <row r="26" spans="1:193" ht="18.75" customHeight="1" x14ac:dyDescent="0.3">
      <c r="A26" s="3124" t="s">
        <v>262</v>
      </c>
      <c r="B26" s="3290">
        <f>SUM(C26)</f>
        <v>32.063137290101388</v>
      </c>
      <c r="C26" s="3290">
        <f>SUM('стоки 2018'!Y40)</f>
        <v>32.063137290101388</v>
      </c>
      <c r="D26" s="3290"/>
      <c r="E26" s="3125">
        <f>SUM(E20/E12)</f>
        <v>32.060391374625993</v>
      </c>
      <c r="F26" s="3125">
        <f>SUM(F20/F12)</f>
        <v>32.060391374625993</v>
      </c>
      <c r="G26" s="3290"/>
      <c r="H26" s="3125">
        <f>SUM(H20/H12)</f>
        <v>26.641419141914191</v>
      </c>
      <c r="I26" s="3125">
        <f>SUM(I20/I12)</f>
        <v>26.641419141914191</v>
      </c>
      <c r="J26" s="3290"/>
      <c r="K26" s="3290">
        <f>SUM(L26)</f>
        <v>32.063137290101388</v>
      </c>
      <c r="L26" s="3290">
        <f t="shared" si="348"/>
        <v>32.063137290101388</v>
      </c>
      <c r="M26" s="3290"/>
      <c r="N26" s="3125">
        <f>SUM(N20/N12)</f>
        <v>32.060569588341494</v>
      </c>
      <c r="O26" s="3125">
        <f>SUM(O20/O12)</f>
        <v>32.060569588341494</v>
      </c>
      <c r="P26" s="3290"/>
      <c r="Q26" s="3125">
        <f>SUM(Q20/Q12)</f>
        <v>26.63891472868217</v>
      </c>
      <c r="R26" s="3125">
        <f>SUM(R20/R12)</f>
        <v>26.63891472868217</v>
      </c>
      <c r="S26" s="3290"/>
      <c r="T26" s="3290">
        <f>SUM(U26)</f>
        <v>32.063137290101388</v>
      </c>
      <c r="U26" s="3290">
        <f t="shared" si="349"/>
        <v>32.063137290101388</v>
      </c>
      <c r="V26" s="3290"/>
      <c r="W26" s="3125">
        <f>SUM(W20/W12)</f>
        <v>32.058178286135345</v>
      </c>
      <c r="X26" s="3125">
        <f>SUM(X20/X12)</f>
        <v>32.058178286135345</v>
      </c>
      <c r="Y26" s="3290"/>
      <c r="Z26" s="3125">
        <f>SUM(Z20/Z12)</f>
        <v>26.639714428025901</v>
      </c>
      <c r="AA26" s="3125">
        <f>SUM(AA20/AA12)</f>
        <v>26.639714428025901</v>
      </c>
      <c r="AB26" s="3290"/>
      <c r="AC26" s="3194">
        <f>SUM(AC20/AC12)</f>
        <v>32.063137290101388</v>
      </c>
      <c r="AD26" s="3194">
        <f t="shared" ref="AD26" si="403">SUM(AD20/AD12)</f>
        <v>32.063137290101388</v>
      </c>
      <c r="AE26" s="3194"/>
      <c r="AF26" s="3194">
        <f>SUM(AF20/AF12)</f>
        <v>32.059715639810427</v>
      </c>
      <c r="AG26" s="3194">
        <f t="shared" ref="AG26" si="404">SUM(AG20/AG12)</f>
        <v>32.059715639810427</v>
      </c>
      <c r="AH26" s="3194"/>
      <c r="AI26" s="3194">
        <f>SUM(AI20/AI12)</f>
        <v>26.639993525063407</v>
      </c>
      <c r="AJ26" s="3194">
        <f t="shared" si="384"/>
        <v>26.639993525063407</v>
      </c>
      <c r="AK26" s="3194"/>
      <c r="AL26" s="3148">
        <f t="shared" si="325"/>
        <v>-3.4216502909600877E-3</v>
      </c>
      <c r="AM26" s="3148">
        <f t="shared" si="143"/>
        <v>-3.4216502909600877E-3</v>
      </c>
      <c r="AN26" s="3148">
        <f t="shared" si="144"/>
        <v>0</v>
      </c>
      <c r="AO26" s="3290">
        <f>SUM(AP26)</f>
        <v>32.063137290101388</v>
      </c>
      <c r="AP26" s="3290">
        <f t="shared" si="353"/>
        <v>32.063137290101388</v>
      </c>
      <c r="AQ26" s="3290"/>
      <c r="AR26" s="3125">
        <f>SUM(AR20/AR12)</f>
        <v>32.060574603853077</v>
      </c>
      <c r="AS26" s="3125">
        <f>SUM(AS20/AS12)</f>
        <v>32.060574603853077</v>
      </c>
      <c r="AT26" s="3290"/>
      <c r="AU26" s="3125">
        <f>SUM(AU20/AU12)</f>
        <v>26.638527498521583</v>
      </c>
      <c r="AV26" s="3125">
        <f>SUM(AV20/AV12)</f>
        <v>26.638527498521583</v>
      </c>
      <c r="AW26" s="3290"/>
      <c r="AX26" s="3290">
        <f>SUM(AY26)</f>
        <v>32.063137290101388</v>
      </c>
      <c r="AY26" s="3290">
        <f t="shared" ref="AY26" si="405">SUM(L26)</f>
        <v>32.063137290101388</v>
      </c>
      <c r="AZ26" s="3290"/>
      <c r="BA26" s="3125">
        <f>SUM(BA20/BA12)</f>
        <v>32.061012556257985</v>
      </c>
      <c r="BB26" s="3125">
        <f>SUM(BB20/BB12)</f>
        <v>32.061012556257985</v>
      </c>
      <c r="BC26" s="3290"/>
      <c r="BD26" s="3125">
        <f>SUM(BD20/BD12)</f>
        <v>26.640784568001298</v>
      </c>
      <c r="BE26" s="3125">
        <f>SUM(BE20/BE12)</f>
        <v>26.640784568001298</v>
      </c>
      <c r="BF26" s="3290"/>
      <c r="BG26" s="3290">
        <f>SUM(BH26)</f>
        <v>32.063137290101388</v>
      </c>
      <c r="BH26" s="3290">
        <f t="shared" si="355"/>
        <v>32.063137290101388</v>
      </c>
      <c r="BI26" s="3290"/>
      <c r="BJ26" s="3125">
        <f>SUM(BJ20/BJ12)</f>
        <v>32.061088977423644</v>
      </c>
      <c r="BK26" s="3125">
        <f>SUM(BK20/BK12)</f>
        <v>32.061088977423644</v>
      </c>
      <c r="BL26" s="3290"/>
      <c r="BM26" s="3125">
        <f>SUM(BM20/BM12)</f>
        <v>26.640845070422536</v>
      </c>
      <c r="BN26" s="3125">
        <f>SUM(BN20/BN12)</f>
        <v>26.640845070422536</v>
      </c>
      <c r="BO26" s="3290"/>
      <c r="BP26" s="3194">
        <f>SUM(BP20/BP12)</f>
        <v>32.063137290101388</v>
      </c>
      <c r="BQ26" s="3194">
        <f t="shared" ref="BQ26" si="406">SUM(BQ20/BQ12)</f>
        <v>32.063137290101388</v>
      </c>
      <c r="BR26" s="3194"/>
      <c r="BS26" s="3194">
        <f>SUM(BS20/BS12)</f>
        <v>32.060885035420711</v>
      </c>
      <c r="BT26" s="3194">
        <f t="shared" ref="BT26" si="407">SUM(BT20/BT12)</f>
        <v>32.060885035420711</v>
      </c>
      <c r="BU26" s="3194"/>
      <c r="BV26" s="3194">
        <f>SUM(BV20/BV12)</f>
        <v>26.640014490503546</v>
      </c>
      <c r="BW26" s="3194">
        <f t="shared" ref="BW26" si="408">SUM(BW20/BW12)</f>
        <v>26.640014490503546</v>
      </c>
      <c r="BX26" s="3194"/>
      <c r="BY26" s="3148">
        <f t="shared" si="154"/>
        <v>-2.2522546806769128E-3</v>
      </c>
      <c r="BZ26" s="3148">
        <f t="shared" si="155"/>
        <v>-2.2522546806769128E-3</v>
      </c>
      <c r="CA26" s="3148">
        <f t="shared" si="156"/>
        <v>0</v>
      </c>
      <c r="CB26" s="3194">
        <f>SUM(CB20/CB12)</f>
        <v>32.063137290101388</v>
      </c>
      <c r="CC26" s="3194">
        <f t="shared" ref="CC26" si="409">SUM(CC20/CC12)</f>
        <v>32.063137290101388</v>
      </c>
      <c r="CD26" s="3194"/>
      <c r="CE26" s="3194">
        <f>SUM(CE20/CE12)</f>
        <v>32.06031194325125</v>
      </c>
      <c r="CF26" s="3194">
        <f t="shared" ref="CF26" si="410">SUM(CF20/CF12)</f>
        <v>32.06031194325125</v>
      </c>
      <c r="CG26" s="3194"/>
      <c r="CH26" s="3194">
        <f>SUM(CH20/CH12)</f>
        <v>26.640004226542693</v>
      </c>
      <c r="CI26" s="3194">
        <f t="shared" ref="CI26" si="411">SUM(CI20/CI12)</f>
        <v>26.640004226542693</v>
      </c>
      <c r="CJ26" s="3194"/>
      <c r="CK26" s="3148">
        <f t="shared" si="166"/>
        <v>-2.8253468501375778E-3</v>
      </c>
      <c r="CL26" s="3148">
        <f t="shared" si="167"/>
        <v>-2.8253468501375778E-3</v>
      </c>
      <c r="CM26" s="3148">
        <f t="shared" si="168"/>
        <v>0</v>
      </c>
      <c r="CN26" s="3290">
        <f>SUM(CO26)</f>
        <v>32.063137290101388</v>
      </c>
      <c r="CO26" s="3290">
        <f>SUM('стоки 2018'!Y41)</f>
        <v>32.063137290101388</v>
      </c>
      <c r="CP26" s="3290"/>
      <c r="CQ26" s="3125">
        <f>SUM(CQ20/CQ12)</f>
        <v>32.060010177377144</v>
      </c>
      <c r="CR26" s="3125">
        <f>SUM(CR20/CR12)</f>
        <v>32.060010177377144</v>
      </c>
      <c r="CS26" s="3290"/>
      <c r="CT26" s="3125">
        <f>SUM(CT20/CT12)</f>
        <v>34.645796381695632</v>
      </c>
      <c r="CU26" s="3125">
        <f>SUM(CU20/CU12)</f>
        <v>34.645796381695632</v>
      </c>
      <c r="CV26" s="3290"/>
      <c r="CW26" s="3290">
        <f>SUM(CX26)</f>
        <v>32.063137290101388</v>
      </c>
      <c r="CX26" s="3290">
        <f>SUM(CO26)</f>
        <v>32.063137290101388</v>
      </c>
      <c r="CY26" s="3290"/>
      <c r="CZ26" s="3125">
        <f>SUM(CZ20/CZ12)</f>
        <v>32.06028423639394</v>
      </c>
      <c r="DA26" s="3125">
        <f>SUM(DA20/DA12)</f>
        <v>32.06028423639394</v>
      </c>
      <c r="DB26" s="3290"/>
      <c r="DC26" s="3125">
        <f>SUM(DC20/DC12)</f>
        <v>34.662502296527649</v>
      </c>
      <c r="DD26" s="3125">
        <f>SUM(DD20/DD12)</f>
        <v>34.662502296527649</v>
      </c>
      <c r="DE26" s="3290"/>
      <c r="DF26" s="3290">
        <f>SUM(DG26)</f>
        <v>32.063137290101388</v>
      </c>
      <c r="DG26" s="3290">
        <f t="shared" si="362"/>
        <v>32.063137290101388</v>
      </c>
      <c r="DH26" s="3290"/>
      <c r="DI26" s="3125">
        <f>SUM(DI20/DI12)</f>
        <v>32.06009660623549</v>
      </c>
      <c r="DJ26" s="3125">
        <f>SUM(DJ20/DJ12)</f>
        <v>32.06009660623549</v>
      </c>
      <c r="DK26" s="3290"/>
      <c r="DL26" s="3125">
        <f>SUM(DL20/DL12)</f>
        <v>34.653840012773429</v>
      </c>
      <c r="DM26" s="3125">
        <f>SUM(DM20/DM12)</f>
        <v>34.653840012773429</v>
      </c>
      <c r="DN26" s="3290"/>
      <c r="DO26" s="3194">
        <f>SUM(DO20/DO12)</f>
        <v>32.063137290101388</v>
      </c>
      <c r="DP26" s="3194">
        <f t="shared" ref="DP26" si="412">SUM(DP20/DP12)</f>
        <v>32.063137290101388</v>
      </c>
      <c r="DQ26" s="3194"/>
      <c r="DR26" s="3194">
        <f t="shared" si="364"/>
        <v>32.060128550694579</v>
      </c>
      <c r="DS26" s="3194">
        <f t="shared" ref="DS26" si="413">SUM(DS20/DS12)</f>
        <v>32.060128550694579</v>
      </c>
      <c r="DT26" s="3194"/>
      <c r="DU26" s="3194">
        <f t="shared" si="364"/>
        <v>34.653943726937271</v>
      </c>
      <c r="DV26" s="3194">
        <f t="shared" ref="DV26" si="414">SUM(DV20/DV12)</f>
        <v>34.653943726937271</v>
      </c>
      <c r="DW26" s="3194"/>
      <c r="DX26" s="3148">
        <f t="shared" si="178"/>
        <v>-3.0087394068090134E-3</v>
      </c>
      <c r="DY26" s="3148">
        <f t="shared" si="179"/>
        <v>-3.0087394068090134E-3</v>
      </c>
      <c r="DZ26" s="3148">
        <f t="shared" si="180"/>
        <v>0</v>
      </c>
      <c r="EA26" s="3194">
        <f>SUM(EA20/EA12)</f>
        <v>32.063137290101395</v>
      </c>
      <c r="EB26" s="3194">
        <f t="shared" ref="EB26:EC26" si="415">SUM(EB20/EB12)</f>
        <v>32.063137290101395</v>
      </c>
      <c r="EC26" s="3194" t="e">
        <f t="shared" si="415"/>
        <v>#DIV/0!</v>
      </c>
      <c r="ED26" s="3194">
        <f t="shared" si="368"/>
        <v>32.060248638357869</v>
      </c>
      <c r="EE26" s="3194">
        <f t="shared" ref="EE26:EF26" si="416">SUM(EE20/EE12)</f>
        <v>32.060248638357869</v>
      </c>
      <c r="EF26" s="3194" t="e">
        <f t="shared" si="416"/>
        <v>#DIV/0!</v>
      </c>
      <c r="EG26" s="3194">
        <f t="shared" si="368"/>
        <v>29.158007246376815</v>
      </c>
      <c r="EH26" s="3194">
        <f t="shared" ref="EH26:EI26" si="417">SUM(EH20/EH12)</f>
        <v>29.158007246376815</v>
      </c>
      <c r="EI26" s="3194" t="e">
        <f t="shared" si="417"/>
        <v>#DIV/0!</v>
      </c>
      <c r="EJ26" s="3148">
        <f t="shared" si="190"/>
        <v>-2.8886517435253722E-3</v>
      </c>
      <c r="EK26" s="3148">
        <f t="shared" si="191"/>
        <v>-2.8886517435253722E-3</v>
      </c>
      <c r="EL26" s="3148" t="e">
        <f t="shared" si="192"/>
        <v>#DIV/0!</v>
      </c>
      <c r="EM26" s="3290">
        <f>SUM(EN26)</f>
        <v>32.063137290101388</v>
      </c>
      <c r="EN26" s="3290">
        <f t="shared" si="371"/>
        <v>32.063137290101388</v>
      </c>
      <c r="EO26" s="3290"/>
      <c r="EP26" s="3125" t="e">
        <f>SUM(EP20/EP12)</f>
        <v>#DIV/0!</v>
      </c>
      <c r="EQ26" s="3125" t="e">
        <f>SUM(EQ20/EQ12)</f>
        <v>#DIV/0!</v>
      </c>
      <c r="ER26" s="3290"/>
      <c r="ES26" s="3125">
        <f>SUM(ES20/ES12)</f>
        <v>34.660377358490564</v>
      </c>
      <c r="ET26" s="3125">
        <f>SUM(ET20/ET12)</f>
        <v>34.660377358490564</v>
      </c>
      <c r="EU26" s="3290"/>
      <c r="EV26" s="3290">
        <f>SUM(EW26)</f>
        <v>32.063137290101388</v>
      </c>
      <c r="EW26" s="3290">
        <f t="shared" si="372"/>
        <v>32.063137290101388</v>
      </c>
      <c r="EX26" s="3290"/>
      <c r="EY26" s="3125" t="e">
        <f>SUM(EY20/EY12)</f>
        <v>#DIV/0!</v>
      </c>
      <c r="EZ26" s="3125" t="e">
        <f>SUM(EZ20/EZ12)</f>
        <v>#DIV/0!</v>
      </c>
      <c r="FA26" s="3290"/>
      <c r="FB26" s="3125">
        <f>SUM(FB20/FB12)</f>
        <v>34.659295897585103</v>
      </c>
      <c r="FC26" s="3125">
        <f>SUM(FC20/FC12)</f>
        <v>34.659295897585103</v>
      </c>
      <c r="FD26" s="3290"/>
      <c r="FE26" s="3290">
        <f>SUM(FF26)</f>
        <v>32.063137290101388</v>
      </c>
      <c r="FF26" s="3290">
        <f t="shared" si="373"/>
        <v>32.063137290101388</v>
      </c>
      <c r="FG26" s="3290"/>
      <c r="FH26" s="3125" t="e">
        <f>SUM(FH20/FH12)</f>
        <v>#DIV/0!</v>
      </c>
      <c r="FI26" s="3125" t="e">
        <f>SUM(FI20/FI12)</f>
        <v>#DIV/0!</v>
      </c>
      <c r="FJ26" s="3290"/>
      <c r="FK26" s="3125">
        <f>SUM(FK20/FK12)</f>
        <v>34.928796755295181</v>
      </c>
      <c r="FL26" s="3125">
        <f>SUM(FL20/FL12)</f>
        <v>34.928796755295181</v>
      </c>
      <c r="FM26" s="3290"/>
      <c r="FN26" s="3194">
        <f>SUM(FN20/FN12)</f>
        <v>32.063137290101388</v>
      </c>
      <c r="FO26" s="3194">
        <f t="shared" ref="FO26" si="418">SUM(FO20/FO12)</f>
        <v>32.063137290101388</v>
      </c>
      <c r="FP26" s="3194"/>
      <c r="FQ26" s="3194" t="e">
        <f t="shared" si="375"/>
        <v>#DIV/0!</v>
      </c>
      <c r="FR26" s="3194" t="e">
        <f t="shared" ref="FR26" si="419">SUM(FR20/FR12)</f>
        <v>#DIV/0!</v>
      </c>
      <c r="FS26" s="3194"/>
      <c r="FT26" s="3194">
        <f t="shared" si="375"/>
        <v>34.751536885245905</v>
      </c>
      <c r="FU26" s="3194">
        <f t="shared" ref="FU26:FV26" si="420">SUM(FU20/FU12)</f>
        <v>34.751536885245905</v>
      </c>
      <c r="FV26" s="3194" t="e">
        <f t="shared" si="420"/>
        <v>#DIV/0!</v>
      </c>
      <c r="FW26" s="3148" t="e">
        <f t="shared" si="202"/>
        <v>#DIV/0!</v>
      </c>
      <c r="FX26" s="3148" t="e">
        <f t="shared" si="203"/>
        <v>#DIV/0!</v>
      </c>
      <c r="FY26" s="3148">
        <f t="shared" si="204"/>
        <v>0</v>
      </c>
      <c r="FZ26" s="3248">
        <f>SUM(FZ20/FZ12)</f>
        <v>32.063137290101388</v>
      </c>
      <c r="GA26" s="3248">
        <f t="shared" ref="GA26:GB26" si="421">SUM(GA20/GA12)</f>
        <v>32.063137290101388</v>
      </c>
      <c r="GB26" s="3248" t="e">
        <f t="shared" si="421"/>
        <v>#DIV/0!</v>
      </c>
      <c r="GC26" s="3248">
        <f t="shared" si="379"/>
        <v>32.060248638357869</v>
      </c>
      <c r="GD26" s="3248">
        <f t="shared" ref="GD26:GE26" si="422">SUM(GD20/GD12)</f>
        <v>32.060248638357869</v>
      </c>
      <c r="GE26" s="3248" t="e">
        <f t="shared" si="422"/>
        <v>#DIV/0!</v>
      </c>
      <c r="GF26" s="3248">
        <f t="shared" si="379"/>
        <v>30.619271948608137</v>
      </c>
      <c r="GG26" s="3248">
        <f t="shared" ref="GG26:GH26" si="423">SUM(GG20/GG12)</f>
        <v>30.619271948608137</v>
      </c>
      <c r="GH26" s="3248" t="e">
        <f t="shared" si="423"/>
        <v>#DIV/0!</v>
      </c>
      <c r="GI26" s="3246">
        <f t="shared" si="214"/>
        <v>-2.8886517435182668E-3</v>
      </c>
      <c r="GJ26" s="3246">
        <f t="shared" si="215"/>
        <v>-2.8886517435182668E-3</v>
      </c>
      <c r="GK26" s="3246" t="e">
        <f t="shared" si="216"/>
        <v>#DIV/0!</v>
      </c>
    </row>
    <row r="27" spans="1:193" ht="18.75" customHeight="1" x14ac:dyDescent="0.3">
      <c r="A27" s="3104" t="s">
        <v>3672</v>
      </c>
      <c r="B27" s="3195"/>
      <c r="C27" s="3195"/>
      <c r="D27" s="3195"/>
      <c r="E27" s="3195"/>
      <c r="F27" s="3195"/>
      <c r="G27" s="3195"/>
      <c r="H27" s="3195"/>
      <c r="I27" s="3195"/>
      <c r="J27" s="3195"/>
      <c r="K27" s="3195"/>
      <c r="L27" s="3195"/>
      <c r="M27" s="3195"/>
      <c r="N27" s="3195"/>
      <c r="O27" s="3195"/>
      <c r="P27" s="3195"/>
      <c r="Q27" s="3195"/>
      <c r="R27" s="3195"/>
      <c r="S27" s="3195"/>
      <c r="T27" s="3195"/>
      <c r="U27" s="3195"/>
      <c r="V27" s="3195"/>
      <c r="W27" s="3195"/>
      <c r="X27" s="3195"/>
      <c r="Y27" s="3195"/>
      <c r="Z27" s="3195"/>
      <c r="AA27" s="3195"/>
      <c r="AB27" s="3195"/>
      <c r="AC27" s="3195"/>
      <c r="AD27" s="3195"/>
      <c r="AE27" s="3195"/>
      <c r="AF27" s="3195"/>
      <c r="AG27" s="3195"/>
      <c r="AH27" s="3195"/>
      <c r="AI27" s="3195"/>
      <c r="AJ27" s="3195"/>
      <c r="AK27" s="3195"/>
      <c r="AL27" s="3195"/>
      <c r="AM27" s="3195"/>
      <c r="AN27" s="3195"/>
      <c r="AO27" s="3196"/>
      <c r="AP27" s="3196"/>
      <c r="AQ27" s="3196"/>
      <c r="AR27" s="3196"/>
      <c r="AS27" s="3196"/>
      <c r="AT27" s="3196"/>
      <c r="AU27" s="3196"/>
      <c r="AV27" s="3196"/>
      <c r="AW27" s="3196"/>
      <c r="AX27" s="3196"/>
      <c r="AY27" s="3196"/>
      <c r="AZ27" s="3196"/>
      <c r="BA27" s="3196"/>
      <c r="BB27" s="3196"/>
      <c r="BC27" s="3196"/>
      <c r="BD27" s="3196"/>
      <c r="BE27" s="3196"/>
      <c r="BF27" s="3196"/>
      <c r="BG27" s="3196"/>
      <c r="BH27" s="3196"/>
      <c r="BI27" s="3196"/>
      <c r="BJ27" s="3196"/>
      <c r="BK27" s="3196"/>
      <c r="BL27" s="3196"/>
      <c r="BM27" s="3197"/>
      <c r="BN27" s="3196"/>
      <c r="BO27" s="3196"/>
      <c r="BP27" s="3190"/>
      <c r="BQ27" s="3190"/>
      <c r="BR27" s="3190"/>
      <c r="BS27" s="3190"/>
      <c r="BT27" s="3190"/>
      <c r="BU27" s="3190"/>
      <c r="BV27" s="3190"/>
      <c r="BW27" s="3190"/>
      <c r="BX27" s="3190"/>
      <c r="BY27" s="3190"/>
      <c r="BZ27" s="3190"/>
      <c r="CA27" s="3190"/>
      <c r="CB27" s="3190"/>
      <c r="CC27" s="3190"/>
      <c r="CD27" s="3190"/>
      <c r="CE27" s="3190"/>
      <c r="CF27" s="3190"/>
      <c r="CG27" s="3190"/>
      <c r="CH27" s="3190"/>
      <c r="CI27" s="3190"/>
      <c r="CJ27" s="3190"/>
      <c r="CK27" s="3190"/>
      <c r="CL27" s="3190"/>
      <c r="CM27" s="3190"/>
      <c r="CN27" s="3190"/>
      <c r="CO27" s="3190"/>
      <c r="CP27" s="3190"/>
      <c r="CQ27" s="3190"/>
      <c r="CR27" s="3190"/>
      <c r="CS27" s="3190"/>
      <c r="CT27" s="3190"/>
      <c r="CU27" s="3190"/>
      <c r="CV27" s="3190"/>
      <c r="CW27" s="3190"/>
      <c r="CX27" s="3190"/>
      <c r="CY27" s="3190"/>
      <c r="CZ27" s="3190"/>
      <c r="DA27" s="3190"/>
      <c r="DB27" s="3190"/>
      <c r="DC27" s="3190"/>
      <c r="DD27" s="3190"/>
      <c r="DE27" s="3190"/>
      <c r="DF27" s="3190"/>
      <c r="DG27" s="3190"/>
      <c r="DH27" s="3190"/>
      <c r="DI27" s="3190"/>
      <c r="DJ27" s="3190"/>
      <c r="DK27" s="3190"/>
      <c r="DL27" s="3190"/>
      <c r="DM27" s="3190"/>
      <c r="DN27" s="3190"/>
      <c r="DO27" s="3190"/>
      <c r="DP27" s="3190"/>
      <c r="DQ27" s="3190"/>
      <c r="DR27" s="3190"/>
      <c r="DS27" s="3190"/>
      <c r="DT27" s="3190"/>
      <c r="DU27" s="3190"/>
      <c r="DV27" s="3190"/>
      <c r="DW27" s="3190"/>
      <c r="DX27" s="3190"/>
      <c r="DY27" s="3190"/>
      <c r="DZ27" s="3190"/>
      <c r="EA27" s="3190"/>
      <c r="EB27" s="3190"/>
      <c r="EC27" s="3190"/>
      <c r="ED27" s="3190"/>
      <c r="EE27" s="3190"/>
      <c r="EF27" s="3190"/>
      <c r="EG27" s="3190"/>
      <c r="EH27" s="3190"/>
      <c r="EI27" s="3190"/>
      <c r="EJ27" s="3190"/>
      <c r="EK27" s="3190"/>
      <c r="EL27" s="3190"/>
      <c r="EM27" s="3190"/>
      <c r="EN27" s="3190"/>
      <c r="EO27" s="3190"/>
      <c r="EP27" s="3190"/>
      <c r="EQ27" s="3190"/>
      <c r="ER27" s="3190"/>
      <c r="ES27" s="3190"/>
      <c r="ET27" s="3190"/>
      <c r="EU27" s="3190"/>
      <c r="EV27" s="3190"/>
      <c r="EW27" s="3190"/>
      <c r="EX27" s="3190"/>
      <c r="EY27" s="3190"/>
      <c r="EZ27" s="3190"/>
      <c r="FA27" s="3190"/>
      <c r="FB27" s="3190"/>
      <c r="FC27" s="3190"/>
      <c r="FD27" s="3190"/>
      <c r="FE27" s="3190"/>
      <c r="FF27" s="3190"/>
      <c r="FG27" s="3190"/>
      <c r="FH27" s="3190"/>
      <c r="FI27" s="3190"/>
      <c r="FJ27" s="3190"/>
      <c r="FK27" s="3190"/>
      <c r="FL27" s="3190"/>
      <c r="FM27" s="3190"/>
      <c r="FN27" s="3191"/>
      <c r="FO27" s="3191"/>
      <c r="FP27" s="3191"/>
      <c r="FQ27" s="3191"/>
      <c r="FR27" s="3191"/>
      <c r="FS27" s="3191"/>
      <c r="FT27" s="3191"/>
      <c r="FU27" s="3191"/>
      <c r="FV27" s="3191"/>
      <c r="FW27" s="3191"/>
      <c r="FX27" s="3191"/>
      <c r="FY27" s="3191"/>
      <c r="FZ27" s="3244"/>
      <c r="GA27" s="3244"/>
      <c r="GB27" s="3244"/>
      <c r="GC27" s="3244"/>
      <c r="GD27" s="3244"/>
      <c r="GE27" s="3244"/>
      <c r="GF27" s="3244"/>
      <c r="GG27" s="3244"/>
      <c r="GH27" s="3244"/>
      <c r="GI27" s="3244"/>
      <c r="GJ27" s="3244"/>
      <c r="GK27" s="3245"/>
    </row>
    <row r="28" spans="1:193" ht="19.5" customHeight="1" x14ac:dyDescent="0.2">
      <c r="A28" s="3637" t="s">
        <v>536</v>
      </c>
      <c r="B28" s="3647" t="s">
        <v>3628</v>
      </c>
      <c r="C28" s="3648"/>
      <c r="D28" s="3648"/>
      <c r="E28" s="3649"/>
      <c r="F28" s="3649"/>
      <c r="G28" s="3649"/>
      <c r="H28" s="3649"/>
      <c r="I28" s="3655"/>
      <c r="J28" s="3656"/>
      <c r="K28" s="3647" t="s">
        <v>3629</v>
      </c>
      <c r="L28" s="3648"/>
      <c r="M28" s="3648"/>
      <c r="N28" s="3649"/>
      <c r="O28" s="3649"/>
      <c r="P28" s="3649"/>
      <c r="Q28" s="3649"/>
      <c r="R28" s="3655"/>
      <c r="S28" s="3656"/>
      <c r="T28" s="3647" t="s">
        <v>3630</v>
      </c>
      <c r="U28" s="3648"/>
      <c r="V28" s="3648"/>
      <c r="W28" s="3649"/>
      <c r="X28" s="3649"/>
      <c r="Y28" s="3649"/>
      <c r="Z28" s="3649"/>
      <c r="AA28" s="3650"/>
      <c r="AB28" s="3651"/>
      <c r="AC28" s="3652" t="s">
        <v>3575</v>
      </c>
      <c r="AD28" s="3653"/>
      <c r="AE28" s="3653"/>
      <c r="AF28" s="3654"/>
      <c r="AG28" s="3654"/>
      <c r="AH28" s="3654"/>
      <c r="AI28" s="3654"/>
      <c r="AJ28" s="3654"/>
      <c r="AK28" s="3654"/>
      <c r="AL28" s="3654"/>
      <c r="AM28" s="3654"/>
      <c r="AN28" s="3654"/>
      <c r="AO28" s="3647" t="s">
        <v>3631</v>
      </c>
      <c r="AP28" s="3648"/>
      <c r="AQ28" s="3648"/>
      <c r="AR28" s="3649"/>
      <c r="AS28" s="3649"/>
      <c r="AT28" s="3649"/>
      <c r="AU28" s="3649"/>
      <c r="AV28" s="3650"/>
      <c r="AW28" s="3651"/>
      <c r="AX28" s="3647" t="s">
        <v>3632</v>
      </c>
      <c r="AY28" s="3648"/>
      <c r="AZ28" s="3648"/>
      <c r="BA28" s="3649"/>
      <c r="BB28" s="3649"/>
      <c r="BC28" s="3649"/>
      <c r="BD28" s="3649"/>
      <c r="BE28" s="3655"/>
      <c r="BF28" s="3656"/>
      <c r="BG28" s="3647" t="s">
        <v>3633</v>
      </c>
      <c r="BH28" s="3648"/>
      <c r="BI28" s="3648"/>
      <c r="BJ28" s="3649"/>
      <c r="BK28" s="3649"/>
      <c r="BL28" s="3649"/>
      <c r="BM28" s="3649"/>
      <c r="BN28" s="3655"/>
      <c r="BO28" s="3656"/>
      <c r="BP28" s="3652" t="s">
        <v>3576</v>
      </c>
      <c r="BQ28" s="3653"/>
      <c r="BR28" s="3653"/>
      <c r="BS28" s="3654"/>
      <c r="BT28" s="3654"/>
      <c r="BU28" s="3654"/>
      <c r="BV28" s="3654"/>
      <c r="BW28" s="3654"/>
      <c r="BX28" s="3654"/>
      <c r="BY28" s="3655"/>
      <c r="BZ28" s="3655"/>
      <c r="CA28" s="3655"/>
      <c r="CB28" s="3652" t="s">
        <v>3577</v>
      </c>
      <c r="CC28" s="3653"/>
      <c r="CD28" s="3653"/>
      <c r="CE28" s="3654"/>
      <c r="CF28" s="3654"/>
      <c r="CG28" s="3654"/>
      <c r="CH28" s="3654"/>
      <c r="CI28" s="3654"/>
      <c r="CJ28" s="3654"/>
      <c r="CK28" s="3655"/>
      <c r="CL28" s="3655"/>
      <c r="CM28" s="3655"/>
      <c r="CN28" s="3647" t="s">
        <v>1373</v>
      </c>
      <c r="CO28" s="3648"/>
      <c r="CP28" s="3648"/>
      <c r="CQ28" s="3649"/>
      <c r="CR28" s="3649"/>
      <c r="CS28" s="3649"/>
      <c r="CT28" s="3649"/>
      <c r="CU28" s="3655"/>
      <c r="CV28" s="3656"/>
      <c r="CW28" s="3647" t="s">
        <v>3634</v>
      </c>
      <c r="CX28" s="3648"/>
      <c r="CY28" s="3648"/>
      <c r="CZ28" s="3649"/>
      <c r="DA28" s="3649"/>
      <c r="DB28" s="3649"/>
      <c r="DC28" s="3649"/>
      <c r="DD28" s="3655"/>
      <c r="DE28" s="3656"/>
      <c r="DF28" s="3647" t="s">
        <v>3635</v>
      </c>
      <c r="DG28" s="3648"/>
      <c r="DH28" s="3648"/>
      <c r="DI28" s="3649"/>
      <c r="DJ28" s="3649"/>
      <c r="DK28" s="3649"/>
      <c r="DL28" s="3649"/>
      <c r="DM28" s="3655"/>
      <c r="DN28" s="3656"/>
      <c r="DO28" s="3652" t="s">
        <v>3578</v>
      </c>
      <c r="DP28" s="3653"/>
      <c r="DQ28" s="3653"/>
      <c r="DR28" s="3654"/>
      <c r="DS28" s="3654"/>
      <c r="DT28" s="3654"/>
      <c r="DU28" s="3654"/>
      <c r="DV28" s="3654"/>
      <c r="DW28" s="3654"/>
      <c r="DX28" s="3655"/>
      <c r="DY28" s="3655"/>
      <c r="DZ28" s="3655"/>
      <c r="EA28" s="3652" t="s">
        <v>3579</v>
      </c>
      <c r="EB28" s="3653"/>
      <c r="EC28" s="3653"/>
      <c r="ED28" s="3654"/>
      <c r="EE28" s="3654"/>
      <c r="EF28" s="3654"/>
      <c r="EG28" s="3654"/>
      <c r="EH28" s="3654"/>
      <c r="EI28" s="3654"/>
      <c r="EJ28" s="3655"/>
      <c r="EK28" s="3655"/>
      <c r="EL28" s="3655"/>
      <c r="EM28" s="3647" t="s">
        <v>3636</v>
      </c>
      <c r="EN28" s="3648"/>
      <c r="EO28" s="3648"/>
      <c r="EP28" s="3649"/>
      <c r="EQ28" s="3649"/>
      <c r="ER28" s="3649"/>
      <c r="ES28" s="3649"/>
      <c r="ET28" s="3655"/>
      <c r="EU28" s="3656"/>
      <c r="EV28" s="3647" t="s">
        <v>3637</v>
      </c>
      <c r="EW28" s="3648"/>
      <c r="EX28" s="3648"/>
      <c r="EY28" s="3649"/>
      <c r="EZ28" s="3649"/>
      <c r="FA28" s="3649"/>
      <c r="FB28" s="3649"/>
      <c r="FC28" s="3655"/>
      <c r="FD28" s="3656"/>
      <c r="FE28" s="3647" t="s">
        <v>3638</v>
      </c>
      <c r="FF28" s="3648"/>
      <c r="FG28" s="3648"/>
      <c r="FH28" s="3649"/>
      <c r="FI28" s="3649"/>
      <c r="FJ28" s="3649"/>
      <c r="FK28" s="3649"/>
      <c r="FL28" s="3655"/>
      <c r="FM28" s="3656"/>
      <c r="FN28" s="3652" t="s">
        <v>3580</v>
      </c>
      <c r="FO28" s="3653"/>
      <c r="FP28" s="3653"/>
      <c r="FQ28" s="3654"/>
      <c r="FR28" s="3654"/>
      <c r="FS28" s="3654"/>
      <c r="FT28" s="3654"/>
      <c r="FU28" s="3654"/>
      <c r="FV28" s="3654"/>
      <c r="FW28" s="3655"/>
      <c r="FX28" s="3655"/>
      <c r="FY28" s="3655"/>
      <c r="FZ28" s="3657" t="s">
        <v>2019</v>
      </c>
      <c r="GA28" s="3658"/>
      <c r="GB28" s="3658"/>
      <c r="GC28" s="3659"/>
      <c r="GD28" s="3659"/>
      <c r="GE28" s="3659"/>
      <c r="GF28" s="3659"/>
      <c r="GG28" s="3659"/>
      <c r="GH28" s="3659"/>
      <c r="GI28" s="3660"/>
      <c r="GJ28" s="3660"/>
      <c r="GK28" s="3661"/>
    </row>
    <row r="29" spans="1:193" ht="19.5" customHeight="1" x14ac:dyDescent="0.2">
      <c r="A29" s="3637"/>
      <c r="B29" s="3638" t="s">
        <v>3581</v>
      </c>
      <c r="C29" s="3639"/>
      <c r="D29" s="3640"/>
      <c r="E29" s="3638" t="s">
        <v>1692</v>
      </c>
      <c r="F29" s="3639"/>
      <c r="G29" s="3640"/>
      <c r="H29" s="3638" t="s">
        <v>3639</v>
      </c>
      <c r="I29" s="3639"/>
      <c r="J29" s="3640"/>
      <c r="K29" s="3638" t="s">
        <v>3581</v>
      </c>
      <c r="L29" s="3639"/>
      <c r="M29" s="3640"/>
      <c r="N29" s="3638" t="s">
        <v>1692</v>
      </c>
      <c r="O29" s="3639"/>
      <c r="P29" s="3640"/>
      <c r="Q29" s="3638" t="s">
        <v>3639</v>
      </c>
      <c r="R29" s="3639"/>
      <c r="S29" s="3640"/>
      <c r="T29" s="3638" t="s">
        <v>3581</v>
      </c>
      <c r="U29" s="3639"/>
      <c r="V29" s="3640"/>
      <c r="W29" s="3638" t="s">
        <v>1692</v>
      </c>
      <c r="X29" s="3639"/>
      <c r="Y29" s="3640"/>
      <c r="Z29" s="3638" t="s">
        <v>3639</v>
      </c>
      <c r="AA29" s="3639"/>
      <c r="AB29" s="3640"/>
      <c r="AC29" s="3644" t="s">
        <v>3581</v>
      </c>
      <c r="AD29" s="3645"/>
      <c r="AE29" s="3646"/>
      <c r="AF29" s="3641" t="s">
        <v>1692</v>
      </c>
      <c r="AG29" s="3642"/>
      <c r="AH29" s="3643"/>
      <c r="AI29" s="3641" t="s">
        <v>3639</v>
      </c>
      <c r="AJ29" s="3642"/>
      <c r="AK29" s="3643"/>
      <c r="AL29" s="3644" t="s">
        <v>3654</v>
      </c>
      <c r="AM29" s="3645"/>
      <c r="AN29" s="3646"/>
      <c r="AO29" s="3638" t="s">
        <v>3581</v>
      </c>
      <c r="AP29" s="3639"/>
      <c r="AQ29" s="3640"/>
      <c r="AR29" s="3638" t="s">
        <v>1692</v>
      </c>
      <c r="AS29" s="3639"/>
      <c r="AT29" s="3640"/>
      <c r="AU29" s="3638" t="s">
        <v>3639</v>
      </c>
      <c r="AV29" s="3639"/>
      <c r="AW29" s="3640"/>
      <c r="AX29" s="3638" t="s">
        <v>3581</v>
      </c>
      <c r="AY29" s="3639"/>
      <c r="AZ29" s="3640"/>
      <c r="BA29" s="3638" t="s">
        <v>1692</v>
      </c>
      <c r="BB29" s="3639"/>
      <c r="BC29" s="3640"/>
      <c r="BD29" s="3638" t="s">
        <v>3639</v>
      </c>
      <c r="BE29" s="3639"/>
      <c r="BF29" s="3640"/>
      <c r="BG29" s="3638" t="s">
        <v>3581</v>
      </c>
      <c r="BH29" s="3639"/>
      <c r="BI29" s="3640"/>
      <c r="BJ29" s="3638" t="s">
        <v>1692</v>
      </c>
      <c r="BK29" s="3639"/>
      <c r="BL29" s="3640"/>
      <c r="BM29" s="3638" t="s">
        <v>3639</v>
      </c>
      <c r="BN29" s="3639"/>
      <c r="BO29" s="3640"/>
      <c r="BP29" s="3644" t="s">
        <v>3581</v>
      </c>
      <c r="BQ29" s="3645"/>
      <c r="BR29" s="3646"/>
      <c r="BS29" s="3641" t="s">
        <v>1692</v>
      </c>
      <c r="BT29" s="3642"/>
      <c r="BU29" s="3643"/>
      <c r="BV29" s="3641" t="s">
        <v>3639</v>
      </c>
      <c r="BW29" s="3642"/>
      <c r="BX29" s="3643"/>
      <c r="BY29" s="3644" t="s">
        <v>3654</v>
      </c>
      <c r="BZ29" s="3645"/>
      <c r="CA29" s="3646"/>
      <c r="CB29" s="3644" t="s">
        <v>3581</v>
      </c>
      <c r="CC29" s="3645"/>
      <c r="CD29" s="3646"/>
      <c r="CE29" s="3641" t="s">
        <v>1692</v>
      </c>
      <c r="CF29" s="3642"/>
      <c r="CG29" s="3643"/>
      <c r="CH29" s="3641" t="s">
        <v>3639</v>
      </c>
      <c r="CI29" s="3642"/>
      <c r="CJ29" s="3643"/>
      <c r="CK29" s="3644" t="s">
        <v>3654</v>
      </c>
      <c r="CL29" s="3645"/>
      <c r="CM29" s="3646"/>
      <c r="CN29" s="3638" t="s">
        <v>3581</v>
      </c>
      <c r="CO29" s="3639"/>
      <c r="CP29" s="3640"/>
      <c r="CQ29" s="3638" t="s">
        <v>1692</v>
      </c>
      <c r="CR29" s="3639"/>
      <c r="CS29" s="3640"/>
      <c r="CT29" s="3638" t="s">
        <v>3639</v>
      </c>
      <c r="CU29" s="3639"/>
      <c r="CV29" s="3640"/>
      <c r="CW29" s="3638" t="s">
        <v>3581</v>
      </c>
      <c r="CX29" s="3639"/>
      <c r="CY29" s="3640"/>
      <c r="CZ29" s="3638" t="s">
        <v>1692</v>
      </c>
      <c r="DA29" s="3639"/>
      <c r="DB29" s="3640"/>
      <c r="DC29" s="3638" t="s">
        <v>3639</v>
      </c>
      <c r="DD29" s="3639"/>
      <c r="DE29" s="3640"/>
      <c r="DF29" s="3638" t="s">
        <v>3581</v>
      </c>
      <c r="DG29" s="3639"/>
      <c r="DH29" s="3640"/>
      <c r="DI29" s="3638" t="s">
        <v>1692</v>
      </c>
      <c r="DJ29" s="3639"/>
      <c r="DK29" s="3640"/>
      <c r="DL29" s="3638" t="s">
        <v>3639</v>
      </c>
      <c r="DM29" s="3639"/>
      <c r="DN29" s="3640"/>
      <c r="DO29" s="3644" t="s">
        <v>3581</v>
      </c>
      <c r="DP29" s="3645"/>
      <c r="DQ29" s="3646"/>
      <c r="DR29" s="3641" t="s">
        <v>1692</v>
      </c>
      <c r="DS29" s="3642"/>
      <c r="DT29" s="3643"/>
      <c r="DU29" s="3641" t="s">
        <v>3639</v>
      </c>
      <c r="DV29" s="3642"/>
      <c r="DW29" s="3643"/>
      <c r="DX29" s="3644" t="s">
        <v>3654</v>
      </c>
      <c r="DY29" s="3645"/>
      <c r="DZ29" s="3646"/>
      <c r="EA29" s="3644" t="s">
        <v>3581</v>
      </c>
      <c r="EB29" s="3645"/>
      <c r="EC29" s="3646"/>
      <c r="ED29" s="3641" t="s">
        <v>1692</v>
      </c>
      <c r="EE29" s="3642"/>
      <c r="EF29" s="3643"/>
      <c r="EG29" s="3641" t="s">
        <v>3639</v>
      </c>
      <c r="EH29" s="3642"/>
      <c r="EI29" s="3643"/>
      <c r="EJ29" s="3644" t="s">
        <v>3654</v>
      </c>
      <c r="EK29" s="3645"/>
      <c r="EL29" s="3646"/>
      <c r="EM29" s="3638" t="s">
        <v>3581</v>
      </c>
      <c r="EN29" s="3639"/>
      <c r="EO29" s="3640"/>
      <c r="EP29" s="3638" t="s">
        <v>1692</v>
      </c>
      <c r="EQ29" s="3639"/>
      <c r="ER29" s="3640"/>
      <c r="ES29" s="3638" t="s">
        <v>3639</v>
      </c>
      <c r="ET29" s="3639"/>
      <c r="EU29" s="3640"/>
      <c r="EV29" s="3638" t="s">
        <v>3581</v>
      </c>
      <c r="EW29" s="3639"/>
      <c r="EX29" s="3640"/>
      <c r="EY29" s="3638" t="s">
        <v>1692</v>
      </c>
      <c r="EZ29" s="3639"/>
      <c r="FA29" s="3640"/>
      <c r="FB29" s="3638" t="s">
        <v>3639</v>
      </c>
      <c r="FC29" s="3639"/>
      <c r="FD29" s="3640"/>
      <c r="FE29" s="3638" t="s">
        <v>3581</v>
      </c>
      <c r="FF29" s="3639"/>
      <c r="FG29" s="3640"/>
      <c r="FH29" s="3638" t="s">
        <v>1692</v>
      </c>
      <c r="FI29" s="3639"/>
      <c r="FJ29" s="3640"/>
      <c r="FK29" s="3638" t="s">
        <v>3639</v>
      </c>
      <c r="FL29" s="3639"/>
      <c r="FM29" s="3640"/>
      <c r="FN29" s="3644" t="s">
        <v>3581</v>
      </c>
      <c r="FO29" s="3645"/>
      <c r="FP29" s="3646"/>
      <c r="FQ29" s="3641" t="s">
        <v>1692</v>
      </c>
      <c r="FR29" s="3642"/>
      <c r="FS29" s="3643"/>
      <c r="FT29" s="3641" t="s">
        <v>3639</v>
      </c>
      <c r="FU29" s="3642"/>
      <c r="FV29" s="3643"/>
      <c r="FW29" s="3644" t="s">
        <v>3654</v>
      </c>
      <c r="FX29" s="3645"/>
      <c r="FY29" s="3646"/>
      <c r="FZ29" s="3662" t="s">
        <v>3581</v>
      </c>
      <c r="GA29" s="3663"/>
      <c r="GB29" s="3664"/>
      <c r="GC29" s="3665" t="s">
        <v>1692</v>
      </c>
      <c r="GD29" s="3666"/>
      <c r="GE29" s="3667"/>
      <c r="GF29" s="3665" t="s">
        <v>3639</v>
      </c>
      <c r="GG29" s="3666"/>
      <c r="GH29" s="3667"/>
      <c r="GI29" s="3662" t="s">
        <v>3654</v>
      </c>
      <c r="GJ29" s="3663"/>
      <c r="GK29" s="3664"/>
    </row>
    <row r="30" spans="1:193" ht="24.75" customHeight="1" x14ac:dyDescent="0.2">
      <c r="A30" s="3637"/>
      <c r="B30" s="3095" t="s">
        <v>627</v>
      </c>
      <c r="C30" s="3095" t="s">
        <v>3668</v>
      </c>
      <c r="D30" s="3095" t="s">
        <v>3669</v>
      </c>
      <c r="E30" s="3095" t="s">
        <v>627</v>
      </c>
      <c r="F30" s="3095" t="s">
        <v>3668</v>
      </c>
      <c r="G30" s="3095" t="s">
        <v>3669</v>
      </c>
      <c r="H30" s="3095" t="s">
        <v>627</v>
      </c>
      <c r="I30" s="3095" t="s">
        <v>3668</v>
      </c>
      <c r="J30" s="3095" t="s">
        <v>3669</v>
      </c>
      <c r="K30" s="3095" t="s">
        <v>627</v>
      </c>
      <c r="L30" s="3095" t="s">
        <v>3668</v>
      </c>
      <c r="M30" s="3095" t="s">
        <v>3669</v>
      </c>
      <c r="N30" s="3095" t="s">
        <v>627</v>
      </c>
      <c r="O30" s="3095" t="s">
        <v>3668</v>
      </c>
      <c r="P30" s="3095" t="s">
        <v>3669</v>
      </c>
      <c r="Q30" s="3095" t="s">
        <v>627</v>
      </c>
      <c r="R30" s="3095" t="s">
        <v>3668</v>
      </c>
      <c r="S30" s="3095" t="s">
        <v>3669</v>
      </c>
      <c r="T30" s="3095" t="s">
        <v>627</v>
      </c>
      <c r="U30" s="3095" t="s">
        <v>3668</v>
      </c>
      <c r="V30" s="3095" t="s">
        <v>3669</v>
      </c>
      <c r="W30" s="3095" t="s">
        <v>627</v>
      </c>
      <c r="X30" s="3095" t="s">
        <v>3668</v>
      </c>
      <c r="Y30" s="3095" t="s">
        <v>3669</v>
      </c>
      <c r="Z30" s="3095" t="s">
        <v>627</v>
      </c>
      <c r="AA30" s="3095" t="s">
        <v>3668</v>
      </c>
      <c r="AB30" s="3095" t="s">
        <v>3669</v>
      </c>
      <c r="AC30" s="3096" t="s">
        <v>627</v>
      </c>
      <c r="AD30" s="3096" t="s">
        <v>3668</v>
      </c>
      <c r="AE30" s="3096" t="s">
        <v>3669</v>
      </c>
      <c r="AF30" s="3096" t="s">
        <v>627</v>
      </c>
      <c r="AG30" s="3096" t="s">
        <v>3668</v>
      </c>
      <c r="AH30" s="3096" t="s">
        <v>3669</v>
      </c>
      <c r="AI30" s="3096" t="s">
        <v>627</v>
      </c>
      <c r="AJ30" s="3096" t="s">
        <v>3668</v>
      </c>
      <c r="AK30" s="3096" t="s">
        <v>3669</v>
      </c>
      <c r="AL30" s="3096" t="s">
        <v>627</v>
      </c>
      <c r="AM30" s="3096" t="s">
        <v>3668</v>
      </c>
      <c r="AN30" s="3096" t="s">
        <v>3669</v>
      </c>
      <c r="AO30" s="3095" t="s">
        <v>627</v>
      </c>
      <c r="AP30" s="3095" t="s">
        <v>3668</v>
      </c>
      <c r="AQ30" s="3095" t="s">
        <v>3669</v>
      </c>
      <c r="AR30" s="3095" t="s">
        <v>627</v>
      </c>
      <c r="AS30" s="3095" t="s">
        <v>3668</v>
      </c>
      <c r="AT30" s="3095" t="s">
        <v>3669</v>
      </c>
      <c r="AU30" s="3095" t="s">
        <v>627</v>
      </c>
      <c r="AV30" s="3095" t="s">
        <v>3668</v>
      </c>
      <c r="AW30" s="3095" t="s">
        <v>3669</v>
      </c>
      <c r="AX30" s="3095" t="s">
        <v>627</v>
      </c>
      <c r="AY30" s="3095" t="s">
        <v>3668</v>
      </c>
      <c r="AZ30" s="3095" t="s">
        <v>3669</v>
      </c>
      <c r="BA30" s="3095" t="s">
        <v>627</v>
      </c>
      <c r="BB30" s="3095" t="s">
        <v>3668</v>
      </c>
      <c r="BC30" s="3095" t="s">
        <v>3669</v>
      </c>
      <c r="BD30" s="3095" t="s">
        <v>627</v>
      </c>
      <c r="BE30" s="3095" t="s">
        <v>3668</v>
      </c>
      <c r="BF30" s="3095" t="s">
        <v>3669</v>
      </c>
      <c r="BG30" s="3095" t="s">
        <v>627</v>
      </c>
      <c r="BH30" s="3095" t="s">
        <v>3668</v>
      </c>
      <c r="BI30" s="3095" t="s">
        <v>3669</v>
      </c>
      <c r="BJ30" s="3095" t="s">
        <v>627</v>
      </c>
      <c r="BK30" s="3095" t="s">
        <v>3668</v>
      </c>
      <c r="BL30" s="3095" t="s">
        <v>3669</v>
      </c>
      <c r="BM30" s="3095" t="s">
        <v>627</v>
      </c>
      <c r="BN30" s="3095" t="s">
        <v>3668</v>
      </c>
      <c r="BO30" s="3095" t="s">
        <v>3669</v>
      </c>
      <c r="BP30" s="3096" t="s">
        <v>627</v>
      </c>
      <c r="BQ30" s="3096" t="s">
        <v>3668</v>
      </c>
      <c r="BR30" s="3096" t="s">
        <v>3669</v>
      </c>
      <c r="BS30" s="3096" t="s">
        <v>627</v>
      </c>
      <c r="BT30" s="3096" t="s">
        <v>3668</v>
      </c>
      <c r="BU30" s="3096" t="s">
        <v>3669</v>
      </c>
      <c r="BV30" s="3096" t="s">
        <v>627</v>
      </c>
      <c r="BW30" s="3096" t="s">
        <v>3668</v>
      </c>
      <c r="BX30" s="3096" t="s">
        <v>3669</v>
      </c>
      <c r="BY30" s="3096" t="s">
        <v>627</v>
      </c>
      <c r="BZ30" s="3096" t="s">
        <v>3668</v>
      </c>
      <c r="CA30" s="3096" t="s">
        <v>3669</v>
      </c>
      <c r="CB30" s="3096" t="s">
        <v>627</v>
      </c>
      <c r="CC30" s="3096" t="s">
        <v>3668</v>
      </c>
      <c r="CD30" s="3096" t="s">
        <v>3669</v>
      </c>
      <c r="CE30" s="3096" t="s">
        <v>627</v>
      </c>
      <c r="CF30" s="3096" t="s">
        <v>3668</v>
      </c>
      <c r="CG30" s="3096" t="s">
        <v>3669</v>
      </c>
      <c r="CH30" s="3096" t="s">
        <v>627</v>
      </c>
      <c r="CI30" s="3096" t="s">
        <v>3668</v>
      </c>
      <c r="CJ30" s="3096" t="s">
        <v>3669</v>
      </c>
      <c r="CK30" s="3096" t="s">
        <v>627</v>
      </c>
      <c r="CL30" s="3096" t="s">
        <v>3668</v>
      </c>
      <c r="CM30" s="3096" t="s">
        <v>3669</v>
      </c>
      <c r="CN30" s="3095" t="s">
        <v>627</v>
      </c>
      <c r="CO30" s="3095" t="s">
        <v>3668</v>
      </c>
      <c r="CP30" s="3095" t="s">
        <v>3669</v>
      </c>
      <c r="CQ30" s="3095" t="s">
        <v>627</v>
      </c>
      <c r="CR30" s="3095" t="s">
        <v>3668</v>
      </c>
      <c r="CS30" s="3095" t="s">
        <v>3669</v>
      </c>
      <c r="CT30" s="3095" t="s">
        <v>627</v>
      </c>
      <c r="CU30" s="3095" t="s">
        <v>3668</v>
      </c>
      <c r="CV30" s="3095" t="s">
        <v>3669</v>
      </c>
      <c r="CW30" s="3095" t="s">
        <v>627</v>
      </c>
      <c r="CX30" s="3095" t="s">
        <v>3668</v>
      </c>
      <c r="CY30" s="3095" t="s">
        <v>3669</v>
      </c>
      <c r="CZ30" s="3095" t="s">
        <v>627</v>
      </c>
      <c r="DA30" s="3095" t="s">
        <v>3668</v>
      </c>
      <c r="DB30" s="3095" t="s">
        <v>3669</v>
      </c>
      <c r="DC30" s="3095" t="s">
        <v>627</v>
      </c>
      <c r="DD30" s="3095" t="s">
        <v>3668</v>
      </c>
      <c r="DE30" s="3095" t="s">
        <v>3669</v>
      </c>
      <c r="DF30" s="3095" t="s">
        <v>627</v>
      </c>
      <c r="DG30" s="3095" t="s">
        <v>3668</v>
      </c>
      <c r="DH30" s="3095" t="s">
        <v>3669</v>
      </c>
      <c r="DI30" s="3095" t="s">
        <v>627</v>
      </c>
      <c r="DJ30" s="3095" t="s">
        <v>3668</v>
      </c>
      <c r="DK30" s="3095" t="s">
        <v>3669</v>
      </c>
      <c r="DL30" s="3095" t="s">
        <v>627</v>
      </c>
      <c r="DM30" s="3095" t="s">
        <v>3668</v>
      </c>
      <c r="DN30" s="3095" t="s">
        <v>3669</v>
      </c>
      <c r="DO30" s="3096" t="s">
        <v>627</v>
      </c>
      <c r="DP30" s="3096" t="s">
        <v>3668</v>
      </c>
      <c r="DQ30" s="3096" t="s">
        <v>3669</v>
      </c>
      <c r="DR30" s="3096" t="s">
        <v>627</v>
      </c>
      <c r="DS30" s="3096" t="s">
        <v>3668</v>
      </c>
      <c r="DT30" s="3096" t="s">
        <v>3669</v>
      </c>
      <c r="DU30" s="3096" t="s">
        <v>627</v>
      </c>
      <c r="DV30" s="3096" t="s">
        <v>3668</v>
      </c>
      <c r="DW30" s="3096" t="s">
        <v>3669</v>
      </c>
      <c r="DX30" s="3096" t="s">
        <v>627</v>
      </c>
      <c r="DY30" s="3096" t="s">
        <v>3668</v>
      </c>
      <c r="DZ30" s="3096" t="s">
        <v>3669</v>
      </c>
      <c r="EA30" s="3096" t="s">
        <v>627</v>
      </c>
      <c r="EB30" s="3096" t="s">
        <v>3668</v>
      </c>
      <c r="EC30" s="3096" t="s">
        <v>3669</v>
      </c>
      <c r="ED30" s="3096" t="s">
        <v>627</v>
      </c>
      <c r="EE30" s="3096" t="s">
        <v>3668</v>
      </c>
      <c r="EF30" s="3096" t="s">
        <v>3669</v>
      </c>
      <c r="EG30" s="3096" t="s">
        <v>627</v>
      </c>
      <c r="EH30" s="3096" t="s">
        <v>3668</v>
      </c>
      <c r="EI30" s="3096" t="s">
        <v>3669</v>
      </c>
      <c r="EJ30" s="3096" t="s">
        <v>627</v>
      </c>
      <c r="EK30" s="3096" t="s">
        <v>3668</v>
      </c>
      <c r="EL30" s="3096" t="s">
        <v>3669</v>
      </c>
      <c r="EM30" s="3095" t="s">
        <v>627</v>
      </c>
      <c r="EN30" s="3095" t="s">
        <v>3668</v>
      </c>
      <c r="EO30" s="3095" t="s">
        <v>3669</v>
      </c>
      <c r="EP30" s="3095" t="s">
        <v>627</v>
      </c>
      <c r="EQ30" s="3095" t="s">
        <v>3668</v>
      </c>
      <c r="ER30" s="3095" t="s">
        <v>3669</v>
      </c>
      <c r="ES30" s="3095" t="s">
        <v>627</v>
      </c>
      <c r="ET30" s="3095" t="s">
        <v>3668</v>
      </c>
      <c r="EU30" s="3095" t="s">
        <v>3669</v>
      </c>
      <c r="EV30" s="3095" t="s">
        <v>627</v>
      </c>
      <c r="EW30" s="3095" t="s">
        <v>3668</v>
      </c>
      <c r="EX30" s="3095" t="s">
        <v>3669</v>
      </c>
      <c r="EY30" s="3095" t="s">
        <v>627</v>
      </c>
      <c r="EZ30" s="3095" t="s">
        <v>3668</v>
      </c>
      <c r="FA30" s="3095" t="s">
        <v>3669</v>
      </c>
      <c r="FB30" s="3095" t="s">
        <v>627</v>
      </c>
      <c r="FC30" s="3095" t="s">
        <v>3668</v>
      </c>
      <c r="FD30" s="3095" t="s">
        <v>3669</v>
      </c>
      <c r="FE30" s="3095" t="s">
        <v>627</v>
      </c>
      <c r="FF30" s="3095" t="s">
        <v>3668</v>
      </c>
      <c r="FG30" s="3095" t="s">
        <v>3669</v>
      </c>
      <c r="FH30" s="3095" t="s">
        <v>627</v>
      </c>
      <c r="FI30" s="3095" t="s">
        <v>3668</v>
      </c>
      <c r="FJ30" s="3095" t="s">
        <v>3669</v>
      </c>
      <c r="FK30" s="3095" t="s">
        <v>627</v>
      </c>
      <c r="FL30" s="3095" t="s">
        <v>3668</v>
      </c>
      <c r="FM30" s="3095" t="s">
        <v>3669</v>
      </c>
      <c r="FN30" s="3096" t="s">
        <v>627</v>
      </c>
      <c r="FO30" s="3096" t="s">
        <v>3668</v>
      </c>
      <c r="FP30" s="3096" t="s">
        <v>3669</v>
      </c>
      <c r="FQ30" s="3096" t="s">
        <v>627</v>
      </c>
      <c r="FR30" s="3096" t="s">
        <v>3668</v>
      </c>
      <c r="FS30" s="3096" t="s">
        <v>3669</v>
      </c>
      <c r="FT30" s="3096" t="s">
        <v>627</v>
      </c>
      <c r="FU30" s="3096" t="s">
        <v>3668</v>
      </c>
      <c r="FV30" s="3096" t="s">
        <v>3669</v>
      </c>
      <c r="FW30" s="3096" t="s">
        <v>627</v>
      </c>
      <c r="FX30" s="3096" t="s">
        <v>3668</v>
      </c>
      <c r="FY30" s="3096" t="s">
        <v>3669</v>
      </c>
      <c r="FZ30" s="3217" t="s">
        <v>627</v>
      </c>
      <c r="GA30" s="3217" t="s">
        <v>3668</v>
      </c>
      <c r="GB30" s="3217" t="s">
        <v>3669</v>
      </c>
      <c r="GC30" s="3217" t="s">
        <v>627</v>
      </c>
      <c r="GD30" s="3217" t="s">
        <v>3668</v>
      </c>
      <c r="GE30" s="3217" t="s">
        <v>3669</v>
      </c>
      <c r="GF30" s="3217" t="s">
        <v>627</v>
      </c>
      <c r="GG30" s="3217" t="s">
        <v>3668</v>
      </c>
      <c r="GH30" s="3217" t="s">
        <v>3669</v>
      </c>
      <c r="GI30" s="3217" t="s">
        <v>627</v>
      </c>
      <c r="GJ30" s="3217" t="s">
        <v>3668</v>
      </c>
      <c r="GK30" s="3217" t="s">
        <v>3669</v>
      </c>
    </row>
    <row r="31" spans="1:193" ht="18.75" customHeight="1" x14ac:dyDescent="0.3">
      <c r="A31" s="3072" t="s">
        <v>1</v>
      </c>
      <c r="B31" s="3136">
        <f>SUM(C31:D31)</f>
        <v>722.37897038476979</v>
      </c>
      <c r="C31" s="3136">
        <f>SUM('ПОЛНАЯ СЕБЕСТОИМОСТЬ СТОКИ 2019'!C147/3)</f>
        <v>718.96358424394919</v>
      </c>
      <c r="D31" s="3136">
        <f>SUM('ПОЛНАЯ СЕБЕСТОИМОСТЬ СТОКИ 2019'!D147/3)</f>
        <v>3.4153861408206425</v>
      </c>
      <c r="E31" s="3136">
        <f>SUM(F31:G31)</f>
        <v>945.50099999999998</v>
      </c>
      <c r="F31" s="3136">
        <f>SUM('ПОЛНАЯ СЕБЕСТОИМОСТЬ СТОКИ 2019'!F147)</f>
        <v>945.12</v>
      </c>
      <c r="G31" s="3136">
        <f>SUM('ПОЛНАЯ СЕБЕСТОИМОСТЬ СТОКИ 2019'!G147)</f>
        <v>0.38100000000000001</v>
      </c>
      <c r="H31" s="3137">
        <v>1000.11</v>
      </c>
      <c r="I31" s="3137">
        <f>SUM(H31-J31)</f>
        <v>999.28439221029248</v>
      </c>
      <c r="J31" s="3137">
        <f>SUM(H31/H9*J9)*0.93107996702</f>
        <v>0.82560778970752269</v>
      </c>
      <c r="K31" s="3136">
        <f>SUM(L31:M31)</f>
        <v>722.37897038476979</v>
      </c>
      <c r="L31" s="3136">
        <f>SUM(C31)</f>
        <v>718.96358424394919</v>
      </c>
      <c r="M31" s="3136">
        <f>SUM(D31)</f>
        <v>3.4153861408206425</v>
      </c>
      <c r="N31" s="3136">
        <f>SUM(O31:P31)</f>
        <v>790.80000000000007</v>
      </c>
      <c r="O31" s="3136">
        <f>SUM('ПОЛНАЯ СЕБЕСТОИМОСТЬ СТОКИ 2019'!I147)</f>
        <v>790.48</v>
      </c>
      <c r="P31" s="3136">
        <f>SUM('ПОЛНАЯ СЕБЕСТОИМОСТЬ СТОКИ 2019'!J147)</f>
        <v>0.32</v>
      </c>
      <c r="Q31" s="3137">
        <v>939.52</v>
      </c>
      <c r="R31" s="3137">
        <f>SUM(Q31-S31)</f>
        <v>938.89197820662469</v>
      </c>
      <c r="S31" s="3137">
        <f>SUM(Q31/Q9*S9)*0.93107996702</f>
        <v>0.62802179337532504</v>
      </c>
      <c r="T31" s="3136">
        <f>SUM(U31:V31)</f>
        <v>722.37897038476979</v>
      </c>
      <c r="U31" s="3136">
        <f>SUM(L31)</f>
        <v>718.96358424394919</v>
      </c>
      <c r="V31" s="3136">
        <f>SUM(M31)</f>
        <v>3.4153861408206425</v>
      </c>
      <c r="W31" s="3136">
        <f>SUM(X31:Y31)</f>
        <v>861.81000000000006</v>
      </c>
      <c r="X31" s="3136">
        <f>SUM('ПОЛНАЯ СЕБЕСТОИМОСТЬ СТОКИ 2019'!L147)</f>
        <v>861.73</v>
      </c>
      <c r="Y31" s="3136">
        <f>SUM('ПОЛНАЯ СЕБЕСТОИМОСТЬ СТОКИ 2019'!M147)</f>
        <v>0.08</v>
      </c>
      <c r="Z31" s="3137">
        <v>1013.04</v>
      </c>
      <c r="AA31" s="3137">
        <f>SUM(Z31-AB31)</f>
        <v>999.7597681477331</v>
      </c>
      <c r="AB31" s="3137">
        <f>SUM(Z31/Z9*AB9)*0.93107996702</f>
        <v>13.280231852266832</v>
      </c>
      <c r="AC31" s="3180">
        <f t="shared" ref="AC31:AC37" si="424">SUM(B31+K31+T31)</f>
        <v>2167.1369111543095</v>
      </c>
      <c r="AD31" s="3180">
        <f t="shared" ref="AD31:AD37" si="425">SUM(C31+L31+U31)</f>
        <v>2156.8907527318474</v>
      </c>
      <c r="AE31" s="3180">
        <f t="shared" ref="AE31:AE37" si="426">SUM(D31+M31+V31)</f>
        <v>10.246158422461928</v>
      </c>
      <c r="AF31" s="3180">
        <f t="shared" ref="AF31:AF37" si="427">SUM(E31+N31+W31)</f>
        <v>2598.1109999999999</v>
      </c>
      <c r="AG31" s="3180">
        <f t="shared" ref="AG31:AG37" si="428">SUM(F31+O31+X31)</f>
        <v>2597.33</v>
      </c>
      <c r="AH31" s="3180">
        <f t="shared" ref="AH31:AH37" si="429">SUM(G31+P31+Y31)</f>
        <v>0.78100000000000003</v>
      </c>
      <c r="AI31" s="3180">
        <f t="shared" ref="AI31:AI37" si="430">SUM(H31+Q31+Z31)</f>
        <v>2952.67</v>
      </c>
      <c r="AJ31" s="3180">
        <f t="shared" ref="AJ31:AJ37" si="431">SUM(I31+R31+AA31)</f>
        <v>2937.9361385646503</v>
      </c>
      <c r="AK31" s="3180">
        <f t="shared" ref="AK31:AK37" si="432">SUM(J31+S31+AB31)</f>
        <v>14.733861435349679</v>
      </c>
      <c r="AL31" s="3143">
        <f t="shared" ref="AL31:AL65" si="433">SUM(AF31-AC31)</f>
        <v>430.9740888456904</v>
      </c>
      <c r="AM31" s="3143">
        <f t="shared" ref="AM31:AM37" si="434">SUM(AG31-AD31)</f>
        <v>440.43924726815249</v>
      </c>
      <c r="AN31" s="3143">
        <f t="shared" ref="AN31:AN37" si="435">SUM(AH31-AE31)</f>
        <v>-9.4651584224619274</v>
      </c>
      <c r="AO31" s="3136">
        <f>SUM(AP31:AQ31)</f>
        <v>722.37897038476979</v>
      </c>
      <c r="AP31" s="3136">
        <f>SUM('ПОЛНАЯ СЕБЕСТОИМОСТЬ СТОКИ 2019'!R147/3)</f>
        <v>718.96358424394919</v>
      </c>
      <c r="AQ31" s="3136">
        <f>SUM('ПОЛНАЯ СЕБЕСТОИМОСТЬ СТОКИ 2019'!S147/3)</f>
        <v>3.4153861408206425</v>
      </c>
      <c r="AR31" s="3136">
        <f>SUM(AS31:AT31)</f>
        <v>981.61399999999992</v>
      </c>
      <c r="AS31" s="3136">
        <f>SUM('ПОЛНАЯ СЕБЕСТОИМОСТЬ СТОКИ 2019'!U147)</f>
        <v>981.05</v>
      </c>
      <c r="AT31" s="3136">
        <f>SUM('ПОЛНАЯ СЕБЕСТОИМОСТЬ СТОКИ 2019'!V147)</f>
        <v>0.56399999999999995</v>
      </c>
      <c r="AU31" s="3137">
        <v>1049.06</v>
      </c>
      <c r="AV31" s="3137">
        <f>SUM(AU31-AW31)</f>
        <v>1048.1332501001623</v>
      </c>
      <c r="AW31" s="3137">
        <f>SUM(AU31/AU9*AW9)*0.93107996702</f>
        <v>0.92674989983768319</v>
      </c>
      <c r="AX31" s="3136">
        <f>SUM(AY31:AZ31)</f>
        <v>722.37897038476979</v>
      </c>
      <c r="AY31" s="3136">
        <f>SUM(AP31)</f>
        <v>718.96358424394919</v>
      </c>
      <c r="AZ31" s="3136">
        <f>SUM(AQ31)</f>
        <v>3.4153861408206425</v>
      </c>
      <c r="BA31" s="3277">
        <f>SUM(BB31:BC31)</f>
        <v>800.70999999999992</v>
      </c>
      <c r="BB31" s="3277">
        <f>SUM('ПОЛНАЯ СЕБЕСТОИМОСТЬ СТОКИ 2019'!X147)</f>
        <v>799.78</v>
      </c>
      <c r="BC31" s="3277">
        <f>SUM('ПОЛНАЯ СЕБЕСТОИМОСТЬ СТОКИ 2019'!Y147)</f>
        <v>0.93</v>
      </c>
      <c r="BD31" s="3137">
        <v>1018.65</v>
      </c>
      <c r="BE31" s="3137">
        <f>SUM(BD31-BF31)</f>
        <v>1016.5124763399713</v>
      </c>
      <c r="BF31" s="3137">
        <f>SUM(BD31/BD9*BF9)*0.93107996702</f>
        <v>2.1375236600286667</v>
      </c>
      <c r="BG31" s="3136">
        <f>SUM(BH31:BI31)</f>
        <v>722.37897038476979</v>
      </c>
      <c r="BH31" s="3136">
        <f>SUM(AY31)</f>
        <v>718.96358424394919</v>
      </c>
      <c r="BI31" s="3136">
        <f>SUM(AZ31)</f>
        <v>3.4153861408206425</v>
      </c>
      <c r="BJ31" s="3136">
        <f>SUM(BK31:BL31)</f>
        <v>679.85</v>
      </c>
      <c r="BK31" s="3136">
        <f>SUM('ПОЛНАЯ СЕБЕСТОИМОСТЬ СТОКИ 2019'!AA147)</f>
        <v>672.73</v>
      </c>
      <c r="BL31" s="3136">
        <f>SUM('ПОЛНАЯ СЕБЕСТОИМОСТЬ СТОКИ 2019'!AB147)</f>
        <v>7.12</v>
      </c>
      <c r="BM31" s="3137">
        <v>889.43</v>
      </c>
      <c r="BN31" s="3137">
        <f>SUM(BM31-BO31)</f>
        <v>878.37961674376481</v>
      </c>
      <c r="BO31" s="3137">
        <f>SUM(BM31/BM9*BO9)*0.93107996702</f>
        <v>11.050383256235081</v>
      </c>
      <c r="BP31" s="3180">
        <f t="shared" ref="BP31:BP37" si="436">SUM(AO31+AX31+BG31)</f>
        <v>2167.1369111543095</v>
      </c>
      <c r="BQ31" s="3180">
        <f t="shared" ref="BQ31:BQ37" si="437">SUM(AP31+AY31+BH31)</f>
        <v>2156.8907527318474</v>
      </c>
      <c r="BR31" s="3180">
        <f t="shared" ref="BR31:BR37" si="438">SUM(AQ31+AZ31+BI31)</f>
        <v>10.246158422461928</v>
      </c>
      <c r="BS31" s="3180">
        <f t="shared" ref="BS31:BS37" si="439">SUM(AR31+BA31+BJ31)</f>
        <v>2462.174</v>
      </c>
      <c r="BT31" s="3180">
        <f t="shared" ref="BT31:BT37" si="440">SUM(AS31+BB31+BK31)</f>
        <v>2453.56</v>
      </c>
      <c r="BU31" s="3180">
        <f t="shared" ref="BU31:BU37" si="441">SUM(AT31+BC31+BL31)</f>
        <v>8.6140000000000008</v>
      </c>
      <c r="BV31" s="3180">
        <f t="shared" ref="BV31:BV37" si="442">SUM(AU31+BD31+BM31)</f>
        <v>2957.14</v>
      </c>
      <c r="BW31" s="3180">
        <f t="shared" ref="BW31:BW37" si="443">SUM(AV31+BE31+BN31)</f>
        <v>2943.0253431838983</v>
      </c>
      <c r="BX31" s="3180">
        <f t="shared" ref="BX31:BX37" si="444">SUM(AW31+BF31+BO31)</f>
        <v>14.11465681610143</v>
      </c>
      <c r="BY31" s="3143">
        <f t="shared" ref="BY31:BY65" si="445">SUM(BS31-BP31)</f>
        <v>295.0370888456905</v>
      </c>
      <c r="BZ31" s="3143">
        <f t="shared" ref="BZ31:BZ37" si="446">SUM(BT31-BQ31)</f>
        <v>296.6692472681525</v>
      </c>
      <c r="CA31" s="3143">
        <f t="shared" ref="CA31:CA37" si="447">SUM(BU31-BR31)</f>
        <v>-1.6321584224619272</v>
      </c>
      <c r="CB31" s="3180">
        <f t="shared" ref="CB31:CB37" si="448">SUM(AC31+BP31)</f>
        <v>4334.2738223086189</v>
      </c>
      <c r="CC31" s="3180">
        <f t="shared" ref="CC31:CC37" si="449">SUM(AD31+BQ31)</f>
        <v>4313.7815054636949</v>
      </c>
      <c r="CD31" s="3180">
        <f t="shared" ref="CD31:CD37" si="450">SUM(AE31+BR31)</f>
        <v>20.492316844923856</v>
      </c>
      <c r="CE31" s="3180">
        <f t="shared" ref="CE31:CE37" si="451">SUM(AF31+BS31)</f>
        <v>5060.2849999999999</v>
      </c>
      <c r="CF31" s="3180">
        <f t="shared" ref="CF31:CF37" si="452">SUM(AG31+BT31)</f>
        <v>5050.8899999999994</v>
      </c>
      <c r="CG31" s="3180">
        <f t="shared" ref="CG31:CG37" si="453">SUM(AH31+BU31)</f>
        <v>9.3950000000000014</v>
      </c>
      <c r="CH31" s="3198">
        <f t="shared" ref="CH31:CH37" si="454">SUM(AI31+BV31)</f>
        <v>5909.8099999999995</v>
      </c>
      <c r="CI31" s="3198">
        <f t="shared" ref="CI31:CI37" si="455">SUM(AJ31+BW31)</f>
        <v>5880.961481748549</v>
      </c>
      <c r="CJ31" s="3198">
        <f t="shared" ref="CJ31:CJ37" si="456">SUM(AK31+BX31)</f>
        <v>28.848518251451111</v>
      </c>
      <c r="CK31" s="3143">
        <f t="shared" ref="CK31:CK65" si="457">SUM(CE31-CB31)</f>
        <v>726.01117769138091</v>
      </c>
      <c r="CL31" s="3143">
        <f t="shared" ref="CL31:CL37" si="458">SUM(CF31-CC31)</f>
        <v>737.10849453630453</v>
      </c>
      <c r="CM31" s="3143">
        <f t="shared" ref="CM31:CM37" si="459">SUM(CG31-CD31)</f>
        <v>-11.097316844923855</v>
      </c>
      <c r="CN31" s="3136">
        <f>SUM(CO31:CP31)</f>
        <v>764.99932963747119</v>
      </c>
      <c r="CO31" s="3136">
        <f>SUM('ПОЛНАЯ СЕБЕСТОИМОСТЬ СТОКИ 2019'!AP147/3)</f>
        <v>761.38243571434214</v>
      </c>
      <c r="CP31" s="3136">
        <f>SUM('ПОЛНАЯ СЕБЕСТОИМОСТЬ СТОКИ 2019'!AQ147/3)</f>
        <v>3.6168939231290609</v>
      </c>
      <c r="CQ31" s="3136">
        <f>SUM(CR31:CS31)</f>
        <v>839.072</v>
      </c>
      <c r="CR31" s="3136">
        <f>SUM('ПОЛНАЯ СЕБЕСТОИМОСТЬ СТОКИ 2019'!AS147)</f>
        <v>838.48</v>
      </c>
      <c r="CS31" s="3136">
        <f>SUM('ПОЛНАЯ СЕБЕСТОИМОСТЬ СТОКИ 2019'!AT147)</f>
        <v>0.59199999999999997</v>
      </c>
      <c r="CT31" s="3137">
        <v>841.43</v>
      </c>
      <c r="CU31" s="3137">
        <f>SUM(CT31-CV31)</f>
        <v>840.3290281488762</v>
      </c>
      <c r="CV31" s="3137">
        <f>SUM(CT31/CT9*CV9)*0.93107996702</f>
        <v>1.1009718511237379</v>
      </c>
      <c r="CW31" s="3136">
        <f>SUM(CX31:CY31)</f>
        <v>764.99932963747119</v>
      </c>
      <c r="CX31" s="3136">
        <f>SUM(CO31)</f>
        <v>761.38243571434214</v>
      </c>
      <c r="CY31" s="3136">
        <f>SUM(CP31)</f>
        <v>3.6168939231290609</v>
      </c>
      <c r="CZ31" s="3136">
        <f>SUM(DA31:DB31)</f>
        <v>930.60799999999995</v>
      </c>
      <c r="DA31" s="3136">
        <f>SUM('ПОЛНАЯ СЕБЕСТОИМОСТЬ СТОКИ 2019'!AV147)</f>
        <v>929.88</v>
      </c>
      <c r="DB31" s="3136">
        <f>SUM('ПОЛНАЯ СЕБЕСТОИМОСТЬ СТОКИ 2019'!AW147)</f>
        <v>0.72799999999999998</v>
      </c>
      <c r="DC31" s="3137">
        <v>744.46</v>
      </c>
      <c r="DD31" s="3137">
        <f>SUM(DC31-DE31)</f>
        <v>743.0657599722698</v>
      </c>
      <c r="DE31" s="3137">
        <f>SUM(DC31/DC9*DE9)*0.93107996702</f>
        <v>1.3942400277301905</v>
      </c>
      <c r="DF31" s="3136">
        <f>SUM(DG31:DH31)</f>
        <v>764.99932963747119</v>
      </c>
      <c r="DG31" s="3136">
        <f>SUM(CX31)</f>
        <v>761.38243571434214</v>
      </c>
      <c r="DH31" s="3136">
        <f>SUM(CY31)</f>
        <v>3.6168939231290609</v>
      </c>
      <c r="DI31" s="3136">
        <f>SUM(DJ31:DK31)</f>
        <v>807.31000000000006</v>
      </c>
      <c r="DJ31" s="3136">
        <f>SUM('ПОЛНАЯ СЕБЕСТОИМОСТЬ СТОКИ 2019'!AY147)</f>
        <v>799.7700000000001</v>
      </c>
      <c r="DK31" s="3136">
        <f>SUM('ПОЛНАЯ СЕБЕСТОИМОСТЬ СТОКИ 2019'!AZ147)</f>
        <v>7.54</v>
      </c>
      <c r="DL31" s="3137">
        <v>714.14</v>
      </c>
      <c r="DM31" s="3137">
        <f>SUM(DL31-DN31)</f>
        <v>704.62375947052692</v>
      </c>
      <c r="DN31" s="3137">
        <f>SUM(DL31/DL9*DN9)*0.93107996702</f>
        <v>9.5162405294730252</v>
      </c>
      <c r="DO31" s="3180">
        <f t="shared" ref="DO31:DO37" si="460">SUM(CN31+CW31+DF31)</f>
        <v>2294.9979889124133</v>
      </c>
      <c r="DP31" s="3180">
        <f t="shared" ref="DP31:DP37" si="461">SUM(CO31+CX31+DG31)</f>
        <v>2284.1473071430264</v>
      </c>
      <c r="DQ31" s="3180">
        <f t="shared" ref="DQ31:DQ37" si="462">SUM(CP31+CY31+DH31)</f>
        <v>10.850681769387183</v>
      </c>
      <c r="DR31" s="3180">
        <f t="shared" ref="DR31:DR37" si="463">SUM(CQ31+CZ31+DI31)</f>
        <v>2576.9899999999998</v>
      </c>
      <c r="DS31" s="3180">
        <f t="shared" ref="DS31:DS37" si="464">SUM(CR31+DA31+DJ31)</f>
        <v>2568.13</v>
      </c>
      <c r="DT31" s="3180">
        <f t="shared" ref="DT31:DT37" si="465">SUM(CS31+DB31+DK31)</f>
        <v>8.86</v>
      </c>
      <c r="DU31" s="3180">
        <f t="shared" ref="DU31:DU37" si="466">SUM(CT31+DC31+DL31)</f>
        <v>2300.0299999999997</v>
      </c>
      <c r="DV31" s="3180">
        <f t="shared" ref="DV31:DV37" si="467">SUM(CU31+DD31+DM31)</f>
        <v>2288.0185475916733</v>
      </c>
      <c r="DW31" s="3180">
        <f t="shared" ref="DW31:DW37" si="468">SUM(CV31+DE31+DN31)</f>
        <v>12.011452408326953</v>
      </c>
      <c r="DX31" s="3143">
        <f t="shared" ref="DX31:DX65" si="469">SUM(DR31-DO31)</f>
        <v>281.99201108758643</v>
      </c>
      <c r="DY31" s="3143">
        <f t="shared" ref="DY31:DY37" si="470">SUM(DS31-DP31)</f>
        <v>283.9826928569737</v>
      </c>
      <c r="DZ31" s="3143">
        <f t="shared" ref="DZ31:DZ37" si="471">SUM(DT31-DQ31)</f>
        <v>-1.9906817693871837</v>
      </c>
      <c r="EA31" s="3180">
        <f t="shared" ref="EA31:EA37" si="472">SUM(CB31+DO31)</f>
        <v>6629.2718112210323</v>
      </c>
      <c r="EB31" s="3180">
        <f t="shared" ref="EB31:EB37" si="473">SUM(CC31+DP31)</f>
        <v>6597.9288126067213</v>
      </c>
      <c r="EC31" s="3180">
        <f t="shared" ref="EC31:EC37" si="474">SUM(CD31+DQ31)</f>
        <v>31.342998614311039</v>
      </c>
      <c r="ED31" s="3180">
        <f t="shared" ref="ED31:ED37" si="475">SUM(CE31+DR31)</f>
        <v>7637.2749999999996</v>
      </c>
      <c r="EE31" s="3180">
        <f t="shared" ref="EE31:EE37" si="476">SUM(CF31+DS31)</f>
        <v>7619.0199999999995</v>
      </c>
      <c r="EF31" s="3180">
        <f t="shared" ref="EF31:EF37" si="477">SUM(CG31+DT31)</f>
        <v>18.255000000000003</v>
      </c>
      <c r="EG31" s="3180">
        <f t="shared" ref="EG31:EG37" si="478">SUM(CH31+DU31)</f>
        <v>8209.84</v>
      </c>
      <c r="EH31" s="3180">
        <f t="shared" ref="EH31:EH37" si="479">SUM(CI31+DV31)</f>
        <v>8168.9800293402222</v>
      </c>
      <c r="EI31" s="3180">
        <f t="shared" ref="EI31:EI37" si="480">SUM(CJ31+DW31)</f>
        <v>40.859970659778064</v>
      </c>
      <c r="EJ31" s="3143">
        <f t="shared" ref="EJ31:EJ65" si="481">SUM(ED31-EA31)</f>
        <v>1008.0031887789673</v>
      </c>
      <c r="EK31" s="3143">
        <f t="shared" ref="EK31:EK37" si="482">SUM(EE31-EB31)</f>
        <v>1021.0911873932782</v>
      </c>
      <c r="EL31" s="3143">
        <f t="shared" ref="EL31:EL37" si="483">SUM(EF31-EC31)</f>
        <v>-13.087998614311037</v>
      </c>
      <c r="EM31" s="3136">
        <f>SUM(EN31:EO31)</f>
        <v>764.99932963747119</v>
      </c>
      <c r="EN31" s="3136">
        <f>SUM('ПОЛНАЯ СЕБЕСТОИМОСТЬ СТОКИ 2019'!BN147/3)</f>
        <v>761.38243571434214</v>
      </c>
      <c r="EO31" s="3136">
        <f>SUM('ПОЛНАЯ СЕБЕСТОИМОСТЬ СТОКИ 2019'!BO147/3)</f>
        <v>3.6168939231290609</v>
      </c>
      <c r="EP31" s="3136">
        <f>SUM(EQ31:ER31)</f>
        <v>0</v>
      </c>
      <c r="EQ31" s="3136">
        <f>SUM('ПОЛНАЯ СЕБЕСТОИМОСТЬ СТОКИ 2019'!BQ147)</f>
        <v>0</v>
      </c>
      <c r="ER31" s="3136">
        <f>SUM('ПОЛНАЯ СЕБЕСТОИМОСТЬ СТОКИ 2019'!BR147)</f>
        <v>0</v>
      </c>
      <c r="ES31" s="3137">
        <v>912.09</v>
      </c>
      <c r="ET31" s="3137">
        <f>SUM(ES31-EU31)</f>
        <v>910.33149278071789</v>
      </c>
      <c r="EU31" s="3137">
        <f>SUM(ES31/ES9*EU9)*0.93107996702</f>
        <v>1.7585072192821798</v>
      </c>
      <c r="EV31" s="3136">
        <f>SUM(EW31:EX31)</f>
        <v>764.99932963747119</v>
      </c>
      <c r="EW31" s="3136">
        <f>SUM(EN31)</f>
        <v>761.38243571434214</v>
      </c>
      <c r="EX31" s="3136">
        <f>SUM(EO31)</f>
        <v>3.6168939231290609</v>
      </c>
      <c r="EY31" s="3136">
        <f>SUM(EZ31:FA31)</f>
        <v>0</v>
      </c>
      <c r="EZ31" s="3136">
        <f>SUM('ПОЛНАЯ СЕБЕСТОИМОСТЬ СТОКИ 2019'!BT147)</f>
        <v>0</v>
      </c>
      <c r="FA31" s="3136">
        <f>SUM('ПОЛНАЯ СЕБЕСТОИМОСТЬ СТОКИ 2019'!BU147)</f>
        <v>0</v>
      </c>
      <c r="FB31" s="3137">
        <v>843.14</v>
      </c>
      <c r="FC31" s="3137">
        <f>SUM(FB31-FD31)</f>
        <v>841.45686807496372</v>
      </c>
      <c r="FD31" s="3137">
        <f>SUM(FB31/FB9*FD9)*0.93107996702</f>
        <v>1.6831319250362418</v>
      </c>
      <c r="FE31" s="3136">
        <f>SUM(FF31:FG31)</f>
        <v>764.99932963747119</v>
      </c>
      <c r="FF31" s="3136">
        <f>SUM(EW31)</f>
        <v>761.38243571434214</v>
      </c>
      <c r="FG31" s="3136">
        <f>SUM(EX31)</f>
        <v>3.6168939231290609</v>
      </c>
      <c r="FH31" s="3136">
        <f>SUM(FI31:FJ31)</f>
        <v>0</v>
      </c>
      <c r="FI31" s="3136">
        <f>SUM('ПОЛНАЯ СЕБЕСТОИМОСТЬ СТОКИ 2019'!BW147)</f>
        <v>0</v>
      </c>
      <c r="FJ31" s="3136">
        <f>SUM('ПОЛНАЯ СЕБЕСТОИМОСТЬ СТОКИ 2019'!BX147)</f>
        <v>0</v>
      </c>
      <c r="FK31" s="3137">
        <v>861.97</v>
      </c>
      <c r="FL31" s="3137">
        <f>SUM(FK31-FM31)</f>
        <v>849.802864152491</v>
      </c>
      <c r="FM31" s="3137">
        <f>SUM(FK31/FK9*FM9)*0.93107996702</f>
        <v>12.167135847509018</v>
      </c>
      <c r="FN31" s="3180">
        <f t="shared" ref="FN31:FN37" si="484">SUM(EM31+EV31+FE31)</f>
        <v>2294.9979889124133</v>
      </c>
      <c r="FO31" s="3180">
        <f t="shared" ref="FO31:FO37" si="485">SUM(EN31+EW31+FF31)</f>
        <v>2284.1473071430264</v>
      </c>
      <c r="FP31" s="3180">
        <f t="shared" ref="FP31:FP37" si="486">SUM(EO31+EX31+FG31)</f>
        <v>10.850681769387183</v>
      </c>
      <c r="FQ31" s="3180">
        <f t="shared" ref="FQ31:FQ37" si="487">SUM(EP31+EY31+FH31)</f>
        <v>0</v>
      </c>
      <c r="FR31" s="3180">
        <f t="shared" ref="FR31:FR37" si="488">SUM(EQ31+EZ31+FI31)</f>
        <v>0</v>
      </c>
      <c r="FS31" s="3180">
        <f t="shared" ref="FS31:FS37" si="489">SUM(ER31+FA31+FJ31)</f>
        <v>0</v>
      </c>
      <c r="FT31" s="3180">
        <f t="shared" ref="FT31:FT37" si="490">SUM(ES31+FB31+FK31)</f>
        <v>2617.1999999999998</v>
      </c>
      <c r="FU31" s="3180">
        <f t="shared" ref="FU31:FU37" si="491">SUM(ET31+FC31+FL31)</f>
        <v>2601.5912250081728</v>
      </c>
      <c r="FV31" s="3180">
        <f t="shared" ref="FV31:FV37" si="492">SUM(EU31+FD31+FM31)</f>
        <v>15.608774991827438</v>
      </c>
      <c r="FW31" s="3143">
        <f t="shared" ref="FW31:FW65" si="493">SUM(FQ31-FN31)</f>
        <v>-2294.9979889124133</v>
      </c>
      <c r="FX31" s="3143">
        <f t="shared" ref="FX31:FX37" si="494">SUM(FR31-FO31)</f>
        <v>-2284.1473071430264</v>
      </c>
      <c r="FY31" s="3143">
        <f t="shared" ref="FY31:FY37" si="495">SUM(FS31-FP31)</f>
        <v>-10.850681769387183</v>
      </c>
      <c r="FZ31" s="3242">
        <f t="shared" ref="FZ31:FZ37" si="496">SUM(EA31+FN31)</f>
        <v>8924.2698001334466</v>
      </c>
      <c r="GA31" s="3242">
        <f t="shared" ref="GA31:GA37" si="497">SUM(EB31+FO31)</f>
        <v>8882.0761197497486</v>
      </c>
      <c r="GB31" s="3242">
        <f t="shared" ref="GB31:GB37" si="498">SUM(EC31+FP31)</f>
        <v>42.193680383698222</v>
      </c>
      <c r="GC31" s="3242">
        <f t="shared" ref="GC31:GC37" si="499">SUM(ED31+FQ31)</f>
        <v>7637.2749999999996</v>
      </c>
      <c r="GD31" s="3242">
        <f t="shared" ref="GD31:GD37" si="500">SUM(EE31+FR31)</f>
        <v>7619.0199999999995</v>
      </c>
      <c r="GE31" s="3242">
        <f t="shared" ref="GE31:GE37" si="501">SUM(EF31+FS31)</f>
        <v>18.255000000000003</v>
      </c>
      <c r="GF31" s="3242">
        <f t="shared" ref="GF31:GF37" si="502">SUM(EG31+FT31)</f>
        <v>10827.04</v>
      </c>
      <c r="GG31" s="3242">
        <f t="shared" ref="GG31:GG37" si="503">SUM(EH31+FU31)</f>
        <v>10770.571254348395</v>
      </c>
      <c r="GH31" s="3242">
        <f t="shared" ref="GH31:GH37" si="504">SUM(EI31+FV31)</f>
        <v>56.468745651605502</v>
      </c>
      <c r="GI31" s="3243">
        <f t="shared" ref="GI31:GI65" si="505">SUM(GC31-FZ31)</f>
        <v>-1286.9948001334469</v>
      </c>
      <c r="GJ31" s="3243">
        <f t="shared" ref="GJ31:GJ37" si="506">SUM(GD31-GA31)</f>
        <v>-1263.0561197497491</v>
      </c>
      <c r="GK31" s="3243">
        <f t="shared" ref="GK31:GK37" si="507">SUM(GE31-GB31)</f>
        <v>-23.93868038369822</v>
      </c>
    </row>
    <row r="32" spans="1:193" ht="18.75" customHeight="1" x14ac:dyDescent="0.3">
      <c r="A32" s="3072" t="s">
        <v>2</v>
      </c>
      <c r="B32" s="3136">
        <f t="shared" ref="B32:B37" si="508">SUM(C32:D32)</f>
        <v>417.19083333333333</v>
      </c>
      <c r="C32" s="3136">
        <f>SUM('ПОЛНАЯ СЕБЕСТОИМОСТЬ СТОКИ 2019'!C148/3)</f>
        <v>416.94055098257405</v>
      </c>
      <c r="D32" s="3136">
        <f>SUM('ПОЛНАЯ СЕБЕСТОИМОСТЬ СТОКИ 2019'!D148/3)</f>
        <v>0.25028235075925098</v>
      </c>
      <c r="E32" s="3136">
        <f t="shared" ref="E32:E37" si="509">SUM(F32:G32)</f>
        <v>421.52</v>
      </c>
      <c r="F32" s="3136">
        <f>SUM('ПОЛНАЯ СЕБЕСТОИМОСТЬ СТОКИ 2019'!F148)</f>
        <v>421.52</v>
      </c>
      <c r="G32" s="3136">
        <f>SUM('ПОЛНАЯ СЕБЕСТОИМОСТЬ СТОКИ 2019'!G148)</f>
        <v>0</v>
      </c>
      <c r="H32" s="3137">
        <v>410.13</v>
      </c>
      <c r="I32" s="3137">
        <f t="shared" ref="I32:I37" si="510">SUM(H32-J32)</f>
        <v>410.09575908351246</v>
      </c>
      <c r="J32" s="3137">
        <f>SUM(H32/H9*J9)*0.09416398138</f>
        <v>3.4240916487535758E-2</v>
      </c>
      <c r="K32" s="3136">
        <f t="shared" ref="K32:K37" si="511">SUM(L32:M32)</f>
        <v>417.19083333333333</v>
      </c>
      <c r="L32" s="3136">
        <f t="shared" ref="L32:L37" si="512">SUM(C32)</f>
        <v>416.94055098257405</v>
      </c>
      <c r="M32" s="3136">
        <f t="shared" ref="M32:M37" si="513">SUM(D32)</f>
        <v>0.25028235075925098</v>
      </c>
      <c r="N32" s="3136">
        <f t="shared" ref="N32:N37" si="514">SUM(O32:P32)</f>
        <v>428.88</v>
      </c>
      <c r="O32" s="3136">
        <f>SUM('ПОЛНАЯ СЕБЕСТОИМОСТЬ СТОКИ 2019'!I148)</f>
        <v>428.88</v>
      </c>
      <c r="P32" s="3136">
        <f>SUM('ПОЛНАЯ СЕБЕСТОИМОСТЬ СТОКИ 2019'!J148)</f>
        <v>0</v>
      </c>
      <c r="Q32" s="3137">
        <v>395.42</v>
      </c>
      <c r="R32" s="3137">
        <f t="shared" ref="R32:R37" si="515">SUM(Q32-S32)</f>
        <v>395.39326838810399</v>
      </c>
      <c r="S32" s="3137">
        <f>SUM(Q32/Q9*S9)*0.09416398138</f>
        <v>2.6731611896025409E-2</v>
      </c>
      <c r="T32" s="3136">
        <f t="shared" ref="T32:T37" si="516">SUM(U32:V32)</f>
        <v>417.19083333333333</v>
      </c>
      <c r="U32" s="3136">
        <f t="shared" ref="U32:U37" si="517">SUM(L32)</f>
        <v>416.94055098257405</v>
      </c>
      <c r="V32" s="3136">
        <f t="shared" ref="V32:V37" si="518">SUM(M32)</f>
        <v>0.25028235075925098</v>
      </c>
      <c r="W32" s="3136">
        <f t="shared" ref="W32:W37" si="519">SUM(X32:Y32)</f>
        <v>428.75</v>
      </c>
      <c r="X32" s="3136">
        <f>SUM('ПОЛНАЯ СЕБЕСТОИМОСТЬ СТОКИ 2019'!L148)</f>
        <v>428.75</v>
      </c>
      <c r="Y32" s="3136">
        <f>SUM('ПОЛНАЯ СЕБЕСТОИМОСТЬ СТОКИ 2019'!M148)</f>
        <v>0</v>
      </c>
      <c r="Z32" s="3137">
        <v>395.42</v>
      </c>
      <c r="AA32" s="3137">
        <f t="shared" ref="AA32:AA37" si="520">SUM(Z32-AB32)</f>
        <v>394.89575351729889</v>
      </c>
      <c r="AB32" s="3137">
        <f>SUM(Z32/Z9*AB9)*0.09416398138</f>
        <v>0.52424648270110918</v>
      </c>
      <c r="AC32" s="3180">
        <f t="shared" si="424"/>
        <v>1251.5725</v>
      </c>
      <c r="AD32" s="3180">
        <f t="shared" si="425"/>
        <v>1250.8216529477222</v>
      </c>
      <c r="AE32" s="3180">
        <f t="shared" si="426"/>
        <v>0.75084705227775295</v>
      </c>
      <c r="AF32" s="3180">
        <f t="shared" si="427"/>
        <v>1279.1500000000001</v>
      </c>
      <c r="AG32" s="3180">
        <f t="shared" si="428"/>
        <v>1279.1500000000001</v>
      </c>
      <c r="AH32" s="3180">
        <f t="shared" si="429"/>
        <v>0</v>
      </c>
      <c r="AI32" s="3180">
        <f t="shared" si="430"/>
        <v>1200.97</v>
      </c>
      <c r="AJ32" s="3180">
        <f t="shared" si="431"/>
        <v>1200.3847809889153</v>
      </c>
      <c r="AK32" s="3180">
        <f t="shared" si="432"/>
        <v>0.58521901108467034</v>
      </c>
      <c r="AL32" s="3143">
        <f t="shared" si="433"/>
        <v>27.5775000000001</v>
      </c>
      <c r="AM32" s="3143">
        <f t="shared" si="434"/>
        <v>28.328347052277877</v>
      </c>
      <c r="AN32" s="3143">
        <f t="shared" si="435"/>
        <v>-0.75084705227775295</v>
      </c>
      <c r="AO32" s="3136">
        <f t="shared" ref="AO32:AO37" si="521">SUM(AP32:AQ32)</f>
        <v>417.19083333333333</v>
      </c>
      <c r="AP32" s="3136">
        <f>SUM('ПОЛНАЯ СЕБЕСТОИМОСТЬ СТОКИ 2019'!R148/3)</f>
        <v>416.94055098257405</v>
      </c>
      <c r="AQ32" s="3136">
        <f>SUM('ПОЛНАЯ СЕБЕСТОИМОСТЬ СТОКИ 2019'!S148/3)</f>
        <v>0.25028235075925098</v>
      </c>
      <c r="AR32" s="3136">
        <f t="shared" ref="AR32:AR37" si="522">SUM(AS32:AT32)</f>
        <v>423.53</v>
      </c>
      <c r="AS32" s="3136">
        <f>SUM('ПОЛНАЯ СЕБЕСТОИМОСТЬ СТОКИ 2019'!U148)</f>
        <v>423.53</v>
      </c>
      <c r="AT32" s="3136">
        <f>SUM('ПОЛНАЯ СЕБЕСТОИМОСТЬ СТОКИ 2019'!V148)</f>
        <v>0</v>
      </c>
      <c r="AU32" s="3137">
        <v>395.42</v>
      </c>
      <c r="AV32" s="3137">
        <f t="shared" ref="AV32:AV37" si="523">SUM(AU32-AW32)</f>
        <v>395.3846720300898</v>
      </c>
      <c r="AW32" s="3137">
        <f>SUM(AU32/AU9*AW9)*0.09416398138</f>
        <v>3.5327969910202157E-2</v>
      </c>
      <c r="AX32" s="3136">
        <f t="shared" ref="AX32:AX37" si="524">SUM(AY32:AZ32)</f>
        <v>417.19083333333333</v>
      </c>
      <c r="AY32" s="3136">
        <f t="shared" ref="AY32:AY37" si="525">SUM(AP32)</f>
        <v>416.94055098257405</v>
      </c>
      <c r="AZ32" s="3136">
        <f t="shared" ref="AZ32:AZ37" si="526">SUM(AQ32)</f>
        <v>0.25028235075925098</v>
      </c>
      <c r="BA32" s="3277">
        <f t="shared" ref="BA32:BA37" si="527">SUM(BB32:BC32)</f>
        <v>424.56</v>
      </c>
      <c r="BB32" s="3277">
        <f>SUM('ПОЛНАЯ СЕБЕСТОИМОСТЬ СТОКИ 2019'!X148)</f>
        <v>424.56</v>
      </c>
      <c r="BC32" s="3277">
        <f>SUM('ПОЛНАЯ СЕБЕСТОИМОСТЬ СТОКИ 2019'!Y148)</f>
        <v>0</v>
      </c>
      <c r="BD32" s="3137">
        <v>402.33</v>
      </c>
      <c r="BE32" s="3137">
        <f t="shared" ref="BE32:BE37" si="528">SUM(BD32-BF32)</f>
        <v>402.24461802654463</v>
      </c>
      <c r="BF32" s="3137">
        <f>SUM(BD32/BD9*BF9)*0.09416398138</f>
        <v>8.5381973455376764E-2</v>
      </c>
      <c r="BG32" s="3136">
        <f t="shared" ref="BG32:BG37" si="529">SUM(BH32:BI32)</f>
        <v>417.19083333333333</v>
      </c>
      <c r="BH32" s="3136">
        <f t="shared" ref="BH32:BH37" si="530">SUM(AY32)</f>
        <v>416.94055098257405</v>
      </c>
      <c r="BI32" s="3136">
        <f t="shared" ref="BI32:BI37" si="531">SUM(AZ32)</f>
        <v>0.25028235075925098</v>
      </c>
      <c r="BJ32" s="3136">
        <f t="shared" ref="BJ32:BJ37" si="532">SUM(BK32:BL32)</f>
        <v>428.02</v>
      </c>
      <c r="BK32" s="3136">
        <f>SUM('ПОЛНАЯ СЕБЕСТОИМОСТЬ СТОКИ 2019'!AA148)</f>
        <v>428.02</v>
      </c>
      <c r="BL32" s="3136">
        <f>SUM('ПОЛНАЯ СЕБЕСТОИМОСТЬ СТОКИ 2019'!AB148)</f>
        <v>0</v>
      </c>
      <c r="BM32" s="3137">
        <v>402.92</v>
      </c>
      <c r="BN32" s="3137">
        <f t="shared" ref="BN32:BN37" si="533">SUM(BM32-BO32)</f>
        <v>402.41372996596056</v>
      </c>
      <c r="BO32" s="3137">
        <f>SUM(BM32/BM9*BO9)*0.09416398138</f>
        <v>0.50627003403946558</v>
      </c>
      <c r="BP32" s="3180">
        <f t="shared" si="436"/>
        <v>1251.5725</v>
      </c>
      <c r="BQ32" s="3180">
        <f t="shared" si="437"/>
        <v>1250.8216529477222</v>
      </c>
      <c r="BR32" s="3180">
        <f t="shared" si="438"/>
        <v>0.75084705227775295</v>
      </c>
      <c r="BS32" s="3180">
        <f t="shared" si="439"/>
        <v>1276.1099999999999</v>
      </c>
      <c r="BT32" s="3180">
        <f t="shared" si="440"/>
        <v>1276.1099999999999</v>
      </c>
      <c r="BU32" s="3180">
        <f t="shared" si="441"/>
        <v>0</v>
      </c>
      <c r="BV32" s="3180">
        <f t="shared" si="442"/>
        <v>1200.67</v>
      </c>
      <c r="BW32" s="3180">
        <f t="shared" si="443"/>
        <v>1200.0430200225951</v>
      </c>
      <c r="BX32" s="3180">
        <f t="shared" si="444"/>
        <v>0.62697997740504452</v>
      </c>
      <c r="BY32" s="3143">
        <f t="shared" si="445"/>
        <v>24.537499999999909</v>
      </c>
      <c r="BZ32" s="3143">
        <f t="shared" si="446"/>
        <v>25.288347052277686</v>
      </c>
      <c r="CA32" s="3143">
        <f t="shared" si="447"/>
        <v>-0.75084705227775295</v>
      </c>
      <c r="CB32" s="3180">
        <f t="shared" si="448"/>
        <v>2503.145</v>
      </c>
      <c r="CC32" s="3180">
        <f t="shared" si="449"/>
        <v>2501.6433058954444</v>
      </c>
      <c r="CD32" s="3180">
        <f t="shared" si="450"/>
        <v>1.5016941045555059</v>
      </c>
      <c r="CE32" s="3180">
        <f t="shared" si="451"/>
        <v>2555.2600000000002</v>
      </c>
      <c r="CF32" s="3180">
        <f t="shared" si="452"/>
        <v>2555.2600000000002</v>
      </c>
      <c r="CG32" s="3180">
        <f t="shared" si="453"/>
        <v>0</v>
      </c>
      <c r="CH32" s="3198">
        <f t="shared" si="454"/>
        <v>2401.6400000000003</v>
      </c>
      <c r="CI32" s="3198">
        <f t="shared" si="455"/>
        <v>2400.4278010115104</v>
      </c>
      <c r="CJ32" s="3198">
        <f t="shared" si="456"/>
        <v>1.2121989884897149</v>
      </c>
      <c r="CK32" s="3143">
        <f t="shared" si="457"/>
        <v>52.115000000000236</v>
      </c>
      <c r="CL32" s="3143">
        <f t="shared" si="458"/>
        <v>53.616694104555791</v>
      </c>
      <c r="CM32" s="3143">
        <f t="shared" si="459"/>
        <v>-1.5016941045555059</v>
      </c>
      <c r="CN32" s="3136">
        <f t="shared" ref="CN32:CN37" si="534">SUM(CO32:CP32)</f>
        <v>417.19083333333333</v>
      </c>
      <c r="CO32" s="3136">
        <f>SUM('ПОЛНАЯ СЕБЕСТОИМОСТЬ СТОКИ 2019'!AP148/3)</f>
        <v>416.94055098257405</v>
      </c>
      <c r="CP32" s="3136">
        <f>SUM('ПОЛНАЯ СЕБЕСТОИМОСТЬ СТОКИ 2019'!AQ148/3)</f>
        <v>0.25028235075925098</v>
      </c>
      <c r="CQ32" s="3136">
        <f t="shared" ref="CQ32:CQ37" si="535">SUM(CR32:CS32)</f>
        <v>428.19000000000005</v>
      </c>
      <c r="CR32" s="3136">
        <f>SUM('ПОЛНАЯ СЕБЕСТОИМОСТЬ СТОКИ 2019'!AS148)</f>
        <v>428.19000000000005</v>
      </c>
      <c r="CS32" s="3136">
        <f>SUM('ПОЛНАЯ СЕБЕСТОИМОСТЬ СТОКИ 2019'!AT148)</f>
        <v>0</v>
      </c>
      <c r="CT32" s="3137">
        <v>398.25</v>
      </c>
      <c r="CU32" s="3137">
        <f t="shared" ref="CU32:CU37" si="536">SUM(CT32-CV32)</f>
        <v>398.19729985162121</v>
      </c>
      <c r="CV32" s="3137">
        <f>SUM(CT32/CT9*CV9)*0.09416398138</f>
        <v>5.2700148378767055E-2</v>
      </c>
      <c r="CW32" s="3136">
        <f t="shared" ref="CW32:CW37" si="537">SUM(CX32:CY32)</f>
        <v>417.19083333333333</v>
      </c>
      <c r="CX32" s="3136">
        <f t="shared" ref="CX32:CX37" si="538">SUM(CO32)</f>
        <v>416.94055098257405</v>
      </c>
      <c r="CY32" s="3136">
        <f t="shared" ref="CY32:CY37" si="539">SUM(CP32)</f>
        <v>0.25028235075925098</v>
      </c>
      <c r="CZ32" s="3136">
        <f t="shared" ref="CZ32:CZ37" si="540">SUM(DA32:DB32)</f>
        <v>424.87</v>
      </c>
      <c r="DA32" s="3136">
        <f>SUM('ПОЛНАЯ СЕБЕСТОИМОСТЬ СТОКИ 2019'!AV148)</f>
        <v>424.87</v>
      </c>
      <c r="DB32" s="3136">
        <f>SUM('ПОЛНАЯ СЕБЕСТОИМОСТЬ СТОКИ 2019'!AW148)</f>
        <v>0</v>
      </c>
      <c r="DC32" s="3137">
        <v>403.59</v>
      </c>
      <c r="DD32" s="3137">
        <f t="shared" ref="DD32:DD37" si="541">SUM(DC32-DE32)</f>
        <v>403.51355758375564</v>
      </c>
      <c r="DE32" s="3137">
        <f>SUM(DC32/DC9*DE9)*0.09416398138</f>
        <v>7.6442416244314498E-2</v>
      </c>
      <c r="DF32" s="3136">
        <f t="shared" ref="DF32:DF37" si="542">SUM(DG32:DH32)</f>
        <v>417.19083333333333</v>
      </c>
      <c r="DG32" s="3136">
        <f t="shared" ref="DG32:DG37" si="543">SUM(CX32)</f>
        <v>416.94055098257405</v>
      </c>
      <c r="DH32" s="3136">
        <f t="shared" ref="DH32:DH37" si="544">SUM(CY32)</f>
        <v>0.25028235075925098</v>
      </c>
      <c r="DI32" s="3136">
        <f t="shared" ref="DI32:DI37" si="545">SUM(DJ32:DK32)</f>
        <v>435.71000000000004</v>
      </c>
      <c r="DJ32" s="3136">
        <f>SUM('ПОЛНАЯ СЕБЕСТОИМОСТЬ СТОКИ 2019'!AY148)</f>
        <v>435.71000000000004</v>
      </c>
      <c r="DK32" s="3136">
        <f>SUM('ПОЛНАЯ СЕБЕСТОИМОСТЬ СТОКИ 2019'!AZ148)</f>
        <v>0</v>
      </c>
      <c r="DL32" s="3137">
        <v>404.67</v>
      </c>
      <c r="DM32" s="3137">
        <f t="shared" ref="DM32:DM37" si="546">SUM(DL32-DN32)</f>
        <v>404.12464300116767</v>
      </c>
      <c r="DN32" s="3137">
        <f>SUM(DL32/DL9*DN9)*0.09416398138</f>
        <v>0.54535699883235766</v>
      </c>
      <c r="DO32" s="3180">
        <f t="shared" si="460"/>
        <v>1251.5725</v>
      </c>
      <c r="DP32" s="3180">
        <f t="shared" si="461"/>
        <v>1250.8216529477222</v>
      </c>
      <c r="DQ32" s="3180">
        <f t="shared" si="462"/>
        <v>0.75084705227775295</v>
      </c>
      <c r="DR32" s="3180">
        <f t="shared" si="463"/>
        <v>1288.77</v>
      </c>
      <c r="DS32" s="3180">
        <f t="shared" si="464"/>
        <v>1288.77</v>
      </c>
      <c r="DT32" s="3180">
        <f t="shared" si="465"/>
        <v>0</v>
      </c>
      <c r="DU32" s="3180">
        <f t="shared" si="466"/>
        <v>1206.51</v>
      </c>
      <c r="DV32" s="3180">
        <f t="shared" si="467"/>
        <v>1205.8355004365444</v>
      </c>
      <c r="DW32" s="3180">
        <f t="shared" si="468"/>
        <v>0.67449956345543916</v>
      </c>
      <c r="DX32" s="3143">
        <f t="shared" si="469"/>
        <v>37.197499999999991</v>
      </c>
      <c r="DY32" s="3143">
        <f t="shared" si="470"/>
        <v>37.948347052277768</v>
      </c>
      <c r="DZ32" s="3143">
        <f t="shared" si="471"/>
        <v>-0.75084705227775295</v>
      </c>
      <c r="EA32" s="3180">
        <f t="shared" si="472"/>
        <v>3754.7174999999997</v>
      </c>
      <c r="EB32" s="3180">
        <f t="shared" si="473"/>
        <v>3752.4649588431666</v>
      </c>
      <c r="EC32" s="3180">
        <f t="shared" si="474"/>
        <v>2.2525411568332587</v>
      </c>
      <c r="ED32" s="3180">
        <f t="shared" si="475"/>
        <v>3844.03</v>
      </c>
      <c r="EE32" s="3180">
        <f t="shared" si="476"/>
        <v>3844.03</v>
      </c>
      <c r="EF32" s="3180">
        <f t="shared" si="477"/>
        <v>0</v>
      </c>
      <c r="EG32" s="3180">
        <f t="shared" si="478"/>
        <v>3608.1500000000005</v>
      </c>
      <c r="EH32" s="3180">
        <f t="shared" si="479"/>
        <v>3606.2633014480548</v>
      </c>
      <c r="EI32" s="3180">
        <f t="shared" si="480"/>
        <v>1.886698551945154</v>
      </c>
      <c r="EJ32" s="3143">
        <f t="shared" si="481"/>
        <v>89.312500000000455</v>
      </c>
      <c r="EK32" s="3143">
        <f t="shared" si="482"/>
        <v>91.565041156833558</v>
      </c>
      <c r="EL32" s="3143">
        <f t="shared" si="483"/>
        <v>-2.2525411568332587</v>
      </c>
      <c r="EM32" s="3136">
        <f t="shared" ref="EM32:EM37" si="547">SUM(EN32:EO32)</f>
        <v>417.19083333333333</v>
      </c>
      <c r="EN32" s="3136">
        <f>SUM('ПОЛНАЯ СЕБЕСТОИМОСТЬ СТОКИ 2019'!BN148/3)</f>
        <v>416.94055098257405</v>
      </c>
      <c r="EO32" s="3136">
        <f>SUM('ПОЛНАЯ СЕБЕСТОИМОСТЬ СТОКИ 2019'!BO148/3)</f>
        <v>0.25028235075925098</v>
      </c>
      <c r="EP32" s="3136">
        <f t="shared" ref="EP32:EP37" si="548">SUM(EQ32:ER32)</f>
        <v>0</v>
      </c>
      <c r="EQ32" s="3136">
        <f>SUM('ПОЛНАЯ СЕБЕСТОИМОСТЬ СТОКИ 2019'!BQ148)</f>
        <v>0</v>
      </c>
      <c r="ER32" s="3136">
        <f>SUM('ПОЛНАЯ СЕБЕСТОИМОСТЬ СТОКИ 2019'!BR148)</f>
        <v>0</v>
      </c>
      <c r="ES32" s="3137">
        <v>402.86</v>
      </c>
      <c r="ET32" s="3137">
        <f t="shared" ref="ET32:ET37" si="549">SUM(ES32-EU32)</f>
        <v>402.78144778422075</v>
      </c>
      <c r="EU32" s="3137">
        <f>SUM(ES32/ES9*EU9)*0.09416398138</f>
        <v>7.8552215779290113E-2</v>
      </c>
      <c r="EV32" s="3136">
        <f t="shared" ref="EV32:EV37" si="550">SUM(EW32:EX32)</f>
        <v>417.19083333333333</v>
      </c>
      <c r="EW32" s="3136">
        <f t="shared" ref="EW32:EW37" si="551">SUM(EN32)</f>
        <v>416.94055098257405</v>
      </c>
      <c r="EX32" s="3136">
        <f t="shared" ref="EX32:EX37" si="552">SUM(EO32)</f>
        <v>0.25028235075925098</v>
      </c>
      <c r="EY32" s="3136">
        <f t="shared" ref="EY32:EY37" si="553">SUM(EZ32:FA32)</f>
        <v>0</v>
      </c>
      <c r="EZ32" s="3136">
        <f>SUM('ПОЛНАЯ СЕБЕСТОИМОСТЬ СТОКИ 2019'!BT148)</f>
        <v>0</v>
      </c>
      <c r="FA32" s="3136">
        <f>SUM('ПОЛНАЯ СЕБЕСТОИМОСТЬ СТОКИ 2019'!BU148)</f>
        <v>0</v>
      </c>
      <c r="FB32" s="3137">
        <v>408.98</v>
      </c>
      <c r="FC32" s="3137">
        <f t="shared" ref="FC32:FC37" si="554">SUM(FB32-FD32)</f>
        <v>408.8974307452097</v>
      </c>
      <c r="FD32" s="3137">
        <f>SUM(FB32/FB9*FD9)*0.09416398138</f>
        <v>8.2569254790320248E-2</v>
      </c>
      <c r="FE32" s="3136">
        <f t="shared" ref="FE32:FE37" si="555">SUM(FF32:FG32)</f>
        <v>417.19083333333333</v>
      </c>
      <c r="FF32" s="3136">
        <f t="shared" ref="FF32:FF37" si="556">SUM(EW32)</f>
        <v>416.94055098257405</v>
      </c>
      <c r="FG32" s="3136">
        <f t="shared" ref="FG32:FG37" si="557">SUM(EX32)</f>
        <v>0.25028235075925098</v>
      </c>
      <c r="FH32" s="3136">
        <f t="shared" ref="FH32:FH37" si="558">SUM(FI32:FJ32)</f>
        <v>0</v>
      </c>
      <c r="FI32" s="3136">
        <f>SUM('ПОЛНАЯ СЕБЕСТОИМОСТЬ СТОКИ 2019'!BW148)</f>
        <v>0</v>
      </c>
      <c r="FJ32" s="3136">
        <f>SUM('ПОЛНАЯ СЕБЕСТОИМОСТЬ СТОКИ 2019'!BX148)</f>
        <v>0</v>
      </c>
      <c r="FK32" s="3137">
        <v>407.93</v>
      </c>
      <c r="FL32" s="3137">
        <f t="shared" ref="FL32:FL37" si="559">SUM(FK32-FM32)</f>
        <v>407.3476558973569</v>
      </c>
      <c r="FM32" s="3137">
        <f>SUM(FK32/FK9*FM9)*0.09416398138</f>
        <v>0.58234410264310688</v>
      </c>
      <c r="FN32" s="3180">
        <f t="shared" si="484"/>
        <v>1251.5725</v>
      </c>
      <c r="FO32" s="3180">
        <f t="shared" si="485"/>
        <v>1250.8216529477222</v>
      </c>
      <c r="FP32" s="3180">
        <f t="shared" si="486"/>
        <v>0.75084705227775295</v>
      </c>
      <c r="FQ32" s="3180">
        <f t="shared" si="487"/>
        <v>0</v>
      </c>
      <c r="FR32" s="3180">
        <f t="shared" si="488"/>
        <v>0</v>
      </c>
      <c r="FS32" s="3180">
        <f t="shared" si="489"/>
        <v>0</v>
      </c>
      <c r="FT32" s="3180">
        <f t="shared" si="490"/>
        <v>1219.77</v>
      </c>
      <c r="FU32" s="3180">
        <f t="shared" si="491"/>
        <v>1219.0265344267873</v>
      </c>
      <c r="FV32" s="3180">
        <f t="shared" si="492"/>
        <v>0.74346557321271722</v>
      </c>
      <c r="FW32" s="3143">
        <f t="shared" si="493"/>
        <v>-1251.5725</v>
      </c>
      <c r="FX32" s="3143">
        <f t="shared" si="494"/>
        <v>-1250.8216529477222</v>
      </c>
      <c r="FY32" s="3143">
        <f t="shared" si="495"/>
        <v>-0.75084705227775295</v>
      </c>
      <c r="FZ32" s="3242">
        <f t="shared" si="496"/>
        <v>5006.29</v>
      </c>
      <c r="GA32" s="3242">
        <f t="shared" si="497"/>
        <v>5003.2866117908889</v>
      </c>
      <c r="GB32" s="3242">
        <f t="shared" si="498"/>
        <v>3.0033882091110118</v>
      </c>
      <c r="GC32" s="3242">
        <f t="shared" si="499"/>
        <v>3844.03</v>
      </c>
      <c r="GD32" s="3242">
        <f t="shared" si="500"/>
        <v>3844.03</v>
      </c>
      <c r="GE32" s="3242">
        <f t="shared" si="501"/>
        <v>0</v>
      </c>
      <c r="GF32" s="3242">
        <f t="shared" si="502"/>
        <v>4827.92</v>
      </c>
      <c r="GG32" s="3242">
        <f t="shared" si="503"/>
        <v>4825.2898358748425</v>
      </c>
      <c r="GH32" s="3242">
        <f t="shared" si="504"/>
        <v>2.6301641251578713</v>
      </c>
      <c r="GI32" s="3243">
        <f t="shared" si="505"/>
        <v>-1162.2599999999998</v>
      </c>
      <c r="GJ32" s="3243">
        <f t="shared" si="506"/>
        <v>-1159.2566117908887</v>
      </c>
      <c r="GK32" s="3243">
        <f t="shared" si="507"/>
        <v>-3.0033882091110118</v>
      </c>
    </row>
    <row r="33" spans="1:193" ht="18.75" customHeight="1" x14ac:dyDescent="0.3">
      <c r="A33" s="3072" t="s">
        <v>3589</v>
      </c>
      <c r="B33" s="3136">
        <f t="shared" si="508"/>
        <v>0</v>
      </c>
      <c r="C33" s="3136">
        <f>SUM('ПОЛНАЯ СЕБЕСТОИМОСТЬ СТОКИ 2019'!C149/3)</f>
        <v>0</v>
      </c>
      <c r="D33" s="3136">
        <f>SUM('ПОЛНАЯ СЕБЕСТОИМОСТЬ СТОКИ 2019'!D149/3)</f>
        <v>0</v>
      </c>
      <c r="E33" s="3136">
        <f t="shared" si="509"/>
        <v>0</v>
      </c>
      <c r="F33" s="3136">
        <f>SUM('ПОЛНАЯ СЕБЕСТОИМОСТЬ СТОКИ 2019'!F149)</f>
        <v>0</v>
      </c>
      <c r="G33" s="3136">
        <f>SUM('ПОЛНАЯ СЕБЕСТОИМОСТЬ СТОКИ 2019'!G149)</f>
        <v>0</v>
      </c>
      <c r="H33" s="3137">
        <v>0</v>
      </c>
      <c r="I33" s="3137">
        <f t="shared" si="510"/>
        <v>0</v>
      </c>
      <c r="J33" s="3137">
        <f>SUM(H33/H9*J9)</f>
        <v>0</v>
      </c>
      <c r="K33" s="3136">
        <f t="shared" si="511"/>
        <v>0</v>
      </c>
      <c r="L33" s="3136">
        <f t="shared" si="512"/>
        <v>0</v>
      </c>
      <c r="M33" s="3136">
        <f t="shared" si="513"/>
        <v>0</v>
      </c>
      <c r="N33" s="3136">
        <f t="shared" si="514"/>
        <v>0</v>
      </c>
      <c r="O33" s="3136">
        <f>SUM('ПОЛНАЯ СЕБЕСТОИМОСТЬ СТОКИ 2019'!I149)</f>
        <v>0</v>
      </c>
      <c r="P33" s="3136">
        <f>SUM('ПОЛНАЯ СЕБЕСТОИМОСТЬ СТОКИ 2019'!J149)</f>
        <v>0</v>
      </c>
      <c r="Q33" s="3137">
        <v>0</v>
      </c>
      <c r="R33" s="3137">
        <f t="shared" si="515"/>
        <v>0</v>
      </c>
      <c r="S33" s="3137">
        <f>SUM(Q33/Q9*S9)</f>
        <v>0</v>
      </c>
      <c r="T33" s="3136">
        <f t="shared" si="516"/>
        <v>0</v>
      </c>
      <c r="U33" s="3136">
        <f t="shared" si="517"/>
        <v>0</v>
      </c>
      <c r="V33" s="3136">
        <f t="shared" si="518"/>
        <v>0</v>
      </c>
      <c r="W33" s="3136">
        <f t="shared" si="519"/>
        <v>0</v>
      </c>
      <c r="X33" s="3136">
        <f>SUM('ПОЛНАЯ СЕБЕСТОИМОСТЬ СТОКИ 2019'!L149)</f>
        <v>0</v>
      </c>
      <c r="Y33" s="3136">
        <f>SUM('ПОЛНАЯ СЕБЕСТОИМОСТЬ СТОКИ 2019'!M149)</f>
        <v>0</v>
      </c>
      <c r="Z33" s="3137">
        <v>0</v>
      </c>
      <c r="AA33" s="3137">
        <f t="shared" si="520"/>
        <v>0</v>
      </c>
      <c r="AB33" s="3137">
        <f>SUM(Z33/Z9*AB9)</f>
        <v>0</v>
      </c>
      <c r="AC33" s="3180">
        <f t="shared" si="424"/>
        <v>0</v>
      </c>
      <c r="AD33" s="3180">
        <f t="shared" si="425"/>
        <v>0</v>
      </c>
      <c r="AE33" s="3180">
        <f t="shared" si="426"/>
        <v>0</v>
      </c>
      <c r="AF33" s="3180">
        <f t="shared" si="427"/>
        <v>0</v>
      </c>
      <c r="AG33" s="3180">
        <f t="shared" si="428"/>
        <v>0</v>
      </c>
      <c r="AH33" s="3180">
        <f t="shared" si="429"/>
        <v>0</v>
      </c>
      <c r="AI33" s="3180">
        <f t="shared" si="430"/>
        <v>0</v>
      </c>
      <c r="AJ33" s="3180">
        <f t="shared" si="431"/>
        <v>0</v>
      </c>
      <c r="AK33" s="3180">
        <f t="shared" si="432"/>
        <v>0</v>
      </c>
      <c r="AL33" s="3143">
        <f t="shared" si="433"/>
        <v>0</v>
      </c>
      <c r="AM33" s="3143">
        <f t="shared" si="434"/>
        <v>0</v>
      </c>
      <c r="AN33" s="3143">
        <f t="shared" si="435"/>
        <v>0</v>
      </c>
      <c r="AO33" s="3136">
        <f t="shared" si="521"/>
        <v>0</v>
      </c>
      <c r="AP33" s="3136">
        <f>SUM('ПОЛНАЯ СЕБЕСТОИМОСТЬ СТОКИ 2019'!R149/3)</f>
        <v>0</v>
      </c>
      <c r="AQ33" s="3136">
        <f>SUM('ПОЛНАЯ СЕБЕСТОИМОСТЬ СТОКИ 2019'!S149/3)</f>
        <v>0</v>
      </c>
      <c r="AR33" s="3136">
        <f t="shared" si="522"/>
        <v>0</v>
      </c>
      <c r="AS33" s="3136">
        <f>SUM('ПОЛНАЯ СЕБЕСТОИМОСТЬ СТОКИ 2019'!U149)</f>
        <v>0</v>
      </c>
      <c r="AT33" s="3136">
        <f>SUM('ПОЛНАЯ СЕБЕСТОИМОСТЬ СТОКИ 2019'!V149)</f>
        <v>0</v>
      </c>
      <c r="AU33" s="3137">
        <v>0</v>
      </c>
      <c r="AV33" s="3137">
        <f t="shared" si="523"/>
        <v>0</v>
      </c>
      <c r="AW33" s="3137">
        <f>SUM(AU33/AU9*AW9)</f>
        <v>0</v>
      </c>
      <c r="AX33" s="3136">
        <f t="shared" si="524"/>
        <v>0</v>
      </c>
      <c r="AY33" s="3136">
        <f t="shared" si="525"/>
        <v>0</v>
      </c>
      <c r="AZ33" s="3136">
        <f t="shared" si="526"/>
        <v>0</v>
      </c>
      <c r="BA33" s="3277">
        <f t="shared" si="527"/>
        <v>0</v>
      </c>
      <c r="BB33" s="3277">
        <f>SUM('ПОЛНАЯ СЕБЕСТОИМОСТЬ СТОКИ 2019'!X149)</f>
        <v>0</v>
      </c>
      <c r="BC33" s="3277">
        <f>SUM('ПОЛНАЯ СЕБЕСТОИМОСТЬ СТОКИ 2019'!Y149)</f>
        <v>0</v>
      </c>
      <c r="BD33" s="3137">
        <v>0</v>
      </c>
      <c r="BE33" s="3137">
        <f t="shared" si="528"/>
        <v>0</v>
      </c>
      <c r="BF33" s="3137">
        <f>SUM(BD33/BD9*BF9)</f>
        <v>0</v>
      </c>
      <c r="BG33" s="3136">
        <f t="shared" si="529"/>
        <v>0</v>
      </c>
      <c r="BH33" s="3136">
        <f t="shared" si="530"/>
        <v>0</v>
      </c>
      <c r="BI33" s="3136">
        <f t="shared" si="531"/>
        <v>0</v>
      </c>
      <c r="BJ33" s="3136">
        <f t="shared" si="532"/>
        <v>0</v>
      </c>
      <c r="BK33" s="3136">
        <f>SUM('ПОЛНАЯ СЕБЕСТОИМОСТЬ СТОКИ 2019'!AA149)</f>
        <v>0</v>
      </c>
      <c r="BL33" s="3136">
        <f>SUM('ПОЛНАЯ СЕБЕСТОИМОСТЬ СТОКИ 2019'!AB149)</f>
        <v>0</v>
      </c>
      <c r="BM33" s="3137">
        <v>0</v>
      </c>
      <c r="BN33" s="3137">
        <f t="shared" si="533"/>
        <v>0</v>
      </c>
      <c r="BO33" s="3137">
        <f>SUM(BM33/BM9*BO9)</f>
        <v>0</v>
      </c>
      <c r="BP33" s="3180">
        <f t="shared" si="436"/>
        <v>0</v>
      </c>
      <c r="BQ33" s="3180">
        <f t="shared" si="437"/>
        <v>0</v>
      </c>
      <c r="BR33" s="3180">
        <f t="shared" si="438"/>
        <v>0</v>
      </c>
      <c r="BS33" s="3180">
        <f t="shared" si="439"/>
        <v>0</v>
      </c>
      <c r="BT33" s="3180">
        <f t="shared" si="440"/>
        <v>0</v>
      </c>
      <c r="BU33" s="3180">
        <f t="shared" si="441"/>
        <v>0</v>
      </c>
      <c r="BV33" s="3180">
        <f t="shared" si="442"/>
        <v>0</v>
      </c>
      <c r="BW33" s="3180">
        <f t="shared" si="443"/>
        <v>0</v>
      </c>
      <c r="BX33" s="3180">
        <f t="shared" si="444"/>
        <v>0</v>
      </c>
      <c r="BY33" s="3143">
        <f t="shared" si="445"/>
        <v>0</v>
      </c>
      <c r="BZ33" s="3143">
        <f t="shared" si="446"/>
        <v>0</v>
      </c>
      <c r="CA33" s="3143">
        <f t="shared" si="447"/>
        <v>0</v>
      </c>
      <c r="CB33" s="3180">
        <f t="shared" si="448"/>
        <v>0</v>
      </c>
      <c r="CC33" s="3180">
        <f t="shared" si="449"/>
        <v>0</v>
      </c>
      <c r="CD33" s="3180">
        <f t="shared" si="450"/>
        <v>0</v>
      </c>
      <c r="CE33" s="3180">
        <f t="shared" si="451"/>
        <v>0</v>
      </c>
      <c r="CF33" s="3180">
        <f t="shared" si="452"/>
        <v>0</v>
      </c>
      <c r="CG33" s="3180">
        <f t="shared" si="453"/>
        <v>0</v>
      </c>
      <c r="CH33" s="3198">
        <f t="shared" si="454"/>
        <v>0</v>
      </c>
      <c r="CI33" s="3198">
        <f t="shared" si="455"/>
        <v>0</v>
      </c>
      <c r="CJ33" s="3198">
        <f t="shared" si="456"/>
        <v>0</v>
      </c>
      <c r="CK33" s="3143">
        <f t="shared" si="457"/>
        <v>0</v>
      </c>
      <c r="CL33" s="3143">
        <f t="shared" si="458"/>
        <v>0</v>
      </c>
      <c r="CM33" s="3143">
        <f t="shared" si="459"/>
        <v>0</v>
      </c>
      <c r="CN33" s="3136">
        <f t="shared" si="534"/>
        <v>0</v>
      </c>
      <c r="CO33" s="3136">
        <f>SUM('ПОЛНАЯ СЕБЕСТОИМОСТЬ СТОКИ 2019'!AP149/3)</f>
        <v>0</v>
      </c>
      <c r="CP33" s="3136">
        <f>SUM('ПОЛНАЯ СЕБЕСТОИМОСТЬ СТОКИ 2019'!AQ149/3)</f>
        <v>0</v>
      </c>
      <c r="CQ33" s="3136">
        <f t="shared" si="535"/>
        <v>0</v>
      </c>
      <c r="CR33" s="3136">
        <f>SUM('ПОЛНАЯ СЕБЕСТОИМОСТЬ СТОКИ 2019'!AS149)</f>
        <v>0</v>
      </c>
      <c r="CS33" s="3136">
        <f>SUM('ПОЛНАЯ СЕБЕСТОИМОСТЬ СТОКИ 2019'!AT149)</f>
        <v>0</v>
      </c>
      <c r="CT33" s="3137">
        <v>0</v>
      </c>
      <c r="CU33" s="3137">
        <f t="shared" si="536"/>
        <v>0</v>
      </c>
      <c r="CV33" s="3137">
        <f>SUM(CT33/CT9*CV9)</f>
        <v>0</v>
      </c>
      <c r="CW33" s="3136">
        <f t="shared" si="537"/>
        <v>0</v>
      </c>
      <c r="CX33" s="3136">
        <f t="shared" si="538"/>
        <v>0</v>
      </c>
      <c r="CY33" s="3136">
        <f t="shared" si="539"/>
        <v>0</v>
      </c>
      <c r="CZ33" s="3136">
        <f t="shared" si="540"/>
        <v>0</v>
      </c>
      <c r="DA33" s="3136">
        <f>SUM('ПОЛНАЯ СЕБЕСТОИМОСТЬ СТОКИ 2019'!AV149)</f>
        <v>0</v>
      </c>
      <c r="DB33" s="3136">
        <f>SUM('ПОЛНАЯ СЕБЕСТОИМОСТЬ СТОКИ 2019'!AW149)</f>
        <v>0</v>
      </c>
      <c r="DC33" s="3137">
        <v>0</v>
      </c>
      <c r="DD33" s="3137">
        <f t="shared" si="541"/>
        <v>0</v>
      </c>
      <c r="DE33" s="3137">
        <f>SUM(DC33/DC9*DE9)</f>
        <v>0</v>
      </c>
      <c r="DF33" s="3136">
        <f t="shared" si="542"/>
        <v>0</v>
      </c>
      <c r="DG33" s="3136">
        <f t="shared" si="543"/>
        <v>0</v>
      </c>
      <c r="DH33" s="3136">
        <f t="shared" si="544"/>
        <v>0</v>
      </c>
      <c r="DI33" s="3136">
        <f t="shared" si="545"/>
        <v>0</v>
      </c>
      <c r="DJ33" s="3136">
        <f>SUM('ПОЛНАЯ СЕБЕСТОИМОСТЬ СТОКИ 2019'!AY149)</f>
        <v>0</v>
      </c>
      <c r="DK33" s="3136">
        <f>SUM('ПОЛНАЯ СЕБЕСТОИМОСТЬ СТОКИ 2019'!AZ149)</f>
        <v>0</v>
      </c>
      <c r="DL33" s="3137">
        <v>0</v>
      </c>
      <c r="DM33" s="3137">
        <f t="shared" si="546"/>
        <v>0</v>
      </c>
      <c r="DN33" s="3137">
        <f>SUM(DL33/DL9*DN9)</f>
        <v>0</v>
      </c>
      <c r="DO33" s="3180">
        <f t="shared" si="460"/>
        <v>0</v>
      </c>
      <c r="DP33" s="3180">
        <f t="shared" si="461"/>
        <v>0</v>
      </c>
      <c r="DQ33" s="3180">
        <f t="shared" si="462"/>
        <v>0</v>
      </c>
      <c r="DR33" s="3180">
        <f t="shared" si="463"/>
        <v>0</v>
      </c>
      <c r="DS33" s="3180">
        <f t="shared" si="464"/>
        <v>0</v>
      </c>
      <c r="DT33" s="3180">
        <f t="shared" si="465"/>
        <v>0</v>
      </c>
      <c r="DU33" s="3180">
        <f t="shared" si="466"/>
        <v>0</v>
      </c>
      <c r="DV33" s="3180">
        <f t="shared" si="467"/>
        <v>0</v>
      </c>
      <c r="DW33" s="3180">
        <f t="shared" si="468"/>
        <v>0</v>
      </c>
      <c r="DX33" s="3143">
        <f t="shared" si="469"/>
        <v>0</v>
      </c>
      <c r="DY33" s="3143">
        <f t="shared" si="470"/>
        <v>0</v>
      </c>
      <c r="DZ33" s="3143">
        <f t="shared" si="471"/>
        <v>0</v>
      </c>
      <c r="EA33" s="3180">
        <f t="shared" si="472"/>
        <v>0</v>
      </c>
      <c r="EB33" s="3180">
        <f t="shared" si="473"/>
        <v>0</v>
      </c>
      <c r="EC33" s="3180">
        <f t="shared" si="474"/>
        <v>0</v>
      </c>
      <c r="ED33" s="3180">
        <f t="shared" si="475"/>
        <v>0</v>
      </c>
      <c r="EE33" s="3180">
        <f t="shared" si="476"/>
        <v>0</v>
      </c>
      <c r="EF33" s="3180">
        <f t="shared" si="477"/>
        <v>0</v>
      </c>
      <c r="EG33" s="3180">
        <f t="shared" si="478"/>
        <v>0</v>
      </c>
      <c r="EH33" s="3180">
        <f t="shared" si="479"/>
        <v>0</v>
      </c>
      <c r="EI33" s="3180">
        <f t="shared" si="480"/>
        <v>0</v>
      </c>
      <c r="EJ33" s="3143">
        <f t="shared" si="481"/>
        <v>0</v>
      </c>
      <c r="EK33" s="3143">
        <f t="shared" si="482"/>
        <v>0</v>
      </c>
      <c r="EL33" s="3143">
        <f t="shared" si="483"/>
        <v>0</v>
      </c>
      <c r="EM33" s="3136">
        <f t="shared" si="547"/>
        <v>0</v>
      </c>
      <c r="EN33" s="3136">
        <f>SUM('ПОЛНАЯ СЕБЕСТОИМОСТЬ СТОКИ 2019'!BN149/3)</f>
        <v>0</v>
      </c>
      <c r="EO33" s="3136">
        <f>SUM('ПОЛНАЯ СЕБЕСТОИМОСТЬ СТОКИ 2019'!BO149/3)</f>
        <v>0</v>
      </c>
      <c r="EP33" s="3136">
        <f t="shared" si="548"/>
        <v>0</v>
      </c>
      <c r="EQ33" s="3136">
        <f>SUM('ПОЛНАЯ СЕБЕСТОИМОСТЬ СТОКИ 2019'!BQ149)</f>
        <v>0</v>
      </c>
      <c r="ER33" s="3136">
        <f>SUM('ПОЛНАЯ СЕБЕСТОИМОСТЬ СТОКИ 2019'!BR149)</f>
        <v>0</v>
      </c>
      <c r="ES33" s="3137">
        <v>0</v>
      </c>
      <c r="ET33" s="3137">
        <f t="shared" si="549"/>
        <v>0</v>
      </c>
      <c r="EU33" s="3137">
        <f>SUM(ES33/ES9*EU9)</f>
        <v>0</v>
      </c>
      <c r="EV33" s="3136">
        <f t="shared" si="550"/>
        <v>0</v>
      </c>
      <c r="EW33" s="3136">
        <f t="shared" si="551"/>
        <v>0</v>
      </c>
      <c r="EX33" s="3136">
        <f t="shared" si="552"/>
        <v>0</v>
      </c>
      <c r="EY33" s="3136">
        <f t="shared" si="553"/>
        <v>0</v>
      </c>
      <c r="EZ33" s="3136">
        <f>SUM('ПОЛНАЯ СЕБЕСТОИМОСТЬ СТОКИ 2019'!BT149)</f>
        <v>0</v>
      </c>
      <c r="FA33" s="3136">
        <f>SUM('ПОЛНАЯ СЕБЕСТОИМОСТЬ СТОКИ 2019'!BU149)</f>
        <v>0</v>
      </c>
      <c r="FB33" s="3137">
        <v>0</v>
      </c>
      <c r="FC33" s="3137">
        <f t="shared" si="554"/>
        <v>0</v>
      </c>
      <c r="FD33" s="3137">
        <f>SUM(FB33/FB9*FD9)</f>
        <v>0</v>
      </c>
      <c r="FE33" s="3136">
        <f t="shared" si="555"/>
        <v>0</v>
      </c>
      <c r="FF33" s="3136">
        <f t="shared" si="556"/>
        <v>0</v>
      </c>
      <c r="FG33" s="3136">
        <f t="shared" si="557"/>
        <v>0</v>
      </c>
      <c r="FH33" s="3136">
        <f t="shared" si="558"/>
        <v>0</v>
      </c>
      <c r="FI33" s="3136">
        <f>SUM('ПОЛНАЯ СЕБЕСТОИМОСТЬ СТОКИ 2019'!BW149)</f>
        <v>0</v>
      </c>
      <c r="FJ33" s="3136">
        <f>SUM('ПОЛНАЯ СЕБЕСТОИМОСТЬ СТОКИ 2019'!BX149)</f>
        <v>0</v>
      </c>
      <c r="FK33" s="3137">
        <v>0</v>
      </c>
      <c r="FL33" s="3137">
        <f t="shared" si="559"/>
        <v>0</v>
      </c>
      <c r="FM33" s="3137">
        <f>SUM(FK33/FK9*FM9)</f>
        <v>0</v>
      </c>
      <c r="FN33" s="3180">
        <f t="shared" si="484"/>
        <v>0</v>
      </c>
      <c r="FO33" s="3180">
        <f t="shared" si="485"/>
        <v>0</v>
      </c>
      <c r="FP33" s="3180">
        <f t="shared" si="486"/>
        <v>0</v>
      </c>
      <c r="FQ33" s="3180">
        <f t="shared" si="487"/>
        <v>0</v>
      </c>
      <c r="FR33" s="3180">
        <f t="shared" si="488"/>
        <v>0</v>
      </c>
      <c r="FS33" s="3180">
        <f t="shared" si="489"/>
        <v>0</v>
      </c>
      <c r="FT33" s="3180">
        <f t="shared" si="490"/>
        <v>0</v>
      </c>
      <c r="FU33" s="3180">
        <f t="shared" si="491"/>
        <v>0</v>
      </c>
      <c r="FV33" s="3180">
        <f t="shared" si="492"/>
        <v>0</v>
      </c>
      <c r="FW33" s="3143">
        <f t="shared" si="493"/>
        <v>0</v>
      </c>
      <c r="FX33" s="3143">
        <f t="shared" si="494"/>
        <v>0</v>
      </c>
      <c r="FY33" s="3143">
        <f t="shared" si="495"/>
        <v>0</v>
      </c>
      <c r="FZ33" s="3242">
        <f t="shared" si="496"/>
        <v>0</v>
      </c>
      <c r="GA33" s="3242">
        <f t="shared" si="497"/>
        <v>0</v>
      </c>
      <c r="GB33" s="3242">
        <f t="shared" si="498"/>
        <v>0</v>
      </c>
      <c r="GC33" s="3242">
        <f t="shared" si="499"/>
        <v>0</v>
      </c>
      <c r="GD33" s="3242">
        <f t="shared" si="500"/>
        <v>0</v>
      </c>
      <c r="GE33" s="3242">
        <f t="shared" si="501"/>
        <v>0</v>
      </c>
      <c r="GF33" s="3242">
        <f t="shared" si="502"/>
        <v>0</v>
      </c>
      <c r="GG33" s="3242">
        <f t="shared" si="503"/>
        <v>0</v>
      </c>
      <c r="GH33" s="3242">
        <f t="shared" si="504"/>
        <v>0</v>
      </c>
      <c r="GI33" s="3243">
        <f t="shared" si="505"/>
        <v>0</v>
      </c>
      <c r="GJ33" s="3243">
        <f t="shared" si="506"/>
        <v>0</v>
      </c>
      <c r="GK33" s="3243">
        <f t="shared" si="507"/>
        <v>0</v>
      </c>
    </row>
    <row r="34" spans="1:193" ht="18.75" customHeight="1" x14ac:dyDescent="0.3">
      <c r="A34" s="3111" t="s">
        <v>8</v>
      </c>
      <c r="B34" s="3136">
        <f t="shared" si="508"/>
        <v>92.546522611715446</v>
      </c>
      <c r="C34" s="3136">
        <f>SUM('ПОЛНАЯ СЕБЕСТОИМОСТЬ СТОКИ 2019'!C150/3)</f>
        <v>92.546522611715446</v>
      </c>
      <c r="D34" s="3136">
        <f>SUM('ПОЛНАЯ СЕБЕСТОИМОСТЬ СТОКИ 2019'!D150/3)</f>
        <v>0</v>
      </c>
      <c r="E34" s="3136">
        <f t="shared" si="509"/>
        <v>27.07</v>
      </c>
      <c r="F34" s="3136">
        <f>SUM('ПОЛНАЯ СЕБЕСТОИМОСТЬ СТОКИ 2019'!F150)</f>
        <v>27.07</v>
      </c>
      <c r="G34" s="3136">
        <f>SUM('ПОЛНАЯ СЕБЕСТОИМОСТЬ СТОКИ 2019'!G150)</f>
        <v>0</v>
      </c>
      <c r="H34" s="3137">
        <v>0</v>
      </c>
      <c r="I34" s="3137">
        <f t="shared" si="510"/>
        <v>0</v>
      </c>
      <c r="J34" s="3137">
        <f>SUM(H34/H9*J9)*0.9027237354</f>
        <v>0</v>
      </c>
      <c r="K34" s="3136">
        <f t="shared" si="511"/>
        <v>92.546522611715446</v>
      </c>
      <c r="L34" s="3136">
        <f t="shared" si="512"/>
        <v>92.546522611715446</v>
      </c>
      <c r="M34" s="3136">
        <f t="shared" si="513"/>
        <v>0</v>
      </c>
      <c r="N34" s="3136">
        <f t="shared" si="514"/>
        <v>9.61</v>
      </c>
      <c r="O34" s="3136">
        <f>SUM('ПОЛНАЯ СЕБЕСТОИМОСТЬ СТОКИ 2019'!I150)</f>
        <v>9.61</v>
      </c>
      <c r="P34" s="3136">
        <f>SUM('ПОЛНАЯ СЕБЕСТОИМОСТЬ СТОКИ 2019'!J150)</f>
        <v>0</v>
      </c>
      <c r="Q34" s="3137">
        <v>0</v>
      </c>
      <c r="R34" s="3137">
        <f t="shared" si="515"/>
        <v>0</v>
      </c>
      <c r="S34" s="3137">
        <f>SUM(Q34/Q9*S9)*0.9027237354</f>
        <v>0</v>
      </c>
      <c r="T34" s="3136">
        <f t="shared" si="516"/>
        <v>92.546522611715446</v>
      </c>
      <c r="U34" s="3136">
        <f t="shared" si="517"/>
        <v>92.546522611715446</v>
      </c>
      <c r="V34" s="3136">
        <f t="shared" si="518"/>
        <v>0</v>
      </c>
      <c r="W34" s="3136">
        <f t="shared" si="519"/>
        <v>72.930000000000007</v>
      </c>
      <c r="X34" s="3136">
        <f>SUM('ПОЛНАЯ СЕБЕСТОИМОСТЬ СТОКИ 2019'!L150)</f>
        <v>72.930000000000007</v>
      </c>
      <c r="Y34" s="3136">
        <f>SUM('ПОЛНАЯ СЕБЕСТОИМОСТЬ СТОКИ 2019'!M150)</f>
        <v>0</v>
      </c>
      <c r="Z34" s="3137">
        <v>0</v>
      </c>
      <c r="AA34" s="3137">
        <f t="shared" si="520"/>
        <v>0</v>
      </c>
      <c r="AB34" s="3137">
        <f>SUM(Z34/Z9*AB9)*0.9027237354</f>
        <v>0</v>
      </c>
      <c r="AC34" s="3180">
        <f t="shared" si="424"/>
        <v>277.63956783514635</v>
      </c>
      <c r="AD34" s="3180">
        <f t="shared" si="425"/>
        <v>277.63956783514635</v>
      </c>
      <c r="AE34" s="3180">
        <f t="shared" si="426"/>
        <v>0</v>
      </c>
      <c r="AF34" s="3180">
        <f t="shared" si="427"/>
        <v>109.61000000000001</v>
      </c>
      <c r="AG34" s="3180">
        <f t="shared" si="428"/>
        <v>109.61000000000001</v>
      </c>
      <c r="AH34" s="3180">
        <f t="shared" si="429"/>
        <v>0</v>
      </c>
      <c r="AI34" s="3180">
        <f t="shared" si="430"/>
        <v>0</v>
      </c>
      <c r="AJ34" s="3180">
        <f t="shared" si="431"/>
        <v>0</v>
      </c>
      <c r="AK34" s="3180">
        <f t="shared" si="432"/>
        <v>0</v>
      </c>
      <c r="AL34" s="3143">
        <f t="shared" si="433"/>
        <v>-168.02956783514634</v>
      </c>
      <c r="AM34" s="3143">
        <f t="shared" si="434"/>
        <v>-168.02956783514634</v>
      </c>
      <c r="AN34" s="3143">
        <f t="shared" si="435"/>
        <v>0</v>
      </c>
      <c r="AO34" s="3136">
        <f t="shared" si="521"/>
        <v>92.546522611715446</v>
      </c>
      <c r="AP34" s="3136">
        <f>SUM('ПОЛНАЯ СЕБЕСТОИМОСТЬ СТОКИ 2019'!R150/3)</f>
        <v>92.546522611715446</v>
      </c>
      <c r="AQ34" s="3136">
        <f>SUM('ПОЛНАЯ СЕБЕСТОИМОСТЬ СТОКИ 2019'!S150/3)</f>
        <v>0</v>
      </c>
      <c r="AR34" s="3136">
        <f t="shared" si="522"/>
        <v>48.34</v>
      </c>
      <c r="AS34" s="3136">
        <f>SUM('ПОЛНАЯ СЕБЕСТОИМОСТЬ СТОКИ 2019'!U150)</f>
        <v>48.34</v>
      </c>
      <c r="AT34" s="3136">
        <f>SUM('ПОЛНАЯ СЕБЕСТОИМОСТЬ СТОКИ 2019'!V150)</f>
        <v>0</v>
      </c>
      <c r="AU34" s="3137">
        <v>0</v>
      </c>
      <c r="AV34" s="3137">
        <f t="shared" si="523"/>
        <v>0</v>
      </c>
      <c r="AW34" s="3137">
        <f>SUM(AU34/AU9*AW9)*0.9027237354</f>
        <v>0</v>
      </c>
      <c r="AX34" s="3136">
        <f t="shared" si="524"/>
        <v>92.546522611715446</v>
      </c>
      <c r="AY34" s="3136">
        <f t="shared" si="525"/>
        <v>92.546522611715446</v>
      </c>
      <c r="AZ34" s="3136">
        <f t="shared" si="526"/>
        <v>0</v>
      </c>
      <c r="BA34" s="3277">
        <f t="shared" si="527"/>
        <v>67.680000000000007</v>
      </c>
      <c r="BB34" s="3277">
        <f>SUM('ПОЛНАЯ СЕБЕСТОИМОСТЬ СТОКИ 2019'!X150)</f>
        <v>67.680000000000007</v>
      </c>
      <c r="BC34" s="3277">
        <f>SUM('ПОЛНАЯ СЕБЕСТОИМОСТЬ СТОКИ 2019'!Y150)</f>
        <v>0</v>
      </c>
      <c r="BD34" s="3137">
        <v>9.92</v>
      </c>
      <c r="BE34" s="3137">
        <f t="shared" si="528"/>
        <v>9.8998179400338095</v>
      </c>
      <c r="BF34" s="3137">
        <f>SUM(BD34/BD9*BF9)*0.9027237354</f>
        <v>2.0182059966190918E-2</v>
      </c>
      <c r="BG34" s="3136">
        <f t="shared" si="529"/>
        <v>92.546522611715446</v>
      </c>
      <c r="BH34" s="3136">
        <f t="shared" si="530"/>
        <v>92.546522611715446</v>
      </c>
      <c r="BI34" s="3136">
        <f t="shared" si="531"/>
        <v>0</v>
      </c>
      <c r="BJ34" s="3136">
        <f t="shared" si="532"/>
        <v>67.989999999999995</v>
      </c>
      <c r="BK34" s="3136">
        <f>SUM('ПОЛНАЯ СЕБЕСТОИМОСТЬ СТОКИ 2019'!AA150)</f>
        <v>67.989999999999995</v>
      </c>
      <c r="BL34" s="3136">
        <f>SUM('ПОЛНАЯ СЕБЕСТОИМОСТЬ СТОКИ 2019'!AB150)</f>
        <v>0</v>
      </c>
      <c r="BM34" s="3137">
        <v>0</v>
      </c>
      <c r="BN34" s="3137">
        <f t="shared" si="533"/>
        <v>0</v>
      </c>
      <c r="BO34" s="3137">
        <f>SUM(BM34/BM9*BO9)*0.9027237354</f>
        <v>0</v>
      </c>
      <c r="BP34" s="3180">
        <f t="shared" si="436"/>
        <v>277.63956783514635</v>
      </c>
      <c r="BQ34" s="3180">
        <f t="shared" si="437"/>
        <v>277.63956783514635</v>
      </c>
      <c r="BR34" s="3180">
        <f t="shared" si="438"/>
        <v>0</v>
      </c>
      <c r="BS34" s="3180">
        <f t="shared" si="439"/>
        <v>184.01</v>
      </c>
      <c r="BT34" s="3180">
        <f t="shared" si="440"/>
        <v>184.01</v>
      </c>
      <c r="BU34" s="3180">
        <f t="shared" si="441"/>
        <v>0</v>
      </c>
      <c r="BV34" s="3180">
        <f t="shared" si="442"/>
        <v>9.92</v>
      </c>
      <c r="BW34" s="3180">
        <f t="shared" si="443"/>
        <v>9.8998179400338095</v>
      </c>
      <c r="BX34" s="3180">
        <f t="shared" si="444"/>
        <v>2.0182059966190918E-2</v>
      </c>
      <c r="BY34" s="3143">
        <f t="shared" si="445"/>
        <v>-93.629567835146361</v>
      </c>
      <c r="BZ34" s="3143">
        <f t="shared" si="446"/>
        <v>-93.629567835146361</v>
      </c>
      <c r="CA34" s="3143">
        <f t="shared" si="447"/>
        <v>0</v>
      </c>
      <c r="CB34" s="3180">
        <f t="shared" si="448"/>
        <v>555.2791356702927</v>
      </c>
      <c r="CC34" s="3180">
        <f t="shared" si="449"/>
        <v>555.2791356702927</v>
      </c>
      <c r="CD34" s="3180">
        <f t="shared" si="450"/>
        <v>0</v>
      </c>
      <c r="CE34" s="3180">
        <f t="shared" si="451"/>
        <v>293.62</v>
      </c>
      <c r="CF34" s="3180">
        <f t="shared" si="452"/>
        <v>293.62</v>
      </c>
      <c r="CG34" s="3180">
        <f t="shared" si="453"/>
        <v>0</v>
      </c>
      <c r="CH34" s="3198">
        <f t="shared" si="454"/>
        <v>9.92</v>
      </c>
      <c r="CI34" s="3198">
        <f t="shared" si="455"/>
        <v>9.8998179400338095</v>
      </c>
      <c r="CJ34" s="3198">
        <f t="shared" si="456"/>
        <v>2.0182059966190918E-2</v>
      </c>
      <c r="CK34" s="3143">
        <f t="shared" si="457"/>
        <v>-261.6591356702927</v>
      </c>
      <c r="CL34" s="3143">
        <f t="shared" si="458"/>
        <v>-261.6591356702927</v>
      </c>
      <c r="CM34" s="3143">
        <f t="shared" si="459"/>
        <v>0</v>
      </c>
      <c r="CN34" s="3136">
        <f t="shared" si="534"/>
        <v>92.546522611715446</v>
      </c>
      <c r="CO34" s="3136">
        <f>SUM('ПОЛНАЯ СЕБЕСТОИМОСТЬ СТОКИ 2019'!AP150/3)</f>
        <v>92.546522611715446</v>
      </c>
      <c r="CP34" s="3136">
        <f>SUM('ПОЛНАЯ СЕБЕСТОИМОСТЬ СТОКИ 2019'!AQ150/3)</f>
        <v>0</v>
      </c>
      <c r="CQ34" s="3136">
        <f t="shared" si="535"/>
        <v>27.85</v>
      </c>
      <c r="CR34" s="3136">
        <f>SUM('ПОЛНАЯ СЕБЕСТОИМОСТЬ СТОКИ 2019'!AS150)</f>
        <v>27.85</v>
      </c>
      <c r="CS34" s="3136">
        <f>SUM('ПОЛНАЯ СЕБЕСТОИМОСТЬ СТОКИ 2019'!AT150)</f>
        <v>0</v>
      </c>
      <c r="CT34" s="3137">
        <v>54.78</v>
      </c>
      <c r="CU34" s="3137">
        <f t="shared" si="536"/>
        <v>54.710505868741954</v>
      </c>
      <c r="CV34" s="3137">
        <f>SUM(CT34/CT9*CV9)*0.9027237354</f>
        <v>6.9494131258047778E-2</v>
      </c>
      <c r="CW34" s="3136">
        <f t="shared" si="537"/>
        <v>92.546522611715446</v>
      </c>
      <c r="CX34" s="3136">
        <f t="shared" si="538"/>
        <v>92.546522611715446</v>
      </c>
      <c r="CY34" s="3136">
        <f t="shared" si="539"/>
        <v>0</v>
      </c>
      <c r="CZ34" s="3136">
        <f t="shared" si="540"/>
        <v>63.46</v>
      </c>
      <c r="DA34" s="3136">
        <f>SUM('ПОЛНАЯ СЕБЕСТОИМОСТЬ СТОКИ 2019'!AV150)</f>
        <v>63.46</v>
      </c>
      <c r="DB34" s="3136">
        <f>SUM('ПОЛНАЯ СЕБЕСТОИМОСТЬ СТОКИ 2019'!AW150)</f>
        <v>0</v>
      </c>
      <c r="DC34" s="3137">
        <v>41.35</v>
      </c>
      <c r="DD34" s="3137">
        <f t="shared" si="541"/>
        <v>41.274917353556511</v>
      </c>
      <c r="DE34" s="3137">
        <f>SUM(DC34/DC9*DE9)*0.9027237354</f>
        <v>7.5082646443489096E-2</v>
      </c>
      <c r="DF34" s="3136">
        <f t="shared" si="542"/>
        <v>92.546522611715446</v>
      </c>
      <c r="DG34" s="3136">
        <f t="shared" si="543"/>
        <v>92.546522611715446</v>
      </c>
      <c r="DH34" s="3136">
        <f t="shared" si="544"/>
        <v>0</v>
      </c>
      <c r="DI34" s="3136">
        <f t="shared" si="545"/>
        <v>104.67</v>
      </c>
      <c r="DJ34" s="3136">
        <f>SUM('ПОЛНАЯ СЕБЕСТОИМОСТЬ СТОКИ 2019'!AY150)</f>
        <v>104.67</v>
      </c>
      <c r="DK34" s="3136">
        <f>SUM('ПОЛНАЯ СЕБЕСТОИМОСТЬ СТОКИ 2019'!AZ150)</f>
        <v>0</v>
      </c>
      <c r="DL34" s="3137">
        <v>44.91</v>
      </c>
      <c r="DM34" s="3137">
        <f t="shared" si="546"/>
        <v>44.329779611554173</v>
      </c>
      <c r="DN34" s="3137">
        <f>SUM(DL34/DL9*DN9)*0.9027237354</f>
        <v>0.58022038844582702</v>
      </c>
      <c r="DO34" s="3180">
        <f t="shared" si="460"/>
        <v>277.63956783514635</v>
      </c>
      <c r="DP34" s="3180">
        <f t="shared" si="461"/>
        <v>277.63956783514635</v>
      </c>
      <c r="DQ34" s="3180">
        <f t="shared" si="462"/>
        <v>0</v>
      </c>
      <c r="DR34" s="3180">
        <f t="shared" si="463"/>
        <v>195.98000000000002</v>
      </c>
      <c r="DS34" s="3180">
        <f t="shared" si="464"/>
        <v>195.98000000000002</v>
      </c>
      <c r="DT34" s="3180">
        <f t="shared" si="465"/>
        <v>0</v>
      </c>
      <c r="DU34" s="3180">
        <f t="shared" si="466"/>
        <v>141.04</v>
      </c>
      <c r="DV34" s="3180">
        <f t="shared" si="467"/>
        <v>140.31520283385265</v>
      </c>
      <c r="DW34" s="3180">
        <f t="shared" si="468"/>
        <v>0.72479716614736389</v>
      </c>
      <c r="DX34" s="3143">
        <f t="shared" si="469"/>
        <v>-81.659567835146333</v>
      </c>
      <c r="DY34" s="3143">
        <f t="shared" si="470"/>
        <v>-81.659567835146333</v>
      </c>
      <c r="DZ34" s="3143">
        <f t="shared" si="471"/>
        <v>0</v>
      </c>
      <c r="EA34" s="3180">
        <f t="shared" si="472"/>
        <v>832.918703505439</v>
      </c>
      <c r="EB34" s="3180">
        <f t="shared" si="473"/>
        <v>832.918703505439</v>
      </c>
      <c r="EC34" s="3180">
        <f t="shared" si="474"/>
        <v>0</v>
      </c>
      <c r="ED34" s="3180">
        <f t="shared" si="475"/>
        <v>489.6</v>
      </c>
      <c r="EE34" s="3180">
        <f t="shared" si="476"/>
        <v>489.6</v>
      </c>
      <c r="EF34" s="3180">
        <f t="shared" si="477"/>
        <v>0</v>
      </c>
      <c r="EG34" s="3180">
        <f t="shared" si="478"/>
        <v>150.95999999999998</v>
      </c>
      <c r="EH34" s="3180">
        <f t="shared" si="479"/>
        <v>150.21502077388647</v>
      </c>
      <c r="EI34" s="3180">
        <f t="shared" si="480"/>
        <v>0.74497922611355483</v>
      </c>
      <c r="EJ34" s="3143">
        <f t="shared" si="481"/>
        <v>-343.31870350543898</v>
      </c>
      <c r="EK34" s="3143">
        <f t="shared" si="482"/>
        <v>-343.31870350543898</v>
      </c>
      <c r="EL34" s="3143">
        <f t="shared" si="483"/>
        <v>0</v>
      </c>
      <c r="EM34" s="3136">
        <f t="shared" si="547"/>
        <v>92.546522611715446</v>
      </c>
      <c r="EN34" s="3136">
        <f>SUM('ПОЛНАЯ СЕБЕСТОИМОСТЬ СТОКИ 2019'!BN150/3)</f>
        <v>92.546522611715446</v>
      </c>
      <c r="EO34" s="3136">
        <f>SUM('ПОЛНАЯ СЕБЕСТОИМОСТЬ СТОКИ 2019'!BO150/3)</f>
        <v>0</v>
      </c>
      <c r="EP34" s="3136">
        <f t="shared" si="548"/>
        <v>0</v>
      </c>
      <c r="EQ34" s="3136">
        <f>SUM('ПОЛНАЯ СЕБЕСТОИМОСТЬ СТОКИ 2019'!BQ150)</f>
        <v>0</v>
      </c>
      <c r="ER34" s="3136">
        <f>SUM('ПОЛНАЯ СЕБЕСТОИМОСТЬ СТОКИ 2019'!BR150)</f>
        <v>0</v>
      </c>
      <c r="ES34" s="3137">
        <v>64.06</v>
      </c>
      <c r="ET34" s="3137">
        <f t="shared" si="549"/>
        <v>63.940253928428369</v>
      </c>
      <c r="EU34" s="3137">
        <f>SUM(ES34/ES9*EU9)*0.9027237354</f>
        <v>0.11974607157163497</v>
      </c>
      <c r="EV34" s="3136">
        <f t="shared" si="550"/>
        <v>92.546522611715446</v>
      </c>
      <c r="EW34" s="3136">
        <f t="shared" si="551"/>
        <v>92.546522611715446</v>
      </c>
      <c r="EX34" s="3136">
        <f t="shared" si="552"/>
        <v>0</v>
      </c>
      <c r="EY34" s="3136">
        <f t="shared" si="553"/>
        <v>0</v>
      </c>
      <c r="EZ34" s="3136">
        <f>SUM('ПОЛНАЯ СЕБЕСТОИМОСТЬ СТОКИ 2019'!BT150)</f>
        <v>0</v>
      </c>
      <c r="FA34" s="3136">
        <f>SUM('ПОЛНАЯ СЕБЕСТОИМОСТЬ СТОКИ 2019'!BU150)</f>
        <v>0</v>
      </c>
      <c r="FB34" s="3137">
        <v>92.22</v>
      </c>
      <c r="FC34" s="3137">
        <f t="shared" si="554"/>
        <v>92.041510998077996</v>
      </c>
      <c r="FD34" s="3137">
        <f>SUM(FB34/FB9*FD9)*0.9027237354</f>
        <v>0.17848900192200803</v>
      </c>
      <c r="FE34" s="3136">
        <f t="shared" si="555"/>
        <v>92.546522611715446</v>
      </c>
      <c r="FF34" s="3136">
        <f t="shared" si="556"/>
        <v>92.546522611715446</v>
      </c>
      <c r="FG34" s="3136">
        <f t="shared" si="557"/>
        <v>0</v>
      </c>
      <c r="FH34" s="3136">
        <f t="shared" si="558"/>
        <v>0</v>
      </c>
      <c r="FI34" s="3136">
        <f>SUM('ПОЛНАЯ СЕБЕСТОИМОСТЬ СТОКИ 2019'!BW150)</f>
        <v>0</v>
      </c>
      <c r="FJ34" s="3136">
        <f>SUM('ПОЛНАЯ СЕБЕСТОИМОСТЬ СТОКИ 2019'!BX150)</f>
        <v>0</v>
      </c>
      <c r="FK34" s="3137">
        <v>93.52</v>
      </c>
      <c r="FL34" s="3137">
        <f t="shared" si="559"/>
        <v>92.240121972536556</v>
      </c>
      <c r="FM34" s="3137">
        <f>SUM(FK34/FK9*FM9)*0.9027237354</f>
        <v>1.2798780274634449</v>
      </c>
      <c r="FN34" s="3180">
        <f t="shared" si="484"/>
        <v>277.63956783514635</v>
      </c>
      <c r="FO34" s="3180">
        <f t="shared" si="485"/>
        <v>277.63956783514635</v>
      </c>
      <c r="FP34" s="3180">
        <f t="shared" si="486"/>
        <v>0</v>
      </c>
      <c r="FQ34" s="3180">
        <f t="shared" si="487"/>
        <v>0</v>
      </c>
      <c r="FR34" s="3180">
        <f t="shared" si="488"/>
        <v>0</v>
      </c>
      <c r="FS34" s="3180">
        <f t="shared" si="489"/>
        <v>0</v>
      </c>
      <c r="FT34" s="3180">
        <f t="shared" si="490"/>
        <v>249.8</v>
      </c>
      <c r="FU34" s="3180">
        <f t="shared" si="491"/>
        <v>248.22188689904294</v>
      </c>
      <c r="FV34" s="3180">
        <f t="shared" si="492"/>
        <v>1.5781131009570879</v>
      </c>
      <c r="FW34" s="3143">
        <f t="shared" si="493"/>
        <v>-277.63956783514635</v>
      </c>
      <c r="FX34" s="3143">
        <f t="shared" si="494"/>
        <v>-277.63956783514635</v>
      </c>
      <c r="FY34" s="3143">
        <f t="shared" si="495"/>
        <v>0</v>
      </c>
      <c r="FZ34" s="3242">
        <f t="shared" si="496"/>
        <v>1110.5582713405854</v>
      </c>
      <c r="GA34" s="3242">
        <f t="shared" si="497"/>
        <v>1110.5582713405854</v>
      </c>
      <c r="GB34" s="3242">
        <f t="shared" si="498"/>
        <v>0</v>
      </c>
      <c r="GC34" s="3242">
        <f t="shared" si="499"/>
        <v>489.6</v>
      </c>
      <c r="GD34" s="3242">
        <f t="shared" si="500"/>
        <v>489.6</v>
      </c>
      <c r="GE34" s="3242">
        <f t="shared" si="501"/>
        <v>0</v>
      </c>
      <c r="GF34" s="3242">
        <f t="shared" si="502"/>
        <v>400.76</v>
      </c>
      <c r="GG34" s="3242">
        <f t="shared" si="503"/>
        <v>398.43690767292941</v>
      </c>
      <c r="GH34" s="3242">
        <f t="shared" si="504"/>
        <v>2.3230923270706425</v>
      </c>
      <c r="GI34" s="3243">
        <f t="shared" si="505"/>
        <v>-620.95827134058538</v>
      </c>
      <c r="GJ34" s="3243">
        <f t="shared" si="506"/>
        <v>-620.95827134058538</v>
      </c>
      <c r="GK34" s="3243">
        <f t="shared" si="507"/>
        <v>0</v>
      </c>
    </row>
    <row r="35" spans="1:193" ht="18.75" customHeight="1" x14ac:dyDescent="0.3">
      <c r="A35" s="3111" t="s">
        <v>3</v>
      </c>
      <c r="B35" s="3136">
        <f t="shared" si="508"/>
        <v>148.32419333333334</v>
      </c>
      <c r="C35" s="3136">
        <f>SUM('ПОЛНАЯ СЕБЕСТОИМОСТЬ СТОКИ 2019'!C151/3)</f>
        <v>148.32419333333334</v>
      </c>
      <c r="D35" s="3136">
        <f>SUM('ПОЛНАЯ СЕБЕСТОИМОСТЬ СТОКИ 2019'!D151/3)</f>
        <v>0</v>
      </c>
      <c r="E35" s="3136">
        <f t="shared" si="509"/>
        <v>31.42</v>
      </c>
      <c r="F35" s="3136">
        <f>SUM('ПОЛНАЯ СЕБЕСТОИМОСТЬ СТОКИ 2019'!F151)</f>
        <v>31.42</v>
      </c>
      <c r="G35" s="3136">
        <f>SUM('ПОЛНАЯ СЕБЕСТОИМОСТЬ СТОКИ 2019'!G151)</f>
        <v>0</v>
      </c>
      <c r="H35" s="3137">
        <v>44.85</v>
      </c>
      <c r="I35" s="3137">
        <f t="shared" si="510"/>
        <v>44.83309592212931</v>
      </c>
      <c r="J35" s="3137">
        <f>SUM(H35/H9*J9)*0.42509892594</f>
        <v>1.6904077870694003E-2</v>
      </c>
      <c r="K35" s="3136">
        <f t="shared" si="511"/>
        <v>148.32419333333334</v>
      </c>
      <c r="L35" s="3136">
        <f t="shared" si="512"/>
        <v>148.32419333333334</v>
      </c>
      <c r="M35" s="3136">
        <f t="shared" si="513"/>
        <v>0</v>
      </c>
      <c r="N35" s="3136">
        <f t="shared" si="514"/>
        <v>135.74</v>
      </c>
      <c r="O35" s="3136">
        <f>SUM('ПОЛНАЯ СЕБЕСТОИМОСТЬ СТОКИ 2019'!I151)</f>
        <v>135.74</v>
      </c>
      <c r="P35" s="3136">
        <f>SUM('ПОЛНАЯ СЕБЕСТОИМОСТЬ СТОКИ 2019'!J151)</f>
        <v>0</v>
      </c>
      <c r="Q35" s="3137">
        <v>106.38</v>
      </c>
      <c r="R35" s="3137">
        <f t="shared" si="515"/>
        <v>106.34753378231292</v>
      </c>
      <c r="S35" s="3137">
        <f>SUM(Q35/Q9*S9)*0.42509892594</f>
        <v>3.2466217687075263E-2</v>
      </c>
      <c r="T35" s="3136">
        <f t="shared" si="516"/>
        <v>148.32419333333334</v>
      </c>
      <c r="U35" s="3136">
        <f t="shared" si="517"/>
        <v>148.32419333333334</v>
      </c>
      <c r="V35" s="3136">
        <f t="shared" si="518"/>
        <v>0</v>
      </c>
      <c r="W35" s="3136">
        <f t="shared" si="519"/>
        <v>244.66</v>
      </c>
      <c r="X35" s="3136">
        <f>SUM('ПОЛНАЯ СЕБЕСТОИМОСТЬ СТОКИ 2019'!L151)</f>
        <v>244.66</v>
      </c>
      <c r="Y35" s="3136">
        <f>SUM('ПОЛНАЯ СЕБЕСТОИМОСТЬ СТОКИ 2019'!M151)</f>
        <v>0</v>
      </c>
      <c r="Z35" s="3137">
        <v>432.36</v>
      </c>
      <c r="AA35" s="3137">
        <f t="shared" si="520"/>
        <v>429.77221854245147</v>
      </c>
      <c r="AB35" s="3137">
        <f>SUM(Z35/Z9*AB9)*0.42509892594</f>
        <v>2.5877814575485316</v>
      </c>
      <c r="AC35" s="3180">
        <f t="shared" si="424"/>
        <v>444.97257999999999</v>
      </c>
      <c r="AD35" s="3180">
        <f t="shared" si="425"/>
        <v>444.97257999999999</v>
      </c>
      <c r="AE35" s="3180">
        <f t="shared" si="426"/>
        <v>0</v>
      </c>
      <c r="AF35" s="3180">
        <f t="shared" si="427"/>
        <v>411.82000000000005</v>
      </c>
      <c r="AG35" s="3180">
        <f t="shared" si="428"/>
        <v>411.82000000000005</v>
      </c>
      <c r="AH35" s="3180">
        <f t="shared" si="429"/>
        <v>0</v>
      </c>
      <c r="AI35" s="3180">
        <f t="shared" si="430"/>
        <v>583.59</v>
      </c>
      <c r="AJ35" s="3180">
        <f t="shared" si="431"/>
        <v>580.95284824689372</v>
      </c>
      <c r="AK35" s="3180">
        <f t="shared" si="432"/>
        <v>2.6371517531063007</v>
      </c>
      <c r="AL35" s="3143">
        <f t="shared" si="433"/>
        <v>-33.152579999999944</v>
      </c>
      <c r="AM35" s="3143">
        <f t="shared" si="434"/>
        <v>-33.152579999999944</v>
      </c>
      <c r="AN35" s="3143">
        <f t="shared" si="435"/>
        <v>0</v>
      </c>
      <c r="AO35" s="3136">
        <f t="shared" si="521"/>
        <v>148.32419333333334</v>
      </c>
      <c r="AP35" s="3136">
        <f>SUM('ПОЛНАЯ СЕБЕСТОИМОСТЬ СТОКИ 2019'!R151/3)</f>
        <v>148.32419333333334</v>
      </c>
      <c r="AQ35" s="3136">
        <f>SUM('ПОЛНАЯ СЕБЕСТОИМОСТЬ СТОКИ 2019'!S151/3)</f>
        <v>0</v>
      </c>
      <c r="AR35" s="3136">
        <f t="shared" si="522"/>
        <v>236.72</v>
      </c>
      <c r="AS35" s="3136">
        <f>SUM('ПОЛНАЯ СЕБЕСТОИМОСТЬ СТОКИ 2019'!U151)</f>
        <v>236.72</v>
      </c>
      <c r="AT35" s="3136">
        <f>SUM('ПОЛНАЯ СЕБЕСТОИМОСТЬ СТОКИ 2019'!V151)</f>
        <v>0</v>
      </c>
      <c r="AU35" s="3137">
        <v>212.99</v>
      </c>
      <c r="AV35" s="3137">
        <f t="shared" si="523"/>
        <v>212.90409380994291</v>
      </c>
      <c r="AW35" s="3137">
        <f>SUM(AU35/AU9*AW9)*0.42509892594</f>
        <v>8.5906190057109658E-2</v>
      </c>
      <c r="AX35" s="3136">
        <f t="shared" si="524"/>
        <v>148.32419333333334</v>
      </c>
      <c r="AY35" s="3136">
        <f t="shared" si="525"/>
        <v>148.32419333333334</v>
      </c>
      <c r="AZ35" s="3136">
        <f t="shared" si="526"/>
        <v>0</v>
      </c>
      <c r="BA35" s="3277">
        <f t="shared" si="527"/>
        <v>535.29999999999995</v>
      </c>
      <c r="BB35" s="3277">
        <f>SUM('ПОЛНАЯ СЕБЕСТОИМОСТЬ СТОКИ 2019'!X151)</f>
        <v>535.29999999999995</v>
      </c>
      <c r="BC35" s="3277">
        <f>SUM('ПОЛНАЯ СЕБЕСТОИМОСТЬ СТОКИ 2019'!Y151)</f>
        <v>0</v>
      </c>
      <c r="BD35" s="3137">
        <v>80.569999999999993</v>
      </c>
      <c r="BE35" s="3137">
        <f t="shared" si="528"/>
        <v>80.49280977091118</v>
      </c>
      <c r="BF35" s="3137">
        <f>SUM(BD35/BD9*BF9)*0.42509892594</f>
        <v>7.7190229088817827E-2</v>
      </c>
      <c r="BG35" s="3136">
        <f t="shared" si="529"/>
        <v>148.32419333333334</v>
      </c>
      <c r="BH35" s="3136">
        <f t="shared" si="530"/>
        <v>148.32419333333334</v>
      </c>
      <c r="BI35" s="3136">
        <f t="shared" si="531"/>
        <v>0</v>
      </c>
      <c r="BJ35" s="3136">
        <f t="shared" si="532"/>
        <v>240.62000000000003</v>
      </c>
      <c r="BK35" s="3136">
        <f>SUM('ПОЛНАЯ СЕБЕСТОИМОСТЬ СТОКИ 2019'!AA151)</f>
        <v>240.62000000000003</v>
      </c>
      <c r="BL35" s="3136">
        <f>SUM('ПОЛНАЯ СЕБЕСТОИМОСТЬ СТОКИ 2019'!AB151)</f>
        <v>0</v>
      </c>
      <c r="BM35" s="3137">
        <v>248.9</v>
      </c>
      <c r="BN35" s="3137">
        <f t="shared" si="533"/>
        <v>247.4881339714648</v>
      </c>
      <c r="BO35" s="3137">
        <f>SUM(BM35/BM9*BO9)*0.42509892594</f>
        <v>1.4118660285352009</v>
      </c>
      <c r="BP35" s="3180">
        <f t="shared" si="436"/>
        <v>444.97257999999999</v>
      </c>
      <c r="BQ35" s="3180">
        <f t="shared" si="437"/>
        <v>444.97257999999999</v>
      </c>
      <c r="BR35" s="3180">
        <f t="shared" si="438"/>
        <v>0</v>
      </c>
      <c r="BS35" s="3180">
        <f t="shared" si="439"/>
        <v>1012.64</v>
      </c>
      <c r="BT35" s="3180">
        <f t="shared" si="440"/>
        <v>1012.64</v>
      </c>
      <c r="BU35" s="3180">
        <f t="shared" si="441"/>
        <v>0</v>
      </c>
      <c r="BV35" s="3180">
        <f t="shared" si="442"/>
        <v>542.46</v>
      </c>
      <c r="BW35" s="3180">
        <f t="shared" si="443"/>
        <v>540.88503755231886</v>
      </c>
      <c r="BX35" s="3180">
        <f t="shared" si="444"/>
        <v>1.5749624476811284</v>
      </c>
      <c r="BY35" s="3143">
        <f t="shared" si="445"/>
        <v>567.66741999999999</v>
      </c>
      <c r="BZ35" s="3143">
        <f t="shared" si="446"/>
        <v>567.66741999999999</v>
      </c>
      <c r="CA35" s="3143">
        <f t="shared" si="447"/>
        <v>0</v>
      </c>
      <c r="CB35" s="3180">
        <f t="shared" si="448"/>
        <v>889.94515999999999</v>
      </c>
      <c r="CC35" s="3180">
        <f t="shared" si="449"/>
        <v>889.94515999999999</v>
      </c>
      <c r="CD35" s="3180">
        <f t="shared" si="450"/>
        <v>0</v>
      </c>
      <c r="CE35" s="3180">
        <f t="shared" si="451"/>
        <v>1424.46</v>
      </c>
      <c r="CF35" s="3180">
        <f t="shared" si="452"/>
        <v>1424.46</v>
      </c>
      <c r="CG35" s="3180">
        <f t="shared" si="453"/>
        <v>0</v>
      </c>
      <c r="CH35" s="3198">
        <f t="shared" si="454"/>
        <v>1126.0500000000002</v>
      </c>
      <c r="CI35" s="3198">
        <f t="shared" si="455"/>
        <v>1121.8378857992125</v>
      </c>
      <c r="CJ35" s="3198">
        <f t="shared" si="456"/>
        <v>4.212114200787429</v>
      </c>
      <c r="CK35" s="3143">
        <f t="shared" si="457"/>
        <v>534.51484000000005</v>
      </c>
      <c r="CL35" s="3143">
        <f t="shared" si="458"/>
        <v>534.51484000000005</v>
      </c>
      <c r="CM35" s="3143">
        <f t="shared" si="459"/>
        <v>0</v>
      </c>
      <c r="CN35" s="3136">
        <f t="shared" si="534"/>
        <v>148.32419333333334</v>
      </c>
      <c r="CO35" s="3136">
        <f>SUM('ПОЛНАЯ СЕБЕСТОИМОСТЬ СТОКИ 2019'!AP151/3)</f>
        <v>148.32419333333334</v>
      </c>
      <c r="CP35" s="3136">
        <f>SUM('ПОЛНАЯ СЕБЕСТОИМОСТЬ СТОКИ 2019'!AQ151/3)</f>
        <v>0</v>
      </c>
      <c r="CQ35" s="3136">
        <f t="shared" si="535"/>
        <v>285.88</v>
      </c>
      <c r="CR35" s="3136">
        <f>SUM('ПОЛНАЯ СЕБЕСТОИМОСТЬ СТОКИ 2019'!AS151)</f>
        <v>285.88</v>
      </c>
      <c r="CS35" s="3136">
        <f>SUM('ПОЛНАЯ СЕБЕСТОИМОСТЬ СТОКИ 2019'!AT151)</f>
        <v>0</v>
      </c>
      <c r="CT35" s="3137">
        <v>618.13</v>
      </c>
      <c r="CU35" s="3137">
        <f t="shared" si="536"/>
        <v>617.76073251347009</v>
      </c>
      <c r="CV35" s="3137">
        <f>SUM(CT35/CT9*CV9)*0.42509892594</f>
        <v>0.36926748652988073</v>
      </c>
      <c r="CW35" s="3136">
        <f t="shared" si="537"/>
        <v>148.32419333333334</v>
      </c>
      <c r="CX35" s="3136">
        <f t="shared" si="538"/>
        <v>148.32419333333334</v>
      </c>
      <c r="CY35" s="3136">
        <f t="shared" si="539"/>
        <v>0</v>
      </c>
      <c r="CZ35" s="3136">
        <f t="shared" si="540"/>
        <v>203.42</v>
      </c>
      <c r="DA35" s="3136">
        <f>SUM('ПОЛНАЯ СЕБЕСТОИМОСТЬ СТОКИ 2019'!AV151)</f>
        <v>203.42</v>
      </c>
      <c r="DB35" s="3136">
        <f>SUM('ПОЛНАЯ СЕБЕСТОИМОСТЬ СТОКИ 2019'!AW151)</f>
        <v>0</v>
      </c>
      <c r="DC35" s="3137">
        <v>129.12</v>
      </c>
      <c r="DD35" s="3137">
        <f t="shared" si="541"/>
        <v>129.00959398837603</v>
      </c>
      <c r="DE35" s="3137">
        <f>SUM(DC35/DC9*DE9)*0.42509892594</f>
        <v>0.11040601162398986</v>
      </c>
      <c r="DF35" s="3136">
        <f t="shared" si="542"/>
        <v>148.32419333333334</v>
      </c>
      <c r="DG35" s="3136">
        <f t="shared" si="543"/>
        <v>148.32419333333334</v>
      </c>
      <c r="DH35" s="3136">
        <f t="shared" si="544"/>
        <v>0</v>
      </c>
      <c r="DI35" s="3136">
        <f t="shared" si="545"/>
        <v>666.28</v>
      </c>
      <c r="DJ35" s="3136">
        <f>SUM('ПОЛНАЯ СЕБЕСТОИМОСТЬ СТОКИ 2019'!AY151)</f>
        <v>666.28</v>
      </c>
      <c r="DK35" s="3136">
        <f>SUM('ПОЛНАЯ СЕБЕСТОИМОСТЬ СТОКИ 2019'!AZ151)</f>
        <v>0</v>
      </c>
      <c r="DL35" s="3137">
        <v>359.05</v>
      </c>
      <c r="DM35" s="3137">
        <f t="shared" si="546"/>
        <v>356.86556056764977</v>
      </c>
      <c r="DN35" s="3137">
        <f>SUM(DL35/DL9*DN9)*0.42509892594</f>
        <v>2.1844394323502736</v>
      </c>
      <c r="DO35" s="3180">
        <f t="shared" si="460"/>
        <v>444.97257999999999</v>
      </c>
      <c r="DP35" s="3180">
        <f t="shared" si="461"/>
        <v>444.97257999999999</v>
      </c>
      <c r="DQ35" s="3180">
        <f t="shared" si="462"/>
        <v>0</v>
      </c>
      <c r="DR35" s="3180">
        <f t="shared" si="463"/>
        <v>1155.58</v>
      </c>
      <c r="DS35" s="3180">
        <f t="shared" si="464"/>
        <v>1155.58</v>
      </c>
      <c r="DT35" s="3180">
        <f t="shared" si="465"/>
        <v>0</v>
      </c>
      <c r="DU35" s="3180">
        <f t="shared" si="466"/>
        <v>1106.3</v>
      </c>
      <c r="DV35" s="3180">
        <f t="shared" si="467"/>
        <v>1103.6358870694958</v>
      </c>
      <c r="DW35" s="3180">
        <f t="shared" si="468"/>
        <v>2.6641129305041442</v>
      </c>
      <c r="DX35" s="3143">
        <f t="shared" si="469"/>
        <v>710.60741999999993</v>
      </c>
      <c r="DY35" s="3143">
        <f t="shared" si="470"/>
        <v>710.60741999999993</v>
      </c>
      <c r="DZ35" s="3143">
        <f t="shared" si="471"/>
        <v>0</v>
      </c>
      <c r="EA35" s="3180">
        <f t="shared" si="472"/>
        <v>1334.9177399999999</v>
      </c>
      <c r="EB35" s="3180">
        <f t="shared" si="473"/>
        <v>1334.9177399999999</v>
      </c>
      <c r="EC35" s="3180">
        <f t="shared" si="474"/>
        <v>0</v>
      </c>
      <c r="ED35" s="3180">
        <f t="shared" si="475"/>
        <v>2580.04</v>
      </c>
      <c r="EE35" s="3180">
        <f t="shared" si="476"/>
        <v>2580.04</v>
      </c>
      <c r="EF35" s="3180">
        <f t="shared" si="477"/>
        <v>0</v>
      </c>
      <c r="EG35" s="3180">
        <f t="shared" si="478"/>
        <v>2232.3500000000004</v>
      </c>
      <c r="EH35" s="3180">
        <f t="shared" si="479"/>
        <v>2225.4737728687082</v>
      </c>
      <c r="EI35" s="3180">
        <f t="shared" si="480"/>
        <v>6.8762271312915733</v>
      </c>
      <c r="EJ35" s="3143">
        <f t="shared" si="481"/>
        <v>1245.1222600000001</v>
      </c>
      <c r="EK35" s="3143">
        <f t="shared" si="482"/>
        <v>1245.1222600000001</v>
      </c>
      <c r="EL35" s="3143">
        <f t="shared" si="483"/>
        <v>0</v>
      </c>
      <c r="EM35" s="3136">
        <f t="shared" si="547"/>
        <v>148.32419333333334</v>
      </c>
      <c r="EN35" s="3136">
        <f>SUM('ПОЛНАЯ СЕБЕСТОИМОСТЬ СТОКИ 2019'!BN151/3)</f>
        <v>148.32419333333334</v>
      </c>
      <c r="EO35" s="3136">
        <f>SUM('ПОЛНАЯ СЕБЕСТОИМОСТЬ СТОКИ 2019'!BO151/3)</f>
        <v>0</v>
      </c>
      <c r="EP35" s="3136">
        <f t="shared" si="548"/>
        <v>0</v>
      </c>
      <c r="EQ35" s="3136">
        <f>SUM('ПОЛНАЯ СЕБЕСТОИМОСТЬ СТОКИ 2019'!BQ151)</f>
        <v>0</v>
      </c>
      <c r="ER35" s="3136">
        <f>SUM('ПОЛНАЯ СЕБЕСТОИМОСТЬ СТОКИ 2019'!BR151)</f>
        <v>0</v>
      </c>
      <c r="ES35" s="3137">
        <v>386.63</v>
      </c>
      <c r="ET35" s="3137">
        <f t="shared" si="549"/>
        <v>386.2896662367607</v>
      </c>
      <c r="EU35" s="3137">
        <f>SUM(ES35/ES9*EU9)*0.42509892594</f>
        <v>0.34033376323927605</v>
      </c>
      <c r="EV35" s="3136">
        <f t="shared" si="550"/>
        <v>148.32419333333334</v>
      </c>
      <c r="EW35" s="3136">
        <f t="shared" si="551"/>
        <v>148.32419333333334</v>
      </c>
      <c r="EX35" s="3136">
        <f t="shared" si="552"/>
        <v>0</v>
      </c>
      <c r="EY35" s="3136">
        <f t="shared" si="553"/>
        <v>0</v>
      </c>
      <c r="EZ35" s="3136">
        <f>SUM('ПОЛНАЯ СЕБЕСТОИМОСТЬ СТОКИ 2019'!BT151)</f>
        <v>0</v>
      </c>
      <c r="FA35" s="3136">
        <f>SUM('ПОЛНАЯ СЕБЕСТОИМОСТЬ СТОКИ 2019'!BU151)</f>
        <v>0</v>
      </c>
      <c r="FB35" s="3137">
        <v>249.21</v>
      </c>
      <c r="FC35" s="3137">
        <f t="shared" si="554"/>
        <v>248.98286348686105</v>
      </c>
      <c r="FD35" s="3137">
        <f>SUM(FB35/FB9*FD9)*0.42509892594</f>
        <v>0.22713651313895691</v>
      </c>
      <c r="FE35" s="3136">
        <f t="shared" si="555"/>
        <v>148.32419333333334</v>
      </c>
      <c r="FF35" s="3136">
        <f t="shared" si="556"/>
        <v>148.32419333333334</v>
      </c>
      <c r="FG35" s="3136">
        <f t="shared" si="557"/>
        <v>0</v>
      </c>
      <c r="FH35" s="3136">
        <f t="shared" si="558"/>
        <v>0</v>
      </c>
      <c r="FI35" s="3136">
        <f>SUM('ПОЛНАЯ СЕБЕСТОИМОСТЬ СТОКИ 2019'!BW151)</f>
        <v>0</v>
      </c>
      <c r="FJ35" s="3136">
        <f>SUM('ПОЛНАЯ СЕБЕСТОИМОСТЬ СТОКИ 2019'!BX151)</f>
        <v>0</v>
      </c>
      <c r="FK35" s="3137">
        <v>11.83</v>
      </c>
      <c r="FL35" s="3137">
        <f t="shared" si="559"/>
        <v>11.753759808955904</v>
      </c>
      <c r="FM35" s="3137">
        <f>SUM(FK35/FK9*FM9)*0.42509892594</f>
        <v>7.6240191044096323E-2</v>
      </c>
      <c r="FN35" s="3180">
        <f t="shared" si="484"/>
        <v>444.97257999999999</v>
      </c>
      <c r="FO35" s="3180">
        <f t="shared" si="485"/>
        <v>444.97257999999999</v>
      </c>
      <c r="FP35" s="3180">
        <f t="shared" si="486"/>
        <v>0</v>
      </c>
      <c r="FQ35" s="3180">
        <f t="shared" si="487"/>
        <v>0</v>
      </c>
      <c r="FR35" s="3180">
        <f t="shared" si="488"/>
        <v>0</v>
      </c>
      <c r="FS35" s="3180">
        <f t="shared" si="489"/>
        <v>0</v>
      </c>
      <c r="FT35" s="3180">
        <f t="shared" si="490"/>
        <v>647.67000000000007</v>
      </c>
      <c r="FU35" s="3180">
        <f t="shared" si="491"/>
        <v>647.02628953257772</v>
      </c>
      <c r="FV35" s="3180">
        <f t="shared" si="492"/>
        <v>0.64371046742232929</v>
      </c>
      <c r="FW35" s="3143">
        <f t="shared" si="493"/>
        <v>-444.97257999999999</v>
      </c>
      <c r="FX35" s="3143">
        <f t="shared" si="494"/>
        <v>-444.97257999999999</v>
      </c>
      <c r="FY35" s="3143">
        <f t="shared" si="495"/>
        <v>0</v>
      </c>
      <c r="FZ35" s="3242">
        <f t="shared" si="496"/>
        <v>1779.89032</v>
      </c>
      <c r="GA35" s="3242">
        <f t="shared" si="497"/>
        <v>1779.89032</v>
      </c>
      <c r="GB35" s="3242">
        <f t="shared" si="498"/>
        <v>0</v>
      </c>
      <c r="GC35" s="3242">
        <f t="shared" si="499"/>
        <v>2580.04</v>
      </c>
      <c r="GD35" s="3242">
        <f t="shared" si="500"/>
        <v>2580.04</v>
      </c>
      <c r="GE35" s="3242">
        <f t="shared" si="501"/>
        <v>0</v>
      </c>
      <c r="GF35" s="3242">
        <f t="shared" si="502"/>
        <v>2880.0200000000004</v>
      </c>
      <c r="GG35" s="3242">
        <f t="shared" si="503"/>
        <v>2872.500062401286</v>
      </c>
      <c r="GH35" s="3242">
        <f t="shared" si="504"/>
        <v>7.5199375987139021</v>
      </c>
      <c r="GI35" s="3243">
        <f t="shared" si="505"/>
        <v>800.14967999999999</v>
      </c>
      <c r="GJ35" s="3243">
        <f t="shared" si="506"/>
        <v>800.14967999999999</v>
      </c>
      <c r="GK35" s="3243">
        <f t="shared" si="507"/>
        <v>0</v>
      </c>
    </row>
    <row r="36" spans="1:193" ht="18.75" customHeight="1" x14ac:dyDescent="0.3">
      <c r="A36" s="3111" t="s">
        <v>4</v>
      </c>
      <c r="B36" s="3136">
        <f t="shared" si="508"/>
        <v>3132.7507860000001</v>
      </c>
      <c r="C36" s="3136">
        <f>SUM('ПОЛНАЯ СЕБЕСТОИМОСТЬ СТОКИ 2019'!C152/3)</f>
        <v>3122.809992792676</v>
      </c>
      <c r="D36" s="3136">
        <f>SUM('ПОЛНАЯ СЕБЕСТОИМОСТЬ СТОКИ 2019'!D152/3)</f>
        <v>9.940793207324079</v>
      </c>
      <c r="E36" s="3136">
        <f t="shared" si="509"/>
        <v>2385.9830000000002</v>
      </c>
      <c r="F36" s="3136">
        <f>SUM('ПОЛНАЯ СЕБЕСТОИМОСТЬ СТОКИ 2019'!F152)</f>
        <v>2377.94</v>
      </c>
      <c r="G36" s="3136">
        <f>SUM('ПОЛНАЯ СЕБЕСТОИМОСТЬ СТОКИ 2019'!G152)</f>
        <v>8.0429999999999993</v>
      </c>
      <c r="H36" s="3137">
        <v>2305.4499999999998</v>
      </c>
      <c r="I36" s="3137">
        <f t="shared" si="510"/>
        <v>2304.4155368106431</v>
      </c>
      <c r="J36" s="3137">
        <f>SUM(H36/H9*J9)*0.50608131588</f>
        <v>1.0344631893565741</v>
      </c>
      <c r="K36" s="3136">
        <f t="shared" si="511"/>
        <v>3132.7507860000001</v>
      </c>
      <c r="L36" s="3136">
        <f t="shared" si="512"/>
        <v>3122.809992792676</v>
      </c>
      <c r="M36" s="3136">
        <f t="shared" si="513"/>
        <v>9.940793207324079</v>
      </c>
      <c r="N36" s="3136">
        <f t="shared" si="514"/>
        <v>2183.71</v>
      </c>
      <c r="O36" s="3136">
        <f>SUM('ПОЛНАЯ СЕБЕСТОИМОСТЬ СТОКИ 2019'!I152)</f>
        <v>2176.12</v>
      </c>
      <c r="P36" s="3136">
        <f>SUM('ПОЛНАЯ СЕБЕСТОИМОСТЬ СТОКИ 2019'!J152)</f>
        <v>7.59</v>
      </c>
      <c r="Q36" s="3137">
        <v>2146.3000000000002</v>
      </c>
      <c r="R36" s="3137">
        <f t="shared" si="515"/>
        <v>2145.5201834786631</v>
      </c>
      <c r="S36" s="3137">
        <f>SUM(Q36/Q9*S9)*0.50608131588</f>
        <v>0.77981652133729984</v>
      </c>
      <c r="T36" s="3136">
        <f t="shared" si="516"/>
        <v>3132.7507860000001</v>
      </c>
      <c r="U36" s="3136">
        <f t="shared" si="517"/>
        <v>3122.809992792676</v>
      </c>
      <c r="V36" s="3136">
        <f t="shared" si="518"/>
        <v>9.940793207324079</v>
      </c>
      <c r="W36" s="3136">
        <f t="shared" si="519"/>
        <v>2439.19</v>
      </c>
      <c r="X36" s="3136">
        <f>SUM('ПОЛНАЯ СЕБЕСТОИМОСТЬ СТОКИ 2019'!L152)</f>
        <v>2431.61</v>
      </c>
      <c r="Y36" s="3136">
        <f>SUM('ПОЛНАЯ СЕБЕСТОИМОСТЬ СТОКИ 2019'!M152)</f>
        <v>7.58</v>
      </c>
      <c r="Z36" s="3137">
        <v>2474.08</v>
      </c>
      <c r="AA36" s="3137">
        <f t="shared" si="520"/>
        <v>2456.4510631054368</v>
      </c>
      <c r="AB36" s="3137">
        <f>SUM(Z36/Z9*AB9)*0.50608131588</f>
        <v>17.62893689456325</v>
      </c>
      <c r="AC36" s="3180">
        <f t="shared" si="424"/>
        <v>9398.2523579999997</v>
      </c>
      <c r="AD36" s="3180">
        <f t="shared" si="425"/>
        <v>9368.429978378028</v>
      </c>
      <c r="AE36" s="3180">
        <f t="shared" si="426"/>
        <v>29.822379621972239</v>
      </c>
      <c r="AF36" s="3180">
        <f t="shared" si="427"/>
        <v>7008.8829999999998</v>
      </c>
      <c r="AG36" s="3180">
        <f t="shared" si="428"/>
        <v>6985.67</v>
      </c>
      <c r="AH36" s="3180">
        <f t="shared" si="429"/>
        <v>23.213000000000001</v>
      </c>
      <c r="AI36" s="3180">
        <f t="shared" si="430"/>
        <v>6925.83</v>
      </c>
      <c r="AJ36" s="3180">
        <f t="shared" si="431"/>
        <v>6906.3867833947425</v>
      </c>
      <c r="AK36" s="3180">
        <f t="shared" si="432"/>
        <v>19.443216605257124</v>
      </c>
      <c r="AL36" s="3143">
        <f t="shared" si="433"/>
        <v>-2389.3693579999999</v>
      </c>
      <c r="AM36" s="3143">
        <f t="shared" si="434"/>
        <v>-2382.7599783780279</v>
      </c>
      <c r="AN36" s="3143">
        <f t="shared" si="435"/>
        <v>-6.6093796219722378</v>
      </c>
      <c r="AO36" s="3136">
        <f t="shared" si="521"/>
        <v>3132.7507860000001</v>
      </c>
      <c r="AP36" s="3136">
        <f>SUM('ПОЛНАЯ СЕБЕСТОИМОСТЬ СТОКИ 2019'!R152/3)</f>
        <v>3122.809992792676</v>
      </c>
      <c r="AQ36" s="3136">
        <f>SUM('ПОЛНАЯ СЕБЕСТОИМОСТЬ СТОКИ 2019'!S152/3)</f>
        <v>9.940793207324079</v>
      </c>
      <c r="AR36" s="3136">
        <f t="shared" si="522"/>
        <v>2645.3009999999999</v>
      </c>
      <c r="AS36" s="3136">
        <f>SUM('ПОЛНАЯ СЕБЕСТОИМОСТЬ СТОКИ 2019'!U152)</f>
        <v>2637.84</v>
      </c>
      <c r="AT36" s="3136">
        <f>SUM('ПОЛНАЯ СЕБЕСТОИМОСТЬ СТОКИ 2019'!V152)</f>
        <v>7.4610000000000003</v>
      </c>
      <c r="AU36" s="3137">
        <v>2417.27</v>
      </c>
      <c r="AV36" s="3137">
        <f t="shared" si="523"/>
        <v>2416.1092980789194</v>
      </c>
      <c r="AW36" s="3137">
        <f>SUM(AU36/AU9*AW9)*0.50608131588</f>
        <v>1.1607019210804819</v>
      </c>
      <c r="AX36" s="3136">
        <f t="shared" si="524"/>
        <v>3132.7507860000001</v>
      </c>
      <c r="AY36" s="3136">
        <f t="shared" si="525"/>
        <v>3122.809992792676</v>
      </c>
      <c r="AZ36" s="3136">
        <f t="shared" si="526"/>
        <v>9.940793207324079</v>
      </c>
      <c r="BA36" s="3277">
        <f t="shared" si="527"/>
        <v>2619.21</v>
      </c>
      <c r="BB36" s="3277">
        <f>SUM('ПОЛНАЯ СЕБЕСТОИМОСТЬ СТОКИ 2019'!X152)</f>
        <v>2610.35</v>
      </c>
      <c r="BC36" s="3277">
        <f>SUM('ПОЛНАЯ СЕБЕСТОИМОСТЬ СТОКИ 2019'!Y152)</f>
        <v>8.86</v>
      </c>
      <c r="BD36" s="3137">
        <v>2345.0700000000002</v>
      </c>
      <c r="BE36" s="3137">
        <f t="shared" si="528"/>
        <v>2342.3953000277165</v>
      </c>
      <c r="BF36" s="3137">
        <f>SUM(BD36/BD9*BF9)*0.50608131588</f>
        <v>2.674699972283586</v>
      </c>
      <c r="BG36" s="3136">
        <f t="shared" si="529"/>
        <v>3132.7507860000001</v>
      </c>
      <c r="BH36" s="3136">
        <f t="shared" si="530"/>
        <v>3122.809992792676</v>
      </c>
      <c r="BI36" s="3136">
        <f t="shared" si="531"/>
        <v>9.940793207324079</v>
      </c>
      <c r="BJ36" s="3136">
        <f t="shared" si="532"/>
        <v>2565.5700000000002</v>
      </c>
      <c r="BK36" s="3136">
        <f>SUM('ПОЛНАЯ СЕБЕСТОИМОСТЬ СТОКИ 2019'!AA152)</f>
        <v>2549.48</v>
      </c>
      <c r="BL36" s="3136">
        <f>SUM('ПОЛНАЯ СЕБЕСТОИМОСТЬ СТОКИ 2019'!AB152)</f>
        <v>16.09</v>
      </c>
      <c r="BM36" s="3137">
        <v>2700.42</v>
      </c>
      <c r="BN36" s="3137">
        <f t="shared" si="533"/>
        <v>2682.1839739481284</v>
      </c>
      <c r="BO36" s="3137">
        <f>SUM(BM36/BM9*BO9)*0.50608131588</f>
        <v>18.236026051871729</v>
      </c>
      <c r="BP36" s="3180">
        <f t="shared" si="436"/>
        <v>9398.2523579999997</v>
      </c>
      <c r="BQ36" s="3180">
        <f t="shared" si="437"/>
        <v>9368.429978378028</v>
      </c>
      <c r="BR36" s="3180">
        <f t="shared" si="438"/>
        <v>29.822379621972239</v>
      </c>
      <c r="BS36" s="3180">
        <f t="shared" si="439"/>
        <v>7830.0810000000001</v>
      </c>
      <c r="BT36" s="3180">
        <f t="shared" si="440"/>
        <v>7797.67</v>
      </c>
      <c r="BU36" s="3180">
        <f t="shared" si="441"/>
        <v>32.411000000000001</v>
      </c>
      <c r="BV36" s="3180">
        <f t="shared" si="442"/>
        <v>7462.76</v>
      </c>
      <c r="BW36" s="3180">
        <f t="shared" si="443"/>
        <v>7440.6885720547643</v>
      </c>
      <c r="BX36" s="3180">
        <f t="shared" si="444"/>
        <v>22.071427945235797</v>
      </c>
      <c r="BY36" s="3143">
        <f t="shared" si="445"/>
        <v>-1568.1713579999996</v>
      </c>
      <c r="BZ36" s="3143">
        <f t="shared" si="446"/>
        <v>-1570.7599783780279</v>
      </c>
      <c r="CA36" s="3143">
        <f t="shared" si="447"/>
        <v>2.5886203780277626</v>
      </c>
      <c r="CB36" s="3180">
        <f t="shared" si="448"/>
        <v>18796.504715999999</v>
      </c>
      <c r="CC36" s="3180">
        <f t="shared" si="449"/>
        <v>18736.859956756056</v>
      </c>
      <c r="CD36" s="3180">
        <f t="shared" si="450"/>
        <v>59.644759243944478</v>
      </c>
      <c r="CE36" s="3180">
        <f t="shared" si="451"/>
        <v>14838.964</v>
      </c>
      <c r="CF36" s="3180">
        <f t="shared" si="452"/>
        <v>14783.34</v>
      </c>
      <c r="CG36" s="3180">
        <f t="shared" si="453"/>
        <v>55.624000000000002</v>
      </c>
      <c r="CH36" s="3198">
        <f t="shared" si="454"/>
        <v>14388.59</v>
      </c>
      <c r="CI36" s="3198">
        <f t="shared" si="455"/>
        <v>14347.075355449506</v>
      </c>
      <c r="CJ36" s="3198">
        <f t="shared" si="456"/>
        <v>41.514644550492918</v>
      </c>
      <c r="CK36" s="3143">
        <f t="shared" si="457"/>
        <v>-3957.5407159999995</v>
      </c>
      <c r="CL36" s="3143">
        <f t="shared" si="458"/>
        <v>-3953.5199567560558</v>
      </c>
      <c r="CM36" s="3143">
        <f t="shared" si="459"/>
        <v>-4.0207592439444753</v>
      </c>
      <c r="CN36" s="3136">
        <f t="shared" si="534"/>
        <v>3132.7507860000001</v>
      </c>
      <c r="CO36" s="3136">
        <f>SUM('ПОЛНАЯ СЕБЕСТОИМОСТЬ СТОКИ 2019'!AP152/3)</f>
        <v>3122.809992792676</v>
      </c>
      <c r="CP36" s="3136">
        <f>SUM('ПОЛНАЯ СЕБЕСТОИМОСТЬ СТОКИ 2019'!AQ152/3)</f>
        <v>9.940793207324079</v>
      </c>
      <c r="CQ36" s="3136">
        <f t="shared" si="535"/>
        <v>2455.7240000000002</v>
      </c>
      <c r="CR36" s="3136">
        <f>SUM('ПОЛНАЯ СЕБЕСТОИМОСТЬ СТОКИ 2019'!AS152)</f>
        <v>2454.46</v>
      </c>
      <c r="CS36" s="3136">
        <f>SUM('ПОЛНАЯ СЕБЕСТОИМОСТЬ СТОКИ 2019'!AT152)</f>
        <v>1.264</v>
      </c>
      <c r="CT36" s="3137">
        <v>2616.04</v>
      </c>
      <c r="CU36" s="3137">
        <f t="shared" si="536"/>
        <v>2614.1794732235176</v>
      </c>
      <c r="CV36" s="3137">
        <f>SUM(CT36/CT9*CV9)*0.50608131588</f>
        <v>1.8605267764826123</v>
      </c>
      <c r="CW36" s="3136">
        <f t="shared" si="537"/>
        <v>3132.7507860000001</v>
      </c>
      <c r="CX36" s="3136">
        <f t="shared" si="538"/>
        <v>3122.809992792676</v>
      </c>
      <c r="CY36" s="3136">
        <f t="shared" si="539"/>
        <v>9.940793207324079</v>
      </c>
      <c r="CZ36" s="3136">
        <f t="shared" si="540"/>
        <v>2644.1059999999998</v>
      </c>
      <c r="DA36" s="3136">
        <f>SUM('ПОЛНАЯ СЕБЕСТОИМОСТЬ СТОКИ 2019'!AV152)</f>
        <v>2635.89</v>
      </c>
      <c r="DB36" s="3136">
        <f>SUM('ПОЛНАЯ СЕБЕСТОИМОСТЬ СТОКИ 2019'!AW152)</f>
        <v>8.2159999999999993</v>
      </c>
      <c r="DC36" s="3137">
        <v>2701.43</v>
      </c>
      <c r="DD36" s="3137">
        <f t="shared" si="541"/>
        <v>2698.6800599970525</v>
      </c>
      <c r="DE36" s="3137">
        <f>SUM(DC36/DC9*DE9)*0.50608131588</f>
        <v>2.7499400029475805</v>
      </c>
      <c r="DF36" s="3136">
        <f t="shared" si="542"/>
        <v>3132.7507860000001</v>
      </c>
      <c r="DG36" s="3136">
        <f t="shared" si="543"/>
        <v>3122.809992792676</v>
      </c>
      <c r="DH36" s="3136">
        <f t="shared" si="544"/>
        <v>9.940793207324079</v>
      </c>
      <c r="DI36" s="3136">
        <f t="shared" si="545"/>
        <v>2534.7600000000002</v>
      </c>
      <c r="DJ36" s="3136">
        <f>SUM('ПОЛНАЯ СЕБЕСТОИМОСТЬ СТОКИ 2019'!AY152)</f>
        <v>2526.4300000000003</v>
      </c>
      <c r="DK36" s="3136">
        <f>SUM('ПОЛНАЯ СЕБЕСТОИМОСТЬ СТОКИ 2019'!AZ152)</f>
        <v>8.33</v>
      </c>
      <c r="DL36" s="3137">
        <v>2517.91</v>
      </c>
      <c r="DM36" s="3137">
        <f t="shared" si="546"/>
        <v>2499.6729085741526</v>
      </c>
      <c r="DN36" s="3137">
        <f>SUM(DL36/DL9*DN9)*0.50608131588</f>
        <v>18.237091425847129</v>
      </c>
      <c r="DO36" s="3180">
        <f t="shared" si="460"/>
        <v>9398.2523579999997</v>
      </c>
      <c r="DP36" s="3180">
        <f t="shared" si="461"/>
        <v>9368.429978378028</v>
      </c>
      <c r="DQ36" s="3180">
        <f t="shared" si="462"/>
        <v>29.822379621972239</v>
      </c>
      <c r="DR36" s="3180">
        <f t="shared" si="463"/>
        <v>7634.59</v>
      </c>
      <c r="DS36" s="3180">
        <f t="shared" si="464"/>
        <v>7616.7800000000007</v>
      </c>
      <c r="DT36" s="3180">
        <f t="shared" si="465"/>
        <v>17.809999999999999</v>
      </c>
      <c r="DU36" s="3180">
        <f t="shared" si="466"/>
        <v>7835.3799999999992</v>
      </c>
      <c r="DV36" s="3180">
        <f t="shared" si="467"/>
        <v>7812.5324417947222</v>
      </c>
      <c r="DW36" s="3180">
        <f t="shared" si="468"/>
        <v>22.847558205277323</v>
      </c>
      <c r="DX36" s="3143">
        <f t="shared" si="469"/>
        <v>-1763.6623579999996</v>
      </c>
      <c r="DY36" s="3143">
        <f t="shared" si="470"/>
        <v>-1751.6499783780273</v>
      </c>
      <c r="DZ36" s="3143">
        <f t="shared" si="471"/>
        <v>-12.01237962197224</v>
      </c>
      <c r="EA36" s="3180">
        <f t="shared" si="472"/>
        <v>28194.757074000001</v>
      </c>
      <c r="EB36" s="3180">
        <f t="shared" si="473"/>
        <v>28105.289935134082</v>
      </c>
      <c r="EC36" s="3180">
        <f t="shared" si="474"/>
        <v>89.467138865916723</v>
      </c>
      <c r="ED36" s="3180">
        <f t="shared" si="475"/>
        <v>22473.554</v>
      </c>
      <c r="EE36" s="3180">
        <f t="shared" si="476"/>
        <v>22400.120000000003</v>
      </c>
      <c r="EF36" s="3180">
        <f t="shared" si="477"/>
        <v>73.433999999999997</v>
      </c>
      <c r="EG36" s="3180">
        <f t="shared" si="478"/>
        <v>22223.97</v>
      </c>
      <c r="EH36" s="3180">
        <f t="shared" si="479"/>
        <v>22159.607797244229</v>
      </c>
      <c r="EI36" s="3180">
        <f t="shared" si="480"/>
        <v>64.362202755770241</v>
      </c>
      <c r="EJ36" s="3143">
        <f t="shared" si="481"/>
        <v>-5721.2030740000009</v>
      </c>
      <c r="EK36" s="3143">
        <f t="shared" si="482"/>
        <v>-5705.1699351340794</v>
      </c>
      <c r="EL36" s="3143">
        <f t="shared" si="483"/>
        <v>-16.033138865916726</v>
      </c>
      <c r="EM36" s="3136">
        <f t="shared" si="547"/>
        <v>3132.7507860000001</v>
      </c>
      <c r="EN36" s="3136">
        <f>SUM('ПОЛНАЯ СЕБЕСТОИМОСТЬ СТОКИ 2019'!BN152/3)</f>
        <v>3122.809992792676</v>
      </c>
      <c r="EO36" s="3136">
        <f>SUM('ПОЛНАЯ СЕБЕСТОИМОСТЬ СТОКИ 2019'!BO152/3)</f>
        <v>9.940793207324079</v>
      </c>
      <c r="EP36" s="3136">
        <f t="shared" si="548"/>
        <v>0</v>
      </c>
      <c r="EQ36" s="3136">
        <f>SUM('ПОЛНАЯ СЕБЕСТОИМОСТЬ СТОКИ 2019'!BQ152)</f>
        <v>0</v>
      </c>
      <c r="ER36" s="3136">
        <f>SUM('ПОЛНАЯ СЕБЕСТОИМОСТЬ СТОКИ 2019'!BR152)</f>
        <v>0</v>
      </c>
      <c r="ES36" s="3137">
        <v>2384.0100000000002</v>
      </c>
      <c r="ET36" s="3137">
        <f t="shared" si="549"/>
        <v>2381.5116812038873</v>
      </c>
      <c r="EU36" s="3137">
        <f>SUM(ES36/ES9*EU9)*0.50608131588</f>
        <v>2.498318796113133</v>
      </c>
      <c r="EV36" s="3136">
        <f t="shared" si="550"/>
        <v>3132.7507860000001</v>
      </c>
      <c r="EW36" s="3136">
        <f t="shared" si="551"/>
        <v>3122.809992792676</v>
      </c>
      <c r="EX36" s="3136">
        <f t="shared" si="552"/>
        <v>9.940793207324079</v>
      </c>
      <c r="EY36" s="3136">
        <f t="shared" si="553"/>
        <v>0</v>
      </c>
      <c r="EZ36" s="3136">
        <f>SUM('ПОЛНАЯ СЕБЕСТОИМОСТЬ СТОКИ 2019'!BT152)</f>
        <v>0</v>
      </c>
      <c r="FA36" s="3136">
        <f>SUM('ПОЛНАЯ СЕБЕСТОИМОСТЬ СТОКИ 2019'!BU152)</f>
        <v>0</v>
      </c>
      <c r="FB36" s="3137">
        <v>2411.21</v>
      </c>
      <c r="FC36" s="3137">
        <f t="shared" si="554"/>
        <v>2408.5937043354979</v>
      </c>
      <c r="FD36" s="3137">
        <f>SUM(FB36/FB9*FD9)*0.50608131588</f>
        <v>2.6162956645020423</v>
      </c>
      <c r="FE36" s="3136">
        <f t="shared" si="555"/>
        <v>3132.7507860000001</v>
      </c>
      <c r="FF36" s="3136">
        <f t="shared" si="556"/>
        <v>3122.809992792676</v>
      </c>
      <c r="FG36" s="3136">
        <f t="shared" si="557"/>
        <v>9.940793207324079</v>
      </c>
      <c r="FH36" s="3136">
        <f t="shared" si="558"/>
        <v>0</v>
      </c>
      <c r="FI36" s="3136">
        <f>SUM('ПОЛНАЯ СЕБЕСТОИМОСТЬ СТОКИ 2019'!BW152)</f>
        <v>0</v>
      </c>
      <c r="FJ36" s="3136">
        <f>SUM('ПОЛНАЯ СЕБЕСТОИМОСТЬ СТОКИ 2019'!BX152)</f>
        <v>0</v>
      </c>
      <c r="FK36" s="3137">
        <v>2333.77</v>
      </c>
      <c r="FL36" s="3137">
        <f t="shared" si="559"/>
        <v>2315.8644535238523</v>
      </c>
      <c r="FM36" s="3137">
        <f>SUM(FK36/FK9*FM9)*0.50608131588</f>
        <v>17.905546476147499</v>
      </c>
      <c r="FN36" s="3180">
        <f t="shared" si="484"/>
        <v>9398.2523579999997</v>
      </c>
      <c r="FO36" s="3180">
        <f t="shared" si="485"/>
        <v>9368.429978378028</v>
      </c>
      <c r="FP36" s="3180">
        <f t="shared" si="486"/>
        <v>29.822379621972239</v>
      </c>
      <c r="FQ36" s="3180">
        <f t="shared" si="487"/>
        <v>0</v>
      </c>
      <c r="FR36" s="3180">
        <f t="shared" si="488"/>
        <v>0</v>
      </c>
      <c r="FS36" s="3180">
        <f t="shared" si="489"/>
        <v>0</v>
      </c>
      <c r="FT36" s="3180">
        <f t="shared" si="490"/>
        <v>7128.99</v>
      </c>
      <c r="FU36" s="3180">
        <f t="shared" si="491"/>
        <v>7105.9698390632384</v>
      </c>
      <c r="FV36" s="3180">
        <f t="shared" si="492"/>
        <v>23.020160936762675</v>
      </c>
      <c r="FW36" s="3143">
        <f t="shared" si="493"/>
        <v>-9398.2523579999997</v>
      </c>
      <c r="FX36" s="3143">
        <f t="shared" si="494"/>
        <v>-9368.429978378028</v>
      </c>
      <c r="FY36" s="3143">
        <f t="shared" si="495"/>
        <v>-29.822379621972239</v>
      </c>
      <c r="FZ36" s="3242">
        <f t="shared" si="496"/>
        <v>37593.009431999999</v>
      </c>
      <c r="GA36" s="3242">
        <f t="shared" si="497"/>
        <v>37473.719913512112</v>
      </c>
      <c r="GB36" s="3242">
        <f t="shared" si="498"/>
        <v>119.28951848788896</v>
      </c>
      <c r="GC36" s="3242">
        <f t="shared" si="499"/>
        <v>22473.554</v>
      </c>
      <c r="GD36" s="3242">
        <f t="shared" si="500"/>
        <v>22400.120000000003</v>
      </c>
      <c r="GE36" s="3242">
        <f t="shared" si="501"/>
        <v>73.433999999999997</v>
      </c>
      <c r="GF36" s="3242">
        <f t="shared" si="502"/>
        <v>29352.959999999999</v>
      </c>
      <c r="GG36" s="3242">
        <f t="shared" si="503"/>
        <v>29265.577636307469</v>
      </c>
      <c r="GH36" s="3242">
        <f t="shared" si="504"/>
        <v>87.38236369253292</v>
      </c>
      <c r="GI36" s="3243">
        <f t="shared" si="505"/>
        <v>-15119.455431999999</v>
      </c>
      <c r="GJ36" s="3243">
        <f t="shared" si="506"/>
        <v>-15073.599913512109</v>
      </c>
      <c r="GK36" s="3243">
        <f t="shared" si="507"/>
        <v>-45.855518487888958</v>
      </c>
    </row>
    <row r="37" spans="1:193" ht="18.75" customHeight="1" x14ac:dyDescent="0.3">
      <c r="A37" s="3111" t="s">
        <v>117</v>
      </c>
      <c r="B37" s="3136">
        <f t="shared" si="508"/>
        <v>943.91045095444076</v>
      </c>
      <c r="C37" s="3136">
        <f>SUM('ПОЛНАЯ СЕБЕСТОИМОСТЬ СТОКИ 2019'!C153/3)</f>
        <v>940.9153409260839</v>
      </c>
      <c r="D37" s="3136">
        <f>SUM('ПОЛНАЯ СЕБЕСТОИМОСТЬ СТОКИ 2019'!D153/3)</f>
        <v>2.9951100283568288</v>
      </c>
      <c r="E37" s="3136">
        <f t="shared" si="509"/>
        <v>722.1389999999999</v>
      </c>
      <c r="F37" s="3136">
        <f>SUM('ПОЛНАЯ СЕБЕСТОИМОСТЬ СТОКИ 2019'!F153)</f>
        <v>719.70999999999992</v>
      </c>
      <c r="G37" s="3136">
        <f>SUM('ПОЛНАЯ СЕБЕСТОИМОСТЬ СТОКИ 2019'!G153)</f>
        <v>2.4289999999999998</v>
      </c>
      <c r="H37" s="3137">
        <v>694.82</v>
      </c>
      <c r="I37" s="3137">
        <f t="shared" si="510"/>
        <v>694.50825578234003</v>
      </c>
      <c r="J37" s="3137">
        <f>SUM(H37/H9*J9)*0.50604258584</f>
        <v>0.31174421766006766</v>
      </c>
      <c r="K37" s="3136">
        <f t="shared" si="511"/>
        <v>943.91045095444076</v>
      </c>
      <c r="L37" s="3136">
        <f t="shared" si="512"/>
        <v>940.9153409260839</v>
      </c>
      <c r="M37" s="3136">
        <f t="shared" si="513"/>
        <v>2.9951100283568288</v>
      </c>
      <c r="N37" s="3136">
        <f t="shared" si="514"/>
        <v>652.68000000000006</v>
      </c>
      <c r="O37" s="3136">
        <f>SUM('ПОЛНАЯ СЕБЕСТОИМОСТЬ СТОКИ 2019'!I153)</f>
        <v>650.3900000000001</v>
      </c>
      <c r="P37" s="3136">
        <f>SUM('ПОЛНАЯ СЕБЕСТОИМОСТЬ СТОКИ 2019'!J153)</f>
        <v>2.29</v>
      </c>
      <c r="Q37" s="3137">
        <v>645.41999999999996</v>
      </c>
      <c r="R37" s="3137">
        <f t="shared" si="515"/>
        <v>645.18551709392386</v>
      </c>
      <c r="S37" s="3137">
        <f>SUM(Q37/Q9*S9)*0.50604258584</f>
        <v>0.23448290607610817</v>
      </c>
      <c r="T37" s="3136">
        <f t="shared" si="516"/>
        <v>943.91045095444076</v>
      </c>
      <c r="U37" s="3136">
        <f t="shared" si="517"/>
        <v>940.9153409260839</v>
      </c>
      <c r="V37" s="3136">
        <f t="shared" si="518"/>
        <v>2.9951100283568288</v>
      </c>
      <c r="W37" s="3136">
        <f t="shared" si="519"/>
        <v>734.71</v>
      </c>
      <c r="X37" s="3136">
        <f>SUM('ПОЛНАЯ СЕБЕСТОИМОСТЬ СТОКИ 2019'!L153)</f>
        <v>732.42000000000007</v>
      </c>
      <c r="Y37" s="3136">
        <f>SUM('ПОЛНАЯ СЕБЕСТОИМОСТЬ СТОКИ 2019'!M153)</f>
        <v>2.29</v>
      </c>
      <c r="Z37" s="3137">
        <v>746.23</v>
      </c>
      <c r="AA37" s="3137">
        <f t="shared" si="520"/>
        <v>740.91318129663125</v>
      </c>
      <c r="AB37" s="3137">
        <f>SUM(Z37/Z9*AB9)*0.50604258584</f>
        <v>5.3168187033687495</v>
      </c>
      <c r="AC37" s="3180">
        <f t="shared" si="424"/>
        <v>2831.7313528633222</v>
      </c>
      <c r="AD37" s="3180">
        <f t="shared" si="425"/>
        <v>2822.7460227782517</v>
      </c>
      <c r="AE37" s="3180">
        <f t="shared" si="426"/>
        <v>8.9853300850704869</v>
      </c>
      <c r="AF37" s="3180">
        <f t="shared" si="427"/>
        <v>2109.529</v>
      </c>
      <c r="AG37" s="3180">
        <f t="shared" si="428"/>
        <v>2102.52</v>
      </c>
      <c r="AH37" s="3180">
        <f t="shared" si="429"/>
        <v>7.0089999999999995</v>
      </c>
      <c r="AI37" s="3180">
        <f t="shared" si="430"/>
        <v>2086.4700000000003</v>
      </c>
      <c r="AJ37" s="3180">
        <f t="shared" si="431"/>
        <v>2080.6069541728953</v>
      </c>
      <c r="AK37" s="3180">
        <f t="shared" si="432"/>
        <v>5.8630458271049255</v>
      </c>
      <c r="AL37" s="3143">
        <f t="shared" si="433"/>
        <v>-722.20235286332218</v>
      </c>
      <c r="AM37" s="3143">
        <f t="shared" si="434"/>
        <v>-720.22602277825172</v>
      </c>
      <c r="AN37" s="3143">
        <f t="shared" si="435"/>
        <v>-1.9763300850704875</v>
      </c>
      <c r="AO37" s="3136">
        <f t="shared" si="521"/>
        <v>943.91045095444076</v>
      </c>
      <c r="AP37" s="3136">
        <f>SUM('ПОЛНАЯ СЕБЕСТОИМОСТЬ СТОКИ 2019'!R153/3)</f>
        <v>940.9153409260839</v>
      </c>
      <c r="AQ37" s="3136">
        <f>SUM('ПОЛНАЯ СЕБЕСТОИМОСТЬ СТОКИ 2019'!S153/3)</f>
        <v>2.9951100283568288</v>
      </c>
      <c r="AR37" s="3136">
        <f t="shared" si="522"/>
        <v>816.61300000000006</v>
      </c>
      <c r="AS37" s="3136">
        <f>SUM('ПОЛНАЯ СЕБЕСТОИМОСТЬ СТОКИ 2019'!U153)</f>
        <v>814.36</v>
      </c>
      <c r="AT37" s="3136">
        <f>SUM('ПОЛНАЯ СЕБЕСТОИМОСТЬ СТОКИ 2019'!V153)</f>
        <v>2.2530000000000001</v>
      </c>
      <c r="AU37" s="3137">
        <v>730.33</v>
      </c>
      <c r="AV37" s="3137">
        <f t="shared" si="523"/>
        <v>729.97934386291183</v>
      </c>
      <c r="AW37" s="3137">
        <f>SUM(AU37/AU9*AW9)*0.50604258584</f>
        <v>0.35065613708826437</v>
      </c>
      <c r="AX37" s="3136">
        <f t="shared" si="524"/>
        <v>943.91045095444076</v>
      </c>
      <c r="AY37" s="3136">
        <f t="shared" si="525"/>
        <v>940.9153409260839</v>
      </c>
      <c r="AZ37" s="3136">
        <f t="shared" si="526"/>
        <v>2.9951100283568288</v>
      </c>
      <c r="BA37" s="3277">
        <f t="shared" si="527"/>
        <v>790.9899999999999</v>
      </c>
      <c r="BB37" s="3277">
        <f>SUM('ПОЛНАЯ СЕБЕСТОИМОСТЬ СТОКИ 2019'!X153)</f>
        <v>788.31</v>
      </c>
      <c r="BC37" s="3277">
        <f>SUM('ПОЛНАЯ СЕБЕСТОИМОСТЬ СТОКИ 2019'!Y153)</f>
        <v>2.68</v>
      </c>
      <c r="BD37" s="3137">
        <v>707.1</v>
      </c>
      <c r="BE37" s="3137">
        <f t="shared" si="528"/>
        <v>706.29356965375302</v>
      </c>
      <c r="BF37" s="3137">
        <f>SUM(BD37/BD9*BF9)*0.50604258584</f>
        <v>0.80643034624700627</v>
      </c>
      <c r="BG37" s="3136">
        <f t="shared" si="529"/>
        <v>943.91045095444076</v>
      </c>
      <c r="BH37" s="3136">
        <f t="shared" si="530"/>
        <v>940.9153409260839</v>
      </c>
      <c r="BI37" s="3136">
        <f t="shared" si="531"/>
        <v>2.9951100283568288</v>
      </c>
      <c r="BJ37" s="3136">
        <f t="shared" si="532"/>
        <v>771.73</v>
      </c>
      <c r="BK37" s="3136">
        <f>SUM('ПОЛНАЯ СЕБЕСТОИМОСТЬ СТОКИ 2019'!AA153)</f>
        <v>766.87</v>
      </c>
      <c r="BL37" s="3136">
        <f>SUM('ПОЛНАЯ СЕБЕСТОИМОСТЬ СТОКИ 2019'!AB153)</f>
        <v>4.8600000000000003</v>
      </c>
      <c r="BM37" s="3137">
        <v>819.03</v>
      </c>
      <c r="BN37" s="3137">
        <f t="shared" si="533"/>
        <v>813.49948645499762</v>
      </c>
      <c r="BO37" s="3137">
        <f>SUM(BM37/BM9*BO9)*0.50604258584</f>
        <v>5.5305135450023375</v>
      </c>
      <c r="BP37" s="3180">
        <f t="shared" si="436"/>
        <v>2831.7313528633222</v>
      </c>
      <c r="BQ37" s="3180">
        <f t="shared" si="437"/>
        <v>2822.7460227782517</v>
      </c>
      <c r="BR37" s="3180">
        <f t="shared" si="438"/>
        <v>8.9853300850704869</v>
      </c>
      <c r="BS37" s="3180">
        <f t="shared" si="439"/>
        <v>2379.3330000000001</v>
      </c>
      <c r="BT37" s="3180">
        <f t="shared" si="440"/>
        <v>2369.54</v>
      </c>
      <c r="BU37" s="3180">
        <f t="shared" si="441"/>
        <v>9.7929999999999993</v>
      </c>
      <c r="BV37" s="3180">
        <f t="shared" si="442"/>
        <v>2256.46</v>
      </c>
      <c r="BW37" s="3180">
        <f t="shared" si="443"/>
        <v>2249.7723999716627</v>
      </c>
      <c r="BX37" s="3180">
        <f t="shared" si="444"/>
        <v>6.6876000283376076</v>
      </c>
      <c r="BY37" s="3143">
        <f t="shared" si="445"/>
        <v>-452.39835286332209</v>
      </c>
      <c r="BZ37" s="3143">
        <f t="shared" si="446"/>
        <v>-453.20602277825174</v>
      </c>
      <c r="CA37" s="3143">
        <f t="shared" si="447"/>
        <v>0.80766991492951234</v>
      </c>
      <c r="CB37" s="3180">
        <f t="shared" si="448"/>
        <v>5663.4627057266443</v>
      </c>
      <c r="CC37" s="3180">
        <f t="shared" si="449"/>
        <v>5645.4920455565034</v>
      </c>
      <c r="CD37" s="3180">
        <f t="shared" si="450"/>
        <v>17.970660170140974</v>
      </c>
      <c r="CE37" s="3180">
        <f t="shared" si="451"/>
        <v>4488.8620000000001</v>
      </c>
      <c r="CF37" s="3180">
        <f t="shared" si="452"/>
        <v>4472.0599999999995</v>
      </c>
      <c r="CG37" s="3180">
        <f t="shared" si="453"/>
        <v>16.802</v>
      </c>
      <c r="CH37" s="3198">
        <f t="shared" si="454"/>
        <v>4342.93</v>
      </c>
      <c r="CI37" s="3198">
        <f t="shared" si="455"/>
        <v>4330.3793541445575</v>
      </c>
      <c r="CJ37" s="3198">
        <f t="shared" si="456"/>
        <v>12.550645855442532</v>
      </c>
      <c r="CK37" s="3143">
        <f t="shared" si="457"/>
        <v>-1174.6007057266443</v>
      </c>
      <c r="CL37" s="3143">
        <f t="shared" si="458"/>
        <v>-1173.4320455565039</v>
      </c>
      <c r="CM37" s="3143">
        <f t="shared" si="459"/>
        <v>-1.1686601701409742</v>
      </c>
      <c r="CN37" s="3136">
        <f t="shared" si="534"/>
        <v>943.91045095444076</v>
      </c>
      <c r="CO37" s="3136">
        <f>SUM('ПОЛНАЯ СЕБЕСТОИМОСТЬ СТОКИ 2019'!AP153/3)</f>
        <v>940.9153409260839</v>
      </c>
      <c r="CP37" s="3136">
        <f>SUM('ПОЛНАЯ СЕБЕСТОИМОСТЬ СТОКИ 2019'!AQ153/3)</f>
        <v>2.9951100283568288</v>
      </c>
      <c r="CQ37" s="3136">
        <f t="shared" si="535"/>
        <v>740.49199999999996</v>
      </c>
      <c r="CR37" s="3136">
        <f>SUM('ПОЛНАЯ СЕБЕСТОИМОСТЬ СТОКИ 2019'!AS153)</f>
        <v>740.11</v>
      </c>
      <c r="CS37" s="3136">
        <f>SUM('ПОЛНАЯ СЕБЕСТОИМОСТЬ СТОКИ 2019'!AT153)</f>
        <v>0.38200000000000001</v>
      </c>
      <c r="CT37" s="3137">
        <v>790.62</v>
      </c>
      <c r="CU37" s="3137">
        <f t="shared" si="536"/>
        <v>790.05775435093938</v>
      </c>
      <c r="CV37" s="3137">
        <f>SUM(CT37/CT9*CV9)*0.50604258584</f>
        <v>0.5622456490605896</v>
      </c>
      <c r="CW37" s="3136">
        <f t="shared" si="537"/>
        <v>943.91045095444076</v>
      </c>
      <c r="CX37" s="3136">
        <f t="shared" si="538"/>
        <v>940.9153409260839</v>
      </c>
      <c r="CY37" s="3136">
        <f t="shared" si="539"/>
        <v>2.9951100283568288</v>
      </c>
      <c r="CZ37" s="3136">
        <f t="shared" si="540"/>
        <v>799.69100000000003</v>
      </c>
      <c r="DA37" s="3136">
        <f>SUM('ПОЛНАЯ СЕБЕСТОИМОСТЬ СТОКИ 2019'!AV153)</f>
        <v>797.21</v>
      </c>
      <c r="DB37" s="3136">
        <f>SUM('ПОЛНАЯ СЕБЕСТОИМОСТЬ СТОКИ 2019'!AW153)</f>
        <v>2.4809999999999999</v>
      </c>
      <c r="DC37" s="3137">
        <v>815.44</v>
      </c>
      <c r="DD37" s="3137">
        <f t="shared" si="541"/>
        <v>814.60998054145671</v>
      </c>
      <c r="DE37" s="3137">
        <f>SUM(DC37/DC9*DE9)*0.50604258584</f>
        <v>0.83001945854337067</v>
      </c>
      <c r="DF37" s="3136">
        <f t="shared" si="542"/>
        <v>943.91045095444076</v>
      </c>
      <c r="DG37" s="3136">
        <f t="shared" si="543"/>
        <v>940.9153409260839</v>
      </c>
      <c r="DH37" s="3136">
        <f t="shared" si="544"/>
        <v>2.9951100283568288</v>
      </c>
      <c r="DI37" s="3136">
        <f t="shared" si="545"/>
        <v>778.9799999999999</v>
      </c>
      <c r="DJ37" s="3136">
        <f>SUM('ПОЛНАЯ СЕБЕСТОИМОСТЬ СТОКИ 2019'!AY153)</f>
        <v>776.45999999999992</v>
      </c>
      <c r="DK37" s="3136">
        <f>SUM('ПОЛНАЯ СЕБЕСТОИМОСТЬ СТОКИ 2019'!AZ153)</f>
        <v>2.52</v>
      </c>
      <c r="DL37" s="3137">
        <v>760.07</v>
      </c>
      <c r="DM37" s="3137">
        <f t="shared" si="546"/>
        <v>754.56527375005862</v>
      </c>
      <c r="DN37" s="3137">
        <f>SUM(DL37/DL9*DN9)*0.50604258584</f>
        <v>5.5047262499413705</v>
      </c>
      <c r="DO37" s="3180">
        <f t="shared" si="460"/>
        <v>2831.7313528633222</v>
      </c>
      <c r="DP37" s="3180">
        <f t="shared" si="461"/>
        <v>2822.7460227782517</v>
      </c>
      <c r="DQ37" s="3180">
        <f t="shared" si="462"/>
        <v>8.9853300850704869</v>
      </c>
      <c r="DR37" s="3180">
        <f t="shared" si="463"/>
        <v>2319.163</v>
      </c>
      <c r="DS37" s="3180">
        <f t="shared" si="464"/>
        <v>2313.7800000000002</v>
      </c>
      <c r="DT37" s="3180">
        <f t="shared" si="465"/>
        <v>5.383</v>
      </c>
      <c r="DU37" s="3180">
        <f t="shared" si="466"/>
        <v>2366.13</v>
      </c>
      <c r="DV37" s="3180">
        <f t="shared" si="467"/>
        <v>2359.2330086424545</v>
      </c>
      <c r="DW37" s="3180">
        <f t="shared" si="468"/>
        <v>6.896991357545331</v>
      </c>
      <c r="DX37" s="3143">
        <f t="shared" si="469"/>
        <v>-512.56835286332216</v>
      </c>
      <c r="DY37" s="3143">
        <f t="shared" si="470"/>
        <v>-508.9660227782515</v>
      </c>
      <c r="DZ37" s="3143">
        <f t="shared" si="471"/>
        <v>-3.6023300850704869</v>
      </c>
      <c r="EA37" s="3180">
        <f t="shared" si="472"/>
        <v>8495.1940585899665</v>
      </c>
      <c r="EB37" s="3180">
        <f t="shared" si="473"/>
        <v>8468.2380683347546</v>
      </c>
      <c r="EC37" s="3180">
        <f t="shared" si="474"/>
        <v>26.955990255211461</v>
      </c>
      <c r="ED37" s="3180">
        <f t="shared" si="475"/>
        <v>6808.0249999999996</v>
      </c>
      <c r="EE37" s="3180">
        <f t="shared" si="476"/>
        <v>6785.84</v>
      </c>
      <c r="EF37" s="3180">
        <f t="shared" si="477"/>
        <v>22.184999999999999</v>
      </c>
      <c r="EG37" s="3180">
        <f t="shared" si="478"/>
        <v>6709.06</v>
      </c>
      <c r="EH37" s="3180">
        <f t="shared" si="479"/>
        <v>6689.612362787012</v>
      </c>
      <c r="EI37" s="3180">
        <f t="shared" si="480"/>
        <v>19.447637212987864</v>
      </c>
      <c r="EJ37" s="3143">
        <f t="shared" si="481"/>
        <v>-1687.1690585899669</v>
      </c>
      <c r="EK37" s="3143">
        <f t="shared" si="482"/>
        <v>-1682.3980683347545</v>
      </c>
      <c r="EL37" s="3143">
        <f t="shared" si="483"/>
        <v>-4.770990255211462</v>
      </c>
      <c r="EM37" s="3136">
        <f t="shared" si="547"/>
        <v>943.91045095444076</v>
      </c>
      <c r="EN37" s="3136">
        <f>SUM('ПОЛНАЯ СЕБЕСТОИМОСТЬ СТОКИ 2019'!BN153/3)</f>
        <v>940.9153409260839</v>
      </c>
      <c r="EO37" s="3136">
        <f>SUM('ПОЛНАЯ СЕБЕСТОИМОСТЬ СТОКИ 2019'!BO153/3)</f>
        <v>2.9951100283568288</v>
      </c>
      <c r="EP37" s="3136">
        <f t="shared" si="548"/>
        <v>0</v>
      </c>
      <c r="EQ37" s="3136">
        <f>SUM('ПОЛНАЯ СЕБЕСТОИМОСТЬ СТОКИ 2019'!BQ153)</f>
        <v>0</v>
      </c>
      <c r="ER37" s="3136">
        <f>SUM('ПОЛНАЯ СЕБЕСТОИМОСТЬ СТОКИ 2019'!BR153)</f>
        <v>0</v>
      </c>
      <c r="ES37" s="3137">
        <v>720.55</v>
      </c>
      <c r="ET37" s="3137">
        <f t="shared" si="549"/>
        <v>719.79495876975761</v>
      </c>
      <c r="EU37" s="3137">
        <f>SUM(ES37/ES9*EU9)*0.50604258584</f>
        <v>0.75504123024229797</v>
      </c>
      <c r="EV37" s="3136">
        <f t="shared" si="550"/>
        <v>943.91045095444076</v>
      </c>
      <c r="EW37" s="3136">
        <f t="shared" si="551"/>
        <v>940.9153409260839</v>
      </c>
      <c r="EX37" s="3136">
        <f t="shared" si="552"/>
        <v>2.9951100283568288</v>
      </c>
      <c r="EY37" s="3136">
        <f t="shared" si="553"/>
        <v>0</v>
      </c>
      <c r="EZ37" s="3136">
        <f>SUM('ПОЛНАЯ СЕБЕСТОИМОСТЬ СТОКИ 2019'!BT153)</f>
        <v>0</v>
      </c>
      <c r="FA37" s="3136">
        <f>SUM('ПОЛНАЯ СЕБЕСТОИМОСТЬ СТОКИ 2019'!BU153)</f>
        <v>0</v>
      </c>
      <c r="FB37" s="3137">
        <v>725.89</v>
      </c>
      <c r="FC37" s="3137">
        <f t="shared" si="554"/>
        <v>725.10242964326414</v>
      </c>
      <c r="FD37" s="3137">
        <f>SUM(FB37/FB9*FD9)*0.50604258584</f>
        <v>0.78757035673579634</v>
      </c>
      <c r="FE37" s="3136">
        <f t="shared" si="555"/>
        <v>943.91045095444076</v>
      </c>
      <c r="FF37" s="3136">
        <f t="shared" si="556"/>
        <v>940.9153409260839</v>
      </c>
      <c r="FG37" s="3136">
        <f t="shared" si="557"/>
        <v>2.9951100283568288</v>
      </c>
      <c r="FH37" s="3136">
        <f t="shared" si="558"/>
        <v>0</v>
      </c>
      <c r="FI37" s="3136">
        <f>SUM('ПОЛНАЯ СЕБЕСТОИМОСТЬ СТОКИ 2019'!BW153)</f>
        <v>0</v>
      </c>
      <c r="FJ37" s="3136">
        <f>SUM('ПОЛНАЯ СЕБЕСТОИМОСТЬ СТОКИ 2019'!BX153)</f>
        <v>0</v>
      </c>
      <c r="FK37" s="3137">
        <v>702.84</v>
      </c>
      <c r="FL37" s="3137">
        <f t="shared" si="559"/>
        <v>697.44796428756479</v>
      </c>
      <c r="FM37" s="3137">
        <f>SUM(FK37/FK9*FM9)*0.50604258584</f>
        <v>5.3920357124352334</v>
      </c>
      <c r="FN37" s="3180">
        <f t="shared" si="484"/>
        <v>2831.7313528633222</v>
      </c>
      <c r="FO37" s="3180">
        <f t="shared" si="485"/>
        <v>2822.7460227782517</v>
      </c>
      <c r="FP37" s="3180">
        <f t="shared" si="486"/>
        <v>8.9853300850704869</v>
      </c>
      <c r="FQ37" s="3180">
        <f t="shared" si="487"/>
        <v>0</v>
      </c>
      <c r="FR37" s="3180">
        <f t="shared" si="488"/>
        <v>0</v>
      </c>
      <c r="FS37" s="3180">
        <f t="shared" si="489"/>
        <v>0</v>
      </c>
      <c r="FT37" s="3180">
        <f t="shared" si="490"/>
        <v>2149.2800000000002</v>
      </c>
      <c r="FU37" s="3180">
        <f t="shared" si="491"/>
        <v>2142.3453527005868</v>
      </c>
      <c r="FV37" s="3180">
        <f t="shared" si="492"/>
        <v>6.9346472994133279</v>
      </c>
      <c r="FW37" s="3143">
        <f t="shared" si="493"/>
        <v>-2831.7313528633222</v>
      </c>
      <c r="FX37" s="3143">
        <f t="shared" si="494"/>
        <v>-2822.7460227782517</v>
      </c>
      <c r="FY37" s="3143">
        <f t="shared" si="495"/>
        <v>-8.9853300850704869</v>
      </c>
      <c r="FZ37" s="3242">
        <f t="shared" si="496"/>
        <v>11326.925411453289</v>
      </c>
      <c r="GA37" s="3242">
        <f t="shared" si="497"/>
        <v>11290.984091113007</v>
      </c>
      <c r="GB37" s="3242">
        <f t="shared" si="498"/>
        <v>35.941320340281948</v>
      </c>
      <c r="GC37" s="3242">
        <f t="shared" si="499"/>
        <v>6808.0249999999996</v>
      </c>
      <c r="GD37" s="3242">
        <f t="shared" si="500"/>
        <v>6785.84</v>
      </c>
      <c r="GE37" s="3242">
        <f t="shared" si="501"/>
        <v>22.184999999999999</v>
      </c>
      <c r="GF37" s="3242">
        <f t="shared" si="502"/>
        <v>8858.34</v>
      </c>
      <c r="GG37" s="3242">
        <f t="shared" si="503"/>
        <v>8831.9577154875988</v>
      </c>
      <c r="GH37" s="3242">
        <f t="shared" si="504"/>
        <v>26.382284512401192</v>
      </c>
      <c r="GI37" s="3243">
        <f t="shared" si="505"/>
        <v>-4518.9004114532891</v>
      </c>
      <c r="GJ37" s="3243">
        <f t="shared" si="506"/>
        <v>-4505.1440911130067</v>
      </c>
      <c r="GK37" s="3243">
        <f t="shared" si="507"/>
        <v>-13.756320340281949</v>
      </c>
    </row>
    <row r="38" spans="1:193" ht="18.75" customHeight="1" x14ac:dyDescent="0.3">
      <c r="A38" s="3199" t="s">
        <v>318</v>
      </c>
      <c r="B38" s="3139">
        <f>SUM(B37/B36)</f>
        <v>0.30130403451583104</v>
      </c>
      <c r="C38" s="3139">
        <f t="shared" ref="C38:AK38" si="560">SUM(C37/C36)</f>
        <v>0.30130406367908386</v>
      </c>
      <c r="D38" s="3139">
        <f t="shared" si="560"/>
        <v>0.30129487314454156</v>
      </c>
      <c r="E38" s="3139">
        <f t="shared" si="560"/>
        <v>0.30265890410786661</v>
      </c>
      <c r="F38" s="3139">
        <f t="shared" si="560"/>
        <v>0.3026611268577003</v>
      </c>
      <c r="G38" s="3139">
        <f t="shared" si="560"/>
        <v>0.30200174064403829</v>
      </c>
      <c r="H38" s="3139">
        <f t="shared" si="560"/>
        <v>0.3013815090329437</v>
      </c>
      <c r="I38" s="3139">
        <f t="shared" si="560"/>
        <v>0.30138151938671326</v>
      </c>
      <c r="J38" s="3139">
        <f t="shared" si="560"/>
        <v>0.30135844452229321</v>
      </c>
      <c r="K38" s="3139">
        <f t="shared" si="560"/>
        <v>0.30130403451583104</v>
      </c>
      <c r="L38" s="3139">
        <f t="shared" si="560"/>
        <v>0.30130406367908386</v>
      </c>
      <c r="M38" s="3139">
        <f t="shared" si="560"/>
        <v>0.30129487314454156</v>
      </c>
      <c r="N38" s="3139">
        <f t="shared" si="560"/>
        <v>0.29888584106864008</v>
      </c>
      <c r="O38" s="3139">
        <f t="shared" si="560"/>
        <v>0.29887598110398328</v>
      </c>
      <c r="P38" s="3139">
        <f t="shared" si="560"/>
        <v>0.30171277997364954</v>
      </c>
      <c r="Q38" s="3139">
        <f t="shared" si="560"/>
        <v>0.30071285468014719</v>
      </c>
      <c r="R38" s="3139">
        <f t="shared" ref="R38:S38" si="561">SUM(R37/R36)</f>
        <v>0.30071286304463712</v>
      </c>
      <c r="S38" s="3139">
        <f t="shared" si="561"/>
        <v>0.30068984134113458</v>
      </c>
      <c r="T38" s="3139">
        <f t="shared" si="560"/>
        <v>0.30130403451583104</v>
      </c>
      <c r="U38" s="3139">
        <f t="shared" si="560"/>
        <v>0.30130406367908386</v>
      </c>
      <c r="V38" s="3139">
        <f t="shared" si="560"/>
        <v>0.30129487314454156</v>
      </c>
      <c r="W38" s="3139">
        <f t="shared" si="560"/>
        <v>0.30121064779701456</v>
      </c>
      <c r="X38" s="3139">
        <f t="shared" si="560"/>
        <v>0.30120784171803866</v>
      </c>
      <c r="Y38" s="3139">
        <f t="shared" si="560"/>
        <v>0.30211081794195249</v>
      </c>
      <c r="Z38" s="3139">
        <f t="shared" si="560"/>
        <v>0.30161918773847252</v>
      </c>
      <c r="AA38" s="3139">
        <f t="shared" si="560"/>
        <v>0.30161935339349744</v>
      </c>
      <c r="AB38" s="3139">
        <f t="shared" si="560"/>
        <v>0.3015961050384412</v>
      </c>
      <c r="AC38" s="3140">
        <f t="shared" si="560"/>
        <v>0.30130403451583104</v>
      </c>
      <c r="AD38" s="3140">
        <f t="shared" si="560"/>
        <v>0.30130406367908386</v>
      </c>
      <c r="AE38" s="3140">
        <f t="shared" si="560"/>
        <v>0.30129487314454156</v>
      </c>
      <c r="AF38" s="3140">
        <f t="shared" si="560"/>
        <v>0.30097934292810996</v>
      </c>
      <c r="AG38" s="3140">
        <f t="shared" si="560"/>
        <v>0.30097614115754107</v>
      </c>
      <c r="AH38" s="3140">
        <f t="shared" si="560"/>
        <v>0.30194287683625554</v>
      </c>
      <c r="AI38" s="3140">
        <f t="shared" si="560"/>
        <v>0.30125919925842826</v>
      </c>
      <c r="AJ38" s="3140">
        <f t="shared" si="560"/>
        <v>0.30125838870990668</v>
      </c>
      <c r="AK38" s="3140">
        <f t="shared" si="560"/>
        <v>0.30154711260685413</v>
      </c>
      <c r="AL38" s="3148">
        <f t="shared" ref="AL38" si="562">SUM(AF38-AC38)</f>
        <v>-3.2469158772108209E-4</v>
      </c>
      <c r="AM38" s="3148">
        <f t="shared" ref="AM38" si="563">SUM(AG38-AD38)</f>
        <v>-3.2792252154278945E-4</v>
      </c>
      <c r="AN38" s="3148">
        <f t="shared" ref="AN38" si="564">SUM(AH38-AE38)</f>
        <v>6.4800369171397199E-4</v>
      </c>
      <c r="AO38" s="3139">
        <f t="shared" ref="AO38" si="565">SUM(AO37/AO36)</f>
        <v>0.30130403451583104</v>
      </c>
      <c r="AP38" s="3139">
        <f t="shared" ref="AP38" si="566">SUM(AP37/AP36)</f>
        <v>0.30130406367908386</v>
      </c>
      <c r="AQ38" s="3139">
        <f t="shared" ref="AQ38" si="567">SUM(AQ37/AQ36)</f>
        <v>0.30129487314454156</v>
      </c>
      <c r="AR38" s="3139">
        <f t="shared" ref="AR38" si="568">SUM(AR37/AR36)</f>
        <v>0.30870324397866256</v>
      </c>
      <c r="AS38" s="3139">
        <f t="shared" ref="AS38" si="569">SUM(AS37/AS36)</f>
        <v>0.30872228793255085</v>
      </c>
      <c r="AT38" s="3139">
        <f t="shared" ref="AT38" si="570">SUM(AT37/AT36)</f>
        <v>0.30197024527543226</v>
      </c>
      <c r="AU38" s="3139">
        <f t="shared" ref="AU38:AW38" si="571">SUM(AU37/AU36)</f>
        <v>0.30213008890194309</v>
      </c>
      <c r="AV38" s="3139">
        <f t="shared" si="571"/>
        <v>0.30213010000968421</v>
      </c>
      <c r="AW38" s="3139">
        <f t="shared" si="571"/>
        <v>0.30210696710301232</v>
      </c>
      <c r="AX38" s="3139">
        <f t="shared" ref="AX38" si="572">SUM(AX37/AX36)</f>
        <v>0.30130403451583104</v>
      </c>
      <c r="AY38" s="3139">
        <f t="shared" ref="AY38" si="573">SUM(AY37/AY36)</f>
        <v>0.30130406367908386</v>
      </c>
      <c r="AZ38" s="3139">
        <f t="shared" ref="AZ38" si="574">SUM(AZ37/AZ36)</f>
        <v>0.30129487314454156</v>
      </c>
      <c r="BA38" s="3139">
        <f t="shared" ref="BA38" si="575">SUM(BA37/BA36)</f>
        <v>0.30199563990668937</v>
      </c>
      <c r="BB38" s="3139">
        <f t="shared" ref="BB38" si="576">SUM(BB37/BB36)</f>
        <v>0.30199398548087419</v>
      </c>
      <c r="BC38" s="3139">
        <f t="shared" ref="BC38" si="577">SUM(BC37/BC36)</f>
        <v>0.30248306997742669</v>
      </c>
      <c r="BD38" s="3139">
        <f t="shared" ref="BD38:BF38" si="578">SUM(BD37/BD36)</f>
        <v>0.30152618045516766</v>
      </c>
      <c r="BE38" s="3139">
        <f t="shared" si="578"/>
        <v>0.30152620680437492</v>
      </c>
      <c r="BF38" s="3139">
        <f t="shared" si="578"/>
        <v>0.30150310487291704</v>
      </c>
      <c r="BG38" s="3139">
        <f t="shared" ref="BG38" si="579">SUM(BG37/BG36)</f>
        <v>0.30130403451583104</v>
      </c>
      <c r="BH38" s="3139">
        <f t="shared" ref="BH38" si="580">SUM(BH37/BH36)</f>
        <v>0.30130406367908386</v>
      </c>
      <c r="BI38" s="3139">
        <f t="shared" ref="BI38" si="581">SUM(BI37/BI36)</f>
        <v>0.30129487314454156</v>
      </c>
      <c r="BJ38" s="3139">
        <f t="shared" ref="BJ38" si="582">SUM(BJ37/BJ36)</f>
        <v>0.30080255070023426</v>
      </c>
      <c r="BK38" s="3139">
        <f t="shared" ref="BK38" si="583">SUM(BK37/BK36)</f>
        <v>0.3007946718546527</v>
      </c>
      <c r="BL38" s="3139">
        <f t="shared" ref="BL38" si="584">SUM(BL37/BL36)</f>
        <v>0.30205096333126169</v>
      </c>
      <c r="BM38" s="3139">
        <f t="shared" ref="BM38:BO38" si="585">SUM(BM37/BM36)</f>
        <v>0.3032972648699091</v>
      </c>
      <c r="BN38" s="3139">
        <f t="shared" si="585"/>
        <v>0.30329742268109239</v>
      </c>
      <c r="BO38" s="3139">
        <f t="shared" si="585"/>
        <v>0.30327405374783895</v>
      </c>
      <c r="BP38" s="3140">
        <f t="shared" ref="BP38" si="586">SUM(BP37/BP36)</f>
        <v>0.30130403451583104</v>
      </c>
      <c r="BQ38" s="3140">
        <f t="shared" ref="BQ38" si="587">SUM(BQ37/BQ36)</f>
        <v>0.30130406367908386</v>
      </c>
      <c r="BR38" s="3140">
        <f t="shared" ref="BR38" si="588">SUM(BR37/BR36)</f>
        <v>0.30129487314454156</v>
      </c>
      <c r="BS38" s="3140">
        <f t="shared" ref="BS38" si="589">SUM(BS37/BS36)</f>
        <v>0.30387080286908907</v>
      </c>
      <c r="BT38" s="3140">
        <f t="shared" ref="BT38" si="590">SUM(BT37/BT36)</f>
        <v>0.30387795328604572</v>
      </c>
      <c r="BU38" s="3140">
        <f t="shared" ref="BU38" si="591">SUM(BU37/BU36)</f>
        <v>0.30215050445836289</v>
      </c>
      <c r="BV38" s="3140">
        <f t="shared" ref="BV38" si="592">SUM(BV37/BV36)</f>
        <v>0.30236266475137885</v>
      </c>
      <c r="BW38" s="3140">
        <f t="shared" ref="BW38" si="593">SUM(BW37/BW36)</f>
        <v>0.30236077994464194</v>
      </c>
      <c r="BX38" s="3140">
        <f t="shared" ref="BX38" si="594">SUM(BX37/BX36)</f>
        <v>0.3029980681327486</v>
      </c>
      <c r="BY38" s="3148">
        <f t="shared" ref="BY38" si="595">SUM(BS38-BP38)</f>
        <v>2.566768353258031E-3</v>
      </c>
      <c r="BZ38" s="3148">
        <f t="shared" ref="BZ38" si="596">SUM(BT38-BQ38)</f>
        <v>2.5738896069618655E-3</v>
      </c>
      <c r="CA38" s="3148">
        <f t="shared" ref="CA38" si="597">SUM(BU38-BR38)</f>
        <v>8.5563131382132562E-4</v>
      </c>
      <c r="CB38" s="3140">
        <f t="shared" ref="CB38" si="598">SUM(CB37/CB36)</f>
        <v>0.30130403451583104</v>
      </c>
      <c r="CC38" s="3140">
        <f t="shared" ref="CC38" si="599">SUM(CC37/CC36)</f>
        <v>0.30130406367908386</v>
      </c>
      <c r="CD38" s="3140">
        <f t="shared" ref="CD38" si="600">SUM(CD37/CD36)</f>
        <v>0.30129487314454156</v>
      </c>
      <c r="CE38" s="3140">
        <f t="shared" ref="CE38" si="601">SUM(CE37/CE36)</f>
        <v>0.30250508054335867</v>
      </c>
      <c r="CF38" s="3140">
        <f t="shared" ref="CF38" si="602">SUM(CF37/CF36)</f>
        <v>0.30250674069594552</v>
      </c>
      <c r="CG38" s="3140">
        <f t="shared" ref="CG38" si="603">SUM(CG37/CG36)</f>
        <v>0.30206385732777219</v>
      </c>
      <c r="CH38" s="3140">
        <f t="shared" ref="CH38" si="604">SUM(CH37/CH36)</f>
        <v>0.30183152067019769</v>
      </c>
      <c r="CI38" s="3140">
        <f t="shared" ref="CI38" si="605">SUM(CI37/CI36)</f>
        <v>0.30183011149375</v>
      </c>
      <c r="CJ38" s="3140">
        <f t="shared" ref="CJ38" si="606">SUM(CJ37/CJ36)</f>
        <v>0.30231851895486156</v>
      </c>
      <c r="CK38" s="3148">
        <f t="shared" ref="CK38" si="607">SUM(CE38-CB38)</f>
        <v>1.2010460275276302E-3</v>
      </c>
      <c r="CL38" s="3148">
        <f t="shared" ref="CL38" si="608">SUM(CF38-CC38)</f>
        <v>1.2026770168616641E-3</v>
      </c>
      <c r="CM38" s="3148">
        <f t="shared" ref="CM38" si="609">SUM(CG38-CD38)</f>
        <v>7.6898418323062545E-4</v>
      </c>
      <c r="CN38" s="3139">
        <f t="shared" ref="CN38" si="610">SUM(CN37/CN36)</f>
        <v>0.30130403451583104</v>
      </c>
      <c r="CO38" s="3139">
        <f t="shared" ref="CO38" si="611">SUM(CO37/CO36)</f>
        <v>0.30130406367908386</v>
      </c>
      <c r="CP38" s="3139">
        <f t="shared" ref="CP38" si="612">SUM(CP37/CP36)</f>
        <v>0.30129487314454156</v>
      </c>
      <c r="CQ38" s="3139">
        <f t="shared" ref="CQ38" si="613">SUM(CQ37/CQ36)</f>
        <v>0.30153714342491256</v>
      </c>
      <c r="CR38" s="3139">
        <f t="shared" ref="CR38" si="614">SUM(CR37/CR36)</f>
        <v>0.30153679424394775</v>
      </c>
      <c r="CS38" s="3139">
        <f t="shared" ref="CS38" si="615">SUM(CS37/CS36)</f>
        <v>0.30221518987341772</v>
      </c>
      <c r="CT38" s="3139">
        <f t="shared" ref="CT38:CV38" si="616">SUM(CT37/CT36)</f>
        <v>0.3022201495389979</v>
      </c>
      <c r="CU38" s="3139">
        <f t="shared" si="616"/>
        <v>0.30222016599982227</v>
      </c>
      <c r="CV38" s="3139">
        <f t="shared" si="616"/>
        <v>0.3021970208477911</v>
      </c>
      <c r="CW38" s="3139">
        <f t="shared" ref="CW38" si="617">SUM(CW37/CW36)</f>
        <v>0.30130403451583104</v>
      </c>
      <c r="CX38" s="3139">
        <f t="shared" ref="CX38" si="618">SUM(CX37/CX36)</f>
        <v>0.30130406367908386</v>
      </c>
      <c r="CY38" s="3139">
        <f t="shared" ref="CY38" si="619">SUM(CY37/CY36)</f>
        <v>0.30129487314454156</v>
      </c>
      <c r="CZ38" s="3139">
        <f t="shared" ref="CZ38" si="620">SUM(CZ37/CZ36)</f>
        <v>0.30244286726780245</v>
      </c>
      <c r="DA38" s="3139">
        <f t="shared" ref="DA38" si="621">SUM(DA37/DA36)</f>
        <v>0.30244433568927387</v>
      </c>
      <c r="DB38" s="3139">
        <f t="shared" ref="DB38" si="622">SUM(DB37/DB36)</f>
        <v>0.30197176241480039</v>
      </c>
      <c r="DC38" s="3139">
        <f t="shared" ref="DC38:DE38" si="623">SUM(DC37/DC36)</f>
        <v>0.30185494349289083</v>
      </c>
      <c r="DD38" s="3139">
        <f t="shared" si="623"/>
        <v>0.30185496703241899</v>
      </c>
      <c r="DE38" s="3139">
        <f t="shared" si="623"/>
        <v>0.30183184275064073</v>
      </c>
      <c r="DF38" s="3139">
        <f t="shared" ref="DF38" si="624">SUM(DF37/DF36)</f>
        <v>0.30130403451583104</v>
      </c>
      <c r="DG38" s="3139">
        <f t="shared" ref="DG38" si="625">SUM(DG37/DG36)</f>
        <v>0.30130406367908386</v>
      </c>
      <c r="DH38" s="3139">
        <f t="shared" ref="DH38" si="626">SUM(DH37/DH36)</f>
        <v>0.30129487314454156</v>
      </c>
      <c r="DI38" s="3139">
        <f t="shared" ref="DI38" si="627">SUM(DI37/DI36)</f>
        <v>0.30731903612176292</v>
      </c>
      <c r="DJ38" s="3139">
        <f t="shared" ref="DJ38" si="628">SUM(DJ37/DJ36)</f>
        <v>0.30733485590338933</v>
      </c>
      <c r="DK38" s="3139">
        <f t="shared" ref="DK38" si="629">SUM(DK37/DK36)</f>
        <v>0.30252100840336132</v>
      </c>
      <c r="DL38" s="3139">
        <f t="shared" ref="DL38:DN38" si="630">SUM(DL37/DL36)</f>
        <v>0.30186543601637872</v>
      </c>
      <c r="DM38" s="3139">
        <f t="shared" si="630"/>
        <v>0.30186560456042744</v>
      </c>
      <c r="DN38" s="3139">
        <f t="shared" si="630"/>
        <v>0.30184233447114339</v>
      </c>
      <c r="DO38" s="3140">
        <f t="shared" ref="DO38" si="631">SUM(DO37/DO36)</f>
        <v>0.30130403451583104</v>
      </c>
      <c r="DP38" s="3140">
        <f t="shared" ref="DP38" si="632">SUM(DP37/DP36)</f>
        <v>0.30130406367908386</v>
      </c>
      <c r="DQ38" s="3140">
        <f t="shared" ref="DQ38" si="633">SUM(DQ37/DQ36)</f>
        <v>0.30129487314454156</v>
      </c>
      <c r="DR38" s="3140">
        <f t="shared" ref="DR38" si="634">SUM(DR37/DR36)</f>
        <v>0.3037704709748657</v>
      </c>
      <c r="DS38" s="3140">
        <f t="shared" ref="DS38" si="635">SUM(DS37/DS36)</f>
        <v>0.30377403574738931</v>
      </c>
      <c r="DT38" s="3140">
        <f t="shared" ref="DT38" si="636">SUM(DT37/DT36)</f>
        <v>0.30224592925322852</v>
      </c>
      <c r="DU38" s="3140">
        <f t="shared" ref="DU38" si="637">SUM(DU37/DU36)</f>
        <v>0.30198024856484312</v>
      </c>
      <c r="DV38" s="3140">
        <f t="shared" ref="DV38" si="638">SUM(DV37/DV36)</f>
        <v>0.3019805711168968</v>
      </c>
      <c r="DW38" s="3140">
        <f t="shared" ref="DW38" si="639">SUM(DW37/DW36)</f>
        <v>0.30186995457362553</v>
      </c>
      <c r="DX38" s="3148">
        <f t="shared" ref="DX38" si="640">SUM(DR38-DO38)</f>
        <v>2.4664364590346599E-3</v>
      </c>
      <c r="DY38" s="3148">
        <f t="shared" ref="DY38" si="641">SUM(DS38-DP38)</f>
        <v>2.4699720683054593E-3</v>
      </c>
      <c r="DZ38" s="3148">
        <f t="shared" ref="DZ38" si="642">SUM(DT38-DQ38)</f>
        <v>9.51056108686954E-4</v>
      </c>
      <c r="EA38" s="3140">
        <f t="shared" ref="EA38" si="643">SUM(EA37/EA36)</f>
        <v>0.30130403451583099</v>
      </c>
      <c r="EB38" s="3140">
        <f t="shared" ref="EB38" si="644">SUM(EB37/EB36)</f>
        <v>0.30130406367908386</v>
      </c>
      <c r="EC38" s="3140">
        <f t="shared" ref="EC38" si="645">SUM(EC37/EC36)</f>
        <v>0.30129487314454151</v>
      </c>
      <c r="ED38" s="3140">
        <f t="shared" ref="ED38" si="646">SUM(ED37/ED36)</f>
        <v>0.30293495189946368</v>
      </c>
      <c r="EE38" s="3140">
        <f t="shared" ref="EE38" si="647">SUM(EE37/EE36)</f>
        <v>0.30293766283394907</v>
      </c>
      <c r="EF38" s="3140">
        <f t="shared" ref="EF38" si="648">SUM(EF37/EF36)</f>
        <v>0.30210801536073206</v>
      </c>
      <c r="EG38" s="3140">
        <f t="shared" ref="EG38" si="649">SUM(EG37/EG36)</f>
        <v>0.30188395682679559</v>
      </c>
      <c r="EH38" s="3140">
        <f t="shared" ref="EH38" si="650">SUM(EH37/EH36)</f>
        <v>0.30188315713868064</v>
      </c>
      <c r="EI38" s="3140">
        <f t="shared" ref="EI38" si="651">SUM(EI37/EI36)</f>
        <v>0.30215928573458173</v>
      </c>
      <c r="EJ38" s="3148">
        <f t="shared" ref="EJ38" si="652">SUM(ED38-EA38)</f>
        <v>1.6309173836326907E-3</v>
      </c>
      <c r="EK38" s="3148">
        <f t="shared" ref="EK38" si="653">SUM(EE38-EB38)</f>
        <v>1.6335991548652173E-3</v>
      </c>
      <c r="EL38" s="3148">
        <f t="shared" ref="EL38" si="654">SUM(EF38-EC38)</f>
        <v>8.1314221619055438E-4</v>
      </c>
      <c r="EM38" s="3139">
        <f t="shared" ref="EM38" si="655">SUM(EM37/EM36)</f>
        <v>0.30130403451583104</v>
      </c>
      <c r="EN38" s="3139">
        <f t="shared" ref="EN38" si="656">SUM(EN37/EN36)</f>
        <v>0.30130406367908386</v>
      </c>
      <c r="EO38" s="3139">
        <f t="shared" ref="EO38" si="657">SUM(EO37/EO36)</f>
        <v>0.30129487314454156</v>
      </c>
      <c r="EP38" s="3139" t="e">
        <f t="shared" ref="EP38" si="658">SUM(EP37/EP36)</f>
        <v>#DIV/0!</v>
      </c>
      <c r="EQ38" s="3139" t="e">
        <f t="shared" ref="EQ38" si="659">SUM(EQ37/EQ36)</f>
        <v>#DIV/0!</v>
      </c>
      <c r="ER38" s="3139" t="e">
        <f t="shared" ref="ER38" si="660">SUM(ER37/ER36)</f>
        <v>#DIV/0!</v>
      </c>
      <c r="ES38" s="3139">
        <f t="shared" ref="ES38:EU38" si="661">SUM(ES37/ES36)</f>
        <v>0.30224285971954812</v>
      </c>
      <c r="ET38" s="3139">
        <f t="shared" si="661"/>
        <v>0.30224288398446625</v>
      </c>
      <c r="EU38" s="3139">
        <f t="shared" si="661"/>
        <v>0.30221972929034752</v>
      </c>
      <c r="EV38" s="3139">
        <f t="shared" ref="EV38" si="662">SUM(EV37/EV36)</f>
        <v>0.30130403451583104</v>
      </c>
      <c r="EW38" s="3139">
        <f t="shared" ref="EW38" si="663">SUM(EW37/EW36)</f>
        <v>0.30130406367908386</v>
      </c>
      <c r="EX38" s="3139">
        <f t="shared" ref="EX38" si="664">SUM(EX37/EX36)</f>
        <v>0.30129487314454156</v>
      </c>
      <c r="EY38" s="3139" t="e">
        <f t="shared" ref="EY38" si="665">SUM(EY37/EY36)</f>
        <v>#DIV/0!</v>
      </c>
      <c r="EZ38" s="3139" t="e">
        <f t="shared" ref="EZ38" si="666">SUM(EZ37/EZ36)</f>
        <v>#DIV/0!</v>
      </c>
      <c r="FA38" s="3139" t="e">
        <f t="shared" ref="FA38" si="667">SUM(FA37/FA36)</f>
        <v>#DIV/0!</v>
      </c>
      <c r="FB38" s="3139">
        <f t="shared" ref="FB38:FD38" si="668">SUM(FB37/FB36)</f>
        <v>0.30104802153275739</v>
      </c>
      <c r="FC38" s="3139">
        <f t="shared" si="668"/>
        <v>0.30104804655848388</v>
      </c>
      <c r="FD38" s="3139">
        <f t="shared" si="668"/>
        <v>0.301024982543666</v>
      </c>
      <c r="FE38" s="3139">
        <f t="shared" ref="FE38" si="669">SUM(FE37/FE36)</f>
        <v>0.30130403451583104</v>
      </c>
      <c r="FF38" s="3139">
        <f t="shared" ref="FF38" si="670">SUM(FF37/FF36)</f>
        <v>0.30130406367908386</v>
      </c>
      <c r="FG38" s="3139">
        <f t="shared" ref="FG38" si="671">SUM(FG37/FG36)</f>
        <v>0.30129487314454156</v>
      </c>
      <c r="FH38" s="3139" t="e">
        <f t="shared" ref="FH38" si="672">SUM(FH37/FH36)</f>
        <v>#DIV/0!</v>
      </c>
      <c r="FI38" s="3139" t="e">
        <f t="shared" ref="FI38" si="673">SUM(FI37/FI36)</f>
        <v>#DIV/0!</v>
      </c>
      <c r="FJ38" s="3139" t="e">
        <f t="shared" ref="FJ38" si="674">SUM(FJ37/FJ36)</f>
        <v>#DIV/0!</v>
      </c>
      <c r="FK38" s="3139">
        <f t="shared" ref="FK38:FM38" si="675">SUM(FK37/FK36)</f>
        <v>0.30116078276779634</v>
      </c>
      <c r="FL38" s="3139">
        <f t="shared" si="675"/>
        <v>0.30116096096484318</v>
      </c>
      <c r="FM38" s="3139">
        <f t="shared" si="675"/>
        <v>0.30113773514916853</v>
      </c>
      <c r="FN38" s="3140">
        <f t="shared" ref="FN38" si="676">SUM(FN37/FN36)</f>
        <v>0.30130403451583104</v>
      </c>
      <c r="FO38" s="3140">
        <f t="shared" ref="FO38" si="677">SUM(FO37/FO36)</f>
        <v>0.30130406367908386</v>
      </c>
      <c r="FP38" s="3140">
        <f t="shared" ref="FP38" si="678">SUM(FP37/FP36)</f>
        <v>0.30129487314454156</v>
      </c>
      <c r="FQ38" s="3140" t="e">
        <f t="shared" ref="FQ38" si="679">SUM(FQ37/FQ36)</f>
        <v>#DIV/0!</v>
      </c>
      <c r="FR38" s="3140" t="e">
        <f t="shared" ref="FR38" si="680">SUM(FR37/FR36)</f>
        <v>#DIV/0!</v>
      </c>
      <c r="FS38" s="3140" t="e">
        <f t="shared" ref="FS38" si="681">SUM(FS37/FS36)</f>
        <v>#DIV/0!</v>
      </c>
      <c r="FT38" s="3140">
        <f t="shared" ref="FT38" si="682">SUM(FT37/FT36)</f>
        <v>0.30148450201220656</v>
      </c>
      <c r="FU38" s="3140">
        <f t="shared" ref="FU38" si="683">SUM(FU37/FU36)</f>
        <v>0.30148528648736944</v>
      </c>
      <c r="FV38" s="3140">
        <f t="shared" ref="FV38" si="684">SUM(FV37/FV36)</f>
        <v>0.30124234658754506</v>
      </c>
      <c r="FW38" s="3117" t="e">
        <f t="shared" si="493"/>
        <v>#DIV/0!</v>
      </c>
      <c r="FX38" s="3117"/>
      <c r="FY38" s="3117"/>
      <c r="FZ38" s="3140">
        <f t="shared" ref="FZ38" si="685">SUM(FZ37/FZ36)</f>
        <v>0.30130403451583104</v>
      </c>
      <c r="GA38" s="3140">
        <f t="shared" ref="GA38" si="686">SUM(GA37/GA36)</f>
        <v>0.30130406367908386</v>
      </c>
      <c r="GB38" s="3140">
        <f t="shared" ref="GB38" si="687">SUM(GB37/GB36)</f>
        <v>0.30129487314454156</v>
      </c>
      <c r="GC38" s="3140">
        <f t="shared" ref="GC38" si="688">SUM(GC37/GC36)</f>
        <v>0.30293495189946368</v>
      </c>
      <c r="GD38" s="3140">
        <f t="shared" ref="GD38" si="689">SUM(GD37/GD36)</f>
        <v>0.30293766283394907</v>
      </c>
      <c r="GE38" s="3140">
        <f t="shared" ref="GE38" si="690">SUM(GE37/GE36)</f>
        <v>0.30210801536073206</v>
      </c>
      <c r="GF38" s="3140">
        <f t="shared" ref="GF38" si="691">SUM(GF37/GF36)</f>
        <v>0.30178694073783363</v>
      </c>
      <c r="GG38" s="3140">
        <f t="shared" ref="GG38" si="692">SUM(GG37/GG36)</f>
        <v>0.3017865502347199</v>
      </c>
      <c r="GH38" s="3140">
        <f t="shared" ref="GH38" si="693">SUM(GH37/GH36)</f>
        <v>0.30191772570070263</v>
      </c>
      <c r="GI38" s="3246">
        <f t="shared" ref="GI38" si="694">SUM(GC38-FZ38)</f>
        <v>1.6309173836326352E-3</v>
      </c>
      <c r="GJ38" s="3246">
        <f t="shared" ref="GJ38" si="695">SUM(GD38-GA38)</f>
        <v>1.6335991548652173E-3</v>
      </c>
      <c r="GK38" s="3246">
        <f t="shared" ref="GK38" si="696">SUM(GE38-GB38)</f>
        <v>8.1314221619049887E-4</v>
      </c>
    </row>
    <row r="39" spans="1:193" ht="18.75" customHeight="1" x14ac:dyDescent="0.3">
      <c r="A39" s="3172" t="s">
        <v>3615</v>
      </c>
      <c r="B39" s="3136">
        <f t="shared" ref="B39:B56" si="697">SUM(C39:D39)</f>
        <v>1249.5180756250002</v>
      </c>
      <c r="C39" s="3136">
        <f>SUM('ПОЛНАЯ СЕБЕСТОИМОСТЬ СТОКИ 2019'!C155/3)</f>
        <v>1244.810914967913</v>
      </c>
      <c r="D39" s="3136">
        <f>SUM('ПОЛНАЯ СЕБЕСТОИМОСТЬ СТОКИ 2019'!D155/3)</f>
        <v>4.7071606570870417</v>
      </c>
      <c r="E39" s="3136">
        <f t="shared" ref="E39:E56" si="698">SUM(F39:G39)</f>
        <v>944.29</v>
      </c>
      <c r="F39" s="3136">
        <f>SUM('ПОЛНАЯ СЕБЕСТОИМОСТЬ СТОКИ 2019'!F155)</f>
        <v>944.29</v>
      </c>
      <c r="G39" s="3136">
        <f>SUM('ПОЛНАЯ СЕБЕСТОИМОСТЬ СТОКИ 2019'!G155)</f>
        <v>0</v>
      </c>
      <c r="H39" s="3144">
        <f>SUM(H40:H43)</f>
        <v>923.76</v>
      </c>
      <c r="I39" s="3144">
        <f t="shared" ref="I39:J39" si="699">SUM(I40:I43)</f>
        <v>923.25225363076538</v>
      </c>
      <c r="J39" s="3144">
        <f t="shared" si="699"/>
        <v>0.50774636923462824</v>
      </c>
      <c r="K39" s="3136">
        <f t="shared" ref="K39:K50" si="700">SUM(L39:M39)</f>
        <v>1249.5180756250002</v>
      </c>
      <c r="L39" s="3136">
        <f t="shared" ref="L39:L50" si="701">SUM(C39)</f>
        <v>1244.810914967913</v>
      </c>
      <c r="M39" s="3136">
        <f t="shared" ref="M39:M50" si="702">SUM(D39)</f>
        <v>4.7071606570870417</v>
      </c>
      <c r="N39" s="3136">
        <f t="shared" ref="N39:N51" si="703">SUM(O39:P39)</f>
        <v>1025.3500000000001</v>
      </c>
      <c r="O39" s="3136">
        <f>SUM('ПОЛНАЯ СЕБЕСТОИМОСТЬ СТОКИ 2019'!I155)</f>
        <v>1025.3500000000001</v>
      </c>
      <c r="P39" s="3136">
        <f>SUM('ПОЛНАЯ СЕБЕСТОИМОСТЬ СТОКИ 2019'!J155)</f>
        <v>0</v>
      </c>
      <c r="Q39" s="3144">
        <f>SUM(Q40:Q43)</f>
        <v>846.65</v>
      </c>
      <c r="R39" s="3144">
        <f t="shared" ref="R39:S39" si="704">SUM(R40:R43)</f>
        <v>846.27338727575227</v>
      </c>
      <c r="S39" s="3144">
        <f t="shared" si="704"/>
        <v>0.3766127242476876</v>
      </c>
      <c r="T39" s="3136">
        <f t="shared" ref="T39:T52" si="705">SUM(U39:V39)</f>
        <v>1249.5180756250002</v>
      </c>
      <c r="U39" s="3136">
        <f t="shared" ref="U39:U52" si="706">SUM(L39)</f>
        <v>1244.810914967913</v>
      </c>
      <c r="V39" s="3136">
        <f t="shared" ref="V39:V52" si="707">SUM(M39)</f>
        <v>4.7071606570870417</v>
      </c>
      <c r="W39" s="3136">
        <f t="shared" ref="W39:W51" si="708">SUM(X39:Y39)</f>
        <v>1250.47</v>
      </c>
      <c r="X39" s="3136">
        <f>SUM('ПОЛНАЯ СЕБЕСТОИМОСТЬ СТОКИ 2019'!L155)</f>
        <v>1250.47</v>
      </c>
      <c r="Y39" s="3136">
        <f>SUM('ПОЛНАЯ СЕБЕСТОИМОСТЬ СТОКИ 2019'!M155)</f>
        <v>0</v>
      </c>
      <c r="Z39" s="3144">
        <f>SUM(Z40:Z43)</f>
        <v>1429.58</v>
      </c>
      <c r="AA39" s="3144">
        <f t="shared" ref="AA39:AB39" si="709">SUM(AA40:AA43)</f>
        <v>1416.669034957614</v>
      </c>
      <c r="AB39" s="3144">
        <f t="shared" si="709"/>
        <v>12.910965042386039</v>
      </c>
      <c r="AC39" s="3180">
        <f t="shared" ref="AC39:AC52" si="710">SUM(B39+K39+T39)</f>
        <v>3748.5542268750005</v>
      </c>
      <c r="AD39" s="3180">
        <f t="shared" ref="AD39:AD52" si="711">SUM(C39+L39+U39)</f>
        <v>3734.4327449037391</v>
      </c>
      <c r="AE39" s="3180">
        <f t="shared" ref="AE39:AE52" si="712">SUM(D39+M39+V39)</f>
        <v>14.121481971261126</v>
      </c>
      <c r="AF39" s="3180">
        <f t="shared" ref="AF39:AF53" si="713">SUM(E39+N39+W39)</f>
        <v>3220.11</v>
      </c>
      <c r="AG39" s="3180">
        <f t="shared" ref="AG39:AG53" si="714">SUM(F39+O39+X39)</f>
        <v>3220.11</v>
      </c>
      <c r="AH39" s="3180">
        <f t="shared" ref="AH39:AH53" si="715">SUM(G39+P39+Y39)</f>
        <v>0</v>
      </c>
      <c r="AI39" s="3180">
        <f t="shared" ref="AI39:AI51" si="716">SUM(H39+Q39+Z39)</f>
        <v>3199.99</v>
      </c>
      <c r="AJ39" s="3180">
        <f t="shared" ref="AJ39:AJ51" si="717">SUM(I39+R39+AA39)</f>
        <v>3186.1946758641316</v>
      </c>
      <c r="AK39" s="3180">
        <f t="shared" ref="AK39:AK51" si="718">SUM(J39+S39+AB39)</f>
        <v>13.795324135868354</v>
      </c>
      <c r="AL39" s="3143">
        <f t="shared" ref="AL39:AL52" si="719">SUM(AF39-AC39)</f>
        <v>-528.44422687500037</v>
      </c>
      <c r="AM39" s="3143">
        <f t="shared" ref="AM39:AM52" si="720">SUM(AG39-AD39)</f>
        <v>-514.32274490373902</v>
      </c>
      <c r="AN39" s="3143">
        <f t="shared" ref="AN39:AN52" si="721">SUM(AH39-AE39)</f>
        <v>-14.121481971261126</v>
      </c>
      <c r="AO39" s="3136">
        <f t="shared" ref="AO39:AO51" si="722">SUM(AP39:AQ39)</f>
        <v>1249.5180756250002</v>
      </c>
      <c r="AP39" s="3136">
        <f>SUM('ПОЛНАЯ СЕБЕСТОИМОСТЬ СТОКИ 2019'!R155/3)</f>
        <v>1244.810914967913</v>
      </c>
      <c r="AQ39" s="3136">
        <f>SUM('ПОЛНАЯ СЕБЕСТОИМОСТЬ СТОКИ 2019'!S155/3)</f>
        <v>4.7071606570870417</v>
      </c>
      <c r="AR39" s="3136">
        <f t="shared" ref="AR39:AR52" si="723">SUM(AS39:AT39)</f>
        <v>990.32999999999993</v>
      </c>
      <c r="AS39" s="3136">
        <f>SUM('ПОЛНАЯ СЕБЕСТОИМОСТЬ СТОКИ 2019'!U155)</f>
        <v>990.32999999999993</v>
      </c>
      <c r="AT39" s="3136">
        <f>SUM('ПОЛНАЯ СЕБЕСТОИМОСТЬ СТОКИ 2019'!V155)</f>
        <v>0</v>
      </c>
      <c r="AU39" s="3144">
        <f>SUM(AU40:AU43)</f>
        <v>1098.9100000000001</v>
      </c>
      <c r="AV39" s="3144">
        <f t="shared" ref="AV39:AW39" si="724">SUM(AV40:AV43)</f>
        <v>1098.2581818236974</v>
      </c>
      <c r="AW39" s="3144">
        <f t="shared" si="724"/>
        <v>0.65181817630257466</v>
      </c>
      <c r="AX39" s="3136">
        <f t="shared" ref="AX39:AX51" si="725">SUM(AY39:AZ39)</f>
        <v>1249.5180756250002</v>
      </c>
      <c r="AY39" s="3136">
        <f t="shared" ref="AY39:AY51" si="726">SUM(AP39)</f>
        <v>1244.810914967913</v>
      </c>
      <c r="AZ39" s="3136">
        <f t="shared" ref="AZ39:AZ51" si="727">SUM(AQ39)</f>
        <v>4.7071606570870417</v>
      </c>
      <c r="BA39" s="3277">
        <f t="shared" ref="BA39:BA52" si="728">SUM(BB39:BC39)</f>
        <v>1007.4740000000002</v>
      </c>
      <c r="BB39" s="3277">
        <f>SUM('ПОЛНАЯ СЕБЕСТОИМОСТЬ СТОКИ 2019'!X155)</f>
        <v>1007.4740000000002</v>
      </c>
      <c r="BC39" s="3277">
        <f>SUM('ПОЛНАЯ СЕБЕСТОИМОСТЬ СТОКИ 2019'!Y155)</f>
        <v>0</v>
      </c>
      <c r="BD39" s="3144">
        <f>SUM(BD40:BD43)</f>
        <v>1195.97</v>
      </c>
      <c r="BE39" s="3144">
        <f t="shared" ref="BE39:BF39" si="729">SUM(BE40:BE43)</f>
        <v>1194.2822244072231</v>
      </c>
      <c r="BF39" s="3144">
        <f t="shared" si="729"/>
        <v>1.6877755927770626</v>
      </c>
      <c r="BG39" s="3136">
        <f t="shared" ref="BG39:BG52" si="730">SUM(BH39:BI39)</f>
        <v>1249.5180756250002</v>
      </c>
      <c r="BH39" s="3136">
        <f t="shared" ref="BH39:BH52" si="731">SUM(AY39)</f>
        <v>1244.810914967913</v>
      </c>
      <c r="BI39" s="3136">
        <f t="shared" ref="BI39:BI52" si="732">SUM(AZ39)</f>
        <v>4.7071606570870417</v>
      </c>
      <c r="BJ39" s="3136">
        <f t="shared" ref="BJ39:BJ50" si="733">SUM(BK39:BL39)</f>
        <v>1211.6479999999999</v>
      </c>
      <c r="BK39" s="3136">
        <f>SUM('ПОЛНАЯ СЕБЕСТОИМОСТЬ СТОКИ 2019'!AA155)</f>
        <v>1211.6479999999999</v>
      </c>
      <c r="BL39" s="3136">
        <f>SUM('ПОЛНАЯ СЕБЕСТОИМОСТЬ СТОКИ 2019'!AB155)</f>
        <v>0</v>
      </c>
      <c r="BM39" s="3144">
        <f>SUM(BM40:BM43)</f>
        <v>1148.3600000000001</v>
      </c>
      <c r="BN39" s="3144">
        <f t="shared" ref="BN39:BO39" si="734">SUM(BN40:BN43)</f>
        <v>1138.6385332478712</v>
      </c>
      <c r="BO39" s="3144">
        <f t="shared" si="734"/>
        <v>9.7214667521288689</v>
      </c>
      <c r="BP39" s="3180">
        <f t="shared" ref="BP39:BP51" si="735">SUM(AO39+AX39+BG39)</f>
        <v>3748.5542268750005</v>
      </c>
      <c r="BQ39" s="3180">
        <f t="shared" ref="BQ39:BQ51" si="736">SUM(AP39+AY39+BH39)</f>
        <v>3734.4327449037391</v>
      </c>
      <c r="BR39" s="3180">
        <f t="shared" ref="BR39:BR51" si="737">SUM(AQ39+AZ39+BI39)</f>
        <v>14.121481971261126</v>
      </c>
      <c r="BS39" s="3180">
        <f t="shared" ref="BS39:BS52" si="738">SUM(AR39+BA39+BJ39)</f>
        <v>3209.4520000000002</v>
      </c>
      <c r="BT39" s="3180">
        <f t="shared" ref="BT39:BT52" si="739">SUM(AS39+BB39+BK39)</f>
        <v>3209.4520000000002</v>
      </c>
      <c r="BU39" s="3180">
        <f t="shared" ref="BU39:BU52" si="740">SUM(AT39+BC39+BL39)</f>
        <v>0</v>
      </c>
      <c r="BV39" s="3180">
        <f t="shared" ref="BV39:BV52" si="741">SUM(AU39+BD39+BM39)</f>
        <v>3443.2400000000002</v>
      </c>
      <c r="BW39" s="3180">
        <f t="shared" ref="BW39:BW52" si="742">SUM(AV39+BE39+BN39)</f>
        <v>3431.178939478792</v>
      </c>
      <c r="BX39" s="3180">
        <f t="shared" ref="BX39:BX52" si="743">SUM(AW39+BF39+BO39)</f>
        <v>12.061060521208507</v>
      </c>
      <c r="BY39" s="3143">
        <f t="shared" ref="BY39:BY52" si="744">SUM(BS39-BP39)</f>
        <v>-539.10222687500027</v>
      </c>
      <c r="BZ39" s="3143">
        <f t="shared" ref="BZ39:BZ52" si="745">SUM(BT39-BQ39)</f>
        <v>-524.98074490373892</v>
      </c>
      <c r="CA39" s="3143">
        <f t="shared" ref="CA39:CA52" si="746">SUM(BU39-BR39)</f>
        <v>-14.121481971261126</v>
      </c>
      <c r="CB39" s="3180">
        <f t="shared" ref="CB39:CB52" si="747">SUM(AC39+BP39)</f>
        <v>7497.108453750001</v>
      </c>
      <c r="CC39" s="3180">
        <f t="shared" ref="CC39:CC52" si="748">SUM(AD39+BQ39)</f>
        <v>7468.8654898074783</v>
      </c>
      <c r="CD39" s="3180">
        <f t="shared" ref="CD39:CD52" si="749">SUM(AE39+BR39)</f>
        <v>28.242963942522252</v>
      </c>
      <c r="CE39" s="3180">
        <f t="shared" ref="CE39:CE52" si="750">SUM(AF39+BS39)</f>
        <v>6429.5619999999999</v>
      </c>
      <c r="CF39" s="3180">
        <f t="shared" ref="CF39:CF52" si="751">SUM(AG39+BT39)</f>
        <v>6429.5619999999999</v>
      </c>
      <c r="CG39" s="3180">
        <f t="shared" ref="CG39:CG52" si="752">SUM(AH39+BU39)</f>
        <v>0</v>
      </c>
      <c r="CH39" s="3198">
        <f t="shared" ref="CH39:CH52" si="753">SUM(AI39+BV39)</f>
        <v>6643.23</v>
      </c>
      <c r="CI39" s="3198">
        <f t="shared" ref="CI39:CI52" si="754">SUM(AJ39+BW39)</f>
        <v>6617.3736153429236</v>
      </c>
      <c r="CJ39" s="3198">
        <f t="shared" ref="CJ39:CJ52" si="755">SUM(AK39+BX39)</f>
        <v>25.856384657076859</v>
      </c>
      <c r="CK39" s="3143">
        <f t="shared" ref="CK39:CK51" si="756">SUM(CE39-CB39)</f>
        <v>-1067.5464537500011</v>
      </c>
      <c r="CL39" s="3143">
        <f t="shared" ref="CL39:CL51" si="757">SUM(CF39-CC39)</f>
        <v>-1039.3034898074784</v>
      </c>
      <c r="CM39" s="3143">
        <f t="shared" ref="CM39:CM51" si="758">SUM(CG39-CD39)</f>
        <v>-28.242963942522252</v>
      </c>
      <c r="CN39" s="3136">
        <f t="shared" ref="CN39:CN52" si="759">SUM(CO39:CP39)</f>
        <v>1249.5180756250002</v>
      </c>
      <c r="CO39" s="3136">
        <f>SUM('ПОЛНАЯ СЕБЕСТОИМОСТЬ СТОКИ 2019'!AP155/3)</f>
        <v>1244.810914967913</v>
      </c>
      <c r="CP39" s="3136">
        <f>SUM('ПОЛНАЯ СЕБЕСТОИМОСТЬ СТОКИ 2019'!AQ155/3)</f>
        <v>4.7071606570870417</v>
      </c>
      <c r="CQ39" s="3136">
        <f t="shared" ref="CQ39:CQ53" si="760">SUM(CR39:CS39)</f>
        <v>822.1600000000002</v>
      </c>
      <c r="CR39" s="3136">
        <f>SUM('ПОЛНАЯ СЕБЕСТОИМОСТЬ СТОКИ 2019'!AS155)</f>
        <v>822.1600000000002</v>
      </c>
      <c r="CS39" s="3136">
        <f>SUM('ПОЛНАЯ СЕБЕСТОИМОСТЬ СТОКИ 2019'!AT155)</f>
        <v>0</v>
      </c>
      <c r="CT39" s="3144">
        <f>SUM(CT40:CT43)</f>
        <v>970.68000000000006</v>
      </c>
      <c r="CU39" s="3144">
        <f t="shared" ref="CU39:CV39" si="761">SUM(CU40:CU43)</f>
        <v>969.86512098598655</v>
      </c>
      <c r="CV39" s="3144">
        <f t="shared" si="761"/>
        <v>0.81487901401340701</v>
      </c>
      <c r="CW39" s="3136">
        <f t="shared" ref="CW39:CW52" si="762">SUM(CX39:CY39)</f>
        <v>1249.5180756250002</v>
      </c>
      <c r="CX39" s="3136">
        <f t="shared" ref="CX39:CX52" si="763">SUM(CO39)</f>
        <v>1244.810914967913</v>
      </c>
      <c r="CY39" s="3136">
        <f t="shared" ref="CY39:CY52" si="764">SUM(CP39)</f>
        <v>4.7071606570870417</v>
      </c>
      <c r="CZ39" s="3136">
        <f t="shared" ref="CZ39:CZ52" si="765">SUM(DA39:DB39)</f>
        <v>841.04</v>
      </c>
      <c r="DA39" s="3136">
        <f>SUM('ПОЛНАЯ СЕБЕСТОИМОСТЬ СТОКИ 2019'!AV155)</f>
        <v>841.04</v>
      </c>
      <c r="DB39" s="3136">
        <f>SUM('ПОЛНАЯ СЕБЕСТОИМОСТЬ СТОКИ 2019'!AW155)</f>
        <v>0</v>
      </c>
      <c r="DC39" s="3144">
        <f>SUM(DC40:DC43)</f>
        <v>1058.51</v>
      </c>
      <c r="DD39" s="3144">
        <f t="shared" ref="DD39:DE39" si="766">SUM(DD40:DD43)</f>
        <v>1057.2238913134656</v>
      </c>
      <c r="DE39" s="3144">
        <f t="shared" si="766"/>
        <v>1.2861086865342417</v>
      </c>
      <c r="DF39" s="3136">
        <f t="shared" ref="DF39:DF52" si="767">SUM(DG39:DH39)</f>
        <v>1249.5180756250002</v>
      </c>
      <c r="DG39" s="3136">
        <f t="shared" ref="DG39:DG52" si="768">SUM(CX39)</f>
        <v>1244.810914967913</v>
      </c>
      <c r="DH39" s="3136">
        <f t="shared" ref="DH39:DH52" si="769">SUM(CY39)</f>
        <v>4.7071606570870417</v>
      </c>
      <c r="DI39" s="3136">
        <f t="shared" ref="DI39:DI51" si="770">SUM(DJ39:DK39)</f>
        <v>1088.22</v>
      </c>
      <c r="DJ39" s="3136">
        <f>SUM('ПОЛНАЯ СЕБЕСТОИМОСТЬ СТОКИ 2019'!AY155)</f>
        <v>1088.22</v>
      </c>
      <c r="DK39" s="3136">
        <f>SUM('ПОЛНАЯ СЕБЕСТОИМОСТЬ СТОКИ 2019'!AZ155)</f>
        <v>0</v>
      </c>
      <c r="DL39" s="3144">
        <f>SUM(DL40:DL43)</f>
        <v>970.72</v>
      </c>
      <c r="DM39" s="3144">
        <f t="shared" ref="DM39:DN39" si="771">SUM(DM40:DM43)</f>
        <v>962.29306801255768</v>
      </c>
      <c r="DN39" s="3144">
        <f t="shared" si="771"/>
        <v>8.4269319874424085</v>
      </c>
      <c r="DO39" s="3180">
        <f t="shared" ref="DO39:DO52" si="772">SUM(CN39+CW39+DF39)</f>
        <v>3748.5542268750005</v>
      </c>
      <c r="DP39" s="3180">
        <f t="shared" ref="DP39:DP52" si="773">SUM(CO39+CX39+DG39)</f>
        <v>3734.4327449037391</v>
      </c>
      <c r="DQ39" s="3180">
        <f t="shared" ref="DQ39:DQ52" si="774">SUM(CP39+CY39+DH39)</f>
        <v>14.121481971261126</v>
      </c>
      <c r="DR39" s="3180">
        <f t="shared" ref="DR39:DR53" si="775">SUM(CQ39+CZ39+DI39)</f>
        <v>2751.42</v>
      </c>
      <c r="DS39" s="3180">
        <f t="shared" ref="DS39:DS53" si="776">SUM(CR39+DA39+DJ39)</f>
        <v>2751.42</v>
      </c>
      <c r="DT39" s="3180">
        <f t="shared" ref="DT39:DT53" si="777">SUM(CS39+DB39+DK39)</f>
        <v>0</v>
      </c>
      <c r="DU39" s="3180">
        <f t="shared" ref="DU39:DU52" si="778">SUM(CT39+DC39+DL39)</f>
        <v>2999.91</v>
      </c>
      <c r="DV39" s="3180">
        <f t="shared" ref="DV39:DV52" si="779">SUM(CU39+DD39+DM39)</f>
        <v>2989.3820803120097</v>
      </c>
      <c r="DW39" s="3180">
        <f t="shared" ref="DW39:DW52" si="780">SUM(CV39+DE39+DN39)</f>
        <v>10.527919687990057</v>
      </c>
      <c r="DX39" s="3143">
        <f t="shared" ref="DX39:DX51" si="781">SUM(DR39-DO39)</f>
        <v>-997.13422687500042</v>
      </c>
      <c r="DY39" s="3143">
        <f t="shared" ref="DY39:DY51" si="782">SUM(DS39-DP39)</f>
        <v>-983.01274490373908</v>
      </c>
      <c r="DZ39" s="3143">
        <f t="shared" ref="DZ39:DZ51" si="783">SUM(DT39-DQ39)</f>
        <v>-14.121481971261126</v>
      </c>
      <c r="EA39" s="3180">
        <f t="shared" ref="EA39:EA51" si="784">SUM(CB39+DO39)</f>
        <v>11245.662680625002</v>
      </c>
      <c r="EB39" s="3180">
        <f t="shared" ref="EB39:EB51" si="785">SUM(CC39+DP39)</f>
        <v>11203.298234711217</v>
      </c>
      <c r="EC39" s="3180">
        <f t="shared" ref="EC39:EC51" si="786">SUM(CD39+DQ39)</f>
        <v>42.364445913783378</v>
      </c>
      <c r="ED39" s="3180">
        <f t="shared" ref="ED39:ED51" si="787">SUM(CE39+DR39)</f>
        <v>9180.982</v>
      </c>
      <c r="EE39" s="3180">
        <f t="shared" ref="EE39:EE51" si="788">SUM(CF39+DS39)</f>
        <v>9180.982</v>
      </c>
      <c r="EF39" s="3180">
        <f t="shared" ref="EF39:EF51" si="789">SUM(CG39+DT39)</f>
        <v>0</v>
      </c>
      <c r="EG39" s="3180">
        <f t="shared" ref="EG39:EG51" si="790">SUM(CH39+DU39)</f>
        <v>9643.14</v>
      </c>
      <c r="EH39" s="3180">
        <f t="shared" ref="EH39:EH51" si="791">SUM(CI39+DV39)</f>
        <v>9606.7556956549342</v>
      </c>
      <c r="EI39" s="3180">
        <f t="shared" ref="EI39:EI51" si="792">SUM(CJ39+DW39)</f>
        <v>36.384304345066916</v>
      </c>
      <c r="EJ39" s="3143">
        <f t="shared" ref="EJ39:EJ51" si="793">SUM(ED39-EA39)</f>
        <v>-2064.6806806250024</v>
      </c>
      <c r="EK39" s="3143">
        <f t="shared" ref="EK39:EK51" si="794">SUM(EE39-EB39)</f>
        <v>-2022.3162347112175</v>
      </c>
      <c r="EL39" s="3143">
        <f t="shared" ref="EL39:EL51" si="795">SUM(EF39-EC39)</f>
        <v>-42.364445913783378</v>
      </c>
      <c r="EM39" s="3136">
        <f t="shared" ref="EM39:EM50" si="796">SUM(EN39:EO39)</f>
        <v>1249.5180756250002</v>
      </c>
      <c r="EN39" s="3136">
        <f>SUM('ПОЛНАЯ СЕБЕСТОИМОСТЬ СТОКИ 2019'!BN155/3)</f>
        <v>1244.810914967913</v>
      </c>
      <c r="EO39" s="3136">
        <f>SUM('ПОЛНАЯ СЕБЕСТОИМОСТЬ СТОКИ 2019'!BO155/3)</f>
        <v>4.7071606570870417</v>
      </c>
      <c r="EP39" s="3136">
        <f t="shared" ref="EP39:EP51" si="797">SUM(EQ39:ER39)</f>
        <v>0</v>
      </c>
      <c r="EQ39" s="3136">
        <f>SUM('ПОЛНАЯ СЕБЕСТОИМОСТЬ СТОКИ 2019'!BQ155)</f>
        <v>0</v>
      </c>
      <c r="ER39" s="3136">
        <f>SUM('ПОЛНАЯ СЕБЕСТОИМОСТЬ СТОКИ 2019'!BR155)</f>
        <v>0</v>
      </c>
      <c r="ES39" s="3144">
        <f>SUM(ES40:ES43)</f>
        <v>1065.3499999999999</v>
      </c>
      <c r="ET39" s="3144">
        <f t="shared" ref="ET39:EU39" si="798">SUM(ET40:ET43)</f>
        <v>1063.977280782095</v>
      </c>
      <c r="EU39" s="3144">
        <f t="shared" si="798"/>
        <v>1.3727192179049124</v>
      </c>
      <c r="EV39" s="3136">
        <f t="shared" ref="EV39:EV52" si="799">SUM(EW39:EX39)</f>
        <v>1249.5180756250002</v>
      </c>
      <c r="EW39" s="3136">
        <f t="shared" ref="EW39:EW52" si="800">SUM(EN39)</f>
        <v>1244.810914967913</v>
      </c>
      <c r="EX39" s="3136">
        <f t="shared" ref="EX39:EX52" si="801">SUM(EO39)</f>
        <v>4.7071606570870417</v>
      </c>
      <c r="EY39" s="3136">
        <f t="shared" ref="EY39:EY52" si="802">SUM(EZ39:FA39)</f>
        <v>0</v>
      </c>
      <c r="EZ39" s="3136">
        <f>SUM('ПОЛНАЯ СЕБЕСТОИМОСТЬ СТОКИ 2019'!BT155)</f>
        <v>0</v>
      </c>
      <c r="FA39" s="3136">
        <f>SUM('ПОЛНАЯ СЕБЕСТОИМОСТЬ СТОКИ 2019'!BU155)</f>
        <v>0</v>
      </c>
      <c r="FB39" s="3144">
        <f>SUM(FB40:FB43)</f>
        <v>968.8900000000001</v>
      </c>
      <c r="FC39" s="3144">
        <f t="shared" ref="FC39:FD39" si="803">SUM(FC40:FC43)</f>
        <v>967.66872652512143</v>
      </c>
      <c r="FD39" s="3144">
        <f t="shared" si="803"/>
        <v>1.2212734748786833</v>
      </c>
      <c r="FE39" s="3136">
        <f t="shared" ref="FE39:FE51" si="804">SUM(FF39:FG39)</f>
        <v>1249.5180756250002</v>
      </c>
      <c r="FF39" s="3136">
        <f t="shared" ref="FF39:FF51" si="805">SUM(EW39)</f>
        <v>1244.810914967913</v>
      </c>
      <c r="FG39" s="3136">
        <f t="shared" ref="FG39:FG51" si="806">SUM(EX39)</f>
        <v>4.7071606570870417</v>
      </c>
      <c r="FH39" s="3136">
        <f t="shared" ref="FH39:FH51" si="807">SUM(FI39:FJ39)</f>
        <v>0</v>
      </c>
      <c r="FI39" s="3136">
        <f>SUM('ПОЛНАЯ СЕБЕСТОИМОСТЬ СТОКИ 2019'!BW155)</f>
        <v>0</v>
      </c>
      <c r="FJ39" s="3136">
        <f>SUM('ПОЛНАЯ СЕБЕСТОИМОСТЬ СТОКИ 2019'!BX155)</f>
        <v>0</v>
      </c>
      <c r="FK39" s="3144">
        <f>SUM(FK40:FK43)</f>
        <v>1147.45</v>
      </c>
      <c r="FL39" s="3144">
        <f t="shared" ref="FL39:FM39" si="808">SUM(FL40:FL43)</f>
        <v>1136.6280641069652</v>
      </c>
      <c r="FM39" s="3144">
        <f t="shared" si="808"/>
        <v>10.821935893034805</v>
      </c>
      <c r="FN39" s="3180">
        <f t="shared" ref="FN39:FN51" si="809">SUM(EM39+EV39+FE39)</f>
        <v>3748.5542268750005</v>
      </c>
      <c r="FO39" s="3180">
        <f t="shared" ref="FO39:FO51" si="810">SUM(EN39+EW39+FF39)</f>
        <v>3734.4327449037391</v>
      </c>
      <c r="FP39" s="3180">
        <f t="shared" ref="FP39:FP51" si="811">SUM(EO39+EX39+FG39)</f>
        <v>14.121481971261126</v>
      </c>
      <c r="FQ39" s="3180">
        <f t="shared" ref="FQ39:FQ51" si="812">SUM(EP39+EY39+FH39)</f>
        <v>0</v>
      </c>
      <c r="FR39" s="3180">
        <f t="shared" ref="FR39:FR51" si="813">SUM(EQ39+EZ39+FI39)</f>
        <v>0</v>
      </c>
      <c r="FS39" s="3180">
        <f t="shared" ref="FS39:FS51" si="814">SUM(ER39+FA39+FJ39)</f>
        <v>0</v>
      </c>
      <c r="FT39" s="3180">
        <f t="shared" ref="FT39:FT52" si="815">SUM(ES39+FB39+FK39)</f>
        <v>3181.69</v>
      </c>
      <c r="FU39" s="3180">
        <f t="shared" ref="FU39:FU52" si="816">SUM(ET39+FC39+FL39)</f>
        <v>3168.2740714141819</v>
      </c>
      <c r="FV39" s="3180">
        <f t="shared" ref="FV39:FV52" si="817">SUM(EU39+FD39+FM39)</f>
        <v>13.415928585818401</v>
      </c>
      <c r="FW39" s="3143">
        <f t="shared" ref="FW39:FW52" si="818">SUM(FQ39-FN39)</f>
        <v>-3748.5542268750005</v>
      </c>
      <c r="FX39" s="3143">
        <f t="shared" ref="FX39:FX52" si="819">SUM(FR39-FO39)</f>
        <v>-3734.4327449037391</v>
      </c>
      <c r="FY39" s="3143">
        <f t="shared" ref="FY39:FY52" si="820">SUM(FS39-FP39)</f>
        <v>-14.121481971261126</v>
      </c>
      <c r="FZ39" s="3242">
        <f t="shared" ref="FZ39:FZ52" si="821">SUM(EA39+FN39)</f>
        <v>14994.216907500002</v>
      </c>
      <c r="GA39" s="3242">
        <f t="shared" ref="GA39:GA52" si="822">SUM(EB39+FO39)</f>
        <v>14937.730979614957</v>
      </c>
      <c r="GB39" s="3242">
        <f t="shared" ref="GB39:GB52" si="823">SUM(EC39+FP39)</f>
        <v>56.485927885044504</v>
      </c>
      <c r="GC39" s="3242">
        <f t="shared" ref="GC39:GC52" si="824">SUM(ED39+FQ39)</f>
        <v>9180.982</v>
      </c>
      <c r="GD39" s="3242">
        <f t="shared" ref="GD39:GD52" si="825">SUM(EE39+FR39)</f>
        <v>9180.982</v>
      </c>
      <c r="GE39" s="3242">
        <f t="shared" ref="GE39:GE52" si="826">SUM(EF39+FS39)</f>
        <v>0</v>
      </c>
      <c r="GF39" s="3242">
        <f t="shared" ref="GF39:GF50" si="827">SUM(EG39+FT39)</f>
        <v>12824.83</v>
      </c>
      <c r="GG39" s="3242">
        <f t="shared" ref="GG39:GG50" si="828">SUM(EH39+FU39)</f>
        <v>12775.029767069116</v>
      </c>
      <c r="GH39" s="3242">
        <f t="shared" ref="GH39:GH50" si="829">SUM(EI39+FV39)</f>
        <v>49.800232930885315</v>
      </c>
      <c r="GI39" s="3243">
        <f t="shared" ref="GI39:GI51" si="830">SUM(GC39-FZ39)</f>
        <v>-5813.234907500002</v>
      </c>
      <c r="GJ39" s="3243">
        <f t="shared" ref="GJ39:GJ51" si="831">SUM(GD39-GA39)</f>
        <v>-5756.7489796149566</v>
      </c>
      <c r="GK39" s="3243">
        <f t="shared" ref="GK39:GK51" si="832">SUM(GE39-GB39)</f>
        <v>-56.485927885044504</v>
      </c>
    </row>
    <row r="40" spans="1:193" ht="18.75" customHeight="1" x14ac:dyDescent="0.3">
      <c r="A40" s="3079" t="s">
        <v>3616</v>
      </c>
      <c r="B40" s="3145">
        <f t="shared" si="697"/>
        <v>559.97</v>
      </c>
      <c r="C40" s="3145">
        <f>SUM('ПОЛНАЯ СЕБЕСТОИМОСТЬ СТОКИ 2019'!C156/3)</f>
        <v>557.71551863211516</v>
      </c>
      <c r="D40" s="3145">
        <f>SUM('ПОЛНАЯ СЕБЕСТОИМОСТЬ СТОКИ 2019'!D156/3)</f>
        <v>2.2544813678848978</v>
      </c>
      <c r="E40" s="3145">
        <f t="shared" si="698"/>
        <v>494.28</v>
      </c>
      <c r="F40" s="3145">
        <f>SUM('ПОЛНАЯ СЕБЕСТОИМОСТЬ СТОКИ 2019'!F156)</f>
        <v>494.28</v>
      </c>
      <c r="G40" s="3145">
        <f>SUM('ПОЛНАЯ СЕБЕСТОИМОСТЬ СТОКИ 2019'!G156)</f>
        <v>0</v>
      </c>
      <c r="H40" s="3149">
        <v>507.8</v>
      </c>
      <c r="I40" s="3149">
        <f t="shared" ref="I40:I56" si="833">SUM(H40-J40)</f>
        <v>507.50625679255967</v>
      </c>
      <c r="J40" s="3149">
        <f>SUM(H40/H9*J9)*0.652433281</f>
        <v>0.29374320744036347</v>
      </c>
      <c r="K40" s="3145">
        <f t="shared" si="700"/>
        <v>559.97</v>
      </c>
      <c r="L40" s="3145">
        <f t="shared" si="701"/>
        <v>557.71551863211516</v>
      </c>
      <c r="M40" s="3145">
        <f t="shared" si="702"/>
        <v>2.2544813678848978</v>
      </c>
      <c r="N40" s="3145">
        <f t="shared" si="703"/>
        <v>430.44000000000005</v>
      </c>
      <c r="O40" s="3145">
        <f>SUM('ПОЛНАЯ СЕБЕСТОИМОСТЬ СТОКИ 2019'!I156)</f>
        <v>430.44000000000005</v>
      </c>
      <c r="P40" s="3145">
        <f>SUM('ПОЛНАЯ СЕБЕСТОИМОСТЬ СТОКИ 2019'!J156)</f>
        <v>0</v>
      </c>
      <c r="Q40" s="3149">
        <v>418.44</v>
      </c>
      <c r="R40" s="3149">
        <f t="shared" ref="R40:R56" si="834">SUM(Q40-S40)</f>
        <v>418.24400228755218</v>
      </c>
      <c r="S40" s="3149">
        <f>SUM(Q40/Q9*S9)*0.652433281</f>
        <v>0.19599771244780506</v>
      </c>
      <c r="T40" s="3145">
        <f t="shared" si="705"/>
        <v>559.97</v>
      </c>
      <c r="U40" s="3145">
        <f t="shared" si="706"/>
        <v>557.71551863211516</v>
      </c>
      <c r="V40" s="3145">
        <f t="shared" si="707"/>
        <v>2.2544813678848978</v>
      </c>
      <c r="W40" s="3145">
        <f t="shared" si="708"/>
        <v>503.96</v>
      </c>
      <c r="X40" s="3145">
        <f>SUM('ПОЛНАЯ СЕБЕСТОИМОСТЬ СТОКИ 2019'!L156)</f>
        <v>503.96</v>
      </c>
      <c r="Y40" s="3145">
        <f>SUM('ПОЛНАЯ СЕБЕСТОИМОСТЬ СТОКИ 2019'!M156)</f>
        <v>0</v>
      </c>
      <c r="Z40" s="3149">
        <v>481.79</v>
      </c>
      <c r="AA40" s="3149">
        <f t="shared" ref="AA40:AA56" si="835">SUM(Z40-AB40)</f>
        <v>477.36425926438767</v>
      </c>
      <c r="AB40" s="3149">
        <f>SUM(Z40/Z9*AB9)*0.652433281</f>
        <v>4.4257407356123624</v>
      </c>
      <c r="AC40" s="3179">
        <f t="shared" si="710"/>
        <v>1679.91</v>
      </c>
      <c r="AD40" s="3179">
        <f t="shared" si="711"/>
        <v>1673.1465558963455</v>
      </c>
      <c r="AE40" s="3179">
        <f t="shared" si="712"/>
        <v>6.7634441036546935</v>
      </c>
      <c r="AF40" s="3179">
        <f t="shared" si="713"/>
        <v>1428.68</v>
      </c>
      <c r="AG40" s="3179">
        <f t="shared" si="714"/>
        <v>1428.68</v>
      </c>
      <c r="AH40" s="3179">
        <f t="shared" si="715"/>
        <v>0</v>
      </c>
      <c r="AI40" s="3179">
        <f t="shared" si="716"/>
        <v>1408.03</v>
      </c>
      <c r="AJ40" s="3179">
        <f t="shared" si="717"/>
        <v>1403.1145183444996</v>
      </c>
      <c r="AK40" s="3179">
        <f t="shared" si="718"/>
        <v>4.915481655500531</v>
      </c>
      <c r="AL40" s="3148">
        <f t="shared" si="719"/>
        <v>-251.23000000000002</v>
      </c>
      <c r="AM40" s="3148">
        <f t="shared" si="720"/>
        <v>-244.46655589634543</v>
      </c>
      <c r="AN40" s="3148">
        <f t="shared" si="721"/>
        <v>-6.7634441036546935</v>
      </c>
      <c r="AO40" s="3145">
        <f t="shared" si="722"/>
        <v>559.97</v>
      </c>
      <c r="AP40" s="3145">
        <f>SUM('ПОЛНАЯ СЕБЕСТОИМОСТЬ СТОКИ 2019'!R156/3)</f>
        <v>557.71551863211516</v>
      </c>
      <c r="AQ40" s="3145">
        <f>SUM('ПОЛНАЯ СЕБЕСТОИМОСТЬ СТОКИ 2019'!S156/3)</f>
        <v>2.2544813678848978</v>
      </c>
      <c r="AR40" s="3145">
        <f t="shared" si="723"/>
        <v>434.85</v>
      </c>
      <c r="AS40" s="3145">
        <f>SUM('ПОЛНАЯ СЕБЕСТОИМОСТЬ СТОКИ 2019'!U156)</f>
        <v>434.85</v>
      </c>
      <c r="AT40" s="3145">
        <f>SUM('ПОЛНАЯ СЕБЕСТОИМОСТЬ СТОКИ 2019'!V156)</f>
        <v>0</v>
      </c>
      <c r="AU40" s="3149">
        <v>476.1</v>
      </c>
      <c r="AV40" s="3149">
        <f t="shared" ref="AV40:AV56" si="836">SUM(AU40-AW40)</f>
        <v>475.80528005648335</v>
      </c>
      <c r="AW40" s="3149">
        <f>SUM(AU40/AU9*AW9)*0.652433281</f>
        <v>0.29471994351664421</v>
      </c>
      <c r="AX40" s="3145">
        <f t="shared" si="725"/>
        <v>559.97</v>
      </c>
      <c r="AY40" s="3145">
        <f t="shared" si="726"/>
        <v>557.71551863211516</v>
      </c>
      <c r="AZ40" s="3145">
        <f t="shared" si="727"/>
        <v>2.2544813678848978</v>
      </c>
      <c r="BA40" s="3276">
        <f t="shared" si="728"/>
        <v>502.39</v>
      </c>
      <c r="BB40" s="3276">
        <f>SUM('ПОЛНАЯ СЕБЕСТОИМОСТЬ СТОКИ 2019'!X156)</f>
        <v>502.39</v>
      </c>
      <c r="BC40" s="3276">
        <f>SUM('ПОЛНАЯ СЕБЕСТОИМОСТЬ СТОКИ 2019'!Y156)</f>
        <v>0</v>
      </c>
      <c r="BD40" s="3149">
        <v>513.1</v>
      </c>
      <c r="BE40" s="3149">
        <f t="shared" ref="BE40:BE56" si="837">SUM(BD40-BF40)</f>
        <v>512.34553850519944</v>
      </c>
      <c r="BF40" s="3149">
        <f>SUM(BD40/BD9*BF9)*0.652433281</f>
        <v>0.75446149480059987</v>
      </c>
      <c r="BG40" s="3145">
        <f t="shared" si="730"/>
        <v>559.97</v>
      </c>
      <c r="BH40" s="3145">
        <f t="shared" si="731"/>
        <v>557.71551863211516</v>
      </c>
      <c r="BI40" s="3145">
        <f t="shared" si="732"/>
        <v>2.2544813678848978</v>
      </c>
      <c r="BJ40" s="3145">
        <f t="shared" si="733"/>
        <v>304.31</v>
      </c>
      <c r="BK40" s="3145">
        <f>SUM('ПОЛНАЯ СЕБЕСТОИМОСТЬ СТОКИ 2019'!AA156)</f>
        <v>304.31</v>
      </c>
      <c r="BL40" s="3145">
        <f>SUM('ПОЛНАЯ СЕБЕСТОИМОСТЬ СТОКИ 2019'!AB156)</f>
        <v>0</v>
      </c>
      <c r="BM40" s="3149">
        <v>481.75</v>
      </c>
      <c r="BN40" s="3149">
        <f t="shared" ref="BN40:BN56" si="838">SUM(BM40-BO40)</f>
        <v>477.55592285803453</v>
      </c>
      <c r="BO40" s="3149">
        <f>SUM(BM40/BM9*BO9)*0.652433281</f>
        <v>4.1940771419654927</v>
      </c>
      <c r="BP40" s="3179">
        <f t="shared" si="735"/>
        <v>1679.91</v>
      </c>
      <c r="BQ40" s="3179">
        <f t="shared" si="736"/>
        <v>1673.1465558963455</v>
      </c>
      <c r="BR40" s="3179">
        <f t="shared" si="737"/>
        <v>6.7634441036546935</v>
      </c>
      <c r="BS40" s="3179">
        <f t="shared" si="738"/>
        <v>1241.55</v>
      </c>
      <c r="BT40" s="3179">
        <f t="shared" si="739"/>
        <v>1241.55</v>
      </c>
      <c r="BU40" s="3179">
        <f t="shared" si="740"/>
        <v>0</v>
      </c>
      <c r="BV40" s="3179">
        <f t="shared" si="741"/>
        <v>1470.95</v>
      </c>
      <c r="BW40" s="3179">
        <f t="shared" si="742"/>
        <v>1465.7067414197174</v>
      </c>
      <c r="BX40" s="3179">
        <f t="shared" si="743"/>
        <v>5.2432585802827365</v>
      </c>
      <c r="BY40" s="3148">
        <f t="shared" si="744"/>
        <v>-438.36000000000013</v>
      </c>
      <c r="BZ40" s="3148">
        <f t="shared" si="745"/>
        <v>-431.59655589634554</v>
      </c>
      <c r="CA40" s="3148">
        <f t="shared" si="746"/>
        <v>-6.7634441036546935</v>
      </c>
      <c r="CB40" s="3179">
        <f t="shared" si="747"/>
        <v>3359.82</v>
      </c>
      <c r="CC40" s="3179">
        <f t="shared" si="748"/>
        <v>3346.293111792691</v>
      </c>
      <c r="CD40" s="3179">
        <f t="shared" si="749"/>
        <v>13.526888207309387</v>
      </c>
      <c r="CE40" s="3179">
        <f t="shared" si="750"/>
        <v>2670.23</v>
      </c>
      <c r="CF40" s="3179">
        <f t="shared" si="751"/>
        <v>2670.23</v>
      </c>
      <c r="CG40" s="3179">
        <f t="shared" si="752"/>
        <v>0</v>
      </c>
      <c r="CH40" s="3456">
        <f t="shared" si="753"/>
        <v>2878.98</v>
      </c>
      <c r="CI40" s="3456">
        <f t="shared" si="754"/>
        <v>2868.8212597642168</v>
      </c>
      <c r="CJ40" s="3456">
        <f t="shared" si="755"/>
        <v>10.158740235783267</v>
      </c>
      <c r="CK40" s="3148">
        <f t="shared" si="756"/>
        <v>-689.59000000000015</v>
      </c>
      <c r="CL40" s="3148">
        <f t="shared" si="757"/>
        <v>-676.06311179269096</v>
      </c>
      <c r="CM40" s="3148">
        <f t="shared" si="758"/>
        <v>-13.526888207309387</v>
      </c>
      <c r="CN40" s="3145">
        <f t="shared" si="759"/>
        <v>559.97</v>
      </c>
      <c r="CO40" s="3145">
        <f>SUM('ПОЛНАЯ СЕБЕСТОИМОСТЬ СТОКИ 2019'!AP156/3)</f>
        <v>557.71551863211516</v>
      </c>
      <c r="CP40" s="3145">
        <f>SUM('ПОЛНАЯ СЕБЕСТОИМОСТЬ СТОКИ 2019'!AQ156/3)</f>
        <v>2.2544813678848978</v>
      </c>
      <c r="CQ40" s="3145">
        <f t="shared" si="760"/>
        <v>334.45</v>
      </c>
      <c r="CR40" s="3145">
        <f>SUM('ПОЛНАЯ СЕБЕСТОИМОСТЬ СТОКИ 2019'!AS156)</f>
        <v>334.45</v>
      </c>
      <c r="CS40" s="3145">
        <f>SUM('ПОЛНАЯ СЕБЕСТОИМОСТЬ СТОКИ 2019'!AT156)</f>
        <v>0</v>
      </c>
      <c r="CT40" s="3149">
        <v>412.84</v>
      </c>
      <c r="CU40" s="3149">
        <f t="shared" ref="CU40:CU56" si="839">SUM(CT40-CV40)</f>
        <v>412.46147975139479</v>
      </c>
      <c r="CV40" s="3149">
        <f>SUM(CT40/CT9*CV9)*0.652433281</f>
        <v>0.37852024860516487</v>
      </c>
      <c r="CW40" s="3145">
        <f t="shared" si="762"/>
        <v>559.97</v>
      </c>
      <c r="CX40" s="3145">
        <f t="shared" si="763"/>
        <v>557.71551863211516</v>
      </c>
      <c r="CY40" s="3145">
        <f t="shared" si="764"/>
        <v>2.2544813678848978</v>
      </c>
      <c r="CZ40" s="3145">
        <f t="shared" si="765"/>
        <v>316.14999999999998</v>
      </c>
      <c r="DA40" s="3145">
        <f>SUM('ПОЛНАЯ СЕБЕСТОИМОСТЬ СТОКИ 2019'!AV156)</f>
        <v>316.14999999999998</v>
      </c>
      <c r="DB40" s="3145">
        <f>SUM('ПОЛНАЯ СЕБЕСТОИМОСТЬ СТОКИ 2019'!AW156)</f>
        <v>0</v>
      </c>
      <c r="DC40" s="3149">
        <v>459.9</v>
      </c>
      <c r="DD40" s="3149">
        <f t="shared" ref="DD40:DD56" si="840">SUM(DC40-DE40)</f>
        <v>459.29645631175697</v>
      </c>
      <c r="DE40" s="3149">
        <f>SUM(DC40/DC9*DE9)*0.652433281</f>
        <v>0.60354368824302962</v>
      </c>
      <c r="DF40" s="3145">
        <f t="shared" si="767"/>
        <v>559.97</v>
      </c>
      <c r="DG40" s="3145">
        <f t="shared" si="768"/>
        <v>557.71551863211516</v>
      </c>
      <c r="DH40" s="3145">
        <f t="shared" si="769"/>
        <v>2.2544813678848978</v>
      </c>
      <c r="DI40" s="3145">
        <f t="shared" si="770"/>
        <v>506.28999999999996</v>
      </c>
      <c r="DJ40" s="3145">
        <f>SUM('ПОЛНАЯ СЕБЕСТОИМОСТЬ СТОКИ 2019'!AY156)</f>
        <v>506.28999999999996</v>
      </c>
      <c r="DK40" s="3145">
        <f>SUM('ПОЛНАЯ СЕБЕСТОИМОСТЬ СТОКИ 2019'!AZ156)</f>
        <v>0</v>
      </c>
      <c r="DL40" s="3149">
        <v>443.17</v>
      </c>
      <c r="DM40" s="3149">
        <f t="shared" ref="DM40:DM56" si="841">SUM(DL40-DN40)</f>
        <v>439.03189478365795</v>
      </c>
      <c r="DN40" s="3149">
        <f>SUM(DL40/DL9*DN9)*0.652433281</f>
        <v>4.1381052163420593</v>
      </c>
      <c r="DO40" s="3179">
        <f t="shared" si="772"/>
        <v>1679.91</v>
      </c>
      <c r="DP40" s="3179">
        <f t="shared" si="773"/>
        <v>1673.1465558963455</v>
      </c>
      <c r="DQ40" s="3179">
        <f t="shared" si="774"/>
        <v>6.7634441036546935</v>
      </c>
      <c r="DR40" s="3179">
        <f t="shared" si="775"/>
        <v>1156.8899999999999</v>
      </c>
      <c r="DS40" s="3179">
        <f t="shared" si="776"/>
        <v>1156.8899999999999</v>
      </c>
      <c r="DT40" s="3179">
        <f t="shared" si="777"/>
        <v>0</v>
      </c>
      <c r="DU40" s="3179">
        <f t="shared" si="778"/>
        <v>1315.91</v>
      </c>
      <c r="DV40" s="3179">
        <f t="shared" si="779"/>
        <v>1310.7898308468098</v>
      </c>
      <c r="DW40" s="3179">
        <f t="shared" si="780"/>
        <v>5.120169153190254</v>
      </c>
      <c r="DX40" s="3148">
        <f t="shared" si="781"/>
        <v>-523.02000000000021</v>
      </c>
      <c r="DY40" s="3148">
        <f t="shared" si="782"/>
        <v>-516.25655589634562</v>
      </c>
      <c r="DZ40" s="3148">
        <f t="shared" si="783"/>
        <v>-6.7634441036546935</v>
      </c>
      <c r="EA40" s="3179">
        <f t="shared" si="784"/>
        <v>5039.7300000000005</v>
      </c>
      <c r="EB40" s="3179">
        <f t="shared" si="785"/>
        <v>5019.4396676890365</v>
      </c>
      <c r="EC40" s="3179">
        <f t="shared" si="786"/>
        <v>20.290332310964082</v>
      </c>
      <c r="ED40" s="3179">
        <f t="shared" si="787"/>
        <v>3827.12</v>
      </c>
      <c r="EE40" s="3179">
        <f t="shared" si="788"/>
        <v>3827.12</v>
      </c>
      <c r="EF40" s="3179">
        <f t="shared" si="789"/>
        <v>0</v>
      </c>
      <c r="EG40" s="3179">
        <f t="shared" si="790"/>
        <v>4194.8900000000003</v>
      </c>
      <c r="EH40" s="3179">
        <f t="shared" si="791"/>
        <v>4179.6110906110262</v>
      </c>
      <c r="EI40" s="3179">
        <f t="shared" si="792"/>
        <v>15.278909388973521</v>
      </c>
      <c r="EJ40" s="3148">
        <f t="shared" si="793"/>
        <v>-1212.6100000000006</v>
      </c>
      <c r="EK40" s="3148">
        <f t="shared" si="794"/>
        <v>-1192.3196676890366</v>
      </c>
      <c r="EL40" s="3148">
        <f t="shared" si="795"/>
        <v>-20.290332310964082</v>
      </c>
      <c r="EM40" s="3145">
        <f t="shared" si="796"/>
        <v>559.97</v>
      </c>
      <c r="EN40" s="3145">
        <f>SUM('ПОЛНАЯ СЕБЕСТОИМОСТЬ СТОКИ 2019'!BN156/3)</f>
        <v>557.71551863211516</v>
      </c>
      <c r="EO40" s="3145">
        <f>SUM('ПОЛНАЯ СЕБЕСТОИМОСТЬ СТОКИ 2019'!BO156/3)</f>
        <v>2.2544813678848978</v>
      </c>
      <c r="EP40" s="3145">
        <f t="shared" si="797"/>
        <v>0</v>
      </c>
      <c r="EQ40" s="3145">
        <f>SUM('ПОЛНАЯ СЕБЕСТОИМОСТЬ СТОКИ 2019'!BQ156)</f>
        <v>0</v>
      </c>
      <c r="ER40" s="3145">
        <f>SUM('ПОЛНАЯ СЕБЕСТОИМОСТЬ СТОКИ 2019'!BR156)</f>
        <v>0</v>
      </c>
      <c r="ES40" s="3149">
        <v>345.74</v>
      </c>
      <c r="ET40" s="3149">
        <f t="shared" ref="ET40:ET56" si="842">SUM(ES40-EU40)</f>
        <v>345.27290500579267</v>
      </c>
      <c r="EU40" s="3149">
        <f>SUM(ES40/ES9*EU9)*0.652433281</f>
        <v>0.46709499420733036</v>
      </c>
      <c r="EV40" s="3145">
        <f t="shared" si="799"/>
        <v>559.97</v>
      </c>
      <c r="EW40" s="3145">
        <f t="shared" si="800"/>
        <v>557.71551863211516</v>
      </c>
      <c r="EX40" s="3145">
        <f t="shared" si="801"/>
        <v>2.2544813678848978</v>
      </c>
      <c r="EY40" s="3145">
        <f t="shared" si="802"/>
        <v>0</v>
      </c>
      <c r="EZ40" s="3145">
        <f>SUM('ПОЛНАЯ СЕБЕСТОИМОСТЬ СТОКИ 2019'!BT156)</f>
        <v>0</v>
      </c>
      <c r="FA40" s="3145">
        <f>SUM('ПОЛНАЯ СЕБЕСТОИМОСТЬ СТОКИ 2019'!BU156)</f>
        <v>0</v>
      </c>
      <c r="FB40" s="3149">
        <v>399.7</v>
      </c>
      <c r="FC40" s="3149">
        <f t="shared" ref="FC40:FC56" si="843">SUM(FB40-FD40)</f>
        <v>399.14088423694324</v>
      </c>
      <c r="FD40" s="3149">
        <f>SUM(FB40/FB9*FD9)*0.652433281</f>
        <v>0.55911576305674793</v>
      </c>
      <c r="FE40" s="3145">
        <f t="shared" si="804"/>
        <v>559.97</v>
      </c>
      <c r="FF40" s="3145">
        <f t="shared" si="805"/>
        <v>557.71551863211516</v>
      </c>
      <c r="FG40" s="3145">
        <f t="shared" si="806"/>
        <v>2.2544813678848978</v>
      </c>
      <c r="FH40" s="3145">
        <f t="shared" si="807"/>
        <v>0</v>
      </c>
      <c r="FI40" s="3145">
        <f>SUM('ПОЛНАЯ СЕБЕСТОИМОСТЬ СТОКИ 2019'!BW156)</f>
        <v>0</v>
      </c>
      <c r="FJ40" s="3145">
        <f>SUM('ПОЛНАЯ СЕБЕСТОИМОСТЬ СТОКИ 2019'!BX156)</f>
        <v>0</v>
      </c>
      <c r="FK40" s="3149">
        <v>452.47</v>
      </c>
      <c r="FL40" s="3149">
        <f t="shared" ref="FL40:FL56" si="844">SUM(FK40-FM40)</f>
        <v>447.99456638308703</v>
      </c>
      <c r="FM40" s="3149">
        <f>SUM(FK40/FK9*FM9)*0.652433281</f>
        <v>4.4754336169130147</v>
      </c>
      <c r="FN40" s="3179">
        <f t="shared" si="809"/>
        <v>1679.91</v>
      </c>
      <c r="FO40" s="3179">
        <f t="shared" si="810"/>
        <v>1673.1465558963455</v>
      </c>
      <c r="FP40" s="3179">
        <f t="shared" si="811"/>
        <v>6.7634441036546935</v>
      </c>
      <c r="FQ40" s="3179">
        <f t="shared" si="812"/>
        <v>0</v>
      </c>
      <c r="FR40" s="3179">
        <f t="shared" si="813"/>
        <v>0</v>
      </c>
      <c r="FS40" s="3179">
        <f t="shared" si="814"/>
        <v>0</v>
      </c>
      <c r="FT40" s="3179">
        <f t="shared" si="815"/>
        <v>1197.9100000000001</v>
      </c>
      <c r="FU40" s="3179">
        <f t="shared" si="816"/>
        <v>1192.4083556258229</v>
      </c>
      <c r="FV40" s="3179">
        <f t="shared" si="817"/>
        <v>5.5016443741770935</v>
      </c>
      <c r="FW40" s="3148">
        <f t="shared" si="818"/>
        <v>-1679.91</v>
      </c>
      <c r="FX40" s="3148">
        <f t="shared" si="819"/>
        <v>-1673.1465558963455</v>
      </c>
      <c r="FY40" s="3148">
        <f t="shared" si="820"/>
        <v>-6.7634441036546935</v>
      </c>
      <c r="FZ40" s="3457">
        <f t="shared" si="821"/>
        <v>6719.64</v>
      </c>
      <c r="GA40" s="3457">
        <f t="shared" si="822"/>
        <v>6692.586223585382</v>
      </c>
      <c r="GB40" s="3457">
        <f t="shared" si="823"/>
        <v>27.053776414618774</v>
      </c>
      <c r="GC40" s="3457">
        <f t="shared" si="824"/>
        <v>3827.12</v>
      </c>
      <c r="GD40" s="3457">
        <f t="shared" si="825"/>
        <v>3827.12</v>
      </c>
      <c r="GE40" s="3457">
        <f t="shared" si="826"/>
        <v>0</v>
      </c>
      <c r="GF40" s="3457">
        <f t="shared" si="827"/>
        <v>5392.8</v>
      </c>
      <c r="GG40" s="3457">
        <f t="shared" si="828"/>
        <v>5372.019446236849</v>
      </c>
      <c r="GH40" s="3457">
        <f t="shared" si="829"/>
        <v>20.780553763150614</v>
      </c>
      <c r="GI40" s="3246">
        <f t="shared" si="830"/>
        <v>-2892.5200000000004</v>
      </c>
      <c r="GJ40" s="3246">
        <f t="shared" si="831"/>
        <v>-2865.4662235853821</v>
      </c>
      <c r="GK40" s="3246">
        <f t="shared" si="832"/>
        <v>-27.053776414618774</v>
      </c>
    </row>
    <row r="41" spans="1:193" ht="18.75" customHeight="1" x14ac:dyDescent="0.3">
      <c r="A41" s="3079" t="s">
        <v>3617</v>
      </c>
      <c r="B41" s="3145">
        <f t="shared" si="697"/>
        <v>167.99083333333334</v>
      </c>
      <c r="C41" s="3145">
        <f>SUM('ПОЛНАЯ СЕБЕСТОИМОСТЬ СТОКИ 2019'!C157/3)</f>
        <v>167.31448941045809</v>
      </c>
      <c r="D41" s="3145">
        <f>SUM('ПОЛНАЯ СЕБЕСТОИМОСТЬ СТОКИ 2019'!D157/3)</f>
        <v>0.67634392287525535</v>
      </c>
      <c r="E41" s="3145">
        <f t="shared" si="698"/>
        <v>149.22999999999999</v>
      </c>
      <c r="F41" s="3145">
        <f>SUM('ПОЛНАЯ СЕБЕСТОИМОСТЬ СТОКИ 2019'!F157)</f>
        <v>149.22999999999999</v>
      </c>
      <c r="G41" s="3145">
        <f>SUM('ПОЛНАЯ СЕБЕСТОИМОСТЬ СТОКИ 2019'!G157)</f>
        <v>0</v>
      </c>
      <c r="H41" s="3149">
        <v>153.32</v>
      </c>
      <c r="I41" s="3149">
        <f t="shared" si="833"/>
        <v>153.23131455521849</v>
      </c>
      <c r="J41" s="3149">
        <f>SUM(H41/H9*J9)*0.65240083507</f>
        <v>8.8685444781498285E-2</v>
      </c>
      <c r="K41" s="3145">
        <f t="shared" si="700"/>
        <v>167.99083333333334</v>
      </c>
      <c r="L41" s="3145">
        <f t="shared" si="701"/>
        <v>167.31448941045809</v>
      </c>
      <c r="M41" s="3145">
        <f t="shared" si="702"/>
        <v>0.67634392287525535</v>
      </c>
      <c r="N41" s="3145">
        <f t="shared" si="703"/>
        <v>128.86000000000001</v>
      </c>
      <c r="O41" s="3145">
        <f>SUM('ПОЛНАЯ СЕБЕСТОИМОСТЬ СТОКИ 2019'!I157)</f>
        <v>128.86000000000001</v>
      </c>
      <c r="P41" s="3145">
        <f>SUM('ПОЛНАЯ СЕБЕСТОИМОСТЬ СТОКИ 2019'!J157)</f>
        <v>0</v>
      </c>
      <c r="Q41" s="3149">
        <v>126.33</v>
      </c>
      <c r="R41" s="3149">
        <f t="shared" si="834"/>
        <v>126.27082984498796</v>
      </c>
      <c r="S41" s="3149">
        <f>SUM(Q41/Q9*S9)*0.65240083507</f>
        <v>5.9170155012033591E-2</v>
      </c>
      <c r="T41" s="3145">
        <f t="shared" si="705"/>
        <v>167.99083333333334</v>
      </c>
      <c r="U41" s="3145">
        <f t="shared" si="706"/>
        <v>167.31448941045809</v>
      </c>
      <c r="V41" s="3145">
        <f t="shared" si="707"/>
        <v>0.67634392287525535</v>
      </c>
      <c r="W41" s="3145">
        <f t="shared" si="708"/>
        <v>152.16</v>
      </c>
      <c r="X41" s="3145">
        <f>SUM('ПОЛНАЯ СЕБЕСТОИМОСТЬ СТОКИ 2019'!L157)</f>
        <v>152.16</v>
      </c>
      <c r="Y41" s="3145">
        <f>SUM('ПОЛНАЯ СЕБЕСТОИМОСТЬ СТОКИ 2019'!M157)</f>
        <v>0</v>
      </c>
      <c r="Z41" s="3149">
        <v>145.47</v>
      </c>
      <c r="AA41" s="3149">
        <f t="shared" si="835"/>
        <v>144.13377366156143</v>
      </c>
      <c r="AB41" s="3149">
        <f>SUM(Z41/Z9*AB9)*0.65240083507</f>
        <v>1.33622633843857</v>
      </c>
      <c r="AC41" s="3179">
        <f t="shared" si="710"/>
        <v>503.97250000000003</v>
      </c>
      <c r="AD41" s="3179">
        <f t="shared" si="711"/>
        <v>501.94346823137425</v>
      </c>
      <c r="AE41" s="3179">
        <f t="shared" si="712"/>
        <v>2.029031768625766</v>
      </c>
      <c r="AF41" s="3179">
        <f t="shared" si="713"/>
        <v>430.25</v>
      </c>
      <c r="AG41" s="3179">
        <f t="shared" si="714"/>
        <v>430.25</v>
      </c>
      <c r="AH41" s="3179">
        <f t="shared" si="715"/>
        <v>0</v>
      </c>
      <c r="AI41" s="3179">
        <f t="shared" si="716"/>
        <v>425.12</v>
      </c>
      <c r="AJ41" s="3179">
        <f t="shared" si="717"/>
        <v>423.63591806176794</v>
      </c>
      <c r="AK41" s="3179">
        <f t="shared" si="718"/>
        <v>1.4840819382321018</v>
      </c>
      <c r="AL41" s="3148">
        <f t="shared" si="719"/>
        <v>-73.722500000000025</v>
      </c>
      <c r="AM41" s="3148">
        <f t="shared" si="720"/>
        <v>-71.693468231374254</v>
      </c>
      <c r="AN41" s="3148">
        <f t="shared" si="721"/>
        <v>-2.029031768625766</v>
      </c>
      <c r="AO41" s="3145">
        <f t="shared" si="722"/>
        <v>167.99083333333334</v>
      </c>
      <c r="AP41" s="3145">
        <f>SUM('ПОЛНАЯ СЕБЕСТОИМОСТЬ СТОКИ 2019'!R157/3)</f>
        <v>167.31448941045809</v>
      </c>
      <c r="AQ41" s="3145">
        <f>SUM('ПОЛНАЯ СЕБЕСТОИМОСТЬ СТОКИ 2019'!S157/3)</f>
        <v>0.67634392287525535</v>
      </c>
      <c r="AR41" s="3145">
        <f t="shared" si="723"/>
        <v>144.29</v>
      </c>
      <c r="AS41" s="3145">
        <f>SUM('ПОЛНАЯ СЕБЕСТОИМОСТЬ СТОКИ 2019'!U157)</f>
        <v>144.29</v>
      </c>
      <c r="AT41" s="3145">
        <f>SUM('ПОЛНАЯ СЕБЕСТОИМОСТЬ СТОКИ 2019'!V157)</f>
        <v>0</v>
      </c>
      <c r="AU41" s="3149">
        <v>143.74</v>
      </c>
      <c r="AV41" s="3149">
        <f t="shared" si="836"/>
        <v>143.65102512510103</v>
      </c>
      <c r="AW41" s="3149">
        <f>SUM(AU41/AU9*AW9)*0.65240083507</f>
        <v>8.8974874898989434E-2</v>
      </c>
      <c r="AX41" s="3145">
        <f t="shared" si="725"/>
        <v>167.99083333333334</v>
      </c>
      <c r="AY41" s="3145">
        <f t="shared" si="726"/>
        <v>167.31448941045809</v>
      </c>
      <c r="AZ41" s="3145">
        <f t="shared" si="727"/>
        <v>0.67634392287525535</v>
      </c>
      <c r="BA41" s="3276">
        <f t="shared" si="728"/>
        <v>151.65</v>
      </c>
      <c r="BB41" s="3276">
        <f>SUM('ПОЛНАЯ СЕБЕСТОИМОСТЬ СТОКИ 2019'!X157)</f>
        <v>151.65</v>
      </c>
      <c r="BC41" s="3276">
        <f>SUM('ПОЛНАЯ СЕБЕСТОИМОСТЬ СТОКИ 2019'!Y157)</f>
        <v>0</v>
      </c>
      <c r="BD41" s="3149">
        <v>153.80000000000001</v>
      </c>
      <c r="BE41" s="3149">
        <f t="shared" si="837"/>
        <v>153.57386394982268</v>
      </c>
      <c r="BF41" s="3149">
        <f>SUM(BD41/BD9*BF9)*0.65240083507</f>
        <v>0.22613605017732516</v>
      </c>
      <c r="BG41" s="3145">
        <f t="shared" si="730"/>
        <v>167.99083333333334</v>
      </c>
      <c r="BH41" s="3145">
        <f t="shared" si="731"/>
        <v>167.31448941045809</v>
      </c>
      <c r="BI41" s="3145">
        <f t="shared" si="732"/>
        <v>0.67634392287525535</v>
      </c>
      <c r="BJ41" s="3145">
        <f t="shared" si="733"/>
        <v>91.9</v>
      </c>
      <c r="BK41" s="3145">
        <f>SUM('ПОЛНАЯ СЕБЕСТОИМОСТЬ СТОКИ 2019'!AA157)</f>
        <v>91.9</v>
      </c>
      <c r="BL41" s="3145">
        <f>SUM('ПОЛНАЯ СЕБЕСТОИМОСТЬ СТОКИ 2019'!AB157)</f>
        <v>0</v>
      </c>
      <c r="BM41" s="3149">
        <v>144.66999999999999</v>
      </c>
      <c r="BN41" s="3149">
        <f t="shared" si="838"/>
        <v>143.41057713398598</v>
      </c>
      <c r="BO41" s="3149">
        <f>SUM(BM41/BM9*BO9)*0.65240083507</f>
        <v>1.2594228660139966</v>
      </c>
      <c r="BP41" s="3179">
        <f t="shared" si="735"/>
        <v>503.97250000000003</v>
      </c>
      <c r="BQ41" s="3179">
        <f t="shared" si="736"/>
        <v>501.94346823137425</v>
      </c>
      <c r="BR41" s="3179">
        <f t="shared" si="737"/>
        <v>2.029031768625766</v>
      </c>
      <c r="BS41" s="3179">
        <f t="shared" si="738"/>
        <v>387.84000000000003</v>
      </c>
      <c r="BT41" s="3179">
        <f t="shared" si="739"/>
        <v>387.84000000000003</v>
      </c>
      <c r="BU41" s="3179">
        <f t="shared" si="740"/>
        <v>0</v>
      </c>
      <c r="BV41" s="3179">
        <f t="shared" si="741"/>
        <v>442.21000000000004</v>
      </c>
      <c r="BW41" s="3179">
        <f t="shared" si="742"/>
        <v>440.63546620890963</v>
      </c>
      <c r="BX41" s="3179">
        <f t="shared" si="743"/>
        <v>1.5745337910903112</v>
      </c>
      <c r="BY41" s="3148">
        <f t="shared" si="744"/>
        <v>-116.13249999999999</v>
      </c>
      <c r="BZ41" s="3148">
        <f t="shared" si="745"/>
        <v>-114.10346823137422</v>
      </c>
      <c r="CA41" s="3148">
        <f t="shared" si="746"/>
        <v>-2.029031768625766</v>
      </c>
      <c r="CB41" s="3179">
        <f t="shared" si="747"/>
        <v>1007.9450000000001</v>
      </c>
      <c r="CC41" s="3179">
        <f t="shared" si="748"/>
        <v>1003.8869364627485</v>
      </c>
      <c r="CD41" s="3179">
        <f t="shared" si="749"/>
        <v>4.0580635372515319</v>
      </c>
      <c r="CE41" s="3179">
        <f t="shared" si="750"/>
        <v>818.09</v>
      </c>
      <c r="CF41" s="3179">
        <f t="shared" si="751"/>
        <v>818.09</v>
      </c>
      <c r="CG41" s="3179">
        <f t="shared" si="752"/>
        <v>0</v>
      </c>
      <c r="CH41" s="3456">
        <f t="shared" si="753"/>
        <v>867.33</v>
      </c>
      <c r="CI41" s="3456">
        <f t="shared" si="754"/>
        <v>864.27138427067757</v>
      </c>
      <c r="CJ41" s="3456">
        <f t="shared" si="755"/>
        <v>3.0586157293224128</v>
      </c>
      <c r="CK41" s="3148">
        <f t="shared" si="756"/>
        <v>-189.85500000000002</v>
      </c>
      <c r="CL41" s="3148">
        <f t="shared" si="757"/>
        <v>-185.79693646274848</v>
      </c>
      <c r="CM41" s="3148">
        <f t="shared" si="758"/>
        <v>-4.0580635372515319</v>
      </c>
      <c r="CN41" s="3145">
        <f t="shared" si="759"/>
        <v>167.99083333333334</v>
      </c>
      <c r="CO41" s="3145">
        <f>SUM('ПОЛНАЯ СЕБЕСТОИМОСТЬ СТОКИ 2019'!AP157/3)</f>
        <v>167.31448941045809</v>
      </c>
      <c r="CP41" s="3145">
        <f>SUM('ПОЛНАЯ СЕБЕСТОИМОСТЬ СТОКИ 2019'!AQ157/3)</f>
        <v>0.67634392287525535</v>
      </c>
      <c r="CQ41" s="3145">
        <f t="shared" si="760"/>
        <v>99.79</v>
      </c>
      <c r="CR41" s="3145">
        <f>SUM('ПОЛНАЯ СЕБЕСТОИМОСТЬ СТОКИ 2019'!AS157)</f>
        <v>99.79</v>
      </c>
      <c r="CS41" s="3145">
        <f>SUM('ПОЛНАЯ СЕБЕСТОИМОСТЬ СТОКИ 2019'!AT157)</f>
        <v>0</v>
      </c>
      <c r="CT41" s="3149">
        <v>124.64</v>
      </c>
      <c r="CU41" s="3149">
        <f t="shared" si="839"/>
        <v>124.52572711569702</v>
      </c>
      <c r="CV41" s="3149">
        <f>SUM(CT41/CT9*CV9)*0.65240083507</f>
        <v>0.11427288430297775</v>
      </c>
      <c r="CW41" s="3145">
        <f t="shared" si="762"/>
        <v>167.99083333333334</v>
      </c>
      <c r="CX41" s="3145">
        <f t="shared" si="763"/>
        <v>167.31448941045809</v>
      </c>
      <c r="CY41" s="3145">
        <f t="shared" si="764"/>
        <v>0.67634392287525535</v>
      </c>
      <c r="CZ41" s="3145">
        <f t="shared" si="765"/>
        <v>95.44</v>
      </c>
      <c r="DA41" s="3145">
        <f>SUM('ПОЛНАЯ СЕБЕСТОИМОСТЬ СТОКИ 2019'!AV157)</f>
        <v>95.44</v>
      </c>
      <c r="DB41" s="3145">
        <f>SUM('ПОЛНАЯ СЕБЕСТОИМОСТЬ СТОКИ 2019'!AW157)</f>
        <v>0</v>
      </c>
      <c r="DC41" s="3149">
        <v>138.85</v>
      </c>
      <c r="DD41" s="3149">
        <f t="shared" si="840"/>
        <v>138.66779109897212</v>
      </c>
      <c r="DE41" s="3149">
        <f>SUM(DC41/DC9*DE9)*0.65240083507</f>
        <v>0.18220890102786688</v>
      </c>
      <c r="DF41" s="3145">
        <f t="shared" si="767"/>
        <v>167.99083333333334</v>
      </c>
      <c r="DG41" s="3145">
        <f t="shared" si="768"/>
        <v>167.31448941045809</v>
      </c>
      <c r="DH41" s="3145">
        <f t="shared" si="769"/>
        <v>0.67634392287525535</v>
      </c>
      <c r="DI41" s="3145">
        <f t="shared" si="770"/>
        <v>151.79</v>
      </c>
      <c r="DJ41" s="3145">
        <f>SUM('ПОЛНАЯ СЕБЕСТОИМОСТЬ СТОКИ 2019'!AY157)</f>
        <v>151.79</v>
      </c>
      <c r="DK41" s="3145">
        <f>SUM('ПОЛНАЯ СЕБЕСТОИМОСТЬ СТОКИ 2019'!AZ157)</f>
        <v>0</v>
      </c>
      <c r="DL41" s="3149">
        <v>133.79</v>
      </c>
      <c r="DM41" s="3149">
        <f t="shared" si="841"/>
        <v>132.54079638928022</v>
      </c>
      <c r="DN41" s="3149">
        <f>SUM(DL41/DL9*DN9)*0.65240083507</f>
        <v>1.2492036107197773</v>
      </c>
      <c r="DO41" s="3179">
        <f t="shared" si="772"/>
        <v>503.97250000000003</v>
      </c>
      <c r="DP41" s="3179">
        <f t="shared" si="773"/>
        <v>501.94346823137425</v>
      </c>
      <c r="DQ41" s="3179">
        <f t="shared" si="774"/>
        <v>2.029031768625766</v>
      </c>
      <c r="DR41" s="3179">
        <f t="shared" si="775"/>
        <v>347.02</v>
      </c>
      <c r="DS41" s="3179">
        <f t="shared" si="776"/>
        <v>347.02</v>
      </c>
      <c r="DT41" s="3179">
        <f t="shared" si="777"/>
        <v>0</v>
      </c>
      <c r="DU41" s="3179">
        <f t="shared" si="778"/>
        <v>397.28</v>
      </c>
      <c r="DV41" s="3179">
        <f t="shared" si="779"/>
        <v>395.73431460394937</v>
      </c>
      <c r="DW41" s="3179">
        <f t="shared" si="780"/>
        <v>1.5456853960506218</v>
      </c>
      <c r="DX41" s="3148">
        <f t="shared" si="781"/>
        <v>-156.95250000000004</v>
      </c>
      <c r="DY41" s="3148">
        <f t="shared" si="782"/>
        <v>-154.92346823137427</v>
      </c>
      <c r="DZ41" s="3148">
        <f t="shared" si="783"/>
        <v>-2.029031768625766</v>
      </c>
      <c r="EA41" s="3179">
        <f t="shared" si="784"/>
        <v>1511.9175</v>
      </c>
      <c r="EB41" s="3179">
        <f t="shared" si="785"/>
        <v>1505.8304046941228</v>
      </c>
      <c r="EC41" s="3179">
        <f t="shared" si="786"/>
        <v>6.0870953058772983</v>
      </c>
      <c r="ED41" s="3179">
        <f t="shared" si="787"/>
        <v>1165.1100000000001</v>
      </c>
      <c r="EE41" s="3179">
        <f t="shared" si="788"/>
        <v>1165.1100000000001</v>
      </c>
      <c r="EF41" s="3179">
        <f t="shared" si="789"/>
        <v>0</v>
      </c>
      <c r="EG41" s="3179">
        <f t="shared" si="790"/>
        <v>1264.6100000000001</v>
      </c>
      <c r="EH41" s="3179">
        <f t="shared" si="791"/>
        <v>1260.0056988746269</v>
      </c>
      <c r="EI41" s="3179">
        <f t="shared" si="792"/>
        <v>4.6043011253730342</v>
      </c>
      <c r="EJ41" s="3148">
        <f t="shared" si="793"/>
        <v>-346.80749999999989</v>
      </c>
      <c r="EK41" s="3148">
        <f t="shared" si="794"/>
        <v>-340.72040469412264</v>
      </c>
      <c r="EL41" s="3148">
        <f t="shared" si="795"/>
        <v>-6.0870953058772983</v>
      </c>
      <c r="EM41" s="3145">
        <f t="shared" si="796"/>
        <v>167.99083333333334</v>
      </c>
      <c r="EN41" s="3145">
        <f>SUM('ПОЛНАЯ СЕБЕСТОИМОСТЬ СТОКИ 2019'!BN157/3)</f>
        <v>167.31448941045809</v>
      </c>
      <c r="EO41" s="3145">
        <f>SUM('ПОЛНАЯ СЕБЕСТОИМОСТЬ СТОКИ 2019'!BO157/3)</f>
        <v>0.67634392287525535</v>
      </c>
      <c r="EP41" s="3145">
        <f t="shared" si="797"/>
        <v>0</v>
      </c>
      <c r="EQ41" s="3145">
        <f>SUM('ПОЛНАЯ СЕБЕСТОИМОСТЬ СТОКИ 2019'!BQ157)</f>
        <v>0</v>
      </c>
      <c r="ER41" s="3145">
        <f>SUM('ПОЛНАЯ СЕБЕСТОИМОСТЬ СТОКИ 2019'!BR157)</f>
        <v>0</v>
      </c>
      <c r="ES41" s="3149">
        <v>104.38</v>
      </c>
      <c r="ET41" s="3149">
        <f t="shared" si="842"/>
        <v>104.23898955614354</v>
      </c>
      <c r="EU41" s="3149">
        <f>SUM(ES41/ES9*EU9)*0.65240083507</f>
        <v>0.14101044385645972</v>
      </c>
      <c r="EV41" s="3145">
        <f t="shared" si="799"/>
        <v>167.99083333333334</v>
      </c>
      <c r="EW41" s="3145">
        <f t="shared" si="800"/>
        <v>167.31448941045809</v>
      </c>
      <c r="EX41" s="3145">
        <f t="shared" si="801"/>
        <v>0.67634392287525535</v>
      </c>
      <c r="EY41" s="3145">
        <f t="shared" si="802"/>
        <v>0</v>
      </c>
      <c r="EZ41" s="3145">
        <f>SUM('ПОЛНАЯ СЕБЕСТОИМОСТЬ СТОКИ 2019'!BT157)</f>
        <v>0</v>
      </c>
      <c r="FA41" s="3145">
        <f>SUM('ПОЛНАЯ СЕБЕСТОИМОСТЬ СТОКИ 2019'!BU157)</f>
        <v>0</v>
      </c>
      <c r="FB41" s="3149">
        <v>118.3</v>
      </c>
      <c r="FC41" s="3149">
        <f t="shared" si="843"/>
        <v>118.13452563068373</v>
      </c>
      <c r="FD41" s="3149">
        <f>SUM(FB41/FB9*FD9)*0.65240083507</f>
        <v>0.16547436931627307</v>
      </c>
      <c r="FE41" s="3145">
        <f t="shared" si="804"/>
        <v>167.99083333333334</v>
      </c>
      <c r="FF41" s="3145">
        <f t="shared" si="805"/>
        <v>167.31448941045809</v>
      </c>
      <c r="FG41" s="3145">
        <f t="shared" si="806"/>
        <v>0.67634392287525535</v>
      </c>
      <c r="FH41" s="3145">
        <f t="shared" si="807"/>
        <v>0</v>
      </c>
      <c r="FI41" s="3145">
        <f>SUM('ПОЛНАЯ СЕБЕСТОИМОСТЬ СТОКИ 2019'!BW157)</f>
        <v>0</v>
      </c>
      <c r="FJ41" s="3145">
        <f>SUM('ПОЛНАЯ СЕБЕСТОИМОСТЬ СТОКИ 2019'!BX157)</f>
        <v>0</v>
      </c>
      <c r="FK41" s="3149">
        <v>135.47</v>
      </c>
      <c r="FL41" s="3149">
        <f t="shared" si="844"/>
        <v>134.13011704413978</v>
      </c>
      <c r="FM41" s="3149">
        <f>SUM(FK41/FK9*FM9)*0.65240083507</f>
        <v>1.3398829558602072</v>
      </c>
      <c r="FN41" s="3179">
        <f t="shared" si="809"/>
        <v>503.97250000000003</v>
      </c>
      <c r="FO41" s="3179">
        <f t="shared" si="810"/>
        <v>501.94346823137425</v>
      </c>
      <c r="FP41" s="3179">
        <f t="shared" si="811"/>
        <v>2.029031768625766</v>
      </c>
      <c r="FQ41" s="3179">
        <f t="shared" si="812"/>
        <v>0</v>
      </c>
      <c r="FR41" s="3179">
        <f t="shared" si="813"/>
        <v>0</v>
      </c>
      <c r="FS41" s="3179">
        <f t="shared" si="814"/>
        <v>0</v>
      </c>
      <c r="FT41" s="3179">
        <f t="shared" si="815"/>
        <v>358.15</v>
      </c>
      <c r="FU41" s="3179">
        <f t="shared" si="816"/>
        <v>356.50363223096701</v>
      </c>
      <c r="FV41" s="3179">
        <f t="shared" si="817"/>
        <v>1.6463677690329401</v>
      </c>
      <c r="FW41" s="3148">
        <f t="shared" si="818"/>
        <v>-503.97250000000003</v>
      </c>
      <c r="FX41" s="3148">
        <f t="shared" si="819"/>
        <v>-501.94346823137425</v>
      </c>
      <c r="FY41" s="3148">
        <f t="shared" si="820"/>
        <v>-2.029031768625766</v>
      </c>
      <c r="FZ41" s="3457">
        <f t="shared" si="821"/>
        <v>2015.89</v>
      </c>
      <c r="GA41" s="3457">
        <f t="shared" si="822"/>
        <v>2007.773872925497</v>
      </c>
      <c r="GB41" s="3457">
        <f t="shared" si="823"/>
        <v>8.1161270745030638</v>
      </c>
      <c r="GC41" s="3457">
        <f t="shared" si="824"/>
        <v>1165.1100000000001</v>
      </c>
      <c r="GD41" s="3457">
        <f t="shared" si="825"/>
        <v>1165.1100000000001</v>
      </c>
      <c r="GE41" s="3457">
        <f t="shared" si="826"/>
        <v>0</v>
      </c>
      <c r="GF41" s="3457">
        <f t="shared" si="827"/>
        <v>1622.7600000000002</v>
      </c>
      <c r="GG41" s="3457">
        <f t="shared" si="828"/>
        <v>1616.5093311055939</v>
      </c>
      <c r="GH41" s="3457">
        <f t="shared" si="829"/>
        <v>6.2506688944059743</v>
      </c>
      <c r="GI41" s="3246">
        <f t="shared" si="830"/>
        <v>-850.78</v>
      </c>
      <c r="GJ41" s="3246">
        <f t="shared" si="831"/>
        <v>-842.66387292549689</v>
      </c>
      <c r="GK41" s="3246">
        <f t="shared" si="832"/>
        <v>-8.1161270745030638</v>
      </c>
    </row>
    <row r="42" spans="1:193" ht="18.75" customHeight="1" x14ac:dyDescent="0.3">
      <c r="A42" s="3079" t="s">
        <v>31</v>
      </c>
      <c r="B42" s="3145">
        <f t="shared" si="697"/>
        <v>87.402558333333332</v>
      </c>
      <c r="C42" s="3145">
        <f>SUM('ПОЛНАЯ СЕБЕСТОИМОСТЬ СТОКИ 2019'!C158/3)</f>
        <v>87.402558333333332</v>
      </c>
      <c r="D42" s="3145">
        <f>SUM('ПОЛНАЯ СЕБЕСТОИМОСТЬ СТОКИ 2019'!D158/3)</f>
        <v>0</v>
      </c>
      <c r="E42" s="3145">
        <f t="shared" si="698"/>
        <v>100.1</v>
      </c>
      <c r="F42" s="3145">
        <f>SUM('ПОЛНАЯ СЕБЕСТОИМОСТЬ СТОКИ 2019'!F158)</f>
        <v>100.1</v>
      </c>
      <c r="G42" s="3145">
        <f>SUM('ПОЛНАЯ СЕБЕСТОИМОСТЬ СТОКИ 2019'!G158)</f>
        <v>0</v>
      </c>
      <c r="H42" s="3149">
        <v>66.61</v>
      </c>
      <c r="I42" s="3149">
        <f t="shared" si="833"/>
        <v>66.61</v>
      </c>
      <c r="J42" s="3149">
        <v>0</v>
      </c>
      <c r="K42" s="3145">
        <f t="shared" si="700"/>
        <v>87.402558333333332</v>
      </c>
      <c r="L42" s="3145">
        <f t="shared" si="701"/>
        <v>87.402558333333332</v>
      </c>
      <c r="M42" s="3145">
        <f t="shared" si="702"/>
        <v>0</v>
      </c>
      <c r="N42" s="3145">
        <f t="shared" si="703"/>
        <v>146.36000000000001</v>
      </c>
      <c r="O42" s="3145">
        <f>SUM('ПОЛНАЯ СЕБЕСТОИМОСТЬ СТОКИ 2019'!I158)</f>
        <v>146.36000000000001</v>
      </c>
      <c r="P42" s="3145">
        <f>SUM('ПОЛНАЯ СЕБЕСТОИМОСТЬ СТОКИ 2019'!J158)</f>
        <v>0</v>
      </c>
      <c r="Q42" s="3149">
        <v>67.27</v>
      </c>
      <c r="R42" s="3149">
        <f t="shared" si="834"/>
        <v>67.27</v>
      </c>
      <c r="S42" s="3149">
        <v>0</v>
      </c>
      <c r="T42" s="3145">
        <f t="shared" si="705"/>
        <v>87.402558333333332</v>
      </c>
      <c r="U42" s="3145">
        <f t="shared" si="706"/>
        <v>87.402558333333332</v>
      </c>
      <c r="V42" s="3145">
        <f t="shared" si="707"/>
        <v>0</v>
      </c>
      <c r="W42" s="3145">
        <f t="shared" si="708"/>
        <v>182.01999999999998</v>
      </c>
      <c r="X42" s="3145">
        <f>SUM('ПОЛНАЯ СЕБЕСТОИМОСТЬ СТОКИ 2019'!L158)</f>
        <v>182.01999999999998</v>
      </c>
      <c r="Y42" s="3145">
        <f>SUM('ПОЛНАЯ СЕБЕСТОИМОСТЬ СТОКИ 2019'!M158)</f>
        <v>0</v>
      </c>
      <c r="Z42" s="3149">
        <v>98.11</v>
      </c>
      <c r="AA42" s="3149">
        <f t="shared" si="835"/>
        <v>98.11</v>
      </c>
      <c r="AB42" s="3149">
        <v>0</v>
      </c>
      <c r="AC42" s="3179">
        <f t="shared" si="710"/>
        <v>262.20767499999999</v>
      </c>
      <c r="AD42" s="3179">
        <f t="shared" si="711"/>
        <v>262.20767499999999</v>
      </c>
      <c r="AE42" s="3179">
        <f t="shared" si="712"/>
        <v>0</v>
      </c>
      <c r="AF42" s="3179">
        <f t="shared" si="713"/>
        <v>428.48</v>
      </c>
      <c r="AG42" s="3179">
        <f t="shared" si="714"/>
        <v>428.48</v>
      </c>
      <c r="AH42" s="3179">
        <f t="shared" si="715"/>
        <v>0</v>
      </c>
      <c r="AI42" s="3179">
        <f t="shared" si="716"/>
        <v>231.99</v>
      </c>
      <c r="AJ42" s="3179">
        <f t="shared" si="717"/>
        <v>231.99</v>
      </c>
      <c r="AK42" s="3179">
        <f t="shared" si="718"/>
        <v>0</v>
      </c>
      <c r="AL42" s="3148">
        <f t="shared" si="719"/>
        <v>166.27232500000002</v>
      </c>
      <c r="AM42" s="3148">
        <f t="shared" si="720"/>
        <v>166.27232500000002</v>
      </c>
      <c r="AN42" s="3148">
        <f t="shared" si="721"/>
        <v>0</v>
      </c>
      <c r="AO42" s="3145">
        <f t="shared" si="722"/>
        <v>87.402558333333332</v>
      </c>
      <c r="AP42" s="3145">
        <f>SUM('ПОЛНАЯ СЕБЕСТОИМОСТЬ СТОКИ 2019'!R158/3)</f>
        <v>87.402558333333332</v>
      </c>
      <c r="AQ42" s="3145">
        <f>SUM('ПОЛНАЯ СЕБЕСТОИМОСТЬ СТОКИ 2019'!S158/3)</f>
        <v>0</v>
      </c>
      <c r="AR42" s="3145">
        <f t="shared" si="723"/>
        <v>108.65</v>
      </c>
      <c r="AS42" s="3145">
        <f>SUM('ПОЛНАЯ СЕБЕСТОИМОСТЬ СТОКИ 2019'!U158)</f>
        <v>108.65</v>
      </c>
      <c r="AT42" s="3145">
        <f>SUM('ПОЛНАЯ СЕБЕСТОИМОСТЬ СТОКИ 2019'!V158)</f>
        <v>0</v>
      </c>
      <c r="AU42" s="3149">
        <v>87.14</v>
      </c>
      <c r="AV42" s="3149">
        <f t="shared" si="836"/>
        <v>87.14</v>
      </c>
      <c r="AW42" s="3149">
        <v>0</v>
      </c>
      <c r="AX42" s="3145">
        <f t="shared" si="725"/>
        <v>87.402558333333332</v>
      </c>
      <c r="AY42" s="3145">
        <f t="shared" si="726"/>
        <v>87.402558333333332</v>
      </c>
      <c r="AZ42" s="3145">
        <f t="shared" si="727"/>
        <v>0</v>
      </c>
      <c r="BA42" s="3276">
        <f t="shared" si="728"/>
        <v>148.64000000000001</v>
      </c>
      <c r="BB42" s="3276">
        <f>SUM('ПОЛНАЯ СЕБЕСТОИМОСТЬ СТОКИ 2019'!X158)</f>
        <v>148.64000000000001</v>
      </c>
      <c r="BC42" s="3276">
        <f>SUM('ПОЛНАЯ СЕБЕСТОИМОСТЬ СТОКИ 2019'!Y158)</f>
        <v>0</v>
      </c>
      <c r="BD42" s="3149">
        <v>93.88</v>
      </c>
      <c r="BE42" s="3149">
        <f t="shared" si="837"/>
        <v>93.88</v>
      </c>
      <c r="BF42" s="3149">
        <v>0</v>
      </c>
      <c r="BG42" s="3145">
        <f t="shared" si="730"/>
        <v>87.402558333333332</v>
      </c>
      <c r="BH42" s="3145">
        <f t="shared" si="731"/>
        <v>87.402558333333332</v>
      </c>
      <c r="BI42" s="3145">
        <f t="shared" si="732"/>
        <v>0</v>
      </c>
      <c r="BJ42" s="3145">
        <f t="shared" si="733"/>
        <v>137.64000000000001</v>
      </c>
      <c r="BK42" s="3145">
        <f>SUM('ПОЛНАЯ СЕБЕСТОИМОСТЬ СТОКИ 2019'!AA158)</f>
        <v>137.64000000000001</v>
      </c>
      <c r="BL42" s="3145">
        <f>SUM('ПОЛНАЯ СЕБЕСТОИМОСТЬ СТОКИ 2019'!AB158)</f>
        <v>0</v>
      </c>
      <c r="BM42" s="3149">
        <v>78.34</v>
      </c>
      <c r="BN42" s="3149">
        <f t="shared" si="838"/>
        <v>78.34</v>
      </c>
      <c r="BO42" s="3149">
        <v>0</v>
      </c>
      <c r="BP42" s="3179">
        <f t="shared" si="735"/>
        <v>262.20767499999999</v>
      </c>
      <c r="BQ42" s="3179">
        <f t="shared" si="736"/>
        <v>262.20767499999999</v>
      </c>
      <c r="BR42" s="3179">
        <f t="shared" si="737"/>
        <v>0</v>
      </c>
      <c r="BS42" s="3179">
        <f t="shared" si="738"/>
        <v>394.93000000000006</v>
      </c>
      <c r="BT42" s="3179">
        <f t="shared" si="739"/>
        <v>394.93000000000006</v>
      </c>
      <c r="BU42" s="3179">
        <f t="shared" si="740"/>
        <v>0</v>
      </c>
      <c r="BV42" s="3179">
        <f t="shared" si="741"/>
        <v>259.36</v>
      </c>
      <c r="BW42" s="3179">
        <f t="shared" si="742"/>
        <v>259.36</v>
      </c>
      <c r="BX42" s="3179">
        <f t="shared" si="743"/>
        <v>0</v>
      </c>
      <c r="BY42" s="3148">
        <f t="shared" si="744"/>
        <v>132.72232500000007</v>
      </c>
      <c r="BZ42" s="3148">
        <f t="shared" si="745"/>
        <v>132.72232500000007</v>
      </c>
      <c r="CA42" s="3148">
        <f t="shared" si="746"/>
        <v>0</v>
      </c>
      <c r="CB42" s="3179">
        <f t="shared" si="747"/>
        <v>524.41534999999999</v>
      </c>
      <c r="CC42" s="3179">
        <f t="shared" si="748"/>
        <v>524.41534999999999</v>
      </c>
      <c r="CD42" s="3179">
        <f t="shared" si="749"/>
        <v>0</v>
      </c>
      <c r="CE42" s="3179">
        <f t="shared" si="750"/>
        <v>823.41000000000008</v>
      </c>
      <c r="CF42" s="3179">
        <f t="shared" si="751"/>
        <v>823.41000000000008</v>
      </c>
      <c r="CG42" s="3179">
        <f t="shared" si="752"/>
        <v>0</v>
      </c>
      <c r="CH42" s="3456">
        <f t="shared" si="753"/>
        <v>491.35</v>
      </c>
      <c r="CI42" s="3456">
        <f t="shared" si="754"/>
        <v>491.35</v>
      </c>
      <c r="CJ42" s="3456">
        <f t="shared" si="755"/>
        <v>0</v>
      </c>
      <c r="CK42" s="3148">
        <f t="shared" si="756"/>
        <v>298.99465000000009</v>
      </c>
      <c r="CL42" s="3148">
        <f t="shared" si="757"/>
        <v>298.99465000000009</v>
      </c>
      <c r="CM42" s="3148">
        <f t="shared" si="758"/>
        <v>0</v>
      </c>
      <c r="CN42" s="3145">
        <f t="shared" si="759"/>
        <v>87.402558333333332</v>
      </c>
      <c r="CO42" s="3145">
        <f>SUM('ПОЛНАЯ СЕБЕСТОИМОСТЬ СТОКИ 2019'!AP158/3)</f>
        <v>87.402558333333332</v>
      </c>
      <c r="CP42" s="3145">
        <f>SUM('ПОЛНАЯ СЕБЕСТОИМОСТЬ СТОКИ 2019'!AQ158/3)</f>
        <v>0</v>
      </c>
      <c r="CQ42" s="3145">
        <f t="shared" si="760"/>
        <v>113.63</v>
      </c>
      <c r="CR42" s="3145">
        <f>SUM('ПОЛНАЯ СЕБЕСТОИМОСТЬ СТОКИ 2019'!AS158)</f>
        <v>113.63</v>
      </c>
      <c r="CS42" s="3145">
        <f>SUM('ПОЛНАЯ СЕБЕСТОИМОСТЬ СТОКИ 2019'!AT158)</f>
        <v>0</v>
      </c>
      <c r="CT42" s="3149">
        <v>115.33</v>
      </c>
      <c r="CU42" s="3149">
        <f t="shared" si="839"/>
        <v>115.33</v>
      </c>
      <c r="CV42" s="3149">
        <v>0</v>
      </c>
      <c r="CW42" s="3145">
        <f t="shared" si="762"/>
        <v>87.402558333333332</v>
      </c>
      <c r="CX42" s="3145">
        <f t="shared" si="763"/>
        <v>87.402558333333332</v>
      </c>
      <c r="CY42" s="3145">
        <f t="shared" si="764"/>
        <v>0</v>
      </c>
      <c r="CZ42" s="3145">
        <f t="shared" si="765"/>
        <v>57.570000000000007</v>
      </c>
      <c r="DA42" s="3145">
        <f>SUM('ПОЛНАЯ СЕБЕСТОИМОСТЬ СТОКИ 2019'!AV158)</f>
        <v>57.570000000000007</v>
      </c>
      <c r="DB42" s="3145">
        <f>SUM('ПОЛНАЯ СЕБЕСТОИМОСТЬ СТОКИ 2019'!AW158)</f>
        <v>0</v>
      </c>
      <c r="DC42" s="3149">
        <v>114.76</v>
      </c>
      <c r="DD42" s="3149">
        <f t="shared" si="840"/>
        <v>114.76</v>
      </c>
      <c r="DE42" s="3149">
        <v>0</v>
      </c>
      <c r="DF42" s="3145">
        <f t="shared" si="767"/>
        <v>87.402558333333332</v>
      </c>
      <c r="DG42" s="3145">
        <f t="shared" si="768"/>
        <v>87.402558333333332</v>
      </c>
      <c r="DH42" s="3145">
        <f t="shared" si="769"/>
        <v>0</v>
      </c>
      <c r="DI42" s="3145">
        <f t="shared" si="770"/>
        <v>166.1</v>
      </c>
      <c r="DJ42" s="3145">
        <f>SUM('ПОЛНАЯ СЕБЕСТОИМОСТЬ СТОКИ 2019'!AY158)</f>
        <v>166.1</v>
      </c>
      <c r="DK42" s="3145">
        <f>SUM('ПОЛНАЯ СЕБЕСТОИМОСТЬ СТОКИ 2019'!AZ158)</f>
        <v>0</v>
      </c>
      <c r="DL42" s="3149">
        <v>99.2</v>
      </c>
      <c r="DM42" s="3149">
        <f t="shared" si="841"/>
        <v>99.2</v>
      </c>
      <c r="DN42" s="3149">
        <v>0</v>
      </c>
      <c r="DO42" s="3179">
        <f t="shared" si="772"/>
        <v>262.20767499999999</v>
      </c>
      <c r="DP42" s="3179">
        <f t="shared" si="773"/>
        <v>262.20767499999999</v>
      </c>
      <c r="DQ42" s="3179">
        <f t="shared" si="774"/>
        <v>0</v>
      </c>
      <c r="DR42" s="3179">
        <f t="shared" si="775"/>
        <v>337.29999999999995</v>
      </c>
      <c r="DS42" s="3179">
        <f t="shared" si="776"/>
        <v>337.29999999999995</v>
      </c>
      <c r="DT42" s="3179">
        <f t="shared" si="777"/>
        <v>0</v>
      </c>
      <c r="DU42" s="3179">
        <f t="shared" si="778"/>
        <v>329.29</v>
      </c>
      <c r="DV42" s="3179">
        <f t="shared" si="779"/>
        <v>329.29</v>
      </c>
      <c r="DW42" s="3179">
        <f t="shared" si="780"/>
        <v>0</v>
      </c>
      <c r="DX42" s="3148">
        <f t="shared" si="781"/>
        <v>75.09232499999996</v>
      </c>
      <c r="DY42" s="3148">
        <f t="shared" si="782"/>
        <v>75.09232499999996</v>
      </c>
      <c r="DZ42" s="3148">
        <f t="shared" si="783"/>
        <v>0</v>
      </c>
      <c r="EA42" s="3179">
        <f t="shared" si="784"/>
        <v>786.62302499999998</v>
      </c>
      <c r="EB42" s="3179">
        <f t="shared" si="785"/>
        <v>786.62302499999998</v>
      </c>
      <c r="EC42" s="3179">
        <f t="shared" si="786"/>
        <v>0</v>
      </c>
      <c r="ED42" s="3179">
        <f t="shared" si="787"/>
        <v>1160.71</v>
      </c>
      <c r="EE42" s="3179">
        <f t="shared" si="788"/>
        <v>1160.71</v>
      </c>
      <c r="EF42" s="3179">
        <f t="shared" si="789"/>
        <v>0</v>
      </c>
      <c r="EG42" s="3179">
        <f t="shared" si="790"/>
        <v>820.6400000000001</v>
      </c>
      <c r="EH42" s="3179">
        <f t="shared" si="791"/>
        <v>820.6400000000001</v>
      </c>
      <c r="EI42" s="3179">
        <f t="shared" si="792"/>
        <v>0</v>
      </c>
      <c r="EJ42" s="3148">
        <f t="shared" si="793"/>
        <v>374.08697500000005</v>
      </c>
      <c r="EK42" s="3148">
        <f t="shared" si="794"/>
        <v>374.08697500000005</v>
      </c>
      <c r="EL42" s="3148">
        <f t="shared" si="795"/>
        <v>0</v>
      </c>
      <c r="EM42" s="3145">
        <f t="shared" si="796"/>
        <v>87.402558333333332</v>
      </c>
      <c r="EN42" s="3145">
        <f>SUM('ПОЛНАЯ СЕБЕСТОИМОСТЬ СТОКИ 2019'!BN158/3)</f>
        <v>87.402558333333332</v>
      </c>
      <c r="EO42" s="3145">
        <f>SUM('ПОЛНАЯ СЕБЕСТОИМОСТЬ СТОКИ 2019'!BO158/3)</f>
        <v>0</v>
      </c>
      <c r="EP42" s="3145">
        <f t="shared" si="797"/>
        <v>0</v>
      </c>
      <c r="EQ42" s="3145">
        <f>SUM('ПОЛНАЯ СЕБЕСТОИМОСТЬ СТОКИ 2019'!BQ158)</f>
        <v>0</v>
      </c>
      <c r="ER42" s="3145">
        <f>SUM('ПОЛНАЯ СЕБЕСТОИМОСТЬ СТОКИ 2019'!BR158)</f>
        <v>0</v>
      </c>
      <c r="ES42" s="3149">
        <v>103.11</v>
      </c>
      <c r="ET42" s="3149">
        <f t="shared" si="842"/>
        <v>103.11</v>
      </c>
      <c r="EU42" s="3149">
        <v>0</v>
      </c>
      <c r="EV42" s="3145">
        <f t="shared" si="799"/>
        <v>87.402558333333332</v>
      </c>
      <c r="EW42" s="3145">
        <f t="shared" si="800"/>
        <v>87.402558333333332</v>
      </c>
      <c r="EX42" s="3145">
        <f t="shared" si="801"/>
        <v>0</v>
      </c>
      <c r="EY42" s="3145">
        <f t="shared" si="802"/>
        <v>0</v>
      </c>
      <c r="EZ42" s="3145">
        <f>SUM('ПОЛНАЯ СЕБЕСТОИМОСТЬ СТОКИ 2019'!BT158)</f>
        <v>0</v>
      </c>
      <c r="FA42" s="3145">
        <f>SUM('ПОЛНАЯ СЕБЕСТОИМОСТЬ СТОКИ 2019'!BU158)</f>
        <v>0</v>
      </c>
      <c r="FB42" s="3149">
        <v>129.6</v>
      </c>
      <c r="FC42" s="3149">
        <f t="shared" si="843"/>
        <v>129.6</v>
      </c>
      <c r="FD42" s="3149">
        <v>0</v>
      </c>
      <c r="FE42" s="3145">
        <f t="shared" si="804"/>
        <v>87.402558333333332</v>
      </c>
      <c r="FF42" s="3145">
        <f t="shared" si="805"/>
        <v>87.402558333333332</v>
      </c>
      <c r="FG42" s="3145">
        <f t="shared" si="806"/>
        <v>0</v>
      </c>
      <c r="FH42" s="3145">
        <f t="shared" si="807"/>
        <v>0</v>
      </c>
      <c r="FI42" s="3145">
        <f>SUM('ПОЛНАЯ СЕБЕСТОИМОСТЬ СТОКИ 2019'!BW158)</f>
        <v>0</v>
      </c>
      <c r="FJ42" s="3145">
        <f>SUM('ПОЛНАЯ СЕБЕСТОИМОСТЬ СТОКИ 2019'!BX158)</f>
        <v>0</v>
      </c>
      <c r="FK42" s="3149">
        <v>101.49</v>
      </c>
      <c r="FL42" s="3149">
        <f t="shared" si="844"/>
        <v>101.49</v>
      </c>
      <c r="FM42" s="3149">
        <v>0</v>
      </c>
      <c r="FN42" s="3179">
        <f t="shared" si="809"/>
        <v>262.20767499999999</v>
      </c>
      <c r="FO42" s="3179">
        <f t="shared" si="810"/>
        <v>262.20767499999999</v>
      </c>
      <c r="FP42" s="3179">
        <f t="shared" si="811"/>
        <v>0</v>
      </c>
      <c r="FQ42" s="3179">
        <f t="shared" si="812"/>
        <v>0</v>
      </c>
      <c r="FR42" s="3179">
        <f t="shared" si="813"/>
        <v>0</v>
      </c>
      <c r="FS42" s="3179">
        <f t="shared" si="814"/>
        <v>0</v>
      </c>
      <c r="FT42" s="3179">
        <f t="shared" si="815"/>
        <v>334.2</v>
      </c>
      <c r="FU42" s="3179">
        <f t="shared" si="816"/>
        <v>334.2</v>
      </c>
      <c r="FV42" s="3179">
        <f t="shared" si="817"/>
        <v>0</v>
      </c>
      <c r="FW42" s="3148">
        <f t="shared" si="818"/>
        <v>-262.20767499999999</v>
      </c>
      <c r="FX42" s="3148">
        <f t="shared" si="819"/>
        <v>-262.20767499999999</v>
      </c>
      <c r="FY42" s="3148">
        <f t="shared" si="820"/>
        <v>0</v>
      </c>
      <c r="FZ42" s="3457">
        <f t="shared" si="821"/>
        <v>1048.8307</v>
      </c>
      <c r="GA42" s="3457">
        <f t="shared" si="822"/>
        <v>1048.8307</v>
      </c>
      <c r="GB42" s="3457">
        <f t="shared" si="823"/>
        <v>0</v>
      </c>
      <c r="GC42" s="3457">
        <f t="shared" si="824"/>
        <v>1160.71</v>
      </c>
      <c r="GD42" s="3457">
        <f t="shared" si="825"/>
        <v>1160.71</v>
      </c>
      <c r="GE42" s="3457">
        <f t="shared" si="826"/>
        <v>0</v>
      </c>
      <c r="GF42" s="3457">
        <f t="shared" si="827"/>
        <v>1154.8400000000001</v>
      </c>
      <c r="GG42" s="3457">
        <f t="shared" si="828"/>
        <v>1154.8400000000001</v>
      </c>
      <c r="GH42" s="3457">
        <f t="shared" si="829"/>
        <v>0</v>
      </c>
      <c r="GI42" s="3246">
        <f t="shared" si="830"/>
        <v>111.87930000000006</v>
      </c>
      <c r="GJ42" s="3246">
        <f t="shared" si="831"/>
        <v>111.87930000000006</v>
      </c>
      <c r="GK42" s="3246">
        <f t="shared" si="832"/>
        <v>0</v>
      </c>
    </row>
    <row r="43" spans="1:193" ht="18.75" customHeight="1" x14ac:dyDescent="0.3">
      <c r="A43" s="3079" t="s">
        <v>295</v>
      </c>
      <c r="B43" s="3145">
        <f t="shared" si="697"/>
        <v>434.15468395833335</v>
      </c>
      <c r="C43" s="3145">
        <f>SUM('ПОЛНАЯ СЕБЕСТОИМОСТЬ СТОКИ 2019'!C159/3)</f>
        <v>432.37834859200649</v>
      </c>
      <c r="D43" s="3145">
        <f>SUM('ПОЛНАЯ СЕБЕСТОИМОСТЬ СТОКИ 2019'!D159/3)</f>
        <v>1.7763353663268884</v>
      </c>
      <c r="E43" s="3145">
        <f t="shared" si="698"/>
        <v>200.67999999999998</v>
      </c>
      <c r="F43" s="3145">
        <f>SUM('ПОЛНАЯ СЕБЕСТОИМОСТЬ СТОКИ 2019'!F159)</f>
        <v>200.67999999999998</v>
      </c>
      <c r="G43" s="3145">
        <f>SUM('ПОЛНАЯ СЕБЕСТОИМОСТЬ СТОКИ 2019'!G159)</f>
        <v>0</v>
      </c>
      <c r="H43" s="3149">
        <v>196.03</v>
      </c>
      <c r="I43" s="3149">
        <f t="shared" si="833"/>
        <v>195.90468228298724</v>
      </c>
      <c r="J43" s="3149">
        <f>SUM(H43/H9*J9)*0.7210259658</f>
        <v>0.12531771701276648</v>
      </c>
      <c r="K43" s="3145">
        <f t="shared" si="700"/>
        <v>434.15468395833335</v>
      </c>
      <c r="L43" s="3145">
        <f t="shared" si="701"/>
        <v>432.37834859200649</v>
      </c>
      <c r="M43" s="3145">
        <f t="shared" si="702"/>
        <v>1.7763353663268884</v>
      </c>
      <c r="N43" s="3145">
        <f t="shared" si="703"/>
        <v>319.69000000000005</v>
      </c>
      <c r="O43" s="3145">
        <f>SUM('ПОЛНАЯ СЕБЕСТОИМОСТЬ СТОКИ 2019'!I159)</f>
        <v>319.69000000000005</v>
      </c>
      <c r="P43" s="3145">
        <f>SUM('ПОЛНАЯ СЕБЕСТОИМОСТЬ СТОКИ 2019'!J159)</f>
        <v>0</v>
      </c>
      <c r="Q43" s="3149">
        <v>234.61</v>
      </c>
      <c r="R43" s="3149">
        <f t="shared" si="834"/>
        <v>234.48855514321215</v>
      </c>
      <c r="S43" s="3149">
        <f>SUM(Q43/Q9*S9)*0.7210259658</f>
        <v>0.12144485678784894</v>
      </c>
      <c r="T43" s="3145">
        <f t="shared" si="705"/>
        <v>434.15468395833335</v>
      </c>
      <c r="U43" s="3145">
        <f t="shared" si="706"/>
        <v>432.37834859200649</v>
      </c>
      <c r="V43" s="3145">
        <f t="shared" si="707"/>
        <v>1.7763353663268884</v>
      </c>
      <c r="W43" s="3145">
        <f t="shared" si="708"/>
        <v>412.33000000000004</v>
      </c>
      <c r="X43" s="3145">
        <f>SUM('ПОЛНАЯ СЕБЕСТОИМОСТЬ СТОКИ 2019'!L159)</f>
        <v>412.33000000000004</v>
      </c>
      <c r="Y43" s="3145">
        <f>SUM('ПОЛНАЯ СЕБЕСТОИМОСТЬ СТОКИ 2019'!M159)</f>
        <v>0</v>
      </c>
      <c r="Z43" s="3149">
        <v>704.21</v>
      </c>
      <c r="AA43" s="3149">
        <f t="shared" si="835"/>
        <v>697.06100203166488</v>
      </c>
      <c r="AB43" s="3149">
        <f>SUM(Z43/Z9*AB9)*0.7210259658</f>
        <v>7.148997968335105</v>
      </c>
      <c r="AC43" s="3179">
        <f t="shared" si="710"/>
        <v>1302.464051875</v>
      </c>
      <c r="AD43" s="3179">
        <f t="shared" si="711"/>
        <v>1297.1350457760195</v>
      </c>
      <c r="AE43" s="3179">
        <f t="shared" si="712"/>
        <v>5.3290060989806651</v>
      </c>
      <c r="AF43" s="3179">
        <f t="shared" si="713"/>
        <v>932.7</v>
      </c>
      <c r="AG43" s="3179">
        <f t="shared" si="714"/>
        <v>932.7</v>
      </c>
      <c r="AH43" s="3179">
        <f t="shared" si="715"/>
        <v>0</v>
      </c>
      <c r="AI43" s="3179">
        <f t="shared" si="716"/>
        <v>1134.8499999999999</v>
      </c>
      <c r="AJ43" s="3179">
        <f t="shared" si="717"/>
        <v>1127.4542394578643</v>
      </c>
      <c r="AK43" s="3179">
        <f t="shared" si="718"/>
        <v>7.3957605421357204</v>
      </c>
      <c r="AL43" s="3148">
        <f t="shared" si="719"/>
        <v>-369.76405187499995</v>
      </c>
      <c r="AM43" s="3148">
        <f t="shared" si="720"/>
        <v>-364.43504577601948</v>
      </c>
      <c r="AN43" s="3148">
        <f t="shared" si="721"/>
        <v>-5.3290060989806651</v>
      </c>
      <c r="AO43" s="3145">
        <f t="shared" si="722"/>
        <v>434.15468395833335</v>
      </c>
      <c r="AP43" s="3145">
        <f>SUM('ПОЛНАЯ СЕБЕСТОИМОСТЬ СТОКИ 2019'!R159/3)</f>
        <v>432.37834859200649</v>
      </c>
      <c r="AQ43" s="3145">
        <f>SUM('ПОЛНАЯ СЕБЕСТОИМОСТЬ СТОКИ 2019'!S159/3)</f>
        <v>1.7763353663268884</v>
      </c>
      <c r="AR43" s="3145">
        <f t="shared" si="723"/>
        <v>302.53999999999996</v>
      </c>
      <c r="AS43" s="3145">
        <f>SUM('ПОЛНАЯ СЕБЕСТОИМОСТЬ СТОКИ 2019'!U159)</f>
        <v>302.53999999999996</v>
      </c>
      <c r="AT43" s="3145">
        <f>SUM('ПОЛНАЯ СЕБЕСТОИМОСТЬ СТОКИ 2019'!V159)</f>
        <v>0</v>
      </c>
      <c r="AU43" s="3149">
        <v>391.93</v>
      </c>
      <c r="AV43" s="3149">
        <f t="shared" si="836"/>
        <v>391.66187664211304</v>
      </c>
      <c r="AW43" s="3149">
        <f>SUM(AU43/AU9*AW9)*0.7210259658</f>
        <v>0.26812335788694103</v>
      </c>
      <c r="AX43" s="3145">
        <f t="shared" si="725"/>
        <v>434.15468395833335</v>
      </c>
      <c r="AY43" s="3145">
        <f t="shared" si="726"/>
        <v>432.37834859200649</v>
      </c>
      <c r="AZ43" s="3145">
        <f t="shared" si="727"/>
        <v>1.7763353663268884</v>
      </c>
      <c r="BA43" s="3276">
        <f t="shared" si="728"/>
        <v>204.79400000000018</v>
      </c>
      <c r="BB43" s="3276">
        <f>SUM('ПОЛНАЯ СЕБЕСТОИМОСТЬ СТОКИ 2019'!X159)</f>
        <v>204.79400000000018</v>
      </c>
      <c r="BC43" s="3276">
        <f>SUM('ПОЛНАЯ СЕБЕСТОИМОСТЬ СТОКИ 2019'!Y159)</f>
        <v>0</v>
      </c>
      <c r="BD43" s="3149">
        <v>435.19</v>
      </c>
      <c r="BE43" s="3149">
        <f t="shared" si="837"/>
        <v>434.48282195220088</v>
      </c>
      <c r="BF43" s="3149">
        <f>SUM(BD43/BD9*BF9)*0.7210259658</f>
        <v>0.70717804779913751</v>
      </c>
      <c r="BG43" s="3145">
        <f t="shared" si="730"/>
        <v>434.15468395833335</v>
      </c>
      <c r="BH43" s="3145">
        <f t="shared" si="731"/>
        <v>432.37834859200649</v>
      </c>
      <c r="BI43" s="3145">
        <f t="shared" si="732"/>
        <v>1.7763353663268884</v>
      </c>
      <c r="BJ43" s="3145">
        <f t="shared" si="733"/>
        <v>677.798</v>
      </c>
      <c r="BK43" s="3145">
        <f>SUM('ПОЛНАЯ СЕБЕСТОИМОСТЬ СТОКИ 2019'!AA159)</f>
        <v>677.798</v>
      </c>
      <c r="BL43" s="3145">
        <f>SUM('ПОЛНАЯ СЕБЕСТОИМОСТЬ СТОКИ 2019'!AB159)</f>
        <v>0</v>
      </c>
      <c r="BM43" s="3149">
        <v>443.6</v>
      </c>
      <c r="BN43" s="3149">
        <f t="shared" si="838"/>
        <v>439.33203325585066</v>
      </c>
      <c r="BO43" s="3149">
        <f>SUM(BM43/BM9*BO9)*0.7210259658</f>
        <v>4.2679667441493798</v>
      </c>
      <c r="BP43" s="3179">
        <f t="shared" si="735"/>
        <v>1302.464051875</v>
      </c>
      <c r="BQ43" s="3179">
        <f t="shared" si="736"/>
        <v>1297.1350457760195</v>
      </c>
      <c r="BR43" s="3179">
        <f t="shared" si="737"/>
        <v>5.3290060989806651</v>
      </c>
      <c r="BS43" s="3179">
        <f t="shared" si="738"/>
        <v>1185.1320000000001</v>
      </c>
      <c r="BT43" s="3179">
        <f t="shared" si="739"/>
        <v>1185.1320000000001</v>
      </c>
      <c r="BU43" s="3179">
        <f t="shared" si="740"/>
        <v>0</v>
      </c>
      <c r="BV43" s="3179">
        <f t="shared" si="741"/>
        <v>1270.72</v>
      </c>
      <c r="BW43" s="3179">
        <f t="shared" si="742"/>
        <v>1265.4767318501645</v>
      </c>
      <c r="BX43" s="3179">
        <f t="shared" si="743"/>
        <v>5.2432681498354583</v>
      </c>
      <c r="BY43" s="3148">
        <f t="shared" si="744"/>
        <v>-117.33205187499993</v>
      </c>
      <c r="BZ43" s="3148">
        <f t="shared" si="745"/>
        <v>-112.00304577601946</v>
      </c>
      <c r="CA43" s="3148">
        <f t="shared" si="746"/>
        <v>-5.3290060989806651</v>
      </c>
      <c r="CB43" s="3179">
        <f t="shared" si="747"/>
        <v>2604.92810375</v>
      </c>
      <c r="CC43" s="3179">
        <f t="shared" si="748"/>
        <v>2594.270091552039</v>
      </c>
      <c r="CD43" s="3179">
        <f t="shared" si="749"/>
        <v>10.65801219796133</v>
      </c>
      <c r="CE43" s="3179">
        <f t="shared" si="750"/>
        <v>2117.8320000000003</v>
      </c>
      <c r="CF43" s="3179">
        <f t="shared" si="751"/>
        <v>2117.8320000000003</v>
      </c>
      <c r="CG43" s="3179">
        <f t="shared" si="752"/>
        <v>0</v>
      </c>
      <c r="CH43" s="3456">
        <f t="shared" si="753"/>
        <v>2405.5699999999997</v>
      </c>
      <c r="CI43" s="3456">
        <f t="shared" si="754"/>
        <v>2392.9309713080288</v>
      </c>
      <c r="CJ43" s="3456">
        <f t="shared" si="755"/>
        <v>12.639028691971179</v>
      </c>
      <c r="CK43" s="3148">
        <f t="shared" si="756"/>
        <v>-487.09610374999966</v>
      </c>
      <c r="CL43" s="3148">
        <f t="shared" si="757"/>
        <v>-476.43809155203871</v>
      </c>
      <c r="CM43" s="3148">
        <f t="shared" si="758"/>
        <v>-10.65801219796133</v>
      </c>
      <c r="CN43" s="3145">
        <f t="shared" si="759"/>
        <v>434.15468395833335</v>
      </c>
      <c r="CO43" s="3145">
        <f>SUM('ПОЛНАЯ СЕБЕСТОИМОСТЬ СТОКИ 2019'!AP159/3)</f>
        <v>432.37834859200649</v>
      </c>
      <c r="CP43" s="3145">
        <f>SUM('ПОЛНАЯ СЕБЕСТОИМОСТЬ СТОКИ 2019'!AQ159/3)</f>
        <v>1.7763353663268884</v>
      </c>
      <c r="CQ43" s="3145">
        <f t="shared" si="760"/>
        <v>274.29000000000019</v>
      </c>
      <c r="CR43" s="3145">
        <f>SUM('ПОЛНАЯ СЕБЕСТОИМОСТЬ СТОКИ 2019'!AS159)</f>
        <v>274.29000000000019</v>
      </c>
      <c r="CS43" s="3145">
        <f>SUM('ПОЛНАЯ СЕБЕСТОИМОСТЬ СТОКИ 2019'!AT159)</f>
        <v>0</v>
      </c>
      <c r="CT43" s="3149">
        <v>317.87</v>
      </c>
      <c r="CU43" s="3149">
        <f t="shared" si="839"/>
        <v>317.54791411889477</v>
      </c>
      <c r="CV43" s="3149">
        <f>SUM(CT43/CT9*CV9)*0.7210259658</f>
        <v>0.32208588110526432</v>
      </c>
      <c r="CW43" s="3145">
        <f t="shared" si="762"/>
        <v>434.15468395833335</v>
      </c>
      <c r="CX43" s="3145">
        <f t="shared" si="763"/>
        <v>432.37834859200649</v>
      </c>
      <c r="CY43" s="3145">
        <f t="shared" si="764"/>
        <v>1.7763353663268884</v>
      </c>
      <c r="CZ43" s="3145">
        <f t="shared" si="765"/>
        <v>371.88</v>
      </c>
      <c r="DA43" s="3145">
        <f>SUM('ПОЛНАЯ СЕБЕСТОИМОСТЬ СТОКИ 2019'!AV159)</f>
        <v>371.88</v>
      </c>
      <c r="DB43" s="3145">
        <f>SUM('ПОЛНАЯ СЕБЕСТОИМОСТЬ СТОКИ 2019'!AW159)</f>
        <v>0</v>
      </c>
      <c r="DC43" s="3149">
        <v>345</v>
      </c>
      <c r="DD43" s="3149">
        <f t="shared" si="840"/>
        <v>344.49964390273664</v>
      </c>
      <c r="DE43" s="3149">
        <f>SUM(DC43/DC9*DE9)*0.7210259658</f>
        <v>0.50035609726334518</v>
      </c>
      <c r="DF43" s="3145">
        <f t="shared" si="767"/>
        <v>434.15468395833335</v>
      </c>
      <c r="DG43" s="3145">
        <f t="shared" si="768"/>
        <v>432.37834859200649</v>
      </c>
      <c r="DH43" s="3145">
        <f t="shared" si="769"/>
        <v>1.7763353663268884</v>
      </c>
      <c r="DI43" s="3145">
        <f t="shared" si="770"/>
        <v>264.04000000000008</v>
      </c>
      <c r="DJ43" s="3145">
        <f>SUM('ПОЛНАЯ СЕБЕСТОИМОСТЬ СТОКИ 2019'!AY159)</f>
        <v>264.04000000000008</v>
      </c>
      <c r="DK43" s="3145">
        <f>SUM('ПОЛНАЯ СЕБЕСТОИМОСТЬ СТОКИ 2019'!AZ159)</f>
        <v>0</v>
      </c>
      <c r="DL43" s="3149">
        <v>294.56</v>
      </c>
      <c r="DM43" s="3149">
        <f t="shared" si="841"/>
        <v>291.52037683961942</v>
      </c>
      <c r="DN43" s="3149">
        <f>SUM(DL43/DL9*DN9)*0.7210259658</f>
        <v>3.0396231603805726</v>
      </c>
      <c r="DO43" s="3179">
        <f t="shared" si="772"/>
        <v>1302.464051875</v>
      </c>
      <c r="DP43" s="3179">
        <f t="shared" si="773"/>
        <v>1297.1350457760195</v>
      </c>
      <c r="DQ43" s="3179">
        <f t="shared" si="774"/>
        <v>5.3290060989806651</v>
      </c>
      <c r="DR43" s="3179">
        <f t="shared" si="775"/>
        <v>910.21000000000026</v>
      </c>
      <c r="DS43" s="3179">
        <f t="shared" si="776"/>
        <v>910.21000000000026</v>
      </c>
      <c r="DT43" s="3179">
        <f t="shared" si="777"/>
        <v>0</v>
      </c>
      <c r="DU43" s="3179">
        <f t="shared" si="778"/>
        <v>957.43000000000006</v>
      </c>
      <c r="DV43" s="3179">
        <f t="shared" si="779"/>
        <v>953.56793486125082</v>
      </c>
      <c r="DW43" s="3179">
        <f t="shared" si="780"/>
        <v>3.8620651387491822</v>
      </c>
      <c r="DX43" s="3148">
        <f t="shared" si="781"/>
        <v>-392.25405187499973</v>
      </c>
      <c r="DY43" s="3148">
        <f t="shared" si="782"/>
        <v>-386.92504577601926</v>
      </c>
      <c r="DZ43" s="3148">
        <f t="shared" si="783"/>
        <v>-5.3290060989806651</v>
      </c>
      <c r="EA43" s="3179">
        <f t="shared" si="784"/>
        <v>3907.3921556249998</v>
      </c>
      <c r="EB43" s="3179">
        <f t="shared" si="785"/>
        <v>3891.4051373280586</v>
      </c>
      <c r="EC43" s="3179">
        <f t="shared" si="786"/>
        <v>15.987018296941995</v>
      </c>
      <c r="ED43" s="3179">
        <f t="shared" si="787"/>
        <v>3028.0420000000004</v>
      </c>
      <c r="EE43" s="3179">
        <f t="shared" si="788"/>
        <v>3028.0420000000004</v>
      </c>
      <c r="EF43" s="3179">
        <f t="shared" si="789"/>
        <v>0</v>
      </c>
      <c r="EG43" s="3179">
        <f t="shared" si="790"/>
        <v>3363</v>
      </c>
      <c r="EH43" s="3179">
        <f t="shared" si="791"/>
        <v>3346.4989061692795</v>
      </c>
      <c r="EI43" s="3179">
        <f t="shared" si="792"/>
        <v>16.501093830720361</v>
      </c>
      <c r="EJ43" s="3148">
        <f t="shared" si="793"/>
        <v>-879.35015562499939</v>
      </c>
      <c r="EK43" s="3148">
        <f t="shared" si="794"/>
        <v>-863.3631373280582</v>
      </c>
      <c r="EL43" s="3148">
        <f t="shared" si="795"/>
        <v>-15.987018296941995</v>
      </c>
      <c r="EM43" s="3145">
        <f t="shared" si="796"/>
        <v>434.15468395833335</v>
      </c>
      <c r="EN43" s="3145">
        <f>SUM('ПОЛНАЯ СЕБЕСТОИМОСТЬ СТОКИ 2019'!BN159/3)</f>
        <v>432.37834859200649</v>
      </c>
      <c r="EO43" s="3145">
        <f>SUM('ПОЛНАЯ СЕБЕСТОИМОСТЬ СТОКИ 2019'!BO159/3)</f>
        <v>1.7763353663268884</v>
      </c>
      <c r="EP43" s="3145">
        <f t="shared" si="797"/>
        <v>0</v>
      </c>
      <c r="EQ43" s="3145">
        <f>SUM('ПОЛНАЯ СЕБЕСТОИМОСТЬ СТОКИ 2019'!BQ159)</f>
        <v>0</v>
      </c>
      <c r="ER43" s="3145">
        <f>SUM('ПОЛНАЯ СЕБЕСТОИМОСТЬ СТОКИ 2019'!BR159)</f>
        <v>0</v>
      </c>
      <c r="ES43" s="3149">
        <v>512.12</v>
      </c>
      <c r="ET43" s="3149">
        <f t="shared" si="842"/>
        <v>511.35538622015889</v>
      </c>
      <c r="EU43" s="3149">
        <f>SUM(ES43/ES9*EU9)*0.7210259658</f>
        <v>0.76461377984112222</v>
      </c>
      <c r="EV43" s="3145">
        <f t="shared" si="799"/>
        <v>434.15468395833335</v>
      </c>
      <c r="EW43" s="3145">
        <f t="shared" si="800"/>
        <v>432.37834859200649</v>
      </c>
      <c r="EX43" s="3145">
        <f t="shared" si="801"/>
        <v>1.7763353663268884</v>
      </c>
      <c r="EY43" s="3145">
        <f t="shared" si="802"/>
        <v>0</v>
      </c>
      <c r="EZ43" s="3145">
        <f>SUM('ПОЛНАЯ СЕБЕСТОИМОСТЬ СТОКИ 2019'!BT159)</f>
        <v>0</v>
      </c>
      <c r="FA43" s="3145">
        <f>SUM('ПОЛНАЯ СЕБЕСТОИМОСТЬ СТОКИ 2019'!BU159)</f>
        <v>0</v>
      </c>
      <c r="FB43" s="3149">
        <v>321.29000000000002</v>
      </c>
      <c r="FC43" s="3149">
        <f t="shared" si="843"/>
        <v>320.79331665749436</v>
      </c>
      <c r="FD43" s="3149">
        <f>SUM(FB43/FB9*FD9)*0.7210259658</f>
        <v>0.49668334250566232</v>
      </c>
      <c r="FE43" s="3145">
        <f t="shared" si="804"/>
        <v>434.15468395833335</v>
      </c>
      <c r="FF43" s="3145">
        <f t="shared" si="805"/>
        <v>432.37834859200649</v>
      </c>
      <c r="FG43" s="3145">
        <f t="shared" si="806"/>
        <v>1.7763353663268884</v>
      </c>
      <c r="FH43" s="3145">
        <f t="shared" si="807"/>
        <v>0</v>
      </c>
      <c r="FI43" s="3145">
        <f>SUM('ПОЛНАЯ СЕБЕСТОИМОСТЬ СТОКИ 2019'!BW159)</f>
        <v>0</v>
      </c>
      <c r="FJ43" s="3145">
        <f>SUM('ПОЛНАЯ СЕБЕСТОИМОСТЬ СТОКИ 2019'!BX159)</f>
        <v>0</v>
      </c>
      <c r="FK43" s="3149">
        <v>458.02</v>
      </c>
      <c r="FL43" s="3149">
        <f t="shared" si="844"/>
        <v>453.01338067973842</v>
      </c>
      <c r="FM43" s="3149">
        <f>SUM(FK43/FK9*FM9)*0.7210259658</f>
        <v>5.0066193202615841</v>
      </c>
      <c r="FN43" s="3179">
        <f t="shared" si="809"/>
        <v>1302.464051875</v>
      </c>
      <c r="FO43" s="3179">
        <f t="shared" si="810"/>
        <v>1297.1350457760195</v>
      </c>
      <c r="FP43" s="3179">
        <f t="shared" si="811"/>
        <v>5.3290060989806651</v>
      </c>
      <c r="FQ43" s="3179">
        <f t="shared" si="812"/>
        <v>0</v>
      </c>
      <c r="FR43" s="3179">
        <f t="shared" si="813"/>
        <v>0</v>
      </c>
      <c r="FS43" s="3179">
        <f t="shared" si="814"/>
        <v>0</v>
      </c>
      <c r="FT43" s="3179">
        <f t="shared" si="815"/>
        <v>1291.43</v>
      </c>
      <c r="FU43" s="3179">
        <f t="shared" si="816"/>
        <v>1285.1620835573917</v>
      </c>
      <c r="FV43" s="3179">
        <f t="shared" si="817"/>
        <v>6.2679164426083691</v>
      </c>
      <c r="FW43" s="3148">
        <f t="shared" si="818"/>
        <v>-1302.464051875</v>
      </c>
      <c r="FX43" s="3148">
        <f t="shared" si="819"/>
        <v>-1297.1350457760195</v>
      </c>
      <c r="FY43" s="3148">
        <f t="shared" si="820"/>
        <v>-5.3290060989806651</v>
      </c>
      <c r="FZ43" s="3457">
        <f t="shared" si="821"/>
        <v>5209.8562075</v>
      </c>
      <c r="GA43" s="3457">
        <f t="shared" si="822"/>
        <v>5188.5401831040781</v>
      </c>
      <c r="GB43" s="3457">
        <f t="shared" si="823"/>
        <v>21.316024395922661</v>
      </c>
      <c r="GC43" s="3457">
        <f t="shared" si="824"/>
        <v>3028.0420000000004</v>
      </c>
      <c r="GD43" s="3457">
        <f t="shared" si="825"/>
        <v>3028.0420000000004</v>
      </c>
      <c r="GE43" s="3457">
        <f t="shared" si="826"/>
        <v>0</v>
      </c>
      <c r="GF43" s="3457">
        <f t="shared" si="827"/>
        <v>4654.43</v>
      </c>
      <c r="GG43" s="3457">
        <f t="shared" si="828"/>
        <v>4631.6609897266717</v>
      </c>
      <c r="GH43" s="3457">
        <f t="shared" si="829"/>
        <v>22.769010273328732</v>
      </c>
      <c r="GI43" s="3246">
        <f t="shared" si="830"/>
        <v>-2181.8142074999996</v>
      </c>
      <c r="GJ43" s="3246">
        <f t="shared" si="831"/>
        <v>-2160.4981831040777</v>
      </c>
      <c r="GK43" s="3246">
        <f t="shared" si="832"/>
        <v>-21.316024395922661</v>
      </c>
    </row>
    <row r="44" spans="1:193" ht="18.75" customHeight="1" x14ac:dyDescent="0.3">
      <c r="A44" s="3172" t="s">
        <v>3602</v>
      </c>
      <c r="B44" s="3136">
        <f t="shared" si="697"/>
        <v>84.138718358315614</v>
      </c>
      <c r="C44" s="3136">
        <f>SUM('ПОЛНАЯ СЕБЕСТОИМОСТЬ СТОКИ 2019'!C160/3)</f>
        <v>83.645870647878198</v>
      </c>
      <c r="D44" s="3136">
        <f>SUM('ПОЛНАЯ СЕБЕСТОИМОСТЬ СТОКИ 2019'!D160/3)</f>
        <v>0.49284771043741199</v>
      </c>
      <c r="E44" s="3136">
        <f t="shared" si="698"/>
        <v>0</v>
      </c>
      <c r="F44" s="3136">
        <f>SUM('ПОЛНАЯ СЕБЕСТОИМОСТЬ СТОКИ 2019'!F160)</f>
        <v>0</v>
      </c>
      <c r="G44" s="3136">
        <f>SUM('ПОЛНАЯ СЕБЕСТОИМОСТЬ СТОКИ 2019'!G160)</f>
        <v>0</v>
      </c>
      <c r="H44" s="3144">
        <f>SUM(H45:H47)</f>
        <v>0</v>
      </c>
      <c r="I44" s="3144">
        <f t="shared" ref="I44:J44" si="845">SUM(I45:I47)</f>
        <v>0</v>
      </c>
      <c r="J44" s="3144">
        <f t="shared" si="845"/>
        <v>0</v>
      </c>
      <c r="K44" s="3136">
        <f t="shared" si="700"/>
        <v>84.138718358315614</v>
      </c>
      <c r="L44" s="3136">
        <f t="shared" si="701"/>
        <v>83.645870647878198</v>
      </c>
      <c r="M44" s="3136">
        <f t="shared" si="702"/>
        <v>0.49284771043741199</v>
      </c>
      <c r="N44" s="3136">
        <f t="shared" si="703"/>
        <v>0</v>
      </c>
      <c r="O44" s="3136">
        <f>SUM('ПОЛНАЯ СЕБЕСТОИМОСТЬ СТОКИ 2019'!I160)</f>
        <v>0</v>
      </c>
      <c r="P44" s="3136">
        <f>SUM('ПОЛНАЯ СЕБЕСТОИМОСТЬ СТОКИ 2019'!J160)</f>
        <v>0</v>
      </c>
      <c r="Q44" s="3144">
        <f>SUM(Q45:Q47)</f>
        <v>0</v>
      </c>
      <c r="R44" s="3144">
        <f t="shared" ref="R44:S44" si="846">SUM(R45:R47)</f>
        <v>0</v>
      </c>
      <c r="S44" s="3144">
        <f t="shared" si="846"/>
        <v>0</v>
      </c>
      <c r="T44" s="3136">
        <f t="shared" si="705"/>
        <v>84.138718358315614</v>
      </c>
      <c r="U44" s="3136">
        <f t="shared" si="706"/>
        <v>83.645870647878198</v>
      </c>
      <c r="V44" s="3136">
        <f t="shared" si="707"/>
        <v>0.49284771043741199</v>
      </c>
      <c r="W44" s="3136">
        <f t="shared" si="708"/>
        <v>25.380000000000003</v>
      </c>
      <c r="X44" s="3136">
        <f>SUM('ПОЛНАЯ СЕБЕСТОИМОСТЬ СТОКИ 2019'!L160)</f>
        <v>25.380000000000003</v>
      </c>
      <c r="Y44" s="3136">
        <f>SUM('ПОЛНАЯ СЕБЕСТОИМОСТЬ СТОКИ 2019'!M160)</f>
        <v>0</v>
      </c>
      <c r="Z44" s="3144">
        <f>SUM(Z45:Z47)</f>
        <v>10.819999999999999</v>
      </c>
      <c r="AA44" s="3144">
        <f t="shared" ref="AA44:AB44" si="847">SUM(AA45:AA47)</f>
        <v>10.758408641646074</v>
      </c>
      <c r="AB44" s="3144">
        <f t="shared" si="847"/>
        <v>6.1591358353924992E-2</v>
      </c>
      <c r="AC44" s="3180">
        <f t="shared" si="710"/>
        <v>252.41615507494686</v>
      </c>
      <c r="AD44" s="3180">
        <f t="shared" si="711"/>
        <v>250.93761194363458</v>
      </c>
      <c r="AE44" s="3180">
        <f t="shared" si="712"/>
        <v>1.4785431313122359</v>
      </c>
      <c r="AF44" s="3180">
        <f t="shared" si="713"/>
        <v>25.380000000000003</v>
      </c>
      <c r="AG44" s="3180">
        <f t="shared" si="714"/>
        <v>25.380000000000003</v>
      </c>
      <c r="AH44" s="3180">
        <f t="shared" si="715"/>
        <v>0</v>
      </c>
      <c r="AI44" s="3180">
        <f t="shared" si="716"/>
        <v>10.819999999999999</v>
      </c>
      <c r="AJ44" s="3180">
        <f t="shared" si="717"/>
        <v>10.758408641646074</v>
      </c>
      <c r="AK44" s="3180">
        <f t="shared" si="718"/>
        <v>6.1591358353924992E-2</v>
      </c>
      <c r="AL44" s="3143">
        <f t="shared" si="719"/>
        <v>-227.03615507494686</v>
      </c>
      <c r="AM44" s="3143">
        <f t="shared" si="720"/>
        <v>-225.55761194363458</v>
      </c>
      <c r="AN44" s="3143">
        <f t="shared" si="721"/>
        <v>-1.4785431313122359</v>
      </c>
      <c r="AO44" s="3136">
        <f t="shared" si="722"/>
        <v>84.138718358315614</v>
      </c>
      <c r="AP44" s="3136">
        <f>SUM('ПОЛНАЯ СЕБЕСТОИМОСТЬ СТОКИ 2019'!R160/3)</f>
        <v>83.645870647878198</v>
      </c>
      <c r="AQ44" s="3136">
        <f>SUM('ПОЛНАЯ СЕБЕСТОИМОСТЬ СТОКИ 2019'!S160/3)</f>
        <v>0.49284771043741199</v>
      </c>
      <c r="AR44" s="3136">
        <f t="shared" si="723"/>
        <v>0</v>
      </c>
      <c r="AS44" s="3136">
        <f>SUM('ПОЛНАЯ СЕБЕСТОИМОСТЬ СТОКИ 2019'!U160)</f>
        <v>0</v>
      </c>
      <c r="AT44" s="3136">
        <f>SUM('ПОЛНАЯ СЕБЕСТОИМОСТЬ СТОКИ 2019'!V160)</f>
        <v>0</v>
      </c>
      <c r="AU44" s="3144">
        <f>SUM(AU45:AU47)</f>
        <v>0</v>
      </c>
      <c r="AV44" s="3144">
        <f t="shared" ref="AV44:AW44" si="848">SUM(AV45:AV47)</f>
        <v>0</v>
      </c>
      <c r="AW44" s="3144">
        <f t="shared" si="848"/>
        <v>0</v>
      </c>
      <c r="AX44" s="3136">
        <f t="shared" si="725"/>
        <v>84.138718358315614</v>
      </c>
      <c r="AY44" s="3136">
        <f t="shared" si="726"/>
        <v>83.645870647878198</v>
      </c>
      <c r="AZ44" s="3136">
        <f t="shared" si="727"/>
        <v>0.49284771043741199</v>
      </c>
      <c r="BA44" s="3277">
        <f t="shared" si="728"/>
        <v>0</v>
      </c>
      <c r="BB44" s="3277">
        <f>SUM('ПОЛНАЯ СЕБЕСТОИМОСТЬ СТОКИ 2019'!X160)</f>
        <v>0</v>
      </c>
      <c r="BC44" s="3277">
        <f>SUM('ПОЛНАЯ СЕБЕСТОИМОСТЬ СТОКИ 2019'!Y160)</f>
        <v>0</v>
      </c>
      <c r="BD44" s="3144">
        <f>SUM(BD45:BD47)</f>
        <v>0</v>
      </c>
      <c r="BE44" s="3144">
        <f t="shared" ref="BE44:BF44" si="849">SUM(BE45:BE47)</f>
        <v>0</v>
      </c>
      <c r="BF44" s="3144">
        <f t="shared" si="849"/>
        <v>0</v>
      </c>
      <c r="BG44" s="3136">
        <f t="shared" si="730"/>
        <v>84.138718358315614</v>
      </c>
      <c r="BH44" s="3136">
        <f t="shared" si="731"/>
        <v>83.645870647878198</v>
      </c>
      <c r="BI44" s="3136">
        <f t="shared" si="732"/>
        <v>0.49284771043741199</v>
      </c>
      <c r="BJ44" s="3136">
        <f t="shared" si="733"/>
        <v>27.72</v>
      </c>
      <c r="BK44" s="3136">
        <f>SUM('ПОЛНАЯ СЕБЕСТОИМОСТЬ СТОКИ 2019'!AA160)</f>
        <v>27.72</v>
      </c>
      <c r="BL44" s="3136">
        <f>SUM('ПОЛНАЯ СЕБЕСТОИМОСТЬ СТОКИ 2019'!AB160)</f>
        <v>0</v>
      </c>
      <c r="BM44" s="3144">
        <f>SUM(BM45:BM47)</f>
        <v>10.819999999999999</v>
      </c>
      <c r="BN44" s="3144">
        <f t="shared" ref="BN44:BO44" si="850">SUM(BN45:BN47)</f>
        <v>10.761627769897476</v>
      </c>
      <c r="BO44" s="3144">
        <f t="shared" si="850"/>
        <v>5.8372230102522862E-2</v>
      </c>
      <c r="BP44" s="3180">
        <f t="shared" si="735"/>
        <v>252.41615507494686</v>
      </c>
      <c r="BQ44" s="3180">
        <f t="shared" si="736"/>
        <v>250.93761194363458</v>
      </c>
      <c r="BR44" s="3180">
        <f t="shared" si="737"/>
        <v>1.4785431313122359</v>
      </c>
      <c r="BS44" s="3180">
        <f t="shared" si="738"/>
        <v>27.72</v>
      </c>
      <c r="BT44" s="3180">
        <f t="shared" si="739"/>
        <v>27.72</v>
      </c>
      <c r="BU44" s="3180">
        <f t="shared" si="740"/>
        <v>0</v>
      </c>
      <c r="BV44" s="3180">
        <f t="shared" si="741"/>
        <v>10.819999999999999</v>
      </c>
      <c r="BW44" s="3180">
        <f t="shared" si="742"/>
        <v>10.761627769897476</v>
      </c>
      <c r="BX44" s="3180">
        <f t="shared" si="743"/>
        <v>5.8372230102522862E-2</v>
      </c>
      <c r="BY44" s="3143">
        <f t="shared" si="744"/>
        <v>-224.69615507494686</v>
      </c>
      <c r="BZ44" s="3143">
        <f t="shared" si="745"/>
        <v>-223.21761194363458</v>
      </c>
      <c r="CA44" s="3143">
        <f t="shared" si="746"/>
        <v>-1.4785431313122359</v>
      </c>
      <c r="CB44" s="3180">
        <f t="shared" si="747"/>
        <v>504.83231014989371</v>
      </c>
      <c r="CC44" s="3180">
        <f t="shared" si="748"/>
        <v>501.87522388726916</v>
      </c>
      <c r="CD44" s="3180">
        <f t="shared" si="749"/>
        <v>2.9570862626244718</v>
      </c>
      <c r="CE44" s="3180">
        <f t="shared" si="750"/>
        <v>53.1</v>
      </c>
      <c r="CF44" s="3180">
        <f t="shared" si="751"/>
        <v>53.1</v>
      </c>
      <c r="CG44" s="3180">
        <f t="shared" si="752"/>
        <v>0</v>
      </c>
      <c r="CH44" s="3198">
        <f t="shared" si="753"/>
        <v>21.639999999999997</v>
      </c>
      <c r="CI44" s="3198">
        <f t="shared" si="754"/>
        <v>21.520036411543551</v>
      </c>
      <c r="CJ44" s="3198">
        <f t="shared" si="755"/>
        <v>0.11996358845644786</v>
      </c>
      <c r="CK44" s="3143">
        <f t="shared" si="756"/>
        <v>-451.73231014989369</v>
      </c>
      <c r="CL44" s="3143">
        <f t="shared" si="757"/>
        <v>-448.77522388726914</v>
      </c>
      <c r="CM44" s="3143">
        <f t="shared" si="758"/>
        <v>-2.9570862626244718</v>
      </c>
      <c r="CN44" s="3136">
        <f t="shared" si="759"/>
        <v>84.138718358315614</v>
      </c>
      <c r="CO44" s="3136">
        <f>SUM('ПОЛНАЯ СЕБЕСТОИМОСТЬ СТОКИ 2019'!AP160/3)</f>
        <v>83.645870647878198</v>
      </c>
      <c r="CP44" s="3136">
        <f>SUM('ПОЛНАЯ СЕБЕСТОИМОСТЬ СТОКИ 2019'!AQ160/3)</f>
        <v>0.49284771043741199</v>
      </c>
      <c r="CQ44" s="3136">
        <f t="shared" si="760"/>
        <v>0</v>
      </c>
      <c r="CR44" s="3136">
        <f>SUM('ПОЛНАЯ СЕБЕСТОИМОСТЬ СТОКИ 2019'!AS160)</f>
        <v>0</v>
      </c>
      <c r="CS44" s="3136">
        <f>SUM('ПОЛНАЯ СЕБЕСТОИМОСТЬ СТОКИ 2019'!AT160)</f>
        <v>0</v>
      </c>
      <c r="CT44" s="3144">
        <f>SUM(CT45:CT47)</f>
        <v>0</v>
      </c>
      <c r="CU44" s="3144">
        <f t="shared" ref="CU44:CV44" si="851">SUM(CU45:CU47)</f>
        <v>0</v>
      </c>
      <c r="CV44" s="3144">
        <f t="shared" si="851"/>
        <v>0</v>
      </c>
      <c r="CW44" s="3136">
        <f t="shared" si="762"/>
        <v>84.138718358315614</v>
      </c>
      <c r="CX44" s="3136">
        <f t="shared" si="763"/>
        <v>83.645870647878198</v>
      </c>
      <c r="CY44" s="3136">
        <f t="shared" si="764"/>
        <v>0.49284771043741199</v>
      </c>
      <c r="CZ44" s="3136">
        <f t="shared" si="765"/>
        <v>0</v>
      </c>
      <c r="DA44" s="3136">
        <f>SUM('ПОЛНАЯ СЕБЕСТОИМОСТЬ СТОКИ 2019'!AV160)</f>
        <v>0</v>
      </c>
      <c r="DB44" s="3136">
        <f>SUM('ПОЛНАЯ СЕБЕСТОИМОСТЬ СТОКИ 2019'!AW160)</f>
        <v>0</v>
      </c>
      <c r="DC44" s="3144">
        <f>SUM(DC45:DC47)</f>
        <v>0</v>
      </c>
      <c r="DD44" s="3144">
        <f t="shared" ref="DD44:DE44" si="852">SUM(DD45:DD47)</f>
        <v>0</v>
      </c>
      <c r="DE44" s="3144">
        <f t="shared" si="852"/>
        <v>0</v>
      </c>
      <c r="DF44" s="3136">
        <f t="shared" si="767"/>
        <v>84.138718358315614</v>
      </c>
      <c r="DG44" s="3136">
        <f t="shared" si="768"/>
        <v>83.645870647878198</v>
      </c>
      <c r="DH44" s="3136">
        <f t="shared" si="769"/>
        <v>0.49284771043741199</v>
      </c>
      <c r="DI44" s="3136">
        <f t="shared" si="770"/>
        <v>27.71</v>
      </c>
      <c r="DJ44" s="3136">
        <f>SUM('ПОЛНАЯ СЕБЕСТОИМОСТЬ СТОКИ 2019'!AY160)</f>
        <v>27.71</v>
      </c>
      <c r="DK44" s="3136">
        <f>SUM('ПОЛНАЯ СЕБЕСТОИМОСТЬ СТОКИ 2019'!AZ160)</f>
        <v>0</v>
      </c>
      <c r="DL44" s="3144">
        <f>SUM(DL45:DL47)</f>
        <v>12.92</v>
      </c>
      <c r="DM44" s="3144">
        <f t="shared" ref="DM44:DN44" si="853">SUM(DM45:DM47)</f>
        <v>12.845196852436924</v>
      </c>
      <c r="DN44" s="3144">
        <f t="shared" si="853"/>
        <v>7.4803147563075864E-2</v>
      </c>
      <c r="DO44" s="3180">
        <f t="shared" si="772"/>
        <v>252.41615507494686</v>
      </c>
      <c r="DP44" s="3180">
        <f t="shared" si="773"/>
        <v>250.93761194363458</v>
      </c>
      <c r="DQ44" s="3180">
        <f t="shared" si="774"/>
        <v>1.4785431313122359</v>
      </c>
      <c r="DR44" s="3180">
        <f t="shared" si="775"/>
        <v>27.71</v>
      </c>
      <c r="DS44" s="3180">
        <f t="shared" si="776"/>
        <v>27.71</v>
      </c>
      <c r="DT44" s="3180">
        <f t="shared" si="777"/>
        <v>0</v>
      </c>
      <c r="DU44" s="3180">
        <f t="shared" si="778"/>
        <v>12.92</v>
      </c>
      <c r="DV44" s="3180">
        <f t="shared" si="779"/>
        <v>12.845196852436924</v>
      </c>
      <c r="DW44" s="3180">
        <f t="shared" si="780"/>
        <v>7.4803147563075864E-2</v>
      </c>
      <c r="DX44" s="3143">
        <f t="shared" si="781"/>
        <v>-224.70615507494685</v>
      </c>
      <c r="DY44" s="3143">
        <f t="shared" si="782"/>
        <v>-223.22761194363457</v>
      </c>
      <c r="DZ44" s="3143">
        <f t="shared" si="783"/>
        <v>-1.4785431313122359</v>
      </c>
      <c r="EA44" s="3180">
        <f t="shared" si="784"/>
        <v>757.24846522484063</v>
      </c>
      <c r="EB44" s="3180">
        <f t="shared" si="785"/>
        <v>752.81283583090374</v>
      </c>
      <c r="EC44" s="3180">
        <f t="shared" si="786"/>
        <v>4.4356293939367077</v>
      </c>
      <c r="ED44" s="3180">
        <f t="shared" si="787"/>
        <v>80.81</v>
      </c>
      <c r="EE44" s="3180">
        <f t="shared" si="788"/>
        <v>80.81</v>
      </c>
      <c r="EF44" s="3180">
        <f t="shared" si="789"/>
        <v>0</v>
      </c>
      <c r="EG44" s="3180">
        <f t="shared" si="790"/>
        <v>34.559999999999995</v>
      </c>
      <c r="EH44" s="3180">
        <f t="shared" si="791"/>
        <v>34.365233263980471</v>
      </c>
      <c r="EI44" s="3180">
        <f t="shared" si="792"/>
        <v>0.19476673601952371</v>
      </c>
      <c r="EJ44" s="3143">
        <f t="shared" si="793"/>
        <v>-676.43846522484068</v>
      </c>
      <c r="EK44" s="3143">
        <f t="shared" si="794"/>
        <v>-672.00283583090368</v>
      </c>
      <c r="EL44" s="3143">
        <f t="shared" si="795"/>
        <v>-4.4356293939367077</v>
      </c>
      <c r="EM44" s="3136">
        <f t="shared" si="796"/>
        <v>84.138718358315614</v>
      </c>
      <c r="EN44" s="3136">
        <f>SUM('ПОЛНАЯ СЕБЕСТОИМОСТЬ СТОКИ 2019'!BN160/3)</f>
        <v>83.645870647878198</v>
      </c>
      <c r="EO44" s="3136">
        <f>SUM('ПОЛНАЯ СЕБЕСТОИМОСТЬ СТОКИ 2019'!BO160/3)</f>
        <v>0.49284771043741199</v>
      </c>
      <c r="EP44" s="3136">
        <f t="shared" si="797"/>
        <v>0</v>
      </c>
      <c r="EQ44" s="3136">
        <f>SUM('ПОЛНАЯ СЕБЕСТОИМОСТЬ СТОКИ 2019'!BQ160)</f>
        <v>0</v>
      </c>
      <c r="ER44" s="3136">
        <f>SUM('ПОЛНАЯ СЕБЕСТОИМОСТЬ СТОКИ 2019'!BR160)</f>
        <v>0</v>
      </c>
      <c r="ES44" s="3144">
        <f>SUM(ES45:ES47)</f>
        <v>0</v>
      </c>
      <c r="ET44" s="3144">
        <f t="shared" ref="ET44:EU44" si="854">SUM(ET45:ET47)</f>
        <v>0</v>
      </c>
      <c r="EU44" s="3144">
        <f t="shared" si="854"/>
        <v>0</v>
      </c>
      <c r="EV44" s="3136">
        <f t="shared" si="799"/>
        <v>84.138718358315614</v>
      </c>
      <c r="EW44" s="3136">
        <f t="shared" si="800"/>
        <v>83.645870647878198</v>
      </c>
      <c r="EX44" s="3136">
        <f t="shared" si="801"/>
        <v>0.49284771043741199</v>
      </c>
      <c r="EY44" s="3136">
        <f t="shared" si="802"/>
        <v>0</v>
      </c>
      <c r="EZ44" s="3136">
        <f>SUM('ПОЛНАЯ СЕБЕСТОИМОСТЬ СТОКИ 2019'!BT160)</f>
        <v>0</v>
      </c>
      <c r="FA44" s="3136">
        <f>SUM('ПОЛНАЯ СЕБЕСТОИМОСТЬ СТОКИ 2019'!BU160)</f>
        <v>0</v>
      </c>
      <c r="FB44" s="3144">
        <f>SUM(FB45:FB47)</f>
        <v>0</v>
      </c>
      <c r="FC44" s="3144">
        <f t="shared" ref="FC44:FD44" si="855">SUM(FC45:FC47)</f>
        <v>0</v>
      </c>
      <c r="FD44" s="3144">
        <f t="shared" si="855"/>
        <v>0</v>
      </c>
      <c r="FE44" s="3136">
        <f t="shared" si="804"/>
        <v>84.138718358315614</v>
      </c>
      <c r="FF44" s="3136">
        <f t="shared" si="805"/>
        <v>83.645870647878198</v>
      </c>
      <c r="FG44" s="3136">
        <f t="shared" si="806"/>
        <v>0.49284771043741199</v>
      </c>
      <c r="FH44" s="3136">
        <f t="shared" si="807"/>
        <v>0</v>
      </c>
      <c r="FI44" s="3136">
        <f>SUM('ПОЛНАЯ СЕБЕСТОИМОСТЬ СТОКИ 2019'!BW160)</f>
        <v>0</v>
      </c>
      <c r="FJ44" s="3136">
        <f>SUM('ПОЛНАЯ СЕБЕСТОИМОСТЬ СТОКИ 2019'!BX160)</f>
        <v>0</v>
      </c>
      <c r="FK44" s="3144">
        <f>SUM(FK45:FK47)</f>
        <v>14.12</v>
      </c>
      <c r="FL44" s="3144">
        <f t="shared" ref="FL44:FM44" si="856">SUM(FL45:FL47)</f>
        <v>14.033133392489415</v>
      </c>
      <c r="FM44" s="3144">
        <f t="shared" si="856"/>
        <v>8.6866607510584712E-2</v>
      </c>
      <c r="FN44" s="3180">
        <f t="shared" si="809"/>
        <v>252.41615507494686</v>
      </c>
      <c r="FO44" s="3180">
        <f t="shared" si="810"/>
        <v>250.93761194363458</v>
      </c>
      <c r="FP44" s="3180">
        <f t="shared" si="811"/>
        <v>1.4785431313122359</v>
      </c>
      <c r="FQ44" s="3180">
        <f t="shared" si="812"/>
        <v>0</v>
      </c>
      <c r="FR44" s="3180">
        <f t="shared" si="813"/>
        <v>0</v>
      </c>
      <c r="FS44" s="3180">
        <f t="shared" si="814"/>
        <v>0</v>
      </c>
      <c r="FT44" s="3180">
        <f t="shared" si="815"/>
        <v>14.12</v>
      </c>
      <c r="FU44" s="3180">
        <f t="shared" si="816"/>
        <v>14.033133392489415</v>
      </c>
      <c r="FV44" s="3180">
        <f t="shared" si="817"/>
        <v>8.6866607510584712E-2</v>
      </c>
      <c r="FW44" s="3143">
        <f t="shared" si="818"/>
        <v>-252.41615507494686</v>
      </c>
      <c r="FX44" s="3143">
        <f t="shared" si="819"/>
        <v>-250.93761194363458</v>
      </c>
      <c r="FY44" s="3143">
        <f t="shared" si="820"/>
        <v>-1.4785431313122359</v>
      </c>
      <c r="FZ44" s="3242">
        <f t="shared" si="821"/>
        <v>1009.6646202997874</v>
      </c>
      <c r="GA44" s="3242">
        <f t="shared" si="822"/>
        <v>1003.7504477745383</v>
      </c>
      <c r="GB44" s="3242">
        <f t="shared" si="823"/>
        <v>5.9141725252489437</v>
      </c>
      <c r="GC44" s="3242">
        <f t="shared" si="824"/>
        <v>80.81</v>
      </c>
      <c r="GD44" s="3242">
        <f t="shared" si="825"/>
        <v>80.81</v>
      </c>
      <c r="GE44" s="3242">
        <f t="shared" si="826"/>
        <v>0</v>
      </c>
      <c r="GF44" s="3242">
        <f t="shared" si="827"/>
        <v>48.679999999999993</v>
      </c>
      <c r="GG44" s="3242">
        <f t="shared" si="828"/>
        <v>48.398366656469889</v>
      </c>
      <c r="GH44" s="3242">
        <f t="shared" si="829"/>
        <v>0.28163334353010844</v>
      </c>
      <c r="GI44" s="3243">
        <f t="shared" si="830"/>
        <v>-928.85462029978748</v>
      </c>
      <c r="GJ44" s="3243">
        <f t="shared" si="831"/>
        <v>-922.94044777453837</v>
      </c>
      <c r="GK44" s="3243">
        <f t="shared" si="832"/>
        <v>-5.9141725252489437</v>
      </c>
    </row>
    <row r="45" spans="1:193" ht="37.5" customHeight="1" x14ac:dyDescent="0.2">
      <c r="A45" s="3081" t="s">
        <v>3662</v>
      </c>
      <c r="B45" s="3125">
        <f t="shared" si="697"/>
        <v>1.5365593899822667</v>
      </c>
      <c r="C45" s="3125">
        <f>SUM('ПОЛНАЯ СЕБЕСТОИМОСТЬ СТОКИ 2019'!C161/3)</f>
        <v>1.5275706979924895</v>
      </c>
      <c r="D45" s="3125">
        <f>SUM('ПОЛНАЯ СЕБЕСТОИМОСТЬ СТОКИ 2019'!D161/3)</f>
        <v>8.9886919897772689E-3</v>
      </c>
      <c r="E45" s="3125">
        <f t="shared" si="698"/>
        <v>0</v>
      </c>
      <c r="F45" s="3125">
        <f>SUM('ПОЛНАЯ СЕБЕСТОИМОСТЬ СТОКИ 2019'!F161)</f>
        <v>0</v>
      </c>
      <c r="G45" s="3125">
        <f>SUM('ПОЛНАЯ СЕБЕСТОИМОСТЬ СТОКИ 2019'!G161)</f>
        <v>0</v>
      </c>
      <c r="H45" s="3066">
        <v>0</v>
      </c>
      <c r="I45" s="3066">
        <f t="shared" si="833"/>
        <v>0</v>
      </c>
      <c r="J45" s="3066">
        <v>0</v>
      </c>
      <c r="K45" s="3125">
        <f t="shared" si="700"/>
        <v>1.5365593899822667</v>
      </c>
      <c r="L45" s="3125">
        <f t="shared" si="701"/>
        <v>1.5275706979924895</v>
      </c>
      <c r="M45" s="3125">
        <f t="shared" si="702"/>
        <v>8.9886919897772689E-3</v>
      </c>
      <c r="N45" s="3125">
        <f t="shared" si="703"/>
        <v>0</v>
      </c>
      <c r="O45" s="3125">
        <f>SUM('ПОЛНАЯ СЕБЕСТОИМОСТЬ СТОКИ 2019'!I161)</f>
        <v>0</v>
      </c>
      <c r="P45" s="3125">
        <f>SUM('ПОЛНАЯ СЕБЕСТОИМОСТЬ СТОКИ 2019'!J161)</f>
        <v>0</v>
      </c>
      <c r="Q45" s="3066">
        <v>0</v>
      </c>
      <c r="R45" s="3066">
        <f t="shared" si="834"/>
        <v>0</v>
      </c>
      <c r="S45" s="3066">
        <v>0</v>
      </c>
      <c r="T45" s="3125">
        <f t="shared" si="705"/>
        <v>1.5365593899822667</v>
      </c>
      <c r="U45" s="3125">
        <f t="shared" si="706"/>
        <v>1.5275706979924895</v>
      </c>
      <c r="V45" s="3125">
        <f t="shared" si="707"/>
        <v>8.9886919897772689E-3</v>
      </c>
      <c r="W45" s="3125">
        <f t="shared" si="708"/>
        <v>8.56</v>
      </c>
      <c r="X45" s="3125">
        <f>SUM('ПОЛНАЯ СЕБЕСТОИМОСТЬ СТОКИ 2019'!L161)</f>
        <v>8.56</v>
      </c>
      <c r="Y45" s="3125">
        <f>SUM('ПОЛНАЯ СЕБЕСТОИМОСТЬ СТОКИ 2019'!M161)</f>
        <v>0</v>
      </c>
      <c r="Z45" s="3066">
        <v>0.04</v>
      </c>
      <c r="AA45" s="3066">
        <f t="shared" si="835"/>
        <v>0.04</v>
      </c>
      <c r="AB45" s="3066">
        <v>0</v>
      </c>
      <c r="AC45" s="3126">
        <f t="shared" si="710"/>
        <v>4.6096781699468004</v>
      </c>
      <c r="AD45" s="3126">
        <f t="shared" si="711"/>
        <v>4.5827120939774684</v>
      </c>
      <c r="AE45" s="3126">
        <f t="shared" si="712"/>
        <v>2.6966075969331808E-2</v>
      </c>
      <c r="AF45" s="3126">
        <f t="shared" si="713"/>
        <v>8.56</v>
      </c>
      <c r="AG45" s="3126">
        <f t="shared" si="714"/>
        <v>8.56</v>
      </c>
      <c r="AH45" s="3126">
        <f t="shared" si="715"/>
        <v>0</v>
      </c>
      <c r="AI45" s="3126">
        <f t="shared" si="716"/>
        <v>0.04</v>
      </c>
      <c r="AJ45" s="3126">
        <f t="shared" si="717"/>
        <v>0.04</v>
      </c>
      <c r="AK45" s="3126">
        <f t="shared" si="718"/>
        <v>0</v>
      </c>
      <c r="AL45" s="3458">
        <f t="shared" si="719"/>
        <v>3.9503218300532001</v>
      </c>
      <c r="AM45" s="3458">
        <f t="shared" si="720"/>
        <v>3.9772879060225321</v>
      </c>
      <c r="AN45" s="3458">
        <f t="shared" si="721"/>
        <v>-2.6966075969331808E-2</v>
      </c>
      <c r="AO45" s="3125">
        <f t="shared" si="722"/>
        <v>1.5365593899822667</v>
      </c>
      <c r="AP45" s="3125">
        <f>SUM('ПОЛНАЯ СЕБЕСТОИМОСТЬ СТОКИ 2019'!R161/3)</f>
        <v>1.5275706979924895</v>
      </c>
      <c r="AQ45" s="3125">
        <f>SUM('ПОЛНАЯ СЕБЕСТОИМОСТЬ СТОКИ 2019'!S161/3)</f>
        <v>8.9886919897772689E-3</v>
      </c>
      <c r="AR45" s="3125">
        <f t="shared" si="723"/>
        <v>0</v>
      </c>
      <c r="AS45" s="3125">
        <f>SUM('ПОЛНАЯ СЕБЕСТОИМОСТЬ СТОКИ 2019'!U161)</f>
        <v>0</v>
      </c>
      <c r="AT45" s="3125">
        <f>SUM('ПОЛНАЯ СЕБЕСТОИМОСТЬ СТОКИ 2019'!V161)</f>
        <v>0</v>
      </c>
      <c r="AU45" s="3066">
        <v>0</v>
      </c>
      <c r="AV45" s="3066">
        <f t="shared" si="836"/>
        <v>0</v>
      </c>
      <c r="AW45" s="3066">
        <v>0</v>
      </c>
      <c r="AX45" s="3125">
        <f t="shared" si="725"/>
        <v>1.5365593899822667</v>
      </c>
      <c r="AY45" s="3125">
        <f t="shared" si="726"/>
        <v>1.5275706979924895</v>
      </c>
      <c r="AZ45" s="3125">
        <f t="shared" si="727"/>
        <v>8.9886919897772689E-3</v>
      </c>
      <c r="BA45" s="3118">
        <f t="shared" si="728"/>
        <v>0</v>
      </c>
      <c r="BB45" s="3118">
        <f>SUM('ПОЛНАЯ СЕБЕСТОИМОСТЬ СТОКИ 2019'!X161)</f>
        <v>0</v>
      </c>
      <c r="BC45" s="3118">
        <f>SUM('ПОЛНАЯ СЕБЕСТОИМОСТЬ СТОКИ 2019'!Y161)</f>
        <v>0</v>
      </c>
      <c r="BD45" s="3066">
        <v>0</v>
      </c>
      <c r="BE45" s="3066">
        <f t="shared" si="837"/>
        <v>0</v>
      </c>
      <c r="BF45" s="3066">
        <v>0</v>
      </c>
      <c r="BG45" s="3125">
        <f t="shared" si="730"/>
        <v>1.5365593899822667</v>
      </c>
      <c r="BH45" s="3125">
        <f t="shared" si="731"/>
        <v>1.5275706979924895</v>
      </c>
      <c r="BI45" s="3125">
        <f t="shared" si="732"/>
        <v>8.9886919897772689E-3</v>
      </c>
      <c r="BJ45" s="3125">
        <f t="shared" si="733"/>
        <v>8.56</v>
      </c>
      <c r="BK45" s="3125">
        <f>SUM('ПОЛНАЯ СЕБЕСТОИМОСТЬ СТОКИ 2019'!AA161)</f>
        <v>8.56</v>
      </c>
      <c r="BL45" s="3125">
        <f>SUM('ПОЛНАЯ СЕБЕСТОИМОСТЬ СТОКИ 2019'!AB161)</f>
        <v>0</v>
      </c>
      <c r="BM45" s="3066">
        <v>0.04</v>
      </c>
      <c r="BN45" s="3066">
        <f t="shared" si="838"/>
        <v>0.04</v>
      </c>
      <c r="BO45" s="3066">
        <v>0</v>
      </c>
      <c r="BP45" s="3126">
        <f t="shared" si="735"/>
        <v>4.6096781699468004</v>
      </c>
      <c r="BQ45" s="3126">
        <f t="shared" si="736"/>
        <v>4.5827120939774684</v>
      </c>
      <c r="BR45" s="3126">
        <f t="shared" si="737"/>
        <v>2.6966075969331808E-2</v>
      </c>
      <c r="BS45" s="3126">
        <f t="shared" si="738"/>
        <v>8.56</v>
      </c>
      <c r="BT45" s="3126">
        <f t="shared" si="739"/>
        <v>8.56</v>
      </c>
      <c r="BU45" s="3126">
        <f t="shared" si="740"/>
        <v>0</v>
      </c>
      <c r="BV45" s="3126">
        <f t="shared" si="741"/>
        <v>0.04</v>
      </c>
      <c r="BW45" s="3126">
        <f t="shared" si="742"/>
        <v>0.04</v>
      </c>
      <c r="BX45" s="3126">
        <f t="shared" si="743"/>
        <v>0</v>
      </c>
      <c r="BY45" s="3458">
        <f t="shared" si="744"/>
        <v>3.9503218300532001</v>
      </c>
      <c r="BZ45" s="3458">
        <f t="shared" si="745"/>
        <v>3.9772879060225321</v>
      </c>
      <c r="CA45" s="3458">
        <f t="shared" si="746"/>
        <v>-2.6966075969331808E-2</v>
      </c>
      <c r="CB45" s="3126">
        <f t="shared" si="747"/>
        <v>9.2193563398936007</v>
      </c>
      <c r="CC45" s="3126">
        <f t="shared" si="748"/>
        <v>9.1654241879549367</v>
      </c>
      <c r="CD45" s="3126">
        <f t="shared" si="749"/>
        <v>5.3932151938663617E-2</v>
      </c>
      <c r="CE45" s="3126">
        <f t="shared" si="750"/>
        <v>17.12</v>
      </c>
      <c r="CF45" s="3126">
        <f t="shared" si="751"/>
        <v>17.12</v>
      </c>
      <c r="CG45" s="3126">
        <f t="shared" si="752"/>
        <v>0</v>
      </c>
      <c r="CH45" s="3459">
        <f t="shared" si="753"/>
        <v>0.08</v>
      </c>
      <c r="CI45" s="3459">
        <f t="shared" si="754"/>
        <v>0.08</v>
      </c>
      <c r="CJ45" s="3459">
        <f t="shared" si="755"/>
        <v>0</v>
      </c>
      <c r="CK45" s="3458">
        <f t="shared" si="756"/>
        <v>7.9006436601064003</v>
      </c>
      <c r="CL45" s="3458">
        <f t="shared" si="757"/>
        <v>7.9545758120450643</v>
      </c>
      <c r="CM45" s="3458">
        <f t="shared" si="758"/>
        <v>-5.3932151938663617E-2</v>
      </c>
      <c r="CN45" s="3125">
        <f t="shared" si="759"/>
        <v>1.5365593899822667</v>
      </c>
      <c r="CO45" s="3125">
        <f>SUM('ПОЛНАЯ СЕБЕСТОИМОСТЬ СТОКИ 2019'!AP161/3)</f>
        <v>1.5275706979924895</v>
      </c>
      <c r="CP45" s="3125">
        <f>SUM('ПОЛНАЯ СЕБЕСТОИМОСТЬ СТОКИ 2019'!AQ161/3)</f>
        <v>8.9886919897772689E-3</v>
      </c>
      <c r="CQ45" s="3125">
        <f t="shared" si="760"/>
        <v>0</v>
      </c>
      <c r="CR45" s="3125">
        <f>SUM('ПОЛНАЯ СЕБЕСТОИМОСТЬ СТОКИ 2019'!AS161)</f>
        <v>0</v>
      </c>
      <c r="CS45" s="3125">
        <f>SUM('ПОЛНАЯ СЕБЕСТОИМОСТЬ СТОКИ 2019'!AT161)</f>
        <v>0</v>
      </c>
      <c r="CT45" s="3066">
        <v>0</v>
      </c>
      <c r="CU45" s="3066">
        <f t="shared" si="839"/>
        <v>0</v>
      </c>
      <c r="CV45" s="3066">
        <v>0</v>
      </c>
      <c r="CW45" s="3125">
        <f t="shared" si="762"/>
        <v>1.5365593899822667</v>
      </c>
      <c r="CX45" s="3125">
        <f t="shared" si="763"/>
        <v>1.5275706979924895</v>
      </c>
      <c r="CY45" s="3125">
        <f t="shared" si="764"/>
        <v>8.9886919897772689E-3</v>
      </c>
      <c r="CZ45" s="3125">
        <f t="shared" si="765"/>
        <v>0</v>
      </c>
      <c r="DA45" s="3125">
        <f>SUM('ПОЛНАЯ СЕБЕСТОИМОСТЬ СТОКИ 2019'!AV161)</f>
        <v>0</v>
      </c>
      <c r="DB45" s="3125">
        <f>SUM('ПОЛНАЯ СЕБЕСТОИМОСТЬ СТОКИ 2019'!AW161)</f>
        <v>0</v>
      </c>
      <c r="DC45" s="3066">
        <v>0</v>
      </c>
      <c r="DD45" s="3066">
        <f t="shared" si="840"/>
        <v>0</v>
      </c>
      <c r="DE45" s="3066">
        <v>0</v>
      </c>
      <c r="DF45" s="3125">
        <f t="shared" si="767"/>
        <v>1.5365593899822667</v>
      </c>
      <c r="DG45" s="3125">
        <f t="shared" si="768"/>
        <v>1.5275706979924895</v>
      </c>
      <c r="DH45" s="3125">
        <f t="shared" si="769"/>
        <v>8.9886919897772689E-3</v>
      </c>
      <c r="DI45" s="3125">
        <f t="shared" si="770"/>
        <v>8.5500000000000007</v>
      </c>
      <c r="DJ45" s="3125">
        <f>SUM('ПОЛНАЯ СЕБЕСТОИМОСТЬ СТОКИ 2019'!AY161)</f>
        <v>8.5500000000000007</v>
      </c>
      <c r="DK45" s="3125">
        <f>SUM('ПОЛНАЯ СЕБЕСТОИМОСТЬ СТОКИ 2019'!AZ161)</f>
        <v>0</v>
      </c>
      <c r="DL45" s="3066">
        <v>0.04</v>
      </c>
      <c r="DM45" s="3066">
        <f t="shared" si="841"/>
        <v>0.04</v>
      </c>
      <c r="DN45" s="3066">
        <v>0</v>
      </c>
      <c r="DO45" s="3126">
        <f t="shared" si="772"/>
        <v>4.6096781699468004</v>
      </c>
      <c r="DP45" s="3126">
        <f t="shared" si="773"/>
        <v>4.5827120939774684</v>
      </c>
      <c r="DQ45" s="3126">
        <f t="shared" si="774"/>
        <v>2.6966075969331808E-2</v>
      </c>
      <c r="DR45" s="3126">
        <f t="shared" si="775"/>
        <v>8.5500000000000007</v>
      </c>
      <c r="DS45" s="3126">
        <f t="shared" si="776"/>
        <v>8.5500000000000007</v>
      </c>
      <c r="DT45" s="3126">
        <f t="shared" si="777"/>
        <v>0</v>
      </c>
      <c r="DU45" s="3126">
        <f t="shared" si="778"/>
        <v>0.04</v>
      </c>
      <c r="DV45" s="3126">
        <f t="shared" si="779"/>
        <v>0.04</v>
      </c>
      <c r="DW45" s="3126">
        <f t="shared" si="780"/>
        <v>0</v>
      </c>
      <c r="DX45" s="3458">
        <f t="shared" si="781"/>
        <v>3.9403218300532004</v>
      </c>
      <c r="DY45" s="3458">
        <f t="shared" si="782"/>
        <v>3.9672879060225323</v>
      </c>
      <c r="DZ45" s="3458">
        <f t="shared" si="783"/>
        <v>-2.6966075969331808E-2</v>
      </c>
      <c r="EA45" s="3126">
        <f t="shared" si="784"/>
        <v>13.829034509840401</v>
      </c>
      <c r="EB45" s="3126">
        <f t="shared" si="785"/>
        <v>13.748136281932405</v>
      </c>
      <c r="EC45" s="3126">
        <f t="shared" si="786"/>
        <v>8.0898227907995418E-2</v>
      </c>
      <c r="ED45" s="3126">
        <f t="shared" si="787"/>
        <v>25.67</v>
      </c>
      <c r="EE45" s="3126">
        <f t="shared" si="788"/>
        <v>25.67</v>
      </c>
      <c r="EF45" s="3126">
        <f t="shared" si="789"/>
        <v>0</v>
      </c>
      <c r="EG45" s="3126">
        <f t="shared" si="790"/>
        <v>0.12</v>
      </c>
      <c r="EH45" s="3126">
        <f t="shared" si="791"/>
        <v>0.12</v>
      </c>
      <c r="EI45" s="3126">
        <f t="shared" si="792"/>
        <v>0</v>
      </c>
      <c r="EJ45" s="3458">
        <f t="shared" si="793"/>
        <v>11.840965490159601</v>
      </c>
      <c r="EK45" s="3458">
        <f t="shared" si="794"/>
        <v>11.921863718067597</v>
      </c>
      <c r="EL45" s="3458">
        <f t="shared" si="795"/>
        <v>-8.0898227907995418E-2</v>
      </c>
      <c r="EM45" s="3125">
        <f t="shared" si="796"/>
        <v>1.5365593899822667</v>
      </c>
      <c r="EN45" s="3125">
        <f>SUM('ПОЛНАЯ СЕБЕСТОИМОСТЬ СТОКИ 2019'!BN161/3)</f>
        <v>1.5275706979924895</v>
      </c>
      <c r="EO45" s="3125">
        <f>SUM('ПОЛНАЯ СЕБЕСТОИМОСТЬ СТОКИ 2019'!BO161/3)</f>
        <v>8.9886919897772689E-3</v>
      </c>
      <c r="EP45" s="3125">
        <f t="shared" si="797"/>
        <v>0</v>
      </c>
      <c r="EQ45" s="3125">
        <f>SUM('ПОЛНАЯ СЕБЕСТОИМОСТЬ СТОКИ 2019'!BQ161)</f>
        <v>0</v>
      </c>
      <c r="ER45" s="3125">
        <f>SUM('ПОЛНАЯ СЕБЕСТОИМОСТЬ СТОКИ 2019'!BR161)</f>
        <v>0</v>
      </c>
      <c r="ES45" s="3066">
        <v>0</v>
      </c>
      <c r="ET45" s="3066">
        <f t="shared" si="842"/>
        <v>0</v>
      </c>
      <c r="EU45" s="3066">
        <v>0</v>
      </c>
      <c r="EV45" s="3125">
        <f t="shared" si="799"/>
        <v>1.5365593899822667</v>
      </c>
      <c r="EW45" s="3125">
        <f t="shared" si="800"/>
        <v>1.5275706979924895</v>
      </c>
      <c r="EX45" s="3125">
        <f t="shared" si="801"/>
        <v>8.9886919897772689E-3</v>
      </c>
      <c r="EY45" s="3125">
        <f t="shared" si="802"/>
        <v>0</v>
      </c>
      <c r="EZ45" s="3125">
        <f>SUM('ПОЛНАЯ СЕБЕСТОИМОСТЬ СТОКИ 2019'!BT161)</f>
        <v>0</v>
      </c>
      <c r="FA45" s="3125">
        <f>SUM('ПОЛНАЯ СЕБЕСТОИМОСТЬ СТОКИ 2019'!BU161)</f>
        <v>0</v>
      </c>
      <c r="FB45" s="3066">
        <v>0</v>
      </c>
      <c r="FC45" s="3066">
        <f t="shared" si="843"/>
        <v>0</v>
      </c>
      <c r="FD45" s="3066">
        <v>0</v>
      </c>
      <c r="FE45" s="3125">
        <f t="shared" si="804"/>
        <v>1.5365593899822667</v>
      </c>
      <c r="FF45" s="3125">
        <f t="shared" si="805"/>
        <v>1.5275706979924895</v>
      </c>
      <c r="FG45" s="3125">
        <f t="shared" si="806"/>
        <v>8.9886919897772689E-3</v>
      </c>
      <c r="FH45" s="3125">
        <f t="shared" si="807"/>
        <v>0</v>
      </c>
      <c r="FI45" s="3125">
        <f>SUM('ПОЛНАЯ СЕБЕСТОИМОСТЬ СТОКИ 2019'!BW161)</f>
        <v>0</v>
      </c>
      <c r="FJ45" s="3125">
        <f>SUM('ПОЛНАЯ СЕБЕСТОИМОСТЬ СТОКИ 2019'!BX161)</f>
        <v>0</v>
      </c>
      <c r="FK45" s="3066">
        <v>0</v>
      </c>
      <c r="FL45" s="3066">
        <f t="shared" si="844"/>
        <v>0</v>
      </c>
      <c r="FM45" s="3066">
        <v>0</v>
      </c>
      <c r="FN45" s="3126">
        <f t="shared" si="809"/>
        <v>4.6096781699468004</v>
      </c>
      <c r="FO45" s="3126">
        <f t="shared" si="810"/>
        <v>4.5827120939774684</v>
      </c>
      <c r="FP45" s="3126">
        <f t="shared" si="811"/>
        <v>2.6966075969331808E-2</v>
      </c>
      <c r="FQ45" s="3126">
        <f t="shared" si="812"/>
        <v>0</v>
      </c>
      <c r="FR45" s="3126">
        <f t="shared" si="813"/>
        <v>0</v>
      </c>
      <c r="FS45" s="3126">
        <f t="shared" si="814"/>
        <v>0</v>
      </c>
      <c r="FT45" s="3126">
        <f t="shared" si="815"/>
        <v>0</v>
      </c>
      <c r="FU45" s="3126">
        <f t="shared" si="816"/>
        <v>0</v>
      </c>
      <c r="FV45" s="3126">
        <f t="shared" si="817"/>
        <v>0</v>
      </c>
      <c r="FW45" s="3458">
        <f t="shared" si="818"/>
        <v>-4.6096781699468004</v>
      </c>
      <c r="FX45" s="3458">
        <f t="shared" si="819"/>
        <v>-4.5827120939774684</v>
      </c>
      <c r="FY45" s="3458">
        <f t="shared" si="820"/>
        <v>-2.6966075969331808E-2</v>
      </c>
      <c r="FZ45" s="3232">
        <f t="shared" si="821"/>
        <v>18.438712679787201</v>
      </c>
      <c r="GA45" s="3232">
        <f t="shared" si="822"/>
        <v>18.330848375909873</v>
      </c>
      <c r="GB45" s="3232">
        <f t="shared" si="823"/>
        <v>0.10786430387732723</v>
      </c>
      <c r="GC45" s="3232">
        <f t="shared" si="824"/>
        <v>25.67</v>
      </c>
      <c r="GD45" s="3232">
        <f t="shared" si="825"/>
        <v>25.67</v>
      </c>
      <c r="GE45" s="3232">
        <f t="shared" si="826"/>
        <v>0</v>
      </c>
      <c r="GF45" s="3232">
        <f t="shared" si="827"/>
        <v>0.12</v>
      </c>
      <c r="GG45" s="3232">
        <f t="shared" si="828"/>
        <v>0.12</v>
      </c>
      <c r="GH45" s="3232">
        <f t="shared" si="829"/>
        <v>0</v>
      </c>
      <c r="GI45" s="3460">
        <f t="shared" si="830"/>
        <v>7.2312873202128003</v>
      </c>
      <c r="GJ45" s="3460">
        <f t="shared" si="831"/>
        <v>7.3391516240901282</v>
      </c>
      <c r="GK45" s="3460">
        <f t="shared" si="832"/>
        <v>-0.10786430387732723</v>
      </c>
    </row>
    <row r="46" spans="1:193" ht="18.75" customHeight="1" x14ac:dyDescent="0.3">
      <c r="A46" s="3081" t="s">
        <v>533</v>
      </c>
      <c r="B46" s="3145">
        <f t="shared" si="697"/>
        <v>3.5933333333333333</v>
      </c>
      <c r="C46" s="3145">
        <f>SUM('ПОЛНАЯ СЕБЕСТОИМОСТЬ СТОКИ 2019'!C162/3)</f>
        <v>3.5716666666666668</v>
      </c>
      <c r="D46" s="3145">
        <f>SUM('ПОЛНАЯ СЕБЕСТОИМОСТЬ СТОКИ 2019'!D162/3)</f>
        <v>2.1666666666666667E-2</v>
      </c>
      <c r="E46" s="3145">
        <f t="shared" si="698"/>
        <v>0</v>
      </c>
      <c r="F46" s="3145">
        <f>SUM('ПОЛНАЯ СЕБЕСТОИМОСТЬ СТОКИ 2019'!F162)</f>
        <v>0</v>
      </c>
      <c r="G46" s="3145">
        <f>SUM('ПОЛНАЯ СЕБЕСТОИМОСТЬ СТОКИ 2019'!G162)</f>
        <v>0</v>
      </c>
      <c r="H46" s="3149">
        <v>0</v>
      </c>
      <c r="I46" s="3149">
        <f t="shared" si="833"/>
        <v>0</v>
      </c>
      <c r="J46" s="3149">
        <f>SUM(H46/H9*J9)*0.40579710144</f>
        <v>0</v>
      </c>
      <c r="K46" s="3145">
        <f t="shared" si="700"/>
        <v>3.5933333333333333</v>
      </c>
      <c r="L46" s="3145">
        <f t="shared" si="701"/>
        <v>3.5716666666666668</v>
      </c>
      <c r="M46" s="3145">
        <f t="shared" si="702"/>
        <v>2.1666666666666667E-2</v>
      </c>
      <c r="N46" s="3145">
        <f t="shared" si="703"/>
        <v>0</v>
      </c>
      <c r="O46" s="3145">
        <f>SUM('ПОЛНАЯ СЕБЕСТОИМОСТЬ СТОКИ 2019'!I162)</f>
        <v>0</v>
      </c>
      <c r="P46" s="3145">
        <f>SUM('ПОЛНАЯ СЕБЕСТОИМОСТЬ СТОКИ 2019'!J162)</f>
        <v>0</v>
      </c>
      <c r="Q46" s="3149">
        <v>0</v>
      </c>
      <c r="R46" s="3149">
        <f t="shared" si="834"/>
        <v>0</v>
      </c>
      <c r="S46" s="3149">
        <f>SUM(Q46/Q9*S9)*0.40579710144</f>
        <v>0</v>
      </c>
      <c r="T46" s="3145">
        <f t="shared" si="705"/>
        <v>3.5933333333333333</v>
      </c>
      <c r="U46" s="3145">
        <f t="shared" si="706"/>
        <v>3.5716666666666668</v>
      </c>
      <c r="V46" s="3145">
        <f t="shared" si="707"/>
        <v>2.1666666666666667E-2</v>
      </c>
      <c r="W46" s="3145">
        <f t="shared" si="708"/>
        <v>16.82</v>
      </c>
      <c r="X46" s="3145">
        <f>SUM('ПОЛНАЯ СЕБЕСТОИМОСТЬ СТОКИ 2019'!L162)</f>
        <v>16.82</v>
      </c>
      <c r="Y46" s="3145">
        <f>SUM('ПОЛНАЯ СЕБЕСТОИМОСТЬ СТОКИ 2019'!M162)</f>
        <v>0</v>
      </c>
      <c r="Z46" s="3149">
        <v>10.78</v>
      </c>
      <c r="AA46" s="3149">
        <f t="shared" si="835"/>
        <v>10.718408641646075</v>
      </c>
      <c r="AB46" s="3149">
        <f>SUM(Z46/Z9*AB9)*0.40579710144</f>
        <v>6.1591358353924992E-2</v>
      </c>
      <c r="AC46" s="3179">
        <f t="shared" si="710"/>
        <v>10.78</v>
      </c>
      <c r="AD46" s="3179">
        <f t="shared" si="711"/>
        <v>10.715</v>
      </c>
      <c r="AE46" s="3179">
        <f t="shared" si="712"/>
        <v>6.5000000000000002E-2</v>
      </c>
      <c r="AF46" s="3179">
        <f t="shared" si="713"/>
        <v>16.82</v>
      </c>
      <c r="AG46" s="3179">
        <f t="shared" si="714"/>
        <v>16.82</v>
      </c>
      <c r="AH46" s="3179">
        <f t="shared" si="715"/>
        <v>0</v>
      </c>
      <c r="AI46" s="3179">
        <f t="shared" si="716"/>
        <v>10.78</v>
      </c>
      <c r="AJ46" s="3179">
        <f t="shared" si="717"/>
        <v>10.718408641646075</v>
      </c>
      <c r="AK46" s="3179">
        <f t="shared" si="718"/>
        <v>6.1591358353924992E-2</v>
      </c>
      <c r="AL46" s="3148">
        <f t="shared" si="719"/>
        <v>6.0400000000000009</v>
      </c>
      <c r="AM46" s="3148">
        <f t="shared" si="720"/>
        <v>6.1050000000000004</v>
      </c>
      <c r="AN46" s="3148">
        <f t="shared" si="721"/>
        <v>-6.5000000000000002E-2</v>
      </c>
      <c r="AO46" s="3145">
        <f t="shared" si="722"/>
        <v>3.5933333333333333</v>
      </c>
      <c r="AP46" s="3145">
        <f>SUM('ПОЛНАЯ СЕБЕСТОИМОСТЬ СТОКИ 2019'!R162/3)</f>
        <v>3.5716666666666668</v>
      </c>
      <c r="AQ46" s="3145">
        <f>SUM('ПОЛНАЯ СЕБЕСТОИМОСТЬ СТОКИ 2019'!S162/3)</f>
        <v>2.1666666666666667E-2</v>
      </c>
      <c r="AR46" s="3145">
        <f t="shared" si="723"/>
        <v>0</v>
      </c>
      <c r="AS46" s="3145">
        <f>SUM('ПОЛНАЯ СЕБЕСТОИМОСТЬ СТОКИ 2019'!U162)</f>
        <v>0</v>
      </c>
      <c r="AT46" s="3145">
        <f>SUM('ПОЛНАЯ СЕБЕСТОИМОСТЬ СТОКИ 2019'!V162)</f>
        <v>0</v>
      </c>
      <c r="AU46" s="3149">
        <v>0</v>
      </c>
      <c r="AV46" s="3149">
        <f t="shared" si="836"/>
        <v>0</v>
      </c>
      <c r="AW46" s="3149">
        <f>SUM(AU46/AU9*AW9)*0.40579710144</f>
        <v>0</v>
      </c>
      <c r="AX46" s="3145">
        <f t="shared" si="725"/>
        <v>3.5933333333333333</v>
      </c>
      <c r="AY46" s="3145">
        <f t="shared" si="726"/>
        <v>3.5716666666666668</v>
      </c>
      <c r="AZ46" s="3145">
        <f t="shared" si="727"/>
        <v>2.1666666666666667E-2</v>
      </c>
      <c r="BA46" s="3276">
        <f t="shared" si="728"/>
        <v>0</v>
      </c>
      <c r="BB46" s="3276">
        <f>SUM('ПОЛНАЯ СЕБЕСТОИМОСТЬ СТОКИ 2019'!X162)</f>
        <v>0</v>
      </c>
      <c r="BC46" s="3276">
        <f>SUM('ПОЛНАЯ СЕБЕСТОИМОСТЬ СТОКИ 2019'!Y162)</f>
        <v>0</v>
      </c>
      <c r="BD46" s="3149">
        <v>0</v>
      </c>
      <c r="BE46" s="3149">
        <f t="shared" si="837"/>
        <v>0</v>
      </c>
      <c r="BF46" s="3149">
        <f>SUM(BD46/BD9*BF9)*0.40579710144</f>
        <v>0</v>
      </c>
      <c r="BG46" s="3145">
        <f t="shared" si="730"/>
        <v>3.5933333333333333</v>
      </c>
      <c r="BH46" s="3145">
        <f t="shared" si="731"/>
        <v>3.5716666666666668</v>
      </c>
      <c r="BI46" s="3145">
        <f t="shared" si="732"/>
        <v>2.1666666666666667E-2</v>
      </c>
      <c r="BJ46" s="3145">
        <f t="shared" si="733"/>
        <v>19.16</v>
      </c>
      <c r="BK46" s="3145">
        <f>SUM('ПОЛНАЯ СЕБЕСТОИМОСТЬ СТОКИ 2019'!AA162)</f>
        <v>19.16</v>
      </c>
      <c r="BL46" s="3145">
        <f>SUM('ПОЛНАЯ СЕБЕСТОИМОСТЬ СТОКИ 2019'!AB162)</f>
        <v>0</v>
      </c>
      <c r="BM46" s="3149">
        <v>10.78</v>
      </c>
      <c r="BN46" s="3149">
        <f t="shared" si="838"/>
        <v>10.721627769897477</v>
      </c>
      <c r="BO46" s="3149">
        <f>SUM(BM46/BM9*BO9)*0.40579710144</f>
        <v>5.8372230102522862E-2</v>
      </c>
      <c r="BP46" s="3179">
        <f t="shared" si="735"/>
        <v>10.78</v>
      </c>
      <c r="BQ46" s="3179">
        <f t="shared" si="736"/>
        <v>10.715</v>
      </c>
      <c r="BR46" s="3179">
        <f t="shared" si="737"/>
        <v>6.5000000000000002E-2</v>
      </c>
      <c r="BS46" s="3179">
        <f t="shared" si="738"/>
        <v>19.16</v>
      </c>
      <c r="BT46" s="3179">
        <f t="shared" si="739"/>
        <v>19.16</v>
      </c>
      <c r="BU46" s="3179">
        <f t="shared" si="740"/>
        <v>0</v>
      </c>
      <c r="BV46" s="3179">
        <f t="shared" si="741"/>
        <v>10.78</v>
      </c>
      <c r="BW46" s="3179">
        <f t="shared" si="742"/>
        <v>10.721627769897477</v>
      </c>
      <c r="BX46" s="3179">
        <f t="shared" si="743"/>
        <v>5.8372230102522862E-2</v>
      </c>
      <c r="BY46" s="3148">
        <f t="shared" si="744"/>
        <v>8.3800000000000008</v>
      </c>
      <c r="BZ46" s="3148">
        <f t="shared" si="745"/>
        <v>8.4450000000000003</v>
      </c>
      <c r="CA46" s="3148">
        <f t="shared" si="746"/>
        <v>-6.5000000000000002E-2</v>
      </c>
      <c r="CB46" s="3179">
        <f t="shared" si="747"/>
        <v>21.56</v>
      </c>
      <c r="CC46" s="3179">
        <f t="shared" si="748"/>
        <v>21.43</v>
      </c>
      <c r="CD46" s="3179">
        <f t="shared" si="749"/>
        <v>0.13</v>
      </c>
      <c r="CE46" s="3179">
        <f t="shared" si="750"/>
        <v>35.980000000000004</v>
      </c>
      <c r="CF46" s="3179">
        <f t="shared" si="751"/>
        <v>35.980000000000004</v>
      </c>
      <c r="CG46" s="3179">
        <f t="shared" si="752"/>
        <v>0</v>
      </c>
      <c r="CH46" s="3456">
        <f t="shared" si="753"/>
        <v>21.56</v>
      </c>
      <c r="CI46" s="3456">
        <f t="shared" si="754"/>
        <v>21.440036411543552</v>
      </c>
      <c r="CJ46" s="3456">
        <f t="shared" si="755"/>
        <v>0.11996358845644786</v>
      </c>
      <c r="CK46" s="3148">
        <f t="shared" si="756"/>
        <v>14.420000000000005</v>
      </c>
      <c r="CL46" s="3148">
        <f t="shared" si="757"/>
        <v>14.550000000000004</v>
      </c>
      <c r="CM46" s="3148">
        <f t="shared" si="758"/>
        <v>-0.13</v>
      </c>
      <c r="CN46" s="3145">
        <f t="shared" si="759"/>
        <v>3.5933333333333333</v>
      </c>
      <c r="CO46" s="3145">
        <f>SUM('ПОЛНАЯ СЕБЕСТОИМОСТЬ СТОКИ 2019'!AP162/3)</f>
        <v>3.5716666666666668</v>
      </c>
      <c r="CP46" s="3145">
        <f>SUM('ПОЛНАЯ СЕБЕСТОИМОСТЬ СТОКИ 2019'!AQ162/3)</f>
        <v>2.1666666666666667E-2</v>
      </c>
      <c r="CQ46" s="3145">
        <f t="shared" si="760"/>
        <v>0</v>
      </c>
      <c r="CR46" s="3145">
        <f>SUM('ПОЛНАЯ СЕБЕСТОИМОСТЬ СТОКИ 2019'!AS162)</f>
        <v>0</v>
      </c>
      <c r="CS46" s="3145">
        <f>SUM('ПОЛНАЯ СЕБЕСТОИМОСТЬ СТОКИ 2019'!AT162)</f>
        <v>0</v>
      </c>
      <c r="CT46" s="3149">
        <v>0</v>
      </c>
      <c r="CU46" s="3149">
        <f t="shared" si="839"/>
        <v>0</v>
      </c>
      <c r="CV46" s="3149">
        <f>SUM(CT46/CT9*CV9)*0.40579710144</f>
        <v>0</v>
      </c>
      <c r="CW46" s="3145">
        <f t="shared" si="762"/>
        <v>3.5933333333333333</v>
      </c>
      <c r="CX46" s="3145">
        <f t="shared" si="763"/>
        <v>3.5716666666666668</v>
      </c>
      <c r="CY46" s="3145">
        <f t="shared" si="764"/>
        <v>2.1666666666666667E-2</v>
      </c>
      <c r="CZ46" s="3145">
        <f t="shared" si="765"/>
        <v>0</v>
      </c>
      <c r="DA46" s="3145">
        <f>SUM('ПОЛНАЯ СЕБЕСТОИМОСТЬ СТОКИ 2019'!AV162)</f>
        <v>0</v>
      </c>
      <c r="DB46" s="3145">
        <f>SUM('ПОЛНАЯ СЕБЕСТОИМОСТЬ СТОКИ 2019'!AW162)</f>
        <v>0</v>
      </c>
      <c r="DC46" s="3149">
        <v>0</v>
      </c>
      <c r="DD46" s="3149">
        <f t="shared" si="840"/>
        <v>0</v>
      </c>
      <c r="DE46" s="3149">
        <f>SUM(DC46/DC9*DE9)*0.40579710144</f>
        <v>0</v>
      </c>
      <c r="DF46" s="3145">
        <f t="shared" si="767"/>
        <v>3.5933333333333333</v>
      </c>
      <c r="DG46" s="3145">
        <f t="shared" si="768"/>
        <v>3.5716666666666668</v>
      </c>
      <c r="DH46" s="3145">
        <f t="shared" si="769"/>
        <v>2.1666666666666667E-2</v>
      </c>
      <c r="DI46" s="3145">
        <f t="shared" si="770"/>
        <v>19.16</v>
      </c>
      <c r="DJ46" s="3145">
        <f>SUM('ПОЛНАЯ СЕБЕСТОИМОСТЬ СТОКИ 2019'!AY162)</f>
        <v>19.16</v>
      </c>
      <c r="DK46" s="3145">
        <f>SUM('ПОЛНАЯ СЕБЕСТОИМОСТЬ СТОКИ 2019'!AZ162)</f>
        <v>0</v>
      </c>
      <c r="DL46" s="3149">
        <v>12.88</v>
      </c>
      <c r="DM46" s="3149">
        <f t="shared" si="841"/>
        <v>12.805196852436925</v>
      </c>
      <c r="DN46" s="3149">
        <f>SUM(DL46/DL9*DN9)*0.40579710144</f>
        <v>7.4803147563075864E-2</v>
      </c>
      <c r="DO46" s="3179">
        <f t="shared" si="772"/>
        <v>10.78</v>
      </c>
      <c r="DP46" s="3179">
        <f t="shared" si="773"/>
        <v>10.715</v>
      </c>
      <c r="DQ46" s="3179">
        <f t="shared" si="774"/>
        <v>6.5000000000000002E-2</v>
      </c>
      <c r="DR46" s="3179">
        <f t="shared" si="775"/>
        <v>19.16</v>
      </c>
      <c r="DS46" s="3179">
        <f t="shared" si="776"/>
        <v>19.16</v>
      </c>
      <c r="DT46" s="3179">
        <f t="shared" si="777"/>
        <v>0</v>
      </c>
      <c r="DU46" s="3179">
        <f t="shared" si="778"/>
        <v>12.88</v>
      </c>
      <c r="DV46" s="3179">
        <f t="shared" si="779"/>
        <v>12.805196852436925</v>
      </c>
      <c r="DW46" s="3179">
        <f t="shared" si="780"/>
        <v>7.4803147563075864E-2</v>
      </c>
      <c r="DX46" s="3148">
        <f t="shared" si="781"/>
        <v>8.3800000000000008</v>
      </c>
      <c r="DY46" s="3148">
        <f t="shared" si="782"/>
        <v>8.4450000000000003</v>
      </c>
      <c r="DZ46" s="3148">
        <f t="shared" si="783"/>
        <v>-6.5000000000000002E-2</v>
      </c>
      <c r="EA46" s="3179">
        <f t="shared" si="784"/>
        <v>32.339999999999996</v>
      </c>
      <c r="EB46" s="3179">
        <f t="shared" si="785"/>
        <v>32.144999999999996</v>
      </c>
      <c r="EC46" s="3179">
        <f t="shared" si="786"/>
        <v>0.19500000000000001</v>
      </c>
      <c r="ED46" s="3179">
        <f t="shared" si="787"/>
        <v>55.14</v>
      </c>
      <c r="EE46" s="3179">
        <f t="shared" si="788"/>
        <v>55.14</v>
      </c>
      <c r="EF46" s="3179">
        <f t="shared" si="789"/>
        <v>0</v>
      </c>
      <c r="EG46" s="3179">
        <f t="shared" si="790"/>
        <v>34.44</v>
      </c>
      <c r="EH46" s="3179">
        <f t="shared" si="791"/>
        <v>34.245233263980481</v>
      </c>
      <c r="EI46" s="3179">
        <f t="shared" si="792"/>
        <v>0.19476673601952371</v>
      </c>
      <c r="EJ46" s="3148">
        <f t="shared" si="793"/>
        <v>22.800000000000004</v>
      </c>
      <c r="EK46" s="3148">
        <f t="shared" si="794"/>
        <v>22.995000000000005</v>
      </c>
      <c r="EL46" s="3148">
        <f t="shared" si="795"/>
        <v>-0.19500000000000001</v>
      </c>
      <c r="EM46" s="3145">
        <f t="shared" si="796"/>
        <v>3.5933333333333333</v>
      </c>
      <c r="EN46" s="3145">
        <f>SUM('ПОЛНАЯ СЕБЕСТОИМОСТЬ СТОКИ 2019'!BN162/3)</f>
        <v>3.5716666666666668</v>
      </c>
      <c r="EO46" s="3145">
        <f>SUM('ПОЛНАЯ СЕБЕСТОИМОСТЬ СТОКИ 2019'!BO162/3)</f>
        <v>2.1666666666666667E-2</v>
      </c>
      <c r="EP46" s="3145">
        <f t="shared" si="797"/>
        <v>0</v>
      </c>
      <c r="EQ46" s="3145">
        <f>SUM('ПОЛНАЯ СЕБЕСТОИМОСТЬ СТОКИ 2019'!BQ162)</f>
        <v>0</v>
      </c>
      <c r="ER46" s="3145">
        <f>SUM('ПОЛНАЯ СЕБЕСТОИМОСТЬ СТОКИ 2019'!BR162)</f>
        <v>0</v>
      </c>
      <c r="ES46" s="3149">
        <v>0</v>
      </c>
      <c r="ET46" s="3149">
        <f t="shared" si="842"/>
        <v>0</v>
      </c>
      <c r="EU46" s="3149">
        <f>SUM(ES46/ES9*EU9)*0.40579710144</f>
        <v>0</v>
      </c>
      <c r="EV46" s="3145">
        <f t="shared" si="799"/>
        <v>3.5933333333333333</v>
      </c>
      <c r="EW46" s="3145">
        <f t="shared" si="800"/>
        <v>3.5716666666666668</v>
      </c>
      <c r="EX46" s="3145">
        <f t="shared" si="801"/>
        <v>2.1666666666666667E-2</v>
      </c>
      <c r="EY46" s="3145">
        <f t="shared" si="802"/>
        <v>0</v>
      </c>
      <c r="EZ46" s="3145">
        <f>SUM('ПОЛНАЯ СЕБЕСТОИМОСТЬ СТОКИ 2019'!BT162)</f>
        <v>0</v>
      </c>
      <c r="FA46" s="3145">
        <f>SUM('ПОЛНАЯ СЕБЕСТОИМОСТЬ СТОКИ 2019'!BU162)</f>
        <v>0</v>
      </c>
      <c r="FB46" s="3149">
        <v>0</v>
      </c>
      <c r="FC46" s="3149">
        <f t="shared" si="843"/>
        <v>0</v>
      </c>
      <c r="FD46" s="3149">
        <f>SUM(FB46/FB9*FD9)*0.40579710144</f>
        <v>0</v>
      </c>
      <c r="FE46" s="3145">
        <f t="shared" si="804"/>
        <v>3.5933333333333333</v>
      </c>
      <c r="FF46" s="3145">
        <f t="shared" si="805"/>
        <v>3.5716666666666668</v>
      </c>
      <c r="FG46" s="3145">
        <f t="shared" si="806"/>
        <v>2.1666666666666667E-2</v>
      </c>
      <c r="FH46" s="3145">
        <f t="shared" si="807"/>
        <v>0</v>
      </c>
      <c r="FI46" s="3145">
        <f>SUM('ПОЛНАЯ СЕБЕСТОИМОСТЬ СТОКИ 2019'!BW162)</f>
        <v>0</v>
      </c>
      <c r="FJ46" s="3145">
        <f>SUM('ПОЛНАЯ СЕБЕСТОИМОСТЬ СТОКИ 2019'!BX162)</f>
        <v>0</v>
      </c>
      <c r="FK46" s="3149">
        <v>14.12</v>
      </c>
      <c r="FL46" s="3149">
        <f t="shared" si="844"/>
        <v>14.033133392489415</v>
      </c>
      <c r="FM46" s="3149">
        <f>SUM(FK46/FK9*FM9)*0.40579710144</f>
        <v>8.6866607510584712E-2</v>
      </c>
      <c r="FN46" s="3179">
        <f t="shared" si="809"/>
        <v>10.78</v>
      </c>
      <c r="FO46" s="3179">
        <f t="shared" si="810"/>
        <v>10.715</v>
      </c>
      <c r="FP46" s="3179">
        <f t="shared" si="811"/>
        <v>6.5000000000000002E-2</v>
      </c>
      <c r="FQ46" s="3179">
        <f t="shared" si="812"/>
        <v>0</v>
      </c>
      <c r="FR46" s="3179">
        <f t="shared" si="813"/>
        <v>0</v>
      </c>
      <c r="FS46" s="3179">
        <f t="shared" si="814"/>
        <v>0</v>
      </c>
      <c r="FT46" s="3179">
        <f t="shared" si="815"/>
        <v>14.12</v>
      </c>
      <c r="FU46" s="3179">
        <f t="shared" si="816"/>
        <v>14.033133392489415</v>
      </c>
      <c r="FV46" s="3179">
        <f t="shared" si="817"/>
        <v>8.6866607510584712E-2</v>
      </c>
      <c r="FW46" s="3148">
        <f t="shared" si="818"/>
        <v>-10.78</v>
      </c>
      <c r="FX46" s="3148">
        <f t="shared" si="819"/>
        <v>-10.715</v>
      </c>
      <c r="FY46" s="3148">
        <f t="shared" si="820"/>
        <v>-6.5000000000000002E-2</v>
      </c>
      <c r="FZ46" s="3457">
        <f t="shared" si="821"/>
        <v>43.12</v>
      </c>
      <c r="GA46" s="3457">
        <f t="shared" si="822"/>
        <v>42.86</v>
      </c>
      <c r="GB46" s="3457">
        <f t="shared" si="823"/>
        <v>0.26</v>
      </c>
      <c r="GC46" s="3457">
        <f t="shared" si="824"/>
        <v>55.14</v>
      </c>
      <c r="GD46" s="3457">
        <f t="shared" si="825"/>
        <v>55.14</v>
      </c>
      <c r="GE46" s="3457">
        <f t="shared" si="826"/>
        <v>0</v>
      </c>
      <c r="GF46" s="3457">
        <f t="shared" si="827"/>
        <v>48.559999999999995</v>
      </c>
      <c r="GG46" s="3457">
        <f t="shared" si="828"/>
        <v>48.278366656469899</v>
      </c>
      <c r="GH46" s="3457">
        <f t="shared" si="829"/>
        <v>0.28163334353010844</v>
      </c>
      <c r="GI46" s="3246">
        <f t="shared" si="830"/>
        <v>12.020000000000003</v>
      </c>
      <c r="GJ46" s="3246">
        <f t="shared" si="831"/>
        <v>12.280000000000001</v>
      </c>
      <c r="GK46" s="3246">
        <f t="shared" si="832"/>
        <v>-0.26</v>
      </c>
    </row>
    <row r="47" spans="1:193" ht="18.75" customHeight="1" x14ac:dyDescent="0.3">
      <c r="A47" s="3081" t="s">
        <v>535</v>
      </c>
      <c r="B47" s="3145">
        <f t="shared" si="697"/>
        <v>79.008825635000008</v>
      </c>
      <c r="C47" s="3145">
        <f>SUM('ПОЛНАЯ СЕБЕСТОИМОСТЬ СТОКИ 2019'!C163/3)</f>
        <v>78.546633283219037</v>
      </c>
      <c r="D47" s="3145">
        <f>SUM('ПОЛНАЯ СЕБЕСТОИМОСТЬ СТОКИ 2019'!D163/3)</f>
        <v>0.46219235178096807</v>
      </c>
      <c r="E47" s="3145">
        <f t="shared" si="698"/>
        <v>0</v>
      </c>
      <c r="F47" s="3145">
        <f>SUM('ПОЛНАЯ СЕБЕСТОИМОСТЬ СТОКИ 2019'!F163)</f>
        <v>0</v>
      </c>
      <c r="G47" s="3145">
        <f>SUM('ПОЛНАЯ СЕБЕСТОИМОСТЬ СТОКИ 2019'!G163)</f>
        <v>0</v>
      </c>
      <c r="H47" s="3149">
        <v>0</v>
      </c>
      <c r="I47" s="3149">
        <f t="shared" si="833"/>
        <v>0</v>
      </c>
      <c r="J47" s="3149">
        <f>SUM(H47/H9*J9)</f>
        <v>0</v>
      </c>
      <c r="K47" s="3145">
        <f t="shared" si="700"/>
        <v>79.008825635000008</v>
      </c>
      <c r="L47" s="3145">
        <f t="shared" si="701"/>
        <v>78.546633283219037</v>
      </c>
      <c r="M47" s="3145">
        <f t="shared" si="702"/>
        <v>0.46219235178096807</v>
      </c>
      <c r="N47" s="3145">
        <f t="shared" si="703"/>
        <v>0</v>
      </c>
      <c r="O47" s="3145">
        <f>SUM('ПОЛНАЯ СЕБЕСТОИМОСТЬ СТОКИ 2019'!I163)</f>
        <v>0</v>
      </c>
      <c r="P47" s="3145">
        <f>SUM('ПОЛНАЯ СЕБЕСТОИМОСТЬ СТОКИ 2019'!J163)</f>
        <v>0</v>
      </c>
      <c r="Q47" s="3149">
        <v>0</v>
      </c>
      <c r="R47" s="3149">
        <f t="shared" si="834"/>
        <v>0</v>
      </c>
      <c r="S47" s="3149">
        <f>SUM(Q47/Q9*S9)</f>
        <v>0</v>
      </c>
      <c r="T47" s="3145">
        <f t="shared" si="705"/>
        <v>79.008825635000008</v>
      </c>
      <c r="U47" s="3145">
        <f t="shared" si="706"/>
        <v>78.546633283219037</v>
      </c>
      <c r="V47" s="3145">
        <f t="shared" si="707"/>
        <v>0.46219235178096807</v>
      </c>
      <c r="W47" s="3145">
        <f t="shared" si="708"/>
        <v>0</v>
      </c>
      <c r="X47" s="3145">
        <f>SUM('ПОЛНАЯ СЕБЕСТОИМОСТЬ СТОКИ 2019'!L163)</f>
        <v>0</v>
      </c>
      <c r="Y47" s="3145">
        <f>SUM('ПОЛНАЯ СЕБЕСТОИМОСТЬ СТОКИ 2019'!M163)</f>
        <v>0</v>
      </c>
      <c r="Z47" s="3149">
        <v>0</v>
      </c>
      <c r="AA47" s="3149">
        <f t="shared" si="835"/>
        <v>0</v>
      </c>
      <c r="AB47" s="3149">
        <f>SUM(Z47/Z9*AB9)</f>
        <v>0</v>
      </c>
      <c r="AC47" s="3179">
        <f t="shared" si="710"/>
        <v>237.02647690500004</v>
      </c>
      <c r="AD47" s="3179">
        <f t="shared" si="711"/>
        <v>235.63989984965713</v>
      </c>
      <c r="AE47" s="3179">
        <f t="shared" si="712"/>
        <v>1.3865770553429042</v>
      </c>
      <c r="AF47" s="3179">
        <f t="shared" si="713"/>
        <v>0</v>
      </c>
      <c r="AG47" s="3179">
        <f t="shared" si="714"/>
        <v>0</v>
      </c>
      <c r="AH47" s="3179">
        <f t="shared" si="715"/>
        <v>0</v>
      </c>
      <c r="AI47" s="3179">
        <f t="shared" si="716"/>
        <v>0</v>
      </c>
      <c r="AJ47" s="3179">
        <f t="shared" si="717"/>
        <v>0</v>
      </c>
      <c r="AK47" s="3179">
        <f t="shared" si="718"/>
        <v>0</v>
      </c>
      <c r="AL47" s="3148">
        <f t="shared" si="719"/>
        <v>-237.02647690500004</v>
      </c>
      <c r="AM47" s="3148">
        <f t="shared" si="720"/>
        <v>-235.63989984965713</v>
      </c>
      <c r="AN47" s="3148">
        <f t="shared" si="721"/>
        <v>-1.3865770553429042</v>
      </c>
      <c r="AO47" s="3145">
        <f t="shared" si="722"/>
        <v>79.008825635000008</v>
      </c>
      <c r="AP47" s="3145">
        <f>SUM('ПОЛНАЯ СЕБЕСТОИМОСТЬ СТОКИ 2019'!R163/3)</f>
        <v>78.546633283219037</v>
      </c>
      <c r="AQ47" s="3145">
        <f>SUM('ПОЛНАЯ СЕБЕСТОИМОСТЬ СТОКИ 2019'!S163/3)</f>
        <v>0.46219235178096807</v>
      </c>
      <c r="AR47" s="3145">
        <f t="shared" si="723"/>
        <v>0</v>
      </c>
      <c r="AS47" s="3145">
        <f>SUM('ПОЛНАЯ СЕБЕСТОИМОСТЬ СТОКИ 2019'!U163)</f>
        <v>0</v>
      </c>
      <c r="AT47" s="3145">
        <f>SUM('ПОЛНАЯ СЕБЕСТОИМОСТЬ СТОКИ 2019'!V163)</f>
        <v>0</v>
      </c>
      <c r="AU47" s="3149">
        <v>0</v>
      </c>
      <c r="AV47" s="3149">
        <f t="shared" si="836"/>
        <v>0</v>
      </c>
      <c r="AW47" s="3149">
        <f>SUM(AU47/AU9*AW9)</f>
        <v>0</v>
      </c>
      <c r="AX47" s="3145">
        <f t="shared" si="725"/>
        <v>79.008825635000008</v>
      </c>
      <c r="AY47" s="3145">
        <f t="shared" si="726"/>
        <v>78.546633283219037</v>
      </c>
      <c r="AZ47" s="3145">
        <f t="shared" si="727"/>
        <v>0.46219235178096807</v>
      </c>
      <c r="BA47" s="3276">
        <f t="shared" si="728"/>
        <v>0</v>
      </c>
      <c r="BB47" s="3276">
        <f>SUM('ПОЛНАЯ СЕБЕСТОИМОСТЬ СТОКИ 2019'!X163)</f>
        <v>0</v>
      </c>
      <c r="BC47" s="3276">
        <f>SUM('ПОЛНАЯ СЕБЕСТОИМОСТЬ СТОКИ 2019'!Y163)</f>
        <v>0</v>
      </c>
      <c r="BD47" s="3149">
        <v>0</v>
      </c>
      <c r="BE47" s="3149">
        <f t="shared" si="837"/>
        <v>0</v>
      </c>
      <c r="BF47" s="3149">
        <f>SUM(BD47/BD9*BF9)</f>
        <v>0</v>
      </c>
      <c r="BG47" s="3145">
        <f t="shared" si="730"/>
        <v>79.008825635000008</v>
      </c>
      <c r="BH47" s="3145">
        <f t="shared" si="731"/>
        <v>78.546633283219037</v>
      </c>
      <c r="BI47" s="3145">
        <f t="shared" si="732"/>
        <v>0.46219235178096807</v>
      </c>
      <c r="BJ47" s="3145">
        <f t="shared" si="733"/>
        <v>0</v>
      </c>
      <c r="BK47" s="3145">
        <f>SUM('ПОЛНАЯ СЕБЕСТОИМОСТЬ СТОКИ 2019'!AA163)</f>
        <v>0</v>
      </c>
      <c r="BL47" s="3145">
        <f>SUM('ПОЛНАЯ СЕБЕСТОИМОСТЬ СТОКИ 2019'!AB163)</f>
        <v>0</v>
      </c>
      <c r="BM47" s="3149">
        <v>0</v>
      </c>
      <c r="BN47" s="3149">
        <f t="shared" si="838"/>
        <v>0</v>
      </c>
      <c r="BO47" s="3149">
        <f>SUM(BM47/BM9*BO9)</f>
        <v>0</v>
      </c>
      <c r="BP47" s="3179">
        <f t="shared" si="735"/>
        <v>237.02647690500004</v>
      </c>
      <c r="BQ47" s="3179">
        <f t="shared" si="736"/>
        <v>235.63989984965713</v>
      </c>
      <c r="BR47" s="3179">
        <f t="shared" si="737"/>
        <v>1.3865770553429042</v>
      </c>
      <c r="BS47" s="3179">
        <f t="shared" si="738"/>
        <v>0</v>
      </c>
      <c r="BT47" s="3179">
        <f t="shared" si="739"/>
        <v>0</v>
      </c>
      <c r="BU47" s="3179">
        <f t="shared" si="740"/>
        <v>0</v>
      </c>
      <c r="BV47" s="3179">
        <f t="shared" si="741"/>
        <v>0</v>
      </c>
      <c r="BW47" s="3179">
        <f t="shared" si="742"/>
        <v>0</v>
      </c>
      <c r="BX47" s="3179">
        <f t="shared" si="743"/>
        <v>0</v>
      </c>
      <c r="BY47" s="3148">
        <f t="shared" si="744"/>
        <v>-237.02647690500004</v>
      </c>
      <c r="BZ47" s="3148">
        <f t="shared" si="745"/>
        <v>-235.63989984965713</v>
      </c>
      <c r="CA47" s="3148">
        <f t="shared" si="746"/>
        <v>-1.3865770553429042</v>
      </c>
      <c r="CB47" s="3179">
        <f t="shared" si="747"/>
        <v>474.05295381000008</v>
      </c>
      <c r="CC47" s="3179">
        <f t="shared" si="748"/>
        <v>471.27979969931425</v>
      </c>
      <c r="CD47" s="3179">
        <f t="shared" si="749"/>
        <v>2.7731541106858084</v>
      </c>
      <c r="CE47" s="3179">
        <f t="shared" si="750"/>
        <v>0</v>
      </c>
      <c r="CF47" s="3179">
        <f t="shared" si="751"/>
        <v>0</v>
      </c>
      <c r="CG47" s="3179">
        <f t="shared" si="752"/>
        <v>0</v>
      </c>
      <c r="CH47" s="3456">
        <f t="shared" si="753"/>
        <v>0</v>
      </c>
      <c r="CI47" s="3456">
        <f t="shared" si="754"/>
        <v>0</v>
      </c>
      <c r="CJ47" s="3456">
        <f t="shared" si="755"/>
        <v>0</v>
      </c>
      <c r="CK47" s="3148">
        <f t="shared" si="756"/>
        <v>-474.05295381000008</v>
      </c>
      <c r="CL47" s="3148">
        <f t="shared" si="757"/>
        <v>-471.27979969931425</v>
      </c>
      <c r="CM47" s="3148">
        <f t="shared" si="758"/>
        <v>-2.7731541106858084</v>
      </c>
      <c r="CN47" s="3145">
        <f t="shared" si="759"/>
        <v>79.008825635000008</v>
      </c>
      <c r="CO47" s="3145">
        <f>SUM('ПОЛНАЯ СЕБЕСТОИМОСТЬ СТОКИ 2019'!AP163/3)</f>
        <v>78.546633283219037</v>
      </c>
      <c r="CP47" s="3145">
        <f>SUM('ПОЛНАЯ СЕБЕСТОИМОСТЬ СТОКИ 2019'!AQ163/3)</f>
        <v>0.46219235178096807</v>
      </c>
      <c r="CQ47" s="3145">
        <f t="shared" si="760"/>
        <v>0</v>
      </c>
      <c r="CR47" s="3145">
        <f>SUM('ПОЛНАЯ СЕБЕСТОИМОСТЬ СТОКИ 2019'!AS163)</f>
        <v>0</v>
      </c>
      <c r="CS47" s="3145">
        <f>SUM('ПОЛНАЯ СЕБЕСТОИМОСТЬ СТОКИ 2019'!AT163)</f>
        <v>0</v>
      </c>
      <c r="CT47" s="3149">
        <v>0</v>
      </c>
      <c r="CU47" s="3149">
        <f t="shared" si="839"/>
        <v>0</v>
      </c>
      <c r="CV47" s="3149">
        <f>SUM(CT47/CT9*CV9)</f>
        <v>0</v>
      </c>
      <c r="CW47" s="3145">
        <f t="shared" si="762"/>
        <v>79.008825635000008</v>
      </c>
      <c r="CX47" s="3145">
        <f t="shared" si="763"/>
        <v>78.546633283219037</v>
      </c>
      <c r="CY47" s="3145">
        <f t="shared" si="764"/>
        <v>0.46219235178096807</v>
      </c>
      <c r="CZ47" s="3145">
        <f t="shared" si="765"/>
        <v>0</v>
      </c>
      <c r="DA47" s="3145">
        <f>SUM('ПОЛНАЯ СЕБЕСТОИМОСТЬ СТОКИ 2019'!AV163)</f>
        <v>0</v>
      </c>
      <c r="DB47" s="3145">
        <f>SUM('ПОЛНАЯ СЕБЕСТОИМОСТЬ СТОКИ 2019'!AW163)</f>
        <v>0</v>
      </c>
      <c r="DC47" s="3149">
        <v>0</v>
      </c>
      <c r="DD47" s="3149">
        <f t="shared" si="840"/>
        <v>0</v>
      </c>
      <c r="DE47" s="3149">
        <f>SUM(DC47/DC9*DE9)</f>
        <v>0</v>
      </c>
      <c r="DF47" s="3145">
        <f t="shared" si="767"/>
        <v>79.008825635000008</v>
      </c>
      <c r="DG47" s="3145">
        <f t="shared" si="768"/>
        <v>78.546633283219037</v>
      </c>
      <c r="DH47" s="3145">
        <f t="shared" si="769"/>
        <v>0.46219235178096807</v>
      </c>
      <c r="DI47" s="3145">
        <f t="shared" si="770"/>
        <v>0</v>
      </c>
      <c r="DJ47" s="3145">
        <f>SUM('ПОЛНАЯ СЕБЕСТОИМОСТЬ СТОКИ 2019'!AY163)</f>
        <v>0</v>
      </c>
      <c r="DK47" s="3145">
        <f>SUM('ПОЛНАЯ СЕБЕСТОИМОСТЬ СТОКИ 2019'!AZ163)</f>
        <v>0</v>
      </c>
      <c r="DL47" s="3149">
        <v>0</v>
      </c>
      <c r="DM47" s="3149">
        <f t="shared" si="841"/>
        <v>0</v>
      </c>
      <c r="DN47" s="3149">
        <f>SUM(DL47/DL9*DN9)</f>
        <v>0</v>
      </c>
      <c r="DO47" s="3179">
        <f t="shared" si="772"/>
        <v>237.02647690500004</v>
      </c>
      <c r="DP47" s="3179">
        <f t="shared" si="773"/>
        <v>235.63989984965713</v>
      </c>
      <c r="DQ47" s="3179">
        <f t="shared" si="774"/>
        <v>1.3865770553429042</v>
      </c>
      <c r="DR47" s="3179">
        <f t="shared" si="775"/>
        <v>0</v>
      </c>
      <c r="DS47" s="3179">
        <f t="shared" si="776"/>
        <v>0</v>
      </c>
      <c r="DT47" s="3179">
        <f t="shared" si="777"/>
        <v>0</v>
      </c>
      <c r="DU47" s="3179">
        <f t="shared" si="778"/>
        <v>0</v>
      </c>
      <c r="DV47" s="3179">
        <f t="shared" si="779"/>
        <v>0</v>
      </c>
      <c r="DW47" s="3179">
        <f t="shared" si="780"/>
        <v>0</v>
      </c>
      <c r="DX47" s="3148">
        <f t="shared" si="781"/>
        <v>-237.02647690500004</v>
      </c>
      <c r="DY47" s="3148">
        <f t="shared" si="782"/>
        <v>-235.63989984965713</v>
      </c>
      <c r="DZ47" s="3148">
        <f t="shared" si="783"/>
        <v>-1.3865770553429042</v>
      </c>
      <c r="EA47" s="3179">
        <f t="shared" si="784"/>
        <v>711.07943071500017</v>
      </c>
      <c r="EB47" s="3179">
        <f t="shared" si="785"/>
        <v>706.91969954897138</v>
      </c>
      <c r="EC47" s="3179">
        <f t="shared" si="786"/>
        <v>4.1597311660287124</v>
      </c>
      <c r="ED47" s="3179">
        <f t="shared" si="787"/>
        <v>0</v>
      </c>
      <c r="EE47" s="3179">
        <f t="shared" si="788"/>
        <v>0</v>
      </c>
      <c r="EF47" s="3179">
        <f t="shared" si="789"/>
        <v>0</v>
      </c>
      <c r="EG47" s="3179">
        <f t="shared" si="790"/>
        <v>0</v>
      </c>
      <c r="EH47" s="3179">
        <f t="shared" si="791"/>
        <v>0</v>
      </c>
      <c r="EI47" s="3179">
        <f t="shared" si="792"/>
        <v>0</v>
      </c>
      <c r="EJ47" s="3148">
        <f t="shared" si="793"/>
        <v>-711.07943071500017</v>
      </c>
      <c r="EK47" s="3148">
        <f t="shared" si="794"/>
        <v>-706.91969954897138</v>
      </c>
      <c r="EL47" s="3148">
        <f t="shared" si="795"/>
        <v>-4.1597311660287124</v>
      </c>
      <c r="EM47" s="3145">
        <f t="shared" si="796"/>
        <v>79.008825635000008</v>
      </c>
      <c r="EN47" s="3145">
        <f>SUM('ПОЛНАЯ СЕБЕСТОИМОСТЬ СТОКИ 2019'!BN163/3)</f>
        <v>78.546633283219037</v>
      </c>
      <c r="EO47" s="3145">
        <f>SUM('ПОЛНАЯ СЕБЕСТОИМОСТЬ СТОКИ 2019'!BO163/3)</f>
        <v>0.46219235178096807</v>
      </c>
      <c r="EP47" s="3145">
        <f t="shared" si="797"/>
        <v>0</v>
      </c>
      <c r="EQ47" s="3145">
        <f>SUM('ПОЛНАЯ СЕБЕСТОИМОСТЬ СТОКИ 2019'!BQ163)</f>
        <v>0</v>
      </c>
      <c r="ER47" s="3145">
        <f>SUM('ПОЛНАЯ СЕБЕСТОИМОСТЬ СТОКИ 2019'!BR163)</f>
        <v>0</v>
      </c>
      <c r="ES47" s="3149">
        <v>0</v>
      </c>
      <c r="ET47" s="3149">
        <f t="shared" si="842"/>
        <v>0</v>
      </c>
      <c r="EU47" s="3149">
        <f>SUM(ES47/ES9*EU9)</f>
        <v>0</v>
      </c>
      <c r="EV47" s="3145">
        <f t="shared" si="799"/>
        <v>79.008825635000008</v>
      </c>
      <c r="EW47" s="3145">
        <f t="shared" si="800"/>
        <v>78.546633283219037</v>
      </c>
      <c r="EX47" s="3145">
        <f t="shared" si="801"/>
        <v>0.46219235178096807</v>
      </c>
      <c r="EY47" s="3145">
        <f t="shared" si="802"/>
        <v>0</v>
      </c>
      <c r="EZ47" s="3145">
        <f>SUM('ПОЛНАЯ СЕБЕСТОИМОСТЬ СТОКИ 2019'!BT163)</f>
        <v>0</v>
      </c>
      <c r="FA47" s="3145">
        <f>SUM('ПОЛНАЯ СЕБЕСТОИМОСТЬ СТОКИ 2019'!BU163)</f>
        <v>0</v>
      </c>
      <c r="FB47" s="3149">
        <v>0</v>
      </c>
      <c r="FC47" s="3149">
        <f t="shared" si="843"/>
        <v>0</v>
      </c>
      <c r="FD47" s="3149">
        <f>SUM(FB47/FB9*FD9)</f>
        <v>0</v>
      </c>
      <c r="FE47" s="3145">
        <f t="shared" si="804"/>
        <v>79.008825635000008</v>
      </c>
      <c r="FF47" s="3145">
        <f t="shared" si="805"/>
        <v>78.546633283219037</v>
      </c>
      <c r="FG47" s="3145">
        <f t="shared" si="806"/>
        <v>0.46219235178096807</v>
      </c>
      <c r="FH47" s="3145">
        <f t="shared" si="807"/>
        <v>0</v>
      </c>
      <c r="FI47" s="3145">
        <f>SUM('ПОЛНАЯ СЕБЕСТОИМОСТЬ СТОКИ 2019'!BW163)</f>
        <v>0</v>
      </c>
      <c r="FJ47" s="3145">
        <f>SUM('ПОЛНАЯ СЕБЕСТОИМОСТЬ СТОКИ 2019'!BX163)</f>
        <v>0</v>
      </c>
      <c r="FK47" s="3149">
        <v>0</v>
      </c>
      <c r="FL47" s="3149">
        <f t="shared" si="844"/>
        <v>0</v>
      </c>
      <c r="FM47" s="3149">
        <f>SUM(FK47/FK9*FM9)</f>
        <v>0</v>
      </c>
      <c r="FN47" s="3179">
        <f t="shared" si="809"/>
        <v>237.02647690500004</v>
      </c>
      <c r="FO47" s="3179">
        <f t="shared" si="810"/>
        <v>235.63989984965713</v>
      </c>
      <c r="FP47" s="3179">
        <f t="shared" si="811"/>
        <v>1.3865770553429042</v>
      </c>
      <c r="FQ47" s="3179">
        <f t="shared" si="812"/>
        <v>0</v>
      </c>
      <c r="FR47" s="3179">
        <f t="shared" si="813"/>
        <v>0</v>
      </c>
      <c r="FS47" s="3179">
        <f t="shared" si="814"/>
        <v>0</v>
      </c>
      <c r="FT47" s="3179">
        <f t="shared" si="815"/>
        <v>0</v>
      </c>
      <c r="FU47" s="3179">
        <f t="shared" si="816"/>
        <v>0</v>
      </c>
      <c r="FV47" s="3179">
        <f t="shared" si="817"/>
        <v>0</v>
      </c>
      <c r="FW47" s="3148">
        <f t="shared" si="818"/>
        <v>-237.02647690500004</v>
      </c>
      <c r="FX47" s="3148">
        <f t="shared" si="819"/>
        <v>-235.63989984965713</v>
      </c>
      <c r="FY47" s="3148">
        <f t="shared" si="820"/>
        <v>-1.3865770553429042</v>
      </c>
      <c r="FZ47" s="3457">
        <f t="shared" si="821"/>
        <v>948.10590762000015</v>
      </c>
      <c r="GA47" s="3457">
        <f t="shared" si="822"/>
        <v>942.55959939862851</v>
      </c>
      <c r="GB47" s="3457">
        <f t="shared" si="823"/>
        <v>5.5463082213716168</v>
      </c>
      <c r="GC47" s="3457">
        <f t="shared" si="824"/>
        <v>0</v>
      </c>
      <c r="GD47" s="3457">
        <f t="shared" si="825"/>
        <v>0</v>
      </c>
      <c r="GE47" s="3457">
        <f t="shared" si="826"/>
        <v>0</v>
      </c>
      <c r="GF47" s="3457">
        <f t="shared" si="827"/>
        <v>0</v>
      </c>
      <c r="GG47" s="3457">
        <f t="shared" si="828"/>
        <v>0</v>
      </c>
      <c r="GH47" s="3457">
        <f t="shared" si="829"/>
        <v>0</v>
      </c>
      <c r="GI47" s="3246">
        <f t="shared" si="830"/>
        <v>-948.10590762000015</v>
      </c>
      <c r="GJ47" s="3246">
        <f t="shared" si="831"/>
        <v>-942.55959939862851</v>
      </c>
      <c r="GK47" s="3246">
        <f t="shared" si="832"/>
        <v>-5.5463082213716168</v>
      </c>
    </row>
    <row r="48" spans="1:193" ht="18.75" customHeight="1" x14ac:dyDescent="0.3">
      <c r="A48" s="3172" t="s">
        <v>3618</v>
      </c>
      <c r="B48" s="3136">
        <f t="shared" si="697"/>
        <v>1211.8936833333335</v>
      </c>
      <c r="C48" s="3136">
        <f>SUM('ПОЛНАЯ СЕБЕСТОИМОСТЬ СТОКИ 2019'!C164/3)</f>
        <v>1211.7779976168274</v>
      </c>
      <c r="D48" s="3136">
        <f>SUM('ПОЛНАЯ СЕБЕСТОИМОСТЬ СТОКИ 2019'!D164/3)</f>
        <v>0.11568571650609301</v>
      </c>
      <c r="E48" s="3136">
        <f t="shared" si="698"/>
        <v>884.22900000000004</v>
      </c>
      <c r="F48" s="3136">
        <f>SUM('ПОЛНАЯ СЕБЕСТОИМОСТЬ СТОКИ 2019'!F164)</f>
        <v>881.76</v>
      </c>
      <c r="G48" s="3136">
        <f>SUM('ПОЛНАЯ СЕБЕСТОИМОСТЬ СТОКИ 2019'!G164)</f>
        <v>2.4689999999999994</v>
      </c>
      <c r="H48" s="3144">
        <f>SUM(H49:H56)</f>
        <v>794.07</v>
      </c>
      <c r="I48" s="3144">
        <f t="shared" ref="I48:J48" si="857">SUM(I49:I56)</f>
        <v>793.42173859836828</v>
      </c>
      <c r="J48" s="3144">
        <f t="shared" si="857"/>
        <v>0.64826140163175916</v>
      </c>
      <c r="K48" s="3136">
        <f t="shared" si="700"/>
        <v>1211.8936833333335</v>
      </c>
      <c r="L48" s="3136">
        <f t="shared" si="701"/>
        <v>1211.7779976168274</v>
      </c>
      <c r="M48" s="3136">
        <f t="shared" si="702"/>
        <v>0.11568571650609301</v>
      </c>
      <c r="N48" s="3136">
        <f t="shared" si="703"/>
        <v>795.31700000000001</v>
      </c>
      <c r="O48" s="3136">
        <f>SUM('ПОЛНАЯ СЕБЕСТОИМОСТЬ СТОКИ 2019'!I164)</f>
        <v>793.01</v>
      </c>
      <c r="P48" s="3136">
        <f>SUM('ПОЛНАЯ СЕБЕСТОИМОСТЬ СТОКИ 2019'!J164)</f>
        <v>2.3069999999999995</v>
      </c>
      <c r="Q48" s="3144">
        <f>SUM(Q49:Q54)</f>
        <v>780.13000000000011</v>
      </c>
      <c r="R48" s="3144">
        <f t="shared" ref="R48:S48" si="858">SUM(R49:R56)</f>
        <v>779.60814392124826</v>
      </c>
      <c r="S48" s="3144">
        <f t="shared" si="858"/>
        <v>0.52185607875182294</v>
      </c>
      <c r="T48" s="3136">
        <f t="shared" si="705"/>
        <v>1211.8936833333335</v>
      </c>
      <c r="U48" s="3136">
        <f t="shared" si="706"/>
        <v>1211.7779976168274</v>
      </c>
      <c r="V48" s="3136">
        <f t="shared" si="707"/>
        <v>0.11568571650609301</v>
      </c>
      <c r="W48" s="3136">
        <f t="shared" si="708"/>
        <v>823.30099999999993</v>
      </c>
      <c r="X48" s="3136">
        <f>SUM('ПОЛНАЯ СЕБЕСТОИМОСТЬ СТОКИ 2019'!L164)</f>
        <v>821.18</v>
      </c>
      <c r="Y48" s="3136">
        <f>SUM('ПОЛНАЯ СЕБЕСТОИМОСТЬ СТОКИ 2019'!M164)</f>
        <v>2.121</v>
      </c>
      <c r="Z48" s="3144">
        <f>SUM(Z49:Z54)</f>
        <v>1129.47</v>
      </c>
      <c r="AA48" s="3144">
        <f t="shared" ref="AA48:AB48" si="859">SUM(AA49:AA56)</f>
        <v>1115.2956555385356</v>
      </c>
      <c r="AB48" s="3144">
        <f t="shared" si="859"/>
        <v>14.174344461464262</v>
      </c>
      <c r="AC48" s="3180">
        <f t="shared" si="710"/>
        <v>3635.6810500000001</v>
      </c>
      <c r="AD48" s="3180">
        <f t="shared" si="711"/>
        <v>3635.333992850482</v>
      </c>
      <c r="AE48" s="3180">
        <f t="shared" si="712"/>
        <v>0.34705714951827904</v>
      </c>
      <c r="AF48" s="3180">
        <f t="shared" si="713"/>
        <v>2502.8469999999998</v>
      </c>
      <c r="AG48" s="3180">
        <f t="shared" si="714"/>
        <v>2495.9499999999998</v>
      </c>
      <c r="AH48" s="3180">
        <f t="shared" si="715"/>
        <v>6.8969999999999985</v>
      </c>
      <c r="AI48" s="3180">
        <f t="shared" si="716"/>
        <v>2703.67</v>
      </c>
      <c r="AJ48" s="3180">
        <f t="shared" si="717"/>
        <v>2688.3255380581522</v>
      </c>
      <c r="AK48" s="3180">
        <f t="shared" si="718"/>
        <v>15.344461941847843</v>
      </c>
      <c r="AL48" s="3143">
        <f t="shared" si="719"/>
        <v>-1132.8340500000004</v>
      </c>
      <c r="AM48" s="3143">
        <f t="shared" si="720"/>
        <v>-1139.3839928504822</v>
      </c>
      <c r="AN48" s="3143">
        <f t="shared" si="721"/>
        <v>6.5499428504817194</v>
      </c>
      <c r="AO48" s="3136">
        <f t="shared" si="722"/>
        <v>1211.8936833333335</v>
      </c>
      <c r="AP48" s="3136">
        <f>SUM('ПОЛНАЯ СЕБЕСТОИМОСТЬ СТОКИ 2019'!R164/3)</f>
        <v>1211.7779976168274</v>
      </c>
      <c r="AQ48" s="3136">
        <f>SUM('ПОЛНАЯ СЕБЕСТОИМОСТЬ СТОКИ 2019'!S164/3)</f>
        <v>0.11568571650609301</v>
      </c>
      <c r="AR48" s="3136">
        <f t="shared" si="723"/>
        <v>946.29200000000003</v>
      </c>
      <c r="AS48" s="3136">
        <f>SUM('ПОЛНАЯ СЕБЕСТОИМОСТЬ СТОКИ 2019'!U164)</f>
        <v>944</v>
      </c>
      <c r="AT48" s="3136">
        <f>SUM('ПОЛНАЯ СЕБЕСТОИМОСТЬ СТОКИ 2019'!V164)</f>
        <v>2.2919999999999998</v>
      </c>
      <c r="AU48" s="3144">
        <f>SUM(AU49:AU54)</f>
        <v>833.22</v>
      </c>
      <c r="AV48" s="3144">
        <f t="shared" ref="AV48:AW48" si="860">SUM(AV49:AV56)</f>
        <v>832.49389522128104</v>
      </c>
      <c r="AW48" s="3144">
        <f t="shared" si="860"/>
        <v>0.72610477871895096</v>
      </c>
      <c r="AX48" s="3136">
        <f t="shared" si="725"/>
        <v>1211.8936833333335</v>
      </c>
      <c r="AY48" s="3136">
        <f t="shared" si="726"/>
        <v>1211.7779976168274</v>
      </c>
      <c r="AZ48" s="3136">
        <f t="shared" si="727"/>
        <v>0.11568571650609301</v>
      </c>
      <c r="BA48" s="3277">
        <f t="shared" si="728"/>
        <v>895.27300000000002</v>
      </c>
      <c r="BB48" s="3277">
        <f>SUM('ПОЛНАЯ СЕБЕСТОИМОСТЬ СТОКИ 2019'!X164)</f>
        <v>892.73</v>
      </c>
      <c r="BC48" s="3277">
        <f>SUM('ПОЛНАЯ СЕБЕСТОИМОСТЬ СТОКИ 2019'!Y164)</f>
        <v>2.5429999999999997</v>
      </c>
      <c r="BD48" s="3144">
        <f>SUM(BD49:BD54)</f>
        <v>734.42000000000007</v>
      </c>
      <c r="BE48" s="3144">
        <f t="shared" ref="BE48:BF48" si="861">SUM(BE49:BE56)</f>
        <v>732.87643875097456</v>
      </c>
      <c r="BF48" s="3144">
        <f t="shared" si="861"/>
        <v>1.5435612490256114</v>
      </c>
      <c r="BG48" s="3136">
        <f t="shared" si="730"/>
        <v>1211.8936833333335</v>
      </c>
      <c r="BH48" s="3136">
        <f t="shared" si="731"/>
        <v>1211.7779976168274</v>
      </c>
      <c r="BI48" s="3136">
        <f t="shared" si="732"/>
        <v>0.11568571650609301</v>
      </c>
      <c r="BJ48" s="3136">
        <f t="shared" si="733"/>
        <v>867.40499999999997</v>
      </c>
      <c r="BK48" s="3136">
        <f>SUM('ПОЛНАЯ СЕБЕСТОИМОСТЬ СТОКИ 2019'!AA164)</f>
        <v>862.54</v>
      </c>
      <c r="BL48" s="3136">
        <f>SUM('ПОЛНАЯ СЕБЕСТОИМОСТЬ СТОКИ 2019'!AB164)</f>
        <v>4.8650000000000002</v>
      </c>
      <c r="BM48" s="3144">
        <f>SUM(BM49:BM54)</f>
        <v>880.43000000000006</v>
      </c>
      <c r="BN48" s="3144">
        <f t="shared" ref="BN48:BO48" si="862">SUM(BN49:BN56)</f>
        <v>869.46245794096683</v>
      </c>
      <c r="BO48" s="3144">
        <f t="shared" si="862"/>
        <v>10.967542059033125</v>
      </c>
      <c r="BP48" s="3180">
        <f t="shared" si="735"/>
        <v>3635.6810500000001</v>
      </c>
      <c r="BQ48" s="3180">
        <f t="shared" si="736"/>
        <v>3635.333992850482</v>
      </c>
      <c r="BR48" s="3180">
        <f t="shared" si="737"/>
        <v>0.34705714951827904</v>
      </c>
      <c r="BS48" s="3180">
        <f t="shared" si="738"/>
        <v>2708.9700000000003</v>
      </c>
      <c r="BT48" s="3180">
        <f t="shared" si="739"/>
        <v>2699.27</v>
      </c>
      <c r="BU48" s="3180">
        <f t="shared" si="740"/>
        <v>9.6999999999999993</v>
      </c>
      <c r="BV48" s="3180">
        <f t="shared" si="741"/>
        <v>2448.0700000000002</v>
      </c>
      <c r="BW48" s="3180">
        <f t="shared" si="742"/>
        <v>2434.8327919132225</v>
      </c>
      <c r="BX48" s="3180">
        <f t="shared" si="743"/>
        <v>13.237208086777688</v>
      </c>
      <c r="BY48" s="3143">
        <f t="shared" si="744"/>
        <v>-926.71104999999989</v>
      </c>
      <c r="BZ48" s="3143">
        <f t="shared" si="745"/>
        <v>-936.06399285048201</v>
      </c>
      <c r="CA48" s="3143">
        <f t="shared" si="746"/>
        <v>9.3529428504817211</v>
      </c>
      <c r="CB48" s="3180">
        <f t="shared" si="747"/>
        <v>7271.3621000000003</v>
      </c>
      <c r="CC48" s="3180">
        <f t="shared" si="748"/>
        <v>7270.667985700964</v>
      </c>
      <c r="CD48" s="3180">
        <f t="shared" si="749"/>
        <v>0.69411429903655808</v>
      </c>
      <c r="CE48" s="3180">
        <f t="shared" si="750"/>
        <v>5211.817</v>
      </c>
      <c r="CF48" s="3180">
        <f t="shared" si="751"/>
        <v>5195.2199999999993</v>
      </c>
      <c r="CG48" s="3180">
        <f t="shared" si="752"/>
        <v>16.596999999999998</v>
      </c>
      <c r="CH48" s="3198">
        <f t="shared" si="753"/>
        <v>5151.74</v>
      </c>
      <c r="CI48" s="3198">
        <f t="shared" si="754"/>
        <v>5123.1583299713748</v>
      </c>
      <c r="CJ48" s="3198">
        <f t="shared" si="755"/>
        <v>28.581670028625531</v>
      </c>
      <c r="CK48" s="3143">
        <f t="shared" si="756"/>
        <v>-2059.5451000000003</v>
      </c>
      <c r="CL48" s="3143">
        <f t="shared" si="757"/>
        <v>-2075.4479857009646</v>
      </c>
      <c r="CM48" s="3143">
        <f t="shared" si="758"/>
        <v>15.90288570096344</v>
      </c>
      <c r="CN48" s="3136">
        <f t="shared" si="759"/>
        <v>1211.8936833333335</v>
      </c>
      <c r="CO48" s="3136">
        <f>SUM('ПОЛНАЯ СЕБЕСТОИМОСТЬ СТОКИ 2019'!AP164/3)</f>
        <v>1211.7779976168274</v>
      </c>
      <c r="CP48" s="3136">
        <f>SUM('ПОЛНАЯ СЕБЕСТОИМОСТЬ СТОКИ 2019'!AQ164/3)</f>
        <v>0.11568571650609301</v>
      </c>
      <c r="CQ48" s="3136">
        <f t="shared" si="760"/>
        <v>876.82700000000011</v>
      </c>
      <c r="CR48" s="3136">
        <f>SUM('ПОЛНАЯ СЕБЕСТОИМОСТЬ СТОКИ 2019'!AS164)</f>
        <v>876.43000000000006</v>
      </c>
      <c r="CS48" s="3136">
        <f>SUM('ПОЛНАЯ СЕБЕСТОИМОСТЬ СТОКИ 2019'!AT164)</f>
        <v>0.39700000000000002</v>
      </c>
      <c r="CT48" s="3144">
        <f>SUM(CT49:CT54)</f>
        <v>791.89</v>
      </c>
      <c r="CU48" s="3144">
        <f t="shared" ref="CU48:CV48" si="863">SUM(CU49:CU56)</f>
        <v>790.86476068497063</v>
      </c>
      <c r="CV48" s="3144">
        <f t="shared" si="863"/>
        <v>1.0252393150294909</v>
      </c>
      <c r="CW48" s="3136">
        <f t="shared" si="762"/>
        <v>1211.8936833333335</v>
      </c>
      <c r="CX48" s="3136">
        <f t="shared" si="763"/>
        <v>1211.7779976168274</v>
      </c>
      <c r="CY48" s="3136">
        <f t="shared" si="764"/>
        <v>0.11568571650609301</v>
      </c>
      <c r="CZ48" s="3136">
        <f t="shared" si="765"/>
        <v>815.60299999999995</v>
      </c>
      <c r="DA48" s="3136">
        <f>SUM('ПОЛНАЯ СЕБЕСТОИМОСТЬ СТОКИ 2019'!AV164)</f>
        <v>813.33999999999992</v>
      </c>
      <c r="DB48" s="3136">
        <f>SUM('ПОЛНАЯ СЕБЕСТОИМОСТЬ СТОКИ 2019'!AW164)</f>
        <v>2.2629999999999999</v>
      </c>
      <c r="DC48" s="3144">
        <f>SUM(DC49:DC54)</f>
        <v>898.47</v>
      </c>
      <c r="DD48" s="3144">
        <f t="shared" ref="DD48:DE48" si="864">SUM(DD49:DD56)</f>
        <v>896.80530658406201</v>
      </c>
      <c r="DE48" s="3144">
        <f t="shared" si="864"/>
        <v>1.6646934159380944</v>
      </c>
      <c r="DF48" s="3136">
        <f t="shared" si="767"/>
        <v>1211.8936833333335</v>
      </c>
      <c r="DG48" s="3136">
        <f t="shared" si="768"/>
        <v>1211.7779976168274</v>
      </c>
      <c r="DH48" s="3136">
        <f t="shared" si="769"/>
        <v>0.11568571650609301</v>
      </c>
      <c r="DI48" s="3136">
        <f t="shared" si="770"/>
        <v>802.7829999999999</v>
      </c>
      <c r="DJ48" s="3136">
        <f>SUM('ПОЛНАЯ СЕБЕСТОИМОСТЬ СТОКИ 2019'!AY164)</f>
        <v>800.57999999999993</v>
      </c>
      <c r="DK48" s="3136">
        <f>SUM('ПОЛНАЯ СЕБЕСТОИМОСТЬ СТОКИ 2019'!AZ164)</f>
        <v>2.2029999999999998</v>
      </c>
      <c r="DL48" s="3144">
        <f>SUM(DL49:DL54)</f>
        <v>880.03000000000009</v>
      </c>
      <c r="DM48" s="3144">
        <f t="shared" ref="DM48:DN48" si="865">SUM(DM49:DM56)</f>
        <v>868.4856096286909</v>
      </c>
      <c r="DN48" s="3144">
        <f t="shared" si="865"/>
        <v>11.544390371308975</v>
      </c>
      <c r="DO48" s="3180">
        <f t="shared" si="772"/>
        <v>3635.6810500000001</v>
      </c>
      <c r="DP48" s="3180">
        <f t="shared" si="773"/>
        <v>3635.333992850482</v>
      </c>
      <c r="DQ48" s="3180">
        <f t="shared" si="774"/>
        <v>0.34705714951827904</v>
      </c>
      <c r="DR48" s="3180">
        <f t="shared" si="775"/>
        <v>2495.2129999999997</v>
      </c>
      <c r="DS48" s="3180">
        <f t="shared" si="776"/>
        <v>2490.35</v>
      </c>
      <c r="DT48" s="3180">
        <f t="shared" si="777"/>
        <v>4.8629999999999995</v>
      </c>
      <c r="DU48" s="3180">
        <f t="shared" si="778"/>
        <v>2570.3900000000003</v>
      </c>
      <c r="DV48" s="3180">
        <f t="shared" si="779"/>
        <v>2556.1556768977234</v>
      </c>
      <c r="DW48" s="3180">
        <f t="shared" si="780"/>
        <v>14.23432310227656</v>
      </c>
      <c r="DX48" s="3143">
        <f t="shared" si="781"/>
        <v>-1140.4680500000004</v>
      </c>
      <c r="DY48" s="3143">
        <f t="shared" si="782"/>
        <v>-1144.9839928504821</v>
      </c>
      <c r="DZ48" s="3143">
        <f t="shared" si="783"/>
        <v>4.5159428504817205</v>
      </c>
      <c r="EA48" s="3180">
        <f t="shared" si="784"/>
        <v>10907.043150000001</v>
      </c>
      <c r="EB48" s="3180">
        <f t="shared" si="785"/>
        <v>10906.001978551445</v>
      </c>
      <c r="EC48" s="3180">
        <f t="shared" si="786"/>
        <v>1.0411714485548371</v>
      </c>
      <c r="ED48" s="3180">
        <f t="shared" si="787"/>
        <v>7707.03</v>
      </c>
      <c r="EE48" s="3180">
        <f t="shared" si="788"/>
        <v>7685.57</v>
      </c>
      <c r="EF48" s="3180">
        <f t="shared" si="789"/>
        <v>21.459999999999997</v>
      </c>
      <c r="EG48" s="3180">
        <f t="shared" si="790"/>
        <v>7722.13</v>
      </c>
      <c r="EH48" s="3180">
        <f t="shared" si="791"/>
        <v>7679.3140068690982</v>
      </c>
      <c r="EI48" s="3180">
        <f t="shared" si="792"/>
        <v>42.815993130902093</v>
      </c>
      <c r="EJ48" s="3143">
        <f t="shared" si="793"/>
        <v>-3200.0131500000016</v>
      </c>
      <c r="EK48" s="3143">
        <f t="shared" si="794"/>
        <v>-3220.4319785514454</v>
      </c>
      <c r="EL48" s="3143">
        <f t="shared" si="795"/>
        <v>20.418828551445159</v>
      </c>
      <c r="EM48" s="3136">
        <f t="shared" si="796"/>
        <v>1211.8936833333335</v>
      </c>
      <c r="EN48" s="3136">
        <f>SUM('ПОЛНАЯ СЕБЕСТОИМОСТЬ СТОКИ 2019'!BN164/3)</f>
        <v>1211.7779976168274</v>
      </c>
      <c r="EO48" s="3136">
        <f>SUM('ПОЛНАЯ СЕБЕСТОИМОСТЬ СТОКИ 2019'!BO164/3)</f>
        <v>0.11568571650609301</v>
      </c>
      <c r="EP48" s="3136">
        <f t="shared" si="797"/>
        <v>0</v>
      </c>
      <c r="EQ48" s="3136">
        <f>SUM('ПОЛНАЯ СЕБЕСТОИМОСТЬ СТОКИ 2019'!BQ164)</f>
        <v>0</v>
      </c>
      <c r="ER48" s="3136">
        <f>SUM('ПОЛНАЯ СЕБЕСТОИМОСТЬ СТОКИ 2019'!BR164)</f>
        <v>0</v>
      </c>
      <c r="ES48" s="3144">
        <f>SUM(ES49:ES54)</f>
        <v>813.49000000000012</v>
      </c>
      <c r="ET48" s="3144">
        <f t="shared" ref="ET48:EU48" si="866">SUM(ET49:ET56)</f>
        <v>811.96509179672171</v>
      </c>
      <c r="EU48" s="3144">
        <f t="shared" si="866"/>
        <v>1.524908203278184</v>
      </c>
      <c r="EV48" s="3136">
        <f t="shared" si="799"/>
        <v>1211.8936833333335</v>
      </c>
      <c r="EW48" s="3136">
        <f t="shared" si="800"/>
        <v>1211.7779976168274</v>
      </c>
      <c r="EX48" s="3136">
        <f t="shared" si="801"/>
        <v>0.11568571650609301</v>
      </c>
      <c r="EY48" s="3136">
        <f t="shared" si="802"/>
        <v>0</v>
      </c>
      <c r="EZ48" s="3136">
        <f>SUM('ПОЛНАЯ СЕБЕСТОИМОСТЬ СТОКИ 2019'!BT164)</f>
        <v>0</v>
      </c>
      <c r="FA48" s="3136">
        <f>SUM('ПОЛНАЯ СЕБЕСТОИМОСТЬ СТОКИ 2019'!BU164)</f>
        <v>0</v>
      </c>
      <c r="FB48" s="3144">
        <f>SUM(FB49:FB54)</f>
        <v>766.14</v>
      </c>
      <c r="FC48" s="3144">
        <f t="shared" ref="FC48:FD48" si="867">SUM(FC49:FC56)</f>
        <v>764.61867477957549</v>
      </c>
      <c r="FD48" s="3144">
        <f t="shared" si="867"/>
        <v>1.5213252204245977</v>
      </c>
      <c r="FE48" s="3136">
        <f t="shared" si="804"/>
        <v>1211.8936833333335</v>
      </c>
      <c r="FF48" s="3136">
        <f t="shared" si="805"/>
        <v>1211.7779976168274</v>
      </c>
      <c r="FG48" s="3136">
        <f t="shared" si="806"/>
        <v>0.11568571650609301</v>
      </c>
      <c r="FH48" s="3136">
        <f t="shared" si="807"/>
        <v>0</v>
      </c>
      <c r="FI48" s="3136">
        <f>SUM('ПОЛНАЯ СЕБЕСТОИМОСТЬ СТОКИ 2019'!BW164)</f>
        <v>0</v>
      </c>
      <c r="FJ48" s="3136">
        <f>SUM('ПОЛНАЯ СЕБЕСТОИМОСТЬ СТОКИ 2019'!BX164)</f>
        <v>0</v>
      </c>
      <c r="FK48" s="3144">
        <f>SUM(FK49:FK54)</f>
        <v>1032.49</v>
      </c>
      <c r="FL48" s="3144">
        <f t="shared" ref="FL48:FM48" si="868">SUM(FL49:FL56)</f>
        <v>1018.5062691811099</v>
      </c>
      <c r="FM48" s="3144">
        <f t="shared" si="868"/>
        <v>13.983730818890175</v>
      </c>
      <c r="FN48" s="3180">
        <f t="shared" si="809"/>
        <v>3635.6810500000001</v>
      </c>
      <c r="FO48" s="3180">
        <f t="shared" si="810"/>
        <v>3635.333992850482</v>
      </c>
      <c r="FP48" s="3180">
        <f t="shared" si="811"/>
        <v>0.34705714951827904</v>
      </c>
      <c r="FQ48" s="3180">
        <f t="shared" si="812"/>
        <v>0</v>
      </c>
      <c r="FR48" s="3180">
        <f t="shared" si="813"/>
        <v>0</v>
      </c>
      <c r="FS48" s="3180">
        <f t="shared" si="814"/>
        <v>0</v>
      </c>
      <c r="FT48" s="3180">
        <f t="shared" si="815"/>
        <v>2612.12</v>
      </c>
      <c r="FU48" s="3180">
        <f t="shared" si="816"/>
        <v>2595.0900357574073</v>
      </c>
      <c r="FV48" s="3180">
        <f t="shared" si="817"/>
        <v>17.029964242592957</v>
      </c>
      <c r="FW48" s="3143">
        <f t="shared" si="818"/>
        <v>-3635.6810500000001</v>
      </c>
      <c r="FX48" s="3143">
        <f t="shared" si="819"/>
        <v>-3635.333992850482</v>
      </c>
      <c r="FY48" s="3143">
        <f t="shared" si="820"/>
        <v>-0.34705714951827904</v>
      </c>
      <c r="FZ48" s="3242">
        <f t="shared" si="821"/>
        <v>14542.724200000001</v>
      </c>
      <c r="GA48" s="3242">
        <f t="shared" si="822"/>
        <v>14541.335971401928</v>
      </c>
      <c r="GB48" s="3242">
        <f t="shared" si="823"/>
        <v>1.3882285980731162</v>
      </c>
      <c r="GC48" s="3242">
        <f t="shared" si="824"/>
        <v>7707.03</v>
      </c>
      <c r="GD48" s="3242">
        <f t="shared" si="825"/>
        <v>7685.57</v>
      </c>
      <c r="GE48" s="3242">
        <f t="shared" si="826"/>
        <v>21.459999999999997</v>
      </c>
      <c r="GF48" s="3242">
        <f t="shared" si="827"/>
        <v>10334.25</v>
      </c>
      <c r="GG48" s="3242">
        <f t="shared" si="828"/>
        <v>10274.404042626506</v>
      </c>
      <c r="GH48" s="3242">
        <f t="shared" si="829"/>
        <v>59.845957373495054</v>
      </c>
      <c r="GI48" s="3243">
        <f t="shared" si="830"/>
        <v>-6835.6942000000008</v>
      </c>
      <c r="GJ48" s="3243">
        <f t="shared" si="831"/>
        <v>-6855.7659714019283</v>
      </c>
      <c r="GK48" s="3243">
        <f t="shared" si="832"/>
        <v>20.071771401926881</v>
      </c>
    </row>
    <row r="49" spans="1:193" ht="18.75" customHeight="1" x14ac:dyDescent="0.3">
      <c r="A49" s="3079" t="s">
        <v>3605</v>
      </c>
      <c r="B49" s="3145">
        <f t="shared" si="697"/>
        <v>732.1825</v>
      </c>
      <c r="C49" s="3145">
        <f>SUM('ПОЛНАЯ СЕБЕСТОИМОСТЬ СТОКИ 2019'!C165/3)</f>
        <v>732.1825</v>
      </c>
      <c r="D49" s="3145">
        <f>SUM('ПОЛНАЯ СЕБЕСТОИМОСТЬ СТОКИ 2019'!D165/3)</f>
        <v>0</v>
      </c>
      <c r="E49" s="3145">
        <f t="shared" si="698"/>
        <v>563.61399999999992</v>
      </c>
      <c r="F49" s="3145">
        <f>SUM('ПОЛНАЯ СЕБЕСТОИМОСТЬ СТОКИ 2019'!F165)</f>
        <v>562.04</v>
      </c>
      <c r="G49" s="3145">
        <f>SUM('ПОЛНАЯ СЕБЕСТОИМОСТЬ СТОКИ 2019'!G165)</f>
        <v>1.5740000000000001</v>
      </c>
      <c r="H49" s="3149">
        <v>474.39</v>
      </c>
      <c r="I49" s="3149">
        <f t="shared" si="833"/>
        <v>473.99084769114199</v>
      </c>
      <c r="J49" s="3149">
        <f>SUM(H49/H9*J9)*0.94899536321</f>
        <v>0.39915230885797792</v>
      </c>
      <c r="K49" s="3145">
        <f t="shared" si="700"/>
        <v>732.1825</v>
      </c>
      <c r="L49" s="3145">
        <f t="shared" si="701"/>
        <v>732.1825</v>
      </c>
      <c r="M49" s="3145">
        <f t="shared" si="702"/>
        <v>0</v>
      </c>
      <c r="N49" s="3145">
        <f t="shared" si="703"/>
        <v>499.077</v>
      </c>
      <c r="O49" s="3145">
        <f>SUM('ПОЛНАЯ СЕБЕСТОИМОСТЬ СТОКИ 2019'!I165)</f>
        <v>497.63</v>
      </c>
      <c r="P49" s="3145">
        <f>SUM('ПОЛНАЯ СЕБЕСТОИМОСТЬ СТОКИ 2019'!J165)</f>
        <v>1.4470000000000001</v>
      </c>
      <c r="Q49" s="3149">
        <v>523</v>
      </c>
      <c r="R49" s="3149">
        <f t="shared" si="834"/>
        <v>522.64367402515711</v>
      </c>
      <c r="S49" s="3149">
        <f>SUM(Q49/Q9*S9)*0.94899536321</f>
        <v>0.356325974842916</v>
      </c>
      <c r="T49" s="3145">
        <f t="shared" si="705"/>
        <v>732.1825</v>
      </c>
      <c r="U49" s="3145">
        <f t="shared" si="706"/>
        <v>732.1825</v>
      </c>
      <c r="V49" s="3145">
        <f t="shared" si="707"/>
        <v>0</v>
      </c>
      <c r="W49" s="3145">
        <f t="shared" si="708"/>
        <v>485.15</v>
      </c>
      <c r="X49" s="3145">
        <f>SUM('ПОЛНАЯ СЕБЕСТОИМОСТЬ СТОКИ 2019'!L165)</f>
        <v>483.9</v>
      </c>
      <c r="Y49" s="3145">
        <f>SUM('ПОЛНАЯ СЕБЕСТОИМОСТЬ СТОКИ 2019'!M165)</f>
        <v>1.25</v>
      </c>
      <c r="Z49" s="3149">
        <v>574.05999999999995</v>
      </c>
      <c r="AA49" s="3149">
        <f t="shared" si="835"/>
        <v>566.38968043848968</v>
      </c>
      <c r="AB49" s="3149">
        <f>SUM(Z49/Z9*AB9)*0.94899536321</f>
        <v>7.6703195615102882</v>
      </c>
      <c r="AC49" s="3179">
        <f t="shared" si="710"/>
        <v>2196.5475000000001</v>
      </c>
      <c r="AD49" s="3179">
        <f t="shared" si="711"/>
        <v>2196.5475000000001</v>
      </c>
      <c r="AE49" s="3179">
        <f t="shared" si="712"/>
        <v>0</v>
      </c>
      <c r="AF49" s="3179">
        <f t="shared" si="713"/>
        <v>1547.8409999999999</v>
      </c>
      <c r="AG49" s="3179">
        <f t="shared" si="714"/>
        <v>1543.5700000000002</v>
      </c>
      <c r="AH49" s="3179">
        <f t="shared" si="715"/>
        <v>4.2709999999999999</v>
      </c>
      <c r="AI49" s="3179">
        <f t="shared" si="716"/>
        <v>1571.4499999999998</v>
      </c>
      <c r="AJ49" s="3179">
        <f t="shared" si="717"/>
        <v>1563.0242021547888</v>
      </c>
      <c r="AK49" s="3179">
        <f t="shared" si="718"/>
        <v>8.4257978452111821</v>
      </c>
      <c r="AL49" s="3148">
        <f t="shared" si="719"/>
        <v>-648.70650000000023</v>
      </c>
      <c r="AM49" s="3148">
        <f t="shared" si="720"/>
        <v>-652.97749999999996</v>
      </c>
      <c r="AN49" s="3148">
        <f t="shared" si="721"/>
        <v>4.2709999999999999</v>
      </c>
      <c r="AO49" s="3145">
        <f t="shared" si="722"/>
        <v>732.1825</v>
      </c>
      <c r="AP49" s="3145">
        <f>SUM('ПОЛНАЯ СЕБЕСТОИМОСТЬ СТОКИ 2019'!R165/3)</f>
        <v>732.1825</v>
      </c>
      <c r="AQ49" s="3145">
        <f>SUM('ПОЛНАЯ СЕБЕСТОИМОСТЬ СТОКИ 2019'!S165/3)</f>
        <v>0</v>
      </c>
      <c r="AR49" s="3145">
        <f t="shared" si="723"/>
        <v>543.92700000000002</v>
      </c>
      <c r="AS49" s="3145">
        <f>SUM('ПОЛНАЯ СЕБЕСТОИМОСТЬ СТОКИ 2019'!U165)</f>
        <v>542.61</v>
      </c>
      <c r="AT49" s="3145">
        <f>SUM('ПОЛНАЯ СЕБЕСТОИМОСТЬ СТОКИ 2019'!V165)</f>
        <v>1.3169999999999999</v>
      </c>
      <c r="AU49" s="3149">
        <v>517.36</v>
      </c>
      <c r="AV49" s="3149">
        <f t="shared" si="836"/>
        <v>516.89416493563226</v>
      </c>
      <c r="AW49" s="3149">
        <f>SUM(AU49/AU9*AW9)*0.94899536321</f>
        <v>0.46583506436771405</v>
      </c>
      <c r="AX49" s="3145">
        <f t="shared" si="725"/>
        <v>732.1825</v>
      </c>
      <c r="AY49" s="3145">
        <f t="shared" si="726"/>
        <v>732.1825</v>
      </c>
      <c r="AZ49" s="3145">
        <f t="shared" si="727"/>
        <v>0</v>
      </c>
      <c r="BA49" s="3276">
        <f t="shared" si="728"/>
        <v>578.774</v>
      </c>
      <c r="BB49" s="3276">
        <f>SUM('ПОЛНАЯ СЕБЕСТОИМОСТЬ СТОКИ 2019'!X165)</f>
        <v>577.13</v>
      </c>
      <c r="BC49" s="3276">
        <f>SUM('ПОЛНАЯ СЕБЕСТОИМОСТЬ СТОКИ 2019'!Y165)</f>
        <v>1.6439999999999999</v>
      </c>
      <c r="BD49" s="3149">
        <v>500.85</v>
      </c>
      <c r="BE49" s="3149">
        <f t="shared" si="837"/>
        <v>499.77879959768671</v>
      </c>
      <c r="BF49" s="3149">
        <f>SUM(BD49/BD9*BF9)*0.94899536321</f>
        <v>1.0712004023133039</v>
      </c>
      <c r="BG49" s="3145">
        <f t="shared" si="730"/>
        <v>732.1825</v>
      </c>
      <c r="BH49" s="3145">
        <f t="shared" si="731"/>
        <v>732.1825</v>
      </c>
      <c r="BI49" s="3145">
        <f t="shared" si="732"/>
        <v>0</v>
      </c>
      <c r="BJ49" s="3145">
        <f t="shared" si="733"/>
        <v>539.64</v>
      </c>
      <c r="BK49" s="3145">
        <f>SUM('ПОЛНАЯ СЕБЕСТОИМОСТЬ СТОКИ 2019'!AA165)</f>
        <v>536.61</v>
      </c>
      <c r="BL49" s="3145">
        <f>SUM('ПОЛНАЯ СЕБЕСТОИМОСТЬ СТОКИ 2019'!AB165)</f>
        <v>3.03</v>
      </c>
      <c r="BM49" s="3149">
        <v>605.72</v>
      </c>
      <c r="BN49" s="3149">
        <f t="shared" si="838"/>
        <v>598.04966047125447</v>
      </c>
      <c r="BO49" s="3149">
        <f>SUM(BM49/BM9*BO9)*0.94899536321</f>
        <v>7.670339528745524</v>
      </c>
      <c r="BP49" s="3179">
        <f t="shared" si="735"/>
        <v>2196.5475000000001</v>
      </c>
      <c r="BQ49" s="3179">
        <f t="shared" si="736"/>
        <v>2196.5475000000001</v>
      </c>
      <c r="BR49" s="3179">
        <f t="shared" si="737"/>
        <v>0</v>
      </c>
      <c r="BS49" s="3179">
        <f t="shared" si="738"/>
        <v>1662.3409999999999</v>
      </c>
      <c r="BT49" s="3179">
        <f t="shared" si="739"/>
        <v>1656.35</v>
      </c>
      <c r="BU49" s="3179">
        <f t="shared" si="740"/>
        <v>5.9909999999999997</v>
      </c>
      <c r="BV49" s="3179">
        <f t="shared" si="741"/>
        <v>1623.93</v>
      </c>
      <c r="BW49" s="3179">
        <f t="shared" si="742"/>
        <v>1614.7226250045733</v>
      </c>
      <c r="BX49" s="3179">
        <f t="shared" si="743"/>
        <v>9.2073749954265427</v>
      </c>
      <c r="BY49" s="3148">
        <f t="shared" si="744"/>
        <v>-534.20650000000023</v>
      </c>
      <c r="BZ49" s="3148">
        <f t="shared" si="745"/>
        <v>-540.19750000000022</v>
      </c>
      <c r="CA49" s="3148">
        <f t="shared" si="746"/>
        <v>5.9909999999999997</v>
      </c>
      <c r="CB49" s="3179">
        <f t="shared" si="747"/>
        <v>4393.0950000000003</v>
      </c>
      <c r="CC49" s="3179">
        <f t="shared" si="748"/>
        <v>4393.0950000000003</v>
      </c>
      <c r="CD49" s="3179">
        <f t="shared" si="749"/>
        <v>0</v>
      </c>
      <c r="CE49" s="3179">
        <f t="shared" si="750"/>
        <v>3210.1819999999998</v>
      </c>
      <c r="CF49" s="3179">
        <f t="shared" si="751"/>
        <v>3199.92</v>
      </c>
      <c r="CG49" s="3179">
        <f t="shared" si="752"/>
        <v>10.262</v>
      </c>
      <c r="CH49" s="3456">
        <f t="shared" si="753"/>
        <v>3195.38</v>
      </c>
      <c r="CI49" s="3456">
        <f t="shared" si="754"/>
        <v>3177.7468271593621</v>
      </c>
      <c r="CJ49" s="3456">
        <f t="shared" si="755"/>
        <v>17.633172840637727</v>
      </c>
      <c r="CK49" s="3148">
        <f t="shared" si="756"/>
        <v>-1182.9130000000005</v>
      </c>
      <c r="CL49" s="3148">
        <f t="shared" si="757"/>
        <v>-1193.1750000000002</v>
      </c>
      <c r="CM49" s="3148">
        <f t="shared" si="758"/>
        <v>10.262</v>
      </c>
      <c r="CN49" s="3145">
        <f t="shared" si="759"/>
        <v>732.1825</v>
      </c>
      <c r="CO49" s="3145">
        <f>SUM('ПОЛНАЯ СЕБЕСТОИМОСТЬ СТОКИ 2019'!AP165/3)</f>
        <v>732.1825</v>
      </c>
      <c r="CP49" s="3145">
        <f>SUM('ПОЛНАЯ СЕБЕСТОИМОСТЬ СТОКИ 2019'!AQ165/3)</f>
        <v>0</v>
      </c>
      <c r="CQ49" s="3145">
        <f t="shared" si="760"/>
        <v>558.00300000000004</v>
      </c>
      <c r="CR49" s="3145">
        <f>SUM('ПОЛНАЯ СЕБЕСТОИМОСТЬ СТОКИ 2019'!AS165)</f>
        <v>557.75</v>
      </c>
      <c r="CS49" s="3145">
        <f>SUM('ПОЛНАЯ СЕБЕСТОИМОСТЬ СТОКИ 2019'!AT165)</f>
        <v>0.253</v>
      </c>
      <c r="CT49" s="3149">
        <v>505.5</v>
      </c>
      <c r="CU49" s="3149">
        <f t="shared" si="839"/>
        <v>504.82585007408903</v>
      </c>
      <c r="CV49" s="3149">
        <f>SUM(CT49/CT9*CV9)*0.94899536321</f>
        <v>0.67414992591098089</v>
      </c>
      <c r="CW49" s="3145">
        <f t="shared" si="762"/>
        <v>732.1825</v>
      </c>
      <c r="CX49" s="3145">
        <f t="shared" si="763"/>
        <v>732.1825</v>
      </c>
      <c r="CY49" s="3145">
        <f t="shared" si="764"/>
        <v>0</v>
      </c>
      <c r="CZ49" s="3145">
        <f t="shared" si="765"/>
        <v>486.54</v>
      </c>
      <c r="DA49" s="3145">
        <f>SUM('ПОЛНАЯ СЕБЕСТОИМОСТЬ СТОКИ 2019'!AV165)</f>
        <v>485.19</v>
      </c>
      <c r="DB49" s="3145">
        <f>SUM('ПОЛНАЯ СЕБЕСТОИМОСТЬ СТОКИ 2019'!AW165)</f>
        <v>1.35</v>
      </c>
      <c r="DC49" s="3149">
        <v>573.13</v>
      </c>
      <c r="DD49" s="3149">
        <f t="shared" si="840"/>
        <v>572.0359770597687</v>
      </c>
      <c r="DE49" s="3149">
        <f>SUM(DC49/DC9*DE9)*0.94899536321</f>
        <v>1.0940229402313346</v>
      </c>
      <c r="DF49" s="3145">
        <f t="shared" si="767"/>
        <v>732.1825</v>
      </c>
      <c r="DG49" s="3145">
        <f t="shared" si="768"/>
        <v>732.1825</v>
      </c>
      <c r="DH49" s="3145">
        <f t="shared" si="769"/>
        <v>0</v>
      </c>
      <c r="DI49" s="3145">
        <f t="shared" si="770"/>
        <v>503.71</v>
      </c>
      <c r="DJ49" s="3145">
        <f>SUM('ПОЛНАЯ СЕБЕСТОИМОСТЬ СТОКИ 2019'!AY165)</f>
        <v>502.33</v>
      </c>
      <c r="DK49" s="3145">
        <f>SUM('ПОЛНАЯ СЕБЕСТОИМОСТЬ СТОКИ 2019'!AZ165)</f>
        <v>1.38</v>
      </c>
      <c r="DL49" s="3149">
        <v>553.25</v>
      </c>
      <c r="DM49" s="3149">
        <f t="shared" si="841"/>
        <v>545.7358375153384</v>
      </c>
      <c r="DN49" s="3149">
        <f>SUM(DL49/DL9*DN9)*0.94899536321</f>
        <v>7.5141624846615791</v>
      </c>
      <c r="DO49" s="3179">
        <f t="shared" si="772"/>
        <v>2196.5475000000001</v>
      </c>
      <c r="DP49" s="3179">
        <f t="shared" si="773"/>
        <v>2196.5475000000001</v>
      </c>
      <c r="DQ49" s="3179">
        <f t="shared" si="774"/>
        <v>0</v>
      </c>
      <c r="DR49" s="3179">
        <f t="shared" si="775"/>
        <v>1548.2530000000002</v>
      </c>
      <c r="DS49" s="3179">
        <f t="shared" si="776"/>
        <v>1545.27</v>
      </c>
      <c r="DT49" s="3179">
        <f t="shared" si="777"/>
        <v>2.9830000000000001</v>
      </c>
      <c r="DU49" s="3179">
        <f t="shared" si="778"/>
        <v>1631.88</v>
      </c>
      <c r="DV49" s="3179">
        <f t="shared" si="779"/>
        <v>1622.5976646491963</v>
      </c>
      <c r="DW49" s="3179">
        <f t="shared" si="780"/>
        <v>9.2823353508038942</v>
      </c>
      <c r="DX49" s="3148">
        <f t="shared" si="781"/>
        <v>-648.29449999999997</v>
      </c>
      <c r="DY49" s="3148">
        <f t="shared" si="782"/>
        <v>-651.27750000000015</v>
      </c>
      <c r="DZ49" s="3148">
        <f t="shared" si="783"/>
        <v>2.9830000000000001</v>
      </c>
      <c r="EA49" s="3179">
        <f t="shared" si="784"/>
        <v>6589.6424999999999</v>
      </c>
      <c r="EB49" s="3179">
        <f t="shared" si="785"/>
        <v>6589.6424999999999</v>
      </c>
      <c r="EC49" s="3179">
        <f t="shared" si="786"/>
        <v>0</v>
      </c>
      <c r="ED49" s="3179">
        <f t="shared" si="787"/>
        <v>4758.4349999999995</v>
      </c>
      <c r="EE49" s="3179">
        <f t="shared" si="788"/>
        <v>4745.1900000000005</v>
      </c>
      <c r="EF49" s="3179">
        <f t="shared" si="789"/>
        <v>13.245000000000001</v>
      </c>
      <c r="EG49" s="3179">
        <f t="shared" si="790"/>
        <v>4827.26</v>
      </c>
      <c r="EH49" s="3179">
        <f t="shared" si="791"/>
        <v>4800.3444918085588</v>
      </c>
      <c r="EI49" s="3179">
        <f t="shared" si="792"/>
        <v>26.915508191441621</v>
      </c>
      <c r="EJ49" s="3148">
        <f t="shared" si="793"/>
        <v>-1831.2075000000004</v>
      </c>
      <c r="EK49" s="3148">
        <f t="shared" si="794"/>
        <v>-1844.4524999999994</v>
      </c>
      <c r="EL49" s="3148">
        <f t="shared" si="795"/>
        <v>13.245000000000001</v>
      </c>
      <c r="EM49" s="3145">
        <f t="shared" si="796"/>
        <v>732.1825</v>
      </c>
      <c r="EN49" s="3145">
        <f>SUM('ПОЛНАЯ СЕБЕСТОИМОСТЬ СТОКИ 2019'!BN165/3)</f>
        <v>732.1825</v>
      </c>
      <c r="EO49" s="3145">
        <f>SUM('ПОЛНАЯ СЕБЕСТОИМОСТЬ СТОКИ 2019'!BO165/3)</f>
        <v>0</v>
      </c>
      <c r="EP49" s="3145">
        <f t="shared" si="797"/>
        <v>0</v>
      </c>
      <c r="EQ49" s="3145">
        <f>SUM('ПОЛНАЯ СЕБЕСТОИМОСТЬ СТОКИ 2019'!BQ165)</f>
        <v>0</v>
      </c>
      <c r="ER49" s="3145">
        <f>SUM('ПОЛНАЯ СЕБЕСТОИМОСТЬ СТОКИ 2019'!BR165)</f>
        <v>0</v>
      </c>
      <c r="ES49" s="3149">
        <v>471.86</v>
      </c>
      <c r="ET49" s="3149">
        <f t="shared" si="842"/>
        <v>470.93275023343239</v>
      </c>
      <c r="EU49" s="3149">
        <f>SUM(ES49/ES9*EU9)*0.94899536321</f>
        <v>0.92724976656762848</v>
      </c>
      <c r="EV49" s="3145">
        <f t="shared" si="799"/>
        <v>732.1825</v>
      </c>
      <c r="EW49" s="3145">
        <f t="shared" si="800"/>
        <v>732.1825</v>
      </c>
      <c r="EX49" s="3145">
        <f t="shared" si="801"/>
        <v>0</v>
      </c>
      <c r="EY49" s="3145">
        <f t="shared" si="802"/>
        <v>0</v>
      </c>
      <c r="EZ49" s="3145">
        <f>SUM('ПОЛНАЯ СЕБЕСТОИМОСТЬ СТОКИ 2019'!BT165)</f>
        <v>0</v>
      </c>
      <c r="FA49" s="3145">
        <f>SUM('ПОЛНАЯ СЕБЕСТОИМОСТЬ СТОКИ 2019'!BU165)</f>
        <v>0</v>
      </c>
      <c r="FB49" s="3149">
        <v>508.31</v>
      </c>
      <c r="FC49" s="3149">
        <f t="shared" si="843"/>
        <v>507.27575310493881</v>
      </c>
      <c r="FD49" s="3149">
        <f>SUM(FB49/FB9*FD9)*0.94899536321</f>
        <v>1.0342468950611972</v>
      </c>
      <c r="FE49" s="3145">
        <f t="shared" si="804"/>
        <v>732.1825</v>
      </c>
      <c r="FF49" s="3145">
        <f t="shared" si="805"/>
        <v>732.1825</v>
      </c>
      <c r="FG49" s="3145">
        <f t="shared" si="806"/>
        <v>0</v>
      </c>
      <c r="FH49" s="3145">
        <f t="shared" si="807"/>
        <v>0</v>
      </c>
      <c r="FI49" s="3145">
        <f>SUM('ПОЛНАЯ СЕБЕСТОИМОСТЬ СТОКИ 2019'!BW165)</f>
        <v>0</v>
      </c>
      <c r="FJ49" s="3145">
        <f>SUM('ПОЛНАЯ СЕБЕСТОИМОСТЬ СТОКИ 2019'!BX165)</f>
        <v>0</v>
      </c>
      <c r="FK49" s="3149">
        <v>553.26</v>
      </c>
      <c r="FL49" s="3149">
        <f t="shared" si="844"/>
        <v>545.30019210443811</v>
      </c>
      <c r="FM49" s="3149">
        <f>SUM(FK49/FK9*FM9)*0.94899536321</f>
        <v>7.9598078955619123</v>
      </c>
      <c r="FN49" s="3179">
        <f t="shared" si="809"/>
        <v>2196.5475000000001</v>
      </c>
      <c r="FO49" s="3179">
        <f t="shared" si="810"/>
        <v>2196.5475000000001</v>
      </c>
      <c r="FP49" s="3179">
        <f t="shared" si="811"/>
        <v>0</v>
      </c>
      <c r="FQ49" s="3179">
        <f t="shared" si="812"/>
        <v>0</v>
      </c>
      <c r="FR49" s="3179">
        <f t="shared" si="813"/>
        <v>0</v>
      </c>
      <c r="FS49" s="3179">
        <f t="shared" si="814"/>
        <v>0</v>
      </c>
      <c r="FT49" s="3179">
        <f t="shared" si="815"/>
        <v>1533.43</v>
      </c>
      <c r="FU49" s="3179">
        <f t="shared" si="816"/>
        <v>1523.5086954428093</v>
      </c>
      <c r="FV49" s="3179">
        <f t="shared" si="817"/>
        <v>9.9213045571907372</v>
      </c>
      <c r="FW49" s="3148">
        <f t="shared" si="818"/>
        <v>-2196.5475000000001</v>
      </c>
      <c r="FX49" s="3148">
        <f t="shared" si="819"/>
        <v>-2196.5475000000001</v>
      </c>
      <c r="FY49" s="3148">
        <f t="shared" si="820"/>
        <v>0</v>
      </c>
      <c r="FZ49" s="3457">
        <f t="shared" si="821"/>
        <v>8786.19</v>
      </c>
      <c r="GA49" s="3457">
        <f t="shared" si="822"/>
        <v>8786.19</v>
      </c>
      <c r="GB49" s="3457">
        <f t="shared" si="823"/>
        <v>0</v>
      </c>
      <c r="GC49" s="3457">
        <f t="shared" si="824"/>
        <v>4758.4349999999995</v>
      </c>
      <c r="GD49" s="3457">
        <f t="shared" si="825"/>
        <v>4745.1900000000005</v>
      </c>
      <c r="GE49" s="3457">
        <f t="shared" si="826"/>
        <v>13.245000000000001</v>
      </c>
      <c r="GF49" s="3457">
        <f t="shared" si="827"/>
        <v>6360.6900000000005</v>
      </c>
      <c r="GG49" s="3457">
        <f t="shared" si="828"/>
        <v>6323.8531872513686</v>
      </c>
      <c r="GH49" s="3457">
        <f t="shared" si="829"/>
        <v>36.836812748632354</v>
      </c>
      <c r="GI49" s="3246">
        <f t="shared" si="830"/>
        <v>-4027.755000000001</v>
      </c>
      <c r="GJ49" s="3246">
        <f t="shared" si="831"/>
        <v>-4041</v>
      </c>
      <c r="GK49" s="3246">
        <f t="shared" si="832"/>
        <v>13.245000000000001</v>
      </c>
    </row>
    <row r="50" spans="1:193" ht="18.75" customHeight="1" x14ac:dyDescent="0.3">
      <c r="A50" s="3079" t="s">
        <v>3606</v>
      </c>
      <c r="B50" s="3145">
        <f t="shared" si="697"/>
        <v>219.655</v>
      </c>
      <c r="C50" s="3145">
        <f>SUM('ПОЛНАЯ СЕБЕСТОИМОСТЬ СТОКИ 2019'!C166/3)</f>
        <v>219.655</v>
      </c>
      <c r="D50" s="3145">
        <f>SUM('ПОЛНАЯ СЕБЕСТОИМОСТЬ СТОКИ 2019'!D166/3)</f>
        <v>0</v>
      </c>
      <c r="E50" s="3145">
        <f t="shared" si="698"/>
        <v>165.76300000000001</v>
      </c>
      <c r="F50" s="3145">
        <f>SUM('ПОЛНАЯ СЕБЕСТОИМОСТЬ СТОКИ 2019'!F166)</f>
        <v>165.3</v>
      </c>
      <c r="G50" s="3145">
        <f>SUM('ПОЛНАЯ СЕБЕСТОИМОСТЬ СТОКИ 2019'!G166)</f>
        <v>0.46300000000000002</v>
      </c>
      <c r="H50" s="3149">
        <v>170.32</v>
      </c>
      <c r="I50" s="3149">
        <f t="shared" si="833"/>
        <v>170.17376746440061</v>
      </c>
      <c r="J50" s="3149">
        <f>SUM(H50/H9*J9)*0.9683655536</f>
        <v>0.14623253559938112</v>
      </c>
      <c r="K50" s="3145">
        <f t="shared" si="700"/>
        <v>219.655</v>
      </c>
      <c r="L50" s="3145">
        <f t="shared" si="701"/>
        <v>219.655</v>
      </c>
      <c r="M50" s="3145">
        <f t="shared" si="702"/>
        <v>0</v>
      </c>
      <c r="N50" s="3145">
        <f t="shared" si="703"/>
        <v>150.386</v>
      </c>
      <c r="O50" s="3145">
        <f>SUM('ПОЛНАЯ СЕБЕСТОИМОСТЬ СТОКИ 2019'!I166)</f>
        <v>149.94999999999999</v>
      </c>
      <c r="P50" s="3145">
        <f>SUM('ПОЛНАЯ СЕБЕСТОИМОСТЬ СТОКИ 2019'!J166)</f>
        <v>0.436</v>
      </c>
      <c r="Q50" s="3149">
        <v>157.49</v>
      </c>
      <c r="R50" s="3149">
        <f t="shared" si="834"/>
        <v>157.38051011034602</v>
      </c>
      <c r="S50" s="3149">
        <f>SUM(Q50/Q9*S9)*0.9683655536</f>
        <v>0.1094898896539889</v>
      </c>
      <c r="T50" s="3145">
        <f t="shared" si="705"/>
        <v>219.655</v>
      </c>
      <c r="U50" s="3145">
        <f t="shared" si="706"/>
        <v>219.655</v>
      </c>
      <c r="V50" s="3145">
        <f t="shared" si="707"/>
        <v>0</v>
      </c>
      <c r="W50" s="3145">
        <f t="shared" si="708"/>
        <v>143.65</v>
      </c>
      <c r="X50" s="3145">
        <f>SUM('ПОЛНАЯ СЕБЕСТОИМОСТЬ СТОКИ 2019'!L166)</f>
        <v>143.28</v>
      </c>
      <c r="Y50" s="3145">
        <f>SUM('ПОЛНАЯ СЕБЕСТОИМОСТЬ СТОКИ 2019'!M166)</f>
        <v>0.37</v>
      </c>
      <c r="Z50" s="3149">
        <v>172.63</v>
      </c>
      <c r="AA50" s="3149">
        <f t="shared" si="835"/>
        <v>170.27631855413352</v>
      </c>
      <c r="AB50" s="3149">
        <f>SUM(Z50/Z9*AB9)*0.9683655536</f>
        <v>2.3536814458664814</v>
      </c>
      <c r="AC50" s="3179">
        <f t="shared" si="710"/>
        <v>658.96500000000003</v>
      </c>
      <c r="AD50" s="3179">
        <f t="shared" si="711"/>
        <v>658.96500000000003</v>
      </c>
      <c r="AE50" s="3179">
        <f t="shared" si="712"/>
        <v>0</v>
      </c>
      <c r="AF50" s="3179">
        <f t="shared" si="713"/>
        <v>459.79899999999998</v>
      </c>
      <c r="AG50" s="3179">
        <f t="shared" si="714"/>
        <v>458.53</v>
      </c>
      <c r="AH50" s="3179">
        <f t="shared" si="715"/>
        <v>1.2690000000000001</v>
      </c>
      <c r="AI50" s="3179">
        <f t="shared" si="716"/>
        <v>500.44</v>
      </c>
      <c r="AJ50" s="3179">
        <f t="shared" si="717"/>
        <v>497.83059612888013</v>
      </c>
      <c r="AK50" s="3179">
        <f t="shared" si="718"/>
        <v>2.6094038711198513</v>
      </c>
      <c r="AL50" s="3148">
        <f t="shared" si="719"/>
        <v>-199.16600000000005</v>
      </c>
      <c r="AM50" s="3148">
        <f t="shared" si="720"/>
        <v>-200.43500000000006</v>
      </c>
      <c r="AN50" s="3148">
        <f t="shared" si="721"/>
        <v>1.2690000000000001</v>
      </c>
      <c r="AO50" s="3145">
        <f t="shared" si="722"/>
        <v>219.655</v>
      </c>
      <c r="AP50" s="3145">
        <f>SUM('ПОЛНАЯ СЕБЕСТОИМОСТЬ СТОКИ 2019'!R166/3)</f>
        <v>219.655</v>
      </c>
      <c r="AQ50" s="3145">
        <f>SUM('ПОЛНАЯ СЕБЕСТОИМОСТЬ СТОКИ 2019'!S166/3)</f>
        <v>0</v>
      </c>
      <c r="AR50" s="3145">
        <f t="shared" si="723"/>
        <v>176.267</v>
      </c>
      <c r="AS50" s="3145">
        <f>SUM('ПОЛНАЯ СЕБЕСТОИМОСТЬ СТОКИ 2019'!U166)</f>
        <v>175.84</v>
      </c>
      <c r="AT50" s="3145">
        <f>SUM('ПОЛНАЯ СЕБЕСТОИМОСТЬ СТОКИ 2019'!V166)</f>
        <v>0.42699999999999999</v>
      </c>
      <c r="AU50" s="3149">
        <v>154.93</v>
      </c>
      <c r="AV50" s="3149">
        <f t="shared" si="836"/>
        <v>154.78765241923512</v>
      </c>
      <c r="AW50" s="3149">
        <f>SUM(AU50/AU9*AW9)*0.9683655536</f>
        <v>0.14234758076489609</v>
      </c>
      <c r="AX50" s="3145">
        <f t="shared" si="725"/>
        <v>219.655</v>
      </c>
      <c r="AY50" s="3145">
        <f t="shared" si="726"/>
        <v>219.655</v>
      </c>
      <c r="AZ50" s="3145">
        <f t="shared" si="727"/>
        <v>0</v>
      </c>
      <c r="BA50" s="3276">
        <f t="shared" si="728"/>
        <v>173.62299999999999</v>
      </c>
      <c r="BB50" s="3276">
        <f>SUM('ПОЛНАЯ СЕБЕСТОИМОСТЬ СТОКИ 2019'!X166)</f>
        <v>173.13</v>
      </c>
      <c r="BC50" s="3276">
        <f>SUM('ПОЛНАЯ СЕБЕСТОИМОСТЬ СТОКИ 2019'!Y166)</f>
        <v>0.49299999999999999</v>
      </c>
      <c r="BD50" s="3149">
        <v>151.24</v>
      </c>
      <c r="BE50" s="3149">
        <f t="shared" si="837"/>
        <v>150.909930831076</v>
      </c>
      <c r="BF50" s="3149">
        <f>SUM(BD50/BD9*BF9)*0.9683655536</f>
        <v>0.33006916892399929</v>
      </c>
      <c r="BG50" s="3145">
        <f t="shared" si="730"/>
        <v>219.655</v>
      </c>
      <c r="BH50" s="3145">
        <f t="shared" si="731"/>
        <v>219.655</v>
      </c>
      <c r="BI50" s="3145">
        <f t="shared" si="732"/>
        <v>0</v>
      </c>
      <c r="BJ50" s="3145">
        <f t="shared" si="733"/>
        <v>162.00899999999999</v>
      </c>
      <c r="BK50" s="3145">
        <f>SUM('ПОЛНАЯ СЕБЕСТОИМОСТЬ СТОКИ 2019'!AA166)</f>
        <v>161.1</v>
      </c>
      <c r="BL50" s="3145">
        <f>SUM('ПОЛНАЯ СЕБЕСТОИМОСТЬ СТОКИ 2019'!AB166)</f>
        <v>0.90900000000000003</v>
      </c>
      <c r="BM50" s="3149">
        <v>183.1</v>
      </c>
      <c r="BN50" s="3149">
        <f t="shared" si="838"/>
        <v>180.73404619350032</v>
      </c>
      <c r="BO50" s="3149">
        <f>SUM(BM50/BM9*BO9)*0.9683655536</f>
        <v>2.3659538064996624</v>
      </c>
      <c r="BP50" s="3179">
        <f t="shared" si="735"/>
        <v>658.96500000000003</v>
      </c>
      <c r="BQ50" s="3179">
        <f t="shared" si="736"/>
        <v>658.96500000000003</v>
      </c>
      <c r="BR50" s="3179">
        <f t="shared" si="737"/>
        <v>0</v>
      </c>
      <c r="BS50" s="3179">
        <f t="shared" si="738"/>
        <v>511.899</v>
      </c>
      <c r="BT50" s="3179">
        <f t="shared" si="739"/>
        <v>510.07000000000005</v>
      </c>
      <c r="BU50" s="3179">
        <f t="shared" si="740"/>
        <v>1.829</v>
      </c>
      <c r="BV50" s="3179">
        <f t="shared" si="741"/>
        <v>489.27</v>
      </c>
      <c r="BW50" s="3179">
        <f t="shared" si="742"/>
        <v>486.43162944381146</v>
      </c>
      <c r="BX50" s="3179">
        <f t="shared" si="743"/>
        <v>2.8383705561885577</v>
      </c>
      <c r="BY50" s="3148">
        <f t="shared" si="744"/>
        <v>-147.06600000000003</v>
      </c>
      <c r="BZ50" s="3148">
        <f t="shared" si="745"/>
        <v>-148.89499999999998</v>
      </c>
      <c r="CA50" s="3148">
        <f t="shared" si="746"/>
        <v>1.829</v>
      </c>
      <c r="CB50" s="3179">
        <f t="shared" si="747"/>
        <v>1317.93</v>
      </c>
      <c r="CC50" s="3179">
        <f t="shared" si="748"/>
        <v>1317.93</v>
      </c>
      <c r="CD50" s="3179">
        <f t="shared" si="749"/>
        <v>0</v>
      </c>
      <c r="CE50" s="3179">
        <f t="shared" si="750"/>
        <v>971.69799999999998</v>
      </c>
      <c r="CF50" s="3179">
        <f t="shared" si="751"/>
        <v>968.6</v>
      </c>
      <c r="CG50" s="3179">
        <f t="shared" si="752"/>
        <v>3.0979999999999999</v>
      </c>
      <c r="CH50" s="3456">
        <f t="shared" si="753"/>
        <v>989.71</v>
      </c>
      <c r="CI50" s="3456">
        <f t="shared" si="754"/>
        <v>984.26222557269159</v>
      </c>
      <c r="CJ50" s="3456">
        <f t="shared" si="755"/>
        <v>5.447774427308409</v>
      </c>
      <c r="CK50" s="3148">
        <f t="shared" si="756"/>
        <v>-346.23200000000008</v>
      </c>
      <c r="CL50" s="3148">
        <f t="shared" si="757"/>
        <v>-349.33000000000004</v>
      </c>
      <c r="CM50" s="3148">
        <f t="shared" si="758"/>
        <v>3.0979999999999999</v>
      </c>
      <c r="CN50" s="3145">
        <f t="shared" si="759"/>
        <v>219.655</v>
      </c>
      <c r="CO50" s="3145">
        <f>SUM('ПОЛНАЯ СЕБЕСТОИМОСТЬ СТОКИ 2019'!AP166/3)</f>
        <v>219.655</v>
      </c>
      <c r="CP50" s="3145">
        <f>SUM('ПОЛНАЯ СЕБЕСТОИМОСТЬ СТОКИ 2019'!AQ166/3)</f>
        <v>0</v>
      </c>
      <c r="CQ50" s="3145">
        <f t="shared" si="760"/>
        <v>167.90600000000001</v>
      </c>
      <c r="CR50" s="3145">
        <f>SUM('ПОЛНАЯ СЕБЕСТОИМОСТЬ СТОКИ 2019'!AS166)</f>
        <v>167.83</v>
      </c>
      <c r="CS50" s="3145">
        <f>SUM('ПОЛНАЯ СЕБЕСТОИМОСТЬ СТОКИ 2019'!AT166)</f>
        <v>7.5999999999999998E-2</v>
      </c>
      <c r="CT50" s="3149">
        <v>151.66</v>
      </c>
      <c r="CU50" s="3149">
        <f t="shared" si="839"/>
        <v>151.45361333904253</v>
      </c>
      <c r="CV50" s="3149">
        <f>SUM(CT50/CT9*CV9)*0.9683655536</f>
        <v>0.20638666095747643</v>
      </c>
      <c r="CW50" s="3145">
        <f t="shared" si="762"/>
        <v>219.655</v>
      </c>
      <c r="CX50" s="3145">
        <f t="shared" si="763"/>
        <v>219.655</v>
      </c>
      <c r="CY50" s="3145">
        <f t="shared" si="764"/>
        <v>0</v>
      </c>
      <c r="CZ50" s="3145">
        <f t="shared" si="765"/>
        <v>145.07299999999998</v>
      </c>
      <c r="DA50" s="3145">
        <f>SUM('ПОЛНАЯ СЕБЕСТОИМОСТЬ СТОКИ 2019'!AV166)</f>
        <v>144.66999999999999</v>
      </c>
      <c r="DB50" s="3145">
        <f>SUM('ПОЛНАЯ СЕБЕСТОИМОСТЬ СТОКИ 2019'!AW166)</f>
        <v>0.40300000000000002</v>
      </c>
      <c r="DC50" s="3149">
        <v>171.61</v>
      </c>
      <c r="DD50" s="3149">
        <f t="shared" si="840"/>
        <v>171.2757348345207</v>
      </c>
      <c r="DE50" s="3149">
        <f>SUM(DC50/DC9*DE9)*0.9683655536</f>
        <v>0.3342651654793205</v>
      </c>
      <c r="DF50" s="3145">
        <f t="shared" si="767"/>
        <v>219.655</v>
      </c>
      <c r="DG50" s="3145">
        <f t="shared" si="768"/>
        <v>219.655</v>
      </c>
      <c r="DH50" s="3145">
        <f t="shared" si="769"/>
        <v>0</v>
      </c>
      <c r="DI50" s="3145">
        <f t="shared" si="770"/>
        <v>150.47999999999999</v>
      </c>
      <c r="DJ50" s="3145">
        <f>SUM('ПОЛНАЯ СЕБЕСТОИМОСТЬ СТОКИ 2019'!AY166)</f>
        <v>150.07</v>
      </c>
      <c r="DK50" s="3145">
        <f>SUM('ПОЛНАЯ СЕБЕСТОИМОСТЬ СТОКИ 2019'!AZ166)</f>
        <v>0.41</v>
      </c>
      <c r="DL50" s="3149">
        <v>157.88999999999999</v>
      </c>
      <c r="DM50" s="3149">
        <f t="shared" si="841"/>
        <v>155.70178986073546</v>
      </c>
      <c r="DN50" s="3149">
        <f>SUM(DL50/DL9*DN9)*0.9683655536</f>
        <v>2.1882101392645223</v>
      </c>
      <c r="DO50" s="3179">
        <f t="shared" si="772"/>
        <v>658.96500000000003</v>
      </c>
      <c r="DP50" s="3179">
        <f t="shared" si="773"/>
        <v>658.96500000000003</v>
      </c>
      <c r="DQ50" s="3179">
        <f t="shared" si="774"/>
        <v>0</v>
      </c>
      <c r="DR50" s="3179">
        <f t="shared" si="775"/>
        <v>463.45899999999995</v>
      </c>
      <c r="DS50" s="3179">
        <f t="shared" si="776"/>
        <v>462.57</v>
      </c>
      <c r="DT50" s="3179">
        <f t="shared" si="777"/>
        <v>0.88900000000000001</v>
      </c>
      <c r="DU50" s="3179">
        <f t="shared" si="778"/>
        <v>481.15999999999997</v>
      </c>
      <c r="DV50" s="3179">
        <f t="shared" si="779"/>
        <v>478.43113803429873</v>
      </c>
      <c r="DW50" s="3179">
        <f t="shared" si="780"/>
        <v>2.7288619657013191</v>
      </c>
      <c r="DX50" s="3148">
        <f t="shared" si="781"/>
        <v>-195.50600000000009</v>
      </c>
      <c r="DY50" s="3148">
        <f t="shared" si="782"/>
        <v>-196.39500000000004</v>
      </c>
      <c r="DZ50" s="3148">
        <f t="shared" si="783"/>
        <v>0.88900000000000001</v>
      </c>
      <c r="EA50" s="3179">
        <f t="shared" si="784"/>
        <v>1976.895</v>
      </c>
      <c r="EB50" s="3179">
        <f t="shared" si="785"/>
        <v>1976.895</v>
      </c>
      <c r="EC50" s="3179">
        <f t="shared" si="786"/>
        <v>0</v>
      </c>
      <c r="ED50" s="3179">
        <f t="shared" si="787"/>
        <v>1435.1569999999999</v>
      </c>
      <c r="EE50" s="3179">
        <f t="shared" si="788"/>
        <v>1431.17</v>
      </c>
      <c r="EF50" s="3179">
        <f t="shared" si="789"/>
        <v>3.9870000000000001</v>
      </c>
      <c r="EG50" s="3179">
        <f t="shared" si="790"/>
        <v>1470.87</v>
      </c>
      <c r="EH50" s="3179">
        <f t="shared" si="791"/>
        <v>1462.6933636069903</v>
      </c>
      <c r="EI50" s="3179">
        <f t="shared" si="792"/>
        <v>8.1766363930097281</v>
      </c>
      <c r="EJ50" s="3148">
        <f t="shared" si="793"/>
        <v>-541.73800000000006</v>
      </c>
      <c r="EK50" s="3148">
        <f t="shared" si="794"/>
        <v>-545.72499999999991</v>
      </c>
      <c r="EL50" s="3148">
        <f t="shared" si="795"/>
        <v>3.9870000000000001</v>
      </c>
      <c r="EM50" s="3145">
        <f t="shared" si="796"/>
        <v>219.655</v>
      </c>
      <c r="EN50" s="3145">
        <f>SUM('ПОЛНАЯ СЕБЕСТОИМОСТЬ СТОКИ 2019'!BN166/3)</f>
        <v>219.655</v>
      </c>
      <c r="EO50" s="3145">
        <f>SUM('ПОЛНАЯ СЕБЕСТОИМОСТЬ СТОКИ 2019'!BO166/3)</f>
        <v>0</v>
      </c>
      <c r="EP50" s="3145">
        <f t="shared" si="797"/>
        <v>0</v>
      </c>
      <c r="EQ50" s="3145">
        <f>SUM('ПОЛНАЯ СЕБЕСТОИМОСТЬ СТОКИ 2019'!BQ166)</f>
        <v>0</v>
      </c>
      <c r="ER50" s="3145">
        <f>SUM('ПОЛНАЯ СЕБЕСТОИМОСТЬ СТОКИ 2019'!BR166)</f>
        <v>0</v>
      </c>
      <c r="ES50" s="3149">
        <v>133.30000000000001</v>
      </c>
      <c r="ET50" s="3149">
        <f t="shared" si="842"/>
        <v>133.03270615354234</v>
      </c>
      <c r="EU50" s="3149">
        <f>SUM(ES50/ES9*EU9)*0.9683655536</f>
        <v>0.26729384645768545</v>
      </c>
      <c r="EV50" s="3145">
        <f t="shared" si="799"/>
        <v>219.655</v>
      </c>
      <c r="EW50" s="3145">
        <f t="shared" si="800"/>
        <v>219.655</v>
      </c>
      <c r="EX50" s="3145">
        <f t="shared" si="801"/>
        <v>0</v>
      </c>
      <c r="EY50" s="3145">
        <f t="shared" si="802"/>
        <v>0</v>
      </c>
      <c r="EZ50" s="3145">
        <f>SUM('ПОЛНАЯ СЕБЕСТОИМОСТЬ СТОКИ 2019'!BT166)</f>
        <v>0</v>
      </c>
      <c r="FA50" s="3145">
        <f>SUM('ПОЛНАЯ СЕБЕСТОИМОСТЬ СТОКИ 2019'!BU166)</f>
        <v>0</v>
      </c>
      <c r="FB50" s="3149">
        <v>143.94999999999999</v>
      </c>
      <c r="FC50" s="3149">
        <f t="shared" si="843"/>
        <v>143.65112989009225</v>
      </c>
      <c r="FD50" s="3149">
        <f>SUM(FB50/FB9*FD9)*0.9683655536</f>
        <v>0.29887010990774227</v>
      </c>
      <c r="FE50" s="3145">
        <f t="shared" si="804"/>
        <v>219.655</v>
      </c>
      <c r="FF50" s="3145">
        <f t="shared" si="805"/>
        <v>219.655</v>
      </c>
      <c r="FG50" s="3145">
        <f t="shared" si="806"/>
        <v>0</v>
      </c>
      <c r="FH50" s="3145">
        <f t="shared" si="807"/>
        <v>0</v>
      </c>
      <c r="FI50" s="3145">
        <f>SUM('ПОЛНАЯ СЕБЕСТОИМОСТЬ СТОКИ 2019'!BW166)</f>
        <v>0</v>
      </c>
      <c r="FJ50" s="3145">
        <f>SUM('ПОЛНАЯ СЕБЕСТОИМОСТЬ СТОКИ 2019'!BX166)</f>
        <v>0</v>
      </c>
      <c r="FK50" s="3149">
        <v>155.19</v>
      </c>
      <c r="FL50" s="3149">
        <f t="shared" si="844"/>
        <v>152.91169276568934</v>
      </c>
      <c r="FM50" s="3149">
        <f>SUM(FK50/FK9*FM9)*0.9683655536</f>
        <v>2.278307234310661</v>
      </c>
      <c r="FN50" s="3179">
        <f t="shared" si="809"/>
        <v>658.96500000000003</v>
      </c>
      <c r="FO50" s="3179">
        <f t="shared" si="810"/>
        <v>658.96500000000003</v>
      </c>
      <c r="FP50" s="3179">
        <f t="shared" si="811"/>
        <v>0</v>
      </c>
      <c r="FQ50" s="3179">
        <f t="shared" si="812"/>
        <v>0</v>
      </c>
      <c r="FR50" s="3179">
        <f t="shared" si="813"/>
        <v>0</v>
      </c>
      <c r="FS50" s="3179">
        <f t="shared" si="814"/>
        <v>0</v>
      </c>
      <c r="FT50" s="3179">
        <f t="shared" si="815"/>
        <v>432.44</v>
      </c>
      <c r="FU50" s="3179">
        <f t="shared" si="816"/>
        <v>429.59552880932392</v>
      </c>
      <c r="FV50" s="3179">
        <f t="shared" si="817"/>
        <v>2.8444711906760887</v>
      </c>
      <c r="FW50" s="3148">
        <f t="shared" si="818"/>
        <v>-658.96500000000003</v>
      </c>
      <c r="FX50" s="3148">
        <f t="shared" si="819"/>
        <v>-658.96500000000003</v>
      </c>
      <c r="FY50" s="3148">
        <f t="shared" si="820"/>
        <v>0</v>
      </c>
      <c r="FZ50" s="3457">
        <f t="shared" si="821"/>
        <v>2635.86</v>
      </c>
      <c r="GA50" s="3457">
        <f t="shared" si="822"/>
        <v>2635.86</v>
      </c>
      <c r="GB50" s="3457">
        <f t="shared" si="823"/>
        <v>0</v>
      </c>
      <c r="GC50" s="3457">
        <f t="shared" si="824"/>
        <v>1435.1569999999999</v>
      </c>
      <c r="GD50" s="3457">
        <f t="shared" si="825"/>
        <v>1431.17</v>
      </c>
      <c r="GE50" s="3457">
        <f t="shared" si="826"/>
        <v>3.9870000000000001</v>
      </c>
      <c r="GF50" s="3457">
        <f t="shared" si="827"/>
        <v>1903.31</v>
      </c>
      <c r="GG50" s="3457">
        <f t="shared" si="828"/>
        <v>1892.2888924163142</v>
      </c>
      <c r="GH50" s="3457">
        <f t="shared" si="829"/>
        <v>11.021107583685817</v>
      </c>
      <c r="GI50" s="3246">
        <f t="shared" si="830"/>
        <v>-1200.7030000000002</v>
      </c>
      <c r="GJ50" s="3246">
        <f t="shared" si="831"/>
        <v>-1204.69</v>
      </c>
      <c r="GK50" s="3246">
        <f t="shared" si="832"/>
        <v>3.9870000000000001</v>
      </c>
    </row>
    <row r="51" spans="1:193" ht="18.75" customHeight="1" x14ac:dyDescent="0.3">
      <c r="A51" s="3079" t="s">
        <v>280</v>
      </c>
      <c r="B51" s="3145">
        <f t="shared" si="697"/>
        <v>5.7974999999999994</v>
      </c>
      <c r="C51" s="3145">
        <f>SUM('ПОЛНАЯ СЕБЕСТОИМОСТЬ СТОКИ 2019'!C167/3)</f>
        <v>5.7974999999999994</v>
      </c>
      <c r="D51" s="3145">
        <f>SUM('ПОЛНАЯ СЕБЕСТОИМОСТЬ СТОКИ 2019'!D167/3)</f>
        <v>0</v>
      </c>
      <c r="E51" s="3145">
        <f t="shared" si="698"/>
        <v>4.7430000000000003</v>
      </c>
      <c r="F51" s="3145">
        <f>SUM('ПОЛНАЯ СЕБЕСТОИМОСТЬ СТОКИ 2019'!F167)</f>
        <v>4.7300000000000004</v>
      </c>
      <c r="G51" s="3145">
        <f>SUM('ПОЛНАЯ СЕБЕСТОИМОСТЬ СТОКИ 2019'!G167)</f>
        <v>1.2999999999999999E-2</v>
      </c>
      <c r="H51" s="3149">
        <v>0.09</v>
      </c>
      <c r="I51" s="3149">
        <f t="shared" si="833"/>
        <v>8.9952940775283957E-2</v>
      </c>
      <c r="J51" s="3149">
        <f>SUM(H51/H9*J9)*0.58974358974</f>
        <v>4.7059224716036785E-5</v>
      </c>
      <c r="K51" s="3145">
        <f t="shared" ref="K51:K56" si="869">SUM(L51:M51)</f>
        <v>5.7974999999999994</v>
      </c>
      <c r="L51" s="3145">
        <f t="shared" ref="L51:L56" si="870">SUM(C51)</f>
        <v>5.7974999999999994</v>
      </c>
      <c r="M51" s="3145">
        <f t="shared" ref="M51:M56" si="871">SUM(D51)</f>
        <v>0</v>
      </c>
      <c r="N51" s="3145">
        <f t="shared" si="703"/>
        <v>4.3129999999999997</v>
      </c>
      <c r="O51" s="3145">
        <f>SUM('ПОЛНАЯ СЕБЕСТОИМОСТЬ СТОКИ 2019'!I167)</f>
        <v>4.3</v>
      </c>
      <c r="P51" s="3145">
        <f>SUM('ПОЛНАЯ СЕБЕСТОИМОСТЬ СТОКИ 2019'!J167)</f>
        <v>1.2999999999999999E-2</v>
      </c>
      <c r="Q51" s="3149">
        <v>0.08</v>
      </c>
      <c r="R51" s="3149">
        <f t="shared" si="834"/>
        <v>7.996612846187777E-2</v>
      </c>
      <c r="S51" s="3149">
        <f>SUM(Q51/Q9*S9)*0.58974358974</f>
        <v>3.3871538122229361E-5</v>
      </c>
      <c r="T51" s="3145">
        <f t="shared" si="705"/>
        <v>5.7974999999999994</v>
      </c>
      <c r="U51" s="3145">
        <f t="shared" si="706"/>
        <v>5.7974999999999994</v>
      </c>
      <c r="V51" s="3145">
        <f t="shared" si="707"/>
        <v>0</v>
      </c>
      <c r="W51" s="3145">
        <f t="shared" si="708"/>
        <v>3.9899999999999998</v>
      </c>
      <c r="X51" s="3145">
        <f>SUM('ПОЛНАЯ СЕБЕСТОИМОСТЬ СТОКИ 2019'!L167)</f>
        <v>3.98</v>
      </c>
      <c r="Y51" s="3145">
        <f>SUM('ПОЛНАЯ СЕБЕСТОИМОСТЬ СТОКИ 2019'!M167)</f>
        <v>0.01</v>
      </c>
      <c r="Z51" s="3149">
        <v>1.84</v>
      </c>
      <c r="AA51" s="3149">
        <f t="shared" si="835"/>
        <v>1.8247217668636513</v>
      </c>
      <c r="AB51" s="3149">
        <f>SUM(Z51/Z9*AB9)*0.58974358974</f>
        <v>1.5278233136348808E-2</v>
      </c>
      <c r="AC51" s="3179">
        <f t="shared" si="710"/>
        <v>17.392499999999998</v>
      </c>
      <c r="AD51" s="3179">
        <f t="shared" si="711"/>
        <v>17.392499999999998</v>
      </c>
      <c r="AE51" s="3179">
        <f t="shared" si="712"/>
        <v>0</v>
      </c>
      <c r="AF51" s="3179">
        <f t="shared" si="713"/>
        <v>13.046000000000001</v>
      </c>
      <c r="AG51" s="3179">
        <f t="shared" si="714"/>
        <v>13.010000000000002</v>
      </c>
      <c r="AH51" s="3179">
        <f t="shared" si="715"/>
        <v>3.5999999999999997E-2</v>
      </c>
      <c r="AI51" s="3179">
        <f t="shared" si="716"/>
        <v>2.0100000000000002</v>
      </c>
      <c r="AJ51" s="3179">
        <f t="shared" si="717"/>
        <v>1.994640836100813</v>
      </c>
      <c r="AK51" s="3179">
        <f t="shared" si="718"/>
        <v>1.5359163899187074E-2</v>
      </c>
      <c r="AL51" s="3148">
        <f t="shared" si="719"/>
        <v>-4.3464999999999971</v>
      </c>
      <c r="AM51" s="3148">
        <f t="shared" si="720"/>
        <v>-4.3824999999999967</v>
      </c>
      <c r="AN51" s="3148">
        <f t="shared" si="721"/>
        <v>3.5999999999999997E-2</v>
      </c>
      <c r="AO51" s="3145">
        <f t="shared" si="722"/>
        <v>5.7974999999999994</v>
      </c>
      <c r="AP51" s="3145">
        <f>SUM('ПОЛНАЯ СЕБЕСТОИМОСТЬ СТОКИ 2019'!R167/3)</f>
        <v>5.7974999999999994</v>
      </c>
      <c r="AQ51" s="3145">
        <f>SUM('ПОЛНАЯ СЕБЕСТОИМОСТЬ СТОКИ 2019'!S167/3)</f>
        <v>0</v>
      </c>
      <c r="AR51" s="3145">
        <f t="shared" si="723"/>
        <v>4.4510000000000005</v>
      </c>
      <c r="AS51" s="3145">
        <f>SUM('ПОЛНАЯ СЕБЕСТОИМОСТЬ СТОКИ 2019'!U167)</f>
        <v>4.4400000000000004</v>
      </c>
      <c r="AT51" s="3145">
        <f>SUM('ПОЛНАЯ СЕБЕСТОИМОСТЬ СТОКИ 2019'!V167)</f>
        <v>1.0999999999999999E-2</v>
      </c>
      <c r="AU51" s="3149">
        <v>1.82</v>
      </c>
      <c r="AV51" s="3149">
        <f t="shared" si="836"/>
        <v>1.8189816200172793</v>
      </c>
      <c r="AW51" s="3149">
        <f>SUM(AU51/AU9*AW9)*0.58974358974</f>
        <v>1.0183799827207533E-3</v>
      </c>
      <c r="AX51" s="3145">
        <f t="shared" si="725"/>
        <v>5.7974999999999994</v>
      </c>
      <c r="AY51" s="3145">
        <f t="shared" si="726"/>
        <v>5.7974999999999994</v>
      </c>
      <c r="AZ51" s="3145">
        <f t="shared" si="727"/>
        <v>0</v>
      </c>
      <c r="BA51" s="3276">
        <f t="shared" si="728"/>
        <v>4.0010000000000003</v>
      </c>
      <c r="BB51" s="3276">
        <f>SUM('ПОЛНАЯ СЕБЕСТОИМОСТЬ СТОКИ 2019'!X167)</f>
        <v>3.99</v>
      </c>
      <c r="BC51" s="3276">
        <f>SUM('ПОЛНАЯ СЕБЕСТОИМОСТЬ СТОКИ 2019'!Y167)</f>
        <v>1.0999999999999999E-2</v>
      </c>
      <c r="BD51" s="3149">
        <v>1.85</v>
      </c>
      <c r="BE51" s="3149">
        <f t="shared" si="837"/>
        <v>1.8475411393552039</v>
      </c>
      <c r="BF51" s="3149">
        <f>SUM(BD51/BD9*BF9)*0.58974358974</f>
        <v>2.4588606447962492E-3</v>
      </c>
      <c r="BG51" s="3145">
        <f t="shared" si="730"/>
        <v>5.7974999999999994</v>
      </c>
      <c r="BH51" s="3145">
        <f t="shared" si="731"/>
        <v>5.7974999999999994</v>
      </c>
      <c r="BI51" s="3145">
        <f t="shared" si="732"/>
        <v>0</v>
      </c>
      <c r="BJ51" s="3145">
        <f t="shared" ref="BJ51:BJ56" si="872">SUM(BK51:BL51)</f>
        <v>3.0469999999999997</v>
      </c>
      <c r="BK51" s="3145">
        <f>SUM('ПОЛНАЯ СЕБЕСТОИМОСТЬ СТОКИ 2019'!AA167)</f>
        <v>3.03</v>
      </c>
      <c r="BL51" s="3145">
        <f>SUM('ПОЛНАЯ СЕБЕСТОИМОСТЬ СТОКИ 2019'!AB167)</f>
        <v>1.7000000000000001E-2</v>
      </c>
      <c r="BM51" s="3149">
        <v>2.1800000000000002</v>
      </c>
      <c r="BN51" s="3149">
        <f t="shared" si="838"/>
        <v>2.1628447004016493</v>
      </c>
      <c r="BO51" s="3149">
        <f>SUM(BM51/BM9*BO9)*0.58974358974</f>
        <v>1.7155299598350712E-2</v>
      </c>
      <c r="BP51" s="3179">
        <f t="shared" si="735"/>
        <v>17.392499999999998</v>
      </c>
      <c r="BQ51" s="3179">
        <f t="shared" si="736"/>
        <v>17.392499999999998</v>
      </c>
      <c r="BR51" s="3179">
        <f t="shared" si="737"/>
        <v>0</v>
      </c>
      <c r="BS51" s="3179">
        <f t="shared" si="738"/>
        <v>11.499000000000002</v>
      </c>
      <c r="BT51" s="3179">
        <f t="shared" si="739"/>
        <v>11.459999999999999</v>
      </c>
      <c r="BU51" s="3179">
        <f t="shared" si="740"/>
        <v>3.9E-2</v>
      </c>
      <c r="BV51" s="3179">
        <f t="shared" si="741"/>
        <v>5.85</v>
      </c>
      <c r="BW51" s="3179">
        <f t="shared" si="742"/>
        <v>5.829367459774133</v>
      </c>
      <c r="BX51" s="3179">
        <f t="shared" si="743"/>
        <v>2.0632540225867715E-2</v>
      </c>
      <c r="BY51" s="3148">
        <f t="shared" si="744"/>
        <v>-5.893499999999996</v>
      </c>
      <c r="BZ51" s="3148">
        <f t="shared" si="745"/>
        <v>-5.9324999999999992</v>
      </c>
      <c r="CA51" s="3148">
        <f t="shared" si="746"/>
        <v>3.9E-2</v>
      </c>
      <c r="CB51" s="3179">
        <f t="shared" si="747"/>
        <v>34.784999999999997</v>
      </c>
      <c r="CC51" s="3179">
        <f t="shared" si="748"/>
        <v>34.784999999999997</v>
      </c>
      <c r="CD51" s="3179">
        <f t="shared" si="749"/>
        <v>0</v>
      </c>
      <c r="CE51" s="3179">
        <f t="shared" si="750"/>
        <v>24.545000000000002</v>
      </c>
      <c r="CF51" s="3179">
        <f t="shared" si="751"/>
        <v>24.47</v>
      </c>
      <c r="CG51" s="3179">
        <f t="shared" si="752"/>
        <v>7.4999999999999997E-2</v>
      </c>
      <c r="CH51" s="3456">
        <f t="shared" si="753"/>
        <v>7.8599999999999994</v>
      </c>
      <c r="CI51" s="3456">
        <f t="shared" si="754"/>
        <v>7.824008295874946</v>
      </c>
      <c r="CJ51" s="3456">
        <f t="shared" si="755"/>
        <v>3.5991704125054785E-2</v>
      </c>
      <c r="CK51" s="3148">
        <f t="shared" si="756"/>
        <v>-10.239999999999995</v>
      </c>
      <c r="CL51" s="3148">
        <f t="shared" si="757"/>
        <v>-10.314999999999998</v>
      </c>
      <c r="CM51" s="3148">
        <f t="shared" si="758"/>
        <v>7.4999999999999997E-2</v>
      </c>
      <c r="CN51" s="3145">
        <f t="shared" si="759"/>
        <v>5.7974999999999994</v>
      </c>
      <c r="CO51" s="3145">
        <f>SUM('ПОЛНАЯ СЕБЕСТОИМОСТЬ СТОКИ 2019'!AP167/3)</f>
        <v>5.7974999999999994</v>
      </c>
      <c r="CP51" s="3145">
        <f>SUM('ПОЛНАЯ СЕБЕСТОИМОСТЬ СТОКИ 2019'!AQ167/3)</f>
        <v>0</v>
      </c>
      <c r="CQ51" s="3145">
        <f t="shared" si="760"/>
        <v>3.6519999999999997</v>
      </c>
      <c r="CR51" s="3145">
        <f>SUM('ПОЛНАЯ СЕБЕСТОИМОСТЬ СТОКИ 2019'!AS167)</f>
        <v>3.65</v>
      </c>
      <c r="CS51" s="3145">
        <f>SUM('ПОЛНАЯ СЕБЕСТОИМОСТЬ СТОКИ 2019'!AT167)</f>
        <v>2E-3</v>
      </c>
      <c r="CT51" s="3149">
        <v>1.33</v>
      </c>
      <c r="CU51" s="3149">
        <f t="shared" si="839"/>
        <v>1.3288977347636588</v>
      </c>
      <c r="CV51" s="3149">
        <f>SUM(CT51/CT9*CV9)*0.58974358974</f>
        <v>1.1022652363413574E-3</v>
      </c>
      <c r="CW51" s="3145">
        <f t="shared" si="762"/>
        <v>5.7974999999999994</v>
      </c>
      <c r="CX51" s="3145">
        <f t="shared" si="763"/>
        <v>5.7974999999999994</v>
      </c>
      <c r="CY51" s="3145">
        <f t="shared" si="764"/>
        <v>0</v>
      </c>
      <c r="CZ51" s="3145">
        <f t="shared" si="765"/>
        <v>5.0339999999999998</v>
      </c>
      <c r="DA51" s="3145">
        <f>SUM('ПОЛНАЯ СЕБЕСТОИМОСТЬ СТОКИ 2019'!AV167)</f>
        <v>5.0199999999999996</v>
      </c>
      <c r="DB51" s="3145">
        <f>SUM('ПОЛНАЯ СЕБЕСТОИМОСТЬ СТОКИ 2019'!AW167)</f>
        <v>1.4E-2</v>
      </c>
      <c r="DC51" s="3149">
        <v>1.29</v>
      </c>
      <c r="DD51" s="3149">
        <f t="shared" si="840"/>
        <v>1.288469750889689</v>
      </c>
      <c r="DE51" s="3149">
        <f>SUM(DC51/DC9*DE9)*0.58974358974</f>
        <v>1.5302491103109702E-3</v>
      </c>
      <c r="DF51" s="3145">
        <f t="shared" si="767"/>
        <v>5.7974999999999994</v>
      </c>
      <c r="DG51" s="3145">
        <f t="shared" si="768"/>
        <v>5.7974999999999994</v>
      </c>
      <c r="DH51" s="3145">
        <f t="shared" si="769"/>
        <v>0</v>
      </c>
      <c r="DI51" s="3145">
        <f t="shared" si="770"/>
        <v>4.74</v>
      </c>
      <c r="DJ51" s="3145">
        <f>SUM('ПОЛНАЯ СЕБЕСТОИМОСТЬ СТОКИ 2019'!AY167)</f>
        <v>4.7300000000000004</v>
      </c>
      <c r="DK51" s="3145">
        <f>SUM('ПОЛНАЯ СЕБЕСТОИМОСТЬ СТОКИ 2019'!AZ167)</f>
        <v>0.01</v>
      </c>
      <c r="DL51" s="3149">
        <v>4.3499999999999996</v>
      </c>
      <c r="DM51" s="3149">
        <f t="shared" si="841"/>
        <v>4.3132846599597165</v>
      </c>
      <c r="DN51" s="3149">
        <f>SUM(DL51/DL9*DN9)*0.58974358974</f>
        <v>3.6715340040282811E-2</v>
      </c>
      <c r="DO51" s="3179">
        <f t="shared" si="772"/>
        <v>17.392499999999998</v>
      </c>
      <c r="DP51" s="3179">
        <f t="shared" si="773"/>
        <v>17.392499999999998</v>
      </c>
      <c r="DQ51" s="3179">
        <f t="shared" si="774"/>
        <v>0</v>
      </c>
      <c r="DR51" s="3179">
        <f t="shared" si="775"/>
        <v>13.426</v>
      </c>
      <c r="DS51" s="3179">
        <f t="shared" si="776"/>
        <v>13.4</v>
      </c>
      <c r="DT51" s="3179">
        <f t="shared" si="777"/>
        <v>2.6000000000000002E-2</v>
      </c>
      <c r="DU51" s="3179">
        <f t="shared" si="778"/>
        <v>6.97</v>
      </c>
      <c r="DV51" s="3179">
        <f t="shared" si="779"/>
        <v>6.9306521456130641</v>
      </c>
      <c r="DW51" s="3179">
        <f t="shared" si="780"/>
        <v>3.9347854386935138E-2</v>
      </c>
      <c r="DX51" s="3148">
        <f t="shared" si="781"/>
        <v>-3.9664999999999981</v>
      </c>
      <c r="DY51" s="3148">
        <f t="shared" si="782"/>
        <v>-3.9924999999999979</v>
      </c>
      <c r="DZ51" s="3148">
        <f t="shared" si="783"/>
        <v>2.6000000000000002E-2</v>
      </c>
      <c r="EA51" s="3179">
        <f t="shared" si="784"/>
        <v>52.177499999999995</v>
      </c>
      <c r="EB51" s="3179">
        <f t="shared" si="785"/>
        <v>52.177499999999995</v>
      </c>
      <c r="EC51" s="3179">
        <f t="shared" si="786"/>
        <v>0</v>
      </c>
      <c r="ED51" s="3179">
        <f t="shared" si="787"/>
        <v>37.971000000000004</v>
      </c>
      <c r="EE51" s="3179">
        <f t="shared" si="788"/>
        <v>37.869999999999997</v>
      </c>
      <c r="EF51" s="3179">
        <f t="shared" si="789"/>
        <v>0.10100000000000001</v>
      </c>
      <c r="EG51" s="3179">
        <f t="shared" si="790"/>
        <v>14.829999999999998</v>
      </c>
      <c r="EH51" s="3179">
        <f t="shared" si="791"/>
        <v>14.75466044148801</v>
      </c>
      <c r="EI51" s="3179">
        <f t="shared" si="792"/>
        <v>7.5339558511989924E-2</v>
      </c>
      <c r="EJ51" s="3148">
        <f t="shared" si="793"/>
        <v>-14.206499999999991</v>
      </c>
      <c r="EK51" s="3148">
        <f t="shared" si="794"/>
        <v>-14.307499999999997</v>
      </c>
      <c r="EL51" s="3148">
        <f t="shared" si="795"/>
        <v>0.10100000000000001</v>
      </c>
      <c r="EM51" s="3145">
        <f t="shared" ref="EM51:EM56" si="873">SUM(EN51:EO51)</f>
        <v>5.7974999999999994</v>
      </c>
      <c r="EN51" s="3145">
        <f>SUM('ПОЛНАЯ СЕБЕСТОИМОСТЬ СТОКИ 2019'!BN167/3)</f>
        <v>5.7974999999999994</v>
      </c>
      <c r="EO51" s="3145">
        <f>SUM('ПОЛНАЯ СЕБЕСТОИМОСТЬ СТОКИ 2019'!BO167/3)</f>
        <v>0</v>
      </c>
      <c r="EP51" s="3145">
        <f t="shared" si="797"/>
        <v>0</v>
      </c>
      <c r="EQ51" s="3145">
        <f>SUM('ПОЛНАЯ СЕБЕСТОИМОСТЬ СТОКИ 2019'!BQ167)</f>
        <v>0</v>
      </c>
      <c r="ER51" s="3145">
        <f>SUM('ПОЛНАЯ СЕБЕСТОИМОСТЬ СТОКИ 2019'!BR167)</f>
        <v>0</v>
      </c>
      <c r="ES51" s="3149">
        <v>5.36</v>
      </c>
      <c r="ET51" s="3149">
        <f t="shared" si="842"/>
        <v>5.3534544296106166</v>
      </c>
      <c r="EU51" s="3149">
        <f>SUM(ES51/ES9*EU9)*0.58974358974</f>
        <v>6.545570389383604E-3</v>
      </c>
      <c r="EV51" s="3145">
        <f t="shared" si="799"/>
        <v>5.7974999999999994</v>
      </c>
      <c r="EW51" s="3145">
        <f t="shared" si="800"/>
        <v>5.7974999999999994</v>
      </c>
      <c r="EX51" s="3145">
        <f t="shared" si="801"/>
        <v>0</v>
      </c>
      <c r="EY51" s="3145">
        <f t="shared" si="802"/>
        <v>0</v>
      </c>
      <c r="EZ51" s="3145">
        <f>SUM('ПОЛНАЯ СЕБЕСТОИМОСТЬ СТОКИ 2019'!BT167)</f>
        <v>0</v>
      </c>
      <c r="FA51" s="3145">
        <f>SUM('ПОЛНАЯ СЕБЕСТОИМОСТЬ СТОКИ 2019'!BU167)</f>
        <v>0</v>
      </c>
      <c r="FB51" s="3149">
        <v>4.18</v>
      </c>
      <c r="FC51" s="3149">
        <f t="shared" si="843"/>
        <v>4.1747146835833551</v>
      </c>
      <c r="FD51" s="3149">
        <f>SUM(FB51/FB9*FD9)*0.58974358974</f>
        <v>5.2853164166445582E-3</v>
      </c>
      <c r="FE51" s="3145">
        <f t="shared" si="804"/>
        <v>5.7974999999999994</v>
      </c>
      <c r="FF51" s="3145">
        <f t="shared" si="805"/>
        <v>5.7974999999999994</v>
      </c>
      <c r="FG51" s="3145">
        <f t="shared" si="806"/>
        <v>0</v>
      </c>
      <c r="FH51" s="3145">
        <f t="shared" si="807"/>
        <v>0</v>
      </c>
      <c r="FI51" s="3145">
        <f>SUM('ПОЛНАЯ СЕБЕСТОИМОСТЬ СТОКИ 2019'!BW167)</f>
        <v>0</v>
      </c>
      <c r="FJ51" s="3145">
        <f>SUM('ПОЛНАЯ СЕБЕСТОИМОСТЬ СТОКИ 2019'!BX167)</f>
        <v>0</v>
      </c>
      <c r="FK51" s="3149">
        <v>15.86</v>
      </c>
      <c r="FL51" s="3149">
        <f t="shared" si="844"/>
        <v>15.718200194364321</v>
      </c>
      <c r="FM51" s="3149">
        <f>SUM(FK51/FK9*FM9)*0.58974358974</f>
        <v>0.14179980563567718</v>
      </c>
      <c r="FN51" s="3179">
        <f t="shared" si="809"/>
        <v>17.392499999999998</v>
      </c>
      <c r="FO51" s="3179">
        <f t="shared" si="810"/>
        <v>17.392499999999998</v>
      </c>
      <c r="FP51" s="3179">
        <f t="shared" si="811"/>
        <v>0</v>
      </c>
      <c r="FQ51" s="3179">
        <f t="shared" si="812"/>
        <v>0</v>
      </c>
      <c r="FR51" s="3179">
        <f t="shared" si="813"/>
        <v>0</v>
      </c>
      <c r="FS51" s="3179">
        <f t="shared" si="814"/>
        <v>0</v>
      </c>
      <c r="FT51" s="3179">
        <f t="shared" si="815"/>
        <v>25.4</v>
      </c>
      <c r="FU51" s="3179">
        <f t="shared" si="816"/>
        <v>25.246369307558293</v>
      </c>
      <c r="FV51" s="3179">
        <f t="shared" si="817"/>
        <v>0.15363069244170535</v>
      </c>
      <c r="FW51" s="3148">
        <f t="shared" si="818"/>
        <v>-17.392499999999998</v>
      </c>
      <c r="FX51" s="3148">
        <f t="shared" si="819"/>
        <v>-17.392499999999998</v>
      </c>
      <c r="FY51" s="3148">
        <f t="shared" si="820"/>
        <v>0</v>
      </c>
      <c r="FZ51" s="3457">
        <f t="shared" si="821"/>
        <v>69.569999999999993</v>
      </c>
      <c r="GA51" s="3457">
        <f t="shared" si="822"/>
        <v>69.569999999999993</v>
      </c>
      <c r="GB51" s="3457">
        <f t="shared" si="823"/>
        <v>0</v>
      </c>
      <c r="GC51" s="3457">
        <f t="shared" si="824"/>
        <v>37.971000000000004</v>
      </c>
      <c r="GD51" s="3457">
        <f t="shared" si="825"/>
        <v>37.869999999999997</v>
      </c>
      <c r="GE51" s="3457">
        <f t="shared" si="826"/>
        <v>0.10100000000000001</v>
      </c>
      <c r="GF51" s="3457">
        <f t="shared" ref="GF51:GF56" si="874">SUM(EG51+FT51)</f>
        <v>40.229999999999997</v>
      </c>
      <c r="GG51" s="3457">
        <f t="shared" ref="GG51:GG56" si="875">SUM(EH51+FU51)</f>
        <v>40.001029749046303</v>
      </c>
      <c r="GH51" s="3457">
        <f t="shared" ref="GH51:GH56" si="876">SUM(EI51+FV51)</f>
        <v>0.22897025095369528</v>
      </c>
      <c r="GI51" s="3246">
        <f t="shared" si="830"/>
        <v>-31.59899999999999</v>
      </c>
      <c r="GJ51" s="3246">
        <f t="shared" si="831"/>
        <v>-31.699999999999996</v>
      </c>
      <c r="GK51" s="3246">
        <f t="shared" si="832"/>
        <v>0.10100000000000001</v>
      </c>
    </row>
    <row r="52" spans="1:193" ht="18.75" customHeight="1" x14ac:dyDescent="0.3">
      <c r="A52" s="3079" t="s">
        <v>1560</v>
      </c>
      <c r="B52" s="3145">
        <f t="shared" si="697"/>
        <v>4.1483333333333334</v>
      </c>
      <c r="C52" s="3145">
        <f>SUM('ПОЛНАЯ СЕБЕСТОИМОСТЬ СТОКИ 2019'!C168/3)</f>
        <v>4.1483333333333334</v>
      </c>
      <c r="D52" s="3145">
        <f>SUM('ПОЛНАЯ СЕБЕСТОИМОСТЬ СТОКИ 2019'!D168/3)</f>
        <v>0</v>
      </c>
      <c r="E52" s="3145">
        <f t="shared" si="698"/>
        <v>7.8820000000000006</v>
      </c>
      <c r="F52" s="3145">
        <f>SUM('ПОЛНАЯ СЕБЕСТОИМОСТЬ СТОКИ 2019'!F168)</f>
        <v>7.86</v>
      </c>
      <c r="G52" s="3145">
        <f>SUM('ПОЛНАЯ СЕБЕСТОИМОСТЬ СТОКИ 2019'!G168)</f>
        <v>2.1999999999999999E-2</v>
      </c>
      <c r="H52" s="3149">
        <v>7</v>
      </c>
      <c r="I52" s="3149">
        <f t="shared" si="833"/>
        <v>6.993793638479441</v>
      </c>
      <c r="J52" s="3149">
        <f>SUM(H52/H9*J9)</f>
        <v>6.2063615205585725E-3</v>
      </c>
      <c r="K52" s="3145">
        <f t="shared" si="869"/>
        <v>4.1483333333333334</v>
      </c>
      <c r="L52" s="3145">
        <f t="shared" si="870"/>
        <v>4.1483333333333334</v>
      </c>
      <c r="M52" s="3145">
        <f t="shared" si="871"/>
        <v>0</v>
      </c>
      <c r="N52" s="3145">
        <f t="shared" ref="N52:N56" si="877">SUM(O52:P52)</f>
        <v>7.3609999999999998</v>
      </c>
      <c r="O52" s="3145">
        <f>SUM('ПОЛНАЯ СЕБЕСТОИМОСТЬ СТОКИ 2019'!I168)</f>
        <v>7.34</v>
      </c>
      <c r="P52" s="3145">
        <f>SUM('ПОЛНАЯ СЕБЕСТОИМОСТЬ СТОКИ 2019'!J168)</f>
        <v>2.1000000000000001E-2</v>
      </c>
      <c r="Q52" s="3149">
        <v>7.47</v>
      </c>
      <c r="R52" s="3149">
        <f t="shared" si="834"/>
        <v>7.4646370678254295</v>
      </c>
      <c r="S52" s="3149">
        <f>SUM(Q52/Q9*S9)</f>
        <v>5.3629321745701872E-3</v>
      </c>
      <c r="T52" s="3145">
        <f t="shared" si="705"/>
        <v>4.1483333333333334</v>
      </c>
      <c r="U52" s="3145">
        <f t="shared" si="706"/>
        <v>4.1483333333333334</v>
      </c>
      <c r="V52" s="3145">
        <f t="shared" si="707"/>
        <v>0</v>
      </c>
      <c r="W52" s="3145">
        <f t="shared" ref="W52:W56" si="878">SUM(X52:Y52)</f>
        <v>5.6040000000000001</v>
      </c>
      <c r="X52" s="3145">
        <f>SUM('ПОЛНАЯ СЕБЕСТОИМОСТЬ СТОКИ 2019'!L168)</f>
        <v>5.59</v>
      </c>
      <c r="Y52" s="3145">
        <f>SUM('ПОЛНАЯ СЕБЕСТОИМОСТЬ СТОКИ 2019'!M168)</f>
        <v>1.4E-2</v>
      </c>
      <c r="Z52" s="3149">
        <v>8.08</v>
      </c>
      <c r="AA52" s="3149">
        <f t="shared" si="835"/>
        <v>7.9662363698970804</v>
      </c>
      <c r="AB52" s="3149">
        <f>SUM(Z52/Z9*AB9)</f>
        <v>0.11376363010291923</v>
      </c>
      <c r="AC52" s="3179">
        <f t="shared" si="710"/>
        <v>12.445</v>
      </c>
      <c r="AD52" s="3179">
        <f t="shared" si="711"/>
        <v>12.445</v>
      </c>
      <c r="AE52" s="3179">
        <f t="shared" si="712"/>
        <v>0</v>
      </c>
      <c r="AF52" s="3179">
        <f t="shared" si="713"/>
        <v>20.847000000000001</v>
      </c>
      <c r="AG52" s="3179">
        <f t="shared" si="714"/>
        <v>20.79</v>
      </c>
      <c r="AH52" s="3179">
        <f t="shared" si="715"/>
        <v>5.6999999999999995E-2</v>
      </c>
      <c r="AI52" s="3179">
        <f t="shared" ref="AI52:AI56" si="879">SUM(H52+Q52+Z52)</f>
        <v>22.549999999999997</v>
      </c>
      <c r="AJ52" s="3179">
        <f t="shared" ref="AJ52:AJ56" si="880">SUM(I52+R52+AA52)</f>
        <v>22.424667076201949</v>
      </c>
      <c r="AK52" s="3179">
        <f t="shared" ref="AK52:AK56" si="881">SUM(J52+S52+AB52)</f>
        <v>0.125332923798048</v>
      </c>
      <c r="AL52" s="3148">
        <f t="shared" si="719"/>
        <v>8.402000000000001</v>
      </c>
      <c r="AM52" s="3148">
        <f t="shared" si="720"/>
        <v>8.3449999999999989</v>
      </c>
      <c r="AN52" s="3148">
        <f t="shared" si="721"/>
        <v>5.6999999999999995E-2</v>
      </c>
      <c r="AO52" s="3145">
        <f t="shared" ref="AO52:AO56" si="882">SUM(AP52:AQ52)</f>
        <v>4.1483333333333334</v>
      </c>
      <c r="AP52" s="3145">
        <f>SUM('ПОЛНАЯ СЕБЕСТОИМОСТЬ СТОКИ 2019'!R168/3)</f>
        <v>4.1483333333333334</v>
      </c>
      <c r="AQ52" s="3145">
        <f>SUM('ПОЛНАЯ СЕБЕСТОИМОСТЬ СТОКИ 2019'!S168/3)</f>
        <v>0</v>
      </c>
      <c r="AR52" s="3145">
        <f t="shared" si="723"/>
        <v>4.6909999999999998</v>
      </c>
      <c r="AS52" s="3145">
        <f>SUM('ПОЛНАЯ СЕБЕСТОИМОСТЬ СТОКИ 2019'!U168)</f>
        <v>4.68</v>
      </c>
      <c r="AT52" s="3145">
        <f>SUM('ПОЛНАЯ СЕБЕСТОИМОСТЬ СТОКИ 2019'!V168)</f>
        <v>1.0999999999999999E-2</v>
      </c>
      <c r="AU52" s="3149">
        <v>5.7</v>
      </c>
      <c r="AV52" s="3149">
        <f t="shared" si="836"/>
        <v>5.6945918330109846</v>
      </c>
      <c r="AW52" s="3149">
        <f>SUM(AU52/AU9*AW9)</f>
        <v>5.4081669890158023E-3</v>
      </c>
      <c r="AX52" s="3145">
        <f t="shared" ref="AX52:AX56" si="883">SUM(AY52:AZ52)</f>
        <v>4.1483333333333334</v>
      </c>
      <c r="AY52" s="3145">
        <f t="shared" ref="AY52:AY56" si="884">SUM(AP52)</f>
        <v>4.1483333333333334</v>
      </c>
      <c r="AZ52" s="3145">
        <f t="shared" ref="AZ52:AZ56" si="885">SUM(AQ52)</f>
        <v>0</v>
      </c>
      <c r="BA52" s="3276">
        <f t="shared" si="728"/>
        <v>1.6349999999999998</v>
      </c>
      <c r="BB52" s="3276">
        <f>SUM('ПОЛНАЯ СЕБЕСТОИМОСТЬ СТОКИ 2019'!X168)</f>
        <v>1.63</v>
      </c>
      <c r="BC52" s="3276">
        <f>SUM('ПОЛНАЯ СЕБЕСТОИМОСТЬ СТОКИ 2019'!Y168)</f>
        <v>5.0000000000000001E-3</v>
      </c>
      <c r="BD52" s="3149">
        <v>1.7</v>
      </c>
      <c r="BE52" s="3149">
        <f t="shared" si="837"/>
        <v>1.6961686848237136</v>
      </c>
      <c r="BF52" s="3149">
        <f>SUM(BD52/BD9*BF9)</f>
        <v>3.8313151762863363E-3</v>
      </c>
      <c r="BG52" s="3145">
        <f t="shared" si="730"/>
        <v>4.1483333333333334</v>
      </c>
      <c r="BH52" s="3145">
        <f t="shared" si="731"/>
        <v>4.1483333333333334</v>
      </c>
      <c r="BI52" s="3145">
        <f t="shared" si="732"/>
        <v>0</v>
      </c>
      <c r="BJ52" s="3145">
        <f t="shared" si="872"/>
        <v>0</v>
      </c>
      <c r="BK52" s="3145">
        <f>SUM('ПОЛНАЯ СЕБЕСТОИМОСТЬ СТОКИ 2019'!AA168)</f>
        <v>0</v>
      </c>
      <c r="BL52" s="3145">
        <f>SUM('ПОЛНАЯ СЕБЕСТОИМОСТЬ СТОКИ 2019'!AB168)</f>
        <v>0</v>
      </c>
      <c r="BM52" s="3149">
        <v>0</v>
      </c>
      <c r="BN52" s="3149">
        <f t="shared" si="838"/>
        <v>0</v>
      </c>
      <c r="BO52" s="3149">
        <f>SUM(BM52/BM9*BO9)</f>
        <v>0</v>
      </c>
      <c r="BP52" s="3179">
        <f t="shared" ref="BP52:BP56" si="886">SUM(AO52+AX52+BG52)</f>
        <v>12.445</v>
      </c>
      <c r="BQ52" s="3179">
        <f t="shared" ref="BQ52:BQ56" si="887">SUM(AP52+AY52+BH52)</f>
        <v>12.445</v>
      </c>
      <c r="BR52" s="3179">
        <f t="shared" ref="BR52:BR56" si="888">SUM(AQ52+AZ52+BI52)</f>
        <v>0</v>
      </c>
      <c r="BS52" s="3179">
        <f t="shared" si="738"/>
        <v>6.3259999999999996</v>
      </c>
      <c r="BT52" s="3179">
        <f t="shared" si="739"/>
        <v>6.31</v>
      </c>
      <c r="BU52" s="3179">
        <f t="shared" si="740"/>
        <v>1.6E-2</v>
      </c>
      <c r="BV52" s="3179">
        <f t="shared" si="741"/>
        <v>7.4</v>
      </c>
      <c r="BW52" s="3179">
        <f t="shared" si="742"/>
        <v>7.390760517834698</v>
      </c>
      <c r="BX52" s="3179">
        <f t="shared" si="743"/>
        <v>9.2394821653021385E-3</v>
      </c>
      <c r="BY52" s="3148">
        <f t="shared" si="744"/>
        <v>-6.1190000000000007</v>
      </c>
      <c r="BZ52" s="3148">
        <f t="shared" si="745"/>
        <v>-6.1350000000000007</v>
      </c>
      <c r="CA52" s="3148">
        <f t="shared" si="746"/>
        <v>1.6E-2</v>
      </c>
      <c r="CB52" s="3179">
        <f t="shared" si="747"/>
        <v>24.89</v>
      </c>
      <c r="CC52" s="3179">
        <f t="shared" si="748"/>
        <v>24.89</v>
      </c>
      <c r="CD52" s="3179">
        <f t="shared" si="749"/>
        <v>0</v>
      </c>
      <c r="CE52" s="3179">
        <f t="shared" si="750"/>
        <v>27.173000000000002</v>
      </c>
      <c r="CF52" s="3179">
        <f t="shared" si="751"/>
        <v>27.099999999999998</v>
      </c>
      <c r="CG52" s="3179">
        <f t="shared" si="752"/>
        <v>7.2999999999999995E-2</v>
      </c>
      <c r="CH52" s="3456">
        <f t="shared" si="753"/>
        <v>29.949999999999996</v>
      </c>
      <c r="CI52" s="3456">
        <f t="shared" si="754"/>
        <v>29.815427594036649</v>
      </c>
      <c r="CJ52" s="3456">
        <f t="shared" si="755"/>
        <v>0.13457240596335013</v>
      </c>
      <c r="CK52" s="3148">
        <f t="shared" ref="CK52:CK56" si="889">SUM(CE52-CB52)</f>
        <v>2.2830000000000013</v>
      </c>
      <c r="CL52" s="3148">
        <f t="shared" ref="CL52:CL56" si="890">SUM(CF52-CC52)</f>
        <v>2.2099999999999973</v>
      </c>
      <c r="CM52" s="3148">
        <f t="shared" ref="CM52:CM56" si="891">SUM(CG52-CD52)</f>
        <v>7.2999999999999995E-2</v>
      </c>
      <c r="CN52" s="3145">
        <f t="shared" si="759"/>
        <v>4.1483333333333334</v>
      </c>
      <c r="CO52" s="3145">
        <f>SUM('ПОЛНАЯ СЕБЕСТОИМОСТЬ СТОКИ 2019'!AP168/3)</f>
        <v>4.1483333333333334</v>
      </c>
      <c r="CP52" s="3145">
        <f>SUM('ПОЛНАЯ СЕБЕСТОИМОСТЬ СТОКИ 2019'!AQ168/3)</f>
        <v>0</v>
      </c>
      <c r="CQ52" s="3145">
        <f t="shared" si="760"/>
        <v>0</v>
      </c>
      <c r="CR52" s="3145">
        <f>SUM('ПОЛНАЯ СЕБЕСТОИМОСТЬ СТОКИ 2019'!AS168)</f>
        <v>0</v>
      </c>
      <c r="CS52" s="3145">
        <f>SUM('ПОЛНАЯ СЕБЕСТОИМОСТЬ СТОКИ 2019'!AT168)</f>
        <v>0</v>
      </c>
      <c r="CT52" s="3149">
        <v>0</v>
      </c>
      <c r="CU52" s="3149">
        <f t="shared" si="839"/>
        <v>0</v>
      </c>
      <c r="CV52" s="3149">
        <f>SUM(CT52/CT9*CV9)</f>
        <v>0</v>
      </c>
      <c r="CW52" s="3145">
        <f t="shared" si="762"/>
        <v>4.1483333333333334</v>
      </c>
      <c r="CX52" s="3145">
        <f t="shared" si="763"/>
        <v>4.1483333333333334</v>
      </c>
      <c r="CY52" s="3145">
        <f t="shared" si="764"/>
        <v>0</v>
      </c>
      <c r="CZ52" s="3145">
        <f t="shared" si="765"/>
        <v>0</v>
      </c>
      <c r="DA52" s="3145">
        <f>SUM('ПОЛНАЯ СЕБЕСТОИМОСТЬ СТОКИ 2019'!AV168)</f>
        <v>0</v>
      </c>
      <c r="DB52" s="3145">
        <f>SUM('ПОЛНАЯ СЕБЕСТОИМОСТЬ СТОКИ 2019'!AW168)</f>
        <v>0</v>
      </c>
      <c r="DC52" s="3149">
        <v>0</v>
      </c>
      <c r="DD52" s="3149">
        <f t="shared" si="840"/>
        <v>0</v>
      </c>
      <c r="DE52" s="3149">
        <f>SUM(DC52/DC9*DE9)</f>
        <v>0</v>
      </c>
      <c r="DF52" s="3145">
        <f t="shared" si="767"/>
        <v>4.1483333333333334</v>
      </c>
      <c r="DG52" s="3145">
        <f t="shared" si="768"/>
        <v>4.1483333333333334</v>
      </c>
      <c r="DH52" s="3145">
        <f t="shared" si="769"/>
        <v>0</v>
      </c>
      <c r="DI52" s="3145">
        <f t="shared" ref="DI52:DI56" si="892">SUM(DJ52:DK52)</f>
        <v>1.123</v>
      </c>
      <c r="DJ52" s="3145">
        <f>SUM('ПОЛНАЯ СЕБЕСТОИМОСТЬ СТОКИ 2019'!AY168)</f>
        <v>1.1200000000000001</v>
      </c>
      <c r="DK52" s="3145">
        <f>SUM('ПОЛНАЯ СЕБЕСТОИМОСТЬ СТОКИ 2019'!AZ168)</f>
        <v>3.0000000000000001E-3</v>
      </c>
      <c r="DL52" s="3149">
        <v>0.44</v>
      </c>
      <c r="DM52" s="3149">
        <f t="shared" si="841"/>
        <v>0.43370279625092367</v>
      </c>
      <c r="DN52" s="3149">
        <f>SUM(DL52/DL9*DN9)</f>
        <v>6.297203749076343E-3</v>
      </c>
      <c r="DO52" s="3179">
        <f t="shared" si="772"/>
        <v>12.445</v>
      </c>
      <c r="DP52" s="3179">
        <f t="shared" si="773"/>
        <v>12.445</v>
      </c>
      <c r="DQ52" s="3179">
        <f t="shared" si="774"/>
        <v>0</v>
      </c>
      <c r="DR52" s="3179">
        <f t="shared" si="775"/>
        <v>1.123</v>
      </c>
      <c r="DS52" s="3179">
        <f t="shared" si="776"/>
        <v>1.1200000000000001</v>
      </c>
      <c r="DT52" s="3179">
        <f t="shared" si="777"/>
        <v>3.0000000000000001E-3</v>
      </c>
      <c r="DU52" s="3179">
        <f t="shared" si="778"/>
        <v>0.44</v>
      </c>
      <c r="DV52" s="3179">
        <f t="shared" si="779"/>
        <v>0.43370279625092367</v>
      </c>
      <c r="DW52" s="3179">
        <f t="shared" si="780"/>
        <v>6.297203749076343E-3</v>
      </c>
      <c r="DX52" s="3148">
        <f t="shared" ref="DX52:DX56" si="893">SUM(DR52-DO52)</f>
        <v>-11.322000000000001</v>
      </c>
      <c r="DY52" s="3148">
        <f t="shared" ref="DY52:DY56" si="894">SUM(DS52-DP52)</f>
        <v>-11.324999999999999</v>
      </c>
      <c r="DZ52" s="3148">
        <f t="shared" ref="DZ52:DZ56" si="895">SUM(DT52-DQ52)</f>
        <v>3.0000000000000001E-3</v>
      </c>
      <c r="EA52" s="3179">
        <f t="shared" ref="EA52:EA56" si="896">SUM(CB52+DO52)</f>
        <v>37.335000000000001</v>
      </c>
      <c r="EB52" s="3179">
        <f t="shared" ref="EB52:EB56" si="897">SUM(CC52+DP52)</f>
        <v>37.335000000000001</v>
      </c>
      <c r="EC52" s="3179">
        <f t="shared" ref="EC52:EC56" si="898">SUM(CD52+DQ52)</f>
        <v>0</v>
      </c>
      <c r="ED52" s="3179">
        <f t="shared" ref="ED52:ED56" si="899">SUM(CE52+DR52)</f>
        <v>28.296000000000003</v>
      </c>
      <c r="EE52" s="3179">
        <f t="shared" ref="EE52:EE56" si="900">SUM(CF52+DS52)</f>
        <v>28.22</v>
      </c>
      <c r="EF52" s="3179">
        <f t="shared" ref="EF52:EF56" si="901">SUM(CG52+DT52)</f>
        <v>7.5999999999999998E-2</v>
      </c>
      <c r="EG52" s="3179">
        <f t="shared" ref="EG52:EG56" si="902">SUM(CH52+DU52)</f>
        <v>30.389999999999997</v>
      </c>
      <c r="EH52" s="3179">
        <f t="shared" ref="EH52:EH56" si="903">SUM(CI52+DV52)</f>
        <v>30.249130390287572</v>
      </c>
      <c r="EI52" s="3179">
        <f t="shared" ref="EI52:EI56" si="904">SUM(CJ52+DW52)</f>
        <v>0.14086960971242646</v>
      </c>
      <c r="EJ52" s="3148">
        <f t="shared" ref="EJ52:EJ56" si="905">SUM(ED52-EA52)</f>
        <v>-9.0389999999999979</v>
      </c>
      <c r="EK52" s="3148">
        <f t="shared" ref="EK52:EK56" si="906">SUM(EE52-EB52)</f>
        <v>-9.115000000000002</v>
      </c>
      <c r="EL52" s="3148">
        <f t="shared" ref="EL52:EL56" si="907">SUM(EF52-EC52)</f>
        <v>7.5999999999999998E-2</v>
      </c>
      <c r="EM52" s="3145">
        <f t="shared" si="873"/>
        <v>4.1483333333333334</v>
      </c>
      <c r="EN52" s="3145">
        <f>SUM('ПОЛНАЯ СЕБЕСТОИМОСТЬ СТОКИ 2019'!BN168/3)</f>
        <v>4.1483333333333334</v>
      </c>
      <c r="EO52" s="3145">
        <f>SUM('ПОЛНАЯ СЕБЕСТОИМОСТЬ СТОКИ 2019'!BO168/3)</f>
        <v>0</v>
      </c>
      <c r="EP52" s="3145">
        <f t="shared" ref="EP52:EP56" si="908">SUM(EQ52:ER52)</f>
        <v>0</v>
      </c>
      <c r="EQ52" s="3145">
        <f>SUM('ПОЛНАЯ СЕБЕСТОИМОСТЬ СТОКИ 2019'!BQ168)</f>
        <v>0</v>
      </c>
      <c r="ER52" s="3145">
        <f>SUM('ПОЛНАЯ СЕБЕСТОИМОСТЬ СТОКИ 2019'!BR168)</f>
        <v>0</v>
      </c>
      <c r="ES52" s="3149">
        <v>3.87</v>
      </c>
      <c r="ET52" s="3149">
        <f t="shared" si="842"/>
        <v>3.8619863486463686</v>
      </c>
      <c r="EU52" s="3149">
        <f>SUM(ES52/ES9*EU9)</f>
        <v>8.0136513536314142E-3</v>
      </c>
      <c r="EV52" s="3145">
        <f t="shared" si="799"/>
        <v>4.1483333333333334</v>
      </c>
      <c r="EW52" s="3145">
        <f t="shared" si="800"/>
        <v>4.1483333333333334</v>
      </c>
      <c r="EX52" s="3145">
        <f t="shared" si="801"/>
        <v>0</v>
      </c>
      <c r="EY52" s="3145">
        <f t="shared" si="802"/>
        <v>0</v>
      </c>
      <c r="EZ52" s="3145">
        <f>SUM('ПОЛНАЯ СЕБЕСТОИМОСТЬ СТОКИ 2019'!BT168)</f>
        <v>0</v>
      </c>
      <c r="FA52" s="3145">
        <f>SUM('ПОЛНАЯ СЕБЕСТОИМОСТЬ СТОКИ 2019'!BU168)</f>
        <v>0</v>
      </c>
      <c r="FB52" s="3149">
        <v>5.5</v>
      </c>
      <c r="FC52" s="3149">
        <f t="shared" si="843"/>
        <v>5.4882078180634783</v>
      </c>
      <c r="FD52" s="3149">
        <f>SUM(FB52/FB9*FD9)</f>
        <v>1.1792181936521309E-2</v>
      </c>
      <c r="FE52" s="3145">
        <f t="shared" ref="FE52:FE56" si="909">SUM(FF52:FG52)</f>
        <v>4.1483333333333334</v>
      </c>
      <c r="FF52" s="3145">
        <f t="shared" ref="FF52:FF56" si="910">SUM(EW52)</f>
        <v>4.1483333333333334</v>
      </c>
      <c r="FG52" s="3145">
        <f t="shared" ref="FG52:FG56" si="911">SUM(EX52)</f>
        <v>0</v>
      </c>
      <c r="FH52" s="3145">
        <f t="shared" ref="FH52:FH56" si="912">SUM(FI52:FJ52)</f>
        <v>0</v>
      </c>
      <c r="FI52" s="3145">
        <f>SUM('ПОЛНАЯ СЕБЕСТОИМОСТЬ СТОКИ 2019'!BW168)</f>
        <v>0</v>
      </c>
      <c r="FJ52" s="3145">
        <f>SUM('ПОЛНАЯ СЕБЕСТОИМОСТЬ СТОКИ 2019'!BX168)</f>
        <v>0</v>
      </c>
      <c r="FK52" s="3149">
        <v>7.04</v>
      </c>
      <c r="FL52" s="3149">
        <f t="shared" si="844"/>
        <v>6.9332711370262388</v>
      </c>
      <c r="FM52" s="3149">
        <f>SUM(FK52/FK9*FM9)</f>
        <v>0.10672886297376094</v>
      </c>
      <c r="FN52" s="3179">
        <f t="shared" ref="FN52:FN56" si="913">SUM(EM52+EV52+FE52)</f>
        <v>12.445</v>
      </c>
      <c r="FO52" s="3179">
        <f t="shared" ref="FO52:FO56" si="914">SUM(EN52+EW52+FF52)</f>
        <v>12.445</v>
      </c>
      <c r="FP52" s="3179">
        <f t="shared" ref="FP52:FP56" si="915">SUM(EO52+EX52+FG52)</f>
        <v>0</v>
      </c>
      <c r="FQ52" s="3179">
        <f t="shared" ref="FQ52:FQ56" si="916">SUM(EP52+EY52+FH52)</f>
        <v>0</v>
      </c>
      <c r="FR52" s="3179">
        <f t="shared" ref="FR52:FR56" si="917">SUM(EQ52+EZ52+FI52)</f>
        <v>0</v>
      </c>
      <c r="FS52" s="3179">
        <f t="shared" ref="FS52:FS56" si="918">SUM(ER52+FA52+FJ52)</f>
        <v>0</v>
      </c>
      <c r="FT52" s="3179">
        <f t="shared" si="815"/>
        <v>16.41</v>
      </c>
      <c r="FU52" s="3179">
        <f t="shared" si="816"/>
        <v>16.283465303736087</v>
      </c>
      <c r="FV52" s="3179">
        <f t="shared" si="817"/>
        <v>0.12653469626391367</v>
      </c>
      <c r="FW52" s="3148">
        <f t="shared" si="818"/>
        <v>-12.445</v>
      </c>
      <c r="FX52" s="3148">
        <f t="shared" si="819"/>
        <v>-12.445</v>
      </c>
      <c r="FY52" s="3148">
        <f t="shared" si="820"/>
        <v>0</v>
      </c>
      <c r="FZ52" s="3457">
        <f t="shared" si="821"/>
        <v>49.78</v>
      </c>
      <c r="GA52" s="3457">
        <f t="shared" si="822"/>
        <v>49.78</v>
      </c>
      <c r="GB52" s="3457">
        <f t="shared" si="823"/>
        <v>0</v>
      </c>
      <c r="GC52" s="3457">
        <f t="shared" si="824"/>
        <v>28.296000000000003</v>
      </c>
      <c r="GD52" s="3457">
        <f t="shared" si="825"/>
        <v>28.22</v>
      </c>
      <c r="GE52" s="3457">
        <f t="shared" si="826"/>
        <v>7.5999999999999998E-2</v>
      </c>
      <c r="GF52" s="3457">
        <f t="shared" si="874"/>
        <v>46.8</v>
      </c>
      <c r="GG52" s="3457">
        <f t="shared" si="875"/>
        <v>46.532595694023655</v>
      </c>
      <c r="GH52" s="3457">
        <f t="shared" si="876"/>
        <v>0.26740430597634013</v>
      </c>
      <c r="GI52" s="3246">
        <f t="shared" ref="GI52:GI56" si="919">SUM(GC52-FZ52)</f>
        <v>-21.483999999999998</v>
      </c>
      <c r="GJ52" s="3246">
        <f t="shared" ref="GJ52:GJ56" si="920">SUM(GD52-GA52)</f>
        <v>-21.560000000000002</v>
      </c>
      <c r="GK52" s="3246">
        <f t="shared" ref="GK52:GK56" si="921">SUM(GE52-GB52)</f>
        <v>7.5999999999999998E-2</v>
      </c>
    </row>
    <row r="53" spans="1:193" ht="18.75" customHeight="1" x14ac:dyDescent="0.3">
      <c r="A53" s="3079" t="s">
        <v>281</v>
      </c>
      <c r="B53" s="3145">
        <f t="shared" si="697"/>
        <v>10.719166666666666</v>
      </c>
      <c r="C53" s="3145">
        <f>SUM('ПОЛНАЯ СЕБЕСТОИМОСТЬ СТОКИ 2019'!C169/3)</f>
        <v>10.719166666666666</v>
      </c>
      <c r="D53" s="3145">
        <f>SUM('ПОЛНАЯ СЕБЕСТОИМОСТЬ СТОКИ 2019'!D169/3)</f>
        <v>0</v>
      </c>
      <c r="E53" s="3145">
        <f t="shared" si="698"/>
        <v>4.2819999999999991</v>
      </c>
      <c r="F53" s="3145">
        <f>SUM('ПОЛНАЯ СЕБЕСТОИМОСТЬ СТОКИ 2019'!F169)</f>
        <v>4.2699999999999996</v>
      </c>
      <c r="G53" s="3145">
        <f>SUM('ПОЛНАЯ СЕБЕСТОИМОСТЬ СТОКИ 2019'!G169)</f>
        <v>1.2E-2</v>
      </c>
      <c r="H53" s="3149">
        <v>0</v>
      </c>
      <c r="I53" s="3149">
        <f t="shared" si="833"/>
        <v>0</v>
      </c>
      <c r="J53" s="3149">
        <f>SUM(H53/H9*J9)</f>
        <v>0</v>
      </c>
      <c r="K53" s="3145">
        <f t="shared" si="869"/>
        <v>10.719166666666666</v>
      </c>
      <c r="L53" s="3145">
        <f t="shared" si="870"/>
        <v>10.719166666666666</v>
      </c>
      <c r="M53" s="3145">
        <f t="shared" si="871"/>
        <v>0</v>
      </c>
      <c r="N53" s="3145">
        <f t="shared" si="877"/>
        <v>6.3790000000000004</v>
      </c>
      <c r="O53" s="3145">
        <f>SUM('ПОЛНАЯ СЕБЕСТОИМОСТЬ СТОКИ 2019'!I169)</f>
        <v>6.36</v>
      </c>
      <c r="P53" s="3145">
        <f>SUM('ПОЛНАЯ СЕБЕСТОИМОСТЬ СТОКИ 2019'!J169)</f>
        <v>1.9E-2</v>
      </c>
      <c r="Q53" s="3149">
        <v>0</v>
      </c>
      <c r="R53" s="3149">
        <f t="shared" si="834"/>
        <v>0</v>
      </c>
      <c r="S53" s="3149">
        <f>SUM(Q53/Q9*S9)</f>
        <v>0</v>
      </c>
      <c r="T53" s="3145">
        <f t="shared" ref="T53:T56" si="922">SUM(U53:V53)</f>
        <v>10.719166666666666</v>
      </c>
      <c r="U53" s="3145">
        <f t="shared" ref="U53:U56" si="923">SUM(L53)</f>
        <v>10.719166666666666</v>
      </c>
      <c r="V53" s="3145">
        <f t="shared" ref="V53:V56" si="924">SUM(M53)</f>
        <v>0</v>
      </c>
      <c r="W53" s="3145">
        <f t="shared" si="878"/>
        <v>6.1559999999999997</v>
      </c>
      <c r="X53" s="3145">
        <f>SUM('ПОЛНАЯ СЕБЕСТОИМОСТЬ СТОКИ 2019'!L169)</f>
        <v>6.14</v>
      </c>
      <c r="Y53" s="3145">
        <f>SUM('ПОЛНАЯ СЕБЕСТОИМОСТЬ СТОКИ 2019'!M169)</f>
        <v>1.6E-2</v>
      </c>
      <c r="Z53" s="3149">
        <v>0</v>
      </c>
      <c r="AA53" s="3149">
        <f t="shared" si="835"/>
        <v>0</v>
      </c>
      <c r="AB53" s="3149">
        <f>SUM(Z53/Z9*AB9)</f>
        <v>0</v>
      </c>
      <c r="AC53" s="3179">
        <f t="shared" ref="AC53:AC56" si="925">SUM(B53+K53+T53)</f>
        <v>32.157499999999999</v>
      </c>
      <c r="AD53" s="3179">
        <f t="shared" ref="AD53:AD56" si="926">SUM(C53+L53+U53)</f>
        <v>32.157499999999999</v>
      </c>
      <c r="AE53" s="3179">
        <f t="shared" ref="AE53:AE56" si="927">SUM(D53+M53+V53)</f>
        <v>0</v>
      </c>
      <c r="AF53" s="3179">
        <f t="shared" si="713"/>
        <v>16.817</v>
      </c>
      <c r="AG53" s="3179">
        <f t="shared" si="714"/>
        <v>16.77</v>
      </c>
      <c r="AH53" s="3179">
        <f t="shared" si="715"/>
        <v>4.7E-2</v>
      </c>
      <c r="AI53" s="3179">
        <f t="shared" si="879"/>
        <v>0</v>
      </c>
      <c r="AJ53" s="3179">
        <f t="shared" si="880"/>
        <v>0</v>
      </c>
      <c r="AK53" s="3179">
        <f t="shared" si="881"/>
        <v>0</v>
      </c>
      <c r="AL53" s="3148">
        <f t="shared" ref="AL53:AL56" si="928">SUM(AF53-AC53)</f>
        <v>-15.340499999999999</v>
      </c>
      <c r="AM53" s="3148">
        <f t="shared" ref="AM53:AM56" si="929">SUM(AG53-AD53)</f>
        <v>-15.387499999999999</v>
      </c>
      <c r="AN53" s="3148">
        <f t="shared" ref="AN53:AN56" si="930">SUM(AH53-AE53)</f>
        <v>4.7E-2</v>
      </c>
      <c r="AO53" s="3145">
        <f t="shared" si="882"/>
        <v>10.719166666666666</v>
      </c>
      <c r="AP53" s="3145">
        <f>SUM('ПОЛНАЯ СЕБЕСТОИМОСТЬ СТОКИ 2019'!R169/3)</f>
        <v>10.719166666666666</v>
      </c>
      <c r="AQ53" s="3145">
        <f>SUM('ПОЛНАЯ СЕБЕСТОИМОСТЬ СТОКИ 2019'!S169/3)</f>
        <v>0</v>
      </c>
      <c r="AR53" s="3145">
        <f t="shared" ref="AR53:AR56" si="931">SUM(AS53:AT53)</f>
        <v>6.4960000000000004</v>
      </c>
      <c r="AS53" s="3145">
        <f>SUM('ПОЛНАЯ СЕБЕСТОИМОСТЬ СТОКИ 2019'!U169)</f>
        <v>6.48</v>
      </c>
      <c r="AT53" s="3145">
        <f>SUM('ПОЛНАЯ СЕБЕСТОИМОСТЬ СТОКИ 2019'!V169)</f>
        <v>1.6E-2</v>
      </c>
      <c r="AU53" s="3149">
        <v>0</v>
      </c>
      <c r="AV53" s="3149">
        <f t="shared" si="836"/>
        <v>0</v>
      </c>
      <c r="AW53" s="3149">
        <f>SUM(AU53/AU9*AW9)</f>
        <v>0</v>
      </c>
      <c r="AX53" s="3145">
        <f t="shared" si="883"/>
        <v>10.719166666666666</v>
      </c>
      <c r="AY53" s="3145">
        <f t="shared" si="884"/>
        <v>10.719166666666666</v>
      </c>
      <c r="AZ53" s="3145">
        <f t="shared" si="885"/>
        <v>0</v>
      </c>
      <c r="BA53" s="3276">
        <f t="shared" ref="BA53:BA56" si="932">SUM(BB53:BC53)</f>
        <v>6.258</v>
      </c>
      <c r="BB53" s="3276">
        <f>SUM('ПОЛНАЯ СЕБЕСТОИМОСТЬ СТОКИ 2019'!X169)</f>
        <v>6.24</v>
      </c>
      <c r="BC53" s="3276">
        <f>SUM('ПОЛНАЯ СЕБЕСТОИМОСТЬ СТОКИ 2019'!Y169)</f>
        <v>1.7999999999999999E-2</v>
      </c>
      <c r="BD53" s="3149">
        <v>0</v>
      </c>
      <c r="BE53" s="3149">
        <f t="shared" si="837"/>
        <v>0</v>
      </c>
      <c r="BF53" s="3149">
        <f>SUM(BD53/BD9*BF9)</f>
        <v>0</v>
      </c>
      <c r="BG53" s="3145">
        <f t="shared" ref="BG53:BG56" si="933">SUM(BH53:BI53)</f>
        <v>10.719166666666666</v>
      </c>
      <c r="BH53" s="3145">
        <f t="shared" ref="BH53:BH56" si="934">SUM(AY53)</f>
        <v>10.719166666666666</v>
      </c>
      <c r="BI53" s="3145">
        <f t="shared" ref="BI53:BI56" si="935">SUM(AZ53)</f>
        <v>0</v>
      </c>
      <c r="BJ53" s="3145">
        <f t="shared" si="872"/>
        <v>6.0439999999999996</v>
      </c>
      <c r="BK53" s="3145">
        <f>SUM('ПОЛНАЯ СЕБЕСТОИМОСТЬ СТОКИ 2019'!AA169)</f>
        <v>6.01</v>
      </c>
      <c r="BL53" s="3145">
        <f>SUM('ПОЛНАЯ СЕБЕСТОИМОСТЬ СТОКИ 2019'!AB169)</f>
        <v>3.4000000000000002E-2</v>
      </c>
      <c r="BM53" s="3149">
        <v>0</v>
      </c>
      <c r="BN53" s="3149">
        <f t="shared" si="838"/>
        <v>0</v>
      </c>
      <c r="BO53" s="3149">
        <f>SUM(BM53/BM9*BO9)</f>
        <v>0</v>
      </c>
      <c r="BP53" s="3179">
        <f t="shared" si="886"/>
        <v>32.157499999999999</v>
      </c>
      <c r="BQ53" s="3179">
        <f t="shared" si="887"/>
        <v>32.157499999999999</v>
      </c>
      <c r="BR53" s="3179">
        <f t="shared" si="888"/>
        <v>0</v>
      </c>
      <c r="BS53" s="3179">
        <f t="shared" ref="BS53:BS56" si="936">SUM(AR53+BA53+BJ53)</f>
        <v>18.798000000000002</v>
      </c>
      <c r="BT53" s="3179">
        <f t="shared" ref="BT53:BT56" si="937">SUM(AS53+BB53+BK53)</f>
        <v>18.73</v>
      </c>
      <c r="BU53" s="3179">
        <f t="shared" ref="BU53:BU56" si="938">SUM(AT53+BC53+BL53)</f>
        <v>6.8000000000000005E-2</v>
      </c>
      <c r="BV53" s="3179">
        <f t="shared" ref="BV53:BV56" si="939">SUM(AU53+BD53+BM53)</f>
        <v>0</v>
      </c>
      <c r="BW53" s="3179">
        <f t="shared" ref="BW53:BW56" si="940">SUM(AV53+BE53+BN53)</f>
        <v>0</v>
      </c>
      <c r="BX53" s="3179">
        <f t="shared" ref="BX53:BX56" si="941">SUM(AW53+BF53+BO53)</f>
        <v>0</v>
      </c>
      <c r="BY53" s="3148">
        <f t="shared" ref="BY53:BY56" si="942">SUM(BS53-BP53)</f>
        <v>-13.359499999999997</v>
      </c>
      <c r="BZ53" s="3148">
        <f t="shared" ref="BZ53:BZ56" si="943">SUM(BT53-BQ53)</f>
        <v>-13.427499999999998</v>
      </c>
      <c r="CA53" s="3148">
        <f t="shared" ref="CA53:CA56" si="944">SUM(BU53-BR53)</f>
        <v>6.8000000000000005E-2</v>
      </c>
      <c r="CB53" s="3179">
        <f t="shared" ref="CB53:CB56" si="945">SUM(AC53+BP53)</f>
        <v>64.314999999999998</v>
      </c>
      <c r="CC53" s="3179">
        <f t="shared" ref="CC53:CC56" si="946">SUM(AD53+BQ53)</f>
        <v>64.314999999999998</v>
      </c>
      <c r="CD53" s="3179">
        <f t="shared" ref="CD53:CD56" si="947">SUM(AE53+BR53)</f>
        <v>0</v>
      </c>
      <c r="CE53" s="3179">
        <f t="shared" ref="CE53:CE56" si="948">SUM(AF53+BS53)</f>
        <v>35.615000000000002</v>
      </c>
      <c r="CF53" s="3179">
        <f t="shared" ref="CF53:CF56" si="949">SUM(AG53+BT53)</f>
        <v>35.5</v>
      </c>
      <c r="CG53" s="3179">
        <f t="shared" ref="CG53:CG56" si="950">SUM(AH53+BU53)</f>
        <v>0.115</v>
      </c>
      <c r="CH53" s="3456">
        <f t="shared" ref="CH53:CH56" si="951">SUM(AI53+BV53)</f>
        <v>0</v>
      </c>
      <c r="CI53" s="3456">
        <f t="shared" ref="CI53:CI56" si="952">SUM(AJ53+BW53)</f>
        <v>0</v>
      </c>
      <c r="CJ53" s="3456">
        <f t="shared" ref="CJ53:CJ56" si="953">SUM(AK53+BX53)</f>
        <v>0</v>
      </c>
      <c r="CK53" s="3148">
        <f t="shared" si="889"/>
        <v>-28.699999999999996</v>
      </c>
      <c r="CL53" s="3148">
        <f t="shared" si="890"/>
        <v>-28.814999999999998</v>
      </c>
      <c r="CM53" s="3148">
        <f t="shared" si="891"/>
        <v>0.115</v>
      </c>
      <c r="CN53" s="3145">
        <f t="shared" ref="CN53:CN56" si="954">SUM(CO53:CP53)</f>
        <v>10.719166666666666</v>
      </c>
      <c r="CO53" s="3145">
        <f>SUM('ПОЛНАЯ СЕБЕСТОИМОСТЬ СТОКИ 2019'!AP169/3)</f>
        <v>10.719166666666666</v>
      </c>
      <c r="CP53" s="3145">
        <f>SUM('ПОЛНАЯ СЕБЕСТОИМОСТЬ СТОКИ 2019'!AQ169/3)</f>
        <v>0</v>
      </c>
      <c r="CQ53" s="3145">
        <f t="shared" si="760"/>
        <v>5.7530000000000001</v>
      </c>
      <c r="CR53" s="3145">
        <f>SUM('ПОЛНАЯ СЕБЕСТОИМОСТЬ СТОКИ 2019'!AS169)</f>
        <v>5.75</v>
      </c>
      <c r="CS53" s="3145">
        <f>SUM('ПОЛНАЯ СЕБЕСТОИМОСТЬ СТОКИ 2019'!AT169)</f>
        <v>3.0000000000000001E-3</v>
      </c>
      <c r="CT53" s="3149">
        <v>0</v>
      </c>
      <c r="CU53" s="3149">
        <f t="shared" si="839"/>
        <v>0</v>
      </c>
      <c r="CV53" s="3149">
        <f>SUM(CT53/CT9*CV9)</f>
        <v>0</v>
      </c>
      <c r="CW53" s="3145">
        <f t="shared" ref="CW53:CW56" si="955">SUM(CX53:CY53)</f>
        <v>10.719166666666666</v>
      </c>
      <c r="CX53" s="3145">
        <f t="shared" ref="CX53:CX56" si="956">SUM(CO53)</f>
        <v>10.719166666666666</v>
      </c>
      <c r="CY53" s="3145">
        <f t="shared" ref="CY53:CY56" si="957">SUM(CP53)</f>
        <v>0</v>
      </c>
      <c r="CZ53" s="3145">
        <f t="shared" ref="CZ53:CZ56" si="958">SUM(DA53:DB53)</f>
        <v>5.9359999999999999</v>
      </c>
      <c r="DA53" s="3145">
        <f>SUM('ПОЛНАЯ СЕБЕСТОИМОСТЬ СТОКИ 2019'!AV169)</f>
        <v>5.92</v>
      </c>
      <c r="DB53" s="3145">
        <f>SUM('ПОЛНАЯ СЕБЕСТОИМОСТЬ СТОКИ 2019'!AW169)</f>
        <v>1.6E-2</v>
      </c>
      <c r="DC53" s="3149">
        <v>0</v>
      </c>
      <c r="DD53" s="3149">
        <f t="shared" si="840"/>
        <v>0</v>
      </c>
      <c r="DE53" s="3149">
        <f>SUM(DC53/DC9*DE9)</f>
        <v>0</v>
      </c>
      <c r="DF53" s="3145">
        <f t="shared" ref="DF53:DF56" si="959">SUM(DG53:DH53)</f>
        <v>10.719166666666666</v>
      </c>
      <c r="DG53" s="3145">
        <f t="shared" ref="DG53:DG56" si="960">SUM(CX53)</f>
        <v>10.719166666666666</v>
      </c>
      <c r="DH53" s="3145">
        <f t="shared" ref="DH53:DH56" si="961">SUM(CY53)</f>
        <v>0</v>
      </c>
      <c r="DI53" s="3145">
        <f t="shared" si="892"/>
        <v>6.1899999999999995</v>
      </c>
      <c r="DJ53" s="3145">
        <f>SUM('ПОЛНАЯ СЕБЕСТОИМОСТЬ СТОКИ 2019'!AY169)</f>
        <v>6.17</v>
      </c>
      <c r="DK53" s="3145">
        <f>SUM('ПОЛНАЯ СЕБЕСТОИМОСТЬ СТОКИ 2019'!AZ169)</f>
        <v>0.02</v>
      </c>
      <c r="DL53" s="3149">
        <v>0</v>
      </c>
      <c r="DM53" s="3149">
        <f t="shared" si="841"/>
        <v>0</v>
      </c>
      <c r="DN53" s="3149">
        <f>SUM(DL53/DL9*DN9)</f>
        <v>0</v>
      </c>
      <c r="DO53" s="3179">
        <f t="shared" ref="DO53:DO56" si="962">SUM(CN53+CW53+DF53)</f>
        <v>32.157499999999999</v>
      </c>
      <c r="DP53" s="3179">
        <f t="shared" ref="DP53:DP56" si="963">SUM(CO53+CX53+DG53)</f>
        <v>32.157499999999999</v>
      </c>
      <c r="DQ53" s="3179">
        <f t="shared" ref="DQ53:DQ56" si="964">SUM(CP53+CY53+DH53)</f>
        <v>0</v>
      </c>
      <c r="DR53" s="3179">
        <f t="shared" si="775"/>
        <v>17.878999999999998</v>
      </c>
      <c r="DS53" s="3179">
        <f t="shared" si="776"/>
        <v>17.84</v>
      </c>
      <c r="DT53" s="3179">
        <f t="shared" si="777"/>
        <v>3.9E-2</v>
      </c>
      <c r="DU53" s="3179">
        <f t="shared" ref="DU53:DU56" si="965">SUM(CT53+DC53+DL53)</f>
        <v>0</v>
      </c>
      <c r="DV53" s="3179">
        <f t="shared" ref="DV53:DV56" si="966">SUM(CU53+DD53+DM53)</f>
        <v>0</v>
      </c>
      <c r="DW53" s="3179">
        <f t="shared" ref="DW53:DW56" si="967">SUM(CV53+DE53+DN53)</f>
        <v>0</v>
      </c>
      <c r="DX53" s="3148">
        <f t="shared" si="893"/>
        <v>-14.278500000000001</v>
      </c>
      <c r="DY53" s="3148">
        <f t="shared" si="894"/>
        <v>-14.317499999999999</v>
      </c>
      <c r="DZ53" s="3148">
        <f t="shared" si="895"/>
        <v>3.9E-2</v>
      </c>
      <c r="EA53" s="3179">
        <f t="shared" si="896"/>
        <v>96.472499999999997</v>
      </c>
      <c r="EB53" s="3179">
        <f t="shared" si="897"/>
        <v>96.472499999999997</v>
      </c>
      <c r="EC53" s="3179">
        <f t="shared" si="898"/>
        <v>0</v>
      </c>
      <c r="ED53" s="3179">
        <f t="shared" si="899"/>
        <v>53.494</v>
      </c>
      <c r="EE53" s="3179">
        <f t="shared" si="900"/>
        <v>53.34</v>
      </c>
      <c r="EF53" s="3179">
        <f t="shared" si="901"/>
        <v>0.154</v>
      </c>
      <c r="EG53" s="3179">
        <f t="shared" si="902"/>
        <v>0</v>
      </c>
      <c r="EH53" s="3179">
        <f t="shared" si="903"/>
        <v>0</v>
      </c>
      <c r="EI53" s="3179">
        <f t="shared" si="904"/>
        <v>0</v>
      </c>
      <c r="EJ53" s="3148">
        <f t="shared" si="905"/>
        <v>-42.978499999999997</v>
      </c>
      <c r="EK53" s="3148">
        <f t="shared" si="906"/>
        <v>-43.132499999999993</v>
      </c>
      <c r="EL53" s="3148">
        <f t="shared" si="907"/>
        <v>0.154</v>
      </c>
      <c r="EM53" s="3145">
        <f t="shared" si="873"/>
        <v>10.719166666666666</v>
      </c>
      <c r="EN53" s="3145">
        <f>SUM('ПОЛНАЯ СЕБЕСТОИМОСТЬ СТОКИ 2019'!BN169/3)</f>
        <v>10.719166666666666</v>
      </c>
      <c r="EO53" s="3145">
        <f>SUM('ПОЛНАЯ СЕБЕСТОИМОСТЬ СТОКИ 2019'!BO169/3)</f>
        <v>0</v>
      </c>
      <c r="EP53" s="3145">
        <f t="shared" si="908"/>
        <v>0</v>
      </c>
      <c r="EQ53" s="3145">
        <f>SUM('ПОЛНАЯ СЕБЕСТОИМОСТЬ СТОКИ 2019'!BQ169)</f>
        <v>0</v>
      </c>
      <c r="ER53" s="3145">
        <f>SUM('ПОЛНАЯ СЕБЕСТОИМОСТЬ СТОКИ 2019'!BR169)</f>
        <v>0</v>
      </c>
      <c r="ES53" s="3149">
        <v>0</v>
      </c>
      <c r="ET53" s="3149">
        <f t="shared" si="842"/>
        <v>0</v>
      </c>
      <c r="EU53" s="3149">
        <f>SUM(ES53/ES9*EU9)</f>
        <v>0</v>
      </c>
      <c r="EV53" s="3145">
        <f t="shared" ref="EV53:EV56" si="968">SUM(EW53:EX53)</f>
        <v>10.719166666666666</v>
      </c>
      <c r="EW53" s="3145">
        <f t="shared" ref="EW53:EW56" si="969">SUM(EN53)</f>
        <v>10.719166666666666</v>
      </c>
      <c r="EX53" s="3145">
        <f t="shared" ref="EX53:EX56" si="970">SUM(EO53)</f>
        <v>0</v>
      </c>
      <c r="EY53" s="3145">
        <f t="shared" ref="EY53:EY56" si="971">SUM(EZ53:FA53)</f>
        <v>0</v>
      </c>
      <c r="EZ53" s="3145">
        <f>SUM('ПОЛНАЯ СЕБЕСТОИМОСТЬ СТОКИ 2019'!BT169)</f>
        <v>0</v>
      </c>
      <c r="FA53" s="3145">
        <f>SUM('ПОЛНАЯ СЕБЕСТОИМОСТЬ СТОКИ 2019'!BU169)</f>
        <v>0</v>
      </c>
      <c r="FB53" s="3149">
        <v>0</v>
      </c>
      <c r="FC53" s="3149">
        <f t="shared" si="843"/>
        <v>0</v>
      </c>
      <c r="FD53" s="3149">
        <f>SUM(FB53/FB9*FD9)</f>
        <v>0</v>
      </c>
      <c r="FE53" s="3145">
        <f t="shared" si="909"/>
        <v>10.719166666666666</v>
      </c>
      <c r="FF53" s="3145">
        <f t="shared" si="910"/>
        <v>10.719166666666666</v>
      </c>
      <c r="FG53" s="3145">
        <f t="shared" si="911"/>
        <v>0</v>
      </c>
      <c r="FH53" s="3145">
        <f t="shared" si="912"/>
        <v>0</v>
      </c>
      <c r="FI53" s="3145">
        <f>SUM('ПОЛНАЯ СЕБЕСТОИМОСТЬ СТОКИ 2019'!BW169)</f>
        <v>0</v>
      </c>
      <c r="FJ53" s="3145">
        <f>SUM('ПОЛНАЯ СЕБЕСТОИМОСТЬ СТОКИ 2019'!BX169)</f>
        <v>0</v>
      </c>
      <c r="FK53" s="3149">
        <v>0</v>
      </c>
      <c r="FL53" s="3149">
        <f t="shared" si="844"/>
        <v>0</v>
      </c>
      <c r="FM53" s="3149">
        <f>SUM(FK53/FK9*FM9)</f>
        <v>0</v>
      </c>
      <c r="FN53" s="3179">
        <f t="shared" si="913"/>
        <v>32.157499999999999</v>
      </c>
      <c r="FO53" s="3179">
        <f t="shared" si="914"/>
        <v>32.157499999999999</v>
      </c>
      <c r="FP53" s="3179">
        <f t="shared" si="915"/>
        <v>0</v>
      </c>
      <c r="FQ53" s="3179">
        <f t="shared" si="916"/>
        <v>0</v>
      </c>
      <c r="FR53" s="3179">
        <f t="shared" si="917"/>
        <v>0</v>
      </c>
      <c r="FS53" s="3179">
        <f t="shared" si="918"/>
        <v>0</v>
      </c>
      <c r="FT53" s="3179">
        <f t="shared" ref="FT53:FT56" si="972">SUM(ES53+FB53+FK53)</f>
        <v>0</v>
      </c>
      <c r="FU53" s="3179">
        <f t="shared" ref="FU53:FU56" si="973">SUM(ET53+FC53+FL53)</f>
        <v>0</v>
      </c>
      <c r="FV53" s="3179">
        <f t="shared" ref="FV53:FV56" si="974">SUM(EU53+FD53+FM53)</f>
        <v>0</v>
      </c>
      <c r="FW53" s="3148">
        <f t="shared" ref="FW53:FW56" si="975">SUM(FQ53-FN53)</f>
        <v>-32.157499999999999</v>
      </c>
      <c r="FX53" s="3148">
        <f t="shared" ref="FX53:FX56" si="976">SUM(FR53-FO53)</f>
        <v>-32.157499999999999</v>
      </c>
      <c r="FY53" s="3148">
        <f t="shared" ref="FY53:FY56" si="977">SUM(FS53-FP53)</f>
        <v>0</v>
      </c>
      <c r="FZ53" s="3457">
        <f t="shared" ref="FZ53:FZ56" si="978">SUM(EA53+FN53)</f>
        <v>128.63</v>
      </c>
      <c r="GA53" s="3457">
        <f t="shared" ref="GA53:GA56" si="979">SUM(EB53+FO53)</f>
        <v>128.63</v>
      </c>
      <c r="GB53" s="3457">
        <f t="shared" ref="GB53:GB56" si="980">SUM(EC53+FP53)</f>
        <v>0</v>
      </c>
      <c r="GC53" s="3457">
        <f t="shared" ref="GC53:GC56" si="981">SUM(ED53+FQ53)</f>
        <v>53.494</v>
      </c>
      <c r="GD53" s="3457">
        <f t="shared" ref="GD53:GD56" si="982">SUM(EE53+FR53)</f>
        <v>53.34</v>
      </c>
      <c r="GE53" s="3457">
        <f t="shared" ref="GE53:GE56" si="983">SUM(EF53+FS53)</f>
        <v>0.154</v>
      </c>
      <c r="GF53" s="3457">
        <f t="shared" si="874"/>
        <v>0</v>
      </c>
      <c r="GG53" s="3457">
        <f t="shared" si="875"/>
        <v>0</v>
      </c>
      <c r="GH53" s="3457">
        <f t="shared" si="876"/>
        <v>0</v>
      </c>
      <c r="GI53" s="3246">
        <f t="shared" si="919"/>
        <v>-75.135999999999996</v>
      </c>
      <c r="GJ53" s="3246">
        <f t="shared" si="920"/>
        <v>-75.289999999999992</v>
      </c>
      <c r="GK53" s="3246">
        <f t="shared" si="921"/>
        <v>0.154</v>
      </c>
    </row>
    <row r="54" spans="1:193" ht="18.75" customHeight="1" x14ac:dyDescent="0.3">
      <c r="A54" s="3079" t="s">
        <v>3607</v>
      </c>
      <c r="B54" s="3145">
        <f t="shared" si="697"/>
        <v>239.39118333333334</v>
      </c>
      <c r="C54" s="3145">
        <f>SUM('ПОЛНАЯ СЕБЕСТОИМОСТЬ СТОКИ 2019'!C170/3)</f>
        <v>239.27549761682724</v>
      </c>
      <c r="D54" s="3145">
        <f>SUM('ПОЛНАЯ СЕБЕСТОИМОСТЬ СТОКИ 2019'!D170/3)</f>
        <v>0.11568571650609301</v>
      </c>
      <c r="E54" s="3145">
        <f t="shared" si="698"/>
        <v>137.94499999999999</v>
      </c>
      <c r="F54" s="3145">
        <f>SUM('ПОЛНАЯ СЕБЕСТОИМОСТЬ СТОКИ 2019'!F170)</f>
        <v>137.56</v>
      </c>
      <c r="G54" s="3145">
        <f>SUM('ПОЛНАЯ СЕБЕСТОИМОСТЬ СТОКИ 2019'!G170)</f>
        <v>0.38500000000000001</v>
      </c>
      <c r="H54" s="3149">
        <v>142.27000000000001</v>
      </c>
      <c r="I54" s="3149">
        <f t="shared" si="833"/>
        <v>142.17337686357089</v>
      </c>
      <c r="J54" s="3149">
        <f>SUM(H54/H9*J9)*0.766</f>
        <v>9.6623136429125581E-2</v>
      </c>
      <c r="K54" s="3145">
        <f t="shared" si="869"/>
        <v>239.39118333333334</v>
      </c>
      <c r="L54" s="3145">
        <f t="shared" si="870"/>
        <v>239.27549761682724</v>
      </c>
      <c r="M54" s="3145">
        <f t="shared" si="871"/>
        <v>0.11568571650609301</v>
      </c>
      <c r="N54" s="3145">
        <f t="shared" si="877"/>
        <v>127.801</v>
      </c>
      <c r="O54" s="3145">
        <f>SUM('ПОЛНАЯ СЕБЕСТОИМОСТЬ СТОКИ 2019'!I170)</f>
        <v>127.43</v>
      </c>
      <c r="P54" s="3145">
        <f>SUM('ПОЛНАЯ СЕБЕСТОИМОСТЬ СТОКИ 2019'!J170)</f>
        <v>0.371</v>
      </c>
      <c r="Q54" s="3149">
        <v>92.09</v>
      </c>
      <c r="R54" s="3149">
        <f t="shared" si="834"/>
        <v>92.039356589457782</v>
      </c>
      <c r="S54" s="3149">
        <f>SUM(Q54/Q9*S9)*0.766</f>
        <v>5.0643410542225598E-2</v>
      </c>
      <c r="T54" s="3145">
        <f t="shared" si="922"/>
        <v>239.39118333333334</v>
      </c>
      <c r="U54" s="3145">
        <f t="shared" si="923"/>
        <v>239.27549761682724</v>
      </c>
      <c r="V54" s="3145">
        <f t="shared" si="924"/>
        <v>0.11568571650609301</v>
      </c>
      <c r="W54" s="3145">
        <f t="shared" si="878"/>
        <v>178.751</v>
      </c>
      <c r="X54" s="3145">
        <f>SUM('ПОЛНАЯ СЕБЕСТОИМОСТЬ СТОКИ 2019'!L170)</f>
        <v>178.29</v>
      </c>
      <c r="Y54" s="3145">
        <f>SUM('ПОЛНАЯ СЕБЕСТОИМОСТЬ СТОКИ 2019'!M170)</f>
        <v>0.46100000000000002</v>
      </c>
      <c r="Z54" s="3149">
        <v>372.86</v>
      </c>
      <c r="AA54" s="3149">
        <f t="shared" si="835"/>
        <v>368.83869840915179</v>
      </c>
      <c r="AB54" s="3149">
        <f>SUM(Z54/Z9*AB9)*0.766</f>
        <v>4.021301590848223</v>
      </c>
      <c r="AC54" s="3179">
        <f t="shared" si="925"/>
        <v>718.17354999999998</v>
      </c>
      <c r="AD54" s="3179">
        <f t="shared" si="926"/>
        <v>717.82649285048171</v>
      </c>
      <c r="AE54" s="3179">
        <f t="shared" si="927"/>
        <v>0.34705714951827904</v>
      </c>
      <c r="AF54" s="3179">
        <f t="shared" ref="AF54:AF56" si="984">SUM(E54+N54+W54)</f>
        <v>444.49699999999996</v>
      </c>
      <c r="AG54" s="3179">
        <f t="shared" ref="AG54:AG56" si="985">SUM(F54+O54+X54)</f>
        <v>443.28</v>
      </c>
      <c r="AH54" s="3179">
        <f t="shared" ref="AH54:AH56" si="986">SUM(G54+P54+Y54)</f>
        <v>1.2170000000000001</v>
      </c>
      <c r="AI54" s="3179">
        <f t="shared" si="879"/>
        <v>607.22</v>
      </c>
      <c r="AJ54" s="3179">
        <f t="shared" si="880"/>
        <v>603.05143186218049</v>
      </c>
      <c r="AK54" s="3179">
        <f t="shared" si="881"/>
        <v>4.168568137819574</v>
      </c>
      <c r="AL54" s="3148">
        <f t="shared" si="928"/>
        <v>-273.67655000000002</v>
      </c>
      <c r="AM54" s="3148">
        <f t="shared" si="929"/>
        <v>-274.54649285048174</v>
      </c>
      <c r="AN54" s="3148">
        <f t="shared" si="930"/>
        <v>0.86994285048172104</v>
      </c>
      <c r="AO54" s="3145">
        <f t="shared" si="882"/>
        <v>239.39118333333334</v>
      </c>
      <c r="AP54" s="3145">
        <f>SUM('ПОЛНАЯ СЕБЕСТОИМОСТЬ СТОКИ 2019'!R170/3)</f>
        <v>239.27549761682724</v>
      </c>
      <c r="AQ54" s="3145">
        <f>SUM('ПОЛНАЯ СЕБЕСТОИМОСТЬ СТОКИ 2019'!S170/3)</f>
        <v>0.11568571650609301</v>
      </c>
      <c r="AR54" s="3145">
        <f t="shared" si="931"/>
        <v>210.45999999999998</v>
      </c>
      <c r="AS54" s="3145">
        <f>SUM('ПОЛНАЯ СЕБЕСТОИМОСТЬ СТОКИ 2019'!U170)</f>
        <v>209.95</v>
      </c>
      <c r="AT54" s="3145">
        <f>SUM('ПОЛНАЯ СЕБЕСТОИМОСТЬ СТОКИ 2019'!V170)</f>
        <v>0.51</v>
      </c>
      <c r="AU54" s="3149">
        <v>153.41</v>
      </c>
      <c r="AV54" s="3149">
        <f t="shared" si="836"/>
        <v>153.29850441338539</v>
      </c>
      <c r="AW54" s="3149">
        <f>SUM(AU54/AU9*AW9)*0.766</f>
        <v>0.11149558661460425</v>
      </c>
      <c r="AX54" s="3145">
        <f t="shared" si="883"/>
        <v>239.39118333333334</v>
      </c>
      <c r="AY54" s="3145">
        <f t="shared" si="884"/>
        <v>239.27549761682724</v>
      </c>
      <c r="AZ54" s="3145">
        <f t="shared" si="885"/>
        <v>0.11568571650609301</v>
      </c>
      <c r="BA54" s="3276">
        <f t="shared" si="932"/>
        <v>130.98200000000003</v>
      </c>
      <c r="BB54" s="3276">
        <f>SUM('ПОЛНАЯ СЕБЕСТОИМОСТЬ СТОКИ 2019'!X170)</f>
        <v>130.61000000000001</v>
      </c>
      <c r="BC54" s="3276">
        <f>SUM('ПОЛНАЯ СЕБЕСТОИМОСТЬ СТОКИ 2019'!Y170)</f>
        <v>0.372</v>
      </c>
      <c r="BD54" s="3149">
        <v>78.78</v>
      </c>
      <c r="BE54" s="3149">
        <f t="shared" si="837"/>
        <v>78.643998498032772</v>
      </c>
      <c r="BF54" s="3149">
        <f>SUM(BD54/BD9*BF9)*0.766</f>
        <v>0.13600150196722566</v>
      </c>
      <c r="BG54" s="3145">
        <f t="shared" si="933"/>
        <v>239.39118333333334</v>
      </c>
      <c r="BH54" s="3145">
        <f t="shared" si="934"/>
        <v>239.27549761682724</v>
      </c>
      <c r="BI54" s="3145">
        <f t="shared" si="935"/>
        <v>0.11568571650609301</v>
      </c>
      <c r="BJ54" s="3145">
        <f t="shared" si="872"/>
        <v>156.66499999999999</v>
      </c>
      <c r="BK54" s="3145">
        <f>SUM('ПОЛНАЯ СЕБЕСТОИМОСТЬ СТОКИ 2019'!AA170)</f>
        <v>155.79</v>
      </c>
      <c r="BL54" s="3145">
        <f>SUM('ПОЛНАЯ СЕБЕСТОИМОСТЬ СТОКИ 2019'!AB170)</f>
        <v>0.875</v>
      </c>
      <c r="BM54" s="3149">
        <v>89.43</v>
      </c>
      <c r="BN54" s="3149">
        <f t="shared" si="838"/>
        <v>88.515906575810419</v>
      </c>
      <c r="BO54" s="3149">
        <f>SUM(BM54/BM9*BO9)*0.766</f>
        <v>0.91409342418958861</v>
      </c>
      <c r="BP54" s="3179">
        <f t="shared" si="886"/>
        <v>718.17354999999998</v>
      </c>
      <c r="BQ54" s="3179">
        <f t="shared" si="887"/>
        <v>717.82649285048171</v>
      </c>
      <c r="BR54" s="3179">
        <f t="shared" si="888"/>
        <v>0.34705714951827904</v>
      </c>
      <c r="BS54" s="3179">
        <f t="shared" si="936"/>
        <v>498.10699999999997</v>
      </c>
      <c r="BT54" s="3179">
        <f t="shared" si="937"/>
        <v>496.35</v>
      </c>
      <c r="BU54" s="3179">
        <f t="shared" si="938"/>
        <v>1.7570000000000001</v>
      </c>
      <c r="BV54" s="3179">
        <f t="shared" si="939"/>
        <v>321.62</v>
      </c>
      <c r="BW54" s="3179">
        <f t="shared" si="940"/>
        <v>320.45840948722855</v>
      </c>
      <c r="BX54" s="3179">
        <f t="shared" si="941"/>
        <v>1.1615905127714186</v>
      </c>
      <c r="BY54" s="3148">
        <f t="shared" si="942"/>
        <v>-220.06655000000001</v>
      </c>
      <c r="BZ54" s="3148">
        <f t="shared" si="943"/>
        <v>-221.47649285048169</v>
      </c>
      <c r="CA54" s="3148">
        <f t="shared" si="944"/>
        <v>1.4099428504817211</v>
      </c>
      <c r="CB54" s="3179">
        <f t="shared" si="945"/>
        <v>1436.3471</v>
      </c>
      <c r="CC54" s="3179">
        <f t="shared" si="946"/>
        <v>1435.6529857009634</v>
      </c>
      <c r="CD54" s="3179">
        <f t="shared" si="947"/>
        <v>0.69411429903655808</v>
      </c>
      <c r="CE54" s="3179">
        <f t="shared" si="948"/>
        <v>942.60399999999993</v>
      </c>
      <c r="CF54" s="3179">
        <f t="shared" si="949"/>
        <v>939.63</v>
      </c>
      <c r="CG54" s="3179">
        <f t="shared" si="950"/>
        <v>2.9740000000000002</v>
      </c>
      <c r="CH54" s="3456">
        <f t="shared" si="951"/>
        <v>928.84</v>
      </c>
      <c r="CI54" s="3456">
        <f t="shared" si="952"/>
        <v>923.50984134940904</v>
      </c>
      <c r="CJ54" s="3456">
        <f t="shared" si="953"/>
        <v>5.3301586505909926</v>
      </c>
      <c r="CK54" s="3148">
        <f t="shared" si="889"/>
        <v>-493.74310000000003</v>
      </c>
      <c r="CL54" s="3148">
        <f t="shared" si="890"/>
        <v>-496.02298570096343</v>
      </c>
      <c r="CM54" s="3148">
        <f t="shared" si="891"/>
        <v>2.2798857009634421</v>
      </c>
      <c r="CN54" s="3145">
        <f t="shared" si="954"/>
        <v>239.39118333333334</v>
      </c>
      <c r="CO54" s="3145">
        <f>SUM('ПОЛНАЯ СЕБЕСТОИМОСТЬ СТОКИ 2019'!AP170/3)</f>
        <v>239.27549761682724</v>
      </c>
      <c r="CP54" s="3145">
        <f>SUM('ПОЛНАЯ СЕБЕСТОИМОСТЬ СТОКИ 2019'!AQ170/3)</f>
        <v>0.11568571650609301</v>
      </c>
      <c r="CQ54" s="3145">
        <f t="shared" ref="CQ54:CQ56" si="987">SUM(CR54:CS54)</f>
        <v>141.51299999999998</v>
      </c>
      <c r="CR54" s="3145">
        <f>SUM('ПОЛНАЯ СЕБЕСТОИМОСТЬ СТОКИ 2019'!AS170)</f>
        <v>141.44999999999999</v>
      </c>
      <c r="CS54" s="3145">
        <f>SUM('ПОЛНАЯ СЕБЕСТОИМОСТЬ СТОКИ 2019'!AT170)</f>
        <v>6.3E-2</v>
      </c>
      <c r="CT54" s="3149">
        <v>133.4</v>
      </c>
      <c r="CU54" s="3149">
        <f t="shared" si="839"/>
        <v>133.25639953707531</v>
      </c>
      <c r="CV54" s="3149">
        <f>SUM(CT54/CT9*CV9)*0.766</f>
        <v>0.14360046292469208</v>
      </c>
      <c r="CW54" s="3145">
        <f t="shared" si="955"/>
        <v>239.39118333333334</v>
      </c>
      <c r="CX54" s="3145">
        <f t="shared" si="956"/>
        <v>239.27549761682724</v>
      </c>
      <c r="CY54" s="3145">
        <f t="shared" si="957"/>
        <v>0.11568571650609301</v>
      </c>
      <c r="CZ54" s="3145">
        <f t="shared" si="958"/>
        <v>173.01999999999998</v>
      </c>
      <c r="DA54" s="3145">
        <f>SUM('ПОЛНАЯ СЕБЕСТОИМОСТЬ СТОКИ 2019'!AV170)</f>
        <v>172.54</v>
      </c>
      <c r="DB54" s="3145">
        <f>SUM('ПОЛНАЯ СЕБЕСТОИМОСТЬ СТОКИ 2019'!AW170)</f>
        <v>0.48</v>
      </c>
      <c r="DC54" s="3149">
        <v>152.44</v>
      </c>
      <c r="DD54" s="3149">
        <f t="shared" si="840"/>
        <v>152.20512493888288</v>
      </c>
      <c r="DE54" s="3149">
        <f>SUM(DC54/DC9*DE9)*0.766</f>
        <v>0.23487506111712828</v>
      </c>
      <c r="DF54" s="3145">
        <f t="shared" si="959"/>
        <v>239.39118333333334</v>
      </c>
      <c r="DG54" s="3145">
        <f t="shared" si="960"/>
        <v>239.27549761682724</v>
      </c>
      <c r="DH54" s="3145">
        <f t="shared" si="961"/>
        <v>0.11568571650609301</v>
      </c>
      <c r="DI54" s="3145">
        <f t="shared" si="892"/>
        <v>136.54</v>
      </c>
      <c r="DJ54" s="3145">
        <f>SUM('ПОЛНАЯ СЕБЕСТОИМОСТЬ СТОКИ 2019'!AY170)</f>
        <v>136.16</v>
      </c>
      <c r="DK54" s="3145">
        <f>SUM('ПОЛНАЯ СЕБЕСТОИМОСТЬ СТОКИ 2019'!AZ170)</f>
        <v>0.38</v>
      </c>
      <c r="DL54" s="3149">
        <v>164.1</v>
      </c>
      <c r="DM54" s="3149">
        <f t="shared" si="841"/>
        <v>162.30099479640648</v>
      </c>
      <c r="DN54" s="3149">
        <f>SUM(DL54/DL9*DN9)*0.766</f>
        <v>1.7990052035935131</v>
      </c>
      <c r="DO54" s="3179">
        <f t="shared" si="962"/>
        <v>718.17354999999998</v>
      </c>
      <c r="DP54" s="3179">
        <f t="shared" si="963"/>
        <v>717.82649285048171</v>
      </c>
      <c r="DQ54" s="3179">
        <f t="shared" si="964"/>
        <v>0.34705714951827904</v>
      </c>
      <c r="DR54" s="3179">
        <f t="shared" ref="DR54:DR56" si="988">SUM(CQ54+CZ54+DI54)</f>
        <v>451.07299999999998</v>
      </c>
      <c r="DS54" s="3179">
        <f t="shared" ref="DS54:DS56" si="989">SUM(CR54+DA54+DJ54)</f>
        <v>450.15</v>
      </c>
      <c r="DT54" s="3179">
        <f t="shared" ref="DT54:DT56" si="990">SUM(CS54+DB54+DK54)</f>
        <v>0.92299999999999993</v>
      </c>
      <c r="DU54" s="3179">
        <f t="shared" si="965"/>
        <v>449.94000000000005</v>
      </c>
      <c r="DV54" s="3179">
        <f t="shared" si="966"/>
        <v>447.76251927236467</v>
      </c>
      <c r="DW54" s="3179">
        <f t="shared" si="967"/>
        <v>2.1774807276353334</v>
      </c>
      <c r="DX54" s="3148">
        <f t="shared" si="893"/>
        <v>-267.10055</v>
      </c>
      <c r="DY54" s="3148">
        <f t="shared" si="894"/>
        <v>-267.67649285048174</v>
      </c>
      <c r="DZ54" s="3148">
        <f t="shared" si="895"/>
        <v>0.57594285048172089</v>
      </c>
      <c r="EA54" s="3179">
        <f t="shared" si="896"/>
        <v>2154.5206499999999</v>
      </c>
      <c r="EB54" s="3179">
        <f t="shared" si="897"/>
        <v>2153.479478551445</v>
      </c>
      <c r="EC54" s="3179">
        <f t="shared" si="898"/>
        <v>1.0411714485548371</v>
      </c>
      <c r="ED54" s="3179">
        <f t="shared" si="899"/>
        <v>1393.6769999999999</v>
      </c>
      <c r="EE54" s="3179">
        <f t="shared" si="900"/>
        <v>1389.78</v>
      </c>
      <c r="EF54" s="3179">
        <f t="shared" si="901"/>
        <v>3.8970000000000002</v>
      </c>
      <c r="EG54" s="3179">
        <f t="shared" si="902"/>
        <v>1378.7800000000002</v>
      </c>
      <c r="EH54" s="3179">
        <f t="shared" si="903"/>
        <v>1371.2723606217737</v>
      </c>
      <c r="EI54" s="3179">
        <f t="shared" si="904"/>
        <v>7.507639378226326</v>
      </c>
      <c r="EJ54" s="3148">
        <f t="shared" si="905"/>
        <v>-760.84365000000003</v>
      </c>
      <c r="EK54" s="3148">
        <f t="shared" si="906"/>
        <v>-763.69947855144505</v>
      </c>
      <c r="EL54" s="3148">
        <f t="shared" si="907"/>
        <v>2.8558285514451631</v>
      </c>
      <c r="EM54" s="3145">
        <f t="shared" si="873"/>
        <v>239.39118333333334</v>
      </c>
      <c r="EN54" s="3145">
        <f>SUM('ПОЛНАЯ СЕБЕСТОИМОСТЬ СТОКИ 2019'!BN170/3)</f>
        <v>239.27549761682724</v>
      </c>
      <c r="EO54" s="3145">
        <f>SUM('ПОЛНАЯ СЕБЕСТОИМОСТЬ СТОКИ 2019'!BO170/3)</f>
        <v>0.11568571650609301</v>
      </c>
      <c r="EP54" s="3145">
        <f t="shared" si="908"/>
        <v>0</v>
      </c>
      <c r="EQ54" s="3145">
        <f>SUM('ПОЛНАЯ СЕБЕСТОИМОСТЬ СТОКИ 2019'!BQ170)</f>
        <v>0</v>
      </c>
      <c r="ER54" s="3145">
        <f>SUM('ПОЛНАЯ СЕБЕСТОИМОСТЬ СТОКИ 2019'!BR170)</f>
        <v>0</v>
      </c>
      <c r="ES54" s="3149">
        <v>199.1</v>
      </c>
      <c r="ET54" s="3149">
        <f t="shared" si="842"/>
        <v>198.78419463149015</v>
      </c>
      <c r="EU54" s="3149">
        <f>SUM(ES54/ES9*EU9)*0.766</f>
        <v>0.31580536850985508</v>
      </c>
      <c r="EV54" s="3145">
        <f t="shared" si="968"/>
        <v>239.39118333333334</v>
      </c>
      <c r="EW54" s="3145">
        <f t="shared" si="969"/>
        <v>239.27549761682724</v>
      </c>
      <c r="EX54" s="3145">
        <f t="shared" si="970"/>
        <v>0.11568571650609301</v>
      </c>
      <c r="EY54" s="3145">
        <f t="shared" si="971"/>
        <v>0</v>
      </c>
      <c r="EZ54" s="3145">
        <f>SUM('ПОЛНАЯ СЕБЕСТОИМОСТЬ СТОКИ 2019'!BT170)</f>
        <v>0</v>
      </c>
      <c r="FA54" s="3145">
        <f>SUM('ПОЛНАЯ СЕБЕСТОИМОСТЬ СТОКИ 2019'!BU170)</f>
        <v>0</v>
      </c>
      <c r="FB54" s="3149">
        <v>104.2</v>
      </c>
      <c r="FC54" s="3149">
        <f t="shared" si="843"/>
        <v>104.02886928289752</v>
      </c>
      <c r="FD54" s="3149">
        <f>SUM(FB54/FB9*FD9)*0.766</f>
        <v>0.17113071710249247</v>
      </c>
      <c r="FE54" s="3145">
        <f t="shared" si="909"/>
        <v>239.39118333333334</v>
      </c>
      <c r="FF54" s="3145">
        <f t="shared" si="910"/>
        <v>239.27549761682724</v>
      </c>
      <c r="FG54" s="3145">
        <f t="shared" si="911"/>
        <v>0.11568571650609301</v>
      </c>
      <c r="FH54" s="3145">
        <f t="shared" si="912"/>
        <v>0</v>
      </c>
      <c r="FI54" s="3145">
        <f>SUM('ПОЛНАЯ СЕБЕСТОИМОСТЬ СТОКИ 2019'!BW170)</f>
        <v>0</v>
      </c>
      <c r="FJ54" s="3145">
        <f>SUM('ПОЛНАЯ СЕБЕСТОИМОСТЬ СТОКИ 2019'!BX170)</f>
        <v>0</v>
      </c>
      <c r="FK54" s="3149">
        <v>301.14</v>
      </c>
      <c r="FL54" s="3149">
        <f t="shared" si="844"/>
        <v>297.64291297959181</v>
      </c>
      <c r="FM54" s="3149">
        <f>SUM(FK54/FK9*FM9)*0.766</f>
        <v>3.4970870204081632</v>
      </c>
      <c r="FN54" s="3179">
        <f t="shared" si="913"/>
        <v>718.17354999999998</v>
      </c>
      <c r="FO54" s="3179">
        <f t="shared" si="914"/>
        <v>717.82649285048171</v>
      </c>
      <c r="FP54" s="3179">
        <f t="shared" si="915"/>
        <v>0.34705714951827904</v>
      </c>
      <c r="FQ54" s="3179">
        <f t="shared" si="916"/>
        <v>0</v>
      </c>
      <c r="FR54" s="3179">
        <f t="shared" si="917"/>
        <v>0</v>
      </c>
      <c r="FS54" s="3179">
        <f t="shared" si="918"/>
        <v>0</v>
      </c>
      <c r="FT54" s="3179">
        <f t="shared" si="972"/>
        <v>604.44000000000005</v>
      </c>
      <c r="FU54" s="3179">
        <f t="shared" si="973"/>
        <v>600.45597689397948</v>
      </c>
      <c r="FV54" s="3179">
        <f t="shared" si="974"/>
        <v>3.9840231060205107</v>
      </c>
      <c r="FW54" s="3148">
        <f t="shared" si="975"/>
        <v>-718.17354999999998</v>
      </c>
      <c r="FX54" s="3148">
        <f t="shared" si="976"/>
        <v>-717.82649285048171</v>
      </c>
      <c r="FY54" s="3148">
        <f t="shared" si="977"/>
        <v>-0.34705714951827904</v>
      </c>
      <c r="FZ54" s="3457">
        <f t="shared" si="978"/>
        <v>2872.6941999999999</v>
      </c>
      <c r="GA54" s="3457">
        <f t="shared" si="979"/>
        <v>2871.3059714019269</v>
      </c>
      <c r="GB54" s="3457">
        <f t="shared" si="980"/>
        <v>1.3882285980731162</v>
      </c>
      <c r="GC54" s="3457">
        <f t="shared" si="981"/>
        <v>1393.6769999999999</v>
      </c>
      <c r="GD54" s="3457">
        <f t="shared" si="982"/>
        <v>1389.78</v>
      </c>
      <c r="GE54" s="3457">
        <f t="shared" si="983"/>
        <v>3.8970000000000002</v>
      </c>
      <c r="GF54" s="3457">
        <f t="shared" si="874"/>
        <v>1983.2200000000003</v>
      </c>
      <c r="GG54" s="3457">
        <f t="shared" si="875"/>
        <v>1971.7283375157531</v>
      </c>
      <c r="GH54" s="3457">
        <f t="shared" si="876"/>
        <v>11.491662484246836</v>
      </c>
      <c r="GI54" s="3246">
        <f t="shared" si="919"/>
        <v>-1479.0172</v>
      </c>
      <c r="GJ54" s="3246">
        <f t="shared" si="920"/>
        <v>-1481.5259714019269</v>
      </c>
      <c r="GK54" s="3246">
        <f t="shared" si="921"/>
        <v>2.5087714019268841</v>
      </c>
    </row>
    <row r="55" spans="1:193" ht="18.75" customHeight="1" x14ac:dyDescent="0.3">
      <c r="A55" s="3111" t="s">
        <v>3666</v>
      </c>
      <c r="B55" s="3136">
        <f t="shared" si="697"/>
        <v>0</v>
      </c>
      <c r="C55" s="3136">
        <f>SUM('ПОЛНАЯ СЕБЕСТОИМОСТЬ СТОКИ 2019'!C171/3)</f>
        <v>0</v>
      </c>
      <c r="D55" s="3136">
        <f>SUM('ПОЛНАЯ СЕБЕСТОИМОСТЬ СТОКИ 2019'!D171/3)</f>
        <v>0</v>
      </c>
      <c r="E55" s="3136">
        <f t="shared" si="698"/>
        <v>0</v>
      </c>
      <c r="F55" s="3136">
        <f>SUM('ПОЛНАЯ СЕБЕСТОИМОСТЬ СТОКИ 2019'!F171)</f>
        <v>0</v>
      </c>
      <c r="G55" s="3136">
        <f>SUM('ПОЛНАЯ СЕБЕСТОИМОСТЬ СТОКИ 2019'!G171)</f>
        <v>0</v>
      </c>
      <c r="H55" s="3137">
        <v>0</v>
      </c>
      <c r="I55" s="3137">
        <f t="shared" si="833"/>
        <v>0</v>
      </c>
      <c r="J55" s="3137">
        <f>SUM(H55/H9*J9)</f>
        <v>0</v>
      </c>
      <c r="K55" s="3136">
        <f t="shared" si="869"/>
        <v>0</v>
      </c>
      <c r="L55" s="3136">
        <f t="shared" si="870"/>
        <v>0</v>
      </c>
      <c r="M55" s="3136">
        <f t="shared" si="871"/>
        <v>0</v>
      </c>
      <c r="N55" s="3136">
        <f t="shared" si="877"/>
        <v>0</v>
      </c>
      <c r="O55" s="3136">
        <f>SUM('ПОЛНАЯ СЕБЕСТОИМОСТЬ СТОКИ 2019'!I171)</f>
        <v>0</v>
      </c>
      <c r="P55" s="3136">
        <f>SUM('ПОЛНАЯ СЕБЕСТОИМОСТЬ СТОКИ 2019'!J171)</f>
        <v>0</v>
      </c>
      <c r="Q55" s="3137">
        <v>0</v>
      </c>
      <c r="R55" s="3137">
        <f t="shared" si="834"/>
        <v>0</v>
      </c>
      <c r="S55" s="3137">
        <f>SUM(Q55/Q9*S9)</f>
        <v>0</v>
      </c>
      <c r="T55" s="3136">
        <f t="shared" si="922"/>
        <v>0</v>
      </c>
      <c r="U55" s="3136">
        <f t="shared" si="923"/>
        <v>0</v>
      </c>
      <c r="V55" s="3136">
        <f t="shared" si="924"/>
        <v>0</v>
      </c>
      <c r="W55" s="3136">
        <f t="shared" si="878"/>
        <v>0</v>
      </c>
      <c r="X55" s="3136">
        <f>SUM('ПОЛНАЯ СЕБЕСТОИМОСТЬ СТОКИ 2019'!L171)</f>
        <v>0</v>
      </c>
      <c r="Y55" s="3136">
        <f>SUM('ПОЛНАЯ СЕБЕСТОИМОСТЬ СТОКИ 2019'!M171)</f>
        <v>0</v>
      </c>
      <c r="Z55" s="3137">
        <v>0</v>
      </c>
      <c r="AA55" s="3137">
        <f t="shared" si="835"/>
        <v>0</v>
      </c>
      <c r="AB55" s="3137">
        <f>SUM(Z55/Z9*AB9)</f>
        <v>0</v>
      </c>
      <c r="AC55" s="3180">
        <f t="shared" si="925"/>
        <v>0</v>
      </c>
      <c r="AD55" s="3180">
        <f t="shared" si="926"/>
        <v>0</v>
      </c>
      <c r="AE55" s="3180">
        <f t="shared" si="927"/>
        <v>0</v>
      </c>
      <c r="AF55" s="3180">
        <f t="shared" si="984"/>
        <v>0</v>
      </c>
      <c r="AG55" s="3180">
        <f t="shared" si="985"/>
        <v>0</v>
      </c>
      <c r="AH55" s="3180">
        <f t="shared" si="986"/>
        <v>0</v>
      </c>
      <c r="AI55" s="3180">
        <f t="shared" si="879"/>
        <v>0</v>
      </c>
      <c r="AJ55" s="3180">
        <f t="shared" si="880"/>
        <v>0</v>
      </c>
      <c r="AK55" s="3180">
        <f t="shared" si="881"/>
        <v>0</v>
      </c>
      <c r="AL55" s="3143">
        <f t="shared" si="928"/>
        <v>0</v>
      </c>
      <c r="AM55" s="3143">
        <f t="shared" si="929"/>
        <v>0</v>
      </c>
      <c r="AN55" s="3143">
        <f t="shared" si="930"/>
        <v>0</v>
      </c>
      <c r="AO55" s="3136">
        <f t="shared" si="882"/>
        <v>0</v>
      </c>
      <c r="AP55" s="3136">
        <f>SUM('ПОЛНАЯ СЕБЕСТОИМОСТЬ СТОКИ 2019'!R171/3)</f>
        <v>0</v>
      </c>
      <c r="AQ55" s="3136">
        <f>SUM('ПОЛНАЯ СЕБЕСТОИМОСТЬ СТОКИ 2019'!S171/3)</f>
        <v>0</v>
      </c>
      <c r="AR55" s="3136">
        <f t="shared" si="931"/>
        <v>0</v>
      </c>
      <c r="AS55" s="3136">
        <f>SUM('ПОЛНАЯ СЕБЕСТОИМОСТЬ СТОКИ 2019'!U171)</f>
        <v>0</v>
      </c>
      <c r="AT55" s="3136">
        <f>SUM('ПОЛНАЯ СЕБЕСТОИМОСТЬ СТОКИ 2019'!V171)</f>
        <v>0</v>
      </c>
      <c r="AU55" s="3137">
        <v>0</v>
      </c>
      <c r="AV55" s="3137">
        <f t="shared" si="836"/>
        <v>0</v>
      </c>
      <c r="AW55" s="3137">
        <f>SUM(AU55/AU9*AW9)</f>
        <v>0</v>
      </c>
      <c r="AX55" s="3136">
        <f t="shared" si="883"/>
        <v>0</v>
      </c>
      <c r="AY55" s="3136">
        <f t="shared" si="884"/>
        <v>0</v>
      </c>
      <c r="AZ55" s="3136">
        <f t="shared" si="885"/>
        <v>0</v>
      </c>
      <c r="BA55" s="3277">
        <f t="shared" si="932"/>
        <v>0</v>
      </c>
      <c r="BB55" s="3277">
        <f>SUM('ПОЛНАЯ СЕБЕСТОИМОСТЬ СТОКИ 2019'!X171)</f>
        <v>0</v>
      </c>
      <c r="BC55" s="3277">
        <f>SUM('ПОЛНАЯ СЕБЕСТОИМОСТЬ СТОКИ 2019'!Y171)</f>
        <v>0</v>
      </c>
      <c r="BD55" s="3137">
        <v>0</v>
      </c>
      <c r="BE55" s="3137">
        <f t="shared" si="837"/>
        <v>0</v>
      </c>
      <c r="BF55" s="3137">
        <f>SUM(BD55/BD9*BF9)</f>
        <v>0</v>
      </c>
      <c r="BG55" s="3136">
        <f t="shared" si="933"/>
        <v>0</v>
      </c>
      <c r="BH55" s="3136">
        <f t="shared" si="934"/>
        <v>0</v>
      </c>
      <c r="BI55" s="3136">
        <f t="shared" si="935"/>
        <v>0</v>
      </c>
      <c r="BJ55" s="3136">
        <f t="shared" si="872"/>
        <v>0</v>
      </c>
      <c r="BK55" s="3136">
        <f>SUM('ПОЛНАЯ СЕБЕСТОИМОСТЬ СТОКИ 2019'!AA171)</f>
        <v>0</v>
      </c>
      <c r="BL55" s="3136">
        <f>SUM('ПОЛНАЯ СЕБЕСТОИМОСТЬ СТОКИ 2019'!AB171)</f>
        <v>0</v>
      </c>
      <c r="BM55" s="3137">
        <v>0</v>
      </c>
      <c r="BN55" s="3137">
        <f t="shared" si="838"/>
        <v>0</v>
      </c>
      <c r="BO55" s="3137">
        <f>SUM(BM55/BM9*BO9)</f>
        <v>0</v>
      </c>
      <c r="BP55" s="3180">
        <f t="shared" si="886"/>
        <v>0</v>
      </c>
      <c r="BQ55" s="3180">
        <f t="shared" si="887"/>
        <v>0</v>
      </c>
      <c r="BR55" s="3180">
        <f t="shared" si="888"/>
        <v>0</v>
      </c>
      <c r="BS55" s="3180">
        <f t="shared" si="936"/>
        <v>0</v>
      </c>
      <c r="BT55" s="3180">
        <f t="shared" si="937"/>
        <v>0</v>
      </c>
      <c r="BU55" s="3180">
        <f t="shared" si="938"/>
        <v>0</v>
      </c>
      <c r="BV55" s="3180">
        <f t="shared" si="939"/>
        <v>0</v>
      </c>
      <c r="BW55" s="3180">
        <f t="shared" si="940"/>
        <v>0</v>
      </c>
      <c r="BX55" s="3180">
        <f t="shared" si="941"/>
        <v>0</v>
      </c>
      <c r="BY55" s="3143">
        <f t="shared" si="942"/>
        <v>0</v>
      </c>
      <c r="BZ55" s="3143">
        <f t="shared" si="943"/>
        <v>0</v>
      </c>
      <c r="CA55" s="3143">
        <f t="shared" si="944"/>
        <v>0</v>
      </c>
      <c r="CB55" s="3180">
        <f t="shared" si="945"/>
        <v>0</v>
      </c>
      <c r="CC55" s="3180">
        <f t="shared" si="946"/>
        <v>0</v>
      </c>
      <c r="CD55" s="3180">
        <f t="shared" si="947"/>
        <v>0</v>
      </c>
      <c r="CE55" s="3180">
        <f t="shared" si="948"/>
        <v>0</v>
      </c>
      <c r="CF55" s="3180">
        <f t="shared" si="949"/>
        <v>0</v>
      </c>
      <c r="CG55" s="3180">
        <f t="shared" si="950"/>
        <v>0</v>
      </c>
      <c r="CH55" s="3198">
        <f t="shared" si="951"/>
        <v>0</v>
      </c>
      <c r="CI55" s="3198">
        <f t="shared" si="952"/>
        <v>0</v>
      </c>
      <c r="CJ55" s="3198">
        <f t="shared" si="953"/>
        <v>0</v>
      </c>
      <c r="CK55" s="3143">
        <f t="shared" si="889"/>
        <v>0</v>
      </c>
      <c r="CL55" s="3143">
        <f t="shared" si="890"/>
        <v>0</v>
      </c>
      <c r="CM55" s="3143">
        <f t="shared" si="891"/>
        <v>0</v>
      </c>
      <c r="CN55" s="3136">
        <f t="shared" si="954"/>
        <v>0</v>
      </c>
      <c r="CO55" s="3136">
        <f>SUM('ПОЛНАЯ СЕБЕСТОИМОСТЬ СТОКИ 2019'!AP171/3)</f>
        <v>0</v>
      </c>
      <c r="CP55" s="3136">
        <f>SUM('ПОЛНАЯ СЕБЕСТОИМОСТЬ СТОКИ 2019'!AQ171/3)</f>
        <v>0</v>
      </c>
      <c r="CQ55" s="3136">
        <f t="shared" si="987"/>
        <v>0</v>
      </c>
      <c r="CR55" s="3136">
        <f>SUM('ПОЛНАЯ СЕБЕСТОИМОСТЬ СТОКИ 2019'!AS171)</f>
        <v>0</v>
      </c>
      <c r="CS55" s="3136">
        <f>SUM('ПОЛНАЯ СЕБЕСТОИМОСТЬ СТОКИ 2019'!AT171)</f>
        <v>0</v>
      </c>
      <c r="CT55" s="3137">
        <v>0</v>
      </c>
      <c r="CU55" s="3137">
        <f t="shared" si="839"/>
        <v>0</v>
      </c>
      <c r="CV55" s="3137">
        <f>SUM(CT55/CT9*CV9)</f>
        <v>0</v>
      </c>
      <c r="CW55" s="3136">
        <f t="shared" si="955"/>
        <v>0</v>
      </c>
      <c r="CX55" s="3136">
        <f t="shared" si="956"/>
        <v>0</v>
      </c>
      <c r="CY55" s="3136">
        <f t="shared" si="957"/>
        <v>0</v>
      </c>
      <c r="CZ55" s="3136">
        <f t="shared" si="958"/>
        <v>0</v>
      </c>
      <c r="DA55" s="3136">
        <f>SUM('ПОЛНАЯ СЕБЕСТОИМОСТЬ СТОКИ 2019'!AV171)</f>
        <v>0</v>
      </c>
      <c r="DB55" s="3136">
        <f>SUM('ПОЛНАЯ СЕБЕСТОИМОСТЬ СТОКИ 2019'!AW171)</f>
        <v>0</v>
      </c>
      <c r="DC55" s="3137">
        <v>0</v>
      </c>
      <c r="DD55" s="3137">
        <f t="shared" si="840"/>
        <v>0</v>
      </c>
      <c r="DE55" s="3137">
        <f>SUM(DC55/DC9*DE9)</f>
        <v>0</v>
      </c>
      <c r="DF55" s="3136">
        <f t="shared" si="959"/>
        <v>0</v>
      </c>
      <c r="DG55" s="3136">
        <f t="shared" si="960"/>
        <v>0</v>
      </c>
      <c r="DH55" s="3136">
        <f t="shared" si="961"/>
        <v>0</v>
      </c>
      <c r="DI55" s="3136">
        <f t="shared" si="892"/>
        <v>0</v>
      </c>
      <c r="DJ55" s="3136">
        <f>SUM('ПОЛНАЯ СЕБЕСТОИМОСТЬ СТОКИ 2019'!AY171)</f>
        <v>0</v>
      </c>
      <c r="DK55" s="3136">
        <f>SUM('ПОЛНАЯ СЕБЕСТОИМОСТЬ СТОКИ 2019'!AZ171)</f>
        <v>0</v>
      </c>
      <c r="DL55" s="3137">
        <v>0</v>
      </c>
      <c r="DM55" s="3137">
        <f t="shared" si="841"/>
        <v>0</v>
      </c>
      <c r="DN55" s="3137">
        <f>SUM(DL55/DL9*DN9)</f>
        <v>0</v>
      </c>
      <c r="DO55" s="3180">
        <f t="shared" si="962"/>
        <v>0</v>
      </c>
      <c r="DP55" s="3180">
        <f t="shared" si="963"/>
        <v>0</v>
      </c>
      <c r="DQ55" s="3180">
        <f t="shared" si="964"/>
        <v>0</v>
      </c>
      <c r="DR55" s="3180">
        <f t="shared" si="988"/>
        <v>0</v>
      </c>
      <c r="DS55" s="3180">
        <f t="shared" si="989"/>
        <v>0</v>
      </c>
      <c r="DT55" s="3180">
        <f t="shared" si="990"/>
        <v>0</v>
      </c>
      <c r="DU55" s="3180">
        <f t="shared" si="965"/>
        <v>0</v>
      </c>
      <c r="DV55" s="3180">
        <f t="shared" si="966"/>
        <v>0</v>
      </c>
      <c r="DW55" s="3180">
        <f t="shared" si="967"/>
        <v>0</v>
      </c>
      <c r="DX55" s="3143">
        <f t="shared" si="893"/>
        <v>0</v>
      </c>
      <c r="DY55" s="3143">
        <f t="shared" si="894"/>
        <v>0</v>
      </c>
      <c r="DZ55" s="3143">
        <f t="shared" si="895"/>
        <v>0</v>
      </c>
      <c r="EA55" s="3180">
        <f t="shared" si="896"/>
        <v>0</v>
      </c>
      <c r="EB55" s="3180">
        <f t="shared" si="897"/>
        <v>0</v>
      </c>
      <c r="EC55" s="3180">
        <f t="shared" si="898"/>
        <v>0</v>
      </c>
      <c r="ED55" s="3180">
        <f t="shared" si="899"/>
        <v>0</v>
      </c>
      <c r="EE55" s="3180">
        <f t="shared" si="900"/>
        <v>0</v>
      </c>
      <c r="EF55" s="3180">
        <f t="shared" si="901"/>
        <v>0</v>
      </c>
      <c r="EG55" s="3180">
        <f t="shared" si="902"/>
        <v>0</v>
      </c>
      <c r="EH55" s="3180">
        <f t="shared" si="903"/>
        <v>0</v>
      </c>
      <c r="EI55" s="3180">
        <f t="shared" si="904"/>
        <v>0</v>
      </c>
      <c r="EJ55" s="3143">
        <f t="shared" si="905"/>
        <v>0</v>
      </c>
      <c r="EK55" s="3143">
        <f t="shared" si="906"/>
        <v>0</v>
      </c>
      <c r="EL55" s="3143">
        <f t="shared" si="907"/>
        <v>0</v>
      </c>
      <c r="EM55" s="3136">
        <f t="shared" si="873"/>
        <v>0</v>
      </c>
      <c r="EN55" s="3136">
        <f>SUM('ПОЛНАЯ СЕБЕСТОИМОСТЬ СТОКИ 2019'!BN171/3)</f>
        <v>0</v>
      </c>
      <c r="EO55" s="3136">
        <f>SUM('ПОЛНАЯ СЕБЕСТОИМОСТЬ СТОКИ 2019'!BO171/3)</f>
        <v>0</v>
      </c>
      <c r="EP55" s="3136">
        <f t="shared" si="908"/>
        <v>0</v>
      </c>
      <c r="EQ55" s="3136">
        <f>SUM('ПОЛНАЯ СЕБЕСТОИМОСТЬ СТОКИ 2019'!BQ171)</f>
        <v>0</v>
      </c>
      <c r="ER55" s="3136">
        <f>SUM('ПОЛНАЯ СЕБЕСТОИМОСТЬ СТОКИ 2019'!BR171)</f>
        <v>0</v>
      </c>
      <c r="ES55" s="3137">
        <v>0</v>
      </c>
      <c r="ET55" s="3137">
        <f t="shared" si="842"/>
        <v>0</v>
      </c>
      <c r="EU55" s="3137">
        <f>SUM(ES55/ES9*EU9)</f>
        <v>0</v>
      </c>
      <c r="EV55" s="3136">
        <f t="shared" si="968"/>
        <v>0</v>
      </c>
      <c r="EW55" s="3136">
        <f t="shared" si="969"/>
        <v>0</v>
      </c>
      <c r="EX55" s="3136">
        <f t="shared" si="970"/>
        <v>0</v>
      </c>
      <c r="EY55" s="3136">
        <f t="shared" si="971"/>
        <v>0</v>
      </c>
      <c r="EZ55" s="3136">
        <f>SUM('ПОЛНАЯ СЕБЕСТОИМОСТЬ СТОКИ 2019'!BT171)</f>
        <v>0</v>
      </c>
      <c r="FA55" s="3136">
        <f>SUM('ПОЛНАЯ СЕБЕСТОИМОСТЬ СТОКИ 2019'!BU171)</f>
        <v>0</v>
      </c>
      <c r="FB55" s="3137">
        <v>0</v>
      </c>
      <c r="FC55" s="3137">
        <f t="shared" si="843"/>
        <v>0</v>
      </c>
      <c r="FD55" s="3137">
        <f>SUM(FB55/FB9*FD9)</f>
        <v>0</v>
      </c>
      <c r="FE55" s="3136">
        <f t="shared" si="909"/>
        <v>0</v>
      </c>
      <c r="FF55" s="3136">
        <f t="shared" si="910"/>
        <v>0</v>
      </c>
      <c r="FG55" s="3136">
        <f t="shared" si="911"/>
        <v>0</v>
      </c>
      <c r="FH55" s="3136">
        <f t="shared" si="912"/>
        <v>0</v>
      </c>
      <c r="FI55" s="3136">
        <f>SUM('ПОЛНАЯ СЕБЕСТОИМОСТЬ СТОКИ 2019'!BW171)</f>
        <v>0</v>
      </c>
      <c r="FJ55" s="3136">
        <f>SUM('ПОЛНАЯ СЕБЕСТОИМОСТЬ СТОКИ 2019'!BX171)</f>
        <v>0</v>
      </c>
      <c r="FK55" s="3137">
        <v>0</v>
      </c>
      <c r="FL55" s="3137">
        <f t="shared" si="844"/>
        <v>0</v>
      </c>
      <c r="FM55" s="3137">
        <f>SUM(FK55/FK9*FM9)</f>
        <v>0</v>
      </c>
      <c r="FN55" s="3180">
        <f t="shared" si="913"/>
        <v>0</v>
      </c>
      <c r="FO55" s="3180">
        <f t="shared" si="914"/>
        <v>0</v>
      </c>
      <c r="FP55" s="3180">
        <f t="shared" si="915"/>
        <v>0</v>
      </c>
      <c r="FQ55" s="3180">
        <f t="shared" si="916"/>
        <v>0</v>
      </c>
      <c r="FR55" s="3180">
        <f t="shared" si="917"/>
        <v>0</v>
      </c>
      <c r="FS55" s="3180">
        <f t="shared" si="918"/>
        <v>0</v>
      </c>
      <c r="FT55" s="3180">
        <f t="shared" si="972"/>
        <v>0</v>
      </c>
      <c r="FU55" s="3180">
        <f t="shared" si="973"/>
        <v>0</v>
      </c>
      <c r="FV55" s="3180">
        <f t="shared" si="974"/>
        <v>0</v>
      </c>
      <c r="FW55" s="3143">
        <f t="shared" si="975"/>
        <v>0</v>
      </c>
      <c r="FX55" s="3143">
        <f t="shared" si="976"/>
        <v>0</v>
      </c>
      <c r="FY55" s="3143">
        <f t="shared" si="977"/>
        <v>0</v>
      </c>
      <c r="FZ55" s="3242">
        <f t="shared" si="978"/>
        <v>0</v>
      </c>
      <c r="GA55" s="3242">
        <f t="shared" si="979"/>
        <v>0</v>
      </c>
      <c r="GB55" s="3242">
        <f t="shared" si="980"/>
        <v>0</v>
      </c>
      <c r="GC55" s="3242">
        <f t="shared" si="981"/>
        <v>0</v>
      </c>
      <c r="GD55" s="3242">
        <f t="shared" si="982"/>
        <v>0</v>
      </c>
      <c r="GE55" s="3242">
        <f t="shared" si="983"/>
        <v>0</v>
      </c>
      <c r="GF55" s="3242">
        <f t="shared" si="874"/>
        <v>0</v>
      </c>
      <c r="GG55" s="3242">
        <f t="shared" si="875"/>
        <v>0</v>
      </c>
      <c r="GH55" s="3242">
        <f t="shared" si="876"/>
        <v>0</v>
      </c>
      <c r="GI55" s="3243">
        <f t="shared" si="919"/>
        <v>0</v>
      </c>
      <c r="GJ55" s="3243">
        <f t="shared" si="920"/>
        <v>0</v>
      </c>
      <c r="GK55" s="3243">
        <f t="shared" si="921"/>
        <v>0</v>
      </c>
    </row>
    <row r="56" spans="1:193" ht="18.75" customHeight="1" x14ac:dyDescent="0.3">
      <c r="A56" s="3111" t="s">
        <v>3609</v>
      </c>
      <c r="B56" s="3136">
        <f t="shared" si="697"/>
        <v>20.084166666666665</v>
      </c>
      <c r="C56" s="3136">
        <f>SUM('ПОЛНАЯ СЕБЕСТОИМОСТЬ СТОКИ 2019'!C172/3)</f>
        <v>20.084166666666665</v>
      </c>
      <c r="D56" s="3136">
        <f>SUM('ПОЛНАЯ СЕБЕСТОИМОСТЬ СТОКИ 2019'!D172/3)</f>
        <v>0</v>
      </c>
      <c r="E56" s="3136">
        <f t="shared" si="698"/>
        <v>0</v>
      </c>
      <c r="F56" s="3136">
        <f>SUM('ПОЛНАЯ СЕБЕСТОИМОСТЬ СТОКИ 2019'!F172)</f>
        <v>0</v>
      </c>
      <c r="G56" s="3136">
        <f>SUM('ПОЛНАЯ СЕБЕСТОИМОСТЬ СТОКИ 2019'!G172)</f>
        <v>0</v>
      </c>
      <c r="H56" s="3137">
        <v>0</v>
      </c>
      <c r="I56" s="3137">
        <f t="shared" si="833"/>
        <v>0</v>
      </c>
      <c r="J56" s="3137">
        <f>SUM(H56/H9*J9)</f>
        <v>0</v>
      </c>
      <c r="K56" s="3136">
        <f t="shared" si="869"/>
        <v>20.084166666666665</v>
      </c>
      <c r="L56" s="3136">
        <f t="shared" si="870"/>
        <v>20.084166666666665</v>
      </c>
      <c r="M56" s="3136">
        <f t="shared" si="871"/>
        <v>0</v>
      </c>
      <c r="N56" s="3136">
        <f t="shared" si="877"/>
        <v>0</v>
      </c>
      <c r="O56" s="3136">
        <f>SUM('ПОЛНАЯ СЕБЕСТОИМОСТЬ СТОКИ 2019'!I172)</f>
        <v>0</v>
      </c>
      <c r="P56" s="3136">
        <f>SUM('ПОЛНАЯ СЕБЕСТОИМОСТЬ СТОКИ 2019'!J172)</f>
        <v>0</v>
      </c>
      <c r="Q56" s="3137">
        <v>0</v>
      </c>
      <c r="R56" s="3137">
        <f t="shared" si="834"/>
        <v>0</v>
      </c>
      <c r="S56" s="3137">
        <f>SUM(Q56/Q9*S9)</f>
        <v>0</v>
      </c>
      <c r="T56" s="3136">
        <f t="shared" si="922"/>
        <v>20.084166666666665</v>
      </c>
      <c r="U56" s="3136">
        <f t="shared" si="923"/>
        <v>20.084166666666665</v>
      </c>
      <c r="V56" s="3136">
        <f t="shared" si="924"/>
        <v>0</v>
      </c>
      <c r="W56" s="3136">
        <f t="shared" si="878"/>
        <v>0</v>
      </c>
      <c r="X56" s="3136">
        <f>SUM('ПОЛНАЯ СЕБЕСТОИМОСТЬ СТОКИ 2019'!L172)</f>
        <v>0</v>
      </c>
      <c r="Y56" s="3136">
        <f>SUM('ПОЛНАЯ СЕБЕСТОИМОСТЬ СТОКИ 2019'!M172)</f>
        <v>0</v>
      </c>
      <c r="Z56" s="3137">
        <v>0</v>
      </c>
      <c r="AA56" s="3137">
        <f t="shared" si="835"/>
        <v>0</v>
      </c>
      <c r="AB56" s="3137">
        <f>SUM(Z56/Z9*AB9)</f>
        <v>0</v>
      </c>
      <c r="AC56" s="3180">
        <f t="shared" si="925"/>
        <v>60.252499999999998</v>
      </c>
      <c r="AD56" s="3180">
        <f t="shared" si="926"/>
        <v>60.252499999999998</v>
      </c>
      <c r="AE56" s="3180">
        <f t="shared" si="927"/>
        <v>0</v>
      </c>
      <c r="AF56" s="3180">
        <f t="shared" si="984"/>
        <v>0</v>
      </c>
      <c r="AG56" s="3180">
        <f t="shared" si="985"/>
        <v>0</v>
      </c>
      <c r="AH56" s="3180">
        <f t="shared" si="986"/>
        <v>0</v>
      </c>
      <c r="AI56" s="3180">
        <f t="shared" si="879"/>
        <v>0</v>
      </c>
      <c r="AJ56" s="3180">
        <f t="shared" si="880"/>
        <v>0</v>
      </c>
      <c r="AK56" s="3180">
        <f t="shared" si="881"/>
        <v>0</v>
      </c>
      <c r="AL56" s="3143">
        <f t="shared" si="928"/>
        <v>-60.252499999999998</v>
      </c>
      <c r="AM56" s="3143">
        <f t="shared" si="929"/>
        <v>-60.252499999999998</v>
      </c>
      <c r="AN56" s="3143">
        <f t="shared" si="930"/>
        <v>0</v>
      </c>
      <c r="AO56" s="3136">
        <f t="shared" si="882"/>
        <v>20.084166666666665</v>
      </c>
      <c r="AP56" s="3136">
        <f>SUM('ПОЛНАЯ СЕБЕСТОИМОСТЬ СТОКИ 2019'!R172/3)</f>
        <v>20.084166666666665</v>
      </c>
      <c r="AQ56" s="3136">
        <f>SUM('ПОЛНАЯ СЕБЕСТОИМОСТЬ СТОКИ 2019'!S172/3)</f>
        <v>0</v>
      </c>
      <c r="AR56" s="3136">
        <f t="shared" si="931"/>
        <v>0</v>
      </c>
      <c r="AS56" s="3136">
        <f>SUM('ПОЛНАЯ СЕБЕСТОИМОСТЬ СТОКИ 2019'!U172)</f>
        <v>0</v>
      </c>
      <c r="AT56" s="3136">
        <f>SUM('ПОЛНАЯ СЕБЕСТОИМОСТЬ СТОКИ 2019'!V172)</f>
        <v>0</v>
      </c>
      <c r="AU56" s="3137">
        <v>0</v>
      </c>
      <c r="AV56" s="3137">
        <f t="shared" si="836"/>
        <v>0</v>
      </c>
      <c r="AW56" s="3137">
        <f>SUM(AU56/AU9*AW9)</f>
        <v>0</v>
      </c>
      <c r="AX56" s="3136">
        <f t="shared" si="883"/>
        <v>20.084166666666665</v>
      </c>
      <c r="AY56" s="3136">
        <f t="shared" si="884"/>
        <v>20.084166666666665</v>
      </c>
      <c r="AZ56" s="3136">
        <f t="shared" si="885"/>
        <v>0</v>
      </c>
      <c r="BA56" s="3277">
        <f t="shared" si="932"/>
        <v>0</v>
      </c>
      <c r="BB56" s="3277">
        <f>SUM('ПОЛНАЯ СЕБЕСТОИМОСТЬ СТОКИ 2019'!X172)</f>
        <v>0</v>
      </c>
      <c r="BC56" s="3277">
        <f>SUM('ПОЛНАЯ СЕБЕСТОИМОСТЬ СТОКИ 2019'!Y172)</f>
        <v>0</v>
      </c>
      <c r="BD56" s="3137">
        <v>0</v>
      </c>
      <c r="BE56" s="3137">
        <f t="shared" si="837"/>
        <v>0</v>
      </c>
      <c r="BF56" s="3137">
        <f>SUM(BD56/BD9*BF9)</f>
        <v>0</v>
      </c>
      <c r="BG56" s="3136">
        <f t="shared" si="933"/>
        <v>20.084166666666665</v>
      </c>
      <c r="BH56" s="3136">
        <f t="shared" si="934"/>
        <v>20.084166666666665</v>
      </c>
      <c r="BI56" s="3136">
        <f t="shared" si="935"/>
        <v>0</v>
      </c>
      <c r="BJ56" s="3136">
        <f t="shared" si="872"/>
        <v>0</v>
      </c>
      <c r="BK56" s="3136">
        <f>SUM('ПОЛНАЯ СЕБЕСТОИМОСТЬ СТОКИ 2019'!AA172)</f>
        <v>0</v>
      </c>
      <c r="BL56" s="3136">
        <f>SUM('ПОЛНАЯ СЕБЕСТОИМОСТЬ СТОКИ 2019'!AB172)</f>
        <v>0</v>
      </c>
      <c r="BM56" s="3137">
        <v>0</v>
      </c>
      <c r="BN56" s="3137">
        <f t="shared" si="838"/>
        <v>0</v>
      </c>
      <c r="BO56" s="3137">
        <f>SUM(BM56/BM9*BO9)</f>
        <v>0</v>
      </c>
      <c r="BP56" s="3180">
        <f t="shared" si="886"/>
        <v>60.252499999999998</v>
      </c>
      <c r="BQ56" s="3180">
        <f t="shared" si="887"/>
        <v>60.252499999999998</v>
      </c>
      <c r="BR56" s="3180">
        <f t="shared" si="888"/>
        <v>0</v>
      </c>
      <c r="BS56" s="3180">
        <f t="shared" si="936"/>
        <v>0</v>
      </c>
      <c r="BT56" s="3180">
        <f t="shared" si="937"/>
        <v>0</v>
      </c>
      <c r="BU56" s="3180">
        <f t="shared" si="938"/>
        <v>0</v>
      </c>
      <c r="BV56" s="3180">
        <f t="shared" si="939"/>
        <v>0</v>
      </c>
      <c r="BW56" s="3180">
        <f t="shared" si="940"/>
        <v>0</v>
      </c>
      <c r="BX56" s="3180">
        <f t="shared" si="941"/>
        <v>0</v>
      </c>
      <c r="BY56" s="3143">
        <f t="shared" si="942"/>
        <v>-60.252499999999998</v>
      </c>
      <c r="BZ56" s="3143">
        <f t="shared" si="943"/>
        <v>-60.252499999999998</v>
      </c>
      <c r="CA56" s="3143">
        <f t="shared" si="944"/>
        <v>0</v>
      </c>
      <c r="CB56" s="3180">
        <f t="shared" si="945"/>
        <v>120.505</v>
      </c>
      <c r="CC56" s="3180">
        <f t="shared" si="946"/>
        <v>120.505</v>
      </c>
      <c r="CD56" s="3180">
        <f t="shared" si="947"/>
        <v>0</v>
      </c>
      <c r="CE56" s="3180">
        <f t="shared" si="948"/>
        <v>0</v>
      </c>
      <c r="CF56" s="3180">
        <f t="shared" si="949"/>
        <v>0</v>
      </c>
      <c r="CG56" s="3180">
        <f t="shared" si="950"/>
        <v>0</v>
      </c>
      <c r="CH56" s="3198">
        <f t="shared" si="951"/>
        <v>0</v>
      </c>
      <c r="CI56" s="3198">
        <f t="shared" si="952"/>
        <v>0</v>
      </c>
      <c r="CJ56" s="3198">
        <f t="shared" si="953"/>
        <v>0</v>
      </c>
      <c r="CK56" s="3143">
        <f t="shared" si="889"/>
        <v>-120.505</v>
      </c>
      <c r="CL56" s="3143">
        <f t="shared" si="890"/>
        <v>-120.505</v>
      </c>
      <c r="CM56" s="3143">
        <f t="shared" si="891"/>
        <v>0</v>
      </c>
      <c r="CN56" s="3136">
        <f t="shared" si="954"/>
        <v>20.084166666666665</v>
      </c>
      <c r="CO56" s="3136">
        <f>SUM('ПОЛНАЯ СЕБЕСТОИМОСТЬ СТОКИ 2019'!AP172/3)</f>
        <v>20.084166666666665</v>
      </c>
      <c r="CP56" s="3136">
        <f>SUM('ПОЛНАЯ СЕБЕСТОИМОСТЬ СТОКИ 2019'!AQ172/3)</f>
        <v>0</v>
      </c>
      <c r="CQ56" s="3136">
        <f t="shared" si="987"/>
        <v>0</v>
      </c>
      <c r="CR56" s="3136">
        <f>SUM('ПОЛНАЯ СЕБЕСТОИМОСТЬ СТОКИ 2019'!AS172)</f>
        <v>0</v>
      </c>
      <c r="CS56" s="3136">
        <f>SUM('ПОЛНАЯ СЕБЕСТОИМОСТЬ СТОКИ 2019'!AT172)</f>
        <v>0</v>
      </c>
      <c r="CT56" s="3137">
        <v>0</v>
      </c>
      <c r="CU56" s="3137">
        <f t="shared" si="839"/>
        <v>0</v>
      </c>
      <c r="CV56" s="3137">
        <f>SUM(CT56/CT9*CV9)</f>
        <v>0</v>
      </c>
      <c r="CW56" s="3136">
        <f t="shared" si="955"/>
        <v>20.084166666666665</v>
      </c>
      <c r="CX56" s="3136">
        <f t="shared" si="956"/>
        <v>20.084166666666665</v>
      </c>
      <c r="CY56" s="3136">
        <f t="shared" si="957"/>
        <v>0</v>
      </c>
      <c r="CZ56" s="3136">
        <f t="shared" si="958"/>
        <v>0</v>
      </c>
      <c r="DA56" s="3136">
        <f>SUM('ПОЛНАЯ СЕБЕСТОИМОСТЬ СТОКИ 2019'!AV172)</f>
        <v>0</v>
      </c>
      <c r="DB56" s="3136">
        <f>SUM('ПОЛНАЯ СЕБЕСТОИМОСТЬ СТОКИ 2019'!AW172)</f>
        <v>0</v>
      </c>
      <c r="DC56" s="3137">
        <v>0</v>
      </c>
      <c r="DD56" s="3137">
        <f t="shared" si="840"/>
        <v>0</v>
      </c>
      <c r="DE56" s="3137">
        <f>SUM(DC56/DC9*DE9)</f>
        <v>0</v>
      </c>
      <c r="DF56" s="3136">
        <f t="shared" si="959"/>
        <v>20.084166666666665</v>
      </c>
      <c r="DG56" s="3136">
        <f t="shared" si="960"/>
        <v>20.084166666666665</v>
      </c>
      <c r="DH56" s="3136">
        <f t="shared" si="961"/>
        <v>0</v>
      </c>
      <c r="DI56" s="3136">
        <f t="shared" si="892"/>
        <v>0</v>
      </c>
      <c r="DJ56" s="3136">
        <f>SUM('ПОЛНАЯ СЕБЕСТОИМОСТЬ СТОКИ 2019'!AY172)</f>
        <v>0</v>
      </c>
      <c r="DK56" s="3136">
        <f>SUM('ПОЛНАЯ СЕБЕСТОИМОСТЬ СТОКИ 2019'!AZ172)</f>
        <v>0</v>
      </c>
      <c r="DL56" s="3137">
        <v>0</v>
      </c>
      <c r="DM56" s="3137">
        <f t="shared" si="841"/>
        <v>0</v>
      </c>
      <c r="DN56" s="3137">
        <f>SUM(DL56/DL9*DN9)</f>
        <v>0</v>
      </c>
      <c r="DO56" s="3180">
        <f t="shared" si="962"/>
        <v>60.252499999999998</v>
      </c>
      <c r="DP56" s="3180">
        <f t="shared" si="963"/>
        <v>60.252499999999998</v>
      </c>
      <c r="DQ56" s="3180">
        <f t="shared" si="964"/>
        <v>0</v>
      </c>
      <c r="DR56" s="3180">
        <f t="shared" si="988"/>
        <v>0</v>
      </c>
      <c r="DS56" s="3180">
        <f t="shared" si="989"/>
        <v>0</v>
      </c>
      <c r="DT56" s="3180">
        <f t="shared" si="990"/>
        <v>0</v>
      </c>
      <c r="DU56" s="3180">
        <f t="shared" si="965"/>
        <v>0</v>
      </c>
      <c r="DV56" s="3180">
        <f t="shared" si="966"/>
        <v>0</v>
      </c>
      <c r="DW56" s="3180">
        <f t="shared" si="967"/>
        <v>0</v>
      </c>
      <c r="DX56" s="3143">
        <f t="shared" si="893"/>
        <v>-60.252499999999998</v>
      </c>
      <c r="DY56" s="3143">
        <f t="shared" si="894"/>
        <v>-60.252499999999998</v>
      </c>
      <c r="DZ56" s="3143">
        <f t="shared" si="895"/>
        <v>0</v>
      </c>
      <c r="EA56" s="3180">
        <f t="shared" si="896"/>
        <v>180.75749999999999</v>
      </c>
      <c r="EB56" s="3180">
        <f t="shared" si="897"/>
        <v>180.75749999999999</v>
      </c>
      <c r="EC56" s="3180">
        <f t="shared" si="898"/>
        <v>0</v>
      </c>
      <c r="ED56" s="3180">
        <f t="shared" si="899"/>
        <v>0</v>
      </c>
      <c r="EE56" s="3180">
        <f t="shared" si="900"/>
        <v>0</v>
      </c>
      <c r="EF56" s="3180">
        <f t="shared" si="901"/>
        <v>0</v>
      </c>
      <c r="EG56" s="3180">
        <f t="shared" si="902"/>
        <v>0</v>
      </c>
      <c r="EH56" s="3180">
        <f t="shared" si="903"/>
        <v>0</v>
      </c>
      <c r="EI56" s="3180">
        <f t="shared" si="904"/>
        <v>0</v>
      </c>
      <c r="EJ56" s="3143">
        <f t="shared" si="905"/>
        <v>-180.75749999999999</v>
      </c>
      <c r="EK56" s="3143">
        <f t="shared" si="906"/>
        <v>-180.75749999999999</v>
      </c>
      <c r="EL56" s="3143">
        <f t="shared" si="907"/>
        <v>0</v>
      </c>
      <c r="EM56" s="3136">
        <f t="shared" si="873"/>
        <v>20.084166666666665</v>
      </c>
      <c r="EN56" s="3136">
        <f>SUM('ПОЛНАЯ СЕБЕСТОИМОСТЬ СТОКИ 2019'!BN172/3)</f>
        <v>20.084166666666665</v>
      </c>
      <c r="EO56" s="3136">
        <f>SUM('ПОЛНАЯ СЕБЕСТОИМОСТЬ СТОКИ 2019'!BO172/3)</f>
        <v>0</v>
      </c>
      <c r="EP56" s="3136">
        <f t="shared" si="908"/>
        <v>0</v>
      </c>
      <c r="EQ56" s="3136">
        <f>SUM('ПОЛНАЯ СЕБЕСТОИМОСТЬ СТОКИ 2019'!BQ172)</f>
        <v>0</v>
      </c>
      <c r="ER56" s="3136">
        <f>SUM('ПОЛНАЯ СЕБЕСТОИМОСТЬ СТОКИ 2019'!BR172)</f>
        <v>0</v>
      </c>
      <c r="ES56" s="3137">
        <v>0</v>
      </c>
      <c r="ET56" s="3137">
        <f t="shared" si="842"/>
        <v>0</v>
      </c>
      <c r="EU56" s="3137">
        <f>SUM(ES56/ES9*EU9)</f>
        <v>0</v>
      </c>
      <c r="EV56" s="3136">
        <f t="shared" si="968"/>
        <v>20.084166666666665</v>
      </c>
      <c r="EW56" s="3136">
        <f t="shared" si="969"/>
        <v>20.084166666666665</v>
      </c>
      <c r="EX56" s="3136">
        <f t="shared" si="970"/>
        <v>0</v>
      </c>
      <c r="EY56" s="3136">
        <f t="shared" si="971"/>
        <v>0</v>
      </c>
      <c r="EZ56" s="3136">
        <f>SUM('ПОЛНАЯ СЕБЕСТОИМОСТЬ СТОКИ 2019'!BT172)</f>
        <v>0</v>
      </c>
      <c r="FA56" s="3136">
        <f>SUM('ПОЛНАЯ СЕБЕСТОИМОСТЬ СТОКИ 2019'!BU172)</f>
        <v>0</v>
      </c>
      <c r="FB56" s="3137">
        <v>0</v>
      </c>
      <c r="FC56" s="3137">
        <f t="shared" si="843"/>
        <v>0</v>
      </c>
      <c r="FD56" s="3137">
        <f>SUM(FB56/FB9*FD9)</f>
        <v>0</v>
      </c>
      <c r="FE56" s="3136">
        <f t="shared" si="909"/>
        <v>20.084166666666665</v>
      </c>
      <c r="FF56" s="3136">
        <f t="shared" si="910"/>
        <v>20.084166666666665</v>
      </c>
      <c r="FG56" s="3136">
        <f t="shared" si="911"/>
        <v>0</v>
      </c>
      <c r="FH56" s="3136">
        <f t="shared" si="912"/>
        <v>0</v>
      </c>
      <c r="FI56" s="3136">
        <f>SUM('ПОЛНАЯ СЕБЕСТОИМОСТЬ СТОКИ 2019'!BW172)</f>
        <v>0</v>
      </c>
      <c r="FJ56" s="3136">
        <f>SUM('ПОЛНАЯ СЕБЕСТОИМОСТЬ СТОКИ 2019'!BX172)</f>
        <v>0</v>
      </c>
      <c r="FK56" s="3137">
        <v>0</v>
      </c>
      <c r="FL56" s="3137">
        <f t="shared" si="844"/>
        <v>0</v>
      </c>
      <c r="FM56" s="3137">
        <f>SUM(FK56/FK9*FM9)</f>
        <v>0</v>
      </c>
      <c r="FN56" s="3180">
        <f t="shared" si="913"/>
        <v>60.252499999999998</v>
      </c>
      <c r="FO56" s="3180">
        <f t="shared" si="914"/>
        <v>60.252499999999998</v>
      </c>
      <c r="FP56" s="3180">
        <f t="shared" si="915"/>
        <v>0</v>
      </c>
      <c r="FQ56" s="3180">
        <f t="shared" si="916"/>
        <v>0</v>
      </c>
      <c r="FR56" s="3180">
        <f t="shared" si="917"/>
        <v>0</v>
      </c>
      <c r="FS56" s="3180">
        <f t="shared" si="918"/>
        <v>0</v>
      </c>
      <c r="FT56" s="3180">
        <f t="shared" si="972"/>
        <v>0</v>
      </c>
      <c r="FU56" s="3180">
        <f t="shared" si="973"/>
        <v>0</v>
      </c>
      <c r="FV56" s="3180">
        <f t="shared" si="974"/>
        <v>0</v>
      </c>
      <c r="FW56" s="3143">
        <f t="shared" si="975"/>
        <v>-60.252499999999998</v>
      </c>
      <c r="FX56" s="3143">
        <f t="shared" si="976"/>
        <v>-60.252499999999998</v>
      </c>
      <c r="FY56" s="3143">
        <f t="shared" si="977"/>
        <v>0</v>
      </c>
      <c r="FZ56" s="3242">
        <f t="shared" si="978"/>
        <v>241.01</v>
      </c>
      <c r="GA56" s="3242">
        <f t="shared" si="979"/>
        <v>241.01</v>
      </c>
      <c r="GB56" s="3242">
        <f t="shared" si="980"/>
        <v>0</v>
      </c>
      <c r="GC56" s="3242">
        <f t="shared" si="981"/>
        <v>0</v>
      </c>
      <c r="GD56" s="3242">
        <f t="shared" si="982"/>
        <v>0</v>
      </c>
      <c r="GE56" s="3242">
        <f t="shared" si="983"/>
        <v>0</v>
      </c>
      <c r="GF56" s="3242">
        <f t="shared" si="874"/>
        <v>0</v>
      </c>
      <c r="GG56" s="3242">
        <f t="shared" si="875"/>
        <v>0</v>
      </c>
      <c r="GH56" s="3242">
        <f t="shared" si="876"/>
        <v>0</v>
      </c>
      <c r="GI56" s="3243">
        <f t="shared" si="919"/>
        <v>-241.01</v>
      </c>
      <c r="GJ56" s="3243">
        <f t="shared" si="920"/>
        <v>-241.01</v>
      </c>
      <c r="GK56" s="3243">
        <f t="shared" si="921"/>
        <v>0</v>
      </c>
    </row>
    <row r="57" spans="1:193" ht="18.75" customHeight="1" x14ac:dyDescent="0.3">
      <c r="A57" s="3106" t="s">
        <v>12</v>
      </c>
      <c r="B57" s="3156">
        <f t="shared" ref="B57:AB57" si="991">SUM(B31+B32+B34+B35+B36+B37+B39+B44+B48+B55+B56)</f>
        <v>8022.7364006009084</v>
      </c>
      <c r="C57" s="3156">
        <f t="shared" si="991"/>
        <v>8000.8191347896172</v>
      </c>
      <c r="D57" s="3156">
        <f t="shared" si="991"/>
        <v>21.917265811291347</v>
      </c>
      <c r="E57" s="3156">
        <f t="shared" si="991"/>
        <v>6362.152</v>
      </c>
      <c r="F57" s="3156">
        <f t="shared" si="991"/>
        <v>6348.83</v>
      </c>
      <c r="G57" s="3156">
        <f t="shared" si="991"/>
        <v>13.321999999999999</v>
      </c>
      <c r="H57" s="3156">
        <f t="shared" si="991"/>
        <v>6173.19</v>
      </c>
      <c r="I57" s="3156">
        <f t="shared" si="991"/>
        <v>6169.8110320380511</v>
      </c>
      <c r="J57" s="3156">
        <f t="shared" si="991"/>
        <v>3.3789679619487818</v>
      </c>
      <c r="K57" s="3156">
        <f t="shared" si="991"/>
        <v>8022.7364006009084</v>
      </c>
      <c r="L57" s="3156">
        <f t="shared" si="991"/>
        <v>8000.8191347896172</v>
      </c>
      <c r="M57" s="3156">
        <f t="shared" si="991"/>
        <v>21.917265811291347</v>
      </c>
      <c r="N57" s="3156">
        <f t="shared" si="991"/>
        <v>6022.0870000000004</v>
      </c>
      <c r="O57" s="3156">
        <f t="shared" si="991"/>
        <v>6009.5800000000008</v>
      </c>
      <c r="P57" s="3156">
        <f t="shared" si="991"/>
        <v>12.506999999999998</v>
      </c>
      <c r="Q57" s="3156">
        <f t="shared" si="991"/>
        <v>5859.82</v>
      </c>
      <c r="R57" s="3156">
        <f t="shared" ref="R57:S57" si="992">SUM(R31+R32+R34+R35+R36+R37+R39+R44+R48+R55+R56)</f>
        <v>5857.2200121466303</v>
      </c>
      <c r="S57" s="3156">
        <f t="shared" si="992"/>
        <v>2.5999878533713443</v>
      </c>
      <c r="T57" s="3156">
        <f t="shared" si="991"/>
        <v>8022.7364006009084</v>
      </c>
      <c r="U57" s="3156">
        <f t="shared" si="991"/>
        <v>8000.8191347896172</v>
      </c>
      <c r="V57" s="3156">
        <f t="shared" si="991"/>
        <v>21.917265811291347</v>
      </c>
      <c r="W57" s="3156">
        <f t="shared" si="991"/>
        <v>6881.2010000000009</v>
      </c>
      <c r="X57" s="3156">
        <f t="shared" si="991"/>
        <v>6869.130000000001</v>
      </c>
      <c r="Y57" s="3156">
        <f t="shared" si="991"/>
        <v>12.071</v>
      </c>
      <c r="Z57" s="3156">
        <f t="shared" si="991"/>
        <v>7630.9999999999991</v>
      </c>
      <c r="AA57" s="3156">
        <f t="shared" si="991"/>
        <v>7564.5150837473475</v>
      </c>
      <c r="AB57" s="3156">
        <f t="shared" si="991"/>
        <v>66.484916252652695</v>
      </c>
      <c r="AC57" s="3157">
        <f t="shared" ref="AC57:AC58" si="993">SUM(B57+K57+T57)</f>
        <v>24068.209201802725</v>
      </c>
      <c r="AD57" s="3157">
        <f t="shared" ref="AD57:AD58" si="994">SUM(C57+L57+U57)</f>
        <v>24002.457404368852</v>
      </c>
      <c r="AE57" s="3157">
        <f t="shared" ref="AE57:AE58" si="995">SUM(D57+M57+V57)</f>
        <v>65.751797433874046</v>
      </c>
      <c r="AF57" s="3157">
        <f t="shared" ref="AF57:AH58" si="996">SUM(E57+N57+W57)</f>
        <v>19265.440000000002</v>
      </c>
      <c r="AG57" s="3157">
        <f t="shared" si="996"/>
        <v>19227.54</v>
      </c>
      <c r="AH57" s="3157">
        <f t="shared" si="996"/>
        <v>37.9</v>
      </c>
      <c r="AI57" s="3157">
        <f t="shared" ref="AI57:AI58" si="997">SUM(H57+Q57+Z57)</f>
        <v>19664.009999999998</v>
      </c>
      <c r="AJ57" s="3157">
        <f t="shared" ref="AJ57:AJ58" si="998">SUM(I57+R57+AA57)</f>
        <v>19591.54612793203</v>
      </c>
      <c r="AK57" s="3157">
        <f t="shared" ref="AK57:AK58" si="999">SUM(J57+S57+AB57)</f>
        <v>72.463872067972815</v>
      </c>
      <c r="AL57" s="3154">
        <f t="shared" si="433"/>
        <v>-4802.7692018027228</v>
      </c>
      <c r="AM57" s="3154">
        <f t="shared" ref="AM57:AM65" si="1000">SUM(AG57-AD57)</f>
        <v>-4774.9174043688508</v>
      </c>
      <c r="AN57" s="3154">
        <f t="shared" ref="AN57:AN65" si="1001">SUM(AH57-AE57)</f>
        <v>-27.851797433874047</v>
      </c>
      <c r="AO57" s="3156">
        <f t="shared" ref="AO57:BO57" si="1002">SUM(AO31+AO32+AO34+AO35+AO36+AO37+AO39+AO44+AO48+AO55+AO56)</f>
        <v>8022.7364006009084</v>
      </c>
      <c r="AP57" s="3156">
        <f t="shared" si="1002"/>
        <v>8000.8191347896172</v>
      </c>
      <c r="AQ57" s="3156">
        <f t="shared" si="1002"/>
        <v>21.917265811291347</v>
      </c>
      <c r="AR57" s="3156">
        <f t="shared" si="1002"/>
        <v>7088.74</v>
      </c>
      <c r="AS57" s="3156">
        <f t="shared" si="1002"/>
        <v>7076.1699999999992</v>
      </c>
      <c r="AT57" s="3156">
        <f t="shared" si="1002"/>
        <v>12.57</v>
      </c>
      <c r="AU57" s="3156">
        <f t="shared" si="1002"/>
        <v>6737.2</v>
      </c>
      <c r="AV57" s="3156">
        <f t="shared" si="1002"/>
        <v>6733.262734927006</v>
      </c>
      <c r="AW57" s="3156">
        <f t="shared" si="1002"/>
        <v>3.9372650729952667</v>
      </c>
      <c r="AX57" s="3156">
        <f t="shared" si="1002"/>
        <v>8022.7364006009084</v>
      </c>
      <c r="AY57" s="3156">
        <f t="shared" si="1002"/>
        <v>8000.8191347896172</v>
      </c>
      <c r="AZ57" s="3156">
        <f t="shared" si="1002"/>
        <v>21.917265811291347</v>
      </c>
      <c r="BA57" s="3251">
        <f t="shared" si="1002"/>
        <v>7141.1970000000001</v>
      </c>
      <c r="BB57" s="3251">
        <f t="shared" si="1002"/>
        <v>7126.1839999999993</v>
      </c>
      <c r="BC57" s="3251">
        <f t="shared" si="1002"/>
        <v>15.012999999999998</v>
      </c>
      <c r="BD57" s="3156">
        <f t="shared" si="1002"/>
        <v>6494.0300000000007</v>
      </c>
      <c r="BE57" s="3156">
        <f t="shared" si="1002"/>
        <v>6484.997254917128</v>
      </c>
      <c r="BF57" s="3156">
        <f t="shared" si="1002"/>
        <v>9.0327450828723173</v>
      </c>
      <c r="BG57" s="3156">
        <f t="shared" si="1002"/>
        <v>8022.7364006009084</v>
      </c>
      <c r="BH57" s="3156">
        <f t="shared" si="1002"/>
        <v>8000.8191347896172</v>
      </c>
      <c r="BI57" s="3156">
        <f t="shared" si="1002"/>
        <v>21.917265811291347</v>
      </c>
      <c r="BJ57" s="3156">
        <f t="shared" si="1002"/>
        <v>6860.5530000000008</v>
      </c>
      <c r="BK57" s="3156">
        <f t="shared" si="1002"/>
        <v>6827.6180000000004</v>
      </c>
      <c r="BL57" s="3156">
        <f t="shared" si="1002"/>
        <v>32.935000000000002</v>
      </c>
      <c r="BM57" s="3156">
        <f t="shared" si="1002"/>
        <v>7100.3099999999995</v>
      </c>
      <c r="BN57" s="3156">
        <f t="shared" si="1002"/>
        <v>7042.8275600430507</v>
      </c>
      <c r="BO57" s="3156">
        <f t="shared" si="1002"/>
        <v>57.482439956948326</v>
      </c>
      <c r="BP57" s="3157">
        <f t="shared" ref="BP57:BP58" si="1003">SUM(AO57+AX57+BG57)</f>
        <v>24068.209201802725</v>
      </c>
      <c r="BQ57" s="3157">
        <f t="shared" ref="BQ57:BQ58" si="1004">SUM(AP57+AY57+BH57)</f>
        <v>24002.457404368852</v>
      </c>
      <c r="BR57" s="3157">
        <f t="shared" ref="BR57:BR58" si="1005">SUM(AQ57+AZ57+BI57)</f>
        <v>65.751797433874046</v>
      </c>
      <c r="BS57" s="3157">
        <f t="shared" ref="BS57:BS58" si="1006">SUM(AR57+BA57+BJ57)</f>
        <v>21090.49</v>
      </c>
      <c r="BT57" s="3157">
        <f t="shared" ref="BT57:BT58" si="1007">SUM(AS57+BB57+BK57)</f>
        <v>21029.972000000002</v>
      </c>
      <c r="BU57" s="3157">
        <f t="shared" ref="BU57:BU58" si="1008">SUM(AT57+BC57+BL57)</f>
        <v>60.518000000000001</v>
      </c>
      <c r="BV57" s="3157">
        <f t="shared" ref="BV57:BV58" si="1009">SUM(AU57+BD57+BM57)</f>
        <v>20331.54</v>
      </c>
      <c r="BW57" s="3157">
        <f t="shared" ref="BW57:BW58" si="1010">SUM(AV57+BE57+BN57)</f>
        <v>20261.087549887183</v>
      </c>
      <c r="BX57" s="3157">
        <f t="shared" ref="BX57:BX58" si="1011">SUM(AW57+BF57+BO57)</f>
        <v>70.45245011281591</v>
      </c>
      <c r="BY57" s="3154">
        <f t="shared" si="445"/>
        <v>-2977.7192018027235</v>
      </c>
      <c r="BZ57" s="3154">
        <f t="shared" ref="BZ57:BZ65" si="1012">SUM(BT57-BQ57)</f>
        <v>-2972.4854043688501</v>
      </c>
      <c r="CA57" s="3154">
        <f t="shared" ref="CA57:CA65" si="1013">SUM(BU57-BR57)</f>
        <v>-5.2337974338740452</v>
      </c>
      <c r="CB57" s="3157">
        <f t="shared" ref="CB57:CB58" si="1014">SUM(AC57+BP57)</f>
        <v>48136.41840360545</v>
      </c>
      <c r="CC57" s="3157">
        <f t="shared" ref="CC57:CC58" si="1015">SUM(AD57+BQ57)</f>
        <v>48004.914808737703</v>
      </c>
      <c r="CD57" s="3157">
        <f t="shared" ref="CD57:CD58" si="1016">SUM(AE57+BR57)</f>
        <v>131.50359486774809</v>
      </c>
      <c r="CE57" s="3157">
        <f t="shared" ref="CE57:CE58" si="1017">SUM(AF57+BS57)</f>
        <v>40355.930000000008</v>
      </c>
      <c r="CF57" s="3157">
        <f t="shared" ref="CF57:CF58" si="1018">SUM(AG57+BT57)</f>
        <v>40257.512000000002</v>
      </c>
      <c r="CG57" s="3157">
        <f t="shared" ref="CG57:CG58" si="1019">SUM(AH57+BU57)</f>
        <v>98.418000000000006</v>
      </c>
      <c r="CH57" s="3200">
        <f t="shared" ref="CH57:CH58" si="1020">SUM(AI57+BV57)</f>
        <v>39995.550000000003</v>
      </c>
      <c r="CI57" s="3200">
        <f t="shared" ref="CI57:CI58" si="1021">SUM(AJ57+BW57)</f>
        <v>39852.633677819213</v>
      </c>
      <c r="CJ57" s="3200">
        <f t="shared" ref="CJ57:CJ58" si="1022">SUM(AK57+BX57)</f>
        <v>142.91632218078871</v>
      </c>
      <c r="CK57" s="3154">
        <f t="shared" si="457"/>
        <v>-7780.4884036054427</v>
      </c>
      <c r="CL57" s="3154">
        <f t="shared" ref="CL57:CL65" si="1023">SUM(CF57-CC57)</f>
        <v>-7747.402808737701</v>
      </c>
      <c r="CM57" s="3154">
        <f t="shared" ref="CM57:CM65" si="1024">SUM(CG57-CD57)</f>
        <v>-33.085594867748085</v>
      </c>
      <c r="CN57" s="3156">
        <f t="shared" ref="CN57:DN57" si="1025">SUM(CN31+CN32+CN34+CN35+CN36+CN37+CN39+CN44+CN48+CN55+CN56)</f>
        <v>8065.3567598536101</v>
      </c>
      <c r="CO57" s="3156">
        <f t="shared" si="1025"/>
        <v>8043.2379862600101</v>
      </c>
      <c r="CP57" s="3156">
        <f t="shared" si="1025"/>
        <v>22.118773593599766</v>
      </c>
      <c r="CQ57" s="3156">
        <f t="shared" si="1025"/>
        <v>6476.1950000000006</v>
      </c>
      <c r="CR57" s="3156">
        <f t="shared" si="1025"/>
        <v>6473.56</v>
      </c>
      <c r="CS57" s="3156">
        <f t="shared" si="1025"/>
        <v>2.6349999999999998</v>
      </c>
      <c r="CT57" s="3156">
        <f t="shared" si="1025"/>
        <v>7081.82</v>
      </c>
      <c r="CU57" s="3156">
        <f t="shared" si="1025"/>
        <v>7075.9646756281236</v>
      </c>
      <c r="CV57" s="3156">
        <f t="shared" si="1025"/>
        <v>5.8553243718765327</v>
      </c>
      <c r="CW57" s="3156">
        <f t="shared" si="1025"/>
        <v>8065.3567598536101</v>
      </c>
      <c r="CX57" s="3156">
        <f t="shared" si="1025"/>
        <v>8043.2379862600101</v>
      </c>
      <c r="CY57" s="3156">
        <f t="shared" si="1025"/>
        <v>22.118773593599766</v>
      </c>
      <c r="CZ57" s="3156">
        <f t="shared" si="1025"/>
        <v>6722.7979999999998</v>
      </c>
      <c r="DA57" s="3156">
        <f t="shared" si="1025"/>
        <v>6709.1100000000006</v>
      </c>
      <c r="DB57" s="3156">
        <f t="shared" si="1025"/>
        <v>13.687999999999999</v>
      </c>
      <c r="DC57" s="3156">
        <f t="shared" si="1025"/>
        <v>6792.37</v>
      </c>
      <c r="DD57" s="3156">
        <f t="shared" si="1025"/>
        <v>6784.1830673339946</v>
      </c>
      <c r="DE57" s="3156">
        <f t="shared" si="1025"/>
        <v>8.186932666005271</v>
      </c>
      <c r="DF57" s="3156">
        <f t="shared" si="1025"/>
        <v>8065.3567598536101</v>
      </c>
      <c r="DG57" s="3156">
        <f t="shared" si="1025"/>
        <v>8043.2379862600101</v>
      </c>
      <c r="DH57" s="3156">
        <f t="shared" si="1025"/>
        <v>22.118773593599766</v>
      </c>
      <c r="DI57" s="3156">
        <f t="shared" si="1025"/>
        <v>7246.4230000000007</v>
      </c>
      <c r="DJ57" s="3156">
        <f t="shared" si="1025"/>
        <v>7225.8300000000008</v>
      </c>
      <c r="DK57" s="3156">
        <f t="shared" si="1025"/>
        <v>20.593</v>
      </c>
      <c r="DL57" s="3156">
        <f t="shared" si="1025"/>
        <v>6664.42</v>
      </c>
      <c r="DM57" s="3156">
        <f t="shared" si="1025"/>
        <v>6607.8057994687952</v>
      </c>
      <c r="DN57" s="3156">
        <f t="shared" si="1025"/>
        <v>56.614200531204446</v>
      </c>
      <c r="DO57" s="3157">
        <f t="shared" ref="DO57:DO58" si="1026">SUM(CN57+CW57+DF57)</f>
        <v>24196.07027956083</v>
      </c>
      <c r="DP57" s="3157">
        <f t="shared" ref="DP57:DP58" si="1027">SUM(CO57+CX57+DG57)</f>
        <v>24129.71395878003</v>
      </c>
      <c r="DQ57" s="3157">
        <f t="shared" ref="DQ57:DQ58" si="1028">SUM(CP57+CY57+DH57)</f>
        <v>66.356320780799294</v>
      </c>
      <c r="DR57" s="3157">
        <f t="shared" ref="DR57:DR58" si="1029">SUM(CQ57+CZ57+DI57)</f>
        <v>20445.416000000001</v>
      </c>
      <c r="DS57" s="3157">
        <f t="shared" ref="DS57:DS58" si="1030">SUM(CR57+DA57+DJ57)</f>
        <v>20408.500000000004</v>
      </c>
      <c r="DT57" s="3157">
        <f t="shared" ref="DT57:DT58" si="1031">SUM(CS57+DB57+DK57)</f>
        <v>36.915999999999997</v>
      </c>
      <c r="DU57" s="3157">
        <f t="shared" ref="DU57:DU58" si="1032">SUM(CT57+DC57+DL57)</f>
        <v>20538.61</v>
      </c>
      <c r="DV57" s="3157">
        <f t="shared" ref="DV57:DV58" si="1033">SUM(CU57+DD57+DM57)</f>
        <v>20467.953542430914</v>
      </c>
      <c r="DW57" s="3157">
        <f t="shared" ref="DW57:DW58" si="1034">SUM(CV57+DE57+DN57)</f>
        <v>70.656457569086257</v>
      </c>
      <c r="DX57" s="3154">
        <f t="shared" si="469"/>
        <v>-3750.6542795608293</v>
      </c>
      <c r="DY57" s="3154">
        <f t="shared" ref="DY57:DY65" si="1035">SUM(DS57-DP57)</f>
        <v>-3721.2139587800266</v>
      </c>
      <c r="DZ57" s="3154">
        <f t="shared" ref="DZ57:DZ65" si="1036">SUM(DT57-DQ57)</f>
        <v>-29.440320780799297</v>
      </c>
      <c r="EA57" s="3157">
        <f t="shared" ref="EA57:EA58" si="1037">SUM(CB57+DO57)</f>
        <v>72332.488683166273</v>
      </c>
      <c r="EB57" s="3157">
        <f t="shared" ref="EB57:EB58" si="1038">SUM(CC57+DP57)</f>
        <v>72134.62876751773</v>
      </c>
      <c r="EC57" s="3157">
        <f t="shared" ref="EC57:EC58" si="1039">SUM(CD57+DQ57)</f>
        <v>197.85991564854737</v>
      </c>
      <c r="ED57" s="3157">
        <f t="shared" ref="ED57:ED58" si="1040">SUM(CE57+DR57)</f>
        <v>60801.346000000005</v>
      </c>
      <c r="EE57" s="3157">
        <f t="shared" ref="EE57:EE58" si="1041">SUM(CF57+DS57)</f>
        <v>60666.012000000002</v>
      </c>
      <c r="EF57" s="3157">
        <f t="shared" ref="EF57:EF58" si="1042">SUM(CG57+DT57)</f>
        <v>135.334</v>
      </c>
      <c r="EG57" s="3157">
        <f t="shared" ref="EG57:EG58" si="1043">SUM(CH57+DU57)</f>
        <v>60534.16</v>
      </c>
      <c r="EH57" s="3157">
        <f t="shared" ref="EH57:EH58" si="1044">SUM(CI57+DV57)</f>
        <v>60320.587220250127</v>
      </c>
      <c r="EI57" s="3157">
        <f t="shared" ref="EI57:EI58" si="1045">SUM(CJ57+DW57)</f>
        <v>213.57277974987497</v>
      </c>
      <c r="EJ57" s="3154">
        <f t="shared" si="481"/>
        <v>-11531.142683166268</v>
      </c>
      <c r="EK57" s="3154">
        <f t="shared" ref="EK57:EK65" si="1046">SUM(EE57-EB57)</f>
        <v>-11468.616767517728</v>
      </c>
      <c r="EL57" s="3154">
        <f t="shared" ref="EL57:EL65" si="1047">SUM(EF57-EC57)</f>
        <v>-62.525915648547368</v>
      </c>
      <c r="EM57" s="3156">
        <f t="shared" ref="EM57:FM57" si="1048">SUM(EM31+EM32+EM34+EM35+EM36+EM37+EM39+EM44+EM48+EM55+EM56)</f>
        <v>8065.3567598536101</v>
      </c>
      <c r="EN57" s="3156">
        <f t="shared" si="1048"/>
        <v>8043.2379862600101</v>
      </c>
      <c r="EO57" s="3156">
        <f t="shared" si="1048"/>
        <v>22.118773593599766</v>
      </c>
      <c r="EP57" s="3156">
        <f t="shared" si="1048"/>
        <v>0</v>
      </c>
      <c r="EQ57" s="3156">
        <f t="shared" si="1048"/>
        <v>0</v>
      </c>
      <c r="ER57" s="3156">
        <f t="shared" si="1048"/>
        <v>0</v>
      </c>
      <c r="ES57" s="3156">
        <f t="shared" si="1048"/>
        <v>6749.0399999999991</v>
      </c>
      <c r="ET57" s="3156">
        <f t="shared" si="1048"/>
        <v>6740.5918732825894</v>
      </c>
      <c r="EU57" s="3156">
        <f t="shared" si="1048"/>
        <v>8.4481267174109078</v>
      </c>
      <c r="EV57" s="3156">
        <f t="shared" si="1048"/>
        <v>8065.3567598536101</v>
      </c>
      <c r="EW57" s="3156">
        <f t="shared" si="1048"/>
        <v>8043.2379862600101</v>
      </c>
      <c r="EX57" s="3156">
        <f t="shared" si="1048"/>
        <v>22.118773593599766</v>
      </c>
      <c r="EY57" s="3156">
        <f t="shared" si="1048"/>
        <v>0</v>
      </c>
      <c r="EZ57" s="3156">
        <f t="shared" si="1048"/>
        <v>0</v>
      </c>
      <c r="FA57" s="3156">
        <f t="shared" si="1048"/>
        <v>0</v>
      </c>
      <c r="FB57" s="3156">
        <f t="shared" si="1048"/>
        <v>6465.6800000000012</v>
      </c>
      <c r="FC57" s="3156">
        <f t="shared" si="1048"/>
        <v>6457.3622085885709</v>
      </c>
      <c r="FD57" s="3156">
        <f t="shared" si="1048"/>
        <v>8.3177914114286473</v>
      </c>
      <c r="FE57" s="3156">
        <f t="shared" si="1048"/>
        <v>8065.3567598536101</v>
      </c>
      <c r="FF57" s="3156">
        <f t="shared" si="1048"/>
        <v>8043.2379862600101</v>
      </c>
      <c r="FG57" s="3156">
        <f t="shared" si="1048"/>
        <v>22.118773593599766</v>
      </c>
      <c r="FH57" s="3156">
        <f t="shared" si="1048"/>
        <v>0</v>
      </c>
      <c r="FI57" s="3156">
        <f t="shared" si="1048"/>
        <v>0</v>
      </c>
      <c r="FJ57" s="3156">
        <f t="shared" si="1048"/>
        <v>0</v>
      </c>
      <c r="FK57" s="3156">
        <f t="shared" si="1048"/>
        <v>6605.9199999999992</v>
      </c>
      <c r="FL57" s="3156">
        <f t="shared" si="1048"/>
        <v>6543.6242863233219</v>
      </c>
      <c r="FM57" s="3156">
        <f t="shared" si="1048"/>
        <v>62.295713676677963</v>
      </c>
      <c r="FN57" s="3157">
        <f t="shared" ref="FN57:FN58" si="1049">SUM(EM57+EV57+FE57)</f>
        <v>24196.07027956083</v>
      </c>
      <c r="FO57" s="3157">
        <f t="shared" ref="FO57:FO58" si="1050">SUM(EN57+EW57+FF57)</f>
        <v>24129.71395878003</v>
      </c>
      <c r="FP57" s="3157">
        <f t="shared" ref="FP57:FP58" si="1051">SUM(EO57+EX57+FG57)</f>
        <v>66.356320780799294</v>
      </c>
      <c r="FQ57" s="3157">
        <f t="shared" ref="FQ57:FQ58" si="1052">SUM(EP57+EY57+FH57)</f>
        <v>0</v>
      </c>
      <c r="FR57" s="3157">
        <f t="shared" ref="FR57:FR58" si="1053">SUM(EQ57+EZ57+FI57)</f>
        <v>0</v>
      </c>
      <c r="FS57" s="3157">
        <f t="shared" ref="FS57:FS58" si="1054">SUM(ER57+FA57+FJ57)</f>
        <v>0</v>
      </c>
      <c r="FT57" s="3157">
        <f t="shared" ref="FT57:FT58" si="1055">SUM(ES57+FB57+FK57)</f>
        <v>19820.64</v>
      </c>
      <c r="FU57" s="3157">
        <f t="shared" ref="FU57:FU58" si="1056">SUM(ET57+FC57+FL57)</f>
        <v>19741.578368194481</v>
      </c>
      <c r="FV57" s="3157">
        <f t="shared" ref="FV57:FV58" si="1057">SUM(EU57+FD57+FM57)</f>
        <v>79.061631805517521</v>
      </c>
      <c r="FW57" s="3154">
        <f t="shared" si="493"/>
        <v>-24196.07027956083</v>
      </c>
      <c r="FX57" s="3154">
        <f t="shared" ref="FX57:FX65" si="1058">SUM(FR57-FO57)</f>
        <v>-24129.71395878003</v>
      </c>
      <c r="FY57" s="3154">
        <f t="shared" ref="FY57:FY65" si="1059">SUM(FS57-FP57)</f>
        <v>-66.356320780799294</v>
      </c>
      <c r="FZ57" s="3236">
        <f t="shared" ref="FZ57:FZ58" si="1060">SUM(EA57+FN57)</f>
        <v>96528.558962727111</v>
      </c>
      <c r="GA57" s="3236">
        <f t="shared" ref="GA57:GA58" si="1061">SUM(EB57+FO57)</f>
        <v>96264.342726297764</v>
      </c>
      <c r="GB57" s="3236">
        <f t="shared" ref="GB57:GB58" si="1062">SUM(EC57+FP57)</f>
        <v>264.21623642934668</v>
      </c>
      <c r="GC57" s="3236">
        <f t="shared" ref="GC57:GC58" si="1063">SUM(ED57+FQ57)</f>
        <v>60801.346000000005</v>
      </c>
      <c r="GD57" s="3236">
        <f t="shared" ref="GD57:GD58" si="1064">SUM(EE57+FR57)</f>
        <v>60666.012000000002</v>
      </c>
      <c r="GE57" s="3236">
        <f t="shared" ref="GE57:GE58" si="1065">SUM(EF57+FS57)</f>
        <v>135.334</v>
      </c>
      <c r="GF57" s="3236">
        <f t="shared" ref="GF57:GF58" si="1066">SUM(EG57+FT57)</f>
        <v>80354.8</v>
      </c>
      <c r="GG57" s="3236">
        <f t="shared" ref="GG57:GG58" si="1067">SUM(EH57+FU57)</f>
        <v>80062.165588444608</v>
      </c>
      <c r="GH57" s="3236">
        <f t="shared" ref="GH57:GH58" si="1068">SUM(EI57+FV57)</f>
        <v>292.63441155539249</v>
      </c>
      <c r="GI57" s="3237">
        <f t="shared" si="505"/>
        <v>-35727.212962727106</v>
      </c>
      <c r="GJ57" s="3237">
        <f t="shared" ref="GJ57:GJ65" si="1069">SUM(GD57-GA57)</f>
        <v>-35598.330726297761</v>
      </c>
      <c r="GK57" s="3237">
        <f t="shared" ref="GK57:GK65" si="1070">SUM(GE57-GB57)</f>
        <v>-128.88223642934668</v>
      </c>
    </row>
    <row r="58" spans="1:193" ht="18.75" customHeight="1" x14ac:dyDescent="0.3">
      <c r="A58" s="3106" t="s">
        <v>13</v>
      </c>
      <c r="B58" s="3156">
        <f>SUM(B9)</f>
        <v>251.66697026317493</v>
      </c>
      <c r="C58" s="3156">
        <f t="shared" ref="C58:D58" si="1071">SUM(C9)</f>
        <v>250.1947480409527</v>
      </c>
      <c r="D58" s="3156">
        <f t="shared" si="1071"/>
        <v>1.4722222222222223</v>
      </c>
      <c r="E58" s="3156">
        <f>SUM(E9)</f>
        <v>266.49549999999999</v>
      </c>
      <c r="F58" s="3156">
        <f t="shared" ref="F58:G58" si="1072">SUM(F9)</f>
        <v>266.29300000000001</v>
      </c>
      <c r="G58" s="3156">
        <f t="shared" si="1072"/>
        <v>0.20250000000000001</v>
      </c>
      <c r="H58" s="3156">
        <f>SUM(H9)</f>
        <v>270.69</v>
      </c>
      <c r="I58" s="3156">
        <f t="shared" ref="I58:J58" si="1073">SUM(I9)</f>
        <v>270.45</v>
      </c>
      <c r="J58" s="3156">
        <f t="shared" si="1073"/>
        <v>0.24</v>
      </c>
      <c r="K58" s="3156">
        <f>SUM(K9)</f>
        <v>251.66697026317493</v>
      </c>
      <c r="L58" s="3156">
        <f t="shared" ref="L58:M58" si="1074">SUM(L9)</f>
        <v>250.1947480409527</v>
      </c>
      <c r="M58" s="3156">
        <f t="shared" si="1074"/>
        <v>1.4722222222222223</v>
      </c>
      <c r="N58" s="3156">
        <f>SUM(N9)</f>
        <v>256.30599999999998</v>
      </c>
      <c r="O58" s="3156">
        <f t="shared" ref="O58:P58" si="1075">SUM(O9)</f>
        <v>256.13299999999998</v>
      </c>
      <c r="P58" s="3156">
        <f t="shared" si="1075"/>
        <v>0.17299999999999999</v>
      </c>
      <c r="Q58" s="3156">
        <f>SUM(Q9)</f>
        <v>264.64999999999998</v>
      </c>
      <c r="R58" s="3156">
        <f t="shared" ref="R58:S58" si="1076">SUM(R9)</f>
        <v>264.46000000000004</v>
      </c>
      <c r="S58" s="3156">
        <f t="shared" si="1076"/>
        <v>0.19</v>
      </c>
      <c r="T58" s="3156">
        <f>SUM(T9)</f>
        <v>251.66697026317493</v>
      </c>
      <c r="U58" s="3156">
        <f t="shared" ref="U58:V58" si="1077">SUM(U9)</f>
        <v>250.1947480409527</v>
      </c>
      <c r="V58" s="3156">
        <f t="shared" si="1077"/>
        <v>1.4722222222222223</v>
      </c>
      <c r="W58" s="3156">
        <f>SUM(W9)</f>
        <v>252.04300000000001</v>
      </c>
      <c r="X58" s="3156">
        <f t="shared" ref="X58:Y58" si="1078">SUM(X9)</f>
        <v>248.363</v>
      </c>
      <c r="Y58" s="3156">
        <f t="shared" si="1078"/>
        <v>3.68</v>
      </c>
      <c r="Z58" s="3156">
        <f>SUM(Z9)</f>
        <v>261.37</v>
      </c>
      <c r="AA58" s="3156">
        <f t="shared" ref="AA58:AB58" si="1079">SUM(AA9)</f>
        <v>257.69</v>
      </c>
      <c r="AB58" s="3156">
        <f t="shared" si="1079"/>
        <v>3.68</v>
      </c>
      <c r="AC58" s="3157">
        <f t="shared" si="993"/>
        <v>755.00091078952482</v>
      </c>
      <c r="AD58" s="3157">
        <f t="shared" si="994"/>
        <v>750.58424412285808</v>
      </c>
      <c r="AE58" s="3157">
        <f t="shared" si="995"/>
        <v>4.416666666666667</v>
      </c>
      <c r="AF58" s="3157">
        <f t="shared" si="996"/>
        <v>774.84450000000004</v>
      </c>
      <c r="AG58" s="3157">
        <f t="shared" si="996"/>
        <v>770.78899999999999</v>
      </c>
      <c r="AH58" s="3157">
        <f t="shared" si="996"/>
        <v>4.0555000000000003</v>
      </c>
      <c r="AI58" s="3157">
        <f t="shared" si="997"/>
        <v>796.70999999999992</v>
      </c>
      <c r="AJ58" s="3157">
        <f t="shared" si="998"/>
        <v>792.60000000000014</v>
      </c>
      <c r="AK58" s="3157">
        <f t="shared" si="999"/>
        <v>4.1100000000000003</v>
      </c>
      <c r="AL58" s="3154">
        <f t="shared" si="433"/>
        <v>19.843589210475216</v>
      </c>
      <c r="AM58" s="3154">
        <f t="shared" si="1000"/>
        <v>20.204755877141906</v>
      </c>
      <c r="AN58" s="3154">
        <f t="shared" si="1001"/>
        <v>-0.36116666666666664</v>
      </c>
      <c r="AO58" s="3156">
        <f>SUM(AO9)</f>
        <v>251.66697026317493</v>
      </c>
      <c r="AP58" s="3156">
        <f t="shared" ref="AP58:AQ58" si="1080">SUM(AP9)</f>
        <v>250.1947480409527</v>
      </c>
      <c r="AQ58" s="3156">
        <f t="shared" si="1080"/>
        <v>1.4722222222222223</v>
      </c>
      <c r="AR58" s="3156">
        <f>SUM(AR9)</f>
        <v>260.08700000000005</v>
      </c>
      <c r="AS58" s="3156">
        <f t="shared" ref="AS58:AT58" si="1081">SUM(AS9)</f>
        <v>259.78700000000003</v>
      </c>
      <c r="AT58" s="3156">
        <f t="shared" si="1081"/>
        <v>0.3</v>
      </c>
      <c r="AU58" s="3156">
        <f>SUM(AU9)</f>
        <v>274.02999999999997</v>
      </c>
      <c r="AV58" s="3156">
        <f t="shared" ref="AV58:AW58" si="1082">SUM(AV9)</f>
        <v>273.77</v>
      </c>
      <c r="AW58" s="3156">
        <f t="shared" si="1082"/>
        <v>0.26</v>
      </c>
      <c r="AX58" s="3156">
        <f>SUM(AX9)</f>
        <v>251.66697026317493</v>
      </c>
      <c r="AY58" s="3156">
        <f t="shared" ref="AY58:AZ58" si="1083">SUM(AY9)</f>
        <v>250.1947480409527</v>
      </c>
      <c r="AZ58" s="3156">
        <f t="shared" si="1083"/>
        <v>1.4722222222222223</v>
      </c>
      <c r="BA58" s="3156">
        <f>SUM(BA9)</f>
        <v>254.17200000000003</v>
      </c>
      <c r="BB58" s="3156">
        <f t="shared" ref="BB58:BC58" si="1084">SUM(BB9)</f>
        <v>253.66200000000003</v>
      </c>
      <c r="BC58" s="3156">
        <f t="shared" si="1084"/>
        <v>0.51</v>
      </c>
      <c r="BD58" s="3156">
        <f>SUM(BD9)</f>
        <v>261.78999999999996</v>
      </c>
      <c r="BE58" s="3156">
        <f t="shared" ref="BE58:BF58" si="1085">SUM(BE9)</f>
        <v>261.2</v>
      </c>
      <c r="BF58" s="3156">
        <f t="shared" si="1085"/>
        <v>0.59</v>
      </c>
      <c r="BG58" s="3156">
        <f>SUM(BG9)</f>
        <v>251.66697026317493</v>
      </c>
      <c r="BH58" s="3156">
        <f t="shared" ref="BH58:BI58" si="1086">SUM(BH9)</f>
        <v>250.1947480409527</v>
      </c>
      <c r="BI58" s="3156">
        <f t="shared" si="1086"/>
        <v>1.4722222222222223</v>
      </c>
      <c r="BJ58" s="3156">
        <f>SUM(BJ9)</f>
        <v>258.279</v>
      </c>
      <c r="BK58" s="3156">
        <f t="shared" ref="BK58:BL58" si="1087">SUM(BK9)</f>
        <v>254.41299999999998</v>
      </c>
      <c r="BL58" s="3156">
        <f t="shared" si="1087"/>
        <v>3.8660000000000001</v>
      </c>
      <c r="BM58" s="3156">
        <f>SUM(BM9)</f>
        <v>281.02999999999997</v>
      </c>
      <c r="BN58" s="3156">
        <f t="shared" ref="BN58:BO58" si="1088">SUM(BN9)</f>
        <v>277.27999999999997</v>
      </c>
      <c r="BO58" s="3156">
        <f t="shared" si="1088"/>
        <v>3.75</v>
      </c>
      <c r="BP58" s="3157">
        <f t="shared" si="1003"/>
        <v>755.00091078952482</v>
      </c>
      <c r="BQ58" s="3157">
        <f t="shared" si="1004"/>
        <v>750.58424412285808</v>
      </c>
      <c r="BR58" s="3157">
        <f t="shared" si="1005"/>
        <v>4.416666666666667</v>
      </c>
      <c r="BS58" s="3157">
        <f t="shared" si="1006"/>
        <v>772.53800000000001</v>
      </c>
      <c r="BT58" s="3157">
        <f t="shared" si="1007"/>
        <v>767.86200000000008</v>
      </c>
      <c r="BU58" s="3157">
        <f t="shared" si="1008"/>
        <v>4.6760000000000002</v>
      </c>
      <c r="BV58" s="3157">
        <f t="shared" si="1009"/>
        <v>816.84999999999991</v>
      </c>
      <c r="BW58" s="3157">
        <f t="shared" si="1010"/>
        <v>812.25</v>
      </c>
      <c r="BX58" s="3157">
        <f t="shared" si="1011"/>
        <v>4.5999999999999996</v>
      </c>
      <c r="BY58" s="3154">
        <f t="shared" si="445"/>
        <v>17.537089210475187</v>
      </c>
      <c r="BZ58" s="3154">
        <f t="shared" si="1012"/>
        <v>17.277755877141999</v>
      </c>
      <c r="CA58" s="3154">
        <f t="shared" si="1013"/>
        <v>0.25933333333333319</v>
      </c>
      <c r="CB58" s="3157">
        <f t="shared" si="1014"/>
        <v>1510.0018215790496</v>
      </c>
      <c r="CC58" s="3157">
        <f t="shared" si="1015"/>
        <v>1501.1684882457162</v>
      </c>
      <c r="CD58" s="3157">
        <f t="shared" si="1016"/>
        <v>8.8333333333333339</v>
      </c>
      <c r="CE58" s="3157">
        <f t="shared" si="1017"/>
        <v>1547.3825000000002</v>
      </c>
      <c r="CF58" s="3157">
        <f t="shared" si="1018"/>
        <v>1538.6510000000001</v>
      </c>
      <c r="CG58" s="3157">
        <f t="shared" si="1019"/>
        <v>8.7315000000000005</v>
      </c>
      <c r="CH58" s="3200">
        <f t="shared" si="1020"/>
        <v>1613.56</v>
      </c>
      <c r="CI58" s="3200">
        <f t="shared" si="1021"/>
        <v>1604.8500000000001</v>
      </c>
      <c r="CJ58" s="3200">
        <f t="shared" si="1022"/>
        <v>8.7100000000000009</v>
      </c>
      <c r="CK58" s="3154">
        <f t="shared" si="457"/>
        <v>37.380678420950517</v>
      </c>
      <c r="CL58" s="3154">
        <f t="shared" si="1023"/>
        <v>37.482511754283905</v>
      </c>
      <c r="CM58" s="3154">
        <f t="shared" si="1024"/>
        <v>-0.10183333333333344</v>
      </c>
      <c r="CN58" s="3156">
        <f>SUM(CN9)</f>
        <v>251.66697026317493</v>
      </c>
      <c r="CO58" s="3156">
        <f t="shared" ref="CO58:CP58" si="1089">SUM(CO9)</f>
        <v>250.1947480409527</v>
      </c>
      <c r="CP58" s="3156">
        <f t="shared" si="1089"/>
        <v>1.4722222222222223</v>
      </c>
      <c r="CQ58" s="3156">
        <f>SUM(CQ9)</f>
        <v>242.05600000000001</v>
      </c>
      <c r="CR58" s="3156">
        <f t="shared" ref="CR58:CS58" si="1090">SUM(CR9)</f>
        <v>241.745</v>
      </c>
      <c r="CS58" s="3156">
        <f t="shared" si="1090"/>
        <v>0.311</v>
      </c>
      <c r="CT58" s="3156">
        <f>SUM(CT9)</f>
        <v>241.94</v>
      </c>
      <c r="CU58" s="3156">
        <f t="shared" ref="CU58:CV58" si="1091">SUM(CU9)</f>
        <v>241.6</v>
      </c>
      <c r="CV58" s="3156">
        <f t="shared" si="1091"/>
        <v>0.34</v>
      </c>
      <c r="CW58" s="3156">
        <f>SUM(CW9)</f>
        <v>251.66697026317493</v>
      </c>
      <c r="CX58" s="3156">
        <f t="shared" ref="CX58:CY58" si="1092">SUM(CX9)</f>
        <v>250.1947480409527</v>
      </c>
      <c r="CY58" s="3156">
        <f t="shared" si="1092"/>
        <v>1.4722222222222223</v>
      </c>
      <c r="CZ58" s="3156">
        <f>SUM(CZ9)</f>
        <v>275.63300000000004</v>
      </c>
      <c r="DA58" s="3156">
        <f t="shared" ref="DA58:DB58" si="1093">SUM(DA9)</f>
        <v>275.25400000000002</v>
      </c>
      <c r="DB58" s="3156">
        <f t="shared" si="1093"/>
        <v>0.379</v>
      </c>
      <c r="DC58" s="3156">
        <f>SUM(DC9)</f>
        <v>258.52</v>
      </c>
      <c r="DD58" s="3156">
        <f t="shared" ref="DD58:DE58" si="1094">SUM(DD9)</f>
        <v>258</v>
      </c>
      <c r="DE58" s="3156">
        <f t="shared" si="1094"/>
        <v>0.52</v>
      </c>
      <c r="DF58" s="3156">
        <f>SUM(DF9)</f>
        <v>251.66697026317493</v>
      </c>
      <c r="DG58" s="3156">
        <f t="shared" ref="DG58:DH58" si="1095">SUM(DG9)</f>
        <v>250.1947480409527</v>
      </c>
      <c r="DH58" s="3156">
        <f t="shared" si="1095"/>
        <v>1.4722222222222223</v>
      </c>
      <c r="DI58" s="3156">
        <f>SUM(DI9)</f>
        <v>257.37900000000002</v>
      </c>
      <c r="DJ58" s="3156">
        <f t="shared" ref="DJ58:DK58" si="1096">SUM(DJ9)</f>
        <v>253.471</v>
      </c>
      <c r="DK58" s="3156">
        <f t="shared" si="1096"/>
        <v>3.9079999999999999</v>
      </c>
      <c r="DL58" s="3156">
        <f>SUM(DL9)</f>
        <v>257.13</v>
      </c>
      <c r="DM58" s="3156">
        <f t="shared" ref="DM58:DN58" si="1097">SUM(DM9)</f>
        <v>253.45</v>
      </c>
      <c r="DN58" s="3156">
        <f t="shared" si="1097"/>
        <v>3.68</v>
      </c>
      <c r="DO58" s="3157">
        <f t="shared" si="1026"/>
        <v>755.00091078952482</v>
      </c>
      <c r="DP58" s="3157">
        <f t="shared" si="1027"/>
        <v>750.58424412285808</v>
      </c>
      <c r="DQ58" s="3157">
        <f t="shared" si="1028"/>
        <v>4.416666666666667</v>
      </c>
      <c r="DR58" s="3157">
        <f t="shared" si="1029"/>
        <v>775.0680000000001</v>
      </c>
      <c r="DS58" s="3157">
        <f t="shared" si="1030"/>
        <v>770.47</v>
      </c>
      <c r="DT58" s="3157">
        <f t="shared" si="1031"/>
        <v>4.5979999999999999</v>
      </c>
      <c r="DU58" s="3157">
        <f t="shared" si="1032"/>
        <v>757.58999999999992</v>
      </c>
      <c r="DV58" s="3157">
        <f t="shared" si="1033"/>
        <v>753.05</v>
      </c>
      <c r="DW58" s="3157">
        <f t="shared" si="1034"/>
        <v>4.54</v>
      </c>
      <c r="DX58" s="3154">
        <f t="shared" si="469"/>
        <v>20.067089210475274</v>
      </c>
      <c r="DY58" s="3154">
        <f t="shared" si="1035"/>
        <v>19.885755877141946</v>
      </c>
      <c r="DZ58" s="3154">
        <f t="shared" si="1036"/>
        <v>0.1813333333333329</v>
      </c>
      <c r="EA58" s="3157">
        <f t="shared" si="1037"/>
        <v>2265.0027323685745</v>
      </c>
      <c r="EB58" s="3157">
        <f t="shared" si="1038"/>
        <v>2251.7527323685745</v>
      </c>
      <c r="EC58" s="3157">
        <f t="shared" si="1039"/>
        <v>13.25</v>
      </c>
      <c r="ED58" s="3157">
        <f t="shared" si="1040"/>
        <v>2322.4505000000004</v>
      </c>
      <c r="EE58" s="3157">
        <f t="shared" si="1041"/>
        <v>2309.1210000000001</v>
      </c>
      <c r="EF58" s="3157">
        <f t="shared" si="1042"/>
        <v>13.329499999999999</v>
      </c>
      <c r="EG58" s="3157">
        <f t="shared" si="1043"/>
        <v>2371.1499999999996</v>
      </c>
      <c r="EH58" s="3157">
        <f t="shared" si="1044"/>
        <v>2357.9</v>
      </c>
      <c r="EI58" s="3157">
        <f t="shared" si="1045"/>
        <v>13.25</v>
      </c>
      <c r="EJ58" s="3154">
        <f t="shared" si="481"/>
        <v>57.447767631425904</v>
      </c>
      <c r="EK58" s="3154">
        <f t="shared" si="1046"/>
        <v>57.368267631425624</v>
      </c>
      <c r="EL58" s="3154">
        <f t="shared" si="1047"/>
        <v>7.949999999999946E-2</v>
      </c>
      <c r="EM58" s="3156">
        <f>SUM(EM9)</f>
        <v>251.66697026317493</v>
      </c>
      <c r="EN58" s="3156">
        <f t="shared" ref="EN58:EO58" si="1098">SUM(EN9)</f>
        <v>250.1947480409527</v>
      </c>
      <c r="EO58" s="3156">
        <f t="shared" si="1098"/>
        <v>1.4722222222222223</v>
      </c>
      <c r="EP58" s="3156">
        <f>SUM(EP9)</f>
        <v>0</v>
      </c>
      <c r="EQ58" s="3156">
        <f t="shared" ref="EQ58:ER58" si="1099">SUM(EQ9)</f>
        <v>0</v>
      </c>
      <c r="ER58" s="3156">
        <f t="shared" si="1099"/>
        <v>0</v>
      </c>
      <c r="ES58" s="3156">
        <f>SUM(ES9)</f>
        <v>260.77999999999997</v>
      </c>
      <c r="ET58" s="3156">
        <f t="shared" ref="ET58:EU58" si="1100">SUM(ET9)</f>
        <v>260.24</v>
      </c>
      <c r="EU58" s="3156">
        <f t="shared" si="1100"/>
        <v>0.54</v>
      </c>
      <c r="EV58" s="3156">
        <f>SUM(EV9)</f>
        <v>251.66697026317493</v>
      </c>
      <c r="EW58" s="3156">
        <f t="shared" ref="EW58:EX58" si="1101">SUM(EW9)</f>
        <v>250.1947480409527</v>
      </c>
      <c r="EX58" s="3156">
        <f t="shared" si="1101"/>
        <v>1.4722222222222223</v>
      </c>
      <c r="EY58" s="3156">
        <f>SUM(EY9)</f>
        <v>0</v>
      </c>
      <c r="EZ58" s="3156">
        <f t="shared" ref="EZ58:FA58" si="1102">SUM(EZ9)</f>
        <v>0</v>
      </c>
      <c r="FA58" s="3156">
        <f t="shared" si="1102"/>
        <v>0</v>
      </c>
      <c r="FB58" s="3156">
        <f>SUM(FB9)</f>
        <v>261.19</v>
      </c>
      <c r="FC58" s="3156">
        <f t="shared" ref="FC58:FD58" si="1103">SUM(FC9)</f>
        <v>260.63</v>
      </c>
      <c r="FD58" s="3156">
        <f t="shared" si="1103"/>
        <v>0.56000000000000005</v>
      </c>
      <c r="FE58" s="3156">
        <f>SUM(FE9)</f>
        <v>251.66697026317493</v>
      </c>
      <c r="FF58" s="3156">
        <f t="shared" ref="FF58:FG58" si="1104">SUM(FF9)</f>
        <v>250.1947480409527</v>
      </c>
      <c r="FG58" s="3156">
        <f t="shared" si="1104"/>
        <v>1.4722222222222223</v>
      </c>
      <c r="FH58" s="3156">
        <f>SUM(FH9)</f>
        <v>0</v>
      </c>
      <c r="FI58" s="3156">
        <f t="shared" ref="FI58:FJ58" si="1105">SUM(FI9)</f>
        <v>0</v>
      </c>
      <c r="FJ58" s="3156">
        <f t="shared" si="1105"/>
        <v>0</v>
      </c>
      <c r="FK58" s="3156">
        <f>SUM(FK9)</f>
        <v>257.25</v>
      </c>
      <c r="FL58" s="3156">
        <f t="shared" ref="FL58:FM58" si="1106">SUM(FL9)</f>
        <v>253.35</v>
      </c>
      <c r="FM58" s="3156">
        <f t="shared" si="1106"/>
        <v>3.9</v>
      </c>
      <c r="FN58" s="3157">
        <f t="shared" si="1049"/>
        <v>755.00091078952482</v>
      </c>
      <c r="FO58" s="3157">
        <f t="shared" si="1050"/>
        <v>750.58424412285808</v>
      </c>
      <c r="FP58" s="3157">
        <f t="shared" si="1051"/>
        <v>4.416666666666667</v>
      </c>
      <c r="FQ58" s="3157">
        <f t="shared" si="1052"/>
        <v>0</v>
      </c>
      <c r="FR58" s="3157">
        <f t="shared" si="1053"/>
        <v>0</v>
      </c>
      <c r="FS58" s="3157">
        <f t="shared" si="1054"/>
        <v>0</v>
      </c>
      <c r="FT58" s="3157">
        <f t="shared" si="1055"/>
        <v>779.22</v>
      </c>
      <c r="FU58" s="3157">
        <f t="shared" si="1056"/>
        <v>774.22</v>
      </c>
      <c r="FV58" s="3157">
        <f t="shared" si="1057"/>
        <v>5</v>
      </c>
      <c r="FW58" s="3154">
        <f t="shared" si="493"/>
        <v>-755.00091078952482</v>
      </c>
      <c r="FX58" s="3154">
        <f t="shared" si="1058"/>
        <v>-750.58424412285808</v>
      </c>
      <c r="FY58" s="3154">
        <f t="shared" si="1059"/>
        <v>-4.416666666666667</v>
      </c>
      <c r="FZ58" s="3236">
        <f t="shared" si="1060"/>
        <v>3020.0036431580993</v>
      </c>
      <c r="GA58" s="3236">
        <f t="shared" si="1061"/>
        <v>3002.3369764914323</v>
      </c>
      <c r="GB58" s="3236">
        <f t="shared" si="1062"/>
        <v>17.666666666666668</v>
      </c>
      <c r="GC58" s="3236">
        <f t="shared" si="1063"/>
        <v>2322.4505000000004</v>
      </c>
      <c r="GD58" s="3236">
        <f t="shared" si="1064"/>
        <v>2309.1210000000001</v>
      </c>
      <c r="GE58" s="3236">
        <f t="shared" si="1065"/>
        <v>13.329499999999999</v>
      </c>
      <c r="GF58" s="3236">
        <f t="shared" si="1066"/>
        <v>3150.37</v>
      </c>
      <c r="GG58" s="3236">
        <f t="shared" si="1067"/>
        <v>3132.12</v>
      </c>
      <c r="GH58" s="3236">
        <f t="shared" si="1068"/>
        <v>18.25</v>
      </c>
      <c r="GI58" s="3237">
        <f t="shared" si="505"/>
        <v>-697.55314315809892</v>
      </c>
      <c r="GJ58" s="3237">
        <f t="shared" si="1069"/>
        <v>-693.21597649143223</v>
      </c>
      <c r="GK58" s="3237">
        <f t="shared" si="1070"/>
        <v>-4.3371666666666684</v>
      </c>
    </row>
    <row r="59" spans="1:193" ht="18.75" customHeight="1" x14ac:dyDescent="0.3">
      <c r="A59" s="3106" t="s">
        <v>14</v>
      </c>
      <c r="B59" s="3156">
        <f t="shared" ref="B59:AF59" si="1107">SUM(B57/B58)</f>
        <v>31.878384327555249</v>
      </c>
      <c r="C59" s="3156">
        <f t="shared" ref="C59:E59" si="1108">SUM(C57/C58)</f>
        <v>31.978365642911164</v>
      </c>
      <c r="D59" s="3156">
        <f t="shared" si="1108"/>
        <v>14.887199418990349</v>
      </c>
      <c r="E59" s="3156">
        <f t="shared" si="1108"/>
        <v>23.8733937346034</v>
      </c>
      <c r="F59" s="3156">
        <f t="shared" ref="F59:H59" si="1109">SUM(F57/F58)</f>
        <v>23.841520430503241</v>
      </c>
      <c r="G59" s="3156">
        <f t="shared" si="1109"/>
        <v>65.787654320987642</v>
      </c>
      <c r="H59" s="3156">
        <f t="shared" si="1109"/>
        <v>22.805386235176769</v>
      </c>
      <c r="I59" s="3156">
        <f t="shared" ref="I59:K59" si="1110">SUM(I57/I58)</f>
        <v>22.813130087032913</v>
      </c>
      <c r="J59" s="3156">
        <f t="shared" si="1110"/>
        <v>14.079033174786591</v>
      </c>
      <c r="K59" s="3156">
        <f t="shared" si="1110"/>
        <v>31.878384327555249</v>
      </c>
      <c r="L59" s="3156">
        <f t="shared" ref="L59:N59" si="1111">SUM(L57/L58)</f>
        <v>31.978365642911164</v>
      </c>
      <c r="M59" s="3156">
        <f t="shared" si="1111"/>
        <v>14.887199418990349</v>
      </c>
      <c r="N59" s="3156">
        <f t="shared" si="1111"/>
        <v>23.495692648630936</v>
      </c>
      <c r="O59" s="3156">
        <f t="shared" ref="O59:S59" si="1112">SUM(O57/O58)</f>
        <v>23.462732252384509</v>
      </c>
      <c r="P59" s="3156">
        <f t="shared" si="1112"/>
        <v>72.294797687861262</v>
      </c>
      <c r="Q59" s="3156">
        <f t="shared" si="1112"/>
        <v>22.141772151898735</v>
      </c>
      <c r="R59" s="3156">
        <f t="shared" si="1112"/>
        <v>22.147848491819669</v>
      </c>
      <c r="S59" s="3156">
        <f t="shared" si="1112"/>
        <v>13.684146596691285</v>
      </c>
      <c r="T59" s="3156">
        <f t="shared" ref="T59" si="1113">SUM(T57/T58)</f>
        <v>31.878384327555249</v>
      </c>
      <c r="U59" s="3156">
        <f t="shared" ref="U59:W59" si="1114">SUM(U57/U58)</f>
        <v>31.978365642911164</v>
      </c>
      <c r="V59" s="3156">
        <f t="shared" si="1114"/>
        <v>14.887199418990349</v>
      </c>
      <c r="W59" s="3156">
        <f t="shared" si="1114"/>
        <v>27.301694552120079</v>
      </c>
      <c r="X59" s="3156">
        <f t="shared" ref="X59:Z59" si="1115">SUM(X57/X58)</f>
        <v>27.657622109573492</v>
      </c>
      <c r="Y59" s="3156">
        <f t="shared" si="1115"/>
        <v>3.2801630434782605</v>
      </c>
      <c r="Z59" s="3156">
        <f t="shared" si="1115"/>
        <v>29.196158702222899</v>
      </c>
      <c r="AA59" s="3156">
        <f t="shared" ref="AA59:AB59" si="1116">SUM(AA57/AA58)</f>
        <v>29.355097534818377</v>
      </c>
      <c r="AB59" s="3156">
        <f t="shared" si="1116"/>
        <v>18.066553329525188</v>
      </c>
      <c r="AC59" s="3157">
        <f t="shared" si="1107"/>
        <v>31.878384327555246</v>
      </c>
      <c r="AD59" s="3157">
        <f t="shared" ref="AD59:AE59" si="1117">SUM(AD57/AD58)</f>
        <v>31.978365642911164</v>
      </c>
      <c r="AE59" s="3157">
        <f t="shared" si="1117"/>
        <v>14.887199418990349</v>
      </c>
      <c r="AF59" s="3157">
        <f t="shared" si="1107"/>
        <v>24.863621023315002</v>
      </c>
      <c r="AG59" s="3157">
        <f t="shared" ref="AG59:AI59" si="1118">SUM(AG57/AG58)</f>
        <v>24.945270365819962</v>
      </c>
      <c r="AH59" s="3157">
        <f t="shared" si="1118"/>
        <v>9.345333497719146</v>
      </c>
      <c r="AI59" s="3157">
        <f t="shared" si="1118"/>
        <v>24.681515231389088</v>
      </c>
      <c r="AJ59" s="3157">
        <f t="shared" ref="AJ59:AK59" si="1119">SUM(AJ57/AJ58)</f>
        <v>24.718074852298798</v>
      </c>
      <c r="AK59" s="3157">
        <f t="shared" si="1119"/>
        <v>17.63111242529752</v>
      </c>
      <c r="AL59" s="3154">
        <f t="shared" si="433"/>
        <v>-7.014763304240244</v>
      </c>
      <c r="AM59" s="3154">
        <f t="shared" si="1000"/>
        <v>-7.0330952770912027</v>
      </c>
      <c r="AN59" s="3154">
        <f t="shared" si="1001"/>
        <v>-5.5418659212712029</v>
      </c>
      <c r="AO59" s="3156">
        <f t="shared" ref="AO59:AQ59" si="1120">SUM(AO57/AO58)</f>
        <v>31.878384327555249</v>
      </c>
      <c r="AP59" s="3156">
        <f t="shared" si="1120"/>
        <v>31.978365642911164</v>
      </c>
      <c r="AQ59" s="3156">
        <f t="shared" si="1120"/>
        <v>14.887199418990349</v>
      </c>
      <c r="AR59" s="3156">
        <f t="shared" ref="AR59:AT59" si="1121">SUM(AR57/AR58)</f>
        <v>27.255264584542857</v>
      </c>
      <c r="AS59" s="3156">
        <f t="shared" si="1121"/>
        <v>27.238352958385132</v>
      </c>
      <c r="AT59" s="3156">
        <f t="shared" si="1121"/>
        <v>41.900000000000006</v>
      </c>
      <c r="AU59" s="3156">
        <f t="shared" ref="AU59:AW59" si="1122">SUM(AU57/AU58)</f>
        <v>24.585629310659417</v>
      </c>
      <c r="AV59" s="3156">
        <f t="shared" si="1122"/>
        <v>24.594596686733414</v>
      </c>
      <c r="AW59" s="3156">
        <f t="shared" si="1122"/>
        <v>15.143327203827948</v>
      </c>
      <c r="AX59" s="3156">
        <f t="shared" ref="AX59:AZ59" si="1123">SUM(AX57/AX58)</f>
        <v>31.878384327555249</v>
      </c>
      <c r="AY59" s="3156">
        <f t="shared" si="1123"/>
        <v>31.978365642911164</v>
      </c>
      <c r="AZ59" s="3156">
        <f t="shared" si="1123"/>
        <v>14.887199418990349</v>
      </c>
      <c r="BA59" s="3156">
        <f t="shared" ref="BA59:BC59" si="1124">SUM(BA57/BA58)</f>
        <v>28.095923233086253</v>
      </c>
      <c r="BB59" s="3156">
        <f t="shared" si="1124"/>
        <v>28.093226419408499</v>
      </c>
      <c r="BC59" s="3156">
        <f t="shared" si="1124"/>
        <v>29.437254901960781</v>
      </c>
      <c r="BD59" s="3156">
        <f t="shared" ref="BD59:BF59" si="1125">SUM(BD57/BD58)</f>
        <v>24.806256923488299</v>
      </c>
      <c r="BE59" s="3156">
        <f t="shared" si="1125"/>
        <v>24.827707714077828</v>
      </c>
      <c r="BF59" s="3156">
        <f t="shared" si="1125"/>
        <v>15.309737428597149</v>
      </c>
      <c r="BG59" s="3156">
        <f t="shared" ref="BG59:BI59" si="1126">SUM(BG57/BG58)</f>
        <v>31.878384327555249</v>
      </c>
      <c r="BH59" s="3156">
        <f t="shared" si="1126"/>
        <v>31.978365642911164</v>
      </c>
      <c r="BI59" s="3156">
        <f t="shared" si="1126"/>
        <v>14.887199418990349</v>
      </c>
      <c r="BJ59" s="3156">
        <f t="shared" ref="BJ59:BL59" si="1127">SUM(BJ57/BJ58)</f>
        <v>26.562566062281491</v>
      </c>
      <c r="BK59" s="3156">
        <f t="shared" si="1127"/>
        <v>26.836749694394552</v>
      </c>
      <c r="BL59" s="3156">
        <f t="shared" si="1127"/>
        <v>8.5191412312467669</v>
      </c>
      <c r="BM59" s="3156">
        <f t="shared" ref="BM59:BO59" si="1128">SUM(BM57/BM58)</f>
        <v>25.265309753407109</v>
      </c>
      <c r="BN59" s="3156">
        <f t="shared" si="1128"/>
        <v>25.399695470438008</v>
      </c>
      <c r="BO59" s="3156">
        <f t="shared" si="1128"/>
        <v>15.32865065518622</v>
      </c>
      <c r="BP59" s="3157">
        <f t="shared" ref="BP59:BV59" si="1129">SUM(BP57/BP58)</f>
        <v>31.878384327555246</v>
      </c>
      <c r="BQ59" s="3157">
        <f t="shared" ref="BQ59:BR59" si="1130">SUM(BQ57/BQ58)</f>
        <v>31.978365642911164</v>
      </c>
      <c r="BR59" s="3157">
        <f t="shared" si="1130"/>
        <v>14.887199418990349</v>
      </c>
      <c r="BS59" s="3157">
        <f t="shared" si="1129"/>
        <v>27.300262252471725</v>
      </c>
      <c r="BT59" s="3157">
        <f t="shared" ref="BT59:BU59" si="1131">SUM(BT57/BT58)</f>
        <v>27.387697268519602</v>
      </c>
      <c r="BU59" s="3157">
        <f t="shared" si="1131"/>
        <v>12.942258340461933</v>
      </c>
      <c r="BV59" s="3157">
        <f t="shared" si="1129"/>
        <v>24.890175674848507</v>
      </c>
      <c r="BW59" s="3157">
        <f t="shared" ref="BW59:BX59" si="1132">SUM(BW57/BW58)</f>
        <v>24.944398337811243</v>
      </c>
      <c r="BX59" s="3157">
        <f t="shared" si="1132"/>
        <v>15.315750024525199</v>
      </c>
      <c r="BY59" s="3154">
        <f t="shared" si="445"/>
        <v>-4.5781220750835203</v>
      </c>
      <c r="BZ59" s="3154">
        <f t="shared" si="1012"/>
        <v>-4.5906683743915622</v>
      </c>
      <c r="CA59" s="3154">
        <f t="shared" si="1013"/>
        <v>-1.9449410785284158</v>
      </c>
      <c r="CB59" s="3157">
        <f>SUM(CB57/CB58)</f>
        <v>31.878384327555246</v>
      </c>
      <c r="CC59" s="3157">
        <f t="shared" ref="CC59:CD59" si="1133">SUM(CC57/CC58)</f>
        <v>31.978365642911164</v>
      </c>
      <c r="CD59" s="3157">
        <f t="shared" si="1133"/>
        <v>14.887199418990349</v>
      </c>
      <c r="CE59" s="3157">
        <f>SUM(CE57/CE58)</f>
        <v>26.080125631509986</v>
      </c>
      <c r="CF59" s="3157">
        <f t="shared" ref="CF59:CG59" si="1134">SUM(CF57/CF58)</f>
        <v>26.164160683611815</v>
      </c>
      <c r="CG59" s="3157">
        <f t="shared" si="1134"/>
        <v>11.271602817385329</v>
      </c>
      <c r="CH59" s="3157">
        <f>SUM(CH57/CH58)</f>
        <v>24.787147673467366</v>
      </c>
      <c r="CI59" s="3157">
        <f t="shared" ref="CI59:CJ59" si="1135">SUM(CI57/CI58)</f>
        <v>24.832622162706301</v>
      </c>
      <c r="CJ59" s="3157">
        <f t="shared" si="1135"/>
        <v>16.408303350262766</v>
      </c>
      <c r="CK59" s="3154">
        <f t="shared" si="457"/>
        <v>-5.7982586960452593</v>
      </c>
      <c r="CL59" s="3154">
        <f t="shared" si="1023"/>
        <v>-5.8142049592993494</v>
      </c>
      <c r="CM59" s="3154">
        <f t="shared" si="1024"/>
        <v>-3.6155966016050201</v>
      </c>
      <c r="CN59" s="3156">
        <f t="shared" ref="CN59:CP59" si="1136">SUM(CN57/CN58)</f>
        <v>32.047736544129926</v>
      </c>
      <c r="CO59" s="3156">
        <f t="shared" si="1136"/>
        <v>32.147908975864937</v>
      </c>
      <c r="CP59" s="3156">
        <f t="shared" si="1136"/>
        <v>15.024072629614935</v>
      </c>
      <c r="CQ59" s="3156">
        <f t="shared" ref="CQ59:CS59" si="1137">SUM(CQ57/CQ58)</f>
        <v>26.754945136662592</v>
      </c>
      <c r="CR59" s="3156">
        <f t="shared" si="1137"/>
        <v>26.778464911373558</v>
      </c>
      <c r="CS59" s="3156">
        <f t="shared" si="1137"/>
        <v>8.4726688102893881</v>
      </c>
      <c r="CT59" s="3156">
        <f t="shared" ref="CT59:CV59" si="1138">SUM(CT57/CT58)</f>
        <v>29.270976275109529</v>
      </c>
      <c r="CU59" s="3156">
        <f t="shared" si="1138"/>
        <v>29.287933260050181</v>
      </c>
      <c r="CV59" s="3156">
        <f t="shared" si="1138"/>
        <v>17.221542270225093</v>
      </c>
      <c r="CW59" s="3156">
        <f t="shared" ref="CW59:CY59" si="1139">SUM(CW57/CW58)</f>
        <v>32.047736544129926</v>
      </c>
      <c r="CX59" s="3156">
        <f t="shared" si="1139"/>
        <v>32.147908975864937</v>
      </c>
      <c r="CY59" s="3156">
        <f t="shared" si="1139"/>
        <v>15.024072629614935</v>
      </c>
      <c r="CZ59" s="3156">
        <f t="shared" ref="CZ59:DB59" si="1140">SUM(CZ57/CZ58)</f>
        <v>24.390395925016232</v>
      </c>
      <c r="DA59" s="3156">
        <f t="shared" si="1140"/>
        <v>24.374250692088037</v>
      </c>
      <c r="DB59" s="3156">
        <f t="shared" si="1140"/>
        <v>36.116094986807383</v>
      </c>
      <c r="DC59" s="3156">
        <f t="shared" ref="DC59:DE59" si="1141">SUM(DC57/DC58)</f>
        <v>26.27406003403992</v>
      </c>
      <c r="DD59" s="3156">
        <f t="shared" si="1141"/>
        <v>26.29528320672091</v>
      </c>
      <c r="DE59" s="3156">
        <f t="shared" si="1141"/>
        <v>15.744101280779367</v>
      </c>
      <c r="DF59" s="3156">
        <f t="shared" ref="DF59:DH59" si="1142">SUM(DF57/DF58)</f>
        <v>32.047736544129926</v>
      </c>
      <c r="DG59" s="3156">
        <f t="shared" si="1142"/>
        <v>32.147908975864937</v>
      </c>
      <c r="DH59" s="3156">
        <f t="shared" si="1142"/>
        <v>15.024072629614935</v>
      </c>
      <c r="DI59" s="3156">
        <f t="shared" ref="DI59:DK59" si="1143">SUM(DI57/DI58)</f>
        <v>28.154678509124675</v>
      </c>
      <c r="DJ59" s="3156">
        <f t="shared" si="1143"/>
        <v>28.507521570514974</v>
      </c>
      <c r="DK59" s="3156">
        <f t="shared" si="1143"/>
        <v>5.2694472876151481</v>
      </c>
      <c r="DL59" s="3156">
        <f t="shared" ref="DL59:DN59" si="1144">SUM(DL57/DL58)</f>
        <v>25.918484813129545</v>
      </c>
      <c r="DM59" s="3156">
        <f t="shared" si="1144"/>
        <v>26.071437362275777</v>
      </c>
      <c r="DN59" s="3156">
        <f t="shared" si="1144"/>
        <v>15.384293622609903</v>
      </c>
      <c r="DO59" s="3157">
        <f t="shared" ref="DO59:DU59" si="1145">SUM(DO57/DO58)</f>
        <v>32.047736544129926</v>
      </c>
      <c r="DP59" s="3157">
        <f t="shared" ref="DP59:DQ59" si="1146">SUM(DP57/DP58)</f>
        <v>32.147908975864937</v>
      </c>
      <c r="DQ59" s="3157">
        <f t="shared" si="1146"/>
        <v>15.024072629614933</v>
      </c>
      <c r="DR59" s="3157">
        <f t="shared" si="1145"/>
        <v>26.378867402602094</v>
      </c>
      <c r="DS59" s="3157">
        <f t="shared" ref="DS59:DT59" si="1147">SUM(DS57/DS58)</f>
        <v>26.488377224291671</v>
      </c>
      <c r="DT59" s="3157">
        <f t="shared" si="1147"/>
        <v>8.0287081339712909</v>
      </c>
      <c r="DU59" s="3157">
        <f t="shared" si="1145"/>
        <v>27.110455523436162</v>
      </c>
      <c r="DV59" s="3157">
        <f t="shared" ref="DV59:DW59" si="1148">SUM(DV57/DV58)</f>
        <v>27.180072428697848</v>
      </c>
      <c r="DW59" s="3157">
        <f t="shared" si="1148"/>
        <v>15.563096380856004</v>
      </c>
      <c r="DX59" s="3154">
        <f t="shared" si="469"/>
        <v>-5.6688691415278321</v>
      </c>
      <c r="DY59" s="3154">
        <f t="shared" si="1035"/>
        <v>-5.6595317515732653</v>
      </c>
      <c r="DZ59" s="3154">
        <f t="shared" si="1036"/>
        <v>-6.995364495643642</v>
      </c>
      <c r="EA59" s="3157">
        <f>SUM(EA57/EA58)</f>
        <v>31.93483506641347</v>
      </c>
      <c r="EB59" s="3157">
        <f t="shared" ref="EB59:EC59" si="1149">SUM(EB57/EB58)</f>
        <v>32.034880087229084</v>
      </c>
      <c r="EC59" s="3157">
        <f t="shared" si="1149"/>
        <v>14.932823822531876</v>
      </c>
      <c r="ED59" s="3157">
        <f>SUM(ED57/ED58)</f>
        <v>26.179824284737176</v>
      </c>
      <c r="EE59" s="3157">
        <f t="shared" ref="EE59:EF59" si="1150">SUM(EE57/EE58)</f>
        <v>26.272339994309522</v>
      </c>
      <c r="EF59" s="3157">
        <f t="shared" si="1150"/>
        <v>10.152968978581344</v>
      </c>
      <c r="EG59" s="3157">
        <f>SUM(EG57/EG58)</f>
        <v>25.529451953693361</v>
      </c>
      <c r="EH59" s="3157">
        <f t="shared" ref="EH59:EI59" si="1151">SUM(EH57/EH58)</f>
        <v>25.582334798019478</v>
      </c>
      <c r="EI59" s="3157">
        <f t="shared" si="1151"/>
        <v>16.118700358481128</v>
      </c>
      <c r="EJ59" s="3154">
        <f t="shared" si="481"/>
        <v>-5.7550107816762939</v>
      </c>
      <c r="EK59" s="3154">
        <f t="shared" si="1046"/>
        <v>-5.7625400929195614</v>
      </c>
      <c r="EL59" s="3154">
        <f t="shared" si="1047"/>
        <v>-4.7798548439505328</v>
      </c>
      <c r="EM59" s="3156">
        <f t="shared" ref="EM59:EO59" si="1152">SUM(EM57/EM58)</f>
        <v>32.047736544129926</v>
      </c>
      <c r="EN59" s="3156">
        <f t="shared" si="1152"/>
        <v>32.147908975864937</v>
      </c>
      <c r="EO59" s="3156">
        <f t="shared" si="1152"/>
        <v>15.024072629614935</v>
      </c>
      <c r="EP59" s="3156" t="e">
        <f t="shared" ref="EP59:ER59" si="1153">SUM(EP57/EP58)</f>
        <v>#DIV/0!</v>
      </c>
      <c r="EQ59" s="3156" t="e">
        <f t="shared" si="1153"/>
        <v>#DIV/0!</v>
      </c>
      <c r="ER59" s="3156" t="e">
        <f t="shared" si="1153"/>
        <v>#DIV/0!</v>
      </c>
      <c r="ES59" s="3156">
        <f t="shared" ref="ES59:EU59" si="1154">SUM(ES57/ES58)</f>
        <v>25.880205537234449</v>
      </c>
      <c r="ET59" s="3156">
        <f t="shared" si="1154"/>
        <v>25.901444333240814</v>
      </c>
      <c r="EU59" s="3156">
        <f t="shared" si="1154"/>
        <v>15.644679106316495</v>
      </c>
      <c r="EV59" s="3156">
        <f t="shared" ref="EV59:EX59" si="1155">SUM(EV57/EV58)</f>
        <v>32.047736544129926</v>
      </c>
      <c r="EW59" s="3156">
        <f t="shared" si="1155"/>
        <v>32.147908975864937</v>
      </c>
      <c r="EX59" s="3156">
        <f t="shared" si="1155"/>
        <v>15.024072629614935</v>
      </c>
      <c r="EY59" s="3156" t="e">
        <f t="shared" ref="EY59:FA59" si="1156">SUM(EY57/EY58)</f>
        <v>#DIV/0!</v>
      </c>
      <c r="EZ59" s="3156" t="e">
        <f t="shared" si="1156"/>
        <v>#DIV/0!</v>
      </c>
      <c r="FA59" s="3156" t="e">
        <f t="shared" si="1156"/>
        <v>#DIV/0!</v>
      </c>
      <c r="FB59" s="3156">
        <f t="shared" ref="FB59:FD59" si="1157">SUM(FB57/FB58)</f>
        <v>24.754699643937368</v>
      </c>
      <c r="FC59" s="3156">
        <f t="shared" si="1157"/>
        <v>24.77597440274938</v>
      </c>
      <c r="FD59" s="3156">
        <f t="shared" si="1157"/>
        <v>14.853198948979726</v>
      </c>
      <c r="FE59" s="3156">
        <f t="shared" ref="FE59:FG59" si="1158">SUM(FE57/FE58)</f>
        <v>32.047736544129926</v>
      </c>
      <c r="FF59" s="3156">
        <f t="shared" si="1158"/>
        <v>32.147908975864937</v>
      </c>
      <c r="FG59" s="3156">
        <f t="shared" si="1158"/>
        <v>15.024072629614935</v>
      </c>
      <c r="FH59" s="3156" t="e">
        <f t="shared" ref="FH59:FJ59" si="1159">SUM(FH57/FH58)</f>
        <v>#DIV/0!</v>
      </c>
      <c r="FI59" s="3156" t="e">
        <f t="shared" si="1159"/>
        <v>#DIV/0!</v>
      </c>
      <c r="FJ59" s="3156" t="e">
        <f t="shared" si="1159"/>
        <v>#DIV/0!</v>
      </c>
      <c r="FK59" s="3156">
        <f t="shared" ref="FK59:FM59" si="1160">SUM(FK57/FK58)</f>
        <v>25.678989310009715</v>
      </c>
      <c r="FL59" s="3156">
        <f t="shared" si="1160"/>
        <v>25.828396630445322</v>
      </c>
      <c r="FM59" s="3156">
        <f t="shared" si="1160"/>
        <v>15.973259917096915</v>
      </c>
      <c r="FN59" s="3157">
        <f t="shared" ref="FN59:FT59" si="1161">SUM(FN57/FN58)</f>
        <v>32.047736544129926</v>
      </c>
      <c r="FO59" s="3157">
        <f t="shared" ref="FO59:FP59" si="1162">SUM(FO57/FO58)</f>
        <v>32.147908975864937</v>
      </c>
      <c r="FP59" s="3157">
        <f t="shared" si="1162"/>
        <v>15.024072629614933</v>
      </c>
      <c r="FQ59" s="3157" t="e">
        <f t="shared" si="1161"/>
        <v>#DIV/0!</v>
      </c>
      <c r="FR59" s="3157" t="e">
        <f t="shared" ref="FR59:FS59" si="1163">SUM(FR57/FR58)</f>
        <v>#DIV/0!</v>
      </c>
      <c r="FS59" s="3157" t="e">
        <f t="shared" si="1163"/>
        <v>#DIV/0!</v>
      </c>
      <c r="FT59" s="3157">
        <f t="shared" si="1161"/>
        <v>25.436513436513433</v>
      </c>
      <c r="FU59" s="3157">
        <f t="shared" ref="FU59:FV59" si="1164">SUM(FU57/FU58)</f>
        <v>25.4986675211109</v>
      </c>
      <c r="FV59" s="3157">
        <f t="shared" si="1164"/>
        <v>15.812326361103505</v>
      </c>
      <c r="FW59" s="3154" t="e">
        <f t="shared" si="493"/>
        <v>#DIV/0!</v>
      </c>
      <c r="FX59" s="3154" t="e">
        <f t="shared" si="1058"/>
        <v>#DIV/0!</v>
      </c>
      <c r="FY59" s="3154" t="e">
        <f t="shared" si="1059"/>
        <v>#DIV/0!</v>
      </c>
      <c r="FZ59" s="3236">
        <f>SUM(FZ57/FZ58)</f>
        <v>31.963060435842586</v>
      </c>
      <c r="GA59" s="3236">
        <f t="shared" ref="GA59:GB59" si="1165">SUM(GA57/GA58)</f>
        <v>32.063137309388054</v>
      </c>
      <c r="GB59" s="3236">
        <f t="shared" si="1165"/>
        <v>14.955636024302642</v>
      </c>
      <c r="GC59" s="3236">
        <f>SUM(GC57/GC58)</f>
        <v>26.179824284737176</v>
      </c>
      <c r="GD59" s="3236">
        <f t="shared" ref="GD59:GE59" si="1166">SUM(GD57/GD58)</f>
        <v>26.272339994309522</v>
      </c>
      <c r="GE59" s="3236">
        <f t="shared" si="1166"/>
        <v>10.152968978581344</v>
      </c>
      <c r="GF59" s="3236">
        <f>SUM(GF57/GF58)</f>
        <v>25.506464320063994</v>
      </c>
      <c r="GG59" s="3236">
        <f t="shared" ref="GG59:GH59" si="1167">SUM(GG57/GG58)</f>
        <v>25.561653317383946</v>
      </c>
      <c r="GH59" s="3236">
        <f t="shared" si="1167"/>
        <v>16.034762277007808</v>
      </c>
      <c r="GI59" s="3237">
        <f t="shared" si="505"/>
        <v>-5.7832361511054096</v>
      </c>
      <c r="GJ59" s="3237">
        <f t="shared" si="1069"/>
        <v>-5.7907973150785317</v>
      </c>
      <c r="GK59" s="3237">
        <f t="shared" si="1070"/>
        <v>-4.8026670457212983</v>
      </c>
    </row>
    <row r="60" spans="1:193" ht="18.75" customHeight="1" x14ac:dyDescent="0.3">
      <c r="A60" s="3158" t="s">
        <v>3679</v>
      </c>
      <c r="B60" s="3156">
        <f t="shared" ref="B60:B61" si="1168">SUM(C60:D60)</f>
        <v>-0.81827144613634528</v>
      </c>
      <c r="C60" s="3156">
        <f>SUM('стоки 2018'!Y32:Y35)/12</f>
        <v>0</v>
      </c>
      <c r="D60" s="3156">
        <f>SUM('очистка 2016-2018'!W32)/12</f>
        <v>-0.81827144613634528</v>
      </c>
      <c r="E60" s="3156">
        <f t="shared" ref="E60:E61" si="1169">SUM(F60:G60)</f>
        <v>0</v>
      </c>
      <c r="F60" s="3156">
        <v>0</v>
      </c>
      <c r="G60" s="3156">
        <v>0</v>
      </c>
      <c r="H60" s="3156">
        <f t="shared" ref="H60:H61" si="1170">SUM(I60:J60)</f>
        <v>0</v>
      </c>
      <c r="I60" s="3156">
        <v>0</v>
      </c>
      <c r="J60" s="3156">
        <v>0</v>
      </c>
      <c r="K60" s="3156">
        <f t="shared" ref="K60:K61" si="1171">SUM(L60:M60)</f>
        <v>-0.81827144613634528</v>
      </c>
      <c r="L60" s="3156">
        <f>SUM(C60)</f>
        <v>0</v>
      </c>
      <c r="M60" s="3156">
        <f>SUM(D60)</f>
        <v>-0.81827144613634528</v>
      </c>
      <c r="N60" s="3156">
        <f t="shared" ref="N60:N61" si="1172">SUM(O60:P60)</f>
        <v>0</v>
      </c>
      <c r="O60" s="3156">
        <v>0</v>
      </c>
      <c r="P60" s="3156">
        <v>0</v>
      </c>
      <c r="Q60" s="3156">
        <f t="shared" ref="Q60:Q61" si="1173">SUM(R60:S60)</f>
        <v>0</v>
      </c>
      <c r="R60" s="3156">
        <v>0</v>
      </c>
      <c r="S60" s="3156">
        <v>0</v>
      </c>
      <c r="T60" s="3156">
        <f t="shared" ref="T60:T61" si="1174">SUM(U60:V60)</f>
        <v>-0.81827144613634528</v>
      </c>
      <c r="U60" s="3156">
        <f>SUM(L60)</f>
        <v>0</v>
      </c>
      <c r="V60" s="3156">
        <f>SUM(M60)</f>
        <v>-0.81827144613634528</v>
      </c>
      <c r="W60" s="3156">
        <f t="shared" ref="W60:W61" si="1175">SUM(X60:Y60)</f>
        <v>0</v>
      </c>
      <c r="X60" s="3156">
        <v>0</v>
      </c>
      <c r="Y60" s="3156">
        <v>0</v>
      </c>
      <c r="Z60" s="3156">
        <f t="shared" ref="Z60:Z61" si="1176">SUM(AA60:AB60)</f>
        <v>0</v>
      </c>
      <c r="AA60" s="3156">
        <v>0</v>
      </c>
      <c r="AB60" s="3156">
        <v>0</v>
      </c>
      <c r="AC60" s="3129">
        <f>SUM(B60+K60+T60)</f>
        <v>-2.4548143384090357</v>
      </c>
      <c r="AD60" s="3129">
        <f t="shared" ref="AD60:AE64" si="1177">SUM(C60+L60+U60)</f>
        <v>0</v>
      </c>
      <c r="AE60" s="3129">
        <f t="shared" si="1177"/>
        <v>-2.4548143384090357</v>
      </c>
      <c r="AF60" s="3129">
        <f>SUM(E60+N60+W60)</f>
        <v>0</v>
      </c>
      <c r="AG60" s="3129">
        <f t="shared" ref="AG60:AK64" si="1178">SUM(F60+O60+X60)</f>
        <v>0</v>
      </c>
      <c r="AH60" s="3129">
        <f t="shared" si="1178"/>
        <v>0</v>
      </c>
      <c r="AI60" s="3129">
        <f t="shared" si="1178"/>
        <v>0</v>
      </c>
      <c r="AJ60" s="3129">
        <f t="shared" si="1178"/>
        <v>0</v>
      </c>
      <c r="AK60" s="3129">
        <f t="shared" si="1178"/>
        <v>0</v>
      </c>
      <c r="AL60" s="3115">
        <f t="shared" si="433"/>
        <v>2.4548143384090357</v>
      </c>
      <c r="AM60" s="3115">
        <f t="shared" si="1000"/>
        <v>0</v>
      </c>
      <c r="AN60" s="3115">
        <f t="shared" si="1001"/>
        <v>2.4548143384090357</v>
      </c>
      <c r="AO60" s="3156">
        <f t="shared" ref="AO60" si="1179">SUM(AP60:AQ60)</f>
        <v>-0.81827144613634528</v>
      </c>
      <c r="AP60" s="3156">
        <f>SUM(U60)</f>
        <v>0</v>
      </c>
      <c r="AQ60" s="3156">
        <f>SUM(V60)</f>
        <v>-0.81827144613634528</v>
      </c>
      <c r="AR60" s="3156">
        <f t="shared" ref="AR60:AR61" si="1180">SUM(AS60:AT60)</f>
        <v>0</v>
      </c>
      <c r="AS60" s="3156">
        <v>0</v>
      </c>
      <c r="AT60" s="3156">
        <v>0</v>
      </c>
      <c r="AU60" s="3156">
        <f t="shared" ref="AU60:AU61" si="1181">SUM(AV60:AW60)</f>
        <v>0</v>
      </c>
      <c r="AV60" s="3156">
        <v>0</v>
      </c>
      <c r="AW60" s="3156">
        <v>0</v>
      </c>
      <c r="AX60" s="3156">
        <f t="shared" ref="AX60:AX61" si="1182">SUM(AY60:AZ60)</f>
        <v>-0.81827144613634528</v>
      </c>
      <c r="AY60" s="3156">
        <f>SUM(AP60)</f>
        <v>0</v>
      </c>
      <c r="AZ60" s="3156">
        <f>SUM(AQ60)</f>
        <v>-0.81827144613634528</v>
      </c>
      <c r="BA60" s="3156">
        <f t="shared" ref="BA60:BA61" si="1183">SUM(BB60:BC60)</f>
        <v>0</v>
      </c>
      <c r="BB60" s="3156">
        <v>0</v>
      </c>
      <c r="BC60" s="3156">
        <v>0</v>
      </c>
      <c r="BD60" s="3156">
        <f t="shared" ref="BD60:BD61" si="1184">SUM(BE60:BF60)</f>
        <v>0</v>
      </c>
      <c r="BE60" s="3156">
        <v>0</v>
      </c>
      <c r="BF60" s="3156">
        <v>0</v>
      </c>
      <c r="BG60" s="3156">
        <f t="shared" ref="BG60:BG61" si="1185">SUM(BH60:BI60)</f>
        <v>-0.81827144613634528</v>
      </c>
      <c r="BH60" s="3156">
        <f>SUM(AY60)</f>
        <v>0</v>
      </c>
      <c r="BI60" s="3156">
        <f>SUM(AZ60)</f>
        <v>-0.81827144613634528</v>
      </c>
      <c r="BJ60" s="3156">
        <f t="shared" ref="BJ60:BJ61" si="1186">SUM(BK60:BL60)</f>
        <v>0</v>
      </c>
      <c r="BK60" s="3156">
        <v>0</v>
      </c>
      <c r="BL60" s="3156">
        <v>0</v>
      </c>
      <c r="BM60" s="3156">
        <f t="shared" ref="BM60:BM61" si="1187">SUM(BN60:BO60)</f>
        <v>0</v>
      </c>
      <c r="BN60" s="3156">
        <v>0</v>
      </c>
      <c r="BO60" s="3156">
        <v>0</v>
      </c>
      <c r="BP60" s="3123">
        <f t="shared" ref="BP60:BX64" si="1188">SUM(AO60+AX60+BG60)</f>
        <v>-2.4548143384090357</v>
      </c>
      <c r="BQ60" s="3123">
        <f t="shared" si="1188"/>
        <v>0</v>
      </c>
      <c r="BR60" s="3123">
        <f t="shared" si="1188"/>
        <v>-2.4548143384090357</v>
      </c>
      <c r="BS60" s="3123">
        <f t="shared" si="1188"/>
        <v>0</v>
      </c>
      <c r="BT60" s="3123">
        <f t="shared" si="1188"/>
        <v>0</v>
      </c>
      <c r="BU60" s="3123">
        <f t="shared" si="1188"/>
        <v>0</v>
      </c>
      <c r="BV60" s="3123">
        <f t="shared" si="1188"/>
        <v>0</v>
      </c>
      <c r="BW60" s="3123">
        <f t="shared" si="1188"/>
        <v>0</v>
      </c>
      <c r="BX60" s="3123">
        <f t="shared" si="1188"/>
        <v>0</v>
      </c>
      <c r="BY60" s="3110">
        <f t="shared" si="445"/>
        <v>2.4548143384090357</v>
      </c>
      <c r="BZ60" s="3110">
        <f t="shared" si="1012"/>
        <v>0</v>
      </c>
      <c r="CA60" s="3110">
        <f t="shared" si="1013"/>
        <v>2.4548143384090357</v>
      </c>
      <c r="CB60" s="3123">
        <f t="shared" ref="CB60:CJ64" si="1189">SUM(AC60+BP60)</f>
        <v>-4.9096286768180715</v>
      </c>
      <c r="CC60" s="3123">
        <f t="shared" si="1189"/>
        <v>0</v>
      </c>
      <c r="CD60" s="3123">
        <f t="shared" si="1189"/>
        <v>-4.9096286768180715</v>
      </c>
      <c r="CE60" s="3123">
        <f t="shared" si="1189"/>
        <v>0</v>
      </c>
      <c r="CF60" s="3123">
        <f t="shared" si="1189"/>
        <v>0</v>
      </c>
      <c r="CG60" s="3123">
        <f t="shared" si="1189"/>
        <v>0</v>
      </c>
      <c r="CH60" s="3123">
        <f t="shared" si="1189"/>
        <v>0</v>
      </c>
      <c r="CI60" s="3123">
        <f t="shared" si="1189"/>
        <v>0</v>
      </c>
      <c r="CJ60" s="3123">
        <f t="shared" si="1189"/>
        <v>0</v>
      </c>
      <c r="CK60" s="3115">
        <f t="shared" si="457"/>
        <v>4.9096286768180715</v>
      </c>
      <c r="CL60" s="3115">
        <f t="shared" si="1023"/>
        <v>0</v>
      </c>
      <c r="CM60" s="3115">
        <f t="shared" si="1024"/>
        <v>4.9096286768180715</v>
      </c>
      <c r="CN60" s="3156">
        <f t="shared" ref="CN60:CN61" si="1190">SUM(CO60:CP60)</f>
        <v>-0.81827144613634528</v>
      </c>
      <c r="CO60" s="3156">
        <f>SUM(BH60)</f>
        <v>0</v>
      </c>
      <c r="CP60" s="3156">
        <f>SUM(BI60)</f>
        <v>-0.81827144613634528</v>
      </c>
      <c r="CQ60" s="3156">
        <f t="shared" ref="CQ60:CQ61" si="1191">SUM(CR60:CS60)</f>
        <v>0</v>
      </c>
      <c r="CR60" s="3156">
        <v>0</v>
      </c>
      <c r="CS60" s="3156">
        <v>0</v>
      </c>
      <c r="CT60" s="3156">
        <f t="shared" ref="CT60:CT61" si="1192">SUM(CU60:CV60)</f>
        <v>0</v>
      </c>
      <c r="CU60" s="3156">
        <v>0</v>
      </c>
      <c r="CV60" s="3156">
        <v>0</v>
      </c>
      <c r="CW60" s="3156">
        <f t="shared" ref="CW60:CW61" si="1193">SUM(CX60:CY60)</f>
        <v>-0.81827144613634528</v>
      </c>
      <c r="CX60" s="3156">
        <f>SUM(CO60)</f>
        <v>0</v>
      </c>
      <c r="CY60" s="3156">
        <f>SUM(CP60)</f>
        <v>-0.81827144613634528</v>
      </c>
      <c r="CZ60" s="3156">
        <f t="shared" ref="CZ60:CZ61" si="1194">SUM(DA60:DB60)</f>
        <v>0</v>
      </c>
      <c r="DA60" s="3156">
        <v>0</v>
      </c>
      <c r="DB60" s="3156">
        <v>0</v>
      </c>
      <c r="DC60" s="3156">
        <f t="shared" ref="DC60:DC61" si="1195">SUM(DD60:DE60)</f>
        <v>0</v>
      </c>
      <c r="DD60" s="3156">
        <v>0</v>
      </c>
      <c r="DE60" s="3156">
        <v>0</v>
      </c>
      <c r="DF60" s="3156">
        <f t="shared" ref="DF60:DF61" si="1196">SUM(DG60:DH60)</f>
        <v>-0.81827144613634528</v>
      </c>
      <c r="DG60" s="3156">
        <f>SUM(CX60)</f>
        <v>0</v>
      </c>
      <c r="DH60" s="3156">
        <f>SUM(CY60)</f>
        <v>-0.81827144613634528</v>
      </c>
      <c r="DI60" s="3156">
        <f t="shared" ref="DI60:DI61" si="1197">SUM(DJ60:DK60)</f>
        <v>0</v>
      </c>
      <c r="DJ60" s="3156">
        <v>0</v>
      </c>
      <c r="DK60" s="3156">
        <v>0</v>
      </c>
      <c r="DL60" s="3156">
        <f t="shared" ref="DL60:DL61" si="1198">SUM(DM60:DN60)</f>
        <v>0</v>
      </c>
      <c r="DM60" s="3156">
        <v>0</v>
      </c>
      <c r="DN60" s="3156">
        <v>0</v>
      </c>
      <c r="DO60" s="3123">
        <f t="shared" ref="DO60:DW64" si="1199">SUM(CN60+CW60+DF60)</f>
        <v>-2.4548143384090357</v>
      </c>
      <c r="DP60" s="3123">
        <f t="shared" si="1199"/>
        <v>0</v>
      </c>
      <c r="DQ60" s="3123">
        <f t="shared" si="1199"/>
        <v>-2.4548143384090357</v>
      </c>
      <c r="DR60" s="3123">
        <f t="shared" si="1199"/>
        <v>0</v>
      </c>
      <c r="DS60" s="3123">
        <f t="shared" si="1199"/>
        <v>0</v>
      </c>
      <c r="DT60" s="3123">
        <f t="shared" si="1199"/>
        <v>0</v>
      </c>
      <c r="DU60" s="3123">
        <f t="shared" si="1199"/>
        <v>0</v>
      </c>
      <c r="DV60" s="3123">
        <f t="shared" si="1199"/>
        <v>0</v>
      </c>
      <c r="DW60" s="3123">
        <f t="shared" si="1199"/>
        <v>0</v>
      </c>
      <c r="DX60" s="3115">
        <f t="shared" si="469"/>
        <v>2.4548143384090357</v>
      </c>
      <c r="DY60" s="3115">
        <f t="shared" si="1035"/>
        <v>0</v>
      </c>
      <c r="DZ60" s="3115">
        <f t="shared" si="1036"/>
        <v>2.4548143384090357</v>
      </c>
      <c r="EA60" s="3126">
        <f t="shared" ref="EA60:EI64" si="1200">SUM(CB60+DO60)</f>
        <v>-7.3644430152271072</v>
      </c>
      <c r="EB60" s="3126">
        <f t="shared" si="1200"/>
        <v>0</v>
      </c>
      <c r="EC60" s="3126">
        <f t="shared" si="1200"/>
        <v>-7.3644430152271072</v>
      </c>
      <c r="ED60" s="3123">
        <f t="shared" si="1200"/>
        <v>0</v>
      </c>
      <c r="EE60" s="3123">
        <f t="shared" si="1200"/>
        <v>0</v>
      </c>
      <c r="EF60" s="3123">
        <f t="shared" si="1200"/>
        <v>0</v>
      </c>
      <c r="EG60" s="3126">
        <f t="shared" si="1200"/>
        <v>0</v>
      </c>
      <c r="EH60" s="3126">
        <f t="shared" si="1200"/>
        <v>0</v>
      </c>
      <c r="EI60" s="3126">
        <f t="shared" si="1200"/>
        <v>0</v>
      </c>
      <c r="EJ60" s="3115">
        <f t="shared" si="481"/>
        <v>7.3644430152271072</v>
      </c>
      <c r="EK60" s="3115">
        <f t="shared" si="1046"/>
        <v>0</v>
      </c>
      <c r="EL60" s="3115">
        <f t="shared" si="1047"/>
        <v>7.3644430152271072</v>
      </c>
      <c r="EM60" s="3156">
        <f t="shared" ref="EM60:EM61" si="1201">SUM(EN60:EO60)</f>
        <v>-0.81827144613634528</v>
      </c>
      <c r="EN60" s="3156">
        <f>SUM(DG60)</f>
        <v>0</v>
      </c>
      <c r="EO60" s="3156">
        <f>SUM(DH60)</f>
        <v>-0.81827144613634528</v>
      </c>
      <c r="EP60" s="3156">
        <f t="shared" ref="EP60:EP61" si="1202">SUM(EQ60:ER60)</f>
        <v>0</v>
      </c>
      <c r="EQ60" s="3156">
        <v>0</v>
      </c>
      <c r="ER60" s="3156">
        <v>0</v>
      </c>
      <c r="ES60" s="3156">
        <f t="shared" ref="ES60:ES61" si="1203">SUM(ET60:EU60)</f>
        <v>0</v>
      </c>
      <c r="ET60" s="3156">
        <v>0</v>
      </c>
      <c r="EU60" s="3156">
        <v>0</v>
      </c>
      <c r="EV60" s="3156">
        <f t="shared" ref="EV60:EV61" si="1204">SUM(EW60:EX60)</f>
        <v>-0.81827144613634528</v>
      </c>
      <c r="EW60" s="3156">
        <f>SUM(EN60)</f>
        <v>0</v>
      </c>
      <c r="EX60" s="3156">
        <f>SUM(EO60)</f>
        <v>-0.81827144613634528</v>
      </c>
      <c r="EY60" s="3156">
        <f t="shared" ref="EY60:EY61" si="1205">SUM(EZ60:FA60)</f>
        <v>0</v>
      </c>
      <c r="EZ60" s="3156">
        <v>0</v>
      </c>
      <c r="FA60" s="3156">
        <v>0</v>
      </c>
      <c r="FB60" s="3156">
        <f t="shared" ref="FB60:FB61" si="1206">SUM(FC60:FD60)</f>
        <v>0</v>
      </c>
      <c r="FC60" s="3156">
        <v>0</v>
      </c>
      <c r="FD60" s="3156">
        <v>0</v>
      </c>
      <c r="FE60" s="3156">
        <f t="shared" ref="FE60:FE61" si="1207">SUM(FF60:FG60)</f>
        <v>-0.81827144613634528</v>
      </c>
      <c r="FF60" s="3156">
        <f>SUM(EW60)</f>
        <v>0</v>
      </c>
      <c r="FG60" s="3156">
        <f>SUM(EX60)</f>
        <v>-0.81827144613634528</v>
      </c>
      <c r="FH60" s="3156">
        <f t="shared" ref="FH60:FH61" si="1208">SUM(FI60:FJ60)</f>
        <v>0</v>
      </c>
      <c r="FI60" s="3156">
        <v>0</v>
      </c>
      <c r="FJ60" s="3156">
        <v>0</v>
      </c>
      <c r="FK60" s="3156">
        <f t="shared" ref="FK60:FK61" si="1209">SUM(FL60:FM60)</f>
        <v>0</v>
      </c>
      <c r="FL60" s="3156">
        <v>0</v>
      </c>
      <c r="FM60" s="3156">
        <v>0</v>
      </c>
      <c r="FN60" s="3123">
        <f t="shared" ref="FN60:FV64" si="1210">SUM(EM60+EV60+FE60)</f>
        <v>-2.4548143384090357</v>
      </c>
      <c r="FO60" s="3123">
        <f t="shared" si="1210"/>
        <v>0</v>
      </c>
      <c r="FP60" s="3123">
        <f t="shared" si="1210"/>
        <v>-2.4548143384090357</v>
      </c>
      <c r="FQ60" s="3123">
        <f t="shared" si="1210"/>
        <v>0</v>
      </c>
      <c r="FR60" s="3123">
        <f t="shared" si="1210"/>
        <v>0</v>
      </c>
      <c r="FS60" s="3123">
        <f t="shared" si="1210"/>
        <v>0</v>
      </c>
      <c r="FT60" s="3123">
        <f t="shared" si="1210"/>
        <v>0</v>
      </c>
      <c r="FU60" s="3123">
        <f t="shared" si="1210"/>
        <v>0</v>
      </c>
      <c r="FV60" s="3123">
        <f t="shared" si="1210"/>
        <v>0</v>
      </c>
      <c r="FW60" s="3115">
        <f t="shared" si="493"/>
        <v>2.4548143384090357</v>
      </c>
      <c r="FX60" s="3115">
        <f t="shared" si="1058"/>
        <v>0</v>
      </c>
      <c r="FY60" s="3115">
        <f t="shared" si="1059"/>
        <v>2.4548143384090357</v>
      </c>
      <c r="FZ60" s="3230">
        <f t="shared" ref="FZ60:GH64" si="1211">SUM(EA60+FN60)</f>
        <v>-9.8192573536361429</v>
      </c>
      <c r="GA60" s="3230">
        <f t="shared" si="1211"/>
        <v>0</v>
      </c>
      <c r="GB60" s="3230">
        <f t="shared" si="1211"/>
        <v>-9.8192573536361429</v>
      </c>
      <c r="GC60" s="3230">
        <f t="shared" si="1211"/>
        <v>0</v>
      </c>
      <c r="GD60" s="3230">
        <f t="shared" si="1211"/>
        <v>0</v>
      </c>
      <c r="GE60" s="3230">
        <f t="shared" si="1211"/>
        <v>0</v>
      </c>
      <c r="GF60" s="3230">
        <f t="shared" si="1211"/>
        <v>0</v>
      </c>
      <c r="GG60" s="3230">
        <f t="shared" si="1211"/>
        <v>0</v>
      </c>
      <c r="GH60" s="3230">
        <f t="shared" si="1211"/>
        <v>0</v>
      </c>
      <c r="GI60" s="3231">
        <f t="shared" si="505"/>
        <v>9.8192573536361429</v>
      </c>
      <c r="GJ60" s="3231">
        <f t="shared" si="1069"/>
        <v>0</v>
      </c>
      <c r="GK60" s="3231">
        <f t="shared" si="1070"/>
        <v>9.8192573536361429</v>
      </c>
    </row>
    <row r="61" spans="1:193" ht="18.75" customHeight="1" x14ac:dyDescent="0.3">
      <c r="A61" s="3079" t="s">
        <v>320</v>
      </c>
      <c r="B61" s="3145">
        <f t="shared" si="1168"/>
        <v>-297.41750000000002</v>
      </c>
      <c r="C61" s="3145">
        <f>SUM('стоки 2018'!Y33)/12</f>
        <v>-297.41750000000002</v>
      </c>
      <c r="D61" s="3145">
        <v>0</v>
      </c>
      <c r="E61" s="3145">
        <f t="shared" si="1169"/>
        <v>0</v>
      </c>
      <c r="F61" s="3145">
        <v>0</v>
      </c>
      <c r="G61" s="3145">
        <v>0</v>
      </c>
      <c r="H61" s="3145">
        <f t="shared" si="1170"/>
        <v>0</v>
      </c>
      <c r="I61" s="3145">
        <v>0</v>
      </c>
      <c r="J61" s="3145">
        <v>0</v>
      </c>
      <c r="K61" s="3145">
        <f t="shared" si="1171"/>
        <v>-297.41750000000002</v>
      </c>
      <c r="L61" s="3145">
        <f>SUM(C61)</f>
        <v>-297.41750000000002</v>
      </c>
      <c r="M61" s="3145">
        <f>SUM(D61)</f>
        <v>0</v>
      </c>
      <c r="N61" s="3145">
        <f t="shared" si="1172"/>
        <v>0</v>
      </c>
      <c r="O61" s="3145">
        <v>0</v>
      </c>
      <c r="P61" s="3145">
        <v>0</v>
      </c>
      <c r="Q61" s="3145">
        <f t="shared" si="1173"/>
        <v>0</v>
      </c>
      <c r="R61" s="3145">
        <v>0</v>
      </c>
      <c r="S61" s="3145">
        <v>0</v>
      </c>
      <c r="T61" s="3145">
        <f t="shared" si="1174"/>
        <v>-297.41750000000002</v>
      </c>
      <c r="U61" s="3145">
        <f>SUM(L61)</f>
        <v>-297.41750000000002</v>
      </c>
      <c r="V61" s="3145">
        <f>SUM(M61)</f>
        <v>0</v>
      </c>
      <c r="W61" s="3145">
        <f t="shared" si="1175"/>
        <v>0</v>
      </c>
      <c r="X61" s="3145">
        <v>0</v>
      </c>
      <c r="Y61" s="3145">
        <v>0</v>
      </c>
      <c r="Z61" s="3145">
        <f t="shared" si="1176"/>
        <v>0</v>
      </c>
      <c r="AA61" s="3145">
        <v>0</v>
      </c>
      <c r="AB61" s="3145">
        <v>0</v>
      </c>
      <c r="AC61" s="3126">
        <f>SUM(B61+K61+T61)</f>
        <v>-892.25250000000005</v>
      </c>
      <c r="AD61" s="3126">
        <f t="shared" si="1177"/>
        <v>-892.25250000000005</v>
      </c>
      <c r="AE61" s="3126">
        <f t="shared" si="1177"/>
        <v>0</v>
      </c>
      <c r="AF61" s="3126">
        <f>SUM(E61+N61+W61)</f>
        <v>0</v>
      </c>
      <c r="AG61" s="3126">
        <f t="shared" si="1178"/>
        <v>0</v>
      </c>
      <c r="AH61" s="3126">
        <f t="shared" si="1178"/>
        <v>0</v>
      </c>
      <c r="AI61" s="3126">
        <f t="shared" si="1178"/>
        <v>0</v>
      </c>
      <c r="AJ61" s="3126">
        <f t="shared" si="1178"/>
        <v>0</v>
      </c>
      <c r="AK61" s="3126">
        <f t="shared" si="1178"/>
        <v>0</v>
      </c>
      <c r="AL61" s="3121">
        <f t="shared" si="433"/>
        <v>892.25250000000005</v>
      </c>
      <c r="AM61" s="3121">
        <f t="shared" si="1000"/>
        <v>892.25250000000005</v>
      </c>
      <c r="AN61" s="3121">
        <f t="shared" si="1001"/>
        <v>0</v>
      </c>
      <c r="AO61" s="3145">
        <f t="shared" ref="AO61" si="1212">SUM(AP61:AQ61)</f>
        <v>-297.41750000000002</v>
      </c>
      <c r="AP61" s="3145">
        <f>SUM(U61)</f>
        <v>-297.41750000000002</v>
      </c>
      <c r="AQ61" s="3145">
        <f>SUM(V61)</f>
        <v>0</v>
      </c>
      <c r="AR61" s="3145">
        <f t="shared" si="1180"/>
        <v>0</v>
      </c>
      <c r="AS61" s="3145">
        <v>0</v>
      </c>
      <c r="AT61" s="3145">
        <v>0</v>
      </c>
      <c r="AU61" s="3145">
        <f t="shared" si="1181"/>
        <v>0</v>
      </c>
      <c r="AV61" s="3145">
        <v>0</v>
      </c>
      <c r="AW61" s="3145">
        <v>0</v>
      </c>
      <c r="AX61" s="3145">
        <f t="shared" si="1182"/>
        <v>-297.41750000000002</v>
      </c>
      <c r="AY61" s="3145">
        <f>SUM(AP61)</f>
        <v>-297.41750000000002</v>
      </c>
      <c r="AZ61" s="3145">
        <f>SUM(AQ61)</f>
        <v>0</v>
      </c>
      <c r="BA61" s="3145">
        <f t="shared" si="1183"/>
        <v>0</v>
      </c>
      <c r="BB61" s="3145">
        <v>0</v>
      </c>
      <c r="BC61" s="3145">
        <v>0</v>
      </c>
      <c r="BD61" s="3145">
        <f t="shared" si="1184"/>
        <v>0</v>
      </c>
      <c r="BE61" s="3145">
        <v>0</v>
      </c>
      <c r="BF61" s="3145">
        <v>0</v>
      </c>
      <c r="BG61" s="3145">
        <f t="shared" si="1185"/>
        <v>-297.41750000000002</v>
      </c>
      <c r="BH61" s="3145">
        <f>SUM(AY61)</f>
        <v>-297.41750000000002</v>
      </c>
      <c r="BI61" s="3145">
        <f>SUM(AZ61)</f>
        <v>0</v>
      </c>
      <c r="BJ61" s="3145">
        <f t="shared" si="1186"/>
        <v>0</v>
      </c>
      <c r="BK61" s="3145">
        <v>0</v>
      </c>
      <c r="BL61" s="3145">
        <v>0</v>
      </c>
      <c r="BM61" s="3145">
        <f t="shared" si="1187"/>
        <v>0</v>
      </c>
      <c r="BN61" s="3145">
        <v>0</v>
      </c>
      <c r="BO61" s="3145">
        <v>0</v>
      </c>
      <c r="BP61" s="3126">
        <f t="shared" si="1188"/>
        <v>-892.25250000000005</v>
      </c>
      <c r="BQ61" s="3126">
        <f t="shared" si="1188"/>
        <v>-892.25250000000005</v>
      </c>
      <c r="BR61" s="3126">
        <f t="shared" si="1188"/>
        <v>0</v>
      </c>
      <c r="BS61" s="3126">
        <f t="shared" si="1188"/>
        <v>0</v>
      </c>
      <c r="BT61" s="3126">
        <f t="shared" si="1188"/>
        <v>0</v>
      </c>
      <c r="BU61" s="3126">
        <f t="shared" si="1188"/>
        <v>0</v>
      </c>
      <c r="BV61" s="3126">
        <f t="shared" si="1188"/>
        <v>0</v>
      </c>
      <c r="BW61" s="3126">
        <f t="shared" si="1188"/>
        <v>0</v>
      </c>
      <c r="BX61" s="3126">
        <f t="shared" si="1188"/>
        <v>0</v>
      </c>
      <c r="BY61" s="3121">
        <f t="shared" si="445"/>
        <v>892.25250000000005</v>
      </c>
      <c r="BZ61" s="3121">
        <f t="shared" si="1012"/>
        <v>892.25250000000005</v>
      </c>
      <c r="CA61" s="3121">
        <f t="shared" si="1013"/>
        <v>0</v>
      </c>
      <c r="CB61" s="3126">
        <f t="shared" si="1189"/>
        <v>-1784.5050000000001</v>
      </c>
      <c r="CC61" s="3126">
        <f t="shared" si="1189"/>
        <v>-1784.5050000000001</v>
      </c>
      <c r="CD61" s="3126">
        <f t="shared" si="1189"/>
        <v>0</v>
      </c>
      <c r="CE61" s="3126">
        <f t="shared" si="1189"/>
        <v>0</v>
      </c>
      <c r="CF61" s="3126">
        <f t="shared" si="1189"/>
        <v>0</v>
      </c>
      <c r="CG61" s="3126">
        <f t="shared" si="1189"/>
        <v>0</v>
      </c>
      <c r="CH61" s="3126">
        <f t="shared" si="1189"/>
        <v>0</v>
      </c>
      <c r="CI61" s="3126">
        <f t="shared" si="1189"/>
        <v>0</v>
      </c>
      <c r="CJ61" s="3126">
        <f t="shared" si="1189"/>
        <v>0</v>
      </c>
      <c r="CK61" s="3121">
        <f t="shared" si="457"/>
        <v>1784.5050000000001</v>
      </c>
      <c r="CL61" s="3121">
        <f t="shared" si="1023"/>
        <v>1784.5050000000001</v>
      </c>
      <c r="CM61" s="3121">
        <f t="shared" si="1024"/>
        <v>0</v>
      </c>
      <c r="CN61" s="3145">
        <f t="shared" si="1190"/>
        <v>-297.41750000000002</v>
      </c>
      <c r="CO61" s="3145">
        <f t="shared" ref="CO61:CP61" si="1213">SUM(BH61)</f>
        <v>-297.41750000000002</v>
      </c>
      <c r="CP61" s="3145">
        <f t="shared" si="1213"/>
        <v>0</v>
      </c>
      <c r="CQ61" s="3145">
        <f t="shared" si="1191"/>
        <v>0</v>
      </c>
      <c r="CR61" s="3145">
        <v>0</v>
      </c>
      <c r="CS61" s="3145">
        <v>0</v>
      </c>
      <c r="CT61" s="3145">
        <f t="shared" si="1192"/>
        <v>0</v>
      </c>
      <c r="CU61" s="3145">
        <v>0</v>
      </c>
      <c r="CV61" s="3145">
        <v>0</v>
      </c>
      <c r="CW61" s="3145">
        <f t="shared" si="1193"/>
        <v>-297.41750000000002</v>
      </c>
      <c r="CX61" s="3145">
        <f>SUM(CO61)</f>
        <v>-297.41750000000002</v>
      </c>
      <c r="CY61" s="3145">
        <f>SUM(CP61)</f>
        <v>0</v>
      </c>
      <c r="CZ61" s="3145">
        <f t="shared" si="1194"/>
        <v>0</v>
      </c>
      <c r="DA61" s="3145">
        <v>0</v>
      </c>
      <c r="DB61" s="3145">
        <v>0</v>
      </c>
      <c r="DC61" s="3145">
        <f t="shared" si="1195"/>
        <v>0</v>
      </c>
      <c r="DD61" s="3145">
        <v>0</v>
      </c>
      <c r="DE61" s="3145">
        <v>0</v>
      </c>
      <c r="DF61" s="3145">
        <f t="shared" si="1196"/>
        <v>-297.41750000000002</v>
      </c>
      <c r="DG61" s="3145">
        <f>SUM(CX61)</f>
        <v>-297.41750000000002</v>
      </c>
      <c r="DH61" s="3145">
        <f>SUM(CY61)</f>
        <v>0</v>
      </c>
      <c r="DI61" s="3145">
        <f t="shared" si="1197"/>
        <v>0</v>
      </c>
      <c r="DJ61" s="3145">
        <v>0</v>
      </c>
      <c r="DK61" s="3145">
        <v>0</v>
      </c>
      <c r="DL61" s="3145">
        <f t="shared" si="1198"/>
        <v>0</v>
      </c>
      <c r="DM61" s="3145">
        <v>0</v>
      </c>
      <c r="DN61" s="3145">
        <v>0</v>
      </c>
      <c r="DO61" s="3126">
        <f t="shared" si="1199"/>
        <v>-892.25250000000005</v>
      </c>
      <c r="DP61" s="3126">
        <f t="shared" si="1199"/>
        <v>-892.25250000000005</v>
      </c>
      <c r="DQ61" s="3126">
        <f t="shared" si="1199"/>
        <v>0</v>
      </c>
      <c r="DR61" s="3126">
        <f t="shared" si="1199"/>
        <v>0</v>
      </c>
      <c r="DS61" s="3126">
        <f t="shared" si="1199"/>
        <v>0</v>
      </c>
      <c r="DT61" s="3126">
        <f t="shared" si="1199"/>
        <v>0</v>
      </c>
      <c r="DU61" s="3126">
        <f t="shared" si="1199"/>
        <v>0</v>
      </c>
      <c r="DV61" s="3126">
        <f t="shared" si="1199"/>
        <v>0</v>
      </c>
      <c r="DW61" s="3126">
        <f t="shared" si="1199"/>
        <v>0</v>
      </c>
      <c r="DX61" s="3121">
        <f t="shared" si="469"/>
        <v>892.25250000000005</v>
      </c>
      <c r="DY61" s="3121">
        <f t="shared" si="1035"/>
        <v>892.25250000000005</v>
      </c>
      <c r="DZ61" s="3121">
        <f t="shared" si="1036"/>
        <v>0</v>
      </c>
      <c r="EA61" s="3126">
        <f t="shared" si="1200"/>
        <v>-2676.7575000000002</v>
      </c>
      <c r="EB61" s="3126">
        <f t="shared" si="1200"/>
        <v>-2676.7575000000002</v>
      </c>
      <c r="EC61" s="3126">
        <f t="shared" si="1200"/>
        <v>0</v>
      </c>
      <c r="ED61" s="3126">
        <f t="shared" si="1200"/>
        <v>0</v>
      </c>
      <c r="EE61" s="3126">
        <f t="shared" si="1200"/>
        <v>0</v>
      </c>
      <c r="EF61" s="3126">
        <f t="shared" si="1200"/>
        <v>0</v>
      </c>
      <c r="EG61" s="3126">
        <f t="shared" si="1200"/>
        <v>0</v>
      </c>
      <c r="EH61" s="3126">
        <f t="shared" si="1200"/>
        <v>0</v>
      </c>
      <c r="EI61" s="3126">
        <f t="shared" si="1200"/>
        <v>0</v>
      </c>
      <c r="EJ61" s="3121">
        <f t="shared" si="481"/>
        <v>2676.7575000000002</v>
      </c>
      <c r="EK61" s="3121">
        <f t="shared" si="1046"/>
        <v>2676.7575000000002</v>
      </c>
      <c r="EL61" s="3121">
        <f t="shared" si="1047"/>
        <v>0</v>
      </c>
      <c r="EM61" s="3145">
        <f t="shared" si="1201"/>
        <v>-297.41750000000002</v>
      </c>
      <c r="EN61" s="3145">
        <f>SUM(DG61)</f>
        <v>-297.41750000000002</v>
      </c>
      <c r="EO61" s="3145">
        <f>SUM(DH61)</f>
        <v>0</v>
      </c>
      <c r="EP61" s="3145">
        <f t="shared" si="1202"/>
        <v>0</v>
      </c>
      <c r="EQ61" s="3145">
        <v>0</v>
      </c>
      <c r="ER61" s="3145">
        <v>0</v>
      </c>
      <c r="ES61" s="3145">
        <f t="shared" si="1203"/>
        <v>0</v>
      </c>
      <c r="ET61" s="3145">
        <v>0</v>
      </c>
      <c r="EU61" s="3145">
        <v>0</v>
      </c>
      <c r="EV61" s="3145">
        <f t="shared" si="1204"/>
        <v>-297.41750000000002</v>
      </c>
      <c r="EW61" s="3145">
        <f>SUM(EN61)</f>
        <v>-297.41750000000002</v>
      </c>
      <c r="EX61" s="3145">
        <f>SUM(EO61)</f>
        <v>0</v>
      </c>
      <c r="EY61" s="3145">
        <f t="shared" si="1205"/>
        <v>0</v>
      </c>
      <c r="EZ61" s="3145">
        <v>0</v>
      </c>
      <c r="FA61" s="3145">
        <v>0</v>
      </c>
      <c r="FB61" s="3145">
        <f t="shared" si="1206"/>
        <v>0</v>
      </c>
      <c r="FC61" s="3145">
        <v>0</v>
      </c>
      <c r="FD61" s="3145">
        <v>0</v>
      </c>
      <c r="FE61" s="3145">
        <f t="shared" si="1207"/>
        <v>-297.41750000000002</v>
      </c>
      <c r="FF61" s="3145">
        <f>SUM(EW61)</f>
        <v>-297.41750000000002</v>
      </c>
      <c r="FG61" s="3145">
        <f>SUM(EX61)</f>
        <v>0</v>
      </c>
      <c r="FH61" s="3145">
        <f t="shared" si="1208"/>
        <v>0</v>
      </c>
      <c r="FI61" s="3145">
        <v>0</v>
      </c>
      <c r="FJ61" s="3145">
        <v>0</v>
      </c>
      <c r="FK61" s="3145">
        <f t="shared" si="1209"/>
        <v>0</v>
      </c>
      <c r="FL61" s="3145">
        <v>0</v>
      </c>
      <c r="FM61" s="3145">
        <v>0</v>
      </c>
      <c r="FN61" s="3126">
        <f t="shared" si="1210"/>
        <v>-892.25250000000005</v>
      </c>
      <c r="FO61" s="3126">
        <f t="shared" si="1210"/>
        <v>-892.25250000000005</v>
      </c>
      <c r="FP61" s="3126">
        <f t="shared" si="1210"/>
        <v>0</v>
      </c>
      <c r="FQ61" s="3126">
        <f t="shared" si="1210"/>
        <v>0</v>
      </c>
      <c r="FR61" s="3126">
        <f t="shared" si="1210"/>
        <v>0</v>
      </c>
      <c r="FS61" s="3126">
        <f t="shared" si="1210"/>
        <v>0</v>
      </c>
      <c r="FT61" s="3126">
        <f t="shared" si="1210"/>
        <v>0</v>
      </c>
      <c r="FU61" s="3126">
        <f t="shared" si="1210"/>
        <v>0</v>
      </c>
      <c r="FV61" s="3126">
        <f t="shared" si="1210"/>
        <v>0</v>
      </c>
      <c r="FW61" s="3121">
        <f t="shared" si="493"/>
        <v>892.25250000000005</v>
      </c>
      <c r="FX61" s="3121">
        <f t="shared" si="1058"/>
        <v>892.25250000000005</v>
      </c>
      <c r="FY61" s="3121">
        <f t="shared" si="1059"/>
        <v>0</v>
      </c>
      <c r="FZ61" s="3232">
        <f t="shared" si="1211"/>
        <v>-3569.01</v>
      </c>
      <c r="GA61" s="3232">
        <f t="shared" si="1211"/>
        <v>-3569.01</v>
      </c>
      <c r="GB61" s="3232">
        <f t="shared" si="1211"/>
        <v>0</v>
      </c>
      <c r="GC61" s="3232">
        <f t="shared" si="1211"/>
        <v>0</v>
      </c>
      <c r="GD61" s="3232">
        <f t="shared" si="1211"/>
        <v>0</v>
      </c>
      <c r="GE61" s="3232">
        <f t="shared" si="1211"/>
        <v>0</v>
      </c>
      <c r="GF61" s="3232">
        <f t="shared" si="1211"/>
        <v>0</v>
      </c>
      <c r="GG61" s="3232">
        <f t="shared" si="1211"/>
        <v>0</v>
      </c>
      <c r="GH61" s="3232">
        <f t="shared" si="1211"/>
        <v>0</v>
      </c>
      <c r="GI61" s="3233">
        <f t="shared" si="505"/>
        <v>3569.01</v>
      </c>
      <c r="GJ61" s="3233">
        <f t="shared" si="1069"/>
        <v>3569.01</v>
      </c>
      <c r="GK61" s="3233">
        <f t="shared" si="1070"/>
        <v>0</v>
      </c>
    </row>
    <row r="62" spans="1:193" ht="18.75" customHeight="1" x14ac:dyDescent="0.3">
      <c r="A62" s="3158" t="s">
        <v>3649</v>
      </c>
      <c r="B62" s="3156">
        <f>SUM(C62:D62)</f>
        <v>8021.918129154772</v>
      </c>
      <c r="C62" s="3156">
        <f t="shared" ref="C62:D62" si="1214">SUM(C57+C60)</f>
        <v>8000.8191347896172</v>
      </c>
      <c r="D62" s="3156">
        <f t="shared" si="1214"/>
        <v>21.098994365155001</v>
      </c>
      <c r="E62" s="3156">
        <f>SUM(F62:G62)</f>
        <v>6362.152</v>
      </c>
      <c r="F62" s="3156">
        <f t="shared" ref="F62:G62" si="1215">SUM(F57+F60)</f>
        <v>6348.83</v>
      </c>
      <c r="G62" s="3156">
        <f t="shared" si="1215"/>
        <v>13.321999999999999</v>
      </c>
      <c r="H62" s="3156">
        <f>SUM(I62:J62)</f>
        <v>6173.19</v>
      </c>
      <c r="I62" s="3156">
        <f t="shared" ref="I62:J62" si="1216">SUM(I57+I60)</f>
        <v>6169.8110320380511</v>
      </c>
      <c r="J62" s="3156">
        <f t="shared" si="1216"/>
        <v>3.3789679619487818</v>
      </c>
      <c r="K62" s="3156">
        <f>SUM(L62:M62)</f>
        <v>8021.918129154772</v>
      </c>
      <c r="L62" s="3156">
        <f t="shared" ref="L62:M62" si="1217">SUM(L57+L60)</f>
        <v>8000.8191347896172</v>
      </c>
      <c r="M62" s="3156">
        <f t="shared" si="1217"/>
        <v>21.098994365155001</v>
      </c>
      <c r="N62" s="3156">
        <f>SUM(O62:P62)</f>
        <v>6022.0870000000004</v>
      </c>
      <c r="O62" s="3156">
        <f t="shared" ref="O62:P62" si="1218">SUM(O57+O60)</f>
        <v>6009.5800000000008</v>
      </c>
      <c r="P62" s="3156">
        <f t="shared" si="1218"/>
        <v>12.506999999999998</v>
      </c>
      <c r="Q62" s="3156">
        <f>SUM(R62:S62)</f>
        <v>5859.8200000000015</v>
      </c>
      <c r="R62" s="3156">
        <f t="shared" ref="R62:S62" si="1219">SUM(R57+R60)</f>
        <v>5857.2200121466303</v>
      </c>
      <c r="S62" s="3156">
        <f t="shared" si="1219"/>
        <v>2.5999878533713443</v>
      </c>
      <c r="T62" s="3156">
        <f>SUM(U62:V62)</f>
        <v>8021.918129154772</v>
      </c>
      <c r="U62" s="3156">
        <f t="shared" ref="U62:V62" si="1220">SUM(U57+U60)</f>
        <v>8000.8191347896172</v>
      </c>
      <c r="V62" s="3156">
        <f t="shared" si="1220"/>
        <v>21.098994365155001</v>
      </c>
      <c r="W62" s="3156">
        <f>SUM(X62:Y62)</f>
        <v>6881.2010000000009</v>
      </c>
      <c r="X62" s="3156">
        <f t="shared" ref="X62:Y62" si="1221">SUM(X57+X60)</f>
        <v>6869.130000000001</v>
      </c>
      <c r="Y62" s="3156">
        <f t="shared" si="1221"/>
        <v>12.071</v>
      </c>
      <c r="Z62" s="3156">
        <f>SUM(AA62:AB62)</f>
        <v>7631</v>
      </c>
      <c r="AA62" s="3156">
        <f t="shared" ref="AA62:AB62" si="1222">SUM(AA57+AA60)</f>
        <v>7564.5150837473475</v>
      </c>
      <c r="AB62" s="3156">
        <f t="shared" si="1222"/>
        <v>66.484916252652695</v>
      </c>
      <c r="AC62" s="3129">
        <f>SUM(B62+K62+T62)</f>
        <v>24065.754387464316</v>
      </c>
      <c r="AD62" s="3129">
        <f t="shared" si="1177"/>
        <v>24002.457404368852</v>
      </c>
      <c r="AE62" s="3129">
        <f t="shared" si="1177"/>
        <v>63.296983095465002</v>
      </c>
      <c r="AF62" s="3129">
        <f t="shared" ref="AF62:AF64" si="1223">SUM(E62+N62+W62)</f>
        <v>19265.440000000002</v>
      </c>
      <c r="AG62" s="3129">
        <f t="shared" si="1178"/>
        <v>19227.54</v>
      </c>
      <c r="AH62" s="3129">
        <f t="shared" si="1178"/>
        <v>37.9</v>
      </c>
      <c r="AI62" s="3129">
        <f t="shared" si="1178"/>
        <v>19664.010000000002</v>
      </c>
      <c r="AJ62" s="3129">
        <f t="shared" si="1178"/>
        <v>19591.54612793203</v>
      </c>
      <c r="AK62" s="3129">
        <f t="shared" si="1178"/>
        <v>72.463872067972815</v>
      </c>
      <c r="AL62" s="3110">
        <f t="shared" si="433"/>
        <v>-4800.3143874643138</v>
      </c>
      <c r="AM62" s="3110">
        <f t="shared" si="1000"/>
        <v>-4774.9174043688508</v>
      </c>
      <c r="AN62" s="3110">
        <f t="shared" si="1001"/>
        <v>-25.396983095465004</v>
      </c>
      <c r="AO62" s="3156">
        <f>SUM(AP62:AQ62)</f>
        <v>8021.918129154772</v>
      </c>
      <c r="AP62" s="3156">
        <f t="shared" ref="AP62:AQ62" si="1224">SUM(AP57+AP60)</f>
        <v>8000.8191347896172</v>
      </c>
      <c r="AQ62" s="3156">
        <f t="shared" si="1224"/>
        <v>21.098994365155001</v>
      </c>
      <c r="AR62" s="3156">
        <f>SUM(AS62:AT62)</f>
        <v>7088.7399999999989</v>
      </c>
      <c r="AS62" s="3156">
        <f t="shared" ref="AS62:AT62" si="1225">SUM(AS57+AS60)</f>
        <v>7076.1699999999992</v>
      </c>
      <c r="AT62" s="3156">
        <f t="shared" si="1225"/>
        <v>12.57</v>
      </c>
      <c r="AU62" s="3156">
        <f>SUM(AV62:AW62)</f>
        <v>6737.2000000000016</v>
      </c>
      <c r="AV62" s="3156">
        <f t="shared" ref="AV62:AW62" si="1226">SUM(AV57+AV60)</f>
        <v>6733.262734927006</v>
      </c>
      <c r="AW62" s="3156">
        <f t="shared" si="1226"/>
        <v>3.9372650729952667</v>
      </c>
      <c r="AX62" s="3156">
        <f>SUM(AY62:AZ62)</f>
        <v>8021.918129154772</v>
      </c>
      <c r="AY62" s="3156">
        <f t="shared" ref="AY62:AZ62" si="1227">SUM(AY57+AY60)</f>
        <v>8000.8191347896172</v>
      </c>
      <c r="AZ62" s="3156">
        <f t="shared" si="1227"/>
        <v>21.098994365155001</v>
      </c>
      <c r="BA62" s="3156">
        <f>SUM(BB62:BC62)</f>
        <v>7141.1969999999992</v>
      </c>
      <c r="BB62" s="3156">
        <f t="shared" ref="BB62:BC62" si="1228">SUM(BB57+BB60)</f>
        <v>7126.1839999999993</v>
      </c>
      <c r="BC62" s="3156">
        <f t="shared" si="1228"/>
        <v>15.012999999999998</v>
      </c>
      <c r="BD62" s="3156">
        <f>SUM(BE62:BF62)</f>
        <v>6494.0300000000007</v>
      </c>
      <c r="BE62" s="3156">
        <f t="shared" ref="BE62:BF62" si="1229">SUM(BE57+BE60)</f>
        <v>6484.997254917128</v>
      </c>
      <c r="BF62" s="3156">
        <f t="shared" si="1229"/>
        <v>9.0327450828723173</v>
      </c>
      <c r="BG62" s="3156">
        <f>SUM(BH62:BI62)</f>
        <v>8021.918129154772</v>
      </c>
      <c r="BH62" s="3156">
        <f t="shared" ref="BH62:BI62" si="1230">SUM(BH57+BH60)</f>
        <v>8000.8191347896172</v>
      </c>
      <c r="BI62" s="3156">
        <f t="shared" si="1230"/>
        <v>21.098994365155001</v>
      </c>
      <c r="BJ62" s="3156">
        <f>SUM(BK62:BL62)</f>
        <v>6860.5530000000008</v>
      </c>
      <c r="BK62" s="3156">
        <f t="shared" ref="BK62:BL62" si="1231">SUM(BK57+BK60)</f>
        <v>6827.6180000000004</v>
      </c>
      <c r="BL62" s="3156">
        <f t="shared" si="1231"/>
        <v>32.935000000000002</v>
      </c>
      <c r="BM62" s="3156">
        <f>SUM(BN62:BO62)</f>
        <v>7100.3099999999986</v>
      </c>
      <c r="BN62" s="3156">
        <f t="shared" ref="BN62:BO62" si="1232">SUM(BN57+BN60)</f>
        <v>7042.8275600430507</v>
      </c>
      <c r="BO62" s="3156">
        <f t="shared" si="1232"/>
        <v>57.482439956948326</v>
      </c>
      <c r="BP62" s="3129">
        <f t="shared" si="1188"/>
        <v>24065.754387464316</v>
      </c>
      <c r="BQ62" s="3129">
        <f t="shared" si="1188"/>
        <v>24002.457404368852</v>
      </c>
      <c r="BR62" s="3129">
        <f t="shared" si="1188"/>
        <v>63.296983095465002</v>
      </c>
      <c r="BS62" s="3129">
        <f t="shared" si="1188"/>
        <v>21090.489999999998</v>
      </c>
      <c r="BT62" s="3129">
        <f t="shared" si="1188"/>
        <v>21029.972000000002</v>
      </c>
      <c r="BU62" s="3129">
        <f t="shared" si="1188"/>
        <v>60.518000000000001</v>
      </c>
      <c r="BV62" s="3129">
        <f t="shared" si="1188"/>
        <v>20331.54</v>
      </c>
      <c r="BW62" s="3129">
        <f t="shared" si="1188"/>
        <v>20261.087549887183</v>
      </c>
      <c r="BX62" s="3129">
        <f t="shared" si="1188"/>
        <v>70.45245011281591</v>
      </c>
      <c r="BY62" s="3110">
        <f t="shared" si="445"/>
        <v>-2975.2643874643181</v>
      </c>
      <c r="BZ62" s="3110">
        <f t="shared" si="1012"/>
        <v>-2972.4854043688501</v>
      </c>
      <c r="CA62" s="3110">
        <f t="shared" si="1013"/>
        <v>-2.7789830954650014</v>
      </c>
      <c r="CB62" s="3129">
        <f t="shared" si="1189"/>
        <v>48131.508774928632</v>
      </c>
      <c r="CC62" s="3129">
        <f t="shared" si="1189"/>
        <v>48004.914808737703</v>
      </c>
      <c r="CD62" s="3129">
        <f t="shared" si="1189"/>
        <v>126.59396619093</v>
      </c>
      <c r="CE62" s="3129">
        <f t="shared" si="1189"/>
        <v>40355.93</v>
      </c>
      <c r="CF62" s="3129">
        <f t="shared" si="1189"/>
        <v>40257.512000000002</v>
      </c>
      <c r="CG62" s="3129">
        <f t="shared" si="1189"/>
        <v>98.418000000000006</v>
      </c>
      <c r="CH62" s="3129">
        <f t="shared" si="1189"/>
        <v>39995.550000000003</v>
      </c>
      <c r="CI62" s="3129">
        <f t="shared" si="1189"/>
        <v>39852.633677819213</v>
      </c>
      <c r="CJ62" s="3129">
        <f t="shared" si="1189"/>
        <v>142.91632218078871</v>
      </c>
      <c r="CK62" s="3110">
        <f t="shared" si="457"/>
        <v>-7775.5787749286319</v>
      </c>
      <c r="CL62" s="3110">
        <f t="shared" si="1023"/>
        <v>-7747.402808737701</v>
      </c>
      <c r="CM62" s="3110">
        <f t="shared" si="1024"/>
        <v>-28.175966190929998</v>
      </c>
      <c r="CN62" s="3156">
        <f>SUM(CO62:CP62)</f>
        <v>8064.5384884074738</v>
      </c>
      <c r="CO62" s="3156">
        <f t="shared" ref="CO62:CP62" si="1233">SUM(CO57+CO60)</f>
        <v>8043.2379862600101</v>
      </c>
      <c r="CP62" s="3156">
        <f t="shared" si="1233"/>
        <v>21.300502147463419</v>
      </c>
      <c r="CQ62" s="3156">
        <f>SUM(CR62:CS62)</f>
        <v>6476.1950000000006</v>
      </c>
      <c r="CR62" s="3156">
        <f t="shared" ref="CR62:CS62" si="1234">SUM(CR57+CR60)</f>
        <v>6473.56</v>
      </c>
      <c r="CS62" s="3156">
        <f t="shared" si="1234"/>
        <v>2.6349999999999998</v>
      </c>
      <c r="CT62" s="3156">
        <f>SUM(CU62:CV62)</f>
        <v>7081.82</v>
      </c>
      <c r="CU62" s="3156">
        <f t="shared" ref="CU62:CV62" si="1235">SUM(CU57+CU60)</f>
        <v>7075.9646756281236</v>
      </c>
      <c r="CV62" s="3156">
        <f t="shared" si="1235"/>
        <v>5.8553243718765327</v>
      </c>
      <c r="CW62" s="3156">
        <f>SUM(CX62:CY62)</f>
        <v>8064.5384884074738</v>
      </c>
      <c r="CX62" s="3156">
        <f t="shared" ref="CX62:CY62" si="1236">SUM(CX57+CX60)</f>
        <v>8043.2379862600101</v>
      </c>
      <c r="CY62" s="3156">
        <f t="shared" si="1236"/>
        <v>21.300502147463419</v>
      </c>
      <c r="CZ62" s="3156">
        <f>SUM(DA62:DB62)</f>
        <v>6722.7980000000007</v>
      </c>
      <c r="DA62" s="3156">
        <f t="shared" ref="DA62:DB62" si="1237">SUM(DA57+DA60)</f>
        <v>6709.1100000000006</v>
      </c>
      <c r="DB62" s="3156">
        <f t="shared" si="1237"/>
        <v>13.687999999999999</v>
      </c>
      <c r="DC62" s="3156">
        <f>SUM(DD62:DE62)</f>
        <v>6792.37</v>
      </c>
      <c r="DD62" s="3156">
        <f t="shared" ref="DD62:DE62" si="1238">SUM(DD57+DD60)</f>
        <v>6784.1830673339946</v>
      </c>
      <c r="DE62" s="3156">
        <f t="shared" si="1238"/>
        <v>8.186932666005271</v>
      </c>
      <c r="DF62" s="3156">
        <f>SUM(DG62:DH62)</f>
        <v>8064.5384884074738</v>
      </c>
      <c r="DG62" s="3156">
        <f t="shared" ref="DG62:DH62" si="1239">SUM(DG57+DG60)</f>
        <v>8043.2379862600101</v>
      </c>
      <c r="DH62" s="3156">
        <f t="shared" si="1239"/>
        <v>21.300502147463419</v>
      </c>
      <c r="DI62" s="3156">
        <f>SUM(DJ62:DK62)</f>
        <v>7246.4230000000007</v>
      </c>
      <c r="DJ62" s="3156">
        <f t="shared" ref="DJ62:DK62" si="1240">SUM(DJ57+DJ60)</f>
        <v>7225.8300000000008</v>
      </c>
      <c r="DK62" s="3156">
        <f t="shared" si="1240"/>
        <v>20.593</v>
      </c>
      <c r="DL62" s="3156">
        <f>SUM(DM62:DN62)</f>
        <v>6664.4199999999992</v>
      </c>
      <c r="DM62" s="3156">
        <f t="shared" ref="DM62:DN62" si="1241">SUM(DM57+DM60)</f>
        <v>6607.8057994687952</v>
      </c>
      <c r="DN62" s="3156">
        <f t="shared" si="1241"/>
        <v>56.614200531204446</v>
      </c>
      <c r="DO62" s="3129">
        <f t="shared" si="1199"/>
        <v>24193.615465222421</v>
      </c>
      <c r="DP62" s="3129">
        <f t="shared" si="1199"/>
        <v>24129.71395878003</v>
      </c>
      <c r="DQ62" s="3129">
        <f t="shared" si="1199"/>
        <v>63.901506442390257</v>
      </c>
      <c r="DR62" s="3129">
        <f t="shared" si="1199"/>
        <v>20445.416000000005</v>
      </c>
      <c r="DS62" s="3129">
        <f t="shared" si="1199"/>
        <v>20408.500000000004</v>
      </c>
      <c r="DT62" s="3129">
        <f t="shared" si="1199"/>
        <v>36.915999999999997</v>
      </c>
      <c r="DU62" s="3129">
        <f t="shared" si="1199"/>
        <v>20538.609999999997</v>
      </c>
      <c r="DV62" s="3129">
        <f t="shared" si="1199"/>
        <v>20467.953542430914</v>
      </c>
      <c r="DW62" s="3129">
        <f t="shared" si="1199"/>
        <v>70.656457569086257</v>
      </c>
      <c r="DX62" s="3110">
        <f t="shared" si="469"/>
        <v>-3748.1994652224166</v>
      </c>
      <c r="DY62" s="3110">
        <f t="shared" si="1035"/>
        <v>-3721.2139587800266</v>
      </c>
      <c r="DZ62" s="3110">
        <f t="shared" si="1036"/>
        <v>-26.98550644239026</v>
      </c>
      <c r="EA62" s="3294">
        <f t="shared" si="1200"/>
        <v>72325.124240151054</v>
      </c>
      <c r="EB62" s="3294">
        <f t="shared" si="1200"/>
        <v>72134.62876751773</v>
      </c>
      <c r="EC62" s="3294">
        <f t="shared" si="1200"/>
        <v>190.49547263332028</v>
      </c>
      <c r="ED62" s="3129">
        <f t="shared" si="1200"/>
        <v>60801.346000000005</v>
      </c>
      <c r="EE62" s="3129">
        <f t="shared" si="1200"/>
        <v>60666.012000000002</v>
      </c>
      <c r="EF62" s="3129">
        <f t="shared" si="1200"/>
        <v>135.334</v>
      </c>
      <c r="EG62" s="3294">
        <f t="shared" si="1200"/>
        <v>60534.16</v>
      </c>
      <c r="EH62" s="3294">
        <f t="shared" si="1200"/>
        <v>60320.587220250127</v>
      </c>
      <c r="EI62" s="3294">
        <f t="shared" si="1200"/>
        <v>213.57277974987497</v>
      </c>
      <c r="EJ62" s="3110">
        <f t="shared" si="481"/>
        <v>-11523.778240151049</v>
      </c>
      <c r="EK62" s="3110">
        <f t="shared" si="1046"/>
        <v>-11468.616767517728</v>
      </c>
      <c r="EL62" s="3110">
        <f t="shared" si="1047"/>
        <v>-55.161472633320273</v>
      </c>
      <c r="EM62" s="3156">
        <f>SUM(EN62:EO62)</f>
        <v>8064.5384884074738</v>
      </c>
      <c r="EN62" s="3156">
        <f t="shared" ref="EN62:EO62" si="1242">SUM(EN57+EN60)</f>
        <v>8043.2379862600101</v>
      </c>
      <c r="EO62" s="3156">
        <f t="shared" si="1242"/>
        <v>21.300502147463419</v>
      </c>
      <c r="EP62" s="3156">
        <f>SUM(EQ62:ER62)</f>
        <v>0</v>
      </c>
      <c r="EQ62" s="3156">
        <f t="shared" ref="EQ62:ER62" si="1243">SUM(EQ57+EQ60)</f>
        <v>0</v>
      </c>
      <c r="ER62" s="3156">
        <f t="shared" si="1243"/>
        <v>0</v>
      </c>
      <c r="ES62" s="3156">
        <f>SUM(ET62:EU62)</f>
        <v>6749.04</v>
      </c>
      <c r="ET62" s="3156">
        <f t="shared" ref="ET62:EU62" si="1244">SUM(ET57+ET60)</f>
        <v>6740.5918732825894</v>
      </c>
      <c r="EU62" s="3156">
        <f t="shared" si="1244"/>
        <v>8.4481267174109078</v>
      </c>
      <c r="EV62" s="3156">
        <f>SUM(EW62:EX62)</f>
        <v>8064.5384884074738</v>
      </c>
      <c r="EW62" s="3156">
        <f t="shared" ref="EW62:EX62" si="1245">SUM(EW57+EW60)</f>
        <v>8043.2379862600101</v>
      </c>
      <c r="EX62" s="3156">
        <f t="shared" si="1245"/>
        <v>21.300502147463419</v>
      </c>
      <c r="EY62" s="3156">
        <f>SUM(EZ62:FA62)</f>
        <v>0</v>
      </c>
      <c r="EZ62" s="3156">
        <f t="shared" ref="EZ62:FA62" si="1246">SUM(EZ57+EZ60)</f>
        <v>0</v>
      </c>
      <c r="FA62" s="3156">
        <f t="shared" si="1246"/>
        <v>0</v>
      </c>
      <c r="FB62" s="3156">
        <f>SUM(FC62:FD62)</f>
        <v>6465.6799999999994</v>
      </c>
      <c r="FC62" s="3156">
        <f t="shared" ref="FC62:FD62" si="1247">SUM(FC57+FC60)</f>
        <v>6457.3622085885709</v>
      </c>
      <c r="FD62" s="3156">
        <f t="shared" si="1247"/>
        <v>8.3177914114286473</v>
      </c>
      <c r="FE62" s="3156">
        <f>SUM(FF62:FG62)</f>
        <v>8064.5384884074738</v>
      </c>
      <c r="FF62" s="3156">
        <f t="shared" ref="FF62:FG62" si="1248">SUM(FF57+FF60)</f>
        <v>8043.2379862600101</v>
      </c>
      <c r="FG62" s="3156">
        <f t="shared" si="1248"/>
        <v>21.300502147463419</v>
      </c>
      <c r="FH62" s="3156">
        <f>SUM(FI62:FJ62)</f>
        <v>0</v>
      </c>
      <c r="FI62" s="3156">
        <f t="shared" ref="FI62:FJ62" si="1249">SUM(FI57+FI60)</f>
        <v>0</v>
      </c>
      <c r="FJ62" s="3156">
        <f t="shared" si="1249"/>
        <v>0</v>
      </c>
      <c r="FK62" s="3156">
        <f>SUM(FL62:FM62)</f>
        <v>6605.92</v>
      </c>
      <c r="FL62" s="3156">
        <f t="shared" ref="FL62:FM62" si="1250">SUM(FL57+FL60)</f>
        <v>6543.6242863233219</v>
      </c>
      <c r="FM62" s="3156">
        <f t="shared" si="1250"/>
        <v>62.295713676677963</v>
      </c>
      <c r="FN62" s="3129">
        <f t="shared" si="1210"/>
        <v>24193.615465222421</v>
      </c>
      <c r="FO62" s="3129">
        <f t="shared" si="1210"/>
        <v>24129.71395878003</v>
      </c>
      <c r="FP62" s="3129">
        <f t="shared" si="1210"/>
        <v>63.901506442390257</v>
      </c>
      <c r="FQ62" s="3129">
        <f t="shared" si="1210"/>
        <v>0</v>
      </c>
      <c r="FR62" s="3129">
        <f t="shared" si="1210"/>
        <v>0</v>
      </c>
      <c r="FS62" s="3129">
        <f t="shared" si="1210"/>
        <v>0</v>
      </c>
      <c r="FT62" s="3129">
        <f t="shared" si="1210"/>
        <v>19820.64</v>
      </c>
      <c r="FU62" s="3129">
        <f t="shared" si="1210"/>
        <v>19741.578368194481</v>
      </c>
      <c r="FV62" s="3129">
        <f t="shared" si="1210"/>
        <v>79.061631805517521</v>
      </c>
      <c r="FW62" s="3110">
        <f t="shared" si="493"/>
        <v>-24193.615465222421</v>
      </c>
      <c r="FX62" s="3110">
        <f t="shared" si="1058"/>
        <v>-24129.71395878003</v>
      </c>
      <c r="FY62" s="3110">
        <f t="shared" si="1059"/>
        <v>-63.901506442390257</v>
      </c>
      <c r="FZ62" s="3234">
        <f t="shared" si="1211"/>
        <v>96518.739705373475</v>
      </c>
      <c r="GA62" s="3234">
        <f t="shared" si="1211"/>
        <v>96264.342726297764</v>
      </c>
      <c r="GB62" s="3234">
        <f t="shared" si="1211"/>
        <v>254.39697907571053</v>
      </c>
      <c r="GC62" s="3234">
        <f t="shared" si="1211"/>
        <v>60801.346000000005</v>
      </c>
      <c r="GD62" s="3234">
        <f t="shared" si="1211"/>
        <v>60666.012000000002</v>
      </c>
      <c r="GE62" s="3234">
        <f t="shared" si="1211"/>
        <v>135.334</v>
      </c>
      <c r="GF62" s="3234">
        <f t="shared" si="1211"/>
        <v>80354.8</v>
      </c>
      <c r="GG62" s="3234">
        <f t="shared" si="1211"/>
        <v>80062.165588444608</v>
      </c>
      <c r="GH62" s="3234">
        <f t="shared" si="1211"/>
        <v>292.63441155539249</v>
      </c>
      <c r="GI62" s="3235">
        <f t="shared" si="505"/>
        <v>-35717.39370537347</v>
      </c>
      <c r="GJ62" s="3235">
        <f t="shared" si="1069"/>
        <v>-35598.330726297761</v>
      </c>
      <c r="GK62" s="3235">
        <f t="shared" si="1070"/>
        <v>-119.06297907571053</v>
      </c>
    </row>
    <row r="63" spans="1:193" ht="18.75" customHeight="1" x14ac:dyDescent="0.3">
      <c r="A63" s="3158" t="s">
        <v>3680</v>
      </c>
      <c r="B63" s="3156">
        <f>SUM(C63:D63)</f>
        <v>21.078368535845904</v>
      </c>
      <c r="C63" s="3156">
        <f>SUM(C21-C62)</f>
        <v>21.209420909774053</v>
      </c>
      <c r="D63" s="3156">
        <f>SUM(D21-D62)</f>
        <v>-0.13105237392814928</v>
      </c>
      <c r="E63" s="3156">
        <f>SUM(F63:G63)</f>
        <v>2177.4180000000006</v>
      </c>
      <c r="F63" s="3156">
        <f>SUM(F21-F62)</f>
        <v>2187.8600000000006</v>
      </c>
      <c r="G63" s="3156">
        <f>SUM(G21-G62)</f>
        <v>-10.442</v>
      </c>
      <c r="H63" s="3156">
        <f>SUM(I63:J63)</f>
        <v>1034.51</v>
      </c>
      <c r="I63" s="3156">
        <f>SUM(I21-I62)</f>
        <v>1034.3489679619488</v>
      </c>
      <c r="J63" s="3156">
        <f>SUM(J21-J62)</f>
        <v>0.16103203805121824</v>
      </c>
      <c r="K63" s="3156">
        <f>SUM(L63:M63)</f>
        <v>21.078368535845904</v>
      </c>
      <c r="L63" s="3156">
        <f>SUM(L21-L62)</f>
        <v>21.209420909774053</v>
      </c>
      <c r="M63" s="3156">
        <f>SUM(M21-M62)</f>
        <v>-0.13105237392814928</v>
      </c>
      <c r="N63" s="3156">
        <f>SUM(O63:P63)</f>
        <v>2191.4129999999982</v>
      </c>
      <c r="O63" s="3156">
        <f>SUM(O21-O62)</f>
        <v>2201.4599999999982</v>
      </c>
      <c r="P63" s="3156">
        <f>SUM(P21-P62)</f>
        <v>-10.046999999999997</v>
      </c>
      <c r="Q63" s="3156">
        <f>SUM(R63:S63)</f>
        <v>1187.3599999999985</v>
      </c>
      <c r="R63" s="3156">
        <f>SUM(R21-R62)</f>
        <v>1187.1199878533698</v>
      </c>
      <c r="S63" s="3156">
        <f>SUM(S21-S62)</f>
        <v>0.24001214662865555</v>
      </c>
      <c r="T63" s="3156">
        <f>SUM(U63:V63)</f>
        <v>21.078368535845904</v>
      </c>
      <c r="U63" s="3156">
        <f>SUM(U21-U62)</f>
        <v>21.209420909774053</v>
      </c>
      <c r="V63" s="3156">
        <f>SUM(V21-V62)</f>
        <v>-0.13105237392814928</v>
      </c>
      <c r="W63" s="3156">
        <f>SUM(X63:Y63)</f>
        <v>1132.8289999999986</v>
      </c>
      <c r="X63" s="3156">
        <f>SUM(X21-X62)</f>
        <v>1092.4799999999987</v>
      </c>
      <c r="Y63" s="3156">
        <f>SUM(Y21-Y62)</f>
        <v>40.349000000000004</v>
      </c>
      <c r="Z63" s="3156">
        <f>SUM(AA63:AB63)</f>
        <v>-712.18999999999983</v>
      </c>
      <c r="AA63" s="3156">
        <f>SUM(AA21-AA62)</f>
        <v>-700.41508374734713</v>
      </c>
      <c r="AB63" s="3156">
        <f>SUM(AB21-AB62)</f>
        <v>-11.774916252652694</v>
      </c>
      <c r="AC63" s="3129">
        <f>SUM(B63+K63+T63)</f>
        <v>63.235105607537712</v>
      </c>
      <c r="AD63" s="3129">
        <f t="shared" si="1177"/>
        <v>63.628262729322159</v>
      </c>
      <c r="AE63" s="3129">
        <f t="shared" si="1177"/>
        <v>-0.39315712178444784</v>
      </c>
      <c r="AF63" s="3129">
        <f t="shared" si="1223"/>
        <v>5501.6599999999971</v>
      </c>
      <c r="AG63" s="3129">
        <f t="shared" si="1178"/>
        <v>5481.7999999999975</v>
      </c>
      <c r="AH63" s="3129">
        <f t="shared" si="1178"/>
        <v>19.860000000000007</v>
      </c>
      <c r="AI63" s="3129">
        <f t="shared" si="1178"/>
        <v>1509.6799999999987</v>
      </c>
      <c r="AJ63" s="3129">
        <f t="shared" si="1178"/>
        <v>1521.0538720679715</v>
      </c>
      <c r="AK63" s="3129">
        <f t="shared" si="1178"/>
        <v>-11.373872067972821</v>
      </c>
      <c r="AL63" s="3110">
        <f t="shared" si="433"/>
        <v>5438.4248943924595</v>
      </c>
      <c r="AM63" s="3110">
        <f t="shared" si="1000"/>
        <v>5418.1717372706753</v>
      </c>
      <c r="AN63" s="3110">
        <f t="shared" si="1001"/>
        <v>20.253157121784454</v>
      </c>
      <c r="AO63" s="3156">
        <f>SUM(AP63:AQ63)</f>
        <v>21.078368535845904</v>
      </c>
      <c r="AP63" s="3156">
        <f>SUM(AP21-AP62)</f>
        <v>21.209420909774053</v>
      </c>
      <c r="AQ63" s="3156">
        <f>SUM(AQ21-AQ62)</f>
        <v>-0.13105237392814928</v>
      </c>
      <c r="AR63" s="3156">
        <f>SUM(AS63:AT63)</f>
        <v>1243.700000000001</v>
      </c>
      <c r="AS63" s="3156">
        <f>SUM(AS21-AS62)</f>
        <v>1252.0000000000009</v>
      </c>
      <c r="AT63" s="3156">
        <f>SUM(AT21-AT62)</f>
        <v>-8.3000000000000007</v>
      </c>
      <c r="AU63" s="3156">
        <f>SUM(AV63:AW63)</f>
        <v>556.22999999999888</v>
      </c>
      <c r="AV63" s="3156">
        <f>SUM(AV21-AV62)</f>
        <v>559.07726507299412</v>
      </c>
      <c r="AW63" s="3156">
        <f>SUM(AW21-AW62)</f>
        <v>-2.8472650729952669</v>
      </c>
      <c r="AX63" s="3156">
        <f>SUM(AY63:AZ63)</f>
        <v>21.078368535845904</v>
      </c>
      <c r="AY63" s="3156">
        <f>SUM(AY21-AY62)</f>
        <v>21.209420909774053</v>
      </c>
      <c r="AZ63" s="3156">
        <f>SUM(AZ21-AZ62)</f>
        <v>-0.13105237392814928</v>
      </c>
      <c r="BA63" s="3156">
        <f>SUM(BB63:BC63)</f>
        <v>997.97300000000052</v>
      </c>
      <c r="BB63" s="3156">
        <f>SUM(BB21-BB62)</f>
        <v>1005.7260000000006</v>
      </c>
      <c r="BC63" s="3156">
        <f>SUM(BC21-BC62)</f>
        <v>-7.7529999999999983</v>
      </c>
      <c r="BD63" s="3156">
        <f>SUM(BE63:BF63)</f>
        <v>471.9800000000003</v>
      </c>
      <c r="BE63" s="3156">
        <f>SUM(BE21-BE62)</f>
        <v>472.57274508287264</v>
      </c>
      <c r="BF63" s="3156">
        <f>SUM(BF21-BF62)</f>
        <v>-0.59274508287231775</v>
      </c>
      <c r="BG63" s="3156">
        <f>SUM(BH63:BI63)</f>
        <v>21.078368535845904</v>
      </c>
      <c r="BH63" s="3156">
        <f>SUM(BH21-BH62)</f>
        <v>21.209420909774053</v>
      </c>
      <c r="BI63" s="3156">
        <f>SUM(BI21-BI62)</f>
        <v>-0.13105237392814928</v>
      </c>
      <c r="BJ63" s="3156">
        <f>SUM(BK63:BL63)</f>
        <v>1350.4169999999995</v>
      </c>
      <c r="BK63" s="3156">
        <f>SUM(BK21-BK62)</f>
        <v>1328.2919999999995</v>
      </c>
      <c r="BL63" s="3156">
        <f>SUM(BL21-BL62)</f>
        <v>22.125</v>
      </c>
      <c r="BM63" s="3156">
        <f>SUM(BN63:BO63)</f>
        <v>338.95000000000095</v>
      </c>
      <c r="BN63" s="3156">
        <f>SUM(BN21-BN62)</f>
        <v>343.00243995694927</v>
      </c>
      <c r="BO63" s="3156">
        <f>SUM(BO21-BO62)</f>
        <v>-4.0524399569483265</v>
      </c>
      <c r="BP63" s="3129">
        <f t="shared" si="1188"/>
        <v>63.235105607537712</v>
      </c>
      <c r="BQ63" s="3129">
        <f t="shared" si="1188"/>
        <v>63.628262729322159</v>
      </c>
      <c r="BR63" s="3129">
        <f t="shared" si="1188"/>
        <v>-0.39315712178444784</v>
      </c>
      <c r="BS63" s="3129">
        <f t="shared" si="1188"/>
        <v>3592.0900000000011</v>
      </c>
      <c r="BT63" s="3129">
        <f t="shared" si="1188"/>
        <v>3586.0180000000009</v>
      </c>
      <c r="BU63" s="3129">
        <f t="shared" si="1188"/>
        <v>6.0720000000000027</v>
      </c>
      <c r="BV63" s="3129">
        <f t="shared" si="1188"/>
        <v>1367.16</v>
      </c>
      <c r="BW63" s="3129">
        <f t="shared" si="1188"/>
        <v>1374.652450112816</v>
      </c>
      <c r="BX63" s="3129">
        <f t="shared" si="1188"/>
        <v>-7.4924501128159111</v>
      </c>
      <c r="BY63" s="3110">
        <f t="shared" si="445"/>
        <v>3528.8548943924634</v>
      </c>
      <c r="BZ63" s="3110">
        <f t="shared" si="1012"/>
        <v>3522.3897372706788</v>
      </c>
      <c r="CA63" s="3110">
        <f t="shared" si="1013"/>
        <v>6.4651571217844506</v>
      </c>
      <c r="CB63" s="3129">
        <f t="shared" si="1189"/>
        <v>126.47021121507542</v>
      </c>
      <c r="CC63" s="3129">
        <f t="shared" si="1189"/>
        <v>127.25652545864432</v>
      </c>
      <c r="CD63" s="3129">
        <f t="shared" si="1189"/>
        <v>-0.78631424356889568</v>
      </c>
      <c r="CE63" s="3129">
        <f t="shared" si="1189"/>
        <v>9093.7499999999982</v>
      </c>
      <c r="CF63" s="3129">
        <f t="shared" si="1189"/>
        <v>9067.8179999999993</v>
      </c>
      <c r="CG63" s="3129">
        <f t="shared" si="1189"/>
        <v>25.932000000000009</v>
      </c>
      <c r="CH63" s="3129">
        <f t="shared" si="1189"/>
        <v>2876.8399999999988</v>
      </c>
      <c r="CI63" s="3129">
        <f t="shared" si="1189"/>
        <v>2895.7063221807875</v>
      </c>
      <c r="CJ63" s="3129">
        <f t="shared" si="1189"/>
        <v>-18.866322180788732</v>
      </c>
      <c r="CK63" s="3110">
        <f t="shared" si="457"/>
        <v>8967.2797887849229</v>
      </c>
      <c r="CL63" s="3110">
        <f t="shared" si="1023"/>
        <v>8940.561474541355</v>
      </c>
      <c r="CM63" s="3110">
        <f t="shared" si="1024"/>
        <v>26.718314243568905</v>
      </c>
      <c r="CN63" s="3156">
        <f>SUM(CO63:CP63)</f>
        <v>-21.07837818642211</v>
      </c>
      <c r="CO63" s="3156">
        <f>SUM(CO21-CO62)</f>
        <v>-21.209430560618785</v>
      </c>
      <c r="CP63" s="3156">
        <f>SUM(CP21-CP62)</f>
        <v>0.13105237419667404</v>
      </c>
      <c r="CQ63" s="3156">
        <f>SUM(CR63:CS63)</f>
        <v>1278.984999999999</v>
      </c>
      <c r="CR63" s="3156">
        <f>SUM(CR21-CR62)</f>
        <v>1277.079999999999</v>
      </c>
      <c r="CS63" s="3156">
        <f>SUM(CS21-CS62)</f>
        <v>1.9050000000000002</v>
      </c>
      <c r="CT63" s="3156">
        <f>SUM(CU63:CV63)</f>
        <v>1296.3500000000001</v>
      </c>
      <c r="CU63" s="3156">
        <f>SUM(CU21-CU62)</f>
        <v>1297.3853243718768</v>
      </c>
      <c r="CV63" s="3156">
        <f>SUM(CV21-CV62)</f>
        <v>-1.0353243718765324</v>
      </c>
      <c r="CW63" s="3156">
        <f>SUM(CX63:CY63)</f>
        <v>-21.07837818642211</v>
      </c>
      <c r="CX63" s="3156">
        <f>SUM(CX21-CX62)</f>
        <v>-21.209430560618785</v>
      </c>
      <c r="CY63" s="3156">
        <f>SUM(CY21-CY62)</f>
        <v>0.13105237419667404</v>
      </c>
      <c r="CZ63" s="3156">
        <f>SUM(DA63:DB63)</f>
        <v>2107.7520000000004</v>
      </c>
      <c r="DA63" s="3156">
        <f>SUM(DA21-DA62)</f>
        <v>2115.9300000000003</v>
      </c>
      <c r="DB63" s="3156">
        <f>SUM(DB21-DB62)</f>
        <v>-8.177999999999999</v>
      </c>
      <c r="DC63" s="3156">
        <f>SUM(DD63:DE63)</f>
        <v>2157.8199999999997</v>
      </c>
      <c r="DD63" s="3156">
        <f>SUM(DD21-DD62)</f>
        <v>2158.6369326660051</v>
      </c>
      <c r="DE63" s="3156">
        <f>SUM(DE21-DE62)</f>
        <v>-0.81693266600527092</v>
      </c>
      <c r="DF63" s="3156">
        <f>SUM(DG63:DH63)</f>
        <v>-21.07837818642211</v>
      </c>
      <c r="DG63" s="3156">
        <f>SUM(DG21-DG62)</f>
        <v>-21.209430560618785</v>
      </c>
      <c r="DH63" s="3156">
        <f>SUM(DH21-DH62)</f>
        <v>0.13105237419667404</v>
      </c>
      <c r="DI63" s="3156">
        <f>SUM(DJ63:DK63)</f>
        <v>937.06899999999871</v>
      </c>
      <c r="DJ63" s="3156">
        <f>SUM(DJ21-DJ62)</f>
        <v>900.76599999999871</v>
      </c>
      <c r="DK63" s="3156">
        <f>SUM(DK21-DK62)</f>
        <v>36.302999999999997</v>
      </c>
      <c r="DL63" s="3156">
        <f>SUM(DM63:DN63)</f>
        <v>2172.7100000000014</v>
      </c>
      <c r="DM63" s="3156">
        <f>SUM(DM21-DM62)</f>
        <v>2176.8242005312059</v>
      </c>
      <c r="DN63" s="3156">
        <f>SUM(DN21-DN62)</f>
        <v>-4.1142005312044461</v>
      </c>
      <c r="DO63" s="3129">
        <f t="shared" si="1199"/>
        <v>-63.235134559266328</v>
      </c>
      <c r="DP63" s="3129">
        <f t="shared" si="1199"/>
        <v>-63.628291681856354</v>
      </c>
      <c r="DQ63" s="3129">
        <f t="shared" si="1199"/>
        <v>0.39315712259002211</v>
      </c>
      <c r="DR63" s="3129">
        <f t="shared" si="1199"/>
        <v>4323.8059999999978</v>
      </c>
      <c r="DS63" s="3129">
        <f t="shared" si="1199"/>
        <v>4293.775999999998</v>
      </c>
      <c r="DT63" s="3129">
        <f t="shared" si="1199"/>
        <v>30.029999999999998</v>
      </c>
      <c r="DU63" s="3129">
        <f t="shared" si="1199"/>
        <v>5626.880000000001</v>
      </c>
      <c r="DV63" s="3129">
        <f t="shared" si="1199"/>
        <v>5632.8464575690878</v>
      </c>
      <c r="DW63" s="3129">
        <f t="shared" si="1199"/>
        <v>-5.9664575690862494</v>
      </c>
      <c r="DX63" s="3110">
        <f t="shared" si="469"/>
        <v>4387.0411345592638</v>
      </c>
      <c r="DY63" s="3110">
        <f t="shared" si="1035"/>
        <v>4357.4042916818544</v>
      </c>
      <c r="DZ63" s="3110">
        <f t="shared" si="1036"/>
        <v>29.636842877409975</v>
      </c>
      <c r="EA63" s="3294">
        <f t="shared" si="1200"/>
        <v>63.235076655809095</v>
      </c>
      <c r="EB63" s="3294">
        <f t="shared" si="1200"/>
        <v>63.628233776787965</v>
      </c>
      <c r="EC63" s="3294">
        <f t="shared" si="1200"/>
        <v>-0.39315712097887356</v>
      </c>
      <c r="ED63" s="3129">
        <f t="shared" si="1200"/>
        <v>13417.555999999997</v>
      </c>
      <c r="EE63" s="3129">
        <f t="shared" si="1200"/>
        <v>13361.593999999997</v>
      </c>
      <c r="EF63" s="3129">
        <f t="shared" si="1200"/>
        <v>55.962000000000003</v>
      </c>
      <c r="EG63" s="3294">
        <f t="shared" si="1200"/>
        <v>8503.7199999999993</v>
      </c>
      <c r="EH63" s="3294">
        <f t="shared" si="1200"/>
        <v>8528.5527797498762</v>
      </c>
      <c r="EI63" s="3294">
        <f t="shared" si="1200"/>
        <v>-24.83277974987498</v>
      </c>
      <c r="EJ63" s="3110">
        <f t="shared" si="481"/>
        <v>13354.320923344188</v>
      </c>
      <c r="EK63" s="3110">
        <f t="shared" si="1046"/>
        <v>13297.965766223209</v>
      </c>
      <c r="EL63" s="3110">
        <f t="shared" si="1047"/>
        <v>56.355157120978873</v>
      </c>
      <c r="EM63" s="3156">
        <f>SUM(EN63:EO63)</f>
        <v>-21.07837818642211</v>
      </c>
      <c r="EN63" s="3156">
        <f>SUM(EN21-EN62)</f>
        <v>-21.209430560618785</v>
      </c>
      <c r="EO63" s="3156">
        <f>SUM(EO21-EO62)</f>
        <v>0.13105237419667404</v>
      </c>
      <c r="EP63" s="3156">
        <f>SUM(EQ63:ER63)</f>
        <v>0</v>
      </c>
      <c r="EQ63" s="3156">
        <f>SUM(EQ21-EQ62)</f>
        <v>0</v>
      </c>
      <c r="ER63" s="3156">
        <f>SUM(ER21-ER62)</f>
        <v>0</v>
      </c>
      <c r="ES63" s="3156">
        <f>SUM(ET63:EU63)</f>
        <v>2279.4299999999994</v>
      </c>
      <c r="ET63" s="3156">
        <f>SUM(ET21-ET62)</f>
        <v>2280.1381267174102</v>
      </c>
      <c r="EU63" s="3156">
        <f>SUM(EU21-EU62)</f>
        <v>-0.7081267174109076</v>
      </c>
      <c r="EV63" s="3156">
        <f>SUM(EW63:EX63)</f>
        <v>-21.07837818642211</v>
      </c>
      <c r="EW63" s="3156">
        <f>SUM(EW21-EW62)</f>
        <v>-21.209430560618785</v>
      </c>
      <c r="EX63" s="3156">
        <f>SUM(EX21-EX62)</f>
        <v>0.13105237419667404</v>
      </c>
      <c r="EY63" s="3156">
        <f>SUM(EZ63:FA63)</f>
        <v>0</v>
      </c>
      <c r="EZ63" s="3156">
        <f>SUM(EZ21-EZ62)</f>
        <v>0</v>
      </c>
      <c r="FA63" s="3156">
        <f>SUM(FA21-FA62)</f>
        <v>0</v>
      </c>
      <c r="FB63" s="3156">
        <f>SUM(FC63:FD63)</f>
        <v>2576.0700000000002</v>
      </c>
      <c r="FC63" s="3156">
        <f>SUM(FC21-FC62)</f>
        <v>2576.5377914114288</v>
      </c>
      <c r="FD63" s="3156">
        <f>SUM(FD21-FD62)</f>
        <v>-0.46779141142864766</v>
      </c>
      <c r="FE63" s="3156">
        <f>SUM(FF63:FG63)</f>
        <v>-21.07837818642211</v>
      </c>
      <c r="FF63" s="3156">
        <f>SUM(FF21-FF62)</f>
        <v>-21.209430560618785</v>
      </c>
      <c r="FG63" s="3156">
        <f>SUM(FG21-FG62)</f>
        <v>0.13105237419667404</v>
      </c>
      <c r="FH63" s="3156">
        <f>SUM(FI63:FJ63)</f>
        <v>0</v>
      </c>
      <c r="FI63" s="3156">
        <f>SUM(FI21-FI62)</f>
        <v>0</v>
      </c>
      <c r="FJ63" s="3156">
        <f>SUM(FJ21-FJ62)</f>
        <v>0</v>
      </c>
      <c r="FK63" s="3156">
        <f>SUM(FL63:FM63)</f>
        <v>2249.1699999999996</v>
      </c>
      <c r="FL63" s="3156">
        <f>SUM(FL21-FL62)</f>
        <v>2255.9457136766778</v>
      </c>
      <c r="FM63" s="3156">
        <f>SUM(FM21-FM62)</f>
        <v>-6.7757136766779595</v>
      </c>
      <c r="FN63" s="3129">
        <f t="shared" si="1210"/>
        <v>-63.235134559266328</v>
      </c>
      <c r="FO63" s="3129">
        <f t="shared" si="1210"/>
        <v>-63.628291681856354</v>
      </c>
      <c r="FP63" s="3129">
        <f t="shared" si="1210"/>
        <v>0.39315712259002211</v>
      </c>
      <c r="FQ63" s="3129">
        <f t="shared" si="1210"/>
        <v>0</v>
      </c>
      <c r="FR63" s="3129">
        <f t="shared" si="1210"/>
        <v>0</v>
      </c>
      <c r="FS63" s="3129">
        <f t="shared" si="1210"/>
        <v>0</v>
      </c>
      <c r="FT63" s="3129">
        <f t="shared" si="1210"/>
        <v>7104.67</v>
      </c>
      <c r="FU63" s="3129">
        <f t="shared" si="1210"/>
        <v>7112.6216318055167</v>
      </c>
      <c r="FV63" s="3129">
        <f t="shared" si="1210"/>
        <v>-7.9516318055175148</v>
      </c>
      <c r="FW63" s="3110">
        <f t="shared" si="493"/>
        <v>63.235134559266328</v>
      </c>
      <c r="FX63" s="3110">
        <f t="shared" si="1058"/>
        <v>63.628291681856354</v>
      </c>
      <c r="FY63" s="3110">
        <f t="shared" si="1059"/>
        <v>-0.39315712259002211</v>
      </c>
      <c r="FZ63" s="3234">
        <f t="shared" si="1211"/>
        <v>-5.7903457232555411E-5</v>
      </c>
      <c r="GA63" s="3234">
        <f t="shared" si="1211"/>
        <v>-5.7905068388208747E-5</v>
      </c>
      <c r="GB63" s="3234">
        <f t="shared" si="1211"/>
        <v>1.6111485479086696E-9</v>
      </c>
      <c r="GC63" s="3234">
        <f t="shared" si="1211"/>
        <v>13417.555999999997</v>
      </c>
      <c r="GD63" s="3234">
        <f t="shared" si="1211"/>
        <v>13361.593999999997</v>
      </c>
      <c r="GE63" s="3234">
        <f t="shared" si="1211"/>
        <v>55.962000000000003</v>
      </c>
      <c r="GF63" s="3234">
        <f t="shared" si="1211"/>
        <v>15608.39</v>
      </c>
      <c r="GG63" s="3234">
        <f t="shared" si="1211"/>
        <v>15641.174411555392</v>
      </c>
      <c r="GH63" s="3234">
        <f t="shared" si="1211"/>
        <v>-32.784411555392495</v>
      </c>
      <c r="GI63" s="3235">
        <f t="shared" si="505"/>
        <v>13417.556057903454</v>
      </c>
      <c r="GJ63" s="3235">
        <f t="shared" si="1069"/>
        <v>13361.594057905066</v>
      </c>
      <c r="GK63" s="3235">
        <f t="shared" si="1070"/>
        <v>55.961999998388855</v>
      </c>
    </row>
    <row r="64" spans="1:193" ht="18.75" customHeight="1" x14ac:dyDescent="0.3">
      <c r="A64" s="3106" t="s">
        <v>538</v>
      </c>
      <c r="B64" s="3156">
        <f>SUM(C64:D64)</f>
        <v>8042.9964976906185</v>
      </c>
      <c r="C64" s="3156">
        <f t="shared" ref="C64:D64" si="1251">SUM(C62:C63)</f>
        <v>8022.0285556993913</v>
      </c>
      <c r="D64" s="3156">
        <f t="shared" si="1251"/>
        <v>20.967941991226851</v>
      </c>
      <c r="E64" s="3156">
        <f>SUM(F64:G64)</f>
        <v>8539.57</v>
      </c>
      <c r="F64" s="3156">
        <f t="shared" ref="F64:G64" si="1252">SUM(F62:F63)</f>
        <v>8536.69</v>
      </c>
      <c r="G64" s="3156">
        <f t="shared" si="1252"/>
        <v>2.879999999999999</v>
      </c>
      <c r="H64" s="3156">
        <f>SUM(I64:J64)</f>
        <v>7207.7</v>
      </c>
      <c r="I64" s="3156">
        <f t="shared" ref="I64:J64" si="1253">SUM(I62:I63)</f>
        <v>7204.16</v>
      </c>
      <c r="J64" s="3156">
        <f t="shared" si="1253"/>
        <v>3.54</v>
      </c>
      <c r="K64" s="3156">
        <f>SUM(L64:M64)</f>
        <v>8042.9964976906185</v>
      </c>
      <c r="L64" s="3156">
        <f t="shared" ref="L64:M64" si="1254">SUM(L62:L63)</f>
        <v>8022.0285556993913</v>
      </c>
      <c r="M64" s="3156">
        <f t="shared" si="1254"/>
        <v>20.967941991226851</v>
      </c>
      <c r="N64" s="3156">
        <f>SUM(O64:P64)</f>
        <v>8213.4999999999982</v>
      </c>
      <c r="O64" s="3156">
        <f t="shared" ref="O64:P64" si="1255">SUM(O62:O63)</f>
        <v>8211.0399999999991</v>
      </c>
      <c r="P64" s="3156">
        <f t="shared" si="1255"/>
        <v>2.4600000000000009</v>
      </c>
      <c r="Q64" s="3156">
        <f>SUM(R64:S64)</f>
        <v>7047.18</v>
      </c>
      <c r="R64" s="3156">
        <f t="shared" ref="R64:S64" si="1256">SUM(R62:R63)</f>
        <v>7044.34</v>
      </c>
      <c r="S64" s="3156">
        <f t="shared" si="1256"/>
        <v>2.84</v>
      </c>
      <c r="T64" s="3156">
        <f>SUM(U64:V64)</f>
        <v>8042.9964976906185</v>
      </c>
      <c r="U64" s="3156">
        <f t="shared" ref="U64:V64" si="1257">SUM(U62:U63)</f>
        <v>8022.0285556993913</v>
      </c>
      <c r="V64" s="3156">
        <f t="shared" si="1257"/>
        <v>20.967941991226851</v>
      </c>
      <c r="W64" s="3156">
        <f>SUM(X64:Y64)</f>
        <v>8014.03</v>
      </c>
      <c r="X64" s="3156">
        <f t="shared" ref="X64:Y64" si="1258">SUM(X62:X63)</f>
        <v>7961.61</v>
      </c>
      <c r="Y64" s="3156">
        <f t="shared" si="1258"/>
        <v>52.42</v>
      </c>
      <c r="Z64" s="3156">
        <f>SUM(AA64:AB64)</f>
        <v>6918.81</v>
      </c>
      <c r="AA64" s="3156">
        <f t="shared" ref="AA64:AB64" si="1259">SUM(AA62:AA63)</f>
        <v>6864.1</v>
      </c>
      <c r="AB64" s="3156">
        <f t="shared" si="1259"/>
        <v>54.71</v>
      </c>
      <c r="AC64" s="3129">
        <f>SUM(B64+K64+T64)</f>
        <v>24128.989493071855</v>
      </c>
      <c r="AD64" s="3129">
        <f t="shared" si="1177"/>
        <v>24066.085667098174</v>
      </c>
      <c r="AE64" s="3129">
        <f t="shared" si="1177"/>
        <v>62.903825973680554</v>
      </c>
      <c r="AF64" s="3129">
        <f t="shared" si="1223"/>
        <v>24767.1</v>
      </c>
      <c r="AG64" s="3129">
        <f t="shared" si="1178"/>
        <v>24709.34</v>
      </c>
      <c r="AH64" s="3129">
        <f t="shared" si="1178"/>
        <v>57.760000000000005</v>
      </c>
      <c r="AI64" s="3129">
        <f t="shared" si="1178"/>
        <v>21173.690000000002</v>
      </c>
      <c r="AJ64" s="3129">
        <f t="shared" si="1178"/>
        <v>21112.6</v>
      </c>
      <c r="AK64" s="3129">
        <f t="shared" si="1178"/>
        <v>61.09</v>
      </c>
      <c r="AL64" s="3110">
        <f t="shared" si="433"/>
        <v>638.11050692814388</v>
      </c>
      <c r="AM64" s="3110">
        <f t="shared" si="1000"/>
        <v>643.25433290182627</v>
      </c>
      <c r="AN64" s="3110">
        <f t="shared" si="1001"/>
        <v>-5.1438259736805492</v>
      </c>
      <c r="AO64" s="3156">
        <f>SUM(AP64:AQ64)</f>
        <v>8042.9964976906185</v>
      </c>
      <c r="AP64" s="3156">
        <f t="shared" ref="AP64:AQ64" si="1260">SUM(AP62:AP63)</f>
        <v>8022.0285556993913</v>
      </c>
      <c r="AQ64" s="3156">
        <f t="shared" si="1260"/>
        <v>20.967941991226851</v>
      </c>
      <c r="AR64" s="3156">
        <f>SUM(AS64:AT64)</f>
        <v>8332.44</v>
      </c>
      <c r="AS64" s="3156">
        <f t="shared" ref="AS64:AT64" si="1261">SUM(AS62:AS63)</f>
        <v>8328.17</v>
      </c>
      <c r="AT64" s="3156">
        <f t="shared" si="1261"/>
        <v>4.2699999999999996</v>
      </c>
      <c r="AU64" s="3156">
        <f>SUM(AV64:AW64)</f>
        <v>7293.43</v>
      </c>
      <c r="AV64" s="3156">
        <f t="shared" ref="AV64:AW64" si="1262">SUM(AV62:AV63)</f>
        <v>7292.34</v>
      </c>
      <c r="AW64" s="3156">
        <f t="shared" si="1262"/>
        <v>1.0899999999999999</v>
      </c>
      <c r="AX64" s="3156">
        <f>SUM(AY64:AZ64)</f>
        <v>8042.9964976906185</v>
      </c>
      <c r="AY64" s="3156">
        <f t="shared" ref="AY64:AZ64" si="1263">SUM(AY62:AY63)</f>
        <v>8022.0285556993913</v>
      </c>
      <c r="AZ64" s="3156">
        <f t="shared" si="1263"/>
        <v>20.967941991226851</v>
      </c>
      <c r="BA64" s="3156">
        <f>SUM(BB64:BC64)</f>
        <v>8139.17</v>
      </c>
      <c r="BB64" s="3156">
        <f t="shared" ref="BB64:BC64" si="1264">SUM(BB62:BB63)</f>
        <v>8131.91</v>
      </c>
      <c r="BC64" s="3156">
        <f t="shared" si="1264"/>
        <v>7.26</v>
      </c>
      <c r="BD64" s="3156">
        <f>SUM(BE64:BF64)</f>
        <v>6966.01</v>
      </c>
      <c r="BE64" s="3156">
        <f t="shared" ref="BE64:BF64" si="1265">SUM(BE62:BE63)</f>
        <v>6957.5700000000006</v>
      </c>
      <c r="BF64" s="3156">
        <f t="shared" si="1265"/>
        <v>8.44</v>
      </c>
      <c r="BG64" s="3156">
        <f>SUM(BH64:BI64)</f>
        <v>8042.9964976906185</v>
      </c>
      <c r="BH64" s="3156">
        <f t="shared" ref="BH64:BI64" si="1266">SUM(BH62:BH63)</f>
        <v>8022.0285556993913</v>
      </c>
      <c r="BI64" s="3156">
        <f t="shared" si="1266"/>
        <v>20.967941991226851</v>
      </c>
      <c r="BJ64" s="3156">
        <f>SUM(BK64:BL64)</f>
        <v>8210.9699999999993</v>
      </c>
      <c r="BK64" s="3156">
        <f t="shared" ref="BK64:BL64" si="1267">SUM(BK62:BK63)</f>
        <v>8155.91</v>
      </c>
      <c r="BL64" s="3156">
        <f t="shared" si="1267"/>
        <v>55.06</v>
      </c>
      <c r="BM64" s="3156">
        <f>SUM(BN64:BO64)</f>
        <v>7439.26</v>
      </c>
      <c r="BN64" s="3156">
        <f t="shared" ref="BN64:BO64" si="1268">SUM(BN62:BN63)</f>
        <v>7385.83</v>
      </c>
      <c r="BO64" s="3156">
        <f t="shared" si="1268"/>
        <v>53.43</v>
      </c>
      <c r="BP64" s="3129">
        <f t="shared" si="1188"/>
        <v>24128.989493071855</v>
      </c>
      <c r="BQ64" s="3129">
        <f t="shared" si="1188"/>
        <v>24066.085667098174</v>
      </c>
      <c r="BR64" s="3129">
        <f t="shared" si="1188"/>
        <v>62.903825973680554</v>
      </c>
      <c r="BS64" s="3129">
        <f t="shared" si="1188"/>
        <v>24682.58</v>
      </c>
      <c r="BT64" s="3129">
        <f t="shared" si="1188"/>
        <v>24615.99</v>
      </c>
      <c r="BU64" s="3129">
        <f t="shared" si="1188"/>
        <v>66.59</v>
      </c>
      <c r="BV64" s="3129">
        <f t="shared" si="1188"/>
        <v>21698.7</v>
      </c>
      <c r="BW64" s="3129">
        <f t="shared" si="1188"/>
        <v>21635.739999999998</v>
      </c>
      <c r="BX64" s="3129">
        <f t="shared" si="1188"/>
        <v>62.96</v>
      </c>
      <c r="BY64" s="3110">
        <f t="shared" si="445"/>
        <v>553.59050692814708</v>
      </c>
      <c r="BZ64" s="3110">
        <f t="shared" si="1012"/>
        <v>549.90433290182773</v>
      </c>
      <c r="CA64" s="3110">
        <f t="shared" si="1013"/>
        <v>3.6861740263194491</v>
      </c>
      <c r="CB64" s="3129">
        <f t="shared" si="1189"/>
        <v>48257.978986143709</v>
      </c>
      <c r="CC64" s="3129">
        <f t="shared" si="1189"/>
        <v>48132.171334196348</v>
      </c>
      <c r="CD64" s="3129">
        <f t="shared" si="1189"/>
        <v>125.80765194736111</v>
      </c>
      <c r="CE64" s="3129">
        <f t="shared" si="1189"/>
        <v>49449.68</v>
      </c>
      <c r="CF64" s="3129">
        <f t="shared" si="1189"/>
        <v>49325.33</v>
      </c>
      <c r="CG64" s="3129">
        <f t="shared" si="1189"/>
        <v>124.35000000000001</v>
      </c>
      <c r="CH64" s="3129">
        <f t="shared" si="1189"/>
        <v>42872.39</v>
      </c>
      <c r="CI64" s="3129">
        <f t="shared" si="1189"/>
        <v>42748.34</v>
      </c>
      <c r="CJ64" s="3129">
        <f t="shared" si="1189"/>
        <v>124.05000000000001</v>
      </c>
      <c r="CK64" s="3110">
        <f t="shared" si="457"/>
        <v>1191.701013856291</v>
      </c>
      <c r="CL64" s="3110">
        <f t="shared" si="1023"/>
        <v>1193.158665803654</v>
      </c>
      <c r="CM64" s="3110">
        <f t="shared" si="1024"/>
        <v>-1.4576519473611</v>
      </c>
      <c r="CN64" s="3156">
        <f>SUM(CO64:CP64)</f>
        <v>8043.4601102210518</v>
      </c>
      <c r="CO64" s="3156">
        <f t="shared" ref="CO64:CP64" si="1269">SUM(CO62:CO63)</f>
        <v>8022.0285556993913</v>
      </c>
      <c r="CP64" s="3156">
        <f t="shared" si="1269"/>
        <v>21.431554521660093</v>
      </c>
      <c r="CQ64" s="3156">
        <f>SUM(CR64:CS64)</f>
        <v>7755.1799999999994</v>
      </c>
      <c r="CR64" s="3156">
        <f t="shared" ref="CR64:CS64" si="1270">SUM(CR62:CR63)</f>
        <v>7750.6399999999994</v>
      </c>
      <c r="CS64" s="3156">
        <f t="shared" si="1270"/>
        <v>4.54</v>
      </c>
      <c r="CT64" s="3156">
        <f>SUM(CU64:CV64)</f>
        <v>8378.17</v>
      </c>
      <c r="CU64" s="3156">
        <f t="shared" ref="CU64:CV64" si="1271">SUM(CU62:CU63)</f>
        <v>8373.35</v>
      </c>
      <c r="CV64" s="3156">
        <f t="shared" si="1271"/>
        <v>4.82</v>
      </c>
      <c r="CW64" s="3156">
        <f>SUM(CX64:CY64)</f>
        <v>8043.4601102210518</v>
      </c>
      <c r="CX64" s="3156">
        <f t="shared" ref="CX64:CY64" si="1272">SUM(CX62:CX63)</f>
        <v>8022.0285556993913</v>
      </c>
      <c r="CY64" s="3156">
        <f t="shared" si="1272"/>
        <v>21.431554521660093</v>
      </c>
      <c r="CZ64" s="3156">
        <f>SUM(DA64:DB64)</f>
        <v>8830.5500000000011</v>
      </c>
      <c r="DA64" s="3156">
        <f t="shared" ref="DA64:DB64" si="1273">SUM(DA62:DA63)</f>
        <v>8825.0400000000009</v>
      </c>
      <c r="DB64" s="3156">
        <f t="shared" si="1273"/>
        <v>5.51</v>
      </c>
      <c r="DC64" s="3156">
        <f>SUM(DD64:DE64)</f>
        <v>8950.19</v>
      </c>
      <c r="DD64" s="3156">
        <f t="shared" ref="DD64:DE64" si="1274">SUM(DD62:DD63)</f>
        <v>8942.82</v>
      </c>
      <c r="DE64" s="3156">
        <f t="shared" si="1274"/>
        <v>7.37</v>
      </c>
      <c r="DF64" s="3156">
        <f>SUM(DG64:DH64)</f>
        <v>8043.4601102210518</v>
      </c>
      <c r="DG64" s="3156">
        <f t="shared" ref="DG64:DH64" si="1275">SUM(DG62:DG63)</f>
        <v>8022.0285556993913</v>
      </c>
      <c r="DH64" s="3156">
        <f t="shared" si="1275"/>
        <v>21.431554521660093</v>
      </c>
      <c r="DI64" s="3156">
        <f>SUM(DJ64:DK64)</f>
        <v>8183.4919999999993</v>
      </c>
      <c r="DJ64" s="3156">
        <f t="shared" ref="DJ64:DK64" si="1276">SUM(DJ62:DJ63)</f>
        <v>8126.5959999999995</v>
      </c>
      <c r="DK64" s="3156">
        <f t="shared" si="1276"/>
        <v>56.896000000000001</v>
      </c>
      <c r="DL64" s="3156">
        <f>SUM(DM64:DN64)</f>
        <v>8837.130000000001</v>
      </c>
      <c r="DM64" s="3156">
        <f t="shared" ref="DM64:DN64" si="1277">SUM(DM62:DM63)</f>
        <v>8784.630000000001</v>
      </c>
      <c r="DN64" s="3156">
        <f t="shared" si="1277"/>
        <v>52.5</v>
      </c>
      <c r="DO64" s="3129">
        <f t="shared" si="1199"/>
        <v>24130.380330663156</v>
      </c>
      <c r="DP64" s="3129">
        <f t="shared" si="1199"/>
        <v>24066.085667098174</v>
      </c>
      <c r="DQ64" s="3129">
        <f t="shared" si="1199"/>
        <v>64.294663564980283</v>
      </c>
      <c r="DR64" s="3129">
        <f t="shared" si="1199"/>
        <v>24769.221999999998</v>
      </c>
      <c r="DS64" s="3129">
        <f t="shared" si="1199"/>
        <v>24702.275999999998</v>
      </c>
      <c r="DT64" s="3129">
        <f t="shared" si="1199"/>
        <v>66.945999999999998</v>
      </c>
      <c r="DU64" s="3129">
        <f t="shared" si="1199"/>
        <v>26165.49</v>
      </c>
      <c r="DV64" s="3129">
        <f t="shared" si="1199"/>
        <v>26100.799999999999</v>
      </c>
      <c r="DW64" s="3129">
        <f t="shared" si="1199"/>
        <v>64.69</v>
      </c>
      <c r="DX64" s="3110">
        <f t="shared" si="469"/>
        <v>638.84166933684173</v>
      </c>
      <c r="DY64" s="3110">
        <f t="shared" si="1035"/>
        <v>636.19033290182415</v>
      </c>
      <c r="DZ64" s="3110">
        <f t="shared" si="1036"/>
        <v>2.6513364350197151</v>
      </c>
      <c r="EA64" s="3294">
        <f t="shared" si="1200"/>
        <v>72388.359316806862</v>
      </c>
      <c r="EB64" s="3294">
        <f t="shared" si="1200"/>
        <v>72198.257001294522</v>
      </c>
      <c r="EC64" s="3294">
        <f t="shared" si="1200"/>
        <v>190.10231551234139</v>
      </c>
      <c r="ED64" s="3129">
        <f t="shared" si="1200"/>
        <v>74218.902000000002</v>
      </c>
      <c r="EE64" s="3129">
        <f t="shared" si="1200"/>
        <v>74027.606</v>
      </c>
      <c r="EF64" s="3129">
        <f t="shared" si="1200"/>
        <v>191.29599999999999</v>
      </c>
      <c r="EG64" s="3294">
        <f t="shared" si="1200"/>
        <v>69037.88</v>
      </c>
      <c r="EH64" s="3294">
        <f t="shared" si="1200"/>
        <v>68849.14</v>
      </c>
      <c r="EI64" s="3294">
        <f t="shared" si="1200"/>
        <v>188.74</v>
      </c>
      <c r="EJ64" s="3110">
        <f t="shared" si="481"/>
        <v>1830.54268319314</v>
      </c>
      <c r="EK64" s="3110">
        <f t="shared" si="1046"/>
        <v>1829.3489987054782</v>
      </c>
      <c r="EL64" s="3110">
        <f t="shared" si="1047"/>
        <v>1.1936844876586008</v>
      </c>
      <c r="EM64" s="3156">
        <f>SUM(EN64:EO64)</f>
        <v>8043.4601102210518</v>
      </c>
      <c r="EN64" s="3156">
        <f t="shared" ref="EN64:EO64" si="1278">SUM(EN62:EN63)</f>
        <v>8022.0285556993913</v>
      </c>
      <c r="EO64" s="3156">
        <f t="shared" si="1278"/>
        <v>21.431554521660093</v>
      </c>
      <c r="EP64" s="3156">
        <f>SUM(EQ64:ER64)</f>
        <v>0</v>
      </c>
      <c r="EQ64" s="3156">
        <f t="shared" ref="EQ64:ER64" si="1279">SUM(EQ62:EQ63)</f>
        <v>0</v>
      </c>
      <c r="ER64" s="3156">
        <f t="shared" si="1279"/>
        <v>0</v>
      </c>
      <c r="ES64" s="3156">
        <f>SUM(ET64:EU64)</f>
        <v>9028.4699999999993</v>
      </c>
      <c r="ET64" s="3156">
        <f t="shared" ref="ET64:EU64" si="1280">SUM(ET62:ET63)</f>
        <v>9020.73</v>
      </c>
      <c r="EU64" s="3156">
        <f t="shared" si="1280"/>
        <v>7.74</v>
      </c>
      <c r="EV64" s="3156">
        <f>SUM(EW64:EX64)</f>
        <v>8043.4601102210518</v>
      </c>
      <c r="EW64" s="3156">
        <f t="shared" ref="EW64:EX64" si="1281">SUM(EW62:EW63)</f>
        <v>8022.0285556993913</v>
      </c>
      <c r="EX64" s="3156">
        <f t="shared" si="1281"/>
        <v>21.431554521660093</v>
      </c>
      <c r="EY64" s="3156">
        <f>SUM(EZ64:FA64)</f>
        <v>0</v>
      </c>
      <c r="EZ64" s="3156">
        <f t="shared" ref="EZ64:FA64" si="1282">SUM(EZ62:EZ63)</f>
        <v>0</v>
      </c>
      <c r="FA64" s="3156">
        <f t="shared" si="1282"/>
        <v>0</v>
      </c>
      <c r="FB64" s="3156">
        <f>SUM(FC64:FD64)</f>
        <v>9041.75</v>
      </c>
      <c r="FC64" s="3156">
        <f t="shared" ref="FC64:FD64" si="1283">SUM(FC62:FC63)</f>
        <v>9033.9</v>
      </c>
      <c r="FD64" s="3156">
        <f t="shared" si="1283"/>
        <v>7.85</v>
      </c>
      <c r="FE64" s="3156">
        <f>SUM(FF64:FG64)</f>
        <v>8043.4601102210518</v>
      </c>
      <c r="FF64" s="3156">
        <f t="shared" ref="FF64:FG64" si="1284">SUM(FF62:FF63)</f>
        <v>8022.0285556993913</v>
      </c>
      <c r="FG64" s="3156">
        <f t="shared" si="1284"/>
        <v>21.431554521660093</v>
      </c>
      <c r="FH64" s="3156">
        <f>SUM(FI64:FJ64)</f>
        <v>0</v>
      </c>
      <c r="FI64" s="3156">
        <f t="shared" ref="FI64:FJ64" si="1285">SUM(FI62:FI63)</f>
        <v>0</v>
      </c>
      <c r="FJ64" s="3156">
        <f t="shared" si="1285"/>
        <v>0</v>
      </c>
      <c r="FK64" s="3156">
        <f>SUM(FL64:FM64)</f>
        <v>8855.09</v>
      </c>
      <c r="FL64" s="3156">
        <f t="shared" ref="FL64:FM64" si="1286">SUM(FL62:FL63)</f>
        <v>8799.57</v>
      </c>
      <c r="FM64" s="3156">
        <f t="shared" si="1286"/>
        <v>55.52</v>
      </c>
      <c r="FN64" s="3129">
        <f t="shared" si="1210"/>
        <v>24130.380330663156</v>
      </c>
      <c r="FO64" s="3129">
        <f t="shared" si="1210"/>
        <v>24066.085667098174</v>
      </c>
      <c r="FP64" s="3129">
        <f t="shared" si="1210"/>
        <v>64.294663564980283</v>
      </c>
      <c r="FQ64" s="3129">
        <f t="shared" si="1210"/>
        <v>0</v>
      </c>
      <c r="FR64" s="3129">
        <f t="shared" si="1210"/>
        <v>0</v>
      </c>
      <c r="FS64" s="3129">
        <f t="shared" si="1210"/>
        <v>0</v>
      </c>
      <c r="FT64" s="3129">
        <f t="shared" si="1210"/>
        <v>26925.31</v>
      </c>
      <c r="FU64" s="3129">
        <f t="shared" si="1210"/>
        <v>26854.199999999997</v>
      </c>
      <c r="FV64" s="3129">
        <f t="shared" si="1210"/>
        <v>71.11</v>
      </c>
      <c r="FW64" s="3110">
        <f t="shared" si="493"/>
        <v>-24130.380330663156</v>
      </c>
      <c r="FX64" s="3110">
        <f t="shared" si="1058"/>
        <v>-24066.085667098174</v>
      </c>
      <c r="FY64" s="3110">
        <f t="shared" si="1059"/>
        <v>-64.294663564980283</v>
      </c>
      <c r="FZ64" s="3234">
        <f t="shared" si="1211"/>
        <v>96518.739647470022</v>
      </c>
      <c r="GA64" s="3234">
        <f t="shared" si="1211"/>
        <v>96264.342668392695</v>
      </c>
      <c r="GB64" s="3234">
        <f t="shared" si="1211"/>
        <v>254.39697907732167</v>
      </c>
      <c r="GC64" s="3234">
        <f t="shared" si="1211"/>
        <v>74218.902000000002</v>
      </c>
      <c r="GD64" s="3234">
        <f t="shared" si="1211"/>
        <v>74027.606</v>
      </c>
      <c r="GE64" s="3234">
        <f t="shared" si="1211"/>
        <v>191.29599999999999</v>
      </c>
      <c r="GF64" s="3234">
        <f t="shared" si="1211"/>
        <v>95963.19</v>
      </c>
      <c r="GG64" s="3234">
        <f t="shared" si="1211"/>
        <v>95703.34</v>
      </c>
      <c r="GH64" s="3234">
        <f t="shared" si="1211"/>
        <v>259.85000000000002</v>
      </c>
      <c r="GI64" s="3235">
        <f t="shared" si="505"/>
        <v>-22299.83764747002</v>
      </c>
      <c r="GJ64" s="3235">
        <f t="shared" si="1069"/>
        <v>-22236.736668392696</v>
      </c>
      <c r="GK64" s="3235">
        <f t="shared" si="1070"/>
        <v>-63.100979077321682</v>
      </c>
    </row>
    <row r="65" spans="1:193" ht="18.75" customHeight="1" x14ac:dyDescent="0.3">
      <c r="A65" s="3158" t="s">
        <v>70</v>
      </c>
      <c r="B65" s="3156">
        <f>SUM(B64/B58)</f>
        <v>31.958887927485438</v>
      </c>
      <c r="C65" s="3156">
        <f t="shared" ref="C65:D65" si="1287">SUM(C64/C58)</f>
        <v>32.063137290101388</v>
      </c>
      <c r="D65" s="3156">
        <f t="shared" si="1287"/>
        <v>14.242375692154086</v>
      </c>
      <c r="E65" s="3156">
        <f>SUM(E64/E58)</f>
        <v>32.043955714073974</v>
      </c>
      <c r="F65" s="3156">
        <f t="shared" ref="F65:G65" si="1288">SUM(F64/F58)</f>
        <v>32.05750808320159</v>
      </c>
      <c r="G65" s="3156">
        <f t="shared" si="1288"/>
        <v>14.222222222222216</v>
      </c>
      <c r="H65" s="3156">
        <f>SUM(H64/H58)</f>
        <v>26.627138054601204</v>
      </c>
      <c r="I65" s="3156">
        <f t="shared" ref="I65:J65" si="1289">SUM(I64/I58)</f>
        <v>26.63767794416713</v>
      </c>
      <c r="J65" s="3156">
        <f t="shared" si="1289"/>
        <v>14.75</v>
      </c>
      <c r="K65" s="3156">
        <f>SUM(K64/K58)</f>
        <v>31.958887927485438</v>
      </c>
      <c r="L65" s="3156">
        <f t="shared" ref="L65:M65" si="1290">SUM(L64/L58)</f>
        <v>32.063137290101388</v>
      </c>
      <c r="M65" s="3156">
        <f t="shared" si="1290"/>
        <v>14.242375692154086</v>
      </c>
      <c r="N65" s="3156">
        <f>SUM(N64/N58)</f>
        <v>32.045679773395861</v>
      </c>
      <c r="O65" s="3156">
        <f t="shared" ref="O65:P65" si="1291">SUM(O64/O58)</f>
        <v>32.057720012649675</v>
      </c>
      <c r="P65" s="3156">
        <f t="shared" si="1291"/>
        <v>14.219653179190757</v>
      </c>
      <c r="Q65" s="3156">
        <f>SUM(Q64/Q58)</f>
        <v>26.628301530323071</v>
      </c>
      <c r="R65" s="3156">
        <f t="shared" ref="R65:S65" si="1292">SUM(R64/R58)</f>
        <v>26.636693639869922</v>
      </c>
      <c r="S65" s="3156">
        <f t="shared" si="1292"/>
        <v>14.94736842105263</v>
      </c>
      <c r="T65" s="3156">
        <f>SUM(T64/T58)</f>
        <v>31.958887927485438</v>
      </c>
      <c r="U65" s="3156">
        <f t="shared" ref="U65:V65" si="1293">SUM(U64/U58)</f>
        <v>32.063137290101388</v>
      </c>
      <c r="V65" s="3156">
        <f t="shared" si="1293"/>
        <v>14.242375692154086</v>
      </c>
      <c r="W65" s="3156">
        <f>SUM(W64/W58)</f>
        <v>31.796280793356686</v>
      </c>
      <c r="X65" s="3156">
        <f t="shared" ref="X65:Y65" si="1294">SUM(X64/X58)</f>
        <v>32.056344946711064</v>
      </c>
      <c r="Y65" s="3156">
        <f t="shared" si="1294"/>
        <v>14.244565217391305</v>
      </c>
      <c r="Z65" s="3156">
        <f>SUM(Z64/Z58)</f>
        <v>26.471324176454836</v>
      </c>
      <c r="AA65" s="3156">
        <f t="shared" ref="AA65:AB65" si="1295">SUM(AA64/AA58)</f>
        <v>26.637044510846369</v>
      </c>
      <c r="AB65" s="3156">
        <f t="shared" si="1295"/>
        <v>14.866847826086957</v>
      </c>
      <c r="AC65" s="3157">
        <f>SUM(AC64/AC58)</f>
        <v>31.958887927485438</v>
      </c>
      <c r="AD65" s="3157">
        <f t="shared" ref="AD65:AE65" si="1296">SUM(AD64/AD58)</f>
        <v>32.063137290101388</v>
      </c>
      <c r="AE65" s="3157">
        <f t="shared" si="1296"/>
        <v>14.242375692154086</v>
      </c>
      <c r="AF65" s="3157">
        <f>SUM(AF64/AF58)</f>
        <v>31.963961801367883</v>
      </c>
      <c r="AG65" s="3157">
        <f t="shared" ref="AG65:AH65" si="1297">SUM(AG64/AG58)</f>
        <v>32.057203722419494</v>
      </c>
      <c r="AH65" s="3157">
        <f t="shared" si="1297"/>
        <v>14.242386882012083</v>
      </c>
      <c r="AI65" s="3157">
        <f>SUM(AI64/AI58)</f>
        <v>26.576407977808746</v>
      </c>
      <c r="AJ65" s="3157">
        <f t="shared" ref="AJ65:AK65" si="1298">SUM(AJ64/AJ58)</f>
        <v>26.637143578097394</v>
      </c>
      <c r="AK65" s="3157">
        <f t="shared" si="1298"/>
        <v>14.863746958637469</v>
      </c>
      <c r="AL65" s="3110">
        <f t="shared" si="433"/>
        <v>5.073873882444957E-3</v>
      </c>
      <c r="AM65" s="3110">
        <f t="shared" si="1000"/>
        <v>-5.933567681893237E-3</v>
      </c>
      <c r="AN65" s="3110">
        <f t="shared" si="1001"/>
        <v>1.118985799664074E-5</v>
      </c>
      <c r="AO65" s="3156">
        <f>SUM(AO64/AO58)</f>
        <v>31.958887927485438</v>
      </c>
      <c r="AP65" s="3156">
        <f t="shared" ref="AP65:AQ65" si="1299">SUM(AP64/AP58)</f>
        <v>32.063137290101388</v>
      </c>
      <c r="AQ65" s="3156">
        <f t="shared" si="1299"/>
        <v>14.242375692154086</v>
      </c>
      <c r="AR65" s="3156">
        <f>SUM(AR64/AR58)</f>
        <v>32.037126038594771</v>
      </c>
      <c r="AS65" s="3156">
        <f t="shared" ref="AS65:AT65" si="1300">SUM(AS64/AS58)</f>
        <v>32.057685719454781</v>
      </c>
      <c r="AT65" s="3156">
        <f t="shared" si="1300"/>
        <v>14.233333333333333</v>
      </c>
      <c r="AU65" s="3156">
        <f>SUM(AU64/AU58)</f>
        <v>26.615443564573226</v>
      </c>
      <c r="AV65" s="3156">
        <f t="shared" ref="AV65:AW65" si="1301">SUM(AV64/AV58)</f>
        <v>26.636738868393181</v>
      </c>
      <c r="AW65" s="3156">
        <f t="shared" si="1301"/>
        <v>4.1923076923076916</v>
      </c>
      <c r="AX65" s="3156">
        <f>SUM(AX64/AX58)</f>
        <v>31.958887927485438</v>
      </c>
      <c r="AY65" s="3156">
        <f t="shared" ref="AY65:AZ65" si="1302">SUM(AY64/AY58)</f>
        <v>32.063137290101388</v>
      </c>
      <c r="AZ65" s="3156">
        <f t="shared" si="1302"/>
        <v>14.242375692154086</v>
      </c>
      <c r="BA65" s="3156">
        <f>SUM(BA64/BA58)</f>
        <v>32.022291991250015</v>
      </c>
      <c r="BB65" s="3156">
        <f t="shared" ref="BB65:BC65" si="1303">SUM(BB64/BB58)</f>
        <v>32.058053630421583</v>
      </c>
      <c r="BC65" s="3156">
        <f t="shared" si="1303"/>
        <v>14.235294117647058</v>
      </c>
      <c r="BD65" s="3156">
        <f>SUM(BD64/BD58)</f>
        <v>26.609152374040267</v>
      </c>
      <c r="BE65" s="3156">
        <f t="shared" ref="BE65:BF65" si="1304">SUM(BE64/BE58)</f>
        <v>26.636944869831549</v>
      </c>
      <c r="BF65" s="3156">
        <f t="shared" si="1304"/>
        <v>14.305084745762711</v>
      </c>
      <c r="BG65" s="3156">
        <f>SUM(BG64/BG58)</f>
        <v>31.958887927485438</v>
      </c>
      <c r="BH65" s="3156">
        <f t="shared" ref="BH65:BI65" si="1305">SUM(BH64/BH58)</f>
        <v>32.063137290101388</v>
      </c>
      <c r="BI65" s="3156">
        <f t="shared" si="1305"/>
        <v>14.242375692154086</v>
      </c>
      <c r="BJ65" s="3156">
        <f>SUM(BJ64/BJ58)</f>
        <v>31.791086383329652</v>
      </c>
      <c r="BK65" s="3156">
        <f t="shared" ref="BK65:BL65" si="1306">SUM(BK64/BK58)</f>
        <v>32.05775648256968</v>
      </c>
      <c r="BL65" s="3156">
        <f t="shared" si="1306"/>
        <v>14.242110708742887</v>
      </c>
      <c r="BM65" s="3156">
        <f>SUM(BM64/BM58)</f>
        <v>26.471408746397184</v>
      </c>
      <c r="BN65" s="3156">
        <f t="shared" ref="BN65:CJ65" si="1307">SUM(BN64/BN58)</f>
        <v>26.636721004039241</v>
      </c>
      <c r="BO65" s="3156">
        <f t="shared" si="1307"/>
        <v>14.247999999999999</v>
      </c>
      <c r="BP65" s="3157">
        <f t="shared" si="1307"/>
        <v>31.958887927485438</v>
      </c>
      <c r="BQ65" s="3157">
        <f t="shared" si="1307"/>
        <v>32.063137290101388</v>
      </c>
      <c r="BR65" s="3157">
        <f t="shared" si="1307"/>
        <v>14.242375692154086</v>
      </c>
      <c r="BS65" s="3157">
        <f t="shared" si="1307"/>
        <v>31.949988220644165</v>
      </c>
      <c r="BT65" s="3157">
        <f t="shared" si="1307"/>
        <v>32.057830703954615</v>
      </c>
      <c r="BU65" s="3157">
        <f t="shared" si="1307"/>
        <v>14.240804106073567</v>
      </c>
      <c r="BV65" s="3157">
        <f t="shared" si="1307"/>
        <v>26.563873416171884</v>
      </c>
      <c r="BW65" s="3157">
        <f t="shared" si="1307"/>
        <v>26.636799015081561</v>
      </c>
      <c r="BX65" s="3157">
        <f t="shared" si="1307"/>
        <v>13.686956521739132</v>
      </c>
      <c r="BY65" s="3110">
        <f t="shared" si="445"/>
        <v>-8.8997068412730584E-3</v>
      </c>
      <c r="BZ65" s="3110">
        <f t="shared" si="1012"/>
        <v>-5.3065861467729292E-3</v>
      </c>
      <c r="CA65" s="3110">
        <f t="shared" si="1013"/>
        <v>-1.5715860805194382E-3</v>
      </c>
      <c r="CB65" s="3157">
        <f t="shared" si="1307"/>
        <v>31.958887927485438</v>
      </c>
      <c r="CC65" s="3157">
        <f t="shared" si="1307"/>
        <v>32.063137290101388</v>
      </c>
      <c r="CD65" s="3157">
        <f t="shared" si="1307"/>
        <v>14.242375692154086</v>
      </c>
      <c r="CE65" s="3157">
        <f t="shared" si="1307"/>
        <v>31.956985425387707</v>
      </c>
      <c r="CF65" s="3157">
        <f t="shared" si="1307"/>
        <v>32.057516616828636</v>
      </c>
      <c r="CG65" s="3157">
        <f t="shared" si="1307"/>
        <v>14.241539254423639</v>
      </c>
      <c r="CH65" s="3157">
        <f t="shared" si="1307"/>
        <v>26.570062470561989</v>
      </c>
      <c r="CI65" s="3157">
        <f t="shared" si="1307"/>
        <v>26.636969187151443</v>
      </c>
      <c r="CJ65" s="3157">
        <f t="shared" si="1307"/>
        <v>14.242250287026406</v>
      </c>
      <c r="CK65" s="3110">
        <f t="shared" si="457"/>
        <v>-1.9025020977316842E-3</v>
      </c>
      <c r="CL65" s="3110">
        <f t="shared" si="1023"/>
        <v>-5.6206732727517306E-3</v>
      </c>
      <c r="CM65" s="3110">
        <f t="shared" si="1024"/>
        <v>-8.3643773044705938E-4</v>
      </c>
      <c r="CN65" s="3156">
        <f>SUM(CN64/CN58)</f>
        <v>31.960730094258253</v>
      </c>
      <c r="CO65" s="3156">
        <f t="shared" ref="CO65:CP65" si="1308">SUM(CO64/CO58)</f>
        <v>32.063137290101388</v>
      </c>
      <c r="CP65" s="3156">
        <f t="shared" si="1308"/>
        <v>14.557282316599307</v>
      </c>
      <c r="CQ65" s="3156">
        <f>SUM(CQ64/CQ58)</f>
        <v>32.038784413524141</v>
      </c>
      <c r="CR65" s="3156">
        <f t="shared" ref="CR65:CS65" si="1309">SUM(CR64/CR58)</f>
        <v>32.06122153508862</v>
      </c>
      <c r="CS65" s="3156">
        <f t="shared" si="1309"/>
        <v>14.59807073954984</v>
      </c>
      <c r="CT65" s="3156">
        <f>SUM(CT64/CT58)</f>
        <v>34.629122923038771</v>
      </c>
      <c r="CU65" s="3156">
        <f t="shared" ref="CU65:CV65" si="1310">SUM(CU64/CU58)</f>
        <v>34.657905629139073</v>
      </c>
      <c r="CV65" s="3156">
        <f t="shared" si="1310"/>
        <v>14.176470588235293</v>
      </c>
      <c r="CW65" s="3156">
        <f>SUM(CW64/CW58)</f>
        <v>31.960730094258253</v>
      </c>
      <c r="CX65" s="3156">
        <f t="shared" ref="CX65:CY65" si="1311">SUM(CX64/CX58)</f>
        <v>32.063137290101388</v>
      </c>
      <c r="CY65" s="3156">
        <f t="shared" si="1311"/>
        <v>14.557282316599307</v>
      </c>
      <c r="CZ65" s="3156">
        <f>SUM(CZ64/CZ58)</f>
        <v>32.037346761817346</v>
      </c>
      <c r="DA65" s="3156">
        <f t="shared" ref="DA65:DB65" si="1312">SUM(DA64/DA58)</f>
        <v>32.0614414322771</v>
      </c>
      <c r="DB65" s="3156">
        <f t="shared" si="1312"/>
        <v>14.538258575197888</v>
      </c>
      <c r="DC65" s="3156">
        <f>SUM(DC64/DC58)</f>
        <v>34.620880396100887</v>
      </c>
      <c r="DD65" s="3156">
        <f t="shared" ref="DD65:DE65" si="1313">SUM(DD64/DD58)</f>
        <v>34.662093023255814</v>
      </c>
      <c r="DE65" s="3156">
        <f t="shared" si="1313"/>
        <v>14.173076923076923</v>
      </c>
      <c r="DF65" s="3156">
        <f>SUM(DF64/DF58)</f>
        <v>31.960730094258253</v>
      </c>
      <c r="DG65" s="3156">
        <f t="shared" ref="DG65:DH65" si="1314">SUM(DG64/DG58)</f>
        <v>32.063137290101388</v>
      </c>
      <c r="DH65" s="3156">
        <f t="shared" si="1314"/>
        <v>14.557282316599307</v>
      </c>
      <c r="DI65" s="3156">
        <f>SUM(DI64/DI58)</f>
        <v>31.79549225072752</v>
      </c>
      <c r="DJ65" s="3156">
        <f t="shared" ref="DJ65:DK65" si="1315">SUM(DJ64/DJ58)</f>
        <v>32.061245665184572</v>
      </c>
      <c r="DK65" s="3156">
        <f t="shared" si="1315"/>
        <v>14.558853633572161</v>
      </c>
      <c r="DL65" s="3156">
        <f>SUM(DL64/DL58)</f>
        <v>34.368335083420845</v>
      </c>
      <c r="DM65" s="3156">
        <f t="shared" ref="DM65:DN65" si="1316">SUM(DM64/DM58)</f>
        <v>34.660209114223719</v>
      </c>
      <c r="DN65" s="3156">
        <f t="shared" si="1316"/>
        <v>14.266304347826086</v>
      </c>
      <c r="DO65" s="3157">
        <f>SUM(DO64/DO58)</f>
        <v>31.960730094258253</v>
      </c>
      <c r="DP65" s="3157">
        <f t="shared" ref="DP65:DW65" si="1317">SUM(DP64/DP58)</f>
        <v>32.063137290101388</v>
      </c>
      <c r="DQ65" s="3157">
        <f t="shared" si="1317"/>
        <v>14.557282316599307</v>
      </c>
      <c r="DR65" s="3157">
        <f>SUM(DR64/DR58)</f>
        <v>31.957482440250399</v>
      </c>
      <c r="DS65" s="3157">
        <f t="shared" si="1317"/>
        <v>32.061308032759221</v>
      </c>
      <c r="DT65" s="3157">
        <f t="shared" si="1317"/>
        <v>14.559808612440191</v>
      </c>
      <c r="DU65" s="3157">
        <f>SUM(DU64/DU58)</f>
        <v>34.537797489407204</v>
      </c>
      <c r="DV65" s="3157">
        <f t="shared" si="1317"/>
        <v>34.660115530177279</v>
      </c>
      <c r="DW65" s="3157">
        <f t="shared" si="1317"/>
        <v>14.248898678414097</v>
      </c>
      <c r="DX65" s="3110">
        <f t="shared" si="469"/>
        <v>-3.247654007854095E-3</v>
      </c>
      <c r="DY65" s="3110">
        <f t="shared" si="1035"/>
        <v>-1.8292573421661018E-3</v>
      </c>
      <c r="DZ65" s="3110">
        <f t="shared" si="1036"/>
        <v>2.5262958408838188E-3</v>
      </c>
      <c r="EA65" s="3157">
        <f>SUM(EA64/EA58)</f>
        <v>31.959501983076375</v>
      </c>
      <c r="EB65" s="3157">
        <f t="shared" ref="EB65:EI65" si="1318">SUM(EB64/EB58)</f>
        <v>32.06313729010138</v>
      </c>
      <c r="EC65" s="3157">
        <f t="shared" si="1318"/>
        <v>14.347344566969161</v>
      </c>
      <c r="ED65" s="3157">
        <f>SUM(ED64/ED58)</f>
        <v>31.957151293429071</v>
      </c>
      <c r="EE65" s="3157">
        <f t="shared" si="1318"/>
        <v>32.058781674931716</v>
      </c>
      <c r="EF65" s="3157">
        <f t="shared" si="1318"/>
        <v>14.35132600622679</v>
      </c>
      <c r="EG65" s="3157">
        <f>SUM(EG64/EG58)</f>
        <v>29.11577926322671</v>
      </c>
      <c r="EH65" s="3157">
        <f t="shared" si="1318"/>
        <v>29.199346876457863</v>
      </c>
      <c r="EI65" s="3157">
        <f t="shared" si="1318"/>
        <v>14.244528301886794</v>
      </c>
      <c r="EJ65" s="3110">
        <f t="shared" si="481"/>
        <v>-2.3506896473044492E-3</v>
      </c>
      <c r="EK65" s="3110">
        <f t="shared" si="1046"/>
        <v>-4.3556151696648726E-3</v>
      </c>
      <c r="EL65" s="3110">
        <f t="shared" si="1047"/>
        <v>3.9814392576289492E-3</v>
      </c>
      <c r="EM65" s="3156">
        <f>SUM(EM64/EM58)</f>
        <v>31.960730094258253</v>
      </c>
      <c r="EN65" s="3156">
        <f t="shared" ref="EN65:EO65" si="1319">SUM(EN64/EN58)</f>
        <v>32.063137290101388</v>
      </c>
      <c r="EO65" s="3156">
        <f t="shared" si="1319"/>
        <v>14.557282316599307</v>
      </c>
      <c r="EP65" s="3156" t="e">
        <f>SUM(EP64/EP58)</f>
        <v>#DIV/0!</v>
      </c>
      <c r="EQ65" s="3156" t="e">
        <f t="shared" ref="EQ65:ER65" si="1320">SUM(EQ64/EQ58)</f>
        <v>#DIV/0!</v>
      </c>
      <c r="ER65" s="3156" t="e">
        <f t="shared" si="1320"/>
        <v>#DIV/0!</v>
      </c>
      <c r="ES65" s="3156">
        <f>SUM(ES64/ES58)</f>
        <v>34.621021550732422</v>
      </c>
      <c r="ET65" s="3156">
        <f t="shared" ref="ET65:EU65" si="1321">SUM(ET64/ET58)</f>
        <v>34.663118659698739</v>
      </c>
      <c r="EU65" s="3156">
        <f t="shared" si="1321"/>
        <v>14.333333333333332</v>
      </c>
      <c r="EV65" s="3156">
        <f>SUM(EV64/EV58)</f>
        <v>31.960730094258253</v>
      </c>
      <c r="EW65" s="3156">
        <f t="shared" ref="EW65:EX65" si="1322">SUM(EW64/EW58)</f>
        <v>32.063137290101388</v>
      </c>
      <c r="EX65" s="3156">
        <f t="shared" si="1322"/>
        <v>14.557282316599307</v>
      </c>
      <c r="EY65" s="3156" t="e">
        <f>SUM(EY64/EY58)</f>
        <v>#DIV/0!</v>
      </c>
      <c r="EZ65" s="3156" t="e">
        <f t="shared" ref="EZ65:FA65" si="1323">SUM(EZ64/EZ58)</f>
        <v>#DIV/0!</v>
      </c>
      <c r="FA65" s="3156" t="e">
        <f t="shared" si="1323"/>
        <v>#DIV/0!</v>
      </c>
      <c r="FB65" s="3156">
        <f>SUM(FB64/FB58)</f>
        <v>34.617519813162829</v>
      </c>
      <c r="FC65" s="3156">
        <f t="shared" ref="FC65:FD65" si="1324">SUM(FC64/FC58)</f>
        <v>34.661781068948315</v>
      </c>
      <c r="FD65" s="3156">
        <f t="shared" si="1324"/>
        <v>14.017857142857141</v>
      </c>
      <c r="FE65" s="3156">
        <f>SUM(FE64/FE58)</f>
        <v>31.960730094258253</v>
      </c>
      <c r="FF65" s="3156">
        <f t="shared" ref="FF65:FG65" si="1325">SUM(FF64/FF58)</f>
        <v>32.063137290101388</v>
      </c>
      <c r="FG65" s="3156">
        <f t="shared" si="1325"/>
        <v>14.557282316599307</v>
      </c>
      <c r="FH65" s="3156" t="e">
        <f>SUM(FH64/FH58)</f>
        <v>#DIV/0!</v>
      </c>
      <c r="FI65" s="3156" t="e">
        <f t="shared" ref="FI65:FJ65" si="1326">SUM(FI64/FI58)</f>
        <v>#DIV/0!</v>
      </c>
      <c r="FJ65" s="3156" t="e">
        <f t="shared" si="1326"/>
        <v>#DIV/0!</v>
      </c>
      <c r="FK65" s="3156">
        <f>SUM(FK64/FK58)</f>
        <v>34.422118561710398</v>
      </c>
      <c r="FL65" s="3156">
        <f t="shared" ref="FL65:FM65" si="1327">SUM(FL64/FL58)</f>
        <v>34.732859680284193</v>
      </c>
      <c r="FM65" s="3156">
        <f t="shared" si="1327"/>
        <v>14.235897435897437</v>
      </c>
      <c r="FN65" s="3157">
        <f>SUM(FN64/FN58)</f>
        <v>31.960730094258253</v>
      </c>
      <c r="FO65" s="3157">
        <f t="shared" ref="FO65:FV65" si="1328">SUM(FO64/FO58)</f>
        <v>32.063137290101388</v>
      </c>
      <c r="FP65" s="3157">
        <f t="shared" si="1328"/>
        <v>14.557282316599307</v>
      </c>
      <c r="FQ65" s="3157" t="e">
        <f>SUM(FQ64/FQ58)</f>
        <v>#DIV/0!</v>
      </c>
      <c r="FR65" s="3157" t="e">
        <f t="shared" si="1328"/>
        <v>#DIV/0!</v>
      </c>
      <c r="FS65" s="3157" t="e">
        <f t="shared" si="1328"/>
        <v>#DIV/0!</v>
      </c>
      <c r="FT65" s="3157">
        <f>SUM(FT64/FT58)</f>
        <v>34.554182387515723</v>
      </c>
      <c r="FU65" s="3157">
        <f t="shared" si="1328"/>
        <v>34.68548991242799</v>
      </c>
      <c r="FV65" s="3157">
        <f t="shared" si="1328"/>
        <v>14.222</v>
      </c>
      <c r="FW65" s="3110" t="e">
        <f t="shared" si="493"/>
        <v>#DIV/0!</v>
      </c>
      <c r="FX65" s="3110" t="e">
        <f t="shared" si="1058"/>
        <v>#DIV/0!</v>
      </c>
      <c r="FY65" s="3110" t="e">
        <f t="shared" si="1059"/>
        <v>#DIV/0!</v>
      </c>
      <c r="FZ65" s="3157">
        <f>SUM(FZ64/FZ58)</f>
        <v>31.959809010871844</v>
      </c>
      <c r="GA65" s="3157">
        <f t="shared" ref="GA65:GH65" si="1329">SUM(GA64/GA58)</f>
        <v>32.063137290101388</v>
      </c>
      <c r="GB65" s="3157">
        <f t="shared" si="1329"/>
        <v>14.399829004376697</v>
      </c>
      <c r="GC65" s="3157">
        <f>SUM(GC64/GC58)</f>
        <v>31.957151293429071</v>
      </c>
      <c r="GD65" s="3157">
        <f t="shared" si="1329"/>
        <v>32.058781674931716</v>
      </c>
      <c r="GE65" s="3157">
        <f t="shared" si="1329"/>
        <v>14.35132600622679</v>
      </c>
      <c r="GF65" s="3157">
        <f>SUM(GF64/GF58)</f>
        <v>30.460926811771319</v>
      </c>
      <c r="GG65" s="3157">
        <f t="shared" si="1329"/>
        <v>30.555451259849558</v>
      </c>
      <c r="GH65" s="3157">
        <f t="shared" si="1329"/>
        <v>14.238356164383562</v>
      </c>
      <c r="GI65" s="3235">
        <f t="shared" si="505"/>
        <v>-2.6577174427728778E-3</v>
      </c>
      <c r="GJ65" s="3235">
        <f t="shared" si="1069"/>
        <v>-4.355615169671978E-3</v>
      </c>
      <c r="GK65" s="3235">
        <f t="shared" si="1070"/>
        <v>-4.8502998149906773E-2</v>
      </c>
    </row>
    <row r="66" spans="1:193" ht="18.75" customHeight="1" x14ac:dyDescent="0.3">
      <c r="A66" s="3080" t="s">
        <v>3610</v>
      </c>
      <c r="B66" s="3668">
        <f>SUM(B67:B69)</f>
        <v>0</v>
      </c>
      <c r="C66" s="3669"/>
      <c r="D66" s="3670"/>
      <c r="E66" s="3668">
        <f>SUM(E67:E69)</f>
        <v>185.43</v>
      </c>
      <c r="F66" s="3669"/>
      <c r="G66" s="3670"/>
      <c r="H66" s="3668">
        <f>SUM(H67:H69)</f>
        <v>0</v>
      </c>
      <c r="I66" s="3669"/>
      <c r="J66" s="3670"/>
      <c r="K66" s="3668">
        <f>SUM(K67:K69)</f>
        <v>0</v>
      </c>
      <c r="L66" s="3669"/>
      <c r="M66" s="3670"/>
      <c r="N66" s="3668">
        <f>SUM(N67:N69)</f>
        <v>100.23</v>
      </c>
      <c r="O66" s="3669"/>
      <c r="P66" s="3670"/>
      <c r="Q66" s="3668">
        <f>SUM(Q67:Q69)</f>
        <v>0</v>
      </c>
      <c r="R66" s="3669"/>
      <c r="S66" s="3670"/>
      <c r="T66" s="3668">
        <f>SUM(T67:T69)</f>
        <v>0</v>
      </c>
      <c r="U66" s="3669"/>
      <c r="V66" s="3670"/>
      <c r="W66" s="3668">
        <f>SUM(W67:W69)</f>
        <v>106.33</v>
      </c>
      <c r="X66" s="3669"/>
      <c r="Y66" s="3670"/>
      <c r="Z66" s="3668">
        <f>SUM(Z67:Z69)</f>
        <v>0</v>
      </c>
      <c r="AA66" s="3669"/>
      <c r="AB66" s="3670"/>
      <c r="AC66" s="3671">
        <f>SUM(AC67:AC69)</f>
        <v>0</v>
      </c>
      <c r="AD66" s="3672"/>
      <c r="AE66" s="3673"/>
      <c r="AF66" s="3671">
        <f>SUM(AF67:AF69)</f>
        <v>391.99</v>
      </c>
      <c r="AG66" s="3672"/>
      <c r="AH66" s="3673"/>
      <c r="AI66" s="3671">
        <f>SUM(AI67:AI69)</f>
        <v>0</v>
      </c>
      <c r="AJ66" s="3672"/>
      <c r="AK66" s="3673"/>
      <c r="AL66" s="3671">
        <f>SUM(AF66-AC66)</f>
        <v>391.99</v>
      </c>
      <c r="AM66" s="3672"/>
      <c r="AN66" s="3673"/>
      <c r="AO66" s="3668">
        <f>SUM(AO67:AO69)</f>
        <v>0</v>
      </c>
      <c r="AP66" s="3669"/>
      <c r="AQ66" s="3670"/>
      <c r="AR66" s="3668">
        <f>SUM(AR67:AR69)</f>
        <v>210.13</v>
      </c>
      <c r="AS66" s="3669"/>
      <c r="AT66" s="3670"/>
      <c r="AU66" s="3668">
        <f>SUM(AU67:AU69)</f>
        <v>0</v>
      </c>
      <c r="AV66" s="3669"/>
      <c r="AW66" s="3670"/>
      <c r="AX66" s="3668">
        <f>SUM(AX67:AX69)</f>
        <v>0</v>
      </c>
      <c r="AY66" s="3669"/>
      <c r="AZ66" s="3670"/>
      <c r="BA66" s="3668">
        <f>SUM(BA67:BA69)</f>
        <v>201.22</v>
      </c>
      <c r="BB66" s="3669"/>
      <c r="BC66" s="3670"/>
      <c r="BD66" s="3668">
        <f>SUM(BD67:BD69)</f>
        <v>0</v>
      </c>
      <c r="BE66" s="3669"/>
      <c r="BF66" s="3670"/>
      <c r="BG66" s="3668">
        <f>SUM(BG67:BG69)</f>
        <v>0</v>
      </c>
      <c r="BH66" s="3669"/>
      <c r="BI66" s="3670"/>
      <c r="BJ66" s="3668">
        <f>SUM(BJ67:BJ69)</f>
        <v>297.42</v>
      </c>
      <c r="BK66" s="3669"/>
      <c r="BL66" s="3670"/>
      <c r="BM66" s="3668">
        <f>SUM(BM67:BM69)</f>
        <v>0</v>
      </c>
      <c r="BN66" s="3669"/>
      <c r="BO66" s="3670"/>
      <c r="BP66" s="3671">
        <f>SUM(BP67:BP69)</f>
        <v>0</v>
      </c>
      <c r="BQ66" s="3672"/>
      <c r="BR66" s="3673"/>
      <c r="BS66" s="3671">
        <f>SUM(BS67:BS69)</f>
        <v>708.77</v>
      </c>
      <c r="BT66" s="3672"/>
      <c r="BU66" s="3673"/>
      <c r="BV66" s="3671">
        <f>SUM(BV67:BV69)</f>
        <v>0</v>
      </c>
      <c r="BW66" s="3672"/>
      <c r="BX66" s="3673"/>
      <c r="BY66" s="3671">
        <f>SUM(BS66-BP66)</f>
        <v>708.77</v>
      </c>
      <c r="BZ66" s="3672"/>
      <c r="CA66" s="3673"/>
      <c r="CB66" s="3671">
        <f>SUM(CB67:CB69)</f>
        <v>0</v>
      </c>
      <c r="CC66" s="3672"/>
      <c r="CD66" s="3673"/>
      <c r="CE66" s="3671">
        <f>SUM(CE67:CE69)</f>
        <v>1100.76</v>
      </c>
      <c r="CF66" s="3672"/>
      <c r="CG66" s="3673"/>
      <c r="CH66" s="3671">
        <f>SUM(CH67:CH69)</f>
        <v>0</v>
      </c>
      <c r="CI66" s="3672"/>
      <c r="CJ66" s="3673"/>
      <c r="CK66" s="3671">
        <f>SUM(CE66-CB66)</f>
        <v>1100.76</v>
      </c>
      <c r="CL66" s="3672"/>
      <c r="CM66" s="3673"/>
      <c r="CN66" s="3668">
        <f>SUM(CN67:CN69)</f>
        <v>0</v>
      </c>
      <c r="CO66" s="3669"/>
      <c r="CP66" s="3670"/>
      <c r="CQ66" s="3668">
        <f>SUM(CQ67:CQ69)</f>
        <v>261.83999999999997</v>
      </c>
      <c r="CR66" s="3669"/>
      <c r="CS66" s="3670"/>
      <c r="CT66" s="3668">
        <f>SUM(CT67:CT69)</f>
        <v>0</v>
      </c>
      <c r="CU66" s="3669"/>
      <c r="CV66" s="3670"/>
      <c r="CW66" s="3668">
        <f>SUM(CW67:CW69)</f>
        <v>0</v>
      </c>
      <c r="CX66" s="3669"/>
      <c r="CY66" s="3670"/>
      <c r="CZ66" s="3668">
        <f>SUM(CZ67:CZ69)</f>
        <v>454.46</v>
      </c>
      <c r="DA66" s="3669"/>
      <c r="DB66" s="3670"/>
      <c r="DC66" s="3668">
        <f>SUM(DC67:DC69)</f>
        <v>0</v>
      </c>
      <c r="DD66" s="3669"/>
      <c r="DE66" s="3670"/>
      <c r="DF66" s="3668">
        <f>SUM(DF67:DF69)</f>
        <v>0</v>
      </c>
      <c r="DG66" s="3669"/>
      <c r="DH66" s="3670"/>
      <c r="DI66" s="3668">
        <f>SUM(DI67:DI69)</f>
        <v>319.98</v>
      </c>
      <c r="DJ66" s="3669"/>
      <c r="DK66" s="3670"/>
      <c r="DL66" s="3668">
        <f>SUM(DL67:DL69)</f>
        <v>0</v>
      </c>
      <c r="DM66" s="3669"/>
      <c r="DN66" s="3670"/>
      <c r="DO66" s="3671">
        <f>SUM(DO67:DO69)</f>
        <v>0</v>
      </c>
      <c r="DP66" s="3672"/>
      <c r="DQ66" s="3673"/>
      <c r="DR66" s="3671">
        <f>SUM(DR67:DR69)</f>
        <v>1036.28</v>
      </c>
      <c r="DS66" s="3672"/>
      <c r="DT66" s="3673"/>
      <c r="DU66" s="3671">
        <f>SUM(DU67:DU69)</f>
        <v>0</v>
      </c>
      <c r="DV66" s="3672"/>
      <c r="DW66" s="3673"/>
      <c r="DX66" s="3671">
        <f>SUM(DR66-DO66)</f>
        <v>1036.28</v>
      </c>
      <c r="DY66" s="3672"/>
      <c r="DZ66" s="3673"/>
      <c r="EA66" s="3671">
        <f>SUM(EA67:EA69)</f>
        <v>0</v>
      </c>
      <c r="EB66" s="3672"/>
      <c r="EC66" s="3673"/>
      <c r="ED66" s="3671">
        <f>SUM(ED67:ED69)</f>
        <v>2137.04</v>
      </c>
      <c r="EE66" s="3672"/>
      <c r="EF66" s="3673"/>
      <c r="EG66" s="3671">
        <f>SUM(EG67:EG69)</f>
        <v>0</v>
      </c>
      <c r="EH66" s="3672"/>
      <c r="EI66" s="3673"/>
      <c r="EJ66" s="3671">
        <f>SUM(ED66-EA66)</f>
        <v>2137.04</v>
      </c>
      <c r="EK66" s="3672"/>
      <c r="EL66" s="3673"/>
      <c r="EM66" s="3668">
        <f>SUM(EM67:EM69)</f>
        <v>265.91533333333331</v>
      </c>
      <c r="EN66" s="3669"/>
      <c r="EO66" s="3670"/>
      <c r="EP66" s="3668">
        <f>SUM(EP67:EP69)</f>
        <v>0</v>
      </c>
      <c r="EQ66" s="3669"/>
      <c r="ER66" s="3670"/>
      <c r="ES66" s="3668">
        <f>SUM(ES67:ES69)</f>
        <v>0</v>
      </c>
      <c r="ET66" s="3669"/>
      <c r="EU66" s="3670"/>
      <c r="EV66" s="3668">
        <f>SUM(EV67:EV69)</f>
        <v>265.91533333333331</v>
      </c>
      <c r="EW66" s="3669"/>
      <c r="EX66" s="3670"/>
      <c r="EY66" s="3668">
        <f>SUM(EY67:EY69)</f>
        <v>0</v>
      </c>
      <c r="EZ66" s="3669"/>
      <c r="FA66" s="3670"/>
      <c r="FB66" s="3668">
        <f>SUM(FB67:FB69)</f>
        <v>0</v>
      </c>
      <c r="FC66" s="3669"/>
      <c r="FD66" s="3670"/>
      <c r="FE66" s="3668">
        <f>SUM(FE67:FE69)</f>
        <v>265.91533333333331</v>
      </c>
      <c r="FF66" s="3669"/>
      <c r="FG66" s="3670"/>
      <c r="FH66" s="3668">
        <f>SUM(FH67:FH69)</f>
        <v>0</v>
      </c>
      <c r="FI66" s="3669"/>
      <c r="FJ66" s="3670"/>
      <c r="FK66" s="3668">
        <f>SUM(FK67:FK69)</f>
        <v>0</v>
      </c>
      <c r="FL66" s="3669"/>
      <c r="FM66" s="3670"/>
      <c r="FN66" s="3671">
        <f>SUM(FN67:FN69)</f>
        <v>797.74599999999987</v>
      </c>
      <c r="FO66" s="3672"/>
      <c r="FP66" s="3673"/>
      <c r="FQ66" s="3671">
        <f>SUM(FQ67:FQ69)</f>
        <v>0</v>
      </c>
      <c r="FR66" s="3672"/>
      <c r="FS66" s="3673"/>
      <c r="FT66" s="3671">
        <f>SUM(FT67:FT69)</f>
        <v>0</v>
      </c>
      <c r="FU66" s="3672"/>
      <c r="FV66" s="3673"/>
      <c r="FW66" s="3671">
        <f>SUM(FQ66-FN66)</f>
        <v>-797.74599999999987</v>
      </c>
      <c r="FX66" s="3672"/>
      <c r="FY66" s="3673"/>
      <c r="FZ66" s="3671">
        <f>SUM(FZ67:FZ69)</f>
        <v>797.74599999999987</v>
      </c>
      <c r="GA66" s="3672"/>
      <c r="GB66" s="3673"/>
      <c r="GC66" s="3671">
        <f>SUM(GC67:GC69)</f>
        <v>2137.04</v>
      </c>
      <c r="GD66" s="3672"/>
      <c r="GE66" s="3673"/>
      <c r="GF66" s="3671">
        <f>SUM(GF67:GF69)</f>
        <v>0</v>
      </c>
      <c r="GG66" s="3672"/>
      <c r="GH66" s="3673"/>
      <c r="GI66" s="3671">
        <f>SUM(GC66-FZ66)</f>
        <v>1339.2940000000001</v>
      </c>
      <c r="GJ66" s="3672"/>
      <c r="GK66" s="3673"/>
    </row>
    <row r="67" spans="1:193" ht="36" customHeight="1" x14ac:dyDescent="0.2">
      <c r="A67" s="3471" t="s">
        <v>3748</v>
      </c>
      <c r="B67" s="3634">
        <f>SUM('ПОЛНАЯ СЕБЕСТОИМОСТЬ СТОКИ 2019'!B177:D177)/3</f>
        <v>0</v>
      </c>
      <c r="C67" s="3635"/>
      <c r="D67" s="3636"/>
      <c r="E67" s="3634">
        <f>SUM('ПОЛНАЯ СЕБЕСТОИМОСТЬ СТОКИ 2019'!E177:G177)</f>
        <v>0</v>
      </c>
      <c r="F67" s="3635"/>
      <c r="G67" s="3636"/>
      <c r="H67" s="3634">
        <v>0</v>
      </c>
      <c r="I67" s="3635"/>
      <c r="J67" s="3636"/>
      <c r="K67" s="3634">
        <f>SUM(B67)</f>
        <v>0</v>
      </c>
      <c r="L67" s="3635"/>
      <c r="M67" s="3636"/>
      <c r="N67" s="3634">
        <f>SUM('ПОЛНАЯ СЕБЕСТОИМОСТЬ СТОКИ 2019'!H177:J177)</f>
        <v>0</v>
      </c>
      <c r="O67" s="3635"/>
      <c r="P67" s="3636"/>
      <c r="Q67" s="3634">
        <v>0</v>
      </c>
      <c r="R67" s="3635"/>
      <c r="S67" s="3636"/>
      <c r="T67" s="3634">
        <f>SUM(K67)</f>
        <v>0</v>
      </c>
      <c r="U67" s="3635"/>
      <c r="V67" s="3636"/>
      <c r="W67" s="3634">
        <f>SUM('ПОЛНАЯ СЕБЕСТОИМОСТЬ СТОКИ 2019'!K177:M177)</f>
        <v>0</v>
      </c>
      <c r="X67" s="3635"/>
      <c r="Y67" s="3636"/>
      <c r="Z67" s="3634">
        <v>0</v>
      </c>
      <c r="AA67" s="3635"/>
      <c r="AB67" s="3636"/>
      <c r="AC67" s="3631">
        <f>SUM(B67+K67+T67)</f>
        <v>0</v>
      </c>
      <c r="AD67" s="3632"/>
      <c r="AE67" s="3633"/>
      <c r="AF67" s="3631">
        <f>SUM(E67+N67+W67)</f>
        <v>0</v>
      </c>
      <c r="AG67" s="3632"/>
      <c r="AH67" s="3633"/>
      <c r="AI67" s="3631">
        <f>SUM(H67+Q67+Z67)</f>
        <v>0</v>
      </c>
      <c r="AJ67" s="3632"/>
      <c r="AK67" s="3633"/>
      <c r="AL67" s="3631">
        <f>SUM(AF67-AC67)</f>
        <v>0</v>
      </c>
      <c r="AM67" s="3632"/>
      <c r="AN67" s="3633"/>
      <c r="AO67" s="3634">
        <f>SUM(T67)</f>
        <v>0</v>
      </c>
      <c r="AP67" s="3635"/>
      <c r="AQ67" s="3636"/>
      <c r="AR67" s="3634">
        <f>SUM('ПОЛНАЯ СЕБЕСТОИМОСТЬ СТОКИ 2019'!T177:V177)</f>
        <v>0</v>
      </c>
      <c r="AS67" s="3635"/>
      <c r="AT67" s="3636"/>
      <c r="AU67" s="3634">
        <v>0</v>
      </c>
      <c r="AV67" s="3635"/>
      <c r="AW67" s="3636"/>
      <c r="AX67" s="3634">
        <f>SUM(AO67)</f>
        <v>0</v>
      </c>
      <c r="AY67" s="3635"/>
      <c r="AZ67" s="3636"/>
      <c r="BA67" s="3634">
        <f>SUM('ПОЛНАЯ СЕБЕСТОИМОСТЬ СТОКИ 2019'!W177:Y177)</f>
        <v>0</v>
      </c>
      <c r="BB67" s="3635"/>
      <c r="BC67" s="3636"/>
      <c r="BD67" s="3634">
        <v>0</v>
      </c>
      <c r="BE67" s="3635"/>
      <c r="BF67" s="3636"/>
      <c r="BG67" s="3634">
        <f>SUM(AX67)</f>
        <v>0</v>
      </c>
      <c r="BH67" s="3635"/>
      <c r="BI67" s="3636"/>
      <c r="BJ67" s="3634">
        <f>SUM('ПОЛНАЯ СЕБЕСТОИМОСТЬ СТОКИ 2019'!Z177:AB177)</f>
        <v>0</v>
      </c>
      <c r="BK67" s="3635"/>
      <c r="BL67" s="3636"/>
      <c r="BM67" s="3634">
        <v>0</v>
      </c>
      <c r="BN67" s="3635"/>
      <c r="BO67" s="3636"/>
      <c r="BP67" s="3631">
        <f>SUM(AO67+AX67+BG67)</f>
        <v>0</v>
      </c>
      <c r="BQ67" s="3632"/>
      <c r="BR67" s="3633"/>
      <c r="BS67" s="3631">
        <f>SUM(AR67+BA67+BJ67)</f>
        <v>0</v>
      </c>
      <c r="BT67" s="3632"/>
      <c r="BU67" s="3633"/>
      <c r="BV67" s="3631">
        <f>SUM(AU67+BD67+BM67)</f>
        <v>0</v>
      </c>
      <c r="BW67" s="3632"/>
      <c r="BX67" s="3633"/>
      <c r="BY67" s="3631">
        <f>SUM(BS67-BP67)</f>
        <v>0</v>
      </c>
      <c r="BZ67" s="3632"/>
      <c r="CA67" s="3633"/>
      <c r="CB67" s="3631">
        <f>SUM(AC67+BP67)</f>
        <v>0</v>
      </c>
      <c r="CC67" s="3632"/>
      <c r="CD67" s="3633"/>
      <c r="CE67" s="3631">
        <f>SUM(AF67+BS67)</f>
        <v>0</v>
      </c>
      <c r="CF67" s="3632"/>
      <c r="CG67" s="3633"/>
      <c r="CH67" s="3631">
        <f>SUM(AI67+BV67)</f>
        <v>0</v>
      </c>
      <c r="CI67" s="3632"/>
      <c r="CJ67" s="3633"/>
      <c r="CK67" s="3631">
        <f>SUM(CE67-CB67)</f>
        <v>0</v>
      </c>
      <c r="CL67" s="3632"/>
      <c r="CM67" s="3633"/>
      <c r="CN67" s="3634">
        <f>SUM(BG67)</f>
        <v>0</v>
      </c>
      <c r="CO67" s="3635"/>
      <c r="CP67" s="3636"/>
      <c r="CQ67" s="3634">
        <f>SUM('ПОЛНАЯ СЕБЕСТОИМОСТЬ СТОКИ 2019'!AR177:AT177)</f>
        <v>0</v>
      </c>
      <c r="CR67" s="3635"/>
      <c r="CS67" s="3636"/>
      <c r="CT67" s="3634">
        <v>0</v>
      </c>
      <c r="CU67" s="3635"/>
      <c r="CV67" s="3636"/>
      <c r="CW67" s="3634">
        <f>SUM(CN67)</f>
        <v>0</v>
      </c>
      <c r="CX67" s="3635"/>
      <c r="CY67" s="3636"/>
      <c r="CZ67" s="3634">
        <f>SUM('ПОЛНАЯ СЕБЕСТОИМОСТЬ СТОКИ 2019'!AU177:AW177)</f>
        <v>0</v>
      </c>
      <c r="DA67" s="3635"/>
      <c r="DB67" s="3636"/>
      <c r="DC67" s="3634">
        <v>0</v>
      </c>
      <c r="DD67" s="3635"/>
      <c r="DE67" s="3636"/>
      <c r="DF67" s="3634">
        <f>SUM(CW67)</f>
        <v>0</v>
      </c>
      <c r="DG67" s="3635"/>
      <c r="DH67" s="3636"/>
      <c r="DI67" s="3634">
        <f>SUM('ПОЛНАЯ СЕБЕСТОИМОСТЬ СТОКИ 2019'!AX177:AZ177)</f>
        <v>0</v>
      </c>
      <c r="DJ67" s="3635"/>
      <c r="DK67" s="3636"/>
      <c r="DL67" s="3634">
        <v>0</v>
      </c>
      <c r="DM67" s="3635"/>
      <c r="DN67" s="3636"/>
      <c r="DO67" s="3631">
        <f>SUM(CN67+CW67+DF67)</f>
        <v>0</v>
      </c>
      <c r="DP67" s="3632"/>
      <c r="DQ67" s="3633"/>
      <c r="DR67" s="3631">
        <f>SUM(CQ67+CZ67+DI67)</f>
        <v>0</v>
      </c>
      <c r="DS67" s="3632"/>
      <c r="DT67" s="3633"/>
      <c r="DU67" s="3631">
        <f>SUM(CT67+DC67+DL67)</f>
        <v>0</v>
      </c>
      <c r="DV67" s="3632"/>
      <c r="DW67" s="3633"/>
      <c r="DX67" s="3631">
        <f>SUM(DR67-DO67)</f>
        <v>0</v>
      </c>
      <c r="DY67" s="3632"/>
      <c r="DZ67" s="3633"/>
      <c r="EA67" s="3631">
        <f>SUM(CB67+DO67)</f>
        <v>0</v>
      </c>
      <c r="EB67" s="3632"/>
      <c r="EC67" s="3633"/>
      <c r="ED67" s="3631">
        <f>SUM(CE67+DR67)</f>
        <v>0</v>
      </c>
      <c r="EE67" s="3632"/>
      <c r="EF67" s="3633"/>
      <c r="EG67" s="3631">
        <f>SUM(CH67+DU67)</f>
        <v>0</v>
      </c>
      <c r="EH67" s="3632"/>
      <c r="EI67" s="3633"/>
      <c r="EJ67" s="3631">
        <f>SUM(ED67-EA67)</f>
        <v>0</v>
      </c>
      <c r="EK67" s="3632"/>
      <c r="EL67" s="3633"/>
      <c r="EM67" s="3634">
        <f>SUM('ПОЛНАЯ СЕБЕСТОИМОСТЬ СТОКИ 2019'!BM177:BO177)/3</f>
        <v>265.91533333333331</v>
      </c>
      <c r="EN67" s="3635"/>
      <c r="EO67" s="3636"/>
      <c r="EP67" s="3634">
        <f>SUM('ПОЛНАЯ СЕБЕСТОИМОСТЬ СТОКИ 2019'!BP177:BR177)</f>
        <v>0</v>
      </c>
      <c r="EQ67" s="3635"/>
      <c r="ER67" s="3636"/>
      <c r="ES67" s="3634">
        <v>0</v>
      </c>
      <c r="ET67" s="3635"/>
      <c r="EU67" s="3636"/>
      <c r="EV67" s="3634">
        <f>SUM(EM67)</f>
        <v>265.91533333333331</v>
      </c>
      <c r="EW67" s="3635"/>
      <c r="EX67" s="3636"/>
      <c r="EY67" s="3634">
        <f>SUM('ПОЛНАЯ СЕБЕСТОИМОСТЬ СТОКИ 2019'!BS177:BU177)</f>
        <v>0</v>
      </c>
      <c r="EZ67" s="3635"/>
      <c r="FA67" s="3636"/>
      <c r="FB67" s="3634">
        <v>0</v>
      </c>
      <c r="FC67" s="3635"/>
      <c r="FD67" s="3636"/>
      <c r="FE67" s="3634">
        <f>SUM(EV67)</f>
        <v>265.91533333333331</v>
      </c>
      <c r="FF67" s="3635"/>
      <c r="FG67" s="3636"/>
      <c r="FH67" s="3634">
        <f>SUM('ПОЛНАЯ СЕБЕСТОИМОСТЬ СТОКИ 2019'!BV177:BX177)</f>
        <v>0</v>
      </c>
      <c r="FI67" s="3635"/>
      <c r="FJ67" s="3636"/>
      <c r="FK67" s="3634">
        <v>0</v>
      </c>
      <c r="FL67" s="3635"/>
      <c r="FM67" s="3636"/>
      <c r="FN67" s="3631">
        <f>SUM(EM67+EV67+FE67)</f>
        <v>797.74599999999987</v>
      </c>
      <c r="FO67" s="3632"/>
      <c r="FP67" s="3633"/>
      <c r="FQ67" s="3631">
        <f>SUM(EP67+EY67+FH67)</f>
        <v>0</v>
      </c>
      <c r="FR67" s="3632"/>
      <c r="FS67" s="3633"/>
      <c r="FT67" s="3631">
        <f>SUM(ES67+FB67+FK67)</f>
        <v>0</v>
      </c>
      <c r="FU67" s="3632"/>
      <c r="FV67" s="3633"/>
      <c r="FW67" s="3631">
        <f>SUM(FQ67-FN67)</f>
        <v>-797.74599999999987</v>
      </c>
      <c r="FX67" s="3632"/>
      <c r="FY67" s="3633"/>
      <c r="FZ67" s="3631">
        <f>SUM(EA67+FN67)</f>
        <v>797.74599999999987</v>
      </c>
      <c r="GA67" s="3632"/>
      <c r="GB67" s="3633"/>
      <c r="GC67" s="3631">
        <f>SUM(ED67+FQ67)</f>
        <v>0</v>
      </c>
      <c r="GD67" s="3632"/>
      <c r="GE67" s="3633"/>
      <c r="GF67" s="3631">
        <f>SUM(EG67+FT67)</f>
        <v>0</v>
      </c>
      <c r="GG67" s="3632"/>
      <c r="GH67" s="3633"/>
      <c r="GI67" s="3631">
        <f>SUM(GC67-FZ67)</f>
        <v>-797.74599999999987</v>
      </c>
      <c r="GJ67" s="3632"/>
      <c r="GK67" s="3633"/>
    </row>
    <row r="68" spans="1:193" ht="35.25" customHeight="1" x14ac:dyDescent="0.2">
      <c r="A68" s="3081" t="s">
        <v>3664</v>
      </c>
      <c r="B68" s="3634">
        <f>SUM('ПОЛНАЯ СЕБЕСТОИМОСТЬ СТОКИ 2019'!B178:D178)/3</f>
        <v>0</v>
      </c>
      <c r="C68" s="3635"/>
      <c r="D68" s="3636"/>
      <c r="E68" s="3634">
        <f>SUM('ПОЛНАЯ СЕБЕСТОИМОСТЬ СТОКИ 2019'!E178:G178)</f>
        <v>0</v>
      </c>
      <c r="F68" s="3635"/>
      <c r="G68" s="3636"/>
      <c r="H68" s="3634">
        <v>0</v>
      </c>
      <c r="I68" s="3635"/>
      <c r="J68" s="3636"/>
      <c r="K68" s="3634">
        <f>SUM(B68)</f>
        <v>0</v>
      </c>
      <c r="L68" s="3635"/>
      <c r="M68" s="3636"/>
      <c r="N68" s="3634">
        <f>SUM('ПОЛНАЯ СЕБЕСТОИМОСТЬ СТОКИ 2019'!H178:J178)</f>
        <v>0</v>
      </c>
      <c r="O68" s="3635"/>
      <c r="P68" s="3636"/>
      <c r="Q68" s="3634">
        <v>0</v>
      </c>
      <c r="R68" s="3635"/>
      <c r="S68" s="3636"/>
      <c r="T68" s="3634">
        <f>SUM(K68)</f>
        <v>0</v>
      </c>
      <c r="U68" s="3635"/>
      <c r="V68" s="3636"/>
      <c r="W68" s="3634">
        <f>SUM('ПОЛНАЯ СЕБЕСТОИМОСТЬ СТОКИ 2019'!K178:M178)</f>
        <v>0</v>
      </c>
      <c r="X68" s="3635"/>
      <c r="Y68" s="3636"/>
      <c r="Z68" s="3634">
        <v>0</v>
      </c>
      <c r="AA68" s="3635"/>
      <c r="AB68" s="3636"/>
      <c r="AC68" s="3631">
        <f>SUM(B68+K68+T68)</f>
        <v>0</v>
      </c>
      <c r="AD68" s="3632"/>
      <c r="AE68" s="3633"/>
      <c r="AF68" s="3631">
        <f>SUM(E68+N68+W68)</f>
        <v>0</v>
      </c>
      <c r="AG68" s="3632"/>
      <c r="AH68" s="3633"/>
      <c r="AI68" s="3631">
        <f>SUM(H68+Q68+Z68)</f>
        <v>0</v>
      </c>
      <c r="AJ68" s="3632"/>
      <c r="AK68" s="3633"/>
      <c r="AL68" s="3631">
        <f>SUM(AF68-AC68)</f>
        <v>0</v>
      </c>
      <c r="AM68" s="3632"/>
      <c r="AN68" s="3633"/>
      <c r="AO68" s="3634">
        <f>SUM(T68)</f>
        <v>0</v>
      </c>
      <c r="AP68" s="3635"/>
      <c r="AQ68" s="3636"/>
      <c r="AR68" s="3634">
        <f>SUM('ПОЛНАЯ СЕБЕСТОИМОСТЬ СТОКИ 2019'!T178:V178)</f>
        <v>0</v>
      </c>
      <c r="AS68" s="3635"/>
      <c r="AT68" s="3636"/>
      <c r="AU68" s="3634">
        <v>0</v>
      </c>
      <c r="AV68" s="3635"/>
      <c r="AW68" s="3636"/>
      <c r="AX68" s="3634">
        <f>SUM(AO68)</f>
        <v>0</v>
      </c>
      <c r="AY68" s="3635"/>
      <c r="AZ68" s="3636"/>
      <c r="BA68" s="3634">
        <f>SUM('ПОЛНАЯ СЕБЕСТОИМОСТЬ СТОКИ 2019'!W178:Y178)</f>
        <v>0</v>
      </c>
      <c r="BB68" s="3635"/>
      <c r="BC68" s="3636"/>
      <c r="BD68" s="3634">
        <v>0</v>
      </c>
      <c r="BE68" s="3635"/>
      <c r="BF68" s="3636"/>
      <c r="BG68" s="3634">
        <f>SUM(AX68)</f>
        <v>0</v>
      </c>
      <c r="BH68" s="3635"/>
      <c r="BI68" s="3636"/>
      <c r="BJ68" s="3634">
        <f>SUM('ПОЛНАЯ СЕБЕСТОИМОСТЬ СТОКИ 2019'!Z178:AB178)</f>
        <v>0</v>
      </c>
      <c r="BK68" s="3635"/>
      <c r="BL68" s="3636"/>
      <c r="BM68" s="3634">
        <v>0</v>
      </c>
      <c r="BN68" s="3635"/>
      <c r="BO68" s="3636"/>
      <c r="BP68" s="3631">
        <f>SUM(AO68+AX68+BG68)</f>
        <v>0</v>
      </c>
      <c r="BQ68" s="3632"/>
      <c r="BR68" s="3633"/>
      <c r="BS68" s="3631">
        <f>SUM(AR68+BA68+BJ68)</f>
        <v>0</v>
      </c>
      <c r="BT68" s="3632"/>
      <c r="BU68" s="3633"/>
      <c r="BV68" s="3631">
        <f>SUM(AU68+BD68+BM68)</f>
        <v>0</v>
      </c>
      <c r="BW68" s="3632"/>
      <c r="BX68" s="3633"/>
      <c r="BY68" s="3631">
        <f>SUM(BS68-BP68)</f>
        <v>0</v>
      </c>
      <c r="BZ68" s="3632"/>
      <c r="CA68" s="3633"/>
      <c r="CB68" s="3631">
        <f>SUM(AC68+BP68)</f>
        <v>0</v>
      </c>
      <c r="CC68" s="3632"/>
      <c r="CD68" s="3633"/>
      <c r="CE68" s="3631">
        <f>SUM(AF68+BS68)</f>
        <v>0</v>
      </c>
      <c r="CF68" s="3632"/>
      <c r="CG68" s="3633"/>
      <c r="CH68" s="3631">
        <f>SUM(AI68+BV68)</f>
        <v>0</v>
      </c>
      <c r="CI68" s="3632"/>
      <c r="CJ68" s="3633"/>
      <c r="CK68" s="3631">
        <f>SUM(CE68-CB68)</f>
        <v>0</v>
      </c>
      <c r="CL68" s="3632"/>
      <c r="CM68" s="3633"/>
      <c r="CN68" s="3634">
        <f>SUM(BG68)</f>
        <v>0</v>
      </c>
      <c r="CO68" s="3635"/>
      <c r="CP68" s="3636"/>
      <c r="CQ68" s="3634">
        <f>SUM('ПОЛНАЯ СЕБЕСТОИМОСТЬ СТОКИ 2019'!AR178:AT178)</f>
        <v>0</v>
      </c>
      <c r="CR68" s="3635"/>
      <c r="CS68" s="3636"/>
      <c r="CT68" s="3634">
        <v>0</v>
      </c>
      <c r="CU68" s="3635"/>
      <c r="CV68" s="3636"/>
      <c r="CW68" s="3634">
        <f>SUM(CN68)</f>
        <v>0</v>
      </c>
      <c r="CX68" s="3635"/>
      <c r="CY68" s="3636"/>
      <c r="CZ68" s="3634">
        <f>SUM('ПОЛНАЯ СЕБЕСТОИМОСТЬ СТОКИ 2019'!AU178:AW178)</f>
        <v>0</v>
      </c>
      <c r="DA68" s="3635"/>
      <c r="DB68" s="3636"/>
      <c r="DC68" s="3634">
        <v>0</v>
      </c>
      <c r="DD68" s="3635"/>
      <c r="DE68" s="3636"/>
      <c r="DF68" s="3634">
        <f>SUM(CW68)</f>
        <v>0</v>
      </c>
      <c r="DG68" s="3635"/>
      <c r="DH68" s="3636"/>
      <c r="DI68" s="3634">
        <f>SUM('ПОЛНАЯ СЕБЕСТОИМОСТЬ СТОКИ 2019'!AX178:AZ178)</f>
        <v>0</v>
      </c>
      <c r="DJ68" s="3635"/>
      <c r="DK68" s="3636"/>
      <c r="DL68" s="3634">
        <v>0</v>
      </c>
      <c r="DM68" s="3635"/>
      <c r="DN68" s="3636"/>
      <c r="DO68" s="3631">
        <f>SUM(CN68+CW68+DF68)</f>
        <v>0</v>
      </c>
      <c r="DP68" s="3632"/>
      <c r="DQ68" s="3633"/>
      <c r="DR68" s="3631">
        <f>SUM(CQ68+CZ68+DI68)</f>
        <v>0</v>
      </c>
      <c r="DS68" s="3632"/>
      <c r="DT68" s="3633"/>
      <c r="DU68" s="3631">
        <f>SUM(CT68+DC68+DL68)</f>
        <v>0</v>
      </c>
      <c r="DV68" s="3632"/>
      <c r="DW68" s="3633"/>
      <c r="DX68" s="3631">
        <f>SUM(DR68-DO68)</f>
        <v>0</v>
      </c>
      <c r="DY68" s="3632"/>
      <c r="DZ68" s="3633"/>
      <c r="EA68" s="3631">
        <f>SUM(CB68+DO68)</f>
        <v>0</v>
      </c>
      <c r="EB68" s="3632"/>
      <c r="EC68" s="3633"/>
      <c r="ED68" s="3631">
        <f>SUM(CE68+DR68)</f>
        <v>0</v>
      </c>
      <c r="EE68" s="3632"/>
      <c r="EF68" s="3633"/>
      <c r="EG68" s="3631">
        <f>SUM(CH68+DU68)</f>
        <v>0</v>
      </c>
      <c r="EH68" s="3632"/>
      <c r="EI68" s="3633"/>
      <c r="EJ68" s="3631">
        <f>SUM(ED68-EA68)</f>
        <v>0</v>
      </c>
      <c r="EK68" s="3632"/>
      <c r="EL68" s="3633"/>
      <c r="EM68" s="3634">
        <f>SUM(DF68)</f>
        <v>0</v>
      </c>
      <c r="EN68" s="3635"/>
      <c r="EO68" s="3636"/>
      <c r="EP68" s="3634">
        <f>SUM('ПОЛНАЯ СЕБЕСТОИМОСТЬ СТОКИ 2019'!BP178:BR178)</f>
        <v>0</v>
      </c>
      <c r="EQ68" s="3635"/>
      <c r="ER68" s="3636"/>
      <c r="ES68" s="3634">
        <v>0</v>
      </c>
      <c r="ET68" s="3635"/>
      <c r="EU68" s="3636"/>
      <c r="EV68" s="3634">
        <f>SUM(EM68)</f>
        <v>0</v>
      </c>
      <c r="EW68" s="3635"/>
      <c r="EX68" s="3636"/>
      <c r="EY68" s="3634">
        <f>SUM('ПОЛНАЯ СЕБЕСТОИМОСТЬ СТОКИ 2019'!BS178:BU178)</f>
        <v>0</v>
      </c>
      <c r="EZ68" s="3635"/>
      <c r="FA68" s="3636"/>
      <c r="FB68" s="3634">
        <v>0</v>
      </c>
      <c r="FC68" s="3635"/>
      <c r="FD68" s="3636"/>
      <c r="FE68" s="3634">
        <f>SUM(EV68)</f>
        <v>0</v>
      </c>
      <c r="FF68" s="3635"/>
      <c r="FG68" s="3636"/>
      <c r="FH68" s="3634">
        <f>SUM('ПОЛНАЯ СЕБЕСТОИМОСТЬ СТОКИ 2019'!BV178:BX178)</f>
        <v>0</v>
      </c>
      <c r="FI68" s="3635"/>
      <c r="FJ68" s="3636"/>
      <c r="FK68" s="3634">
        <v>0</v>
      </c>
      <c r="FL68" s="3635"/>
      <c r="FM68" s="3636"/>
      <c r="FN68" s="3631">
        <f>SUM(EM68+EV68+FE68)</f>
        <v>0</v>
      </c>
      <c r="FO68" s="3632"/>
      <c r="FP68" s="3633"/>
      <c r="FQ68" s="3631">
        <f>SUM(EP68+EY68+FH68)</f>
        <v>0</v>
      </c>
      <c r="FR68" s="3632"/>
      <c r="FS68" s="3633"/>
      <c r="FT68" s="3631">
        <f>SUM(ES68+FB68+FK68)</f>
        <v>0</v>
      </c>
      <c r="FU68" s="3632"/>
      <c r="FV68" s="3633"/>
      <c r="FW68" s="3631">
        <f>SUM(FQ68-FN68)</f>
        <v>0</v>
      </c>
      <c r="FX68" s="3632"/>
      <c r="FY68" s="3633"/>
      <c r="FZ68" s="3631">
        <f>SUM(EA68+FN68)</f>
        <v>0</v>
      </c>
      <c r="GA68" s="3632"/>
      <c r="GB68" s="3633"/>
      <c r="GC68" s="3631">
        <f>SUM(ED68+FQ68)</f>
        <v>0</v>
      </c>
      <c r="GD68" s="3632"/>
      <c r="GE68" s="3633"/>
      <c r="GF68" s="3631">
        <f>SUM(EG68+FT68)</f>
        <v>0</v>
      </c>
      <c r="GG68" s="3632"/>
      <c r="GH68" s="3633"/>
      <c r="GI68" s="3631">
        <f>SUM(GC68-FZ68)</f>
        <v>0</v>
      </c>
      <c r="GJ68" s="3632"/>
      <c r="GK68" s="3633"/>
    </row>
    <row r="69" spans="1:193" ht="36" customHeight="1" x14ac:dyDescent="0.2">
      <c r="A69" s="3081" t="s">
        <v>3612</v>
      </c>
      <c r="B69" s="3634">
        <f>SUM('ПОЛНАЯ СЕБЕСТОИМОСТЬ СТОКИ 2019'!B179:D179)/3</f>
        <v>0</v>
      </c>
      <c r="C69" s="3635"/>
      <c r="D69" s="3636"/>
      <c r="E69" s="3634">
        <f>SUM('ПОЛНАЯ СЕБЕСТОИМОСТЬ СТОКИ 2019'!E179:G179)</f>
        <v>185.43</v>
      </c>
      <c r="F69" s="3635"/>
      <c r="G69" s="3636"/>
      <c r="H69" s="3634">
        <v>0</v>
      </c>
      <c r="I69" s="3635"/>
      <c r="J69" s="3636"/>
      <c r="K69" s="3634">
        <f>SUM(B69)</f>
        <v>0</v>
      </c>
      <c r="L69" s="3635"/>
      <c r="M69" s="3636"/>
      <c r="N69" s="3634">
        <f>SUM('ПОЛНАЯ СЕБЕСТОИМОСТЬ СТОКИ 2019'!H179:J179)</f>
        <v>100.23</v>
      </c>
      <c r="O69" s="3635"/>
      <c r="P69" s="3636"/>
      <c r="Q69" s="3634">
        <v>0</v>
      </c>
      <c r="R69" s="3635"/>
      <c r="S69" s="3636"/>
      <c r="T69" s="3634">
        <f>SUM(K69)</f>
        <v>0</v>
      </c>
      <c r="U69" s="3635"/>
      <c r="V69" s="3636"/>
      <c r="W69" s="3634">
        <f>SUM('ПОЛНАЯ СЕБЕСТОИМОСТЬ СТОКИ 2019'!K179:M179)</f>
        <v>106.33</v>
      </c>
      <c r="X69" s="3635"/>
      <c r="Y69" s="3636"/>
      <c r="Z69" s="3634">
        <v>0</v>
      </c>
      <c r="AA69" s="3635"/>
      <c r="AB69" s="3636"/>
      <c r="AC69" s="3631">
        <f>SUM(B69+K69+T69)</f>
        <v>0</v>
      </c>
      <c r="AD69" s="3632"/>
      <c r="AE69" s="3633"/>
      <c r="AF69" s="3631">
        <f>SUM(E69+N69+W69)</f>
        <v>391.99</v>
      </c>
      <c r="AG69" s="3632"/>
      <c r="AH69" s="3633"/>
      <c r="AI69" s="3631">
        <f>SUM(H69+Q69+Z69)</f>
        <v>0</v>
      </c>
      <c r="AJ69" s="3632"/>
      <c r="AK69" s="3633"/>
      <c r="AL69" s="3631">
        <f>SUM(AF69-AC69)</f>
        <v>391.99</v>
      </c>
      <c r="AM69" s="3632"/>
      <c r="AN69" s="3633"/>
      <c r="AO69" s="3634">
        <f>SUM(T69)</f>
        <v>0</v>
      </c>
      <c r="AP69" s="3635"/>
      <c r="AQ69" s="3636"/>
      <c r="AR69" s="3634">
        <f>SUM('ПОЛНАЯ СЕБЕСТОИМОСТЬ СТОКИ 2019'!T179:V179)</f>
        <v>210.13</v>
      </c>
      <c r="AS69" s="3635"/>
      <c r="AT69" s="3636"/>
      <c r="AU69" s="3634">
        <v>0</v>
      </c>
      <c r="AV69" s="3635"/>
      <c r="AW69" s="3636"/>
      <c r="AX69" s="3634">
        <f>SUM(AO69)</f>
        <v>0</v>
      </c>
      <c r="AY69" s="3635"/>
      <c r="AZ69" s="3636"/>
      <c r="BA69" s="3634">
        <f>SUM('ПОЛНАЯ СЕБЕСТОИМОСТЬ СТОКИ 2019'!W179:Y179)</f>
        <v>201.22</v>
      </c>
      <c r="BB69" s="3635"/>
      <c r="BC69" s="3636"/>
      <c r="BD69" s="3634">
        <v>0</v>
      </c>
      <c r="BE69" s="3635"/>
      <c r="BF69" s="3636"/>
      <c r="BG69" s="3634">
        <f>SUM(AX69)</f>
        <v>0</v>
      </c>
      <c r="BH69" s="3635"/>
      <c r="BI69" s="3636"/>
      <c r="BJ69" s="3634">
        <f>SUM('ПОЛНАЯ СЕБЕСТОИМОСТЬ СТОКИ 2019'!Z179:AB179)</f>
        <v>297.42</v>
      </c>
      <c r="BK69" s="3635"/>
      <c r="BL69" s="3636"/>
      <c r="BM69" s="3634">
        <v>0</v>
      </c>
      <c r="BN69" s="3635"/>
      <c r="BO69" s="3636"/>
      <c r="BP69" s="3631">
        <f>SUM(AO69+AX69+BG69)</f>
        <v>0</v>
      </c>
      <c r="BQ69" s="3632"/>
      <c r="BR69" s="3633"/>
      <c r="BS69" s="3631">
        <f>SUM(AR69+BA69+BJ69)</f>
        <v>708.77</v>
      </c>
      <c r="BT69" s="3632"/>
      <c r="BU69" s="3633"/>
      <c r="BV69" s="3631">
        <f>SUM(AU69+BD69+BM69)</f>
        <v>0</v>
      </c>
      <c r="BW69" s="3632"/>
      <c r="BX69" s="3633"/>
      <c r="BY69" s="3631">
        <f>SUM(BS69-BP69)</f>
        <v>708.77</v>
      </c>
      <c r="BZ69" s="3632"/>
      <c r="CA69" s="3633"/>
      <c r="CB69" s="3631">
        <f>SUM(AC69+BP69)</f>
        <v>0</v>
      </c>
      <c r="CC69" s="3632"/>
      <c r="CD69" s="3633"/>
      <c r="CE69" s="3631">
        <f>SUM(AF69+BS69)</f>
        <v>1100.76</v>
      </c>
      <c r="CF69" s="3632"/>
      <c r="CG69" s="3633"/>
      <c r="CH69" s="3631">
        <f>SUM(AI69+BV69)</f>
        <v>0</v>
      </c>
      <c r="CI69" s="3632"/>
      <c r="CJ69" s="3633"/>
      <c r="CK69" s="3631">
        <f>SUM(CE69-CB69)</f>
        <v>1100.76</v>
      </c>
      <c r="CL69" s="3632"/>
      <c r="CM69" s="3633"/>
      <c r="CN69" s="3634">
        <f>SUM(BG69)</f>
        <v>0</v>
      </c>
      <c r="CO69" s="3635"/>
      <c r="CP69" s="3636"/>
      <c r="CQ69" s="3634">
        <f>SUM('ПОЛНАЯ СЕБЕСТОИМОСТЬ СТОКИ 2019'!AR179:AT179)</f>
        <v>261.83999999999997</v>
      </c>
      <c r="CR69" s="3635"/>
      <c r="CS69" s="3636"/>
      <c r="CT69" s="3634">
        <v>0</v>
      </c>
      <c r="CU69" s="3635"/>
      <c r="CV69" s="3636"/>
      <c r="CW69" s="3634">
        <f>SUM(CN69)</f>
        <v>0</v>
      </c>
      <c r="CX69" s="3635"/>
      <c r="CY69" s="3636"/>
      <c r="CZ69" s="3634">
        <f>SUM('ПОЛНАЯ СЕБЕСТОИМОСТЬ СТОКИ 2019'!AU179:AW179)</f>
        <v>454.46</v>
      </c>
      <c r="DA69" s="3635"/>
      <c r="DB69" s="3636"/>
      <c r="DC69" s="3634">
        <v>0</v>
      </c>
      <c r="DD69" s="3635"/>
      <c r="DE69" s="3636"/>
      <c r="DF69" s="3634">
        <f>SUM(CW69)</f>
        <v>0</v>
      </c>
      <c r="DG69" s="3635"/>
      <c r="DH69" s="3636"/>
      <c r="DI69" s="3634">
        <f>SUM('ПОЛНАЯ СЕБЕСТОИМОСТЬ СТОКИ 2019'!AX179:AZ179)</f>
        <v>319.98</v>
      </c>
      <c r="DJ69" s="3635"/>
      <c r="DK69" s="3636"/>
      <c r="DL69" s="3634">
        <v>0</v>
      </c>
      <c r="DM69" s="3635"/>
      <c r="DN69" s="3636"/>
      <c r="DO69" s="3631">
        <f>SUM(CN69+CW69+DF69)</f>
        <v>0</v>
      </c>
      <c r="DP69" s="3632"/>
      <c r="DQ69" s="3633"/>
      <c r="DR69" s="3631">
        <f>SUM(CQ69+CZ69+DI69)</f>
        <v>1036.28</v>
      </c>
      <c r="DS69" s="3632"/>
      <c r="DT69" s="3633"/>
      <c r="DU69" s="3631">
        <f>SUM(CT69+DC69+DL69)</f>
        <v>0</v>
      </c>
      <c r="DV69" s="3632"/>
      <c r="DW69" s="3633"/>
      <c r="DX69" s="3631">
        <f>SUM(DR69-DO69)</f>
        <v>1036.28</v>
      </c>
      <c r="DY69" s="3632"/>
      <c r="DZ69" s="3633"/>
      <c r="EA69" s="3631">
        <f>SUM(CB69+DO69)</f>
        <v>0</v>
      </c>
      <c r="EB69" s="3632"/>
      <c r="EC69" s="3633"/>
      <c r="ED69" s="3631">
        <f>SUM(CE69+DR69)</f>
        <v>2137.04</v>
      </c>
      <c r="EE69" s="3632"/>
      <c r="EF69" s="3633"/>
      <c r="EG69" s="3631">
        <f>SUM(CH69+DU69)</f>
        <v>0</v>
      </c>
      <c r="EH69" s="3632"/>
      <c r="EI69" s="3633"/>
      <c r="EJ69" s="3631">
        <f>SUM(ED69-EA69)</f>
        <v>2137.04</v>
      </c>
      <c r="EK69" s="3632"/>
      <c r="EL69" s="3633"/>
      <c r="EM69" s="3634">
        <f>SUM(DF69)</f>
        <v>0</v>
      </c>
      <c r="EN69" s="3635"/>
      <c r="EO69" s="3636"/>
      <c r="EP69" s="3634">
        <f>SUM('ПОЛНАЯ СЕБЕСТОИМОСТЬ СТОКИ 2019'!BP179:BR179)</f>
        <v>0</v>
      </c>
      <c r="EQ69" s="3635"/>
      <c r="ER69" s="3636"/>
      <c r="ES69" s="3634">
        <v>0</v>
      </c>
      <c r="ET69" s="3635"/>
      <c r="EU69" s="3636"/>
      <c r="EV69" s="3634">
        <f>SUM(EM69)</f>
        <v>0</v>
      </c>
      <c r="EW69" s="3635"/>
      <c r="EX69" s="3636"/>
      <c r="EY69" s="3634">
        <f>SUM('ПОЛНАЯ СЕБЕСТОИМОСТЬ СТОКИ 2019'!BS179:BU179)</f>
        <v>0</v>
      </c>
      <c r="EZ69" s="3635"/>
      <c r="FA69" s="3636"/>
      <c r="FB69" s="3634">
        <v>0</v>
      </c>
      <c r="FC69" s="3635"/>
      <c r="FD69" s="3636"/>
      <c r="FE69" s="3634">
        <f>SUM(EV69)</f>
        <v>0</v>
      </c>
      <c r="FF69" s="3635"/>
      <c r="FG69" s="3636"/>
      <c r="FH69" s="3634">
        <f>SUM('ПОЛНАЯ СЕБЕСТОИМОСТЬ СТОКИ 2019'!BV179:BX179)</f>
        <v>0</v>
      </c>
      <c r="FI69" s="3635"/>
      <c r="FJ69" s="3636"/>
      <c r="FK69" s="3634">
        <v>0</v>
      </c>
      <c r="FL69" s="3635"/>
      <c r="FM69" s="3636"/>
      <c r="FN69" s="3631">
        <f>SUM(EM69+EV69+FE69)</f>
        <v>0</v>
      </c>
      <c r="FO69" s="3632"/>
      <c r="FP69" s="3633"/>
      <c r="FQ69" s="3631">
        <f>SUM(EP69+EY69+FH69)</f>
        <v>0</v>
      </c>
      <c r="FR69" s="3632"/>
      <c r="FS69" s="3633"/>
      <c r="FT69" s="3631">
        <f>SUM(ES69+FB69+FK69)</f>
        <v>0</v>
      </c>
      <c r="FU69" s="3632"/>
      <c r="FV69" s="3633"/>
      <c r="FW69" s="3631">
        <f>SUM(FQ69-FN69)</f>
        <v>0</v>
      </c>
      <c r="FX69" s="3632"/>
      <c r="FY69" s="3633"/>
      <c r="FZ69" s="3631">
        <f>SUM(EA69+FN69)</f>
        <v>0</v>
      </c>
      <c r="GA69" s="3632"/>
      <c r="GB69" s="3633"/>
      <c r="GC69" s="3631">
        <f>SUM(ED69+FQ69)</f>
        <v>2137.04</v>
      </c>
      <c r="GD69" s="3632"/>
      <c r="GE69" s="3633"/>
      <c r="GF69" s="3631">
        <f>SUM(EG69+FT69)</f>
        <v>0</v>
      </c>
      <c r="GG69" s="3632"/>
      <c r="GH69" s="3633"/>
      <c r="GI69" s="3631">
        <f>SUM(GC69-FZ69)</f>
        <v>2137.04</v>
      </c>
      <c r="GJ69" s="3632"/>
      <c r="GK69" s="3633"/>
    </row>
    <row r="70" spans="1:193" ht="18.75" customHeight="1" x14ac:dyDescent="0.3">
      <c r="A70" s="3106" t="s">
        <v>3747</v>
      </c>
      <c r="B70" s="3668">
        <f>SUM(B57+B66)</f>
        <v>8022.7364006009084</v>
      </c>
      <c r="C70" s="3669"/>
      <c r="D70" s="3670"/>
      <c r="E70" s="3674">
        <f>SUM(E57+E66)</f>
        <v>6547.5820000000003</v>
      </c>
      <c r="F70" s="3675"/>
      <c r="G70" s="3676"/>
      <c r="H70" s="3674">
        <f t="shared" ref="H70" si="1330">SUM(H57+H66)</f>
        <v>6173.19</v>
      </c>
      <c r="I70" s="3675"/>
      <c r="J70" s="3676"/>
      <c r="K70" s="3674">
        <f t="shared" ref="K70" si="1331">SUM(K57+K66)</f>
        <v>8022.7364006009084</v>
      </c>
      <c r="L70" s="3675"/>
      <c r="M70" s="3676"/>
      <c r="N70" s="3674">
        <f t="shared" ref="N70" si="1332">SUM(N57+N66)</f>
        <v>6122.317</v>
      </c>
      <c r="O70" s="3675"/>
      <c r="P70" s="3676"/>
      <c r="Q70" s="3674">
        <f t="shared" ref="Q70:Z70" si="1333">SUM(Q57+Q66)</f>
        <v>5859.82</v>
      </c>
      <c r="R70" s="3675"/>
      <c r="S70" s="3676"/>
      <c r="T70" s="3674">
        <f t="shared" si="1333"/>
        <v>8022.7364006009084</v>
      </c>
      <c r="U70" s="3675"/>
      <c r="V70" s="3676"/>
      <c r="W70" s="3674">
        <f t="shared" si="1333"/>
        <v>6987.5310000000009</v>
      </c>
      <c r="X70" s="3675"/>
      <c r="Y70" s="3676"/>
      <c r="Z70" s="3674">
        <f t="shared" si="1333"/>
        <v>7630.9999999999991</v>
      </c>
      <c r="AA70" s="3675"/>
      <c r="AB70" s="3676"/>
      <c r="AC70" s="3677">
        <f t="shared" ref="AC70:AI70" si="1334">SUM(AC57+AC66)</f>
        <v>24068.209201802725</v>
      </c>
      <c r="AD70" s="3678"/>
      <c r="AE70" s="3679"/>
      <c r="AF70" s="3677">
        <f t="shared" si="1334"/>
        <v>19657.430000000004</v>
      </c>
      <c r="AG70" s="3678"/>
      <c r="AH70" s="3679"/>
      <c r="AI70" s="3677">
        <f t="shared" si="1334"/>
        <v>19664.009999999998</v>
      </c>
      <c r="AJ70" s="3678"/>
      <c r="AK70" s="3679"/>
      <c r="AL70" s="3680">
        <f>SUM(AF70-AC70)</f>
        <v>-4410.7792018027212</v>
      </c>
      <c r="AM70" s="3681"/>
      <c r="AN70" s="3682"/>
      <c r="AO70" s="3674">
        <f t="shared" ref="AO70:BM70" si="1335">SUM(AO57+AO66)</f>
        <v>8022.7364006009084</v>
      </c>
      <c r="AP70" s="3675"/>
      <c r="AQ70" s="3676"/>
      <c r="AR70" s="3674">
        <f t="shared" si="1335"/>
        <v>7298.87</v>
      </c>
      <c r="AS70" s="3675"/>
      <c r="AT70" s="3676"/>
      <c r="AU70" s="3674">
        <f t="shared" si="1335"/>
        <v>6737.2</v>
      </c>
      <c r="AV70" s="3675"/>
      <c r="AW70" s="3676"/>
      <c r="AX70" s="3674">
        <f t="shared" si="1335"/>
        <v>8022.7364006009084</v>
      </c>
      <c r="AY70" s="3675"/>
      <c r="AZ70" s="3676"/>
      <c r="BA70" s="3674">
        <f t="shared" si="1335"/>
        <v>7342.4170000000004</v>
      </c>
      <c r="BB70" s="3675"/>
      <c r="BC70" s="3676"/>
      <c r="BD70" s="3674">
        <f t="shared" si="1335"/>
        <v>6494.0300000000007</v>
      </c>
      <c r="BE70" s="3675"/>
      <c r="BF70" s="3676"/>
      <c r="BG70" s="3674">
        <f t="shared" si="1335"/>
        <v>8022.7364006009084</v>
      </c>
      <c r="BH70" s="3675"/>
      <c r="BI70" s="3676"/>
      <c r="BJ70" s="3674">
        <f t="shared" si="1335"/>
        <v>7157.9730000000009</v>
      </c>
      <c r="BK70" s="3675"/>
      <c r="BL70" s="3676"/>
      <c r="BM70" s="3674">
        <f t="shared" si="1335"/>
        <v>7100.3099999999995</v>
      </c>
      <c r="BN70" s="3675"/>
      <c r="BO70" s="3676"/>
      <c r="BP70" s="3677">
        <f t="shared" ref="BP70:BS70" si="1336">SUM(BP57+BP66)</f>
        <v>24068.209201802725</v>
      </c>
      <c r="BQ70" s="3678"/>
      <c r="BR70" s="3679"/>
      <c r="BS70" s="3677">
        <f t="shared" si="1336"/>
        <v>21799.260000000002</v>
      </c>
      <c r="BT70" s="3678"/>
      <c r="BU70" s="3679"/>
      <c r="BV70" s="3671">
        <f>SUM(BV64-BV66)</f>
        <v>21698.7</v>
      </c>
      <c r="BW70" s="3672"/>
      <c r="BX70" s="3673"/>
      <c r="BY70" s="3680">
        <f>SUM(BS70-BP70)</f>
        <v>-2268.9492018027231</v>
      </c>
      <c r="BZ70" s="3681"/>
      <c r="CA70" s="3682"/>
      <c r="CB70" s="3677">
        <f t="shared" ref="CB70:CH70" si="1337">SUM(CB57+CB66)</f>
        <v>48136.41840360545</v>
      </c>
      <c r="CC70" s="3678"/>
      <c r="CD70" s="3679"/>
      <c r="CE70" s="3677">
        <f t="shared" si="1337"/>
        <v>41456.69000000001</v>
      </c>
      <c r="CF70" s="3678"/>
      <c r="CG70" s="3679"/>
      <c r="CH70" s="3677">
        <f t="shared" si="1337"/>
        <v>39995.550000000003</v>
      </c>
      <c r="CI70" s="3678"/>
      <c r="CJ70" s="3679"/>
      <c r="CK70" s="3680">
        <f>SUM(CE70-CB70)</f>
        <v>-6679.7284036054407</v>
      </c>
      <c r="CL70" s="3681"/>
      <c r="CM70" s="3682"/>
      <c r="CN70" s="3674">
        <f t="shared" ref="CN70:DU70" si="1338">SUM(CN57+CN66)</f>
        <v>8065.3567598536101</v>
      </c>
      <c r="CO70" s="3675"/>
      <c r="CP70" s="3676"/>
      <c r="CQ70" s="3674">
        <f t="shared" si="1338"/>
        <v>6738.0350000000008</v>
      </c>
      <c r="CR70" s="3675"/>
      <c r="CS70" s="3676"/>
      <c r="CT70" s="3674">
        <f t="shared" si="1338"/>
        <v>7081.82</v>
      </c>
      <c r="CU70" s="3675"/>
      <c r="CV70" s="3676"/>
      <c r="CW70" s="3674">
        <f t="shared" si="1338"/>
        <v>8065.3567598536101</v>
      </c>
      <c r="CX70" s="3675"/>
      <c r="CY70" s="3676"/>
      <c r="CZ70" s="3674">
        <f t="shared" si="1338"/>
        <v>7177.2579999999998</v>
      </c>
      <c r="DA70" s="3675"/>
      <c r="DB70" s="3676"/>
      <c r="DC70" s="3674">
        <f t="shared" si="1338"/>
        <v>6792.37</v>
      </c>
      <c r="DD70" s="3675"/>
      <c r="DE70" s="3676"/>
      <c r="DF70" s="3674">
        <f t="shared" si="1338"/>
        <v>8065.3567598536101</v>
      </c>
      <c r="DG70" s="3675"/>
      <c r="DH70" s="3676"/>
      <c r="DI70" s="3674">
        <f t="shared" si="1338"/>
        <v>7566.4030000000002</v>
      </c>
      <c r="DJ70" s="3675"/>
      <c r="DK70" s="3676"/>
      <c r="DL70" s="3674">
        <f t="shared" si="1338"/>
        <v>6664.42</v>
      </c>
      <c r="DM70" s="3675"/>
      <c r="DN70" s="3676"/>
      <c r="DO70" s="3677">
        <f t="shared" si="1338"/>
        <v>24196.07027956083</v>
      </c>
      <c r="DP70" s="3678"/>
      <c r="DQ70" s="3679"/>
      <c r="DR70" s="3677">
        <f t="shared" si="1338"/>
        <v>21481.696</v>
      </c>
      <c r="DS70" s="3678"/>
      <c r="DT70" s="3679"/>
      <c r="DU70" s="3677">
        <f t="shared" si="1338"/>
        <v>20538.61</v>
      </c>
      <c r="DV70" s="3678"/>
      <c r="DW70" s="3679"/>
      <c r="DX70" s="3680">
        <f>SUM(DR70-DO70)</f>
        <v>-2714.3742795608305</v>
      </c>
      <c r="DY70" s="3681"/>
      <c r="DZ70" s="3682"/>
      <c r="EA70" s="3677">
        <f t="shared" ref="EA70:EG70" si="1339">SUM(EA57+EA66)</f>
        <v>72332.488683166273</v>
      </c>
      <c r="EB70" s="3678"/>
      <c r="EC70" s="3679"/>
      <c r="ED70" s="3677">
        <f t="shared" si="1339"/>
        <v>62938.386000000006</v>
      </c>
      <c r="EE70" s="3678"/>
      <c r="EF70" s="3679"/>
      <c r="EG70" s="3677">
        <f t="shared" si="1339"/>
        <v>60534.16</v>
      </c>
      <c r="EH70" s="3678"/>
      <c r="EI70" s="3679"/>
      <c r="EJ70" s="3680">
        <f>SUM(ED70-EA70)</f>
        <v>-9394.1026831662675</v>
      </c>
      <c r="EK70" s="3681"/>
      <c r="EL70" s="3682"/>
      <c r="EM70" s="3674">
        <f t="shared" ref="EM70:FT70" si="1340">SUM(EM57+EM66)</f>
        <v>8331.2720931869426</v>
      </c>
      <c r="EN70" s="3675"/>
      <c r="EO70" s="3676"/>
      <c r="EP70" s="3674">
        <f t="shared" si="1340"/>
        <v>0</v>
      </c>
      <c r="EQ70" s="3675"/>
      <c r="ER70" s="3676"/>
      <c r="ES70" s="3674">
        <f t="shared" si="1340"/>
        <v>6749.0399999999991</v>
      </c>
      <c r="ET70" s="3675"/>
      <c r="EU70" s="3676"/>
      <c r="EV70" s="3674">
        <f t="shared" si="1340"/>
        <v>8331.2720931869426</v>
      </c>
      <c r="EW70" s="3675"/>
      <c r="EX70" s="3676"/>
      <c r="EY70" s="3674">
        <f t="shared" si="1340"/>
        <v>0</v>
      </c>
      <c r="EZ70" s="3675"/>
      <c r="FA70" s="3676"/>
      <c r="FB70" s="3674">
        <f t="shared" si="1340"/>
        <v>6465.6800000000012</v>
      </c>
      <c r="FC70" s="3675"/>
      <c r="FD70" s="3676"/>
      <c r="FE70" s="3674">
        <f t="shared" si="1340"/>
        <v>8331.2720931869426</v>
      </c>
      <c r="FF70" s="3675"/>
      <c r="FG70" s="3676"/>
      <c r="FH70" s="3674">
        <f t="shared" si="1340"/>
        <v>0</v>
      </c>
      <c r="FI70" s="3675"/>
      <c r="FJ70" s="3676"/>
      <c r="FK70" s="3674">
        <f t="shared" si="1340"/>
        <v>6605.9199999999992</v>
      </c>
      <c r="FL70" s="3675"/>
      <c r="FM70" s="3676"/>
      <c r="FN70" s="3677">
        <f t="shared" si="1340"/>
        <v>24993.81627956083</v>
      </c>
      <c r="FO70" s="3678"/>
      <c r="FP70" s="3679"/>
      <c r="FQ70" s="3677">
        <f t="shared" si="1340"/>
        <v>0</v>
      </c>
      <c r="FR70" s="3678"/>
      <c r="FS70" s="3679"/>
      <c r="FT70" s="3677">
        <f t="shared" si="1340"/>
        <v>19820.64</v>
      </c>
      <c r="FU70" s="3678"/>
      <c r="FV70" s="3679"/>
      <c r="FW70" s="3680">
        <f>SUM(FQ70-FN70)</f>
        <v>-24993.81627956083</v>
      </c>
      <c r="FX70" s="3681"/>
      <c r="FY70" s="3682"/>
      <c r="FZ70" s="3677">
        <f t="shared" ref="FZ70:GF70" si="1341">SUM(FZ57+FZ66)</f>
        <v>97326.30496272711</v>
      </c>
      <c r="GA70" s="3678"/>
      <c r="GB70" s="3679"/>
      <c r="GC70" s="3677">
        <f t="shared" si="1341"/>
        <v>62938.386000000006</v>
      </c>
      <c r="GD70" s="3678"/>
      <c r="GE70" s="3679"/>
      <c r="GF70" s="3677">
        <f t="shared" si="1341"/>
        <v>80354.8</v>
      </c>
      <c r="GG70" s="3678"/>
      <c r="GH70" s="3679"/>
      <c r="GI70" s="3680">
        <f>SUM(GC70-FZ70)</f>
        <v>-34387.918962727104</v>
      </c>
      <c r="GJ70" s="3681"/>
      <c r="GK70" s="3682"/>
    </row>
    <row r="71" spans="1:193" ht="18.75" customHeight="1" x14ac:dyDescent="0.3">
      <c r="A71" s="585"/>
      <c r="B71" s="3203"/>
      <c r="C71" s="3203"/>
      <c r="D71" s="3203"/>
      <c r="E71" s="3202"/>
      <c r="F71" s="3202"/>
      <c r="G71" s="3202"/>
      <c r="H71" s="3202"/>
      <c r="I71" s="3202"/>
      <c r="J71" s="3202"/>
      <c r="K71" s="3202"/>
      <c r="L71" s="3202"/>
      <c r="M71" s="3202"/>
      <c r="N71" s="3202"/>
      <c r="O71" s="3202"/>
      <c r="P71" s="3202"/>
      <c r="Q71" s="3202"/>
      <c r="R71" s="3202"/>
      <c r="S71" s="3202"/>
      <c r="T71" s="3202"/>
      <c r="U71" s="3202"/>
      <c r="V71" s="3202"/>
      <c r="W71" s="3202"/>
      <c r="X71" s="3202"/>
      <c r="Y71" s="3202"/>
      <c r="Z71" s="3202"/>
      <c r="AA71" s="3202"/>
      <c r="AB71" s="3202"/>
      <c r="AC71" s="3202"/>
      <c r="AD71" s="3202"/>
      <c r="AE71" s="3202"/>
      <c r="AF71" s="3202"/>
      <c r="AG71" s="3202"/>
      <c r="AH71" s="3202"/>
      <c r="AI71" s="3202"/>
      <c r="AJ71" s="3202"/>
      <c r="AK71" s="3202"/>
      <c r="AL71" s="3202"/>
      <c r="AM71" s="3202"/>
      <c r="AN71" s="3202"/>
      <c r="AO71" s="3201"/>
      <c r="AP71" s="3201"/>
      <c r="AQ71" s="3201"/>
      <c r="AR71" s="3201"/>
      <c r="AS71" s="3201"/>
      <c r="AT71" s="3201"/>
      <c r="AU71" s="3201"/>
      <c r="AV71" s="3201"/>
      <c r="AW71" s="3201"/>
      <c r="AX71" s="3201"/>
      <c r="AY71" s="3201"/>
      <c r="AZ71" s="3201"/>
      <c r="BA71" s="3201"/>
      <c r="BB71" s="3201"/>
      <c r="BC71" s="3201"/>
      <c r="BD71" s="3201"/>
      <c r="BE71" s="3201"/>
      <c r="BF71" s="3201"/>
      <c r="BG71" s="3201"/>
      <c r="BH71" s="3201"/>
      <c r="BI71" s="3201"/>
      <c r="BJ71" s="3201"/>
      <c r="BK71" s="3201"/>
      <c r="BL71" s="3201"/>
      <c r="BM71" s="3201"/>
      <c r="BN71" s="3201"/>
      <c r="BO71" s="3201"/>
      <c r="BP71" s="3201"/>
      <c r="BQ71" s="3201"/>
      <c r="BR71" s="3201"/>
      <c r="BS71" s="3201"/>
      <c r="BT71" s="3201"/>
      <c r="BU71" s="3201"/>
      <c r="BV71" s="3201"/>
      <c r="BW71" s="3201"/>
      <c r="BX71" s="3201"/>
      <c r="BY71" s="3201"/>
      <c r="BZ71" s="3201"/>
      <c r="CA71" s="3201"/>
      <c r="CB71" s="3201"/>
      <c r="CC71" s="3201"/>
      <c r="CD71" s="3201"/>
      <c r="CE71" s="3201"/>
      <c r="CF71" s="3201"/>
      <c r="CG71" s="3201"/>
      <c r="CH71" s="3201"/>
      <c r="CI71" s="3201"/>
      <c r="CJ71" s="3201"/>
      <c r="CK71" s="3201"/>
      <c r="CL71" s="3201"/>
      <c r="CM71" s="3201"/>
      <c r="CN71" s="3201"/>
      <c r="CO71" s="3201"/>
      <c r="CP71" s="3201"/>
      <c r="CQ71" s="3201"/>
      <c r="CR71" s="3201"/>
      <c r="CS71" s="3201"/>
      <c r="CT71" s="3201"/>
      <c r="CU71" s="3201"/>
      <c r="CV71" s="3201"/>
      <c r="CW71" s="3201"/>
      <c r="CX71" s="3201"/>
      <c r="CY71" s="3201"/>
      <c r="CZ71" s="3201"/>
      <c r="DA71" s="3201"/>
      <c r="DB71" s="3201"/>
      <c r="DC71" s="3201"/>
      <c r="DD71" s="3201"/>
      <c r="DE71" s="3201"/>
      <c r="DF71" s="3201"/>
      <c r="DG71" s="3201"/>
      <c r="DH71" s="3201"/>
      <c r="DI71" s="3201"/>
      <c r="DJ71" s="3201"/>
      <c r="DK71" s="3201"/>
      <c r="DL71" s="3201"/>
      <c r="DM71" s="3201"/>
      <c r="DN71" s="3201"/>
      <c r="DO71" s="3201"/>
      <c r="DP71" s="3201"/>
      <c r="DQ71" s="3201"/>
      <c r="DR71" s="3201"/>
      <c r="DS71" s="3201"/>
      <c r="DT71" s="3201"/>
      <c r="DU71" s="3201"/>
      <c r="DV71" s="3201"/>
      <c r="DW71" s="3201"/>
      <c r="DX71" s="3201"/>
      <c r="DY71" s="3201"/>
      <c r="DZ71" s="3201"/>
      <c r="EA71" s="3201"/>
      <c r="EB71" s="3201"/>
      <c r="EC71" s="3201"/>
      <c r="ED71" s="3201"/>
      <c r="EE71" s="3201"/>
      <c r="EF71" s="3201"/>
      <c r="EG71" s="3201"/>
      <c r="EH71" s="3201"/>
      <c r="EI71" s="3201"/>
      <c r="EJ71" s="3201"/>
      <c r="EK71" s="3201"/>
      <c r="EL71" s="3201"/>
      <c r="EM71" s="3201"/>
      <c r="EN71" s="3201"/>
      <c r="EO71" s="3201"/>
      <c r="EP71" s="3201"/>
      <c r="EQ71" s="3201"/>
      <c r="ER71" s="3201"/>
      <c r="ES71" s="3201"/>
      <c r="ET71" s="3201"/>
      <c r="EU71" s="3201"/>
      <c r="EV71" s="3201"/>
      <c r="EW71" s="3201"/>
      <c r="EX71" s="3201"/>
      <c r="EY71" s="3201"/>
      <c r="EZ71" s="3201"/>
      <c r="FA71" s="3201"/>
      <c r="FB71" s="3201"/>
      <c r="FC71" s="3201"/>
      <c r="FD71" s="3201"/>
      <c r="FE71" s="3201"/>
      <c r="FF71" s="3201"/>
      <c r="FG71" s="3201"/>
      <c r="FH71" s="3201"/>
      <c r="FI71" s="3201"/>
      <c r="FJ71" s="3201"/>
      <c r="FK71" s="3201"/>
      <c r="FL71" s="3201"/>
      <c r="FM71" s="3201"/>
      <c r="FN71" s="3202"/>
      <c r="FO71" s="3202"/>
      <c r="FP71" s="3202"/>
      <c r="FQ71" s="3202"/>
      <c r="FR71" s="3202"/>
      <c r="FS71" s="3202"/>
      <c r="FT71" s="3202"/>
      <c r="FU71" s="3202"/>
      <c r="FV71" s="3202"/>
      <c r="FW71" s="3202"/>
      <c r="FX71" s="3202"/>
      <c r="FY71" s="3202"/>
      <c r="FZ71" s="156"/>
      <c r="GA71" s="156"/>
      <c r="GB71" s="156"/>
      <c r="GC71" s="156"/>
      <c r="GD71" s="156"/>
      <c r="GE71" s="156"/>
      <c r="GF71" s="156"/>
      <c r="GG71" s="156"/>
      <c r="GH71" s="156"/>
      <c r="GI71" s="156"/>
      <c r="GJ71" s="156"/>
      <c r="GK71" s="156"/>
    </row>
    <row r="72" spans="1:193" ht="18.75" customHeight="1" x14ac:dyDescent="0.3">
      <c r="B72" s="3203"/>
      <c r="C72" s="3203"/>
      <c r="D72" s="3203"/>
      <c r="E72" s="3202"/>
      <c r="F72" s="3202"/>
      <c r="G72" s="3202"/>
      <c r="H72" s="3202"/>
      <c r="I72" s="3202"/>
      <c r="J72" s="3202"/>
      <c r="K72" s="3202"/>
      <c r="L72" s="3202"/>
      <c r="M72" s="3202"/>
      <c r="N72" s="3202"/>
      <c r="O72" s="3202"/>
      <c r="P72" s="3202"/>
      <c r="Q72" s="3202"/>
      <c r="R72" s="3202"/>
      <c r="S72" s="3202"/>
      <c r="T72" s="3202"/>
      <c r="U72" s="3202"/>
      <c r="V72" s="3202"/>
      <c r="W72" s="3202"/>
      <c r="X72" s="3202"/>
      <c r="Y72" s="3202"/>
      <c r="Z72" s="3202"/>
      <c r="AA72" s="3202"/>
      <c r="AB72" s="3202"/>
      <c r="AC72" s="3202"/>
      <c r="AD72" s="3202"/>
      <c r="AE72" s="3202"/>
      <c r="AF72" s="3202"/>
      <c r="AG72" s="3202"/>
      <c r="AH72" s="3202"/>
      <c r="AI72" s="3202"/>
      <c r="AJ72" s="3202"/>
      <c r="AK72" s="3202"/>
      <c r="AL72" s="3202"/>
      <c r="AM72" s="3202"/>
      <c r="AN72" s="3202"/>
      <c r="AO72" s="3201"/>
      <c r="AP72" s="3201"/>
      <c r="AQ72" s="3201"/>
      <c r="AR72" s="3201"/>
      <c r="AS72" s="3201"/>
      <c r="AT72" s="3201"/>
      <c r="AU72" s="3201"/>
      <c r="AV72" s="3201"/>
      <c r="AW72" s="3201"/>
      <c r="AX72" s="3201"/>
      <c r="AY72" s="3201"/>
      <c r="AZ72" s="3201"/>
      <c r="BA72" s="3201"/>
      <c r="BB72" s="3201"/>
      <c r="BC72" s="3201"/>
      <c r="BD72" s="3201"/>
      <c r="BE72" s="3201"/>
      <c r="BF72" s="3201"/>
      <c r="BG72" s="3201"/>
      <c r="BH72" s="3201"/>
      <c r="BI72" s="3201"/>
      <c r="BJ72" s="3201"/>
      <c r="BK72" s="3201"/>
      <c r="BL72" s="3201"/>
      <c r="BM72" s="3201"/>
      <c r="BN72" s="3201"/>
      <c r="BO72" s="3201"/>
      <c r="BP72" s="3201"/>
      <c r="BQ72" s="3201"/>
      <c r="BR72" s="3201"/>
      <c r="BS72" s="3201"/>
      <c r="BT72" s="3201"/>
      <c r="BU72" s="3201"/>
      <c r="BV72" s="3201"/>
      <c r="BW72" s="3201"/>
      <c r="BX72" s="3201"/>
      <c r="BY72" s="3201"/>
      <c r="BZ72" s="3201"/>
      <c r="CA72" s="3201"/>
      <c r="CB72" s="3201"/>
      <c r="CC72" s="3201"/>
      <c r="CD72" s="3201"/>
      <c r="CE72" s="3201"/>
      <c r="CF72" s="3201"/>
      <c r="CG72" s="3201"/>
      <c r="CH72" s="3201"/>
      <c r="CI72" s="3201"/>
      <c r="CJ72" s="3201"/>
      <c r="CK72" s="3201"/>
      <c r="CL72" s="3201"/>
      <c r="CM72" s="3201"/>
      <c r="CN72" s="3201"/>
      <c r="CO72" s="3201"/>
      <c r="CP72" s="3201"/>
      <c r="CQ72" s="3201"/>
      <c r="CR72" s="3201"/>
      <c r="CS72" s="3201"/>
      <c r="CT72" s="3201"/>
      <c r="CU72" s="3201"/>
      <c r="CV72" s="3201"/>
      <c r="CW72" s="3201"/>
      <c r="CX72" s="3201"/>
      <c r="CY72" s="3201"/>
      <c r="CZ72" s="3201"/>
      <c r="DA72" s="3201"/>
      <c r="DB72" s="3201"/>
      <c r="DC72" s="3201"/>
      <c r="DD72" s="3201"/>
      <c r="DE72" s="3201"/>
      <c r="DF72" s="3201"/>
      <c r="DG72" s="3201"/>
      <c r="DH72" s="3201"/>
      <c r="DI72" s="3201"/>
      <c r="DJ72" s="3201"/>
      <c r="DK72" s="3201"/>
      <c r="DL72" s="3201"/>
      <c r="DM72" s="3201"/>
      <c r="DN72" s="3201"/>
      <c r="DO72" s="3201"/>
      <c r="DP72" s="3201"/>
      <c r="DQ72" s="3201"/>
      <c r="DR72" s="3201"/>
      <c r="DS72" s="3201"/>
      <c r="DT72" s="3201"/>
      <c r="DU72" s="3201"/>
      <c r="DV72" s="3201"/>
      <c r="DW72" s="3201"/>
      <c r="DX72" s="3201"/>
      <c r="DY72" s="3201"/>
      <c r="DZ72" s="3201"/>
      <c r="EA72" s="3201"/>
      <c r="EB72" s="3201"/>
      <c r="EC72" s="3201"/>
      <c r="ED72" s="3201"/>
      <c r="EE72" s="3201"/>
      <c r="EF72" s="3201"/>
      <c r="EG72" s="3201"/>
      <c r="EH72" s="3201"/>
      <c r="EI72" s="3201"/>
      <c r="EJ72" s="3201"/>
      <c r="EK72" s="3201"/>
      <c r="EL72" s="3201"/>
      <c r="EM72" s="3201"/>
      <c r="EN72" s="3201"/>
      <c r="EO72" s="3201"/>
      <c r="EP72" s="3201"/>
      <c r="EQ72" s="3201"/>
      <c r="ER72" s="3201"/>
      <c r="ES72" s="3201"/>
      <c r="ET72" s="3201"/>
      <c r="EU72" s="3201"/>
      <c r="EV72" s="3201"/>
      <c r="EW72" s="3201"/>
      <c r="EX72" s="3201"/>
      <c r="EY72" s="3201"/>
      <c r="EZ72" s="3201"/>
      <c r="FA72" s="3201"/>
      <c r="FB72" s="3201"/>
      <c r="FC72" s="3201"/>
      <c r="FD72" s="3201"/>
      <c r="FE72" s="3201"/>
      <c r="FF72" s="3201"/>
      <c r="FG72" s="3201"/>
      <c r="FH72" s="3201"/>
      <c r="FI72" s="3201"/>
      <c r="FJ72" s="3201"/>
      <c r="FK72" s="3201"/>
      <c r="FL72" s="3201"/>
      <c r="FM72" s="3201"/>
      <c r="FN72" s="3202"/>
      <c r="FO72" s="3202"/>
      <c r="FP72" s="3202"/>
      <c r="FQ72" s="3202"/>
      <c r="FR72" s="3202"/>
      <c r="FS72" s="3202"/>
      <c r="FT72" s="3202"/>
      <c r="FU72" s="3202"/>
      <c r="FV72" s="3202"/>
      <c r="FW72" s="3202"/>
      <c r="FX72" s="3202"/>
      <c r="FY72" s="3202"/>
      <c r="FZ72" s="156"/>
      <c r="GA72" s="156"/>
      <c r="GB72" s="156"/>
      <c r="GC72" s="156"/>
      <c r="GD72" s="156"/>
      <c r="GE72" s="156"/>
      <c r="GF72" s="156"/>
      <c r="GG72" s="156"/>
      <c r="GH72" s="156"/>
      <c r="GI72" s="156"/>
      <c r="GJ72" s="156"/>
      <c r="GK72" s="156"/>
    </row>
    <row r="73" spans="1:193" ht="18.75" customHeight="1" x14ac:dyDescent="0.3">
      <c r="B73" s="3203"/>
      <c r="C73" s="3203"/>
      <c r="D73" s="3203"/>
      <c r="E73" s="3202"/>
      <c r="F73" s="3202"/>
      <c r="G73" s="3202"/>
      <c r="H73" s="3202"/>
      <c r="I73" s="3202"/>
      <c r="J73" s="3202"/>
      <c r="K73" s="3202"/>
      <c r="L73" s="3202"/>
      <c r="M73" s="3202"/>
      <c r="N73" s="3202"/>
      <c r="O73" s="3202"/>
      <c r="P73" s="3202"/>
      <c r="Q73" s="3202"/>
      <c r="R73" s="3202"/>
      <c r="S73" s="3202"/>
      <c r="T73" s="3202"/>
      <c r="U73" s="3202"/>
      <c r="V73" s="3202"/>
      <c r="W73" s="3202"/>
      <c r="X73" s="3202"/>
      <c r="Y73" s="3202"/>
      <c r="Z73" s="3202"/>
      <c r="AA73" s="3202"/>
      <c r="AB73" s="3202"/>
      <c r="AC73" s="3202"/>
      <c r="AD73" s="3202"/>
      <c r="AE73" s="3202"/>
      <c r="AF73" s="3202"/>
      <c r="AG73" s="3202"/>
      <c r="AH73" s="3202"/>
      <c r="AI73" s="3202"/>
      <c r="AJ73" s="3202"/>
      <c r="AK73" s="3202"/>
      <c r="AL73" s="3202"/>
      <c r="AM73" s="3202"/>
      <c r="AN73" s="3202"/>
      <c r="AO73" s="3201"/>
      <c r="AP73" s="3201"/>
      <c r="AQ73" s="3201"/>
      <c r="AR73" s="3201"/>
      <c r="AS73" s="3201"/>
      <c r="AT73" s="3201"/>
      <c r="AU73" s="3201"/>
      <c r="AV73" s="3201"/>
      <c r="AW73" s="3201"/>
      <c r="AX73" s="3201"/>
      <c r="AY73" s="3201"/>
      <c r="AZ73" s="3201"/>
      <c r="BA73" s="3201"/>
      <c r="BB73" s="3201"/>
      <c r="BC73" s="3201"/>
      <c r="BD73" s="3201"/>
      <c r="BE73" s="3201"/>
      <c r="BF73" s="3201"/>
      <c r="BG73" s="3201"/>
      <c r="BH73" s="3201"/>
      <c r="BI73" s="3201"/>
      <c r="BJ73" s="3201"/>
      <c r="BK73" s="3201"/>
      <c r="BL73" s="3201"/>
      <c r="BM73" s="3201"/>
      <c r="BN73" s="3201"/>
      <c r="BO73" s="3201"/>
      <c r="BP73" s="3201"/>
      <c r="BQ73" s="3201"/>
      <c r="BR73" s="3201"/>
      <c r="BS73" s="3201"/>
      <c r="BT73" s="3201"/>
      <c r="BU73" s="3201"/>
      <c r="BV73" s="3201"/>
      <c r="BW73" s="3201"/>
      <c r="BX73" s="3201"/>
      <c r="BY73" s="3201"/>
      <c r="BZ73" s="3201"/>
      <c r="CA73" s="3201"/>
      <c r="CB73" s="3201"/>
      <c r="CC73" s="3201"/>
      <c r="CD73" s="3201"/>
      <c r="CE73" s="3201"/>
      <c r="CF73" s="3201"/>
      <c r="CG73" s="3201"/>
      <c r="CH73" s="3201"/>
      <c r="CI73" s="3201"/>
      <c r="CJ73" s="3201"/>
      <c r="CK73" s="3201"/>
      <c r="CL73" s="3201"/>
      <c r="CM73" s="3201"/>
      <c r="CN73" s="3201"/>
      <c r="CO73" s="3201"/>
      <c r="CP73" s="3201"/>
      <c r="CQ73" s="3201"/>
      <c r="CR73" s="3201"/>
      <c r="CS73" s="3201"/>
      <c r="CT73" s="3201"/>
      <c r="CU73" s="3201"/>
      <c r="CV73" s="3201"/>
      <c r="CW73" s="3201"/>
      <c r="CX73" s="3201"/>
      <c r="CY73" s="3201"/>
      <c r="CZ73" s="3201"/>
      <c r="DA73" s="3201"/>
      <c r="DB73" s="3201"/>
      <c r="DC73" s="3201"/>
      <c r="DD73" s="3201"/>
      <c r="DE73" s="3201"/>
      <c r="DF73" s="3201"/>
      <c r="DG73" s="3201"/>
      <c r="DH73" s="3201"/>
      <c r="DI73" s="3201"/>
      <c r="DJ73" s="3201"/>
      <c r="DK73" s="3201"/>
      <c r="DL73" s="3201"/>
      <c r="DM73" s="3201"/>
      <c r="DN73" s="3201"/>
      <c r="DO73" s="3201"/>
      <c r="DP73" s="3201"/>
      <c r="DQ73" s="3201"/>
      <c r="DR73" s="3201"/>
      <c r="DS73" s="3201"/>
      <c r="DT73" s="3201"/>
      <c r="DU73" s="3201"/>
      <c r="DV73" s="3201"/>
      <c r="DW73" s="3201"/>
      <c r="DX73" s="3201"/>
      <c r="DY73" s="3201"/>
      <c r="DZ73" s="3201"/>
      <c r="EA73" s="3201"/>
      <c r="EB73" s="3201"/>
      <c r="EC73" s="3201"/>
      <c r="ED73" s="3201"/>
      <c r="EE73" s="3201"/>
      <c r="EF73" s="3201"/>
      <c r="EG73" s="3201"/>
      <c r="EH73" s="3201"/>
      <c r="EI73" s="3201"/>
      <c r="EJ73" s="3201"/>
      <c r="EK73" s="3201"/>
      <c r="EL73" s="3201"/>
      <c r="EM73" s="3201"/>
      <c r="EN73" s="3201"/>
      <c r="EO73" s="3201"/>
      <c r="EP73" s="3201"/>
      <c r="EQ73" s="3201"/>
      <c r="ER73" s="3201"/>
      <c r="ES73" s="3201"/>
      <c r="ET73" s="3201"/>
      <c r="EU73" s="3201"/>
      <c r="EV73" s="3201"/>
      <c r="EW73" s="3201"/>
      <c r="EX73" s="3201"/>
      <c r="EY73" s="3201"/>
      <c r="EZ73" s="3201"/>
      <c r="FA73" s="3201"/>
      <c r="FB73" s="3201"/>
      <c r="FC73" s="3201"/>
      <c r="FD73" s="3201"/>
      <c r="FE73" s="3201"/>
      <c r="FF73" s="3201"/>
      <c r="FG73" s="3201"/>
      <c r="FH73" s="3201"/>
      <c r="FI73" s="3201"/>
      <c r="FJ73" s="3201"/>
      <c r="FK73" s="3201"/>
      <c r="FL73" s="3201"/>
      <c r="FM73" s="3201"/>
      <c r="FN73" s="3202"/>
      <c r="FO73" s="3202"/>
      <c r="FP73" s="3202"/>
      <c r="FQ73" s="3202"/>
      <c r="FR73" s="3202"/>
      <c r="FS73" s="3202"/>
      <c r="FT73" s="3202"/>
      <c r="FU73" s="3202"/>
      <c r="FV73" s="3202"/>
      <c r="FW73" s="3202"/>
      <c r="FX73" s="3202"/>
      <c r="FY73" s="3202"/>
      <c r="FZ73" s="156"/>
      <c r="GA73" s="156"/>
      <c r="GB73" s="156"/>
      <c r="GC73" s="156"/>
      <c r="GD73" s="156"/>
      <c r="GE73" s="156"/>
      <c r="GF73" s="156"/>
      <c r="GG73" s="156"/>
      <c r="GH73" s="156"/>
      <c r="GI73" s="156"/>
      <c r="GJ73" s="156"/>
      <c r="GK73" s="156"/>
    </row>
    <row r="74" spans="1:193" ht="18.75" customHeight="1" x14ac:dyDescent="0.3">
      <c r="B74" s="3203"/>
      <c r="C74" s="3203"/>
      <c r="D74" s="3203"/>
      <c r="E74" s="3202"/>
      <c r="F74" s="3202"/>
      <c r="G74" s="3202"/>
      <c r="H74" s="3202"/>
      <c r="I74" s="3202"/>
      <c r="J74" s="3202"/>
      <c r="K74" s="3202"/>
      <c r="L74" s="3202"/>
      <c r="M74" s="3202"/>
      <c r="N74" s="3202"/>
      <c r="O74" s="3202"/>
      <c r="P74" s="3202"/>
      <c r="Q74" s="3202"/>
      <c r="R74" s="3202"/>
      <c r="S74" s="3202"/>
      <c r="T74" s="3202"/>
      <c r="U74" s="3202"/>
      <c r="V74" s="3202"/>
      <c r="W74" s="3202"/>
      <c r="X74" s="3202"/>
      <c r="Y74" s="3202"/>
      <c r="Z74" s="3202"/>
      <c r="AA74" s="3202"/>
      <c r="AB74" s="3202"/>
      <c r="AC74" s="3202"/>
      <c r="AD74" s="3202"/>
      <c r="AE74" s="3202"/>
      <c r="AF74" s="3202"/>
      <c r="AG74" s="3202"/>
      <c r="AH74" s="3202"/>
      <c r="AI74" s="3202"/>
      <c r="AJ74" s="3202"/>
      <c r="AK74" s="3202"/>
      <c r="AL74" s="3202"/>
      <c r="AM74" s="3202"/>
      <c r="AN74" s="3202"/>
      <c r="AO74" s="3201"/>
      <c r="AP74" s="3201"/>
      <c r="AQ74" s="3201"/>
      <c r="AR74" s="3201"/>
      <c r="AS74" s="3201"/>
      <c r="AT74" s="3201"/>
      <c r="AU74" s="3201"/>
      <c r="AV74" s="3201"/>
      <c r="AW74" s="3201"/>
      <c r="AX74" s="3201"/>
      <c r="AY74" s="3201"/>
      <c r="AZ74" s="3201"/>
      <c r="BA74" s="3201"/>
      <c r="BB74" s="3201"/>
      <c r="BC74" s="3201"/>
      <c r="BD74" s="3201"/>
      <c r="BE74" s="3201"/>
      <c r="BF74" s="3201"/>
      <c r="BG74" s="3201"/>
      <c r="BH74" s="3201"/>
      <c r="BI74" s="3201"/>
      <c r="BJ74" s="3201"/>
      <c r="BK74" s="3201"/>
      <c r="BL74" s="3201"/>
      <c r="BM74" s="3201"/>
      <c r="BN74" s="3201"/>
      <c r="BO74" s="3201"/>
      <c r="BP74" s="3201"/>
      <c r="BQ74" s="3201"/>
      <c r="BR74" s="3201"/>
      <c r="BS74" s="3201"/>
      <c r="BT74" s="3201"/>
      <c r="BU74" s="3201"/>
      <c r="BV74" s="3201"/>
      <c r="BW74" s="3201"/>
      <c r="BX74" s="3201"/>
      <c r="BY74" s="3201"/>
      <c r="BZ74" s="3201"/>
      <c r="CA74" s="3201"/>
      <c r="CB74" s="3201"/>
      <c r="CC74" s="3201"/>
      <c r="CD74" s="3201"/>
      <c r="CE74" s="3201"/>
      <c r="CF74" s="3201"/>
      <c r="CG74" s="3201"/>
      <c r="CH74" s="3201"/>
      <c r="CI74" s="3201"/>
      <c r="CJ74" s="3201"/>
      <c r="CK74" s="3201"/>
      <c r="CL74" s="3201"/>
      <c r="CM74" s="3201"/>
      <c r="CN74" s="3201"/>
      <c r="CO74" s="3201"/>
      <c r="CP74" s="3201"/>
      <c r="CQ74" s="3201"/>
      <c r="CR74" s="3201"/>
      <c r="CS74" s="3201"/>
      <c r="CT74" s="3201"/>
      <c r="CU74" s="3201"/>
      <c r="CV74" s="3201"/>
      <c r="CW74" s="3201"/>
      <c r="CX74" s="3201"/>
      <c r="CY74" s="3201"/>
      <c r="CZ74" s="3201"/>
      <c r="DA74" s="3201"/>
      <c r="DB74" s="3201"/>
      <c r="DC74" s="3201"/>
      <c r="DD74" s="3201"/>
      <c r="DE74" s="3201"/>
      <c r="DF74" s="3201"/>
      <c r="DG74" s="3201"/>
      <c r="DH74" s="3201"/>
      <c r="DI74" s="3201"/>
      <c r="DJ74" s="3201"/>
      <c r="DK74" s="3201"/>
      <c r="DL74" s="3201"/>
      <c r="DM74" s="3201"/>
      <c r="DN74" s="3201"/>
      <c r="DO74" s="3201"/>
      <c r="DP74" s="3201"/>
      <c r="DQ74" s="3201"/>
      <c r="DR74" s="3201"/>
      <c r="DS74" s="3201"/>
      <c r="DT74" s="3201"/>
      <c r="DU74" s="3201"/>
      <c r="DV74" s="3201"/>
      <c r="DW74" s="3201"/>
      <c r="DX74" s="3201"/>
      <c r="DY74" s="3201"/>
      <c r="DZ74" s="3201"/>
      <c r="EA74" s="3201"/>
      <c r="EB74" s="3201"/>
      <c r="EC74" s="3201"/>
      <c r="ED74" s="3201"/>
      <c r="EE74" s="3201"/>
      <c r="EF74" s="3201"/>
      <c r="EG74" s="3201"/>
      <c r="EH74" s="3201"/>
      <c r="EI74" s="3201"/>
      <c r="EJ74" s="3201"/>
      <c r="EK74" s="3201"/>
      <c r="EL74" s="3201"/>
      <c r="EM74" s="3201"/>
      <c r="EN74" s="3201"/>
      <c r="EO74" s="3201"/>
      <c r="EP74" s="3201"/>
      <c r="EQ74" s="3201"/>
      <c r="ER74" s="3201"/>
      <c r="ES74" s="3201"/>
      <c r="ET74" s="3201"/>
      <c r="EU74" s="3201"/>
      <c r="EV74" s="3201"/>
      <c r="EW74" s="3201"/>
      <c r="EX74" s="3201"/>
      <c r="EY74" s="3201"/>
      <c r="EZ74" s="3201"/>
      <c r="FA74" s="3201"/>
      <c r="FB74" s="3201"/>
      <c r="FC74" s="3201"/>
      <c r="FD74" s="3201"/>
      <c r="FE74" s="3201"/>
      <c r="FF74" s="3201"/>
      <c r="FG74" s="3201"/>
      <c r="FH74" s="3201"/>
      <c r="FI74" s="3201"/>
      <c r="FJ74" s="3201"/>
      <c r="FK74" s="3201"/>
      <c r="FL74" s="3201"/>
      <c r="FM74" s="3201"/>
      <c r="FN74" s="3202"/>
      <c r="FO74" s="3202"/>
      <c r="FP74" s="3202"/>
      <c r="FQ74" s="3202"/>
      <c r="FR74" s="3202"/>
      <c r="FS74" s="3202"/>
      <c r="FT74" s="3202"/>
      <c r="FU74" s="3202"/>
      <c r="FV74" s="3202"/>
      <c r="FW74" s="3202"/>
      <c r="FX74" s="3202"/>
      <c r="FY74" s="3202"/>
      <c r="FZ74" s="156"/>
      <c r="GA74" s="156"/>
      <c r="GB74" s="156"/>
      <c r="GC74" s="156"/>
      <c r="GD74" s="156"/>
      <c r="GE74" s="156"/>
      <c r="GF74" s="156"/>
      <c r="GG74" s="156"/>
      <c r="GH74" s="156"/>
      <c r="GI74" s="156"/>
      <c r="GJ74" s="156"/>
      <c r="GK74" s="156"/>
    </row>
    <row r="75" spans="1:193" ht="18.75" customHeight="1" x14ac:dyDescent="0.3">
      <c r="B75" s="3203"/>
      <c r="C75" s="3203"/>
      <c r="D75" s="3203"/>
      <c r="E75" s="3202"/>
      <c r="F75" s="3202"/>
      <c r="G75" s="3202"/>
      <c r="H75" s="3202"/>
      <c r="I75" s="3202"/>
      <c r="J75" s="3202"/>
      <c r="K75" s="3202"/>
      <c r="L75" s="3202"/>
      <c r="M75" s="3202"/>
      <c r="N75" s="3202"/>
      <c r="O75" s="3202"/>
      <c r="P75" s="3202"/>
      <c r="Q75" s="3202"/>
      <c r="R75" s="3202"/>
      <c r="S75" s="3202"/>
      <c r="T75" s="3202"/>
      <c r="U75" s="3202"/>
      <c r="V75" s="3202"/>
      <c r="W75" s="3202"/>
      <c r="X75" s="3202"/>
      <c r="Y75" s="3202"/>
      <c r="Z75" s="3202"/>
      <c r="AA75" s="3202"/>
      <c r="AB75" s="3202"/>
      <c r="AC75" s="3202"/>
      <c r="AD75" s="3202"/>
      <c r="AE75" s="3202"/>
      <c r="AF75" s="3202"/>
      <c r="AG75" s="3202"/>
      <c r="AH75" s="3202"/>
      <c r="AI75" s="3202"/>
      <c r="AJ75" s="3202"/>
      <c r="AK75" s="3202"/>
      <c r="AL75" s="3202"/>
      <c r="AM75" s="3202"/>
      <c r="AN75" s="3202"/>
      <c r="AO75" s="3201"/>
      <c r="AP75" s="3201"/>
      <c r="AQ75" s="3201"/>
      <c r="AR75" s="3201"/>
      <c r="AS75" s="3201"/>
      <c r="AT75" s="3201"/>
      <c r="AU75" s="3201"/>
      <c r="AV75" s="3201"/>
      <c r="AW75" s="3201"/>
      <c r="AX75" s="3201"/>
      <c r="AY75" s="3201"/>
      <c r="AZ75" s="3201"/>
      <c r="BA75" s="3201"/>
      <c r="BB75" s="3201"/>
      <c r="BC75" s="3201"/>
      <c r="BD75" s="3201"/>
      <c r="BE75" s="3201"/>
      <c r="BF75" s="3201"/>
      <c r="BG75" s="3201"/>
      <c r="BH75" s="3201"/>
      <c r="BI75" s="3201"/>
      <c r="BJ75" s="3201"/>
      <c r="BK75" s="3201"/>
      <c r="BL75" s="3201"/>
      <c r="BM75" s="3201"/>
      <c r="BN75" s="3201"/>
      <c r="BO75" s="3201"/>
      <c r="BP75" s="3201"/>
      <c r="BQ75" s="3201"/>
      <c r="BR75" s="3201"/>
      <c r="BS75" s="3201"/>
      <c r="BT75" s="3201"/>
      <c r="BU75" s="3201"/>
      <c r="BV75" s="3201"/>
      <c r="BW75" s="3201"/>
      <c r="BX75" s="3201"/>
      <c r="BY75" s="3201"/>
      <c r="BZ75" s="3201"/>
      <c r="CA75" s="3201"/>
      <c r="CB75" s="3201"/>
      <c r="CC75" s="3201"/>
      <c r="CD75" s="3201"/>
      <c r="CE75" s="3201"/>
      <c r="CF75" s="3201"/>
      <c r="CG75" s="3201"/>
      <c r="CH75" s="3201"/>
      <c r="CI75" s="3201"/>
      <c r="CJ75" s="3201"/>
      <c r="CK75" s="3201"/>
      <c r="CL75" s="3201"/>
      <c r="CM75" s="3201"/>
      <c r="CN75" s="3201"/>
      <c r="CO75" s="3201"/>
      <c r="CP75" s="3201"/>
      <c r="CQ75" s="3201"/>
      <c r="CR75" s="3201"/>
      <c r="CS75" s="3201"/>
      <c r="CT75" s="3201"/>
      <c r="CU75" s="3201"/>
      <c r="CV75" s="3201"/>
      <c r="CW75" s="3201"/>
      <c r="CX75" s="3201"/>
      <c r="CY75" s="3201"/>
      <c r="CZ75" s="3201"/>
      <c r="DA75" s="3201"/>
      <c r="DB75" s="3201"/>
      <c r="DC75" s="3201"/>
      <c r="DD75" s="3201"/>
      <c r="DE75" s="3201"/>
      <c r="DF75" s="3201"/>
      <c r="DG75" s="3201"/>
      <c r="DH75" s="3201"/>
      <c r="DI75" s="3201"/>
      <c r="DJ75" s="3201"/>
      <c r="DK75" s="3201"/>
      <c r="DL75" s="3201"/>
      <c r="DM75" s="3201"/>
      <c r="DN75" s="3201"/>
      <c r="DO75" s="3201"/>
      <c r="DP75" s="3201"/>
      <c r="DQ75" s="3201"/>
      <c r="DR75" s="3201"/>
      <c r="DS75" s="3201"/>
      <c r="DT75" s="3201"/>
      <c r="DU75" s="3201"/>
      <c r="DV75" s="3201"/>
      <c r="DW75" s="3201"/>
      <c r="DX75" s="3201"/>
      <c r="DY75" s="3201"/>
      <c r="DZ75" s="3201"/>
      <c r="EA75" s="3201"/>
      <c r="EB75" s="3201"/>
      <c r="EC75" s="3201"/>
      <c r="ED75" s="3201"/>
      <c r="EE75" s="3201"/>
      <c r="EF75" s="3201"/>
      <c r="EG75" s="3201"/>
      <c r="EH75" s="3201"/>
      <c r="EI75" s="3201"/>
      <c r="EJ75" s="3201"/>
      <c r="EK75" s="3201"/>
      <c r="EL75" s="3201"/>
      <c r="EM75" s="3201"/>
      <c r="EN75" s="3201"/>
      <c r="EO75" s="3201"/>
      <c r="EP75" s="3201"/>
      <c r="EQ75" s="3201"/>
      <c r="ER75" s="3201"/>
      <c r="ES75" s="3201"/>
      <c r="ET75" s="3201"/>
      <c r="EU75" s="3201"/>
      <c r="EV75" s="3201"/>
      <c r="EW75" s="3201"/>
      <c r="EX75" s="3201"/>
      <c r="EY75" s="3201"/>
      <c r="EZ75" s="3201"/>
      <c r="FA75" s="3201"/>
      <c r="FB75" s="3201"/>
      <c r="FC75" s="3201"/>
      <c r="FD75" s="3201"/>
      <c r="FE75" s="3201"/>
      <c r="FF75" s="3201"/>
      <c r="FG75" s="3201"/>
      <c r="FH75" s="3201"/>
      <c r="FI75" s="3201"/>
      <c r="FJ75" s="3201"/>
      <c r="FK75" s="3201"/>
      <c r="FL75" s="3201"/>
      <c r="FM75" s="3201"/>
      <c r="FN75" s="3202"/>
      <c r="FO75" s="3202"/>
      <c r="FP75" s="3202"/>
      <c r="FQ75" s="3202"/>
      <c r="FR75" s="3202"/>
      <c r="FS75" s="3202"/>
      <c r="FT75" s="3202"/>
      <c r="FU75" s="3202"/>
      <c r="FV75" s="3202"/>
      <c r="FW75" s="3202"/>
      <c r="FX75" s="3202"/>
      <c r="FY75" s="3202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</row>
    <row r="76" spans="1:193" ht="18.75" customHeight="1" x14ac:dyDescent="0.3">
      <c r="B76" s="3203"/>
      <c r="C76" s="3203"/>
      <c r="D76" s="3203"/>
      <c r="E76" s="3202"/>
      <c r="F76" s="3202"/>
      <c r="G76" s="3202"/>
      <c r="H76" s="3202"/>
      <c r="I76" s="3202"/>
      <c r="J76" s="3202"/>
      <c r="K76" s="3202"/>
      <c r="L76" s="3202"/>
      <c r="M76" s="3202"/>
      <c r="N76" s="3202"/>
      <c r="O76" s="3202"/>
      <c r="P76" s="3202"/>
      <c r="Q76" s="3202"/>
      <c r="R76" s="3202"/>
      <c r="S76" s="3202"/>
      <c r="T76" s="3202"/>
      <c r="U76" s="3202"/>
      <c r="V76" s="3202"/>
      <c r="W76" s="3202"/>
      <c r="X76" s="3202"/>
      <c r="Y76" s="3202"/>
      <c r="Z76" s="3202"/>
      <c r="AA76" s="3202"/>
      <c r="AB76" s="3202"/>
      <c r="AC76" s="3202"/>
      <c r="AD76" s="3202"/>
      <c r="AE76" s="3202"/>
      <c r="AF76" s="3202"/>
      <c r="AG76" s="3202"/>
      <c r="AH76" s="3202"/>
      <c r="AI76" s="3202"/>
      <c r="AJ76" s="3202"/>
      <c r="AK76" s="3202"/>
      <c r="AL76" s="3202"/>
      <c r="AM76" s="3202"/>
      <c r="AN76" s="3202"/>
      <c r="AO76" s="3201"/>
      <c r="AP76" s="3201"/>
      <c r="AQ76" s="3201"/>
      <c r="AR76" s="3201"/>
      <c r="AS76" s="3201"/>
      <c r="AT76" s="3201"/>
      <c r="AU76" s="3201"/>
      <c r="AV76" s="3201"/>
      <c r="AW76" s="3201"/>
      <c r="AX76" s="3201"/>
      <c r="AY76" s="3201"/>
      <c r="AZ76" s="3201"/>
      <c r="BA76" s="3201"/>
      <c r="BB76" s="3201"/>
      <c r="BC76" s="3201"/>
      <c r="BD76" s="3201"/>
      <c r="BE76" s="3201"/>
      <c r="BF76" s="3201"/>
      <c r="BG76" s="3201"/>
      <c r="BH76" s="3201"/>
      <c r="BI76" s="3201"/>
      <c r="BJ76" s="3201"/>
      <c r="BK76" s="3201"/>
      <c r="BL76" s="3201"/>
      <c r="BM76" s="3201"/>
      <c r="BN76" s="3201"/>
      <c r="BO76" s="3201"/>
      <c r="BP76" s="3201"/>
      <c r="BQ76" s="3201"/>
      <c r="BR76" s="3201"/>
      <c r="BS76" s="3201"/>
      <c r="BT76" s="3201"/>
      <c r="BU76" s="3201"/>
      <c r="BV76" s="3201"/>
      <c r="BW76" s="3201"/>
      <c r="BX76" s="3201"/>
      <c r="BY76" s="3201"/>
      <c r="BZ76" s="3201"/>
      <c r="CA76" s="3201"/>
      <c r="CB76" s="3201"/>
      <c r="CC76" s="3201"/>
      <c r="CD76" s="3201"/>
      <c r="CE76" s="3201"/>
      <c r="CF76" s="3201"/>
      <c r="CG76" s="3201"/>
      <c r="CH76" s="3201"/>
      <c r="CI76" s="3201"/>
      <c r="CJ76" s="3201"/>
      <c r="CK76" s="3201"/>
      <c r="CL76" s="3201"/>
      <c r="CM76" s="3201"/>
      <c r="CN76" s="3201"/>
      <c r="CO76" s="3201"/>
      <c r="CP76" s="3201"/>
      <c r="CQ76" s="3201"/>
      <c r="CR76" s="3201"/>
      <c r="CS76" s="3201"/>
      <c r="CT76" s="3201"/>
      <c r="CU76" s="3201"/>
      <c r="CV76" s="3201"/>
      <c r="CW76" s="3201"/>
      <c r="CX76" s="3201"/>
      <c r="CY76" s="3201"/>
      <c r="CZ76" s="3201"/>
      <c r="DA76" s="3201"/>
      <c r="DB76" s="3201"/>
      <c r="DC76" s="3201"/>
      <c r="DD76" s="3201"/>
      <c r="DE76" s="3201"/>
      <c r="DF76" s="3201"/>
      <c r="DG76" s="3201"/>
      <c r="DH76" s="3201"/>
      <c r="DI76" s="3201"/>
      <c r="DJ76" s="3201"/>
      <c r="DK76" s="3201"/>
      <c r="DL76" s="3201"/>
      <c r="DM76" s="3201"/>
      <c r="DN76" s="3201"/>
      <c r="DO76" s="3201"/>
      <c r="DP76" s="3201"/>
      <c r="DQ76" s="3201"/>
      <c r="DR76" s="3201"/>
      <c r="DS76" s="3201"/>
      <c r="DT76" s="3201"/>
      <c r="DU76" s="3201"/>
      <c r="DV76" s="3201"/>
      <c r="DW76" s="3201"/>
      <c r="DX76" s="3201"/>
      <c r="DY76" s="3201"/>
      <c r="DZ76" s="3201"/>
      <c r="EA76" s="3201"/>
      <c r="EB76" s="3201"/>
      <c r="EC76" s="3201"/>
      <c r="ED76" s="3201"/>
      <c r="EE76" s="3201"/>
      <c r="EF76" s="3201"/>
      <c r="EG76" s="3201"/>
      <c r="EH76" s="3201"/>
      <c r="EI76" s="3201"/>
      <c r="EJ76" s="3201"/>
      <c r="EK76" s="3201"/>
      <c r="EL76" s="3201"/>
      <c r="EM76" s="3201"/>
      <c r="EN76" s="3201"/>
      <c r="EO76" s="3201"/>
      <c r="EP76" s="3201"/>
      <c r="EQ76" s="3201"/>
      <c r="ER76" s="3201"/>
      <c r="ES76" s="3201"/>
      <c r="ET76" s="3201"/>
      <c r="EU76" s="3201"/>
      <c r="EV76" s="3201"/>
      <c r="EW76" s="3201"/>
      <c r="EX76" s="3201"/>
      <c r="EY76" s="3201"/>
      <c r="EZ76" s="3201"/>
      <c r="FA76" s="3201"/>
      <c r="FB76" s="3201"/>
      <c r="FC76" s="3201"/>
      <c r="FD76" s="3201"/>
      <c r="FE76" s="3201"/>
      <c r="FF76" s="3201"/>
      <c r="FG76" s="3201"/>
      <c r="FH76" s="3201"/>
      <c r="FI76" s="3201"/>
      <c r="FJ76" s="3201"/>
      <c r="FK76" s="3201"/>
      <c r="FL76" s="3201"/>
      <c r="FM76" s="3201"/>
      <c r="FN76" s="3202"/>
      <c r="FO76" s="3202"/>
      <c r="FP76" s="3202"/>
      <c r="FQ76" s="3202"/>
      <c r="FR76" s="3202"/>
      <c r="FS76" s="3202"/>
      <c r="FT76" s="3202"/>
      <c r="FU76" s="3202"/>
      <c r="FV76" s="3202"/>
      <c r="FW76" s="3202"/>
      <c r="FX76" s="3202"/>
      <c r="FY76" s="3202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</row>
    <row r="77" spans="1:193" ht="18.75" customHeight="1" x14ac:dyDescent="0.3">
      <c r="B77" s="3203"/>
      <c r="C77" s="3203"/>
      <c r="D77" s="3203"/>
      <c r="E77" s="3202"/>
      <c r="F77" s="3202"/>
      <c r="G77" s="3202"/>
      <c r="H77" s="3202"/>
      <c r="I77" s="3202"/>
      <c r="J77" s="3202"/>
      <c r="K77" s="3202"/>
      <c r="L77" s="3202"/>
      <c r="M77" s="3202"/>
      <c r="N77" s="3202"/>
      <c r="O77" s="3202"/>
      <c r="P77" s="3202"/>
      <c r="Q77" s="3202"/>
      <c r="R77" s="3202"/>
      <c r="S77" s="3202"/>
      <c r="T77" s="3202"/>
      <c r="U77" s="3202"/>
      <c r="V77" s="3202"/>
      <c r="W77" s="3202"/>
      <c r="X77" s="3202"/>
      <c r="Y77" s="3202"/>
      <c r="Z77" s="3202"/>
      <c r="AA77" s="3202"/>
      <c r="AB77" s="3202"/>
      <c r="AC77" s="3202"/>
      <c r="AD77" s="3202"/>
      <c r="AE77" s="3202"/>
      <c r="AF77" s="3202"/>
      <c r="AG77" s="3202"/>
      <c r="AH77" s="3202"/>
      <c r="AI77" s="3202"/>
      <c r="AJ77" s="3202"/>
      <c r="AK77" s="3202"/>
      <c r="AL77" s="3202"/>
      <c r="AM77" s="3202"/>
      <c r="AN77" s="3202"/>
      <c r="AO77" s="3201"/>
      <c r="AP77" s="3201"/>
      <c r="AQ77" s="3201"/>
      <c r="AR77" s="3201"/>
      <c r="AS77" s="3201"/>
      <c r="AT77" s="3201"/>
      <c r="AU77" s="3201"/>
      <c r="AV77" s="3201"/>
      <c r="AW77" s="3201"/>
      <c r="AX77" s="3201"/>
      <c r="AY77" s="3201"/>
      <c r="AZ77" s="3201"/>
      <c r="BA77" s="3201"/>
      <c r="BB77" s="3201"/>
      <c r="BC77" s="3201"/>
      <c r="BD77" s="3201"/>
      <c r="BE77" s="3201"/>
      <c r="BF77" s="3201"/>
      <c r="BG77" s="3201"/>
      <c r="BH77" s="3201"/>
      <c r="BI77" s="3201"/>
      <c r="BJ77" s="3201"/>
      <c r="BK77" s="3201"/>
      <c r="BL77" s="3201"/>
      <c r="BM77" s="3201"/>
      <c r="BN77" s="3201"/>
      <c r="BO77" s="3201"/>
      <c r="BP77" s="3201"/>
      <c r="BQ77" s="3201"/>
      <c r="BR77" s="3201"/>
      <c r="BS77" s="3201"/>
      <c r="BT77" s="3201"/>
      <c r="BU77" s="3201"/>
      <c r="BV77" s="3201"/>
      <c r="BW77" s="3201"/>
      <c r="BX77" s="3201"/>
      <c r="BY77" s="3201"/>
      <c r="BZ77" s="3201"/>
      <c r="CA77" s="3201"/>
      <c r="CB77" s="3201"/>
      <c r="CC77" s="3201"/>
      <c r="CD77" s="3201"/>
      <c r="CE77" s="3201"/>
      <c r="CF77" s="3201"/>
      <c r="CG77" s="3201"/>
      <c r="CH77" s="3201"/>
      <c r="CI77" s="3201"/>
      <c r="CJ77" s="3201"/>
      <c r="CK77" s="3201"/>
      <c r="CL77" s="3201"/>
      <c r="CM77" s="3201"/>
      <c r="CN77" s="3201"/>
      <c r="CO77" s="3201"/>
      <c r="CP77" s="3201"/>
      <c r="CQ77" s="3201"/>
      <c r="CR77" s="3201"/>
      <c r="CS77" s="3201"/>
      <c r="CT77" s="3201"/>
      <c r="CU77" s="3201"/>
      <c r="CV77" s="3201"/>
      <c r="CW77" s="3201"/>
      <c r="CX77" s="3201"/>
      <c r="CY77" s="3201"/>
      <c r="CZ77" s="3201"/>
      <c r="DA77" s="3201"/>
      <c r="DB77" s="3201"/>
      <c r="DC77" s="3201"/>
      <c r="DD77" s="3201"/>
      <c r="DE77" s="3201"/>
      <c r="DF77" s="3201"/>
      <c r="DG77" s="3201"/>
      <c r="DH77" s="3201"/>
      <c r="DI77" s="3201"/>
      <c r="DJ77" s="3201"/>
      <c r="DK77" s="3201"/>
      <c r="DL77" s="3201"/>
      <c r="DM77" s="3201"/>
      <c r="DN77" s="3201"/>
      <c r="DO77" s="3201"/>
      <c r="DP77" s="3201"/>
      <c r="DQ77" s="3201"/>
      <c r="DR77" s="3201"/>
      <c r="DS77" s="3201"/>
      <c r="DT77" s="3201"/>
      <c r="DU77" s="3201"/>
      <c r="DV77" s="3201"/>
      <c r="DW77" s="3201"/>
      <c r="DX77" s="3201"/>
      <c r="DY77" s="3201"/>
      <c r="DZ77" s="3201"/>
      <c r="EA77" s="3201"/>
      <c r="EB77" s="3201"/>
      <c r="EC77" s="3201"/>
      <c r="ED77" s="3201"/>
      <c r="EE77" s="3201"/>
      <c r="EF77" s="3201"/>
      <c r="EG77" s="3201"/>
      <c r="EH77" s="3201"/>
      <c r="EI77" s="3201"/>
      <c r="EJ77" s="3201"/>
      <c r="EK77" s="3201"/>
      <c r="EL77" s="3201"/>
      <c r="EM77" s="3201"/>
      <c r="EN77" s="3201"/>
      <c r="EO77" s="3201"/>
      <c r="EP77" s="3201"/>
      <c r="EQ77" s="3201"/>
      <c r="ER77" s="3201"/>
      <c r="ES77" s="3201"/>
      <c r="ET77" s="3201"/>
      <c r="EU77" s="3201"/>
      <c r="EV77" s="3201"/>
      <c r="EW77" s="3201"/>
      <c r="EX77" s="3201"/>
      <c r="EY77" s="3201"/>
      <c r="EZ77" s="3201"/>
      <c r="FA77" s="3201"/>
      <c r="FB77" s="3201"/>
      <c r="FC77" s="3201"/>
      <c r="FD77" s="3201"/>
      <c r="FE77" s="3201"/>
      <c r="FF77" s="3201"/>
      <c r="FG77" s="3201"/>
      <c r="FH77" s="3201"/>
      <c r="FI77" s="3201"/>
      <c r="FJ77" s="3201"/>
      <c r="FK77" s="3201"/>
      <c r="FL77" s="3201"/>
      <c r="FM77" s="3201"/>
      <c r="FN77" s="3202"/>
      <c r="FO77" s="3202"/>
      <c r="FP77" s="3202"/>
      <c r="FQ77" s="3202"/>
      <c r="FR77" s="3202"/>
      <c r="FS77" s="3202"/>
      <c r="FT77" s="3202"/>
      <c r="FU77" s="3202"/>
      <c r="FV77" s="3202"/>
      <c r="FW77" s="3202"/>
      <c r="FX77" s="3202"/>
      <c r="FY77" s="3202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</row>
    <row r="78" spans="1:193" ht="18.75" customHeight="1" x14ac:dyDescent="0.3">
      <c r="B78" s="3203"/>
      <c r="C78" s="3203"/>
      <c r="D78" s="3203"/>
      <c r="E78" s="3202"/>
      <c r="F78" s="3202"/>
      <c r="G78" s="3202"/>
      <c r="H78" s="3202"/>
      <c r="I78" s="3202"/>
      <c r="J78" s="3202"/>
      <c r="K78" s="3202"/>
      <c r="L78" s="3202"/>
      <c r="M78" s="3202"/>
      <c r="N78" s="3202"/>
      <c r="O78" s="3202"/>
      <c r="P78" s="3202"/>
      <c r="Q78" s="3202"/>
      <c r="R78" s="3202"/>
      <c r="S78" s="3202"/>
      <c r="T78" s="3202"/>
      <c r="U78" s="3202"/>
      <c r="V78" s="3202"/>
      <c r="W78" s="3202"/>
      <c r="X78" s="3202"/>
      <c r="Y78" s="3202"/>
      <c r="Z78" s="3202"/>
      <c r="AA78" s="3202"/>
      <c r="AB78" s="3202"/>
      <c r="AC78" s="3202"/>
      <c r="AD78" s="3202"/>
      <c r="AE78" s="3202"/>
      <c r="AF78" s="3202"/>
      <c r="AG78" s="3202"/>
      <c r="AH78" s="3202"/>
      <c r="AI78" s="3202"/>
      <c r="AJ78" s="3202"/>
      <c r="AK78" s="3202"/>
      <c r="AL78" s="3202"/>
      <c r="AM78" s="3202"/>
      <c r="AN78" s="3202"/>
      <c r="AO78" s="3201"/>
      <c r="AP78" s="3201"/>
      <c r="AQ78" s="3201"/>
      <c r="AR78" s="3201"/>
      <c r="AS78" s="3201"/>
      <c r="AT78" s="3201"/>
      <c r="AU78" s="3201"/>
      <c r="AV78" s="3201"/>
      <c r="AW78" s="3201"/>
      <c r="AX78" s="3201"/>
      <c r="AY78" s="3201"/>
      <c r="AZ78" s="3201"/>
      <c r="BA78" s="3201"/>
      <c r="BB78" s="3201"/>
      <c r="BC78" s="3201"/>
      <c r="BD78" s="3201"/>
      <c r="BE78" s="3201"/>
      <c r="BF78" s="3201"/>
      <c r="BG78" s="3201"/>
      <c r="BH78" s="3201"/>
      <c r="BI78" s="3201"/>
      <c r="BJ78" s="3201"/>
      <c r="BK78" s="3201"/>
      <c r="BL78" s="3201"/>
      <c r="BM78" s="3201"/>
      <c r="BN78" s="3201"/>
      <c r="BO78" s="3201"/>
      <c r="BP78" s="3201"/>
      <c r="BQ78" s="3201"/>
      <c r="BR78" s="3201"/>
      <c r="BS78" s="3201"/>
      <c r="BT78" s="3201"/>
      <c r="BU78" s="3201"/>
      <c r="BV78" s="3201"/>
      <c r="BW78" s="3201"/>
      <c r="BX78" s="3201"/>
      <c r="BY78" s="3201"/>
      <c r="BZ78" s="3201"/>
      <c r="CA78" s="3201"/>
      <c r="CB78" s="3201"/>
      <c r="CC78" s="3201"/>
      <c r="CD78" s="3201"/>
      <c r="CE78" s="3201"/>
      <c r="CF78" s="3201"/>
      <c r="CG78" s="3201"/>
      <c r="CH78" s="3201"/>
      <c r="CI78" s="3201"/>
      <c r="CJ78" s="3201"/>
      <c r="CK78" s="3201"/>
      <c r="CL78" s="3201"/>
      <c r="CM78" s="3201"/>
      <c r="CN78" s="3201"/>
      <c r="CO78" s="3201"/>
      <c r="CP78" s="3201"/>
      <c r="CQ78" s="3201"/>
      <c r="CR78" s="3201"/>
      <c r="CS78" s="3201"/>
      <c r="CT78" s="3201"/>
      <c r="CU78" s="3201"/>
      <c r="CV78" s="3201"/>
      <c r="CW78" s="3201"/>
      <c r="CX78" s="3201"/>
      <c r="CY78" s="3201"/>
      <c r="CZ78" s="3201"/>
      <c r="DA78" s="3201"/>
      <c r="DB78" s="3201"/>
      <c r="DC78" s="3201"/>
      <c r="DD78" s="3201"/>
      <c r="DE78" s="3201"/>
      <c r="DF78" s="3201"/>
      <c r="DG78" s="3201"/>
      <c r="DH78" s="3201"/>
      <c r="DI78" s="3201"/>
      <c r="DJ78" s="3201"/>
      <c r="DK78" s="3201"/>
      <c r="DL78" s="3201"/>
      <c r="DM78" s="3201"/>
      <c r="DN78" s="3201"/>
      <c r="DO78" s="3201"/>
      <c r="DP78" s="3201"/>
      <c r="DQ78" s="3201"/>
      <c r="DR78" s="3201"/>
      <c r="DS78" s="3201"/>
      <c r="DT78" s="3201"/>
      <c r="DU78" s="3201"/>
      <c r="DV78" s="3201"/>
      <c r="DW78" s="3201"/>
      <c r="DX78" s="3201"/>
      <c r="DY78" s="3201"/>
      <c r="DZ78" s="3201"/>
      <c r="EA78" s="3201"/>
      <c r="EB78" s="3201"/>
      <c r="EC78" s="3201"/>
      <c r="ED78" s="3201"/>
      <c r="EE78" s="3201"/>
      <c r="EF78" s="3201"/>
      <c r="EG78" s="3201"/>
      <c r="EH78" s="3201"/>
      <c r="EI78" s="3201"/>
      <c r="EJ78" s="3201"/>
      <c r="EK78" s="3201"/>
      <c r="EL78" s="3201"/>
      <c r="EM78" s="3201"/>
      <c r="EN78" s="3201"/>
      <c r="EO78" s="3201"/>
      <c r="EP78" s="3201"/>
      <c r="EQ78" s="3201"/>
      <c r="ER78" s="3201"/>
      <c r="ES78" s="3201"/>
      <c r="ET78" s="3201"/>
      <c r="EU78" s="3201"/>
      <c r="EV78" s="3201"/>
      <c r="EW78" s="3201"/>
      <c r="EX78" s="3201"/>
      <c r="EY78" s="3201"/>
      <c r="EZ78" s="3201"/>
      <c r="FA78" s="3201"/>
      <c r="FB78" s="3201"/>
      <c r="FC78" s="3201"/>
      <c r="FD78" s="3201"/>
      <c r="FE78" s="3201"/>
      <c r="FF78" s="3201"/>
      <c r="FG78" s="3201"/>
      <c r="FH78" s="3201"/>
      <c r="FI78" s="3201"/>
      <c r="FJ78" s="3201"/>
      <c r="FK78" s="3201"/>
      <c r="FL78" s="3201"/>
      <c r="FM78" s="3201"/>
      <c r="FN78" s="3202"/>
      <c r="FO78" s="3202"/>
      <c r="FP78" s="3202"/>
      <c r="FQ78" s="3202"/>
      <c r="FR78" s="3202"/>
      <c r="FS78" s="3202"/>
      <c r="FT78" s="3202"/>
      <c r="FU78" s="3202"/>
      <c r="FV78" s="3202"/>
      <c r="FW78" s="3202"/>
      <c r="FX78" s="3202"/>
      <c r="FY78" s="3202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</row>
    <row r="79" spans="1:193" ht="18.75" customHeight="1" x14ac:dyDescent="0.3">
      <c r="B79" s="3203"/>
      <c r="C79" s="3203"/>
      <c r="D79" s="3203"/>
      <c r="E79" s="3202"/>
      <c r="F79" s="3202"/>
      <c r="G79" s="3202"/>
      <c r="H79" s="3202"/>
      <c r="I79" s="3202"/>
      <c r="J79" s="3202"/>
      <c r="K79" s="3202"/>
      <c r="L79" s="3202"/>
      <c r="M79" s="3202"/>
      <c r="N79" s="3202"/>
      <c r="O79" s="3202"/>
      <c r="P79" s="3202"/>
      <c r="Q79" s="3202"/>
      <c r="R79" s="3202"/>
      <c r="S79" s="3202"/>
      <c r="T79" s="3202"/>
      <c r="U79" s="3202"/>
      <c r="V79" s="3202"/>
      <c r="W79" s="3202"/>
      <c r="X79" s="3202"/>
      <c r="Y79" s="3202"/>
      <c r="Z79" s="3202"/>
      <c r="AA79" s="3202"/>
      <c r="AB79" s="3202"/>
      <c r="AC79" s="3202"/>
      <c r="AD79" s="3202"/>
      <c r="AE79" s="3202"/>
      <c r="AF79" s="3202"/>
      <c r="AG79" s="3202"/>
      <c r="AH79" s="3202"/>
      <c r="AI79" s="3202"/>
      <c r="AJ79" s="3202"/>
      <c r="AK79" s="3202"/>
      <c r="AL79" s="3202"/>
      <c r="AM79" s="3202"/>
      <c r="AN79" s="3202"/>
      <c r="AO79" s="3201"/>
      <c r="AP79" s="3201"/>
      <c r="AQ79" s="3201"/>
      <c r="AR79" s="3201"/>
      <c r="AS79" s="3201"/>
      <c r="AT79" s="3201"/>
      <c r="AU79" s="3201"/>
      <c r="AV79" s="3201"/>
      <c r="AW79" s="3201"/>
      <c r="AX79" s="3201"/>
      <c r="AY79" s="3201"/>
      <c r="AZ79" s="3201"/>
      <c r="BA79" s="3201"/>
      <c r="BB79" s="3201"/>
      <c r="BC79" s="3201"/>
      <c r="BD79" s="3201"/>
      <c r="BE79" s="3201"/>
      <c r="BF79" s="3201"/>
      <c r="BG79" s="3201"/>
      <c r="BH79" s="3201"/>
      <c r="BI79" s="3201"/>
      <c r="BJ79" s="3201"/>
      <c r="BK79" s="3201"/>
      <c r="BL79" s="3201"/>
      <c r="BM79" s="3201"/>
      <c r="BN79" s="3201"/>
      <c r="BO79" s="3201"/>
      <c r="BP79" s="3201"/>
      <c r="BQ79" s="3201"/>
      <c r="BR79" s="3201"/>
      <c r="BS79" s="3201"/>
      <c r="BT79" s="3201"/>
      <c r="BU79" s="3201"/>
      <c r="BV79" s="3201"/>
      <c r="BW79" s="3201"/>
      <c r="BX79" s="3201"/>
      <c r="BY79" s="3201"/>
      <c r="BZ79" s="3201"/>
      <c r="CA79" s="3201"/>
      <c r="CB79" s="3201"/>
      <c r="CC79" s="3201"/>
      <c r="CD79" s="3201"/>
      <c r="CE79" s="3201"/>
      <c r="CF79" s="3201"/>
      <c r="CG79" s="3201"/>
      <c r="CH79" s="3201"/>
      <c r="CI79" s="3201"/>
      <c r="CJ79" s="3201"/>
      <c r="CK79" s="3201"/>
      <c r="CL79" s="3201"/>
      <c r="CM79" s="3201"/>
      <c r="CN79" s="3201"/>
      <c r="CO79" s="3201"/>
      <c r="CP79" s="3201"/>
      <c r="CQ79" s="3201"/>
      <c r="CR79" s="3201"/>
      <c r="CS79" s="3201"/>
      <c r="CT79" s="3201"/>
      <c r="CU79" s="3201"/>
      <c r="CV79" s="3201"/>
      <c r="CW79" s="3201"/>
      <c r="CX79" s="3201"/>
      <c r="CY79" s="3201"/>
      <c r="CZ79" s="3201"/>
      <c r="DA79" s="3201"/>
      <c r="DB79" s="3201"/>
      <c r="DC79" s="3201"/>
      <c r="DD79" s="3201"/>
      <c r="DE79" s="3201"/>
      <c r="DF79" s="3201"/>
      <c r="DG79" s="3201"/>
      <c r="DH79" s="3201"/>
      <c r="DI79" s="3201"/>
      <c r="DJ79" s="3201"/>
      <c r="DK79" s="3201"/>
      <c r="DL79" s="3201"/>
      <c r="DM79" s="3201"/>
      <c r="DN79" s="3201"/>
      <c r="DO79" s="3201"/>
      <c r="DP79" s="3201"/>
      <c r="DQ79" s="3201"/>
      <c r="DR79" s="3201"/>
      <c r="DS79" s="3201"/>
      <c r="DT79" s="3201"/>
      <c r="DU79" s="3201"/>
      <c r="DV79" s="3201"/>
      <c r="DW79" s="3201"/>
      <c r="DX79" s="3201"/>
      <c r="DY79" s="3201"/>
      <c r="DZ79" s="3201"/>
      <c r="EA79" s="3201"/>
      <c r="EB79" s="3201"/>
      <c r="EC79" s="3201"/>
      <c r="ED79" s="3201"/>
      <c r="EE79" s="3201"/>
      <c r="EF79" s="3201"/>
      <c r="EG79" s="3201"/>
      <c r="EH79" s="3201"/>
      <c r="EI79" s="3201"/>
      <c r="EJ79" s="3201"/>
      <c r="EK79" s="3201"/>
      <c r="EL79" s="3201"/>
      <c r="EM79" s="3201"/>
      <c r="EN79" s="3201"/>
      <c r="EO79" s="3201"/>
      <c r="EP79" s="3201"/>
      <c r="EQ79" s="3201"/>
      <c r="ER79" s="3201"/>
      <c r="ES79" s="3201"/>
      <c r="ET79" s="3201"/>
      <c r="EU79" s="3201"/>
      <c r="EV79" s="3201"/>
      <c r="EW79" s="3201"/>
      <c r="EX79" s="3201"/>
      <c r="EY79" s="3201"/>
      <c r="EZ79" s="3201"/>
      <c r="FA79" s="3201"/>
      <c r="FB79" s="3201"/>
      <c r="FC79" s="3201"/>
      <c r="FD79" s="3201"/>
      <c r="FE79" s="3201"/>
      <c r="FF79" s="3201"/>
      <c r="FG79" s="3201"/>
      <c r="FH79" s="3201"/>
      <c r="FI79" s="3201"/>
      <c r="FJ79" s="3201"/>
      <c r="FK79" s="3201"/>
      <c r="FL79" s="3201"/>
      <c r="FM79" s="3201"/>
      <c r="FN79" s="3202"/>
      <c r="FO79" s="3202"/>
      <c r="FP79" s="3202"/>
      <c r="FQ79" s="3202"/>
      <c r="FR79" s="3202"/>
      <c r="FS79" s="3202"/>
      <c r="FT79" s="3202"/>
      <c r="FU79" s="3202"/>
      <c r="FV79" s="3202"/>
      <c r="FW79" s="3202"/>
      <c r="FX79" s="3202"/>
      <c r="FY79" s="3202"/>
      <c r="FZ79" s="156"/>
      <c r="GA79" s="156"/>
      <c r="GB79" s="156"/>
      <c r="GC79" s="156"/>
      <c r="GD79" s="156"/>
      <c r="GE79" s="156"/>
      <c r="GF79" s="156"/>
      <c r="GG79" s="156"/>
      <c r="GH79" s="156"/>
      <c r="GI79" s="156"/>
      <c r="GJ79" s="156"/>
      <c r="GK79" s="156"/>
    </row>
    <row r="80" spans="1:193" ht="18.75" customHeight="1" x14ac:dyDescent="0.3">
      <c r="B80" s="3203"/>
      <c r="C80" s="3203"/>
      <c r="D80" s="3203"/>
      <c r="E80" s="3202"/>
      <c r="F80" s="3202"/>
      <c r="G80" s="3202"/>
      <c r="H80" s="3202"/>
      <c r="I80" s="3202"/>
      <c r="J80" s="3202"/>
      <c r="K80" s="3202"/>
      <c r="L80" s="3202"/>
      <c r="M80" s="3202"/>
      <c r="N80" s="3202"/>
      <c r="O80" s="3202"/>
      <c r="P80" s="3202"/>
      <c r="Q80" s="3202"/>
      <c r="R80" s="3202"/>
      <c r="S80" s="3202"/>
      <c r="T80" s="3202"/>
      <c r="U80" s="3202"/>
      <c r="V80" s="3202"/>
      <c r="W80" s="3202"/>
      <c r="X80" s="3202"/>
      <c r="Y80" s="3202"/>
      <c r="Z80" s="3202"/>
      <c r="AA80" s="3202"/>
      <c r="AB80" s="3202"/>
      <c r="AC80" s="3202"/>
      <c r="AD80" s="3202"/>
      <c r="AE80" s="3202"/>
      <c r="AF80" s="3202"/>
      <c r="AG80" s="3202"/>
      <c r="AH80" s="3202"/>
      <c r="AI80" s="3202"/>
      <c r="AJ80" s="3202"/>
      <c r="AK80" s="3202"/>
      <c r="AL80" s="3202"/>
      <c r="AM80" s="3202"/>
      <c r="AN80" s="3202"/>
      <c r="AO80" s="3201"/>
      <c r="AP80" s="3201"/>
      <c r="AQ80" s="3201"/>
      <c r="AR80" s="3201"/>
      <c r="AS80" s="3201"/>
      <c r="AT80" s="3201"/>
      <c r="AU80" s="3201"/>
      <c r="AV80" s="3201"/>
      <c r="AW80" s="3201"/>
      <c r="AX80" s="3201"/>
      <c r="AY80" s="3201"/>
      <c r="AZ80" s="3201"/>
      <c r="BA80" s="3201"/>
      <c r="BB80" s="3201"/>
      <c r="BC80" s="3201"/>
      <c r="BD80" s="3201"/>
      <c r="BE80" s="3201"/>
      <c r="BF80" s="3201"/>
      <c r="BG80" s="3201"/>
      <c r="BH80" s="3201"/>
      <c r="BI80" s="3201"/>
      <c r="BJ80" s="3201"/>
      <c r="BK80" s="3201"/>
      <c r="BL80" s="3201"/>
      <c r="BM80" s="3201"/>
      <c r="BN80" s="3201"/>
      <c r="BO80" s="3201"/>
      <c r="BP80" s="3201"/>
      <c r="BQ80" s="3201"/>
      <c r="BR80" s="3201"/>
      <c r="BS80" s="3201"/>
      <c r="BT80" s="3201"/>
      <c r="BU80" s="3201"/>
      <c r="BV80" s="3201"/>
      <c r="BW80" s="3201"/>
      <c r="BX80" s="3201"/>
      <c r="BY80" s="3201"/>
      <c r="BZ80" s="3201"/>
      <c r="CA80" s="3201"/>
      <c r="CB80" s="3201"/>
      <c r="CC80" s="3201"/>
      <c r="CD80" s="3201"/>
      <c r="CE80" s="3201"/>
      <c r="CF80" s="3201"/>
      <c r="CG80" s="3201"/>
      <c r="CH80" s="3201"/>
      <c r="CI80" s="3201"/>
      <c r="CJ80" s="3201"/>
      <c r="CK80" s="3201"/>
      <c r="CL80" s="3201"/>
      <c r="CM80" s="3201"/>
      <c r="CN80" s="3201"/>
      <c r="CO80" s="3201"/>
      <c r="CP80" s="3201"/>
      <c r="CQ80" s="3201"/>
      <c r="CR80" s="3201"/>
      <c r="CS80" s="3201"/>
      <c r="CT80" s="3201"/>
      <c r="CU80" s="3201"/>
      <c r="CV80" s="3201"/>
      <c r="CW80" s="3201"/>
      <c r="CX80" s="3201"/>
      <c r="CY80" s="3201"/>
      <c r="CZ80" s="3201"/>
      <c r="DA80" s="3201"/>
      <c r="DB80" s="3201"/>
      <c r="DC80" s="3201"/>
      <c r="DD80" s="3201"/>
      <c r="DE80" s="3201"/>
      <c r="DF80" s="3201"/>
      <c r="DG80" s="3201"/>
      <c r="DH80" s="3201"/>
      <c r="DI80" s="3201"/>
      <c r="DJ80" s="3201"/>
      <c r="DK80" s="3201"/>
      <c r="DL80" s="3201"/>
      <c r="DM80" s="3201"/>
      <c r="DN80" s="3201"/>
      <c r="DO80" s="3201"/>
      <c r="DP80" s="3201"/>
      <c r="DQ80" s="3201"/>
      <c r="DR80" s="3201"/>
      <c r="DS80" s="3201"/>
      <c r="DT80" s="3201"/>
      <c r="DU80" s="3201"/>
      <c r="DV80" s="3201"/>
      <c r="DW80" s="3201"/>
      <c r="DX80" s="3201"/>
      <c r="DY80" s="3201"/>
      <c r="DZ80" s="3201"/>
      <c r="EA80" s="3201"/>
      <c r="EB80" s="3201"/>
      <c r="EC80" s="3201"/>
      <c r="ED80" s="3201"/>
      <c r="EE80" s="3201"/>
      <c r="EF80" s="3201"/>
      <c r="EG80" s="3201"/>
      <c r="EH80" s="3201"/>
      <c r="EI80" s="3201"/>
      <c r="EJ80" s="3201"/>
      <c r="EK80" s="3201"/>
      <c r="EL80" s="3201"/>
      <c r="EM80" s="3201"/>
      <c r="EN80" s="3201"/>
      <c r="EO80" s="3201"/>
      <c r="EP80" s="3201"/>
      <c r="EQ80" s="3201"/>
      <c r="ER80" s="3201"/>
      <c r="ES80" s="3201"/>
      <c r="ET80" s="3201"/>
      <c r="EU80" s="3201"/>
      <c r="EV80" s="3201"/>
      <c r="EW80" s="3201"/>
      <c r="EX80" s="3201"/>
      <c r="EY80" s="3201"/>
      <c r="EZ80" s="3201"/>
      <c r="FA80" s="3201"/>
      <c r="FB80" s="3201"/>
      <c r="FC80" s="3201"/>
      <c r="FD80" s="3201"/>
      <c r="FE80" s="3201"/>
      <c r="FF80" s="3201"/>
      <c r="FG80" s="3201"/>
      <c r="FH80" s="3201"/>
      <c r="FI80" s="3201"/>
      <c r="FJ80" s="3201"/>
      <c r="FK80" s="3201"/>
      <c r="FL80" s="3201"/>
      <c r="FM80" s="3201"/>
      <c r="FN80" s="3202"/>
      <c r="FO80" s="3202"/>
      <c r="FP80" s="3202"/>
      <c r="FQ80" s="3202"/>
      <c r="FR80" s="3202"/>
      <c r="FS80" s="3202"/>
      <c r="FT80" s="3202"/>
      <c r="FU80" s="3202"/>
      <c r="FV80" s="3202"/>
      <c r="FW80" s="3202"/>
      <c r="FX80" s="3202"/>
      <c r="FY80" s="3202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</row>
    <row r="81" spans="2:193" ht="18.75" customHeight="1" x14ac:dyDescent="0.3">
      <c r="B81" s="3203"/>
      <c r="C81" s="3203"/>
      <c r="D81" s="3203"/>
      <c r="E81" s="3202"/>
      <c r="F81" s="3202"/>
      <c r="G81" s="3202"/>
      <c r="H81" s="3202"/>
      <c r="I81" s="3202"/>
      <c r="J81" s="3202"/>
      <c r="K81" s="3202"/>
      <c r="L81" s="3202"/>
      <c r="M81" s="3202"/>
      <c r="N81" s="3202"/>
      <c r="O81" s="3202"/>
      <c r="P81" s="3202"/>
      <c r="Q81" s="3202"/>
      <c r="R81" s="3202"/>
      <c r="S81" s="3202"/>
      <c r="T81" s="3202"/>
      <c r="U81" s="3202"/>
      <c r="V81" s="3202"/>
      <c r="W81" s="3202"/>
      <c r="X81" s="3202"/>
      <c r="Y81" s="3202"/>
      <c r="Z81" s="3202"/>
      <c r="AA81" s="3202"/>
      <c r="AB81" s="3202"/>
      <c r="AC81" s="3202"/>
      <c r="AD81" s="3202"/>
      <c r="AE81" s="3202"/>
      <c r="AF81" s="3202"/>
      <c r="AG81" s="3202"/>
      <c r="AH81" s="3202"/>
      <c r="AI81" s="3202"/>
      <c r="AJ81" s="3202"/>
      <c r="AK81" s="3202"/>
      <c r="AL81" s="3202"/>
      <c r="AM81" s="3202"/>
      <c r="AN81" s="3202"/>
      <c r="AO81" s="3201"/>
      <c r="AP81" s="3201"/>
      <c r="AQ81" s="3201"/>
      <c r="AR81" s="3201"/>
      <c r="AS81" s="3201"/>
      <c r="AT81" s="3201"/>
      <c r="AU81" s="3201"/>
      <c r="AV81" s="3201"/>
      <c r="AW81" s="3201"/>
      <c r="AX81" s="3201"/>
      <c r="AY81" s="3201"/>
      <c r="AZ81" s="3201"/>
      <c r="BA81" s="3201"/>
      <c r="BB81" s="3201"/>
      <c r="BC81" s="3201"/>
      <c r="BD81" s="3201"/>
      <c r="BE81" s="3201"/>
      <c r="BF81" s="3201"/>
      <c r="BG81" s="3201"/>
      <c r="BH81" s="3201"/>
      <c r="BI81" s="3201"/>
      <c r="BJ81" s="3201"/>
      <c r="BK81" s="3201"/>
      <c r="BL81" s="3201"/>
      <c r="BM81" s="3201"/>
      <c r="BN81" s="3201"/>
      <c r="BO81" s="3201"/>
      <c r="BP81" s="3201"/>
      <c r="BQ81" s="3201"/>
      <c r="BR81" s="3201"/>
      <c r="BS81" s="3201"/>
      <c r="BT81" s="3201"/>
      <c r="BU81" s="3201"/>
      <c r="BV81" s="3201"/>
      <c r="BW81" s="3201"/>
      <c r="BX81" s="3201"/>
      <c r="BY81" s="3201"/>
      <c r="BZ81" s="3201"/>
      <c r="CA81" s="3201"/>
      <c r="CB81" s="3201"/>
      <c r="CC81" s="3201"/>
      <c r="CD81" s="3201"/>
      <c r="CE81" s="3201"/>
      <c r="CF81" s="3201"/>
      <c r="CG81" s="3201"/>
      <c r="CH81" s="3201"/>
      <c r="CI81" s="3201"/>
      <c r="CJ81" s="3201"/>
      <c r="CK81" s="3201"/>
      <c r="CL81" s="3201"/>
      <c r="CM81" s="3201"/>
      <c r="CN81" s="3201"/>
      <c r="CO81" s="3201"/>
      <c r="CP81" s="3201"/>
      <c r="CQ81" s="3201"/>
      <c r="CR81" s="3201"/>
      <c r="CS81" s="3201"/>
      <c r="CT81" s="3201"/>
      <c r="CU81" s="3201"/>
      <c r="CV81" s="3201"/>
      <c r="CW81" s="3201"/>
      <c r="CX81" s="3201"/>
      <c r="CY81" s="3201"/>
      <c r="CZ81" s="3201"/>
      <c r="DA81" s="3201"/>
      <c r="DB81" s="3201"/>
      <c r="DC81" s="3201"/>
      <c r="DD81" s="3201"/>
      <c r="DE81" s="3201"/>
      <c r="DF81" s="3201"/>
      <c r="DG81" s="3201"/>
      <c r="DH81" s="3201"/>
      <c r="DI81" s="3201"/>
      <c r="DJ81" s="3201"/>
      <c r="DK81" s="3201"/>
      <c r="DL81" s="3201"/>
      <c r="DM81" s="3201"/>
      <c r="DN81" s="3201"/>
      <c r="DO81" s="3201"/>
      <c r="DP81" s="3201"/>
      <c r="DQ81" s="3201"/>
      <c r="DR81" s="3201"/>
      <c r="DS81" s="3201"/>
      <c r="DT81" s="3201"/>
      <c r="DU81" s="3201"/>
      <c r="DV81" s="3201"/>
      <c r="DW81" s="3201"/>
      <c r="DX81" s="3201"/>
      <c r="DY81" s="3201"/>
      <c r="DZ81" s="3201"/>
      <c r="EA81" s="3201"/>
      <c r="EB81" s="3201"/>
      <c r="EC81" s="3201"/>
      <c r="ED81" s="3201"/>
      <c r="EE81" s="3201"/>
      <c r="EF81" s="3201"/>
      <c r="EG81" s="3201"/>
      <c r="EH81" s="3201"/>
      <c r="EI81" s="3201"/>
      <c r="EJ81" s="3201"/>
      <c r="EK81" s="3201"/>
      <c r="EL81" s="3201"/>
      <c r="EM81" s="3201"/>
      <c r="EN81" s="3201"/>
      <c r="EO81" s="3201"/>
      <c r="EP81" s="3201"/>
      <c r="EQ81" s="3201"/>
      <c r="ER81" s="3201"/>
      <c r="ES81" s="3201"/>
      <c r="ET81" s="3201"/>
      <c r="EU81" s="3201"/>
      <c r="EV81" s="3201"/>
      <c r="EW81" s="3201"/>
      <c r="EX81" s="3201"/>
      <c r="EY81" s="3201"/>
      <c r="EZ81" s="3201"/>
      <c r="FA81" s="3201"/>
      <c r="FB81" s="3201"/>
      <c r="FC81" s="3201"/>
      <c r="FD81" s="3201"/>
      <c r="FE81" s="3201"/>
      <c r="FF81" s="3201"/>
      <c r="FG81" s="3201"/>
      <c r="FH81" s="3201"/>
      <c r="FI81" s="3201"/>
      <c r="FJ81" s="3201"/>
      <c r="FK81" s="3201"/>
      <c r="FL81" s="3201"/>
      <c r="FM81" s="3201"/>
      <c r="FN81" s="3202"/>
      <c r="FO81" s="3202"/>
      <c r="FP81" s="3202"/>
      <c r="FQ81" s="3202"/>
      <c r="FR81" s="3202"/>
      <c r="FS81" s="3202"/>
      <c r="FT81" s="3202"/>
      <c r="FU81" s="3202"/>
      <c r="FV81" s="3202"/>
      <c r="FW81" s="3202"/>
      <c r="FX81" s="3202"/>
      <c r="FY81" s="3202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</row>
    <row r="82" spans="2:193" ht="18.75" customHeight="1" x14ac:dyDescent="0.3">
      <c r="B82" s="3202"/>
      <c r="C82" s="3202"/>
      <c r="D82" s="3202"/>
      <c r="E82" s="3202"/>
      <c r="F82" s="3202"/>
      <c r="G82" s="3202"/>
      <c r="H82" s="3202"/>
      <c r="I82" s="3202"/>
      <c r="J82" s="3202"/>
      <c r="K82" s="3202"/>
      <c r="L82" s="3202"/>
      <c r="M82" s="3202"/>
      <c r="N82" s="3202"/>
      <c r="O82" s="3202"/>
      <c r="P82" s="3202"/>
      <c r="Q82" s="3202"/>
      <c r="R82" s="3202"/>
      <c r="S82" s="3202"/>
      <c r="T82" s="3202"/>
      <c r="U82" s="3202"/>
      <c r="V82" s="3202"/>
      <c r="W82" s="3202"/>
      <c r="X82" s="3202"/>
      <c r="Y82" s="3202"/>
      <c r="Z82" s="3202"/>
      <c r="AA82" s="3202"/>
      <c r="AB82" s="3202"/>
      <c r="AC82" s="3202"/>
      <c r="AD82" s="3202"/>
      <c r="AE82" s="3202"/>
      <c r="AF82" s="3202"/>
      <c r="AG82" s="3202"/>
      <c r="AH82" s="3202"/>
      <c r="AI82" s="3202"/>
      <c r="AJ82" s="3202"/>
      <c r="AK82" s="3202"/>
      <c r="AL82" s="3202"/>
      <c r="AM82" s="3202"/>
      <c r="AN82" s="3202"/>
      <c r="AO82" s="3201"/>
      <c r="AP82" s="3201"/>
      <c r="AQ82" s="3201"/>
      <c r="AR82" s="3201"/>
      <c r="AS82" s="3201"/>
      <c r="AT82" s="3201"/>
      <c r="AU82" s="3201"/>
      <c r="AV82" s="3201"/>
      <c r="AW82" s="3201"/>
      <c r="AX82" s="3201"/>
      <c r="AY82" s="3201"/>
      <c r="AZ82" s="3201"/>
      <c r="BA82" s="3201"/>
      <c r="BB82" s="3201"/>
      <c r="BC82" s="3201"/>
      <c r="BD82" s="3201"/>
      <c r="BE82" s="3201"/>
      <c r="BF82" s="3201"/>
      <c r="BG82" s="3201"/>
      <c r="BH82" s="3201"/>
      <c r="BI82" s="3201"/>
      <c r="BJ82" s="3201"/>
      <c r="BK82" s="3201"/>
      <c r="BL82" s="3201"/>
      <c r="BM82" s="3201"/>
      <c r="BN82" s="3201"/>
      <c r="BO82" s="3201"/>
      <c r="BP82" s="3201"/>
      <c r="BQ82" s="3201"/>
      <c r="BR82" s="3201"/>
      <c r="BS82" s="3201"/>
      <c r="BT82" s="3201"/>
      <c r="BU82" s="3201"/>
      <c r="BV82" s="3201"/>
      <c r="BW82" s="3201"/>
      <c r="BX82" s="3201"/>
      <c r="BY82" s="3201"/>
      <c r="BZ82" s="3201"/>
      <c r="CA82" s="3201"/>
      <c r="CB82" s="3201"/>
      <c r="CC82" s="3201"/>
      <c r="CD82" s="3201"/>
      <c r="CE82" s="3201"/>
      <c r="CF82" s="3201"/>
      <c r="CG82" s="3201"/>
      <c r="CH82" s="3201"/>
      <c r="CI82" s="3201"/>
      <c r="CJ82" s="3201"/>
      <c r="CK82" s="3201"/>
      <c r="CL82" s="3201"/>
      <c r="CM82" s="3201"/>
      <c r="CN82" s="3201"/>
      <c r="CO82" s="3201"/>
      <c r="CP82" s="3201"/>
      <c r="CQ82" s="3201"/>
      <c r="CR82" s="3201"/>
      <c r="CS82" s="3201"/>
      <c r="CT82" s="3201"/>
      <c r="CU82" s="3201"/>
      <c r="CV82" s="3201"/>
      <c r="CW82" s="3201"/>
      <c r="CX82" s="3201"/>
      <c r="CY82" s="3201"/>
      <c r="CZ82" s="3201"/>
      <c r="DA82" s="3201"/>
      <c r="DB82" s="3201"/>
      <c r="DC82" s="3201"/>
      <c r="DD82" s="3201"/>
      <c r="DE82" s="3201"/>
      <c r="DF82" s="3201"/>
      <c r="DG82" s="3201"/>
      <c r="DH82" s="3201"/>
      <c r="DI82" s="3201"/>
      <c r="DJ82" s="3201"/>
      <c r="DK82" s="3201"/>
      <c r="DL82" s="3201"/>
      <c r="DM82" s="3201"/>
      <c r="DN82" s="3201"/>
      <c r="DO82" s="3201"/>
      <c r="DP82" s="3201"/>
      <c r="DQ82" s="3201"/>
      <c r="DR82" s="3201"/>
      <c r="DS82" s="3201"/>
      <c r="DT82" s="3201"/>
      <c r="DU82" s="3201"/>
      <c r="DV82" s="3201"/>
      <c r="DW82" s="3201"/>
      <c r="DX82" s="3201"/>
      <c r="DY82" s="3201"/>
      <c r="DZ82" s="3201"/>
      <c r="EA82" s="3201"/>
      <c r="EB82" s="3201"/>
      <c r="EC82" s="3201"/>
      <c r="ED82" s="3201"/>
      <c r="EE82" s="3201"/>
      <c r="EF82" s="3201"/>
      <c r="EG82" s="3201"/>
      <c r="EH82" s="3201"/>
      <c r="EI82" s="3201"/>
      <c r="EJ82" s="3201"/>
      <c r="EK82" s="3201"/>
      <c r="EL82" s="3201"/>
      <c r="EM82" s="3201"/>
      <c r="EN82" s="3201"/>
      <c r="EO82" s="3201"/>
      <c r="EP82" s="3201"/>
      <c r="EQ82" s="3201"/>
      <c r="ER82" s="3201"/>
      <c r="ES82" s="3201"/>
      <c r="ET82" s="3201"/>
      <c r="EU82" s="3201"/>
      <c r="EV82" s="3201"/>
      <c r="EW82" s="3201"/>
      <c r="EX82" s="3201"/>
      <c r="EY82" s="3201"/>
      <c r="EZ82" s="3201"/>
      <c r="FA82" s="3201"/>
      <c r="FB82" s="3201"/>
      <c r="FC82" s="3201"/>
      <c r="FD82" s="3201"/>
      <c r="FE82" s="3201"/>
      <c r="FF82" s="3201"/>
      <c r="FG82" s="3201"/>
      <c r="FH82" s="3201"/>
      <c r="FI82" s="3201"/>
      <c r="FJ82" s="3201"/>
      <c r="FK82" s="3201"/>
      <c r="FL82" s="3201"/>
      <c r="FM82" s="3201"/>
      <c r="FN82" s="3202"/>
      <c r="FO82" s="3202"/>
      <c r="FP82" s="3202"/>
      <c r="FQ82" s="3202"/>
      <c r="FR82" s="3202"/>
      <c r="FS82" s="3202"/>
      <c r="FT82" s="3202"/>
      <c r="FU82" s="3202"/>
      <c r="FV82" s="3202"/>
      <c r="FW82" s="3202"/>
      <c r="FX82" s="3202"/>
      <c r="FY82" s="3202"/>
      <c r="FZ82" s="156"/>
      <c r="GA82" s="156"/>
      <c r="GB82" s="156"/>
      <c r="GC82" s="156"/>
      <c r="GD82" s="156"/>
      <c r="GE82" s="156"/>
      <c r="GF82" s="156"/>
      <c r="GG82" s="156"/>
      <c r="GH82" s="156"/>
      <c r="GI82" s="156"/>
      <c r="GJ82" s="156"/>
      <c r="GK82" s="156"/>
    </row>
    <row r="83" spans="2:193" ht="18.75" customHeight="1" x14ac:dyDescent="0.3">
      <c r="B83" s="3202"/>
      <c r="C83" s="3202"/>
      <c r="D83" s="3202"/>
      <c r="E83" s="3202"/>
      <c r="F83" s="3202"/>
      <c r="G83" s="3202"/>
      <c r="H83" s="3202"/>
      <c r="I83" s="3202"/>
      <c r="J83" s="3202"/>
      <c r="K83" s="3202"/>
      <c r="L83" s="3202"/>
      <c r="M83" s="3202"/>
      <c r="N83" s="3202"/>
      <c r="O83" s="3202"/>
      <c r="P83" s="3202"/>
      <c r="Q83" s="3202"/>
      <c r="R83" s="3202"/>
      <c r="S83" s="3202"/>
      <c r="T83" s="3202"/>
      <c r="U83" s="3202"/>
      <c r="V83" s="3202"/>
      <c r="W83" s="3202"/>
      <c r="X83" s="3202"/>
      <c r="Y83" s="3202"/>
      <c r="Z83" s="3202"/>
      <c r="AA83" s="3202"/>
      <c r="AB83" s="3202"/>
      <c r="AC83" s="3202"/>
      <c r="AD83" s="3202"/>
      <c r="AE83" s="3202"/>
      <c r="AF83" s="3202"/>
      <c r="AG83" s="3202"/>
      <c r="AH83" s="3202"/>
      <c r="AI83" s="3202"/>
      <c r="AJ83" s="3202"/>
      <c r="AK83" s="3202"/>
      <c r="AL83" s="3202"/>
      <c r="AM83" s="3202"/>
      <c r="AN83" s="3202"/>
      <c r="AO83" s="3201"/>
      <c r="AP83" s="3201"/>
      <c r="AQ83" s="3201"/>
      <c r="AR83" s="3201"/>
      <c r="AS83" s="3201"/>
      <c r="AT83" s="3201"/>
      <c r="AU83" s="3201"/>
      <c r="AV83" s="3201"/>
      <c r="AW83" s="3201"/>
      <c r="AX83" s="3201"/>
      <c r="AY83" s="3201"/>
      <c r="AZ83" s="3201"/>
      <c r="BA83" s="3201"/>
      <c r="BB83" s="3201"/>
      <c r="BC83" s="3201"/>
      <c r="BD83" s="3201"/>
      <c r="BE83" s="3201"/>
      <c r="BF83" s="3201"/>
      <c r="BG83" s="3201"/>
      <c r="BH83" s="3201"/>
      <c r="BI83" s="3201"/>
      <c r="BJ83" s="3201"/>
      <c r="BK83" s="3201"/>
      <c r="BL83" s="3201"/>
      <c r="BM83" s="3201"/>
      <c r="BN83" s="3201"/>
      <c r="BO83" s="3201"/>
      <c r="BP83" s="3201"/>
      <c r="BQ83" s="3201"/>
      <c r="BR83" s="3201"/>
      <c r="BS83" s="3201"/>
      <c r="BT83" s="3201"/>
      <c r="BU83" s="3201"/>
      <c r="BV83" s="3201"/>
      <c r="BW83" s="3201"/>
      <c r="BX83" s="3201"/>
      <c r="BY83" s="3201"/>
      <c r="BZ83" s="3201"/>
      <c r="CA83" s="3201"/>
      <c r="CB83" s="3201"/>
      <c r="CC83" s="3201"/>
      <c r="CD83" s="3201"/>
      <c r="CE83" s="3201"/>
      <c r="CF83" s="3201"/>
      <c r="CG83" s="3201"/>
      <c r="CH83" s="3201"/>
      <c r="CI83" s="3201"/>
      <c r="CJ83" s="3201"/>
      <c r="CK83" s="3201"/>
      <c r="CL83" s="3201"/>
      <c r="CM83" s="3201"/>
      <c r="CN83" s="3201"/>
      <c r="CO83" s="3201"/>
      <c r="CP83" s="3201"/>
      <c r="CQ83" s="3201"/>
      <c r="CR83" s="3201"/>
      <c r="CS83" s="3201"/>
      <c r="CT83" s="3201"/>
      <c r="CU83" s="3201"/>
      <c r="CV83" s="3201"/>
      <c r="CW83" s="3201"/>
      <c r="CX83" s="3201"/>
      <c r="CY83" s="3201"/>
      <c r="CZ83" s="3201"/>
      <c r="DA83" s="3201"/>
      <c r="DB83" s="3201"/>
      <c r="DC83" s="3201"/>
      <c r="DD83" s="3201"/>
      <c r="DE83" s="3201"/>
      <c r="DF83" s="3201"/>
      <c r="DG83" s="3201"/>
      <c r="DH83" s="3201"/>
      <c r="DI83" s="3201"/>
      <c r="DJ83" s="3201"/>
      <c r="DK83" s="3201"/>
      <c r="DL83" s="3201"/>
      <c r="DM83" s="3201"/>
      <c r="DN83" s="3201"/>
      <c r="DO83" s="3201"/>
      <c r="DP83" s="3201"/>
      <c r="DQ83" s="3201"/>
      <c r="DR83" s="3201"/>
      <c r="DS83" s="3201"/>
      <c r="DT83" s="3201"/>
      <c r="DU83" s="3201"/>
      <c r="DV83" s="3201"/>
      <c r="DW83" s="3201"/>
      <c r="DX83" s="3201"/>
      <c r="DY83" s="3201"/>
      <c r="DZ83" s="3201"/>
      <c r="EA83" s="3201"/>
      <c r="EB83" s="3201"/>
      <c r="EC83" s="3201"/>
      <c r="ED83" s="3201"/>
      <c r="EE83" s="3201"/>
      <c r="EF83" s="3201"/>
      <c r="EG83" s="3201"/>
      <c r="EH83" s="3201"/>
      <c r="EI83" s="3201"/>
      <c r="EJ83" s="3201"/>
      <c r="EK83" s="3201"/>
      <c r="EL83" s="3201"/>
      <c r="EM83" s="3201"/>
      <c r="EN83" s="3201"/>
      <c r="EO83" s="3201"/>
      <c r="EP83" s="3201"/>
      <c r="EQ83" s="3201"/>
      <c r="ER83" s="3201"/>
      <c r="ES83" s="3201"/>
      <c r="ET83" s="3201"/>
      <c r="EU83" s="3201"/>
      <c r="EV83" s="3201"/>
      <c r="EW83" s="3201"/>
      <c r="EX83" s="3201"/>
      <c r="EY83" s="3201"/>
      <c r="EZ83" s="3201"/>
      <c r="FA83" s="3201"/>
      <c r="FB83" s="3201"/>
      <c r="FC83" s="3201"/>
      <c r="FD83" s="3201"/>
      <c r="FE83" s="3201"/>
      <c r="FF83" s="3201"/>
      <c r="FG83" s="3201"/>
      <c r="FH83" s="3201"/>
      <c r="FI83" s="3201"/>
      <c r="FJ83" s="3201"/>
      <c r="FK83" s="3201"/>
      <c r="FL83" s="3201"/>
      <c r="FM83" s="3201"/>
      <c r="FN83" s="3202"/>
      <c r="FO83" s="3202"/>
      <c r="FP83" s="3202"/>
      <c r="FQ83" s="3202"/>
      <c r="FR83" s="3202"/>
      <c r="FS83" s="3202"/>
      <c r="FT83" s="3202"/>
      <c r="FU83" s="3202"/>
      <c r="FV83" s="3202"/>
      <c r="FW83" s="3202"/>
      <c r="FX83" s="3202"/>
      <c r="FY83" s="3202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</row>
    <row r="84" spans="2:193" ht="18.75" customHeight="1" x14ac:dyDescent="0.3">
      <c r="B84" s="3202"/>
      <c r="C84" s="3202"/>
      <c r="D84" s="3202"/>
      <c r="E84" s="3202"/>
      <c r="F84" s="3202"/>
      <c r="G84" s="3202"/>
      <c r="H84" s="3202"/>
      <c r="I84" s="3202"/>
      <c r="J84" s="3202"/>
      <c r="K84" s="3202"/>
      <c r="L84" s="3202"/>
      <c r="M84" s="3202"/>
      <c r="N84" s="3202"/>
      <c r="O84" s="3202"/>
      <c r="P84" s="3202"/>
      <c r="Q84" s="3202"/>
      <c r="R84" s="3202"/>
      <c r="S84" s="3202"/>
      <c r="T84" s="3202"/>
      <c r="U84" s="3202"/>
      <c r="V84" s="3202"/>
      <c r="W84" s="3202"/>
      <c r="X84" s="3202"/>
      <c r="Y84" s="3202"/>
      <c r="Z84" s="3202"/>
      <c r="AA84" s="3202"/>
      <c r="AB84" s="3202"/>
      <c r="AC84" s="3202"/>
      <c r="AD84" s="3202"/>
      <c r="AE84" s="3202"/>
      <c r="AF84" s="3202"/>
      <c r="AG84" s="3202"/>
      <c r="AH84" s="3202"/>
      <c r="AI84" s="3202"/>
      <c r="AJ84" s="3202"/>
      <c r="AK84" s="3202"/>
      <c r="AL84" s="3202"/>
      <c r="AM84" s="3202"/>
      <c r="AN84" s="3202"/>
      <c r="AO84" s="3201"/>
      <c r="AP84" s="3201"/>
      <c r="AQ84" s="3201"/>
      <c r="AR84" s="3201"/>
      <c r="AS84" s="3201"/>
      <c r="AT84" s="3201"/>
      <c r="AU84" s="3201"/>
      <c r="AV84" s="3201"/>
      <c r="AW84" s="3201"/>
      <c r="AX84" s="3201"/>
      <c r="AY84" s="3201"/>
      <c r="AZ84" s="3201"/>
      <c r="BA84" s="3201"/>
      <c r="BB84" s="3201"/>
      <c r="BC84" s="3201"/>
      <c r="BD84" s="3201"/>
      <c r="BE84" s="3201"/>
      <c r="BF84" s="3201"/>
      <c r="BG84" s="3201"/>
      <c r="BH84" s="3201"/>
      <c r="BI84" s="3201"/>
      <c r="BJ84" s="3201"/>
      <c r="BK84" s="3201"/>
      <c r="BL84" s="3201"/>
      <c r="BM84" s="3201"/>
      <c r="BN84" s="3201"/>
      <c r="BO84" s="3201"/>
      <c r="BP84" s="3201"/>
      <c r="BQ84" s="3201"/>
      <c r="BR84" s="3201"/>
      <c r="BS84" s="3201"/>
      <c r="BT84" s="3201"/>
      <c r="BU84" s="3201"/>
      <c r="BV84" s="3201"/>
      <c r="BW84" s="3201"/>
      <c r="BX84" s="3201"/>
      <c r="BY84" s="3201"/>
      <c r="BZ84" s="3201"/>
      <c r="CA84" s="3201"/>
      <c r="CB84" s="3201"/>
      <c r="CC84" s="3201"/>
      <c r="CD84" s="3201"/>
      <c r="CE84" s="3201"/>
      <c r="CF84" s="3201"/>
      <c r="CG84" s="3201"/>
      <c r="CH84" s="3201"/>
      <c r="CI84" s="3201"/>
      <c r="CJ84" s="3201"/>
      <c r="CK84" s="3201"/>
      <c r="CL84" s="3201"/>
      <c r="CM84" s="3201"/>
      <c r="CN84" s="3201"/>
      <c r="CO84" s="3201"/>
      <c r="CP84" s="3201"/>
      <c r="CQ84" s="3201"/>
      <c r="CR84" s="3201"/>
      <c r="CS84" s="3201"/>
      <c r="CT84" s="3201"/>
      <c r="CU84" s="3201"/>
      <c r="CV84" s="3201"/>
      <c r="CW84" s="3201"/>
      <c r="CX84" s="3201"/>
      <c r="CY84" s="3201"/>
      <c r="CZ84" s="3201"/>
      <c r="DA84" s="3201"/>
      <c r="DB84" s="3201"/>
      <c r="DC84" s="3201"/>
      <c r="DD84" s="3201"/>
      <c r="DE84" s="3201"/>
      <c r="DF84" s="3201"/>
      <c r="DG84" s="3201"/>
      <c r="DH84" s="3201"/>
      <c r="DI84" s="3201"/>
      <c r="DJ84" s="3201"/>
      <c r="DK84" s="3201"/>
      <c r="DL84" s="3201"/>
      <c r="DM84" s="3201"/>
      <c r="DN84" s="3201"/>
      <c r="DO84" s="3201"/>
      <c r="DP84" s="3201"/>
      <c r="DQ84" s="3201"/>
      <c r="DR84" s="3201"/>
      <c r="DS84" s="3201"/>
      <c r="DT84" s="3201"/>
      <c r="DU84" s="3201"/>
      <c r="DV84" s="3201"/>
      <c r="DW84" s="3201"/>
      <c r="DX84" s="3201"/>
      <c r="DY84" s="3201"/>
      <c r="DZ84" s="3201"/>
      <c r="EA84" s="3201"/>
      <c r="EB84" s="3201"/>
      <c r="EC84" s="3201"/>
      <c r="ED84" s="3201"/>
      <c r="EE84" s="3201"/>
      <c r="EF84" s="3201"/>
      <c r="EG84" s="3201"/>
      <c r="EH84" s="3201"/>
      <c r="EI84" s="3201"/>
      <c r="EJ84" s="3201"/>
      <c r="EK84" s="3201"/>
      <c r="EL84" s="3201"/>
      <c r="EM84" s="3201"/>
      <c r="EN84" s="3201"/>
      <c r="EO84" s="3201"/>
      <c r="EP84" s="3201"/>
      <c r="EQ84" s="3201"/>
      <c r="ER84" s="3201"/>
      <c r="ES84" s="3201"/>
      <c r="ET84" s="3201"/>
      <c r="EU84" s="3201"/>
      <c r="EV84" s="3201"/>
      <c r="EW84" s="3201"/>
      <c r="EX84" s="3201"/>
      <c r="EY84" s="3201"/>
      <c r="EZ84" s="3201"/>
      <c r="FA84" s="3201"/>
      <c r="FB84" s="3201"/>
      <c r="FC84" s="3201"/>
      <c r="FD84" s="3201"/>
      <c r="FE84" s="3201"/>
      <c r="FF84" s="3201"/>
      <c r="FG84" s="3201"/>
      <c r="FH84" s="3201"/>
      <c r="FI84" s="3201"/>
      <c r="FJ84" s="3201"/>
      <c r="FK84" s="3201"/>
      <c r="FL84" s="3201"/>
      <c r="FM84" s="3201"/>
      <c r="FN84" s="3202"/>
      <c r="FO84" s="3202"/>
      <c r="FP84" s="3202"/>
      <c r="FQ84" s="3202"/>
      <c r="FR84" s="3202"/>
      <c r="FS84" s="3202"/>
      <c r="FT84" s="3202"/>
      <c r="FU84" s="3202"/>
      <c r="FV84" s="3202"/>
      <c r="FW84" s="3202"/>
      <c r="FX84" s="3202"/>
      <c r="FY84" s="3202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</row>
    <row r="85" spans="2:193" ht="18.75" customHeight="1" x14ac:dyDescent="0.3">
      <c r="B85" s="3202"/>
      <c r="C85" s="3202"/>
      <c r="D85" s="3202"/>
      <c r="E85" s="3202"/>
      <c r="F85" s="3202"/>
      <c r="G85" s="3202"/>
      <c r="H85" s="3202"/>
      <c r="I85" s="3202"/>
      <c r="J85" s="3202"/>
      <c r="K85" s="3202"/>
      <c r="L85" s="3202"/>
      <c r="M85" s="3202"/>
      <c r="N85" s="3202"/>
      <c r="O85" s="3202"/>
      <c r="P85" s="3202"/>
      <c r="Q85" s="3202"/>
      <c r="R85" s="3202"/>
      <c r="S85" s="3202"/>
      <c r="T85" s="3202"/>
      <c r="U85" s="3202"/>
      <c r="V85" s="3202"/>
      <c r="W85" s="3202"/>
      <c r="X85" s="3202"/>
      <c r="Y85" s="3202"/>
      <c r="Z85" s="3202"/>
      <c r="AA85" s="3202"/>
      <c r="AB85" s="3202"/>
      <c r="AC85" s="3202"/>
      <c r="AD85" s="3202"/>
      <c r="AE85" s="3202"/>
      <c r="AF85" s="3202"/>
      <c r="AG85" s="3202"/>
      <c r="AH85" s="3202"/>
      <c r="AI85" s="3202"/>
      <c r="AJ85" s="3202"/>
      <c r="AK85" s="3202"/>
      <c r="AL85" s="3202"/>
      <c r="AM85" s="3202"/>
      <c r="AN85" s="3202"/>
      <c r="AO85" s="3201"/>
      <c r="AP85" s="3201"/>
      <c r="AQ85" s="3201"/>
      <c r="AR85" s="3201"/>
      <c r="AS85" s="3201"/>
      <c r="AT85" s="3201"/>
      <c r="AU85" s="3201"/>
      <c r="AV85" s="3201"/>
      <c r="AW85" s="3201"/>
      <c r="AX85" s="3201"/>
      <c r="AY85" s="3201"/>
      <c r="AZ85" s="3201"/>
      <c r="BA85" s="3201"/>
      <c r="BB85" s="3201"/>
      <c r="BC85" s="3201"/>
      <c r="BD85" s="3201"/>
      <c r="BE85" s="3201"/>
      <c r="BF85" s="3201"/>
      <c r="BG85" s="3201"/>
      <c r="BH85" s="3201"/>
      <c r="BI85" s="3201"/>
      <c r="BJ85" s="3201"/>
      <c r="BK85" s="3201"/>
      <c r="BL85" s="3201"/>
      <c r="BM85" s="3201"/>
      <c r="BN85" s="3201"/>
      <c r="BO85" s="3201"/>
      <c r="BP85" s="3201"/>
      <c r="BQ85" s="3201"/>
      <c r="BR85" s="3201"/>
      <c r="BS85" s="3201"/>
      <c r="BT85" s="3201"/>
      <c r="BU85" s="3201"/>
      <c r="BV85" s="3201"/>
      <c r="BW85" s="3201"/>
      <c r="BX85" s="3201"/>
      <c r="BY85" s="3201"/>
      <c r="BZ85" s="3201"/>
      <c r="CA85" s="3201"/>
      <c r="CB85" s="3201"/>
      <c r="CC85" s="3201"/>
      <c r="CD85" s="3201"/>
      <c r="CE85" s="3201"/>
      <c r="CF85" s="3201"/>
      <c r="CG85" s="3201"/>
      <c r="CH85" s="3201"/>
      <c r="CI85" s="3201"/>
      <c r="CJ85" s="3201"/>
      <c r="CK85" s="3201"/>
      <c r="CL85" s="3201"/>
      <c r="CM85" s="3201"/>
      <c r="CN85" s="3201"/>
      <c r="CO85" s="3201"/>
      <c r="CP85" s="3201"/>
      <c r="CQ85" s="3201"/>
      <c r="CR85" s="3201"/>
      <c r="CS85" s="3201"/>
      <c r="CT85" s="3201"/>
      <c r="CU85" s="3201"/>
      <c r="CV85" s="3201"/>
      <c r="CW85" s="3201"/>
      <c r="CX85" s="3201"/>
      <c r="CY85" s="3201"/>
      <c r="CZ85" s="3201"/>
      <c r="DA85" s="3201"/>
      <c r="DB85" s="3201"/>
      <c r="DC85" s="3201"/>
      <c r="DD85" s="3201"/>
      <c r="DE85" s="3201"/>
      <c r="DF85" s="3201"/>
      <c r="DG85" s="3201"/>
      <c r="DH85" s="3201"/>
      <c r="DI85" s="3201"/>
      <c r="DJ85" s="3201"/>
      <c r="DK85" s="3201"/>
      <c r="DL85" s="3201"/>
      <c r="DM85" s="3201"/>
      <c r="DN85" s="3201"/>
      <c r="DO85" s="3201"/>
      <c r="DP85" s="3201"/>
      <c r="DQ85" s="3201"/>
      <c r="DR85" s="3201"/>
      <c r="DS85" s="3201"/>
      <c r="DT85" s="3201"/>
      <c r="DU85" s="3201"/>
      <c r="DV85" s="3201"/>
      <c r="DW85" s="3201"/>
      <c r="DX85" s="3201"/>
      <c r="DY85" s="3201"/>
      <c r="DZ85" s="3201"/>
      <c r="EA85" s="3201"/>
      <c r="EB85" s="3201"/>
      <c r="EC85" s="3201"/>
      <c r="ED85" s="3201"/>
      <c r="EE85" s="3201"/>
      <c r="EF85" s="3201"/>
      <c r="EG85" s="3201"/>
      <c r="EH85" s="3201"/>
      <c r="EI85" s="3201"/>
      <c r="EJ85" s="3201"/>
      <c r="EK85" s="3201"/>
      <c r="EL85" s="3201"/>
      <c r="EM85" s="3201"/>
      <c r="EN85" s="3201"/>
      <c r="EO85" s="3201"/>
      <c r="EP85" s="3201"/>
      <c r="EQ85" s="3201"/>
      <c r="ER85" s="3201"/>
      <c r="ES85" s="3201"/>
      <c r="ET85" s="3201"/>
      <c r="EU85" s="3201"/>
      <c r="EV85" s="3201"/>
      <c r="EW85" s="3201"/>
      <c r="EX85" s="3201"/>
      <c r="EY85" s="3201"/>
      <c r="EZ85" s="3201"/>
      <c r="FA85" s="3201"/>
      <c r="FB85" s="3201"/>
      <c r="FC85" s="3201"/>
      <c r="FD85" s="3201"/>
      <c r="FE85" s="3201"/>
      <c r="FF85" s="3201"/>
      <c r="FG85" s="3201"/>
      <c r="FH85" s="3201"/>
      <c r="FI85" s="3201"/>
      <c r="FJ85" s="3201"/>
      <c r="FK85" s="3201"/>
      <c r="FL85" s="3201"/>
      <c r="FM85" s="3201"/>
      <c r="FN85" s="3202"/>
      <c r="FO85" s="3202"/>
      <c r="FP85" s="3202"/>
      <c r="FQ85" s="3202"/>
      <c r="FR85" s="3202"/>
      <c r="FS85" s="3202"/>
      <c r="FT85" s="3202"/>
      <c r="FU85" s="3202"/>
      <c r="FV85" s="3202"/>
      <c r="FW85" s="3202"/>
      <c r="FX85" s="3202"/>
      <c r="FY85" s="3202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</row>
    <row r="86" spans="2:193" ht="18.75" customHeight="1" x14ac:dyDescent="0.3">
      <c r="B86" s="3202"/>
      <c r="C86" s="3202"/>
      <c r="D86" s="3202"/>
      <c r="E86" s="3202"/>
      <c r="F86" s="3202"/>
      <c r="G86" s="3202"/>
      <c r="H86" s="3202"/>
      <c r="I86" s="3202"/>
      <c r="J86" s="3202"/>
      <c r="K86" s="3202"/>
      <c r="L86" s="3202"/>
      <c r="M86" s="3202"/>
      <c r="N86" s="3202"/>
      <c r="O86" s="3202"/>
      <c r="P86" s="3202"/>
      <c r="Q86" s="3202"/>
      <c r="R86" s="3202"/>
      <c r="S86" s="3202"/>
      <c r="T86" s="3202"/>
      <c r="U86" s="3202"/>
      <c r="V86" s="3202"/>
      <c r="W86" s="3202"/>
      <c r="X86" s="3202"/>
      <c r="Y86" s="3202"/>
      <c r="Z86" s="3202"/>
      <c r="AA86" s="3202"/>
      <c r="AB86" s="3202"/>
      <c r="AC86" s="3202"/>
      <c r="AD86" s="3202"/>
      <c r="AE86" s="3202"/>
      <c r="AF86" s="3202"/>
      <c r="AG86" s="3202"/>
      <c r="AH86" s="3202"/>
      <c r="AI86" s="3202"/>
      <c r="AJ86" s="3202"/>
      <c r="AK86" s="3202"/>
      <c r="AL86" s="3202"/>
      <c r="AM86" s="3202"/>
      <c r="AN86" s="3202"/>
      <c r="AO86" s="3201"/>
      <c r="AP86" s="3201"/>
      <c r="AQ86" s="3201"/>
      <c r="AR86" s="3201"/>
      <c r="AS86" s="3201"/>
      <c r="AT86" s="3201"/>
      <c r="AU86" s="3201"/>
      <c r="AV86" s="3201"/>
      <c r="AW86" s="3201"/>
      <c r="AX86" s="3201"/>
      <c r="AY86" s="3201"/>
      <c r="AZ86" s="3201"/>
      <c r="BA86" s="3201"/>
      <c r="BB86" s="3201"/>
      <c r="BC86" s="3201"/>
      <c r="BD86" s="3201"/>
      <c r="BE86" s="3201"/>
      <c r="BF86" s="3201"/>
      <c r="BG86" s="3201"/>
      <c r="BH86" s="3201"/>
      <c r="BI86" s="3201"/>
      <c r="BJ86" s="3201"/>
      <c r="BK86" s="3201"/>
      <c r="BL86" s="3201"/>
      <c r="BM86" s="3201"/>
      <c r="BN86" s="3201"/>
      <c r="BO86" s="3201"/>
      <c r="BP86" s="3201"/>
      <c r="BQ86" s="3201"/>
      <c r="BR86" s="3201"/>
      <c r="BS86" s="3201"/>
      <c r="BT86" s="3201"/>
      <c r="BU86" s="3201"/>
      <c r="BV86" s="3201"/>
      <c r="BW86" s="3201"/>
      <c r="BX86" s="3201"/>
      <c r="BY86" s="3201"/>
      <c r="BZ86" s="3201"/>
      <c r="CA86" s="3201"/>
      <c r="CB86" s="3201"/>
      <c r="CC86" s="3201"/>
      <c r="CD86" s="3201"/>
      <c r="CE86" s="3201"/>
      <c r="CF86" s="3201"/>
      <c r="CG86" s="3201"/>
      <c r="CH86" s="3201"/>
      <c r="CI86" s="3201"/>
      <c r="CJ86" s="3201"/>
      <c r="CK86" s="3201"/>
      <c r="CL86" s="3201"/>
      <c r="CM86" s="3201"/>
      <c r="CN86" s="3201"/>
      <c r="CO86" s="3201"/>
      <c r="CP86" s="3201"/>
      <c r="CQ86" s="3201"/>
      <c r="CR86" s="3201"/>
      <c r="CS86" s="3201"/>
      <c r="CT86" s="3201"/>
      <c r="CU86" s="3201"/>
      <c r="CV86" s="3201"/>
      <c r="CW86" s="3201"/>
      <c r="CX86" s="3201"/>
      <c r="CY86" s="3201"/>
      <c r="CZ86" s="3201"/>
      <c r="DA86" s="3201"/>
      <c r="DB86" s="3201"/>
      <c r="DC86" s="3201"/>
      <c r="DD86" s="3201"/>
      <c r="DE86" s="3201"/>
      <c r="DF86" s="3201"/>
      <c r="DG86" s="3201"/>
      <c r="DH86" s="3201"/>
      <c r="DI86" s="3201"/>
      <c r="DJ86" s="3201"/>
      <c r="DK86" s="3201"/>
      <c r="DL86" s="3201"/>
      <c r="DM86" s="3201"/>
      <c r="DN86" s="3201"/>
      <c r="DO86" s="3201"/>
      <c r="DP86" s="3201"/>
      <c r="DQ86" s="3201"/>
      <c r="DR86" s="3201"/>
      <c r="DS86" s="3201"/>
      <c r="DT86" s="3201"/>
      <c r="DU86" s="3201"/>
      <c r="DV86" s="3201"/>
      <c r="DW86" s="3201"/>
      <c r="DX86" s="3201"/>
      <c r="DY86" s="3201"/>
      <c r="DZ86" s="3201"/>
      <c r="EA86" s="3201"/>
      <c r="EB86" s="3201"/>
      <c r="EC86" s="3201"/>
      <c r="ED86" s="3201"/>
      <c r="EE86" s="3201"/>
      <c r="EF86" s="3201"/>
      <c r="EG86" s="3201"/>
      <c r="EH86" s="3201"/>
      <c r="EI86" s="3201"/>
      <c r="EJ86" s="3201"/>
      <c r="EK86" s="3201"/>
      <c r="EL86" s="3201"/>
      <c r="EM86" s="3201"/>
      <c r="EN86" s="3201"/>
      <c r="EO86" s="3201"/>
      <c r="EP86" s="3201"/>
      <c r="EQ86" s="3201"/>
      <c r="ER86" s="3201"/>
      <c r="ES86" s="3201"/>
      <c r="ET86" s="3201"/>
      <c r="EU86" s="3201"/>
      <c r="EV86" s="3201"/>
      <c r="EW86" s="3201"/>
      <c r="EX86" s="3201"/>
      <c r="EY86" s="3201"/>
      <c r="EZ86" s="3201"/>
      <c r="FA86" s="3201"/>
      <c r="FB86" s="3201"/>
      <c r="FC86" s="3201"/>
      <c r="FD86" s="3201"/>
      <c r="FE86" s="3201"/>
      <c r="FF86" s="3201"/>
      <c r="FG86" s="3201"/>
      <c r="FH86" s="3201"/>
      <c r="FI86" s="3201"/>
      <c r="FJ86" s="3201"/>
      <c r="FK86" s="3201"/>
      <c r="FL86" s="3201"/>
      <c r="FM86" s="3201"/>
      <c r="FN86" s="3202"/>
      <c r="FO86" s="3202"/>
      <c r="FP86" s="3202"/>
      <c r="FQ86" s="3202"/>
      <c r="FR86" s="3202"/>
      <c r="FS86" s="3202"/>
      <c r="FT86" s="3202"/>
      <c r="FU86" s="3202"/>
      <c r="FV86" s="3202"/>
      <c r="FW86" s="3202"/>
      <c r="FX86" s="3202"/>
      <c r="FY86" s="3202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</row>
    <row r="87" spans="2:193" ht="18.75" customHeight="1" x14ac:dyDescent="0.3">
      <c r="B87" s="3202"/>
      <c r="C87" s="3202"/>
      <c r="D87" s="3202"/>
      <c r="E87" s="3202"/>
      <c r="F87" s="3202"/>
      <c r="G87" s="3202"/>
      <c r="H87" s="3202"/>
      <c r="I87" s="3202"/>
      <c r="J87" s="3202"/>
      <c r="K87" s="3202"/>
      <c r="L87" s="3202"/>
      <c r="M87" s="3202"/>
      <c r="N87" s="3202"/>
      <c r="O87" s="3202"/>
      <c r="P87" s="3202"/>
      <c r="Q87" s="3202"/>
      <c r="R87" s="3202"/>
      <c r="S87" s="3202"/>
      <c r="T87" s="3202"/>
      <c r="U87" s="3202"/>
      <c r="V87" s="3202"/>
      <c r="W87" s="3202"/>
      <c r="X87" s="3202"/>
      <c r="Y87" s="3202"/>
      <c r="Z87" s="3202"/>
      <c r="AA87" s="3202"/>
      <c r="AB87" s="3202"/>
      <c r="AC87" s="3202"/>
      <c r="AD87" s="3202"/>
      <c r="AE87" s="3202"/>
      <c r="AF87" s="3202"/>
      <c r="AG87" s="3202"/>
      <c r="AH87" s="3202"/>
      <c r="AI87" s="3202"/>
      <c r="AJ87" s="3202"/>
      <c r="AK87" s="3202"/>
      <c r="AL87" s="3202"/>
      <c r="AM87" s="3202"/>
      <c r="AN87" s="3202"/>
      <c r="AO87" s="3201"/>
      <c r="AP87" s="3201"/>
      <c r="AQ87" s="3201"/>
      <c r="AR87" s="3201"/>
      <c r="AS87" s="3201"/>
      <c r="AT87" s="3201"/>
      <c r="AU87" s="3201"/>
      <c r="AV87" s="3201"/>
      <c r="AW87" s="3201"/>
      <c r="AX87" s="3201"/>
      <c r="AY87" s="3201"/>
      <c r="AZ87" s="3201"/>
      <c r="BA87" s="3201"/>
      <c r="BB87" s="3201"/>
      <c r="BC87" s="3201"/>
      <c r="BD87" s="3201"/>
      <c r="BE87" s="3201"/>
      <c r="BF87" s="3201"/>
      <c r="BG87" s="3201"/>
      <c r="BH87" s="3201"/>
      <c r="BI87" s="3201"/>
      <c r="BJ87" s="3201"/>
      <c r="BK87" s="3201"/>
      <c r="BL87" s="3201"/>
      <c r="BM87" s="3201"/>
      <c r="BN87" s="3201"/>
      <c r="BO87" s="3201"/>
      <c r="BP87" s="3201"/>
      <c r="BQ87" s="3201"/>
      <c r="BR87" s="3201"/>
      <c r="BS87" s="3201"/>
      <c r="BT87" s="3201"/>
      <c r="BU87" s="3201"/>
      <c r="BV87" s="3201"/>
      <c r="BW87" s="3201"/>
      <c r="BX87" s="3201"/>
      <c r="BY87" s="3201"/>
      <c r="BZ87" s="3201"/>
      <c r="CA87" s="3201"/>
      <c r="CB87" s="3201"/>
      <c r="CC87" s="3201"/>
      <c r="CD87" s="3201"/>
      <c r="CE87" s="3201"/>
      <c r="CF87" s="3201"/>
      <c r="CG87" s="3201"/>
      <c r="CH87" s="3201"/>
      <c r="CI87" s="3201"/>
      <c r="CJ87" s="3201"/>
      <c r="CK87" s="3201"/>
      <c r="CL87" s="3201"/>
      <c r="CM87" s="3201"/>
      <c r="CN87" s="3201"/>
      <c r="CO87" s="3201"/>
      <c r="CP87" s="3201"/>
      <c r="CQ87" s="3201"/>
      <c r="CR87" s="3201"/>
      <c r="CS87" s="3201"/>
      <c r="CT87" s="3201"/>
      <c r="CU87" s="3201"/>
      <c r="CV87" s="3201"/>
      <c r="CW87" s="3201"/>
      <c r="CX87" s="3201"/>
      <c r="CY87" s="3201"/>
      <c r="CZ87" s="3201"/>
      <c r="DA87" s="3201"/>
      <c r="DB87" s="3201"/>
      <c r="DC87" s="3201"/>
      <c r="DD87" s="3201"/>
      <c r="DE87" s="3201"/>
      <c r="DF87" s="3201"/>
      <c r="DG87" s="3201"/>
      <c r="DH87" s="3201"/>
      <c r="DI87" s="3201"/>
      <c r="DJ87" s="3201"/>
      <c r="DK87" s="3201"/>
      <c r="DL87" s="3201"/>
      <c r="DM87" s="3201"/>
      <c r="DN87" s="3201"/>
      <c r="DO87" s="3201"/>
      <c r="DP87" s="3201"/>
      <c r="DQ87" s="3201"/>
      <c r="DR87" s="3201"/>
      <c r="DS87" s="3201"/>
      <c r="DT87" s="3201"/>
      <c r="DU87" s="3201"/>
      <c r="DV87" s="3201"/>
      <c r="DW87" s="3201"/>
      <c r="DX87" s="3201"/>
      <c r="DY87" s="3201"/>
      <c r="DZ87" s="3201"/>
      <c r="EA87" s="3201"/>
      <c r="EB87" s="3201"/>
      <c r="EC87" s="3201"/>
      <c r="ED87" s="3201"/>
      <c r="EE87" s="3201"/>
      <c r="EF87" s="3201"/>
      <c r="EG87" s="3201"/>
      <c r="EH87" s="3201"/>
      <c r="EI87" s="3201"/>
      <c r="EJ87" s="3201"/>
      <c r="EK87" s="3201"/>
      <c r="EL87" s="3201"/>
      <c r="EM87" s="3201"/>
      <c r="EN87" s="3201"/>
      <c r="EO87" s="3201"/>
      <c r="EP87" s="3201"/>
      <c r="EQ87" s="3201"/>
      <c r="ER87" s="3201"/>
      <c r="ES87" s="3201"/>
      <c r="ET87" s="3201"/>
      <c r="EU87" s="3201"/>
      <c r="EV87" s="3201"/>
      <c r="EW87" s="3201"/>
      <c r="EX87" s="3201"/>
      <c r="EY87" s="3201"/>
      <c r="EZ87" s="3201"/>
      <c r="FA87" s="3201"/>
      <c r="FB87" s="3201"/>
      <c r="FC87" s="3201"/>
      <c r="FD87" s="3201"/>
      <c r="FE87" s="3201"/>
      <c r="FF87" s="3201"/>
      <c r="FG87" s="3201"/>
      <c r="FH87" s="3201"/>
      <c r="FI87" s="3201"/>
      <c r="FJ87" s="3201"/>
      <c r="FK87" s="3201"/>
      <c r="FL87" s="3201"/>
      <c r="FM87" s="3201"/>
      <c r="FN87" s="3202"/>
      <c r="FO87" s="3202"/>
      <c r="FP87" s="3202"/>
      <c r="FQ87" s="3202"/>
      <c r="FR87" s="3202"/>
      <c r="FS87" s="3202"/>
      <c r="FT87" s="3202"/>
      <c r="FU87" s="3202"/>
      <c r="FV87" s="3202"/>
      <c r="FW87" s="3202"/>
      <c r="FX87" s="3202"/>
      <c r="FY87" s="3202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</row>
    <row r="88" spans="2:193" ht="18.75" customHeight="1" x14ac:dyDescent="0.3">
      <c r="B88" s="3202"/>
      <c r="C88" s="3202"/>
      <c r="D88" s="3202"/>
      <c r="E88" s="3202"/>
      <c r="F88" s="3202"/>
      <c r="G88" s="3202"/>
      <c r="H88" s="3202"/>
      <c r="I88" s="3202"/>
      <c r="J88" s="3202"/>
      <c r="K88" s="3202"/>
      <c r="L88" s="3202"/>
      <c r="M88" s="3202"/>
      <c r="N88" s="3202"/>
      <c r="O88" s="3202"/>
      <c r="P88" s="3202"/>
      <c r="Q88" s="3202"/>
      <c r="R88" s="3202"/>
      <c r="S88" s="3202"/>
      <c r="T88" s="3202"/>
      <c r="U88" s="3202"/>
      <c r="V88" s="3202"/>
      <c r="W88" s="3202"/>
      <c r="X88" s="3202"/>
      <c r="Y88" s="3202"/>
      <c r="Z88" s="3202"/>
      <c r="AA88" s="3202"/>
      <c r="AB88" s="3202"/>
      <c r="AC88" s="3202"/>
      <c r="AD88" s="3202"/>
      <c r="AE88" s="3202"/>
      <c r="AF88" s="3202"/>
      <c r="AG88" s="3202"/>
      <c r="AH88" s="3202"/>
      <c r="AI88" s="3202"/>
      <c r="AJ88" s="3202"/>
      <c r="AK88" s="3202"/>
      <c r="AL88" s="3202"/>
      <c r="AM88" s="3202"/>
      <c r="AN88" s="3202"/>
      <c r="AO88" s="3201"/>
      <c r="AP88" s="3201"/>
      <c r="AQ88" s="3201"/>
      <c r="AR88" s="3201"/>
      <c r="AS88" s="3201"/>
      <c r="AT88" s="3201"/>
      <c r="AU88" s="3201"/>
      <c r="AV88" s="3201"/>
      <c r="AW88" s="3201"/>
      <c r="AX88" s="3201"/>
      <c r="AY88" s="3201"/>
      <c r="AZ88" s="3201"/>
      <c r="BA88" s="3201"/>
      <c r="BB88" s="3201"/>
      <c r="BC88" s="3201"/>
      <c r="BD88" s="3201"/>
      <c r="BE88" s="3201"/>
      <c r="BF88" s="3201"/>
      <c r="BG88" s="3201"/>
      <c r="BH88" s="3201"/>
      <c r="BI88" s="3201"/>
      <c r="BJ88" s="3201"/>
      <c r="BK88" s="3201"/>
      <c r="BL88" s="3201"/>
      <c r="BM88" s="3201"/>
      <c r="BN88" s="3201"/>
      <c r="BO88" s="3201"/>
      <c r="BP88" s="3201"/>
      <c r="BQ88" s="3201"/>
      <c r="BR88" s="3201"/>
      <c r="BS88" s="3201"/>
      <c r="BT88" s="3201"/>
      <c r="BU88" s="3201"/>
      <c r="BV88" s="3201"/>
      <c r="BW88" s="3201"/>
      <c r="BX88" s="3201"/>
      <c r="BY88" s="3201"/>
      <c r="BZ88" s="3201"/>
      <c r="CA88" s="3201"/>
      <c r="CB88" s="3201"/>
      <c r="CC88" s="3201"/>
      <c r="CD88" s="3201"/>
      <c r="CE88" s="3201"/>
      <c r="CF88" s="3201"/>
      <c r="CG88" s="3201"/>
      <c r="CH88" s="3201"/>
      <c r="CI88" s="3201"/>
      <c r="CJ88" s="3201"/>
      <c r="CK88" s="3201"/>
      <c r="CL88" s="3201"/>
      <c r="CM88" s="3201"/>
      <c r="CN88" s="3201"/>
      <c r="CO88" s="3201"/>
      <c r="CP88" s="3201"/>
      <c r="CQ88" s="3201"/>
      <c r="CR88" s="3201"/>
      <c r="CS88" s="3201"/>
      <c r="CT88" s="3201"/>
      <c r="CU88" s="3201"/>
      <c r="CV88" s="3201"/>
      <c r="CW88" s="3201"/>
      <c r="CX88" s="3201"/>
      <c r="CY88" s="3201"/>
      <c r="CZ88" s="3201"/>
      <c r="DA88" s="3201"/>
      <c r="DB88" s="3201"/>
      <c r="DC88" s="3201"/>
      <c r="DD88" s="3201"/>
      <c r="DE88" s="3201"/>
      <c r="DF88" s="3201"/>
      <c r="DG88" s="3201"/>
      <c r="DH88" s="3201"/>
      <c r="DI88" s="3201"/>
      <c r="DJ88" s="3201"/>
      <c r="DK88" s="3201"/>
      <c r="DL88" s="3201"/>
      <c r="DM88" s="3201"/>
      <c r="DN88" s="3201"/>
      <c r="DO88" s="3201"/>
      <c r="DP88" s="3201"/>
      <c r="DQ88" s="3201"/>
      <c r="DR88" s="3201"/>
      <c r="DS88" s="3201"/>
      <c r="DT88" s="3201"/>
      <c r="DU88" s="3201"/>
      <c r="DV88" s="3201"/>
      <c r="DW88" s="3201"/>
      <c r="DX88" s="3201"/>
      <c r="DY88" s="3201"/>
      <c r="DZ88" s="3201"/>
      <c r="EA88" s="3201"/>
      <c r="EB88" s="3201"/>
      <c r="EC88" s="3201"/>
      <c r="ED88" s="3201"/>
      <c r="EE88" s="3201"/>
      <c r="EF88" s="3201"/>
      <c r="EG88" s="3201"/>
      <c r="EH88" s="3201"/>
      <c r="EI88" s="3201"/>
      <c r="EJ88" s="3201"/>
      <c r="EK88" s="3201"/>
      <c r="EL88" s="3201"/>
      <c r="EM88" s="3201"/>
      <c r="EN88" s="3201"/>
      <c r="EO88" s="3201"/>
      <c r="EP88" s="3201"/>
      <c r="EQ88" s="3201"/>
      <c r="ER88" s="3201"/>
      <c r="ES88" s="3201"/>
      <c r="ET88" s="3201"/>
      <c r="EU88" s="3201"/>
      <c r="EV88" s="3201"/>
      <c r="EW88" s="3201"/>
      <c r="EX88" s="3201"/>
      <c r="EY88" s="3201"/>
      <c r="EZ88" s="3201"/>
      <c r="FA88" s="3201"/>
      <c r="FB88" s="3201"/>
      <c r="FC88" s="3201"/>
      <c r="FD88" s="3201"/>
      <c r="FE88" s="3201"/>
      <c r="FF88" s="3201"/>
      <c r="FG88" s="3201"/>
      <c r="FH88" s="3201"/>
      <c r="FI88" s="3201"/>
      <c r="FJ88" s="3201"/>
      <c r="FK88" s="3201"/>
      <c r="FL88" s="3201"/>
      <c r="FM88" s="3201"/>
      <c r="FN88" s="3202"/>
      <c r="FO88" s="3202"/>
      <c r="FP88" s="3202"/>
      <c r="FQ88" s="3202"/>
      <c r="FR88" s="3202"/>
      <c r="FS88" s="3202"/>
      <c r="FT88" s="3202"/>
      <c r="FU88" s="3202"/>
      <c r="FV88" s="3202"/>
      <c r="FW88" s="3202"/>
      <c r="FX88" s="3202"/>
      <c r="FY88" s="3202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</row>
    <row r="89" spans="2:193" ht="18.75" customHeight="1" x14ac:dyDescent="0.3">
      <c r="B89" s="3202"/>
      <c r="C89" s="3202"/>
      <c r="D89" s="3202"/>
      <c r="E89" s="3202"/>
      <c r="F89" s="3202"/>
      <c r="G89" s="3202"/>
      <c r="H89" s="3202"/>
      <c r="I89" s="3202"/>
      <c r="J89" s="3202"/>
      <c r="K89" s="3202"/>
      <c r="L89" s="3202"/>
      <c r="M89" s="3202"/>
      <c r="N89" s="3202"/>
      <c r="O89" s="3202"/>
      <c r="P89" s="3202"/>
      <c r="Q89" s="3202"/>
      <c r="R89" s="3202"/>
      <c r="S89" s="3202"/>
      <c r="T89" s="3202"/>
      <c r="U89" s="3202"/>
      <c r="V89" s="3202"/>
      <c r="W89" s="3202"/>
      <c r="X89" s="3202"/>
      <c r="Y89" s="3202"/>
      <c r="Z89" s="3202"/>
      <c r="AA89" s="3202"/>
      <c r="AB89" s="3202"/>
      <c r="AC89" s="3202"/>
      <c r="AD89" s="3202"/>
      <c r="AE89" s="3202"/>
      <c r="AF89" s="3202"/>
      <c r="AG89" s="3202"/>
      <c r="AH89" s="3202"/>
      <c r="AI89" s="3202"/>
      <c r="AJ89" s="3202"/>
      <c r="AK89" s="3202"/>
      <c r="AL89" s="3202"/>
      <c r="AM89" s="3202"/>
      <c r="AN89" s="3202"/>
      <c r="AO89" s="3201"/>
      <c r="AP89" s="3201"/>
      <c r="AQ89" s="3201"/>
      <c r="AR89" s="3201"/>
      <c r="AS89" s="3201"/>
      <c r="AT89" s="3201"/>
      <c r="AU89" s="3201"/>
      <c r="AV89" s="3201"/>
      <c r="AW89" s="3201"/>
      <c r="AX89" s="3201"/>
      <c r="AY89" s="3201"/>
      <c r="AZ89" s="3201"/>
      <c r="BA89" s="3201"/>
      <c r="BB89" s="3201"/>
      <c r="BC89" s="3201"/>
      <c r="BD89" s="3201"/>
      <c r="BE89" s="3201"/>
      <c r="BF89" s="3201"/>
      <c r="BG89" s="3201"/>
      <c r="BH89" s="3201"/>
      <c r="BI89" s="3201"/>
      <c r="BJ89" s="3201"/>
      <c r="BK89" s="3201"/>
      <c r="BL89" s="3201"/>
      <c r="BM89" s="3201"/>
      <c r="BN89" s="3201"/>
      <c r="BO89" s="3201"/>
      <c r="BP89" s="3201"/>
      <c r="BQ89" s="3201"/>
      <c r="BR89" s="3201"/>
      <c r="BS89" s="3201"/>
      <c r="BT89" s="3201"/>
      <c r="BU89" s="3201"/>
      <c r="BV89" s="3201"/>
      <c r="BW89" s="3201"/>
      <c r="BX89" s="3201"/>
      <c r="BY89" s="3201"/>
      <c r="BZ89" s="3201"/>
      <c r="CA89" s="3201"/>
      <c r="CB89" s="3201"/>
      <c r="CC89" s="3201"/>
      <c r="CD89" s="3201"/>
      <c r="CE89" s="3201"/>
      <c r="CF89" s="3201"/>
      <c r="CG89" s="3201"/>
      <c r="CH89" s="3201"/>
      <c r="CI89" s="3201"/>
      <c r="CJ89" s="3201"/>
      <c r="CK89" s="3201"/>
      <c r="CL89" s="3201"/>
      <c r="CM89" s="3201"/>
      <c r="CN89" s="3201"/>
      <c r="CO89" s="3201"/>
      <c r="CP89" s="3201"/>
      <c r="CQ89" s="3201"/>
      <c r="CR89" s="3201"/>
      <c r="CS89" s="3201"/>
      <c r="CT89" s="3201"/>
      <c r="CU89" s="3201"/>
      <c r="CV89" s="3201"/>
      <c r="CW89" s="3201"/>
      <c r="CX89" s="3201"/>
      <c r="CY89" s="3201"/>
      <c r="CZ89" s="3201"/>
      <c r="DA89" s="3201"/>
      <c r="DB89" s="3201"/>
      <c r="DC89" s="3201"/>
      <c r="DD89" s="3201"/>
      <c r="DE89" s="3201"/>
      <c r="DF89" s="3201"/>
      <c r="DG89" s="3201"/>
      <c r="DH89" s="3201"/>
      <c r="DI89" s="3201"/>
      <c r="DJ89" s="3201"/>
      <c r="DK89" s="3201"/>
      <c r="DL89" s="3201"/>
      <c r="DM89" s="3201"/>
      <c r="DN89" s="3201"/>
      <c r="DO89" s="3201"/>
      <c r="DP89" s="3201"/>
      <c r="DQ89" s="3201"/>
      <c r="DR89" s="3201"/>
      <c r="DS89" s="3201"/>
      <c r="DT89" s="3201"/>
      <c r="DU89" s="3201"/>
      <c r="DV89" s="3201"/>
      <c r="DW89" s="3201"/>
      <c r="DX89" s="3201"/>
      <c r="DY89" s="3201"/>
      <c r="DZ89" s="3201"/>
      <c r="EA89" s="3201"/>
      <c r="EB89" s="3201"/>
      <c r="EC89" s="3201"/>
      <c r="ED89" s="3201"/>
      <c r="EE89" s="3201"/>
      <c r="EF89" s="3201"/>
      <c r="EG89" s="3201"/>
      <c r="EH89" s="3201"/>
      <c r="EI89" s="3201"/>
      <c r="EJ89" s="3201"/>
      <c r="EK89" s="3201"/>
      <c r="EL89" s="3201"/>
      <c r="EM89" s="3201"/>
      <c r="EN89" s="3201"/>
      <c r="EO89" s="3201"/>
      <c r="EP89" s="3201"/>
      <c r="EQ89" s="3201"/>
      <c r="ER89" s="3201"/>
      <c r="ES89" s="3201"/>
      <c r="ET89" s="3201"/>
      <c r="EU89" s="3201"/>
      <c r="EV89" s="3201"/>
      <c r="EW89" s="3201"/>
      <c r="EX89" s="3201"/>
      <c r="EY89" s="3201"/>
      <c r="EZ89" s="3201"/>
      <c r="FA89" s="3201"/>
      <c r="FB89" s="3201"/>
      <c r="FC89" s="3201"/>
      <c r="FD89" s="3201"/>
      <c r="FE89" s="3201"/>
      <c r="FF89" s="3201"/>
      <c r="FG89" s="3201"/>
      <c r="FH89" s="3201"/>
      <c r="FI89" s="3201"/>
      <c r="FJ89" s="3201"/>
      <c r="FK89" s="3201"/>
      <c r="FL89" s="3201"/>
      <c r="FM89" s="3201"/>
      <c r="FN89" s="3202"/>
      <c r="FO89" s="3202"/>
      <c r="FP89" s="3202"/>
      <c r="FQ89" s="3202"/>
      <c r="FR89" s="3202"/>
      <c r="FS89" s="3202"/>
      <c r="FT89" s="3202"/>
      <c r="FU89" s="3202"/>
      <c r="FV89" s="3202"/>
      <c r="FW89" s="3202"/>
      <c r="FX89" s="3202"/>
      <c r="FY89" s="3202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</row>
    <row r="90" spans="2:193" ht="18.75" customHeight="1" x14ac:dyDescent="0.3">
      <c r="B90" s="3202"/>
      <c r="C90" s="3202"/>
      <c r="D90" s="3202"/>
      <c r="E90" s="3202"/>
      <c r="F90" s="3202"/>
      <c r="G90" s="3202"/>
      <c r="H90" s="3202"/>
      <c r="I90" s="3202"/>
      <c r="J90" s="3202"/>
      <c r="K90" s="3202"/>
      <c r="L90" s="3202"/>
      <c r="M90" s="3202"/>
      <c r="N90" s="3202"/>
      <c r="O90" s="3202"/>
      <c r="P90" s="3202"/>
      <c r="Q90" s="3202"/>
      <c r="R90" s="3202"/>
      <c r="S90" s="3202"/>
      <c r="T90" s="3202"/>
      <c r="U90" s="3202"/>
      <c r="V90" s="3202"/>
      <c r="W90" s="3202"/>
      <c r="X90" s="3202"/>
      <c r="Y90" s="3202"/>
      <c r="Z90" s="3202"/>
      <c r="AA90" s="3202"/>
      <c r="AB90" s="3202"/>
      <c r="AC90" s="3202"/>
      <c r="AD90" s="3202"/>
      <c r="AE90" s="3202"/>
      <c r="AF90" s="3202"/>
      <c r="AG90" s="3202"/>
      <c r="AH90" s="3202"/>
      <c r="AI90" s="3202"/>
      <c r="AJ90" s="3202"/>
      <c r="AK90" s="3202"/>
      <c r="AL90" s="3202"/>
      <c r="AM90" s="3202"/>
      <c r="AN90" s="3202"/>
      <c r="AO90" s="3201"/>
      <c r="AP90" s="3201"/>
      <c r="AQ90" s="3201"/>
      <c r="AR90" s="3201"/>
      <c r="AS90" s="3201"/>
      <c r="AT90" s="3201"/>
      <c r="AU90" s="3201"/>
      <c r="AV90" s="3201"/>
      <c r="AW90" s="3201"/>
      <c r="AX90" s="3201"/>
      <c r="AY90" s="3201"/>
      <c r="AZ90" s="3201"/>
      <c r="BA90" s="3201"/>
      <c r="BB90" s="3201"/>
      <c r="BC90" s="3201"/>
      <c r="BD90" s="3201"/>
      <c r="BE90" s="3201"/>
      <c r="BF90" s="3201"/>
      <c r="BG90" s="3201"/>
      <c r="BH90" s="3201"/>
      <c r="BI90" s="3201"/>
      <c r="BJ90" s="3201"/>
      <c r="BK90" s="3201"/>
      <c r="BL90" s="3201"/>
      <c r="BM90" s="3201"/>
      <c r="BN90" s="3201"/>
      <c r="BO90" s="3201"/>
      <c r="BP90" s="3201"/>
      <c r="BQ90" s="3201"/>
      <c r="BR90" s="3201"/>
      <c r="BS90" s="3201"/>
      <c r="BT90" s="3201"/>
      <c r="BU90" s="3201"/>
      <c r="BV90" s="3201"/>
      <c r="BW90" s="3201"/>
      <c r="BX90" s="3201"/>
      <c r="BY90" s="3201"/>
      <c r="BZ90" s="3201"/>
      <c r="CA90" s="3201"/>
      <c r="CB90" s="3201"/>
      <c r="CC90" s="3201"/>
      <c r="CD90" s="3201"/>
      <c r="CE90" s="3201"/>
      <c r="CF90" s="3201"/>
      <c r="CG90" s="3201"/>
      <c r="CH90" s="3201"/>
      <c r="CI90" s="3201"/>
      <c r="CJ90" s="3201"/>
      <c r="CK90" s="3201"/>
      <c r="CL90" s="3201"/>
      <c r="CM90" s="3201"/>
      <c r="CN90" s="3201"/>
      <c r="CO90" s="3201"/>
      <c r="CP90" s="3201"/>
      <c r="CQ90" s="3201"/>
      <c r="CR90" s="3201"/>
      <c r="CS90" s="3201"/>
      <c r="CT90" s="3201"/>
      <c r="CU90" s="3201"/>
      <c r="CV90" s="3201"/>
      <c r="CW90" s="3201"/>
      <c r="CX90" s="3201"/>
      <c r="CY90" s="3201"/>
      <c r="CZ90" s="3201"/>
      <c r="DA90" s="3201"/>
      <c r="DB90" s="3201"/>
      <c r="DC90" s="3201"/>
      <c r="DD90" s="3201"/>
      <c r="DE90" s="3201"/>
      <c r="DF90" s="3201"/>
      <c r="DG90" s="3201"/>
      <c r="DH90" s="3201"/>
      <c r="DI90" s="3201"/>
      <c r="DJ90" s="3201"/>
      <c r="DK90" s="3201"/>
      <c r="DL90" s="3201"/>
      <c r="DM90" s="3201"/>
      <c r="DN90" s="3201"/>
      <c r="DO90" s="3201"/>
      <c r="DP90" s="3201"/>
      <c r="DQ90" s="3201"/>
      <c r="DR90" s="3201"/>
      <c r="DS90" s="3201"/>
      <c r="DT90" s="3201"/>
      <c r="DU90" s="3201"/>
      <c r="DV90" s="3201"/>
      <c r="DW90" s="3201"/>
      <c r="DX90" s="3201"/>
      <c r="DY90" s="3201"/>
      <c r="DZ90" s="3201"/>
      <c r="EA90" s="3201"/>
      <c r="EB90" s="3201"/>
      <c r="EC90" s="3201"/>
      <c r="ED90" s="3201"/>
      <c r="EE90" s="3201"/>
      <c r="EF90" s="3201"/>
      <c r="EG90" s="3201"/>
      <c r="EH90" s="3201"/>
      <c r="EI90" s="3201"/>
      <c r="EJ90" s="3201"/>
      <c r="EK90" s="3201"/>
      <c r="EL90" s="3201"/>
      <c r="EM90" s="3201"/>
      <c r="EN90" s="3201"/>
      <c r="EO90" s="3201"/>
      <c r="EP90" s="3201"/>
      <c r="EQ90" s="3201"/>
      <c r="ER90" s="3201"/>
      <c r="ES90" s="3201"/>
      <c r="ET90" s="3201"/>
      <c r="EU90" s="3201"/>
      <c r="EV90" s="3201"/>
      <c r="EW90" s="3201"/>
      <c r="EX90" s="3201"/>
      <c r="EY90" s="3201"/>
      <c r="EZ90" s="3201"/>
      <c r="FA90" s="3201"/>
      <c r="FB90" s="3201"/>
      <c r="FC90" s="3201"/>
      <c r="FD90" s="3201"/>
      <c r="FE90" s="3201"/>
      <c r="FF90" s="3201"/>
      <c r="FG90" s="3201"/>
      <c r="FH90" s="3201"/>
      <c r="FI90" s="3201"/>
      <c r="FJ90" s="3201"/>
      <c r="FK90" s="3201"/>
      <c r="FL90" s="3201"/>
      <c r="FM90" s="3201"/>
      <c r="FN90" s="3202"/>
      <c r="FO90" s="3202"/>
      <c r="FP90" s="3202"/>
      <c r="FQ90" s="3202"/>
      <c r="FR90" s="3202"/>
      <c r="FS90" s="3202"/>
      <c r="FT90" s="3202"/>
      <c r="FU90" s="3202"/>
      <c r="FV90" s="3202"/>
      <c r="FW90" s="3202"/>
      <c r="FX90" s="3202"/>
      <c r="FY90" s="3202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</row>
    <row r="91" spans="2:193" ht="18.75" customHeight="1" x14ac:dyDescent="0.3">
      <c r="B91" s="3202"/>
      <c r="C91" s="3202"/>
      <c r="D91" s="3202"/>
      <c r="E91" s="3202"/>
      <c r="F91" s="3202"/>
      <c r="G91" s="3202"/>
      <c r="H91" s="3202"/>
      <c r="I91" s="3202"/>
      <c r="J91" s="3202"/>
      <c r="K91" s="3202"/>
      <c r="L91" s="3202"/>
      <c r="M91" s="3202"/>
      <c r="N91" s="3202"/>
      <c r="O91" s="3202"/>
      <c r="P91" s="3202"/>
      <c r="Q91" s="3202"/>
      <c r="R91" s="3202"/>
      <c r="S91" s="3202"/>
      <c r="T91" s="3202"/>
      <c r="U91" s="3202"/>
      <c r="V91" s="3202"/>
      <c r="W91" s="3202"/>
      <c r="X91" s="3202"/>
      <c r="Y91" s="3202"/>
      <c r="Z91" s="3202"/>
      <c r="AA91" s="3202"/>
      <c r="AB91" s="3202"/>
      <c r="AC91" s="3202"/>
      <c r="AD91" s="3202"/>
      <c r="AE91" s="3202"/>
      <c r="AF91" s="3202"/>
      <c r="AG91" s="3202"/>
      <c r="AH91" s="3202"/>
      <c r="AI91" s="3202"/>
      <c r="AJ91" s="3202"/>
      <c r="AK91" s="3202"/>
      <c r="AL91" s="3202"/>
      <c r="AM91" s="3202"/>
      <c r="AN91" s="3202"/>
      <c r="AO91" s="3201"/>
      <c r="AP91" s="3201"/>
      <c r="AQ91" s="3201"/>
      <c r="AR91" s="3201"/>
      <c r="AS91" s="3201"/>
      <c r="AT91" s="3201"/>
      <c r="AU91" s="3201"/>
      <c r="AV91" s="3201"/>
      <c r="AW91" s="3201"/>
      <c r="AX91" s="3201"/>
      <c r="AY91" s="3201"/>
      <c r="AZ91" s="3201"/>
      <c r="BA91" s="3201"/>
      <c r="BB91" s="3201"/>
      <c r="BC91" s="3201"/>
      <c r="BD91" s="3201"/>
      <c r="BE91" s="3201"/>
      <c r="BF91" s="3201"/>
      <c r="BG91" s="3201"/>
      <c r="BH91" s="3201"/>
      <c r="BI91" s="3201"/>
      <c r="BJ91" s="3201"/>
      <c r="BK91" s="3201"/>
      <c r="BL91" s="3201"/>
      <c r="BM91" s="3201"/>
      <c r="BN91" s="3201"/>
      <c r="BO91" s="3201"/>
      <c r="BP91" s="3201"/>
      <c r="BQ91" s="3201"/>
      <c r="BR91" s="3201"/>
      <c r="BS91" s="3201"/>
      <c r="BT91" s="3201"/>
      <c r="BU91" s="3201"/>
      <c r="BV91" s="3201"/>
      <c r="BW91" s="3201"/>
      <c r="BX91" s="3201"/>
      <c r="BY91" s="3201"/>
      <c r="BZ91" s="3201"/>
      <c r="CA91" s="3201"/>
      <c r="CB91" s="3201"/>
      <c r="CC91" s="3201"/>
      <c r="CD91" s="3201"/>
      <c r="CE91" s="3201"/>
      <c r="CF91" s="3201"/>
      <c r="CG91" s="3201"/>
      <c r="CH91" s="3201"/>
      <c r="CI91" s="3201"/>
      <c r="CJ91" s="3201"/>
      <c r="CK91" s="3201"/>
      <c r="CL91" s="3201"/>
      <c r="CM91" s="3201"/>
      <c r="CN91" s="3201"/>
      <c r="CO91" s="3201"/>
      <c r="CP91" s="3201"/>
      <c r="CQ91" s="3201"/>
      <c r="CR91" s="3201"/>
      <c r="CS91" s="3201"/>
      <c r="CT91" s="3201"/>
      <c r="CU91" s="3201"/>
      <c r="CV91" s="3201"/>
      <c r="CW91" s="3201"/>
      <c r="CX91" s="3201"/>
      <c r="CY91" s="3201"/>
      <c r="CZ91" s="3201"/>
      <c r="DA91" s="3201"/>
      <c r="DB91" s="3201"/>
      <c r="DC91" s="3201"/>
      <c r="DD91" s="3201"/>
      <c r="DE91" s="3201"/>
      <c r="DF91" s="3201"/>
      <c r="DG91" s="3201"/>
      <c r="DH91" s="3201"/>
      <c r="DI91" s="3201"/>
      <c r="DJ91" s="3201"/>
      <c r="DK91" s="3201"/>
      <c r="DL91" s="3201"/>
      <c r="DM91" s="3201"/>
      <c r="DN91" s="3201"/>
      <c r="DO91" s="3201"/>
      <c r="DP91" s="3201"/>
      <c r="DQ91" s="3201"/>
      <c r="DR91" s="3201"/>
      <c r="DS91" s="3201"/>
      <c r="DT91" s="3201"/>
      <c r="DU91" s="3201"/>
      <c r="DV91" s="3201"/>
      <c r="DW91" s="3201"/>
      <c r="DX91" s="3201"/>
      <c r="DY91" s="3201"/>
      <c r="DZ91" s="3201"/>
      <c r="EA91" s="3201"/>
      <c r="EB91" s="3201"/>
      <c r="EC91" s="3201"/>
      <c r="ED91" s="3201"/>
      <c r="EE91" s="3201"/>
      <c r="EF91" s="3201"/>
      <c r="EG91" s="3201"/>
      <c r="EH91" s="3201"/>
      <c r="EI91" s="3201"/>
      <c r="EJ91" s="3201"/>
      <c r="EK91" s="3201"/>
      <c r="EL91" s="3201"/>
      <c r="EM91" s="3201"/>
      <c r="EN91" s="3201"/>
      <c r="EO91" s="3201"/>
      <c r="EP91" s="3201"/>
      <c r="EQ91" s="3201"/>
      <c r="ER91" s="3201"/>
      <c r="ES91" s="3201"/>
      <c r="ET91" s="3201"/>
      <c r="EU91" s="3201"/>
      <c r="EV91" s="3201"/>
      <c r="EW91" s="3201"/>
      <c r="EX91" s="3201"/>
      <c r="EY91" s="3201"/>
      <c r="EZ91" s="3201"/>
      <c r="FA91" s="3201"/>
      <c r="FB91" s="3201"/>
      <c r="FC91" s="3201"/>
      <c r="FD91" s="3201"/>
      <c r="FE91" s="3201"/>
      <c r="FF91" s="3201"/>
      <c r="FG91" s="3201"/>
      <c r="FH91" s="3201"/>
      <c r="FI91" s="3201"/>
      <c r="FJ91" s="3201"/>
      <c r="FK91" s="3201"/>
      <c r="FL91" s="3201"/>
      <c r="FM91" s="3201"/>
      <c r="FN91" s="3202"/>
      <c r="FO91" s="3202"/>
      <c r="FP91" s="3202"/>
      <c r="FQ91" s="3202"/>
      <c r="FR91" s="3202"/>
      <c r="FS91" s="3202"/>
      <c r="FT91" s="3202"/>
      <c r="FU91" s="3202"/>
      <c r="FV91" s="3202"/>
      <c r="FW91" s="3202"/>
      <c r="FX91" s="3202"/>
      <c r="FY91" s="3202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</row>
    <row r="92" spans="2:193" ht="18.75" customHeight="1" x14ac:dyDescent="0.3">
      <c r="B92" s="3202"/>
      <c r="C92" s="3202"/>
      <c r="D92" s="3202"/>
      <c r="E92" s="3202"/>
      <c r="F92" s="3202"/>
      <c r="G92" s="3202"/>
      <c r="H92" s="3202"/>
      <c r="I92" s="3202"/>
      <c r="J92" s="3202"/>
      <c r="K92" s="3202"/>
      <c r="L92" s="3202"/>
      <c r="M92" s="3202"/>
      <c r="N92" s="3202"/>
      <c r="O92" s="3202"/>
      <c r="P92" s="3202"/>
      <c r="Q92" s="3202"/>
      <c r="R92" s="3202"/>
      <c r="S92" s="3202"/>
      <c r="T92" s="3202"/>
      <c r="U92" s="3202"/>
      <c r="V92" s="3202"/>
      <c r="W92" s="3202"/>
      <c r="X92" s="3202"/>
      <c r="Y92" s="3202"/>
      <c r="Z92" s="3202"/>
      <c r="AA92" s="3202"/>
      <c r="AB92" s="3202"/>
      <c r="AC92" s="3202"/>
      <c r="AD92" s="3202"/>
      <c r="AE92" s="3202"/>
      <c r="AF92" s="3202"/>
      <c r="AG92" s="3202"/>
      <c r="AH92" s="3202"/>
      <c r="AI92" s="3202"/>
      <c r="AJ92" s="3202"/>
      <c r="AK92" s="3202"/>
      <c r="AL92" s="3202"/>
      <c r="AM92" s="3202"/>
      <c r="AN92" s="3202"/>
      <c r="AO92" s="3201"/>
      <c r="AP92" s="3201"/>
      <c r="AQ92" s="3201"/>
      <c r="AR92" s="3201"/>
      <c r="AS92" s="3201"/>
      <c r="AT92" s="3201"/>
      <c r="AU92" s="3201"/>
      <c r="AV92" s="3201"/>
      <c r="AW92" s="3201"/>
      <c r="AX92" s="3201"/>
      <c r="AY92" s="3201"/>
      <c r="AZ92" s="3201"/>
      <c r="BA92" s="3201"/>
      <c r="BB92" s="3201"/>
      <c r="BC92" s="3201"/>
      <c r="BD92" s="3201"/>
      <c r="BE92" s="3201"/>
      <c r="BF92" s="3201"/>
      <c r="BG92" s="3201"/>
      <c r="BH92" s="3201"/>
      <c r="BI92" s="3201"/>
      <c r="BJ92" s="3201"/>
      <c r="BK92" s="3201"/>
      <c r="BL92" s="3201"/>
      <c r="BM92" s="3201"/>
      <c r="BN92" s="3201"/>
      <c r="BO92" s="3201"/>
      <c r="BP92" s="3201"/>
      <c r="BQ92" s="3201"/>
      <c r="BR92" s="3201"/>
      <c r="BS92" s="3201"/>
      <c r="BT92" s="3201"/>
      <c r="BU92" s="3201"/>
      <c r="BV92" s="3201"/>
      <c r="BW92" s="3201"/>
      <c r="BX92" s="3201"/>
      <c r="BY92" s="3201"/>
      <c r="BZ92" s="3201"/>
      <c r="CA92" s="3201"/>
      <c r="CB92" s="3201"/>
      <c r="CC92" s="3201"/>
      <c r="CD92" s="3201"/>
      <c r="CE92" s="3201"/>
      <c r="CF92" s="3201"/>
      <c r="CG92" s="3201"/>
      <c r="CH92" s="3201"/>
      <c r="CI92" s="3201"/>
      <c r="CJ92" s="3201"/>
      <c r="CK92" s="3201"/>
      <c r="CL92" s="3201"/>
      <c r="CM92" s="3201"/>
      <c r="CN92" s="3201"/>
      <c r="CO92" s="3201"/>
      <c r="CP92" s="3201"/>
      <c r="CQ92" s="3201"/>
      <c r="CR92" s="3201"/>
      <c r="CS92" s="3201"/>
      <c r="CT92" s="3201"/>
      <c r="CU92" s="3201"/>
      <c r="CV92" s="3201"/>
      <c r="CW92" s="3201"/>
      <c r="CX92" s="3201"/>
      <c r="CY92" s="3201"/>
      <c r="CZ92" s="3201"/>
      <c r="DA92" s="3201"/>
      <c r="DB92" s="3201"/>
      <c r="DC92" s="3201"/>
      <c r="DD92" s="3201"/>
      <c r="DE92" s="3201"/>
      <c r="DF92" s="3201"/>
      <c r="DG92" s="3201"/>
      <c r="DH92" s="3201"/>
      <c r="DI92" s="3201"/>
      <c r="DJ92" s="3201"/>
      <c r="DK92" s="3201"/>
      <c r="DL92" s="3201"/>
      <c r="DM92" s="3201"/>
      <c r="DN92" s="3201"/>
      <c r="DO92" s="3201"/>
      <c r="DP92" s="3201"/>
      <c r="DQ92" s="3201"/>
      <c r="DR92" s="3201"/>
      <c r="DS92" s="3201"/>
      <c r="DT92" s="3201"/>
      <c r="DU92" s="3201"/>
      <c r="DV92" s="3201"/>
      <c r="DW92" s="3201"/>
      <c r="DX92" s="3201"/>
      <c r="DY92" s="3201"/>
      <c r="DZ92" s="3201"/>
      <c r="EA92" s="3201"/>
      <c r="EB92" s="3201"/>
      <c r="EC92" s="3201"/>
      <c r="ED92" s="3201"/>
      <c r="EE92" s="3201"/>
      <c r="EF92" s="3201"/>
      <c r="EG92" s="3201"/>
      <c r="EH92" s="3201"/>
      <c r="EI92" s="3201"/>
      <c r="EJ92" s="3201"/>
      <c r="EK92" s="3201"/>
      <c r="EL92" s="3201"/>
      <c r="EM92" s="3201"/>
      <c r="EN92" s="3201"/>
      <c r="EO92" s="3201"/>
      <c r="EP92" s="3201"/>
      <c r="EQ92" s="3201"/>
      <c r="ER92" s="3201"/>
      <c r="ES92" s="3201"/>
      <c r="ET92" s="3201"/>
      <c r="EU92" s="3201"/>
      <c r="EV92" s="3201"/>
      <c r="EW92" s="3201"/>
      <c r="EX92" s="3201"/>
      <c r="EY92" s="3201"/>
      <c r="EZ92" s="3201"/>
      <c r="FA92" s="3201"/>
      <c r="FB92" s="3201"/>
      <c r="FC92" s="3201"/>
      <c r="FD92" s="3201"/>
      <c r="FE92" s="3201"/>
      <c r="FF92" s="3201"/>
      <c r="FG92" s="3201"/>
      <c r="FH92" s="3201"/>
      <c r="FI92" s="3201"/>
      <c r="FJ92" s="3201"/>
      <c r="FK92" s="3201"/>
      <c r="FL92" s="3201"/>
      <c r="FM92" s="3201"/>
      <c r="FN92" s="3202"/>
      <c r="FO92" s="3202"/>
      <c r="FP92" s="3202"/>
      <c r="FQ92" s="3202"/>
      <c r="FR92" s="3202"/>
      <c r="FS92" s="3202"/>
      <c r="FT92" s="3202"/>
      <c r="FU92" s="3202"/>
      <c r="FV92" s="3202"/>
      <c r="FW92" s="3202"/>
      <c r="FX92" s="3202"/>
      <c r="FY92" s="3202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</row>
    <row r="93" spans="2:193" ht="18.75" customHeight="1" x14ac:dyDescent="0.3">
      <c r="B93" s="3202"/>
      <c r="C93" s="3202"/>
      <c r="D93" s="3202"/>
      <c r="E93" s="3202"/>
      <c r="F93" s="3202"/>
      <c r="G93" s="3202"/>
      <c r="H93" s="3202"/>
      <c r="I93" s="3202"/>
      <c r="J93" s="3202"/>
      <c r="K93" s="3202"/>
      <c r="L93" s="3202"/>
      <c r="M93" s="3202"/>
      <c r="N93" s="3202"/>
      <c r="O93" s="3202"/>
      <c r="P93" s="3202"/>
      <c r="Q93" s="3202"/>
      <c r="R93" s="3202"/>
      <c r="S93" s="3202"/>
      <c r="T93" s="3202"/>
      <c r="U93" s="3202"/>
      <c r="V93" s="3202"/>
      <c r="W93" s="3202"/>
      <c r="X93" s="3202"/>
      <c r="Y93" s="3202"/>
      <c r="Z93" s="3202"/>
      <c r="AA93" s="3202"/>
      <c r="AB93" s="3202"/>
      <c r="AC93" s="3202"/>
      <c r="AD93" s="3202"/>
      <c r="AE93" s="3202"/>
      <c r="AF93" s="3202"/>
      <c r="AG93" s="3202"/>
      <c r="AH93" s="3202"/>
      <c r="AI93" s="3202"/>
      <c r="AJ93" s="3202"/>
      <c r="AK93" s="3202"/>
      <c r="AL93" s="3202"/>
      <c r="AM93" s="3202"/>
      <c r="AN93" s="3202"/>
      <c r="AO93" s="3201"/>
      <c r="AP93" s="3201"/>
      <c r="AQ93" s="3201"/>
      <c r="AR93" s="3201"/>
      <c r="AS93" s="3201"/>
      <c r="AT93" s="3201"/>
      <c r="AU93" s="3201"/>
      <c r="AV93" s="3201"/>
      <c r="AW93" s="3201"/>
      <c r="AX93" s="3201"/>
      <c r="AY93" s="3201"/>
      <c r="AZ93" s="3201"/>
      <c r="BA93" s="3201"/>
      <c r="BB93" s="3201"/>
      <c r="BC93" s="3201"/>
      <c r="BD93" s="3201"/>
      <c r="BE93" s="3201"/>
      <c r="BF93" s="3201"/>
      <c r="BG93" s="3201"/>
      <c r="BH93" s="3201"/>
      <c r="BI93" s="3201"/>
      <c r="BJ93" s="3201"/>
      <c r="BK93" s="3201"/>
      <c r="BL93" s="3201"/>
      <c r="BM93" s="3201"/>
      <c r="BN93" s="3201"/>
      <c r="BO93" s="3201"/>
      <c r="BP93" s="3201"/>
      <c r="BQ93" s="3201"/>
      <c r="BR93" s="3201"/>
      <c r="BS93" s="3201"/>
      <c r="BT93" s="3201"/>
      <c r="BU93" s="3201"/>
      <c r="BV93" s="3201"/>
      <c r="BW93" s="3201"/>
      <c r="BX93" s="3201"/>
      <c r="BY93" s="3201"/>
      <c r="BZ93" s="3201"/>
      <c r="CA93" s="3201"/>
      <c r="CB93" s="3201"/>
      <c r="CC93" s="3201"/>
      <c r="CD93" s="3201"/>
      <c r="CE93" s="3201"/>
      <c r="CF93" s="3201"/>
      <c r="CG93" s="3201"/>
      <c r="CH93" s="3201"/>
      <c r="CI93" s="3201"/>
      <c r="CJ93" s="3201"/>
      <c r="CK93" s="3201"/>
      <c r="CL93" s="3201"/>
      <c r="CM93" s="3201"/>
      <c r="CN93" s="3201"/>
      <c r="CO93" s="3201"/>
      <c r="CP93" s="3201"/>
      <c r="CQ93" s="3201"/>
      <c r="CR93" s="3201"/>
      <c r="CS93" s="3201"/>
      <c r="CT93" s="3201"/>
      <c r="CU93" s="3201"/>
      <c r="CV93" s="3201"/>
      <c r="CW93" s="3201"/>
      <c r="CX93" s="3201"/>
      <c r="CY93" s="3201"/>
      <c r="CZ93" s="3201"/>
      <c r="DA93" s="3201"/>
      <c r="DB93" s="3201"/>
      <c r="DC93" s="3201"/>
      <c r="DD93" s="3201"/>
      <c r="DE93" s="3201"/>
      <c r="DF93" s="3201"/>
      <c r="DG93" s="3201"/>
      <c r="DH93" s="3201"/>
      <c r="DI93" s="3201"/>
      <c r="DJ93" s="3201"/>
      <c r="DK93" s="3201"/>
      <c r="DL93" s="3201"/>
      <c r="DM93" s="3201"/>
      <c r="DN93" s="3201"/>
      <c r="DO93" s="3201"/>
      <c r="DP93" s="3201"/>
      <c r="DQ93" s="3201"/>
      <c r="DR93" s="3201"/>
      <c r="DS93" s="3201"/>
      <c r="DT93" s="3201"/>
      <c r="DU93" s="3201"/>
      <c r="DV93" s="3201"/>
      <c r="DW93" s="3201"/>
      <c r="DX93" s="3201"/>
      <c r="DY93" s="3201"/>
      <c r="DZ93" s="3201"/>
      <c r="EA93" s="3201"/>
      <c r="EB93" s="3201"/>
      <c r="EC93" s="3201"/>
      <c r="ED93" s="3201"/>
      <c r="EE93" s="3201"/>
      <c r="EF93" s="3201"/>
      <c r="EG93" s="3201"/>
      <c r="EH93" s="3201"/>
      <c r="EI93" s="3201"/>
      <c r="EJ93" s="3201"/>
      <c r="EK93" s="3201"/>
      <c r="EL93" s="3201"/>
      <c r="EM93" s="3201"/>
      <c r="EN93" s="3201"/>
      <c r="EO93" s="3201"/>
      <c r="EP93" s="3201"/>
      <c r="EQ93" s="3201"/>
      <c r="ER93" s="3201"/>
      <c r="ES93" s="3201"/>
      <c r="ET93" s="3201"/>
      <c r="EU93" s="3201"/>
      <c r="EV93" s="3201"/>
      <c r="EW93" s="3201"/>
      <c r="EX93" s="3201"/>
      <c r="EY93" s="3201"/>
      <c r="EZ93" s="3201"/>
      <c r="FA93" s="3201"/>
      <c r="FB93" s="3201"/>
      <c r="FC93" s="3201"/>
      <c r="FD93" s="3201"/>
      <c r="FE93" s="3201"/>
      <c r="FF93" s="3201"/>
      <c r="FG93" s="3201"/>
      <c r="FH93" s="3201"/>
      <c r="FI93" s="3201"/>
      <c r="FJ93" s="3201"/>
      <c r="FK93" s="3201"/>
      <c r="FL93" s="3201"/>
      <c r="FM93" s="3201"/>
      <c r="FN93" s="3202"/>
      <c r="FO93" s="3202"/>
      <c r="FP93" s="3202"/>
      <c r="FQ93" s="3202"/>
      <c r="FR93" s="3202"/>
      <c r="FS93" s="3202"/>
      <c r="FT93" s="3202"/>
      <c r="FU93" s="3202"/>
      <c r="FV93" s="3202"/>
      <c r="FW93" s="3202"/>
      <c r="FX93" s="3202"/>
      <c r="FY93" s="3202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</row>
    <row r="94" spans="2:193" ht="18.75" customHeight="1" x14ac:dyDescent="0.3">
      <c r="B94" s="3202"/>
      <c r="C94" s="3202"/>
      <c r="D94" s="3202"/>
      <c r="E94" s="3202"/>
      <c r="F94" s="3202"/>
      <c r="G94" s="3202"/>
      <c r="H94" s="3202"/>
      <c r="I94" s="3202"/>
      <c r="J94" s="3202"/>
      <c r="K94" s="3202"/>
      <c r="L94" s="3202"/>
      <c r="M94" s="3202"/>
      <c r="N94" s="3202"/>
      <c r="O94" s="3202"/>
      <c r="P94" s="3202"/>
      <c r="Q94" s="3202"/>
      <c r="R94" s="3202"/>
      <c r="S94" s="3202"/>
      <c r="T94" s="3202"/>
      <c r="U94" s="3202"/>
      <c r="V94" s="3202"/>
      <c r="W94" s="3202"/>
      <c r="X94" s="3202"/>
      <c r="Y94" s="3202"/>
      <c r="Z94" s="3202"/>
      <c r="AA94" s="3202"/>
      <c r="AB94" s="3202"/>
      <c r="AC94" s="3202"/>
      <c r="AD94" s="3202"/>
      <c r="AE94" s="3202"/>
      <c r="AF94" s="3202"/>
      <c r="AG94" s="3202"/>
      <c r="AH94" s="3202"/>
      <c r="AI94" s="3202"/>
      <c r="AJ94" s="3202"/>
      <c r="AK94" s="3202"/>
      <c r="AL94" s="3202"/>
      <c r="AM94" s="3202"/>
      <c r="AN94" s="3202"/>
      <c r="AO94" s="3201"/>
      <c r="AP94" s="3201"/>
      <c r="AQ94" s="3201"/>
      <c r="AR94" s="3201"/>
      <c r="AS94" s="3201"/>
      <c r="AT94" s="3201"/>
      <c r="AU94" s="3201"/>
      <c r="AV94" s="3201"/>
      <c r="AW94" s="3201"/>
      <c r="AX94" s="3201"/>
      <c r="AY94" s="3201"/>
      <c r="AZ94" s="3201"/>
      <c r="BA94" s="3201"/>
      <c r="BB94" s="3201"/>
      <c r="BC94" s="3201"/>
      <c r="BD94" s="3201"/>
      <c r="BE94" s="3201"/>
      <c r="BF94" s="3201"/>
      <c r="BG94" s="3201"/>
      <c r="BH94" s="3201"/>
      <c r="BI94" s="3201"/>
      <c r="BJ94" s="3201"/>
      <c r="BK94" s="3201"/>
      <c r="BL94" s="3201"/>
      <c r="BM94" s="3201"/>
      <c r="BN94" s="3201"/>
      <c r="BO94" s="3201"/>
      <c r="BP94" s="3201"/>
      <c r="BQ94" s="3201"/>
      <c r="BR94" s="3201"/>
      <c r="BS94" s="3201"/>
      <c r="BT94" s="3201"/>
      <c r="BU94" s="3201"/>
      <c r="BV94" s="3201"/>
      <c r="BW94" s="3201"/>
      <c r="BX94" s="3201"/>
      <c r="BY94" s="3201"/>
      <c r="BZ94" s="3201"/>
      <c r="CA94" s="3201"/>
      <c r="CB94" s="3201"/>
      <c r="CC94" s="3201"/>
      <c r="CD94" s="3201"/>
      <c r="CE94" s="3201"/>
      <c r="CF94" s="3201"/>
      <c r="CG94" s="3201"/>
      <c r="CH94" s="3201"/>
      <c r="CI94" s="3201"/>
      <c r="CJ94" s="3201"/>
      <c r="CK94" s="3201"/>
      <c r="CL94" s="3201"/>
      <c r="CM94" s="3201"/>
      <c r="CN94" s="3201"/>
      <c r="CO94" s="3201"/>
      <c r="CP94" s="3201"/>
      <c r="CQ94" s="3201"/>
      <c r="CR94" s="3201"/>
      <c r="CS94" s="3201"/>
      <c r="CT94" s="3201"/>
      <c r="CU94" s="3201"/>
      <c r="CV94" s="3201"/>
      <c r="CW94" s="3201"/>
      <c r="CX94" s="3201"/>
      <c r="CY94" s="3201"/>
      <c r="CZ94" s="3201"/>
      <c r="DA94" s="3201"/>
      <c r="DB94" s="3201"/>
      <c r="DC94" s="3201"/>
      <c r="DD94" s="3201"/>
      <c r="DE94" s="3201"/>
      <c r="DF94" s="3201"/>
      <c r="DG94" s="3201"/>
      <c r="DH94" s="3201"/>
      <c r="DI94" s="3201"/>
      <c r="DJ94" s="3201"/>
      <c r="DK94" s="3201"/>
      <c r="DL94" s="3201"/>
      <c r="DM94" s="3201"/>
      <c r="DN94" s="3201"/>
      <c r="DO94" s="3201"/>
      <c r="DP94" s="3201"/>
      <c r="DQ94" s="3201"/>
      <c r="DR94" s="3201"/>
      <c r="DS94" s="3201"/>
      <c r="DT94" s="3201"/>
      <c r="DU94" s="3201"/>
      <c r="DV94" s="3201"/>
      <c r="DW94" s="3201"/>
      <c r="DX94" s="3201"/>
      <c r="DY94" s="3201"/>
      <c r="DZ94" s="3201"/>
      <c r="EA94" s="3201"/>
      <c r="EB94" s="3201"/>
      <c r="EC94" s="3201"/>
      <c r="ED94" s="3201"/>
      <c r="EE94" s="3201"/>
      <c r="EF94" s="3201"/>
      <c r="EG94" s="3201"/>
      <c r="EH94" s="3201"/>
      <c r="EI94" s="3201"/>
      <c r="EJ94" s="3201"/>
      <c r="EK94" s="3201"/>
      <c r="EL94" s="3201"/>
      <c r="EM94" s="3201"/>
      <c r="EN94" s="3201"/>
      <c r="EO94" s="3201"/>
      <c r="EP94" s="3201"/>
      <c r="EQ94" s="3201"/>
      <c r="ER94" s="3201"/>
      <c r="ES94" s="3201"/>
      <c r="ET94" s="3201"/>
      <c r="EU94" s="3201"/>
      <c r="EV94" s="3201"/>
      <c r="EW94" s="3201"/>
      <c r="EX94" s="3201"/>
      <c r="EY94" s="3201"/>
      <c r="EZ94" s="3201"/>
      <c r="FA94" s="3201"/>
      <c r="FB94" s="3201"/>
      <c r="FC94" s="3201"/>
      <c r="FD94" s="3201"/>
      <c r="FE94" s="3201"/>
      <c r="FF94" s="3201"/>
      <c r="FG94" s="3201"/>
      <c r="FH94" s="3201"/>
      <c r="FI94" s="3201"/>
      <c r="FJ94" s="3201"/>
      <c r="FK94" s="3201"/>
      <c r="FL94" s="3201"/>
      <c r="FM94" s="3201"/>
      <c r="FN94" s="3202"/>
      <c r="FO94" s="3202"/>
      <c r="FP94" s="3202"/>
      <c r="FQ94" s="3202"/>
      <c r="FR94" s="3202"/>
      <c r="FS94" s="3202"/>
      <c r="FT94" s="3202"/>
      <c r="FU94" s="3202"/>
      <c r="FV94" s="3202"/>
      <c r="FW94" s="3202"/>
      <c r="FX94" s="3202"/>
      <c r="FY94" s="3202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</row>
    <row r="95" spans="2:193" ht="18.75" customHeight="1" x14ac:dyDescent="0.3">
      <c r="B95" s="3202"/>
      <c r="C95" s="3202"/>
      <c r="D95" s="3202"/>
      <c r="E95" s="3202"/>
      <c r="F95" s="3202"/>
      <c r="G95" s="3202"/>
      <c r="H95" s="3202"/>
      <c r="I95" s="3202"/>
      <c r="J95" s="3202"/>
      <c r="K95" s="3202"/>
      <c r="L95" s="3202"/>
      <c r="M95" s="3202"/>
      <c r="N95" s="3202"/>
      <c r="O95" s="3202"/>
      <c r="P95" s="3202"/>
      <c r="Q95" s="3202"/>
      <c r="R95" s="3202"/>
      <c r="S95" s="3202"/>
      <c r="T95" s="3202"/>
      <c r="U95" s="3202"/>
      <c r="V95" s="3202"/>
      <c r="W95" s="3202"/>
      <c r="X95" s="3202"/>
      <c r="Y95" s="3202"/>
      <c r="Z95" s="3202"/>
      <c r="AA95" s="3202"/>
      <c r="AB95" s="3202"/>
      <c r="AC95" s="3202"/>
      <c r="AD95" s="3202"/>
      <c r="AE95" s="3202"/>
      <c r="AF95" s="3202"/>
      <c r="AG95" s="3202"/>
      <c r="AH95" s="3202"/>
      <c r="AI95" s="3202"/>
      <c r="AJ95" s="3202"/>
      <c r="AK95" s="3202"/>
      <c r="AL95" s="3202"/>
      <c r="AM95" s="3202"/>
      <c r="AN95" s="3202"/>
      <c r="AO95" s="3201"/>
      <c r="AP95" s="3201"/>
      <c r="AQ95" s="3201"/>
      <c r="AR95" s="3201"/>
      <c r="AS95" s="3201"/>
      <c r="AT95" s="3201"/>
      <c r="AU95" s="3201"/>
      <c r="AV95" s="3201"/>
      <c r="AW95" s="3201"/>
      <c r="AX95" s="3201"/>
      <c r="AY95" s="3201"/>
      <c r="AZ95" s="3201"/>
      <c r="BA95" s="3201"/>
      <c r="BB95" s="3201"/>
      <c r="BC95" s="3201"/>
      <c r="BD95" s="3201"/>
      <c r="BE95" s="3201"/>
      <c r="BF95" s="3201"/>
      <c r="BG95" s="3201"/>
      <c r="BH95" s="3201"/>
      <c r="BI95" s="3201"/>
      <c r="BJ95" s="3201"/>
      <c r="BK95" s="3201"/>
      <c r="BL95" s="3201"/>
      <c r="BM95" s="3201"/>
      <c r="BN95" s="3201"/>
      <c r="BO95" s="3201"/>
      <c r="BP95" s="3201"/>
      <c r="BQ95" s="3201"/>
      <c r="BR95" s="3201"/>
      <c r="BS95" s="3201"/>
      <c r="BT95" s="3201"/>
      <c r="BU95" s="3201"/>
      <c r="BV95" s="3201"/>
      <c r="BW95" s="3201"/>
      <c r="BX95" s="3201"/>
      <c r="BY95" s="3201"/>
      <c r="BZ95" s="3201"/>
      <c r="CA95" s="3201"/>
      <c r="CB95" s="3201"/>
      <c r="CC95" s="3201"/>
      <c r="CD95" s="3201"/>
      <c r="CE95" s="3201"/>
      <c r="CF95" s="3201"/>
      <c r="CG95" s="3201"/>
      <c r="CH95" s="3201"/>
      <c r="CI95" s="3201"/>
      <c r="CJ95" s="3201"/>
      <c r="CK95" s="3201"/>
      <c r="CL95" s="3201"/>
      <c r="CM95" s="3201"/>
      <c r="CN95" s="3201"/>
      <c r="CO95" s="3201"/>
      <c r="CP95" s="3201"/>
      <c r="CQ95" s="3201"/>
      <c r="CR95" s="3201"/>
      <c r="CS95" s="3201"/>
      <c r="CT95" s="3201"/>
      <c r="CU95" s="3201"/>
      <c r="CV95" s="3201"/>
      <c r="CW95" s="3201"/>
      <c r="CX95" s="3201"/>
      <c r="CY95" s="3201"/>
      <c r="CZ95" s="3201"/>
      <c r="DA95" s="3201"/>
      <c r="DB95" s="3201"/>
      <c r="DC95" s="3201"/>
      <c r="DD95" s="3201"/>
      <c r="DE95" s="3201"/>
      <c r="DF95" s="3201"/>
      <c r="DG95" s="3201"/>
      <c r="DH95" s="3201"/>
      <c r="DI95" s="3201"/>
      <c r="DJ95" s="3201"/>
      <c r="DK95" s="3201"/>
      <c r="DL95" s="3201"/>
      <c r="DM95" s="3201"/>
      <c r="DN95" s="3201"/>
      <c r="DO95" s="3201"/>
      <c r="DP95" s="3201"/>
      <c r="DQ95" s="3201"/>
      <c r="DR95" s="3201"/>
      <c r="DS95" s="3201"/>
      <c r="DT95" s="3201"/>
      <c r="DU95" s="3201"/>
      <c r="DV95" s="3201"/>
      <c r="DW95" s="3201"/>
      <c r="DX95" s="3201"/>
      <c r="DY95" s="3201"/>
      <c r="DZ95" s="3201"/>
      <c r="EA95" s="3201"/>
      <c r="EB95" s="3201"/>
      <c r="EC95" s="3201"/>
      <c r="ED95" s="3201"/>
      <c r="EE95" s="3201"/>
      <c r="EF95" s="3201"/>
      <c r="EG95" s="3201"/>
      <c r="EH95" s="3201"/>
      <c r="EI95" s="3201"/>
      <c r="EJ95" s="3201"/>
      <c r="EK95" s="3201"/>
      <c r="EL95" s="3201"/>
      <c r="EM95" s="3201"/>
      <c r="EN95" s="3201"/>
      <c r="EO95" s="3201"/>
      <c r="EP95" s="3201"/>
      <c r="EQ95" s="3201"/>
      <c r="ER95" s="3201"/>
      <c r="ES95" s="3201"/>
      <c r="ET95" s="3201"/>
      <c r="EU95" s="3201"/>
      <c r="EV95" s="3201"/>
      <c r="EW95" s="3201"/>
      <c r="EX95" s="3201"/>
      <c r="EY95" s="3201"/>
      <c r="EZ95" s="3201"/>
      <c r="FA95" s="3201"/>
      <c r="FB95" s="3201"/>
      <c r="FC95" s="3201"/>
      <c r="FD95" s="3201"/>
      <c r="FE95" s="3201"/>
      <c r="FF95" s="3201"/>
      <c r="FG95" s="3201"/>
      <c r="FH95" s="3201"/>
      <c r="FI95" s="3201"/>
      <c r="FJ95" s="3201"/>
      <c r="FK95" s="3201"/>
      <c r="FL95" s="3201"/>
      <c r="FM95" s="3201"/>
      <c r="FN95" s="3202"/>
      <c r="FO95" s="3202"/>
      <c r="FP95" s="3202"/>
      <c r="FQ95" s="3202"/>
      <c r="FR95" s="3202"/>
      <c r="FS95" s="3202"/>
      <c r="FT95" s="3202"/>
      <c r="FU95" s="3202"/>
      <c r="FV95" s="3202"/>
      <c r="FW95" s="3202"/>
      <c r="FX95" s="3202"/>
      <c r="FY95" s="3202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</row>
    <row r="96" spans="2:193" ht="18.75" customHeight="1" x14ac:dyDescent="0.3">
      <c r="B96" s="3202"/>
      <c r="C96" s="3202"/>
      <c r="D96" s="3202"/>
      <c r="E96" s="3202"/>
      <c r="F96" s="3202"/>
      <c r="G96" s="3202"/>
      <c r="H96" s="3202"/>
      <c r="I96" s="3202"/>
      <c r="J96" s="3202"/>
      <c r="K96" s="3202"/>
      <c r="L96" s="3202"/>
      <c r="M96" s="3202"/>
      <c r="N96" s="3202"/>
      <c r="O96" s="3202"/>
      <c r="P96" s="3202"/>
      <c r="Q96" s="3202"/>
      <c r="R96" s="3202"/>
      <c r="S96" s="3202"/>
      <c r="T96" s="3202"/>
      <c r="U96" s="3202"/>
      <c r="V96" s="3202"/>
      <c r="W96" s="3202"/>
      <c r="X96" s="3202"/>
      <c r="Y96" s="3202"/>
      <c r="Z96" s="3202"/>
      <c r="AA96" s="3202"/>
      <c r="AB96" s="3202"/>
      <c r="AC96" s="3202"/>
      <c r="AD96" s="3202"/>
      <c r="AE96" s="3202"/>
      <c r="AF96" s="3202"/>
      <c r="AG96" s="3202"/>
      <c r="AH96" s="3202"/>
      <c r="AI96" s="3202"/>
      <c r="AJ96" s="3202"/>
      <c r="AK96" s="3202"/>
      <c r="AL96" s="3202"/>
      <c r="AM96" s="3202"/>
      <c r="AN96" s="3202"/>
      <c r="AO96" s="3201"/>
      <c r="AP96" s="3201"/>
      <c r="AQ96" s="3201"/>
      <c r="AR96" s="3201"/>
      <c r="AS96" s="3201"/>
      <c r="AT96" s="3201"/>
      <c r="AU96" s="3201"/>
      <c r="AV96" s="3201"/>
      <c r="AW96" s="3201"/>
      <c r="AX96" s="3201"/>
      <c r="AY96" s="3201"/>
      <c r="AZ96" s="3201"/>
      <c r="BA96" s="3201"/>
      <c r="BB96" s="3201"/>
      <c r="BC96" s="3201"/>
      <c r="BD96" s="3201"/>
      <c r="BE96" s="3201"/>
      <c r="BF96" s="3201"/>
      <c r="BG96" s="3201"/>
      <c r="BH96" s="3201"/>
      <c r="BI96" s="3201"/>
      <c r="BJ96" s="3201"/>
      <c r="BK96" s="3201"/>
      <c r="BL96" s="3201"/>
      <c r="BM96" s="3201"/>
      <c r="BN96" s="3201"/>
      <c r="BO96" s="3201"/>
      <c r="BP96" s="3201"/>
      <c r="BQ96" s="3201"/>
      <c r="BR96" s="3201"/>
      <c r="BS96" s="3201"/>
      <c r="BT96" s="3201"/>
      <c r="BU96" s="3201"/>
      <c r="BV96" s="3201"/>
      <c r="BW96" s="3201"/>
      <c r="BX96" s="3201"/>
      <c r="BY96" s="3201"/>
      <c r="BZ96" s="3201"/>
      <c r="CA96" s="3201"/>
      <c r="CB96" s="3201"/>
      <c r="CC96" s="3201"/>
      <c r="CD96" s="3201"/>
      <c r="CE96" s="3201"/>
      <c r="CF96" s="3201"/>
      <c r="CG96" s="3201"/>
      <c r="CH96" s="3201"/>
      <c r="CI96" s="3201"/>
      <c r="CJ96" s="3201"/>
      <c r="CK96" s="3201"/>
      <c r="CL96" s="3201"/>
      <c r="CM96" s="3201"/>
      <c r="CN96" s="3201"/>
      <c r="CO96" s="3201"/>
      <c r="CP96" s="3201"/>
      <c r="CQ96" s="3201"/>
      <c r="CR96" s="3201"/>
      <c r="CS96" s="3201"/>
      <c r="CT96" s="3201"/>
      <c r="CU96" s="3201"/>
      <c r="CV96" s="3201"/>
      <c r="CW96" s="3201"/>
      <c r="CX96" s="3201"/>
      <c r="CY96" s="3201"/>
      <c r="CZ96" s="3201"/>
      <c r="DA96" s="3201"/>
      <c r="DB96" s="3201"/>
      <c r="DC96" s="3201"/>
      <c r="DD96" s="3201"/>
      <c r="DE96" s="3201"/>
      <c r="DF96" s="3201"/>
      <c r="DG96" s="3201"/>
      <c r="DH96" s="3201"/>
      <c r="DI96" s="3201"/>
      <c r="DJ96" s="3201"/>
      <c r="DK96" s="3201"/>
      <c r="DL96" s="3201"/>
      <c r="DM96" s="3201"/>
      <c r="DN96" s="3201"/>
      <c r="DO96" s="3201"/>
      <c r="DP96" s="3201"/>
      <c r="DQ96" s="3201"/>
      <c r="DR96" s="3201"/>
      <c r="DS96" s="3201"/>
      <c r="DT96" s="3201"/>
      <c r="DU96" s="3201"/>
      <c r="DV96" s="3201"/>
      <c r="DW96" s="3201"/>
      <c r="DX96" s="3201"/>
      <c r="DY96" s="3201"/>
      <c r="DZ96" s="3201"/>
      <c r="EA96" s="3201"/>
      <c r="EB96" s="3201"/>
      <c r="EC96" s="3201"/>
      <c r="ED96" s="3201"/>
      <c r="EE96" s="3201"/>
      <c r="EF96" s="3201"/>
      <c r="EG96" s="3201"/>
      <c r="EH96" s="3201"/>
      <c r="EI96" s="3201"/>
      <c r="EJ96" s="3201"/>
      <c r="EK96" s="3201"/>
      <c r="EL96" s="3201"/>
      <c r="EM96" s="3201"/>
      <c r="EN96" s="3201"/>
      <c r="EO96" s="3201"/>
      <c r="EP96" s="3201"/>
      <c r="EQ96" s="3201"/>
      <c r="ER96" s="3201"/>
      <c r="ES96" s="3201"/>
      <c r="ET96" s="3201"/>
      <c r="EU96" s="3201"/>
      <c r="EV96" s="3201"/>
      <c r="EW96" s="3201"/>
      <c r="EX96" s="3201"/>
      <c r="EY96" s="3201"/>
      <c r="EZ96" s="3201"/>
      <c r="FA96" s="3201"/>
      <c r="FB96" s="3201"/>
      <c r="FC96" s="3201"/>
      <c r="FD96" s="3201"/>
      <c r="FE96" s="3201"/>
      <c r="FF96" s="3201"/>
      <c r="FG96" s="3201"/>
      <c r="FH96" s="3201"/>
      <c r="FI96" s="3201"/>
      <c r="FJ96" s="3201"/>
      <c r="FK96" s="3201"/>
      <c r="FL96" s="3201"/>
      <c r="FM96" s="3201"/>
      <c r="FN96" s="3202"/>
      <c r="FO96" s="3202"/>
      <c r="FP96" s="3202"/>
      <c r="FQ96" s="3202"/>
      <c r="FR96" s="3202"/>
      <c r="FS96" s="3202"/>
      <c r="FT96" s="3202"/>
      <c r="FU96" s="3202"/>
      <c r="FV96" s="3202"/>
      <c r="FW96" s="3202"/>
      <c r="FX96" s="3202"/>
      <c r="FY96" s="3202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</row>
    <row r="97" spans="2:193" ht="18.75" customHeight="1" x14ac:dyDescent="0.3"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3204"/>
      <c r="AP97" s="3204"/>
      <c r="AQ97" s="3204"/>
      <c r="AR97" s="3204"/>
      <c r="AS97" s="3204"/>
      <c r="AT97" s="3204"/>
      <c r="AU97" s="3204"/>
      <c r="AV97" s="3204"/>
      <c r="AW97" s="3204"/>
      <c r="AX97" s="3204"/>
      <c r="AY97" s="3204"/>
      <c r="AZ97" s="3204"/>
      <c r="BA97" s="3204"/>
      <c r="BB97" s="3204"/>
      <c r="BC97" s="3204"/>
      <c r="BD97" s="3204"/>
      <c r="BE97" s="3204"/>
      <c r="BF97" s="3204"/>
      <c r="BG97" s="3204"/>
      <c r="BH97" s="3204"/>
      <c r="BI97" s="3204"/>
      <c r="BJ97" s="3204"/>
      <c r="BK97" s="3204"/>
      <c r="BL97" s="3204"/>
      <c r="BM97" s="3204"/>
      <c r="BN97" s="3204"/>
      <c r="BO97" s="3204"/>
      <c r="BP97" s="3204"/>
      <c r="BQ97" s="3204"/>
      <c r="BR97" s="3204"/>
      <c r="BS97" s="3204"/>
      <c r="BT97" s="3204"/>
      <c r="BU97" s="3204"/>
      <c r="BV97" s="3204"/>
      <c r="BW97" s="3204"/>
      <c r="BX97" s="3204"/>
      <c r="BY97" s="3204"/>
      <c r="BZ97" s="3204"/>
      <c r="CA97" s="3204"/>
      <c r="CB97" s="3204"/>
      <c r="CC97" s="3204"/>
      <c r="CD97" s="3204"/>
      <c r="CE97" s="3204"/>
      <c r="CF97" s="3204"/>
      <c r="CG97" s="3204"/>
      <c r="CH97" s="3204"/>
      <c r="CI97" s="3204"/>
      <c r="CJ97" s="3204"/>
      <c r="CK97" s="3204"/>
      <c r="CL97" s="3204"/>
      <c r="CM97" s="3204"/>
      <c r="CN97" s="3204"/>
      <c r="CO97" s="3204"/>
      <c r="CP97" s="3204"/>
      <c r="CQ97" s="3204"/>
      <c r="CR97" s="3204"/>
      <c r="CS97" s="3204"/>
      <c r="CT97" s="3204"/>
      <c r="CU97" s="3204"/>
      <c r="CV97" s="3204"/>
      <c r="CW97" s="3204"/>
      <c r="CX97" s="3204"/>
      <c r="CY97" s="3204"/>
      <c r="CZ97" s="3204"/>
      <c r="DA97" s="3204"/>
      <c r="DB97" s="3204"/>
      <c r="DC97" s="3204"/>
      <c r="DD97" s="3204"/>
      <c r="DE97" s="3204"/>
      <c r="DF97" s="3204"/>
      <c r="DG97" s="3204"/>
      <c r="DH97" s="3204"/>
      <c r="DI97" s="3204"/>
      <c r="DJ97" s="3204"/>
      <c r="DK97" s="3204"/>
      <c r="DL97" s="3204"/>
      <c r="DM97" s="3204"/>
      <c r="DN97" s="3204"/>
      <c r="DO97" s="3204"/>
      <c r="DP97" s="3204"/>
      <c r="DQ97" s="3204"/>
      <c r="DR97" s="3204"/>
      <c r="DS97" s="3204"/>
      <c r="DT97" s="3204"/>
      <c r="DU97" s="3204"/>
      <c r="DV97" s="3204"/>
      <c r="DW97" s="3204"/>
      <c r="DX97" s="3204"/>
      <c r="DY97" s="3204"/>
      <c r="DZ97" s="3204"/>
      <c r="EA97" s="3204"/>
      <c r="EB97" s="3204"/>
      <c r="EC97" s="3204"/>
      <c r="ED97" s="3204"/>
      <c r="EE97" s="3204"/>
      <c r="EF97" s="3204"/>
      <c r="EG97" s="3204"/>
      <c r="EH97" s="3204"/>
      <c r="EI97" s="3204"/>
      <c r="EJ97" s="3204"/>
      <c r="EK97" s="3204"/>
      <c r="EL97" s="3204"/>
      <c r="EM97" s="3204"/>
      <c r="EN97" s="3204"/>
      <c r="EO97" s="3204"/>
      <c r="EP97" s="3204"/>
      <c r="EQ97" s="3204"/>
      <c r="ER97" s="3204"/>
      <c r="ES97" s="3204"/>
      <c r="ET97" s="3204"/>
      <c r="EU97" s="3204"/>
      <c r="EV97" s="3204"/>
      <c r="EW97" s="3204"/>
      <c r="EX97" s="3204"/>
      <c r="EY97" s="3204"/>
      <c r="EZ97" s="3204"/>
      <c r="FA97" s="3204"/>
      <c r="FB97" s="3204"/>
      <c r="FC97" s="3204"/>
      <c r="FD97" s="3204"/>
      <c r="FE97" s="3204"/>
      <c r="FF97" s="3204"/>
      <c r="FG97" s="3204"/>
      <c r="FH97" s="3204"/>
      <c r="FI97" s="3204"/>
      <c r="FJ97" s="3204"/>
      <c r="FK97" s="3204"/>
      <c r="FL97" s="3204"/>
      <c r="FM97" s="3204"/>
      <c r="FN97" s="156"/>
      <c r="FO97" s="156"/>
      <c r="FP97" s="156"/>
      <c r="FQ97" s="156"/>
      <c r="FR97" s="156"/>
      <c r="FS97" s="156"/>
      <c r="FT97" s="156"/>
      <c r="FU97" s="156"/>
      <c r="FV97" s="156"/>
      <c r="FW97" s="156"/>
      <c r="FX97" s="156"/>
      <c r="FY97" s="156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</row>
    <row r="98" spans="2:193" ht="18.75" customHeight="1" x14ac:dyDescent="0.3"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3204"/>
      <c r="AP98" s="3204"/>
      <c r="AQ98" s="3204"/>
      <c r="AR98" s="3204"/>
      <c r="AS98" s="3204"/>
      <c r="AT98" s="3204"/>
      <c r="AU98" s="3204"/>
      <c r="AV98" s="3204"/>
      <c r="AW98" s="3204"/>
      <c r="AX98" s="3204"/>
      <c r="AY98" s="3204"/>
      <c r="AZ98" s="3204"/>
      <c r="BA98" s="3204"/>
      <c r="BB98" s="3204"/>
      <c r="BC98" s="3204"/>
      <c r="BD98" s="3204"/>
      <c r="BE98" s="3204"/>
      <c r="BF98" s="3204"/>
      <c r="BG98" s="3204"/>
      <c r="BH98" s="3204"/>
      <c r="BI98" s="3204"/>
      <c r="BJ98" s="3204"/>
      <c r="BK98" s="3204"/>
      <c r="BL98" s="3204"/>
      <c r="BM98" s="3204"/>
      <c r="BN98" s="3204"/>
      <c r="BO98" s="3204"/>
      <c r="BP98" s="3204"/>
      <c r="BQ98" s="3204"/>
      <c r="BR98" s="3204"/>
      <c r="BS98" s="3204"/>
      <c r="BT98" s="3204"/>
      <c r="BU98" s="3204"/>
      <c r="BV98" s="3204"/>
      <c r="BW98" s="3204"/>
      <c r="BX98" s="3204"/>
      <c r="BY98" s="3204"/>
      <c r="BZ98" s="3204"/>
      <c r="CA98" s="3204"/>
      <c r="CB98" s="3204"/>
      <c r="CC98" s="3204"/>
      <c r="CD98" s="3204"/>
      <c r="CE98" s="3204"/>
      <c r="CF98" s="3204"/>
      <c r="CG98" s="3204"/>
      <c r="CH98" s="3204"/>
      <c r="CI98" s="3204"/>
      <c r="CJ98" s="3204"/>
      <c r="CK98" s="3204"/>
      <c r="CL98" s="3204"/>
      <c r="CM98" s="3204"/>
      <c r="CN98" s="3204"/>
      <c r="CO98" s="3204"/>
      <c r="CP98" s="3204"/>
      <c r="CQ98" s="3204"/>
      <c r="CR98" s="3204"/>
      <c r="CS98" s="3204"/>
      <c r="CT98" s="3204"/>
      <c r="CU98" s="3204"/>
      <c r="CV98" s="3204"/>
      <c r="CW98" s="3204"/>
      <c r="CX98" s="3204"/>
      <c r="CY98" s="3204"/>
      <c r="CZ98" s="3204"/>
      <c r="DA98" s="3204"/>
      <c r="DB98" s="3204"/>
      <c r="DC98" s="3204"/>
      <c r="DD98" s="3204"/>
      <c r="DE98" s="3204"/>
      <c r="DF98" s="3204"/>
      <c r="DG98" s="3204"/>
      <c r="DH98" s="3204"/>
      <c r="DI98" s="3204"/>
      <c r="DJ98" s="3204"/>
      <c r="DK98" s="3204"/>
      <c r="DL98" s="3204"/>
      <c r="DM98" s="3204"/>
      <c r="DN98" s="3204"/>
      <c r="DO98" s="3204"/>
      <c r="DP98" s="3204"/>
      <c r="DQ98" s="3204"/>
      <c r="DR98" s="3204"/>
      <c r="DS98" s="3204"/>
      <c r="DT98" s="3204"/>
      <c r="DU98" s="3204"/>
      <c r="DV98" s="3204"/>
      <c r="DW98" s="3204"/>
      <c r="DX98" s="3204"/>
      <c r="DY98" s="3204"/>
      <c r="DZ98" s="3204"/>
      <c r="EA98" s="3204"/>
      <c r="EB98" s="3204"/>
      <c r="EC98" s="3204"/>
      <c r="ED98" s="3204"/>
      <c r="EE98" s="3204"/>
      <c r="EF98" s="3204"/>
      <c r="EG98" s="3204"/>
      <c r="EH98" s="3204"/>
      <c r="EI98" s="3204"/>
      <c r="EJ98" s="3204"/>
      <c r="EK98" s="3204"/>
      <c r="EL98" s="3204"/>
      <c r="EM98" s="3204"/>
      <c r="EN98" s="3204"/>
      <c r="EO98" s="3204"/>
      <c r="EP98" s="3204"/>
      <c r="EQ98" s="3204"/>
      <c r="ER98" s="3204"/>
      <c r="ES98" s="3204"/>
      <c r="ET98" s="3204"/>
      <c r="EU98" s="3204"/>
      <c r="EV98" s="3204"/>
      <c r="EW98" s="3204"/>
      <c r="EX98" s="3204"/>
      <c r="EY98" s="3204"/>
      <c r="EZ98" s="3204"/>
      <c r="FA98" s="3204"/>
      <c r="FB98" s="3204"/>
      <c r="FC98" s="3204"/>
      <c r="FD98" s="3204"/>
      <c r="FE98" s="3204"/>
      <c r="FF98" s="3204"/>
      <c r="FG98" s="3204"/>
      <c r="FH98" s="3204"/>
      <c r="FI98" s="3204"/>
      <c r="FJ98" s="3204"/>
      <c r="FK98" s="3204"/>
      <c r="FL98" s="3204"/>
      <c r="FM98" s="3204"/>
      <c r="FN98" s="156"/>
      <c r="FO98" s="156"/>
      <c r="FP98" s="156"/>
      <c r="FQ98" s="156"/>
      <c r="FR98" s="156"/>
      <c r="FS98" s="156"/>
      <c r="FT98" s="156"/>
      <c r="FU98" s="156"/>
      <c r="FV98" s="156"/>
      <c r="FW98" s="156"/>
      <c r="FX98" s="156"/>
      <c r="FY98" s="156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</row>
    <row r="99" spans="2:193" ht="18.75" customHeight="1" x14ac:dyDescent="0.3"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3204"/>
      <c r="AP99" s="3204"/>
      <c r="AQ99" s="3204"/>
      <c r="AR99" s="3204"/>
      <c r="AS99" s="3204"/>
      <c r="AT99" s="3204"/>
      <c r="AU99" s="3204"/>
      <c r="AV99" s="3204"/>
      <c r="AW99" s="3204"/>
      <c r="AX99" s="3204"/>
      <c r="AY99" s="3204"/>
      <c r="AZ99" s="3204"/>
      <c r="BA99" s="3204"/>
      <c r="BB99" s="3204"/>
      <c r="BC99" s="3204"/>
      <c r="BD99" s="3204"/>
      <c r="BE99" s="3204"/>
      <c r="BF99" s="3204"/>
      <c r="BG99" s="3204"/>
      <c r="BH99" s="3204"/>
      <c r="BI99" s="3204"/>
      <c r="BJ99" s="3204"/>
      <c r="BK99" s="3204"/>
      <c r="BL99" s="3204"/>
      <c r="BM99" s="3204"/>
      <c r="BN99" s="3204"/>
      <c r="BO99" s="3204"/>
      <c r="BP99" s="3204"/>
      <c r="BQ99" s="3204"/>
      <c r="BR99" s="3204"/>
      <c r="BS99" s="3204"/>
      <c r="BT99" s="3204"/>
      <c r="BU99" s="3204"/>
      <c r="BV99" s="3204"/>
      <c r="BW99" s="3204"/>
      <c r="BX99" s="3204"/>
      <c r="BY99" s="3204"/>
      <c r="BZ99" s="3204"/>
      <c r="CA99" s="3204"/>
      <c r="CB99" s="3204"/>
      <c r="CC99" s="3204"/>
      <c r="CD99" s="3204"/>
      <c r="CE99" s="3204"/>
      <c r="CF99" s="3204"/>
      <c r="CG99" s="3204"/>
      <c r="CH99" s="3204"/>
      <c r="CI99" s="3204"/>
      <c r="CJ99" s="3204"/>
      <c r="CK99" s="3204"/>
      <c r="CL99" s="3204"/>
      <c r="CM99" s="3204"/>
      <c r="CN99" s="3204"/>
      <c r="CO99" s="3204"/>
      <c r="CP99" s="3204"/>
      <c r="CQ99" s="3204"/>
      <c r="CR99" s="3204"/>
      <c r="CS99" s="3204"/>
      <c r="CT99" s="3204"/>
      <c r="CU99" s="3204"/>
      <c r="CV99" s="3204"/>
      <c r="CW99" s="3204"/>
      <c r="CX99" s="3204"/>
      <c r="CY99" s="3204"/>
      <c r="CZ99" s="3204"/>
      <c r="DA99" s="3204"/>
      <c r="DB99" s="3204"/>
      <c r="DC99" s="3204"/>
      <c r="DD99" s="3204"/>
      <c r="DE99" s="3204"/>
      <c r="DF99" s="3204"/>
      <c r="DG99" s="3204"/>
      <c r="DH99" s="3204"/>
      <c r="DI99" s="3204"/>
      <c r="DJ99" s="3204"/>
      <c r="DK99" s="3204"/>
      <c r="DL99" s="3204"/>
      <c r="DM99" s="3204"/>
      <c r="DN99" s="3204"/>
      <c r="DO99" s="3204"/>
      <c r="DP99" s="3204"/>
      <c r="DQ99" s="3204"/>
      <c r="DR99" s="3204"/>
      <c r="DS99" s="3204"/>
      <c r="DT99" s="3204"/>
      <c r="DU99" s="3204"/>
      <c r="DV99" s="3204"/>
      <c r="DW99" s="3204"/>
      <c r="DX99" s="3204"/>
      <c r="DY99" s="3204"/>
      <c r="DZ99" s="3204"/>
      <c r="EA99" s="3204"/>
      <c r="EB99" s="3204"/>
      <c r="EC99" s="3204"/>
      <c r="ED99" s="3204"/>
      <c r="EE99" s="3204"/>
      <c r="EF99" s="3204"/>
      <c r="EG99" s="3204"/>
      <c r="EH99" s="3204"/>
      <c r="EI99" s="3204"/>
      <c r="EJ99" s="3204"/>
      <c r="EK99" s="3204"/>
      <c r="EL99" s="3204"/>
      <c r="EM99" s="3204"/>
      <c r="EN99" s="3204"/>
      <c r="EO99" s="3204"/>
      <c r="EP99" s="3204"/>
      <c r="EQ99" s="3204"/>
      <c r="ER99" s="3204"/>
      <c r="ES99" s="3204"/>
      <c r="ET99" s="3204"/>
      <c r="EU99" s="3204"/>
      <c r="EV99" s="3204"/>
      <c r="EW99" s="3204"/>
      <c r="EX99" s="3204"/>
      <c r="EY99" s="3204"/>
      <c r="EZ99" s="3204"/>
      <c r="FA99" s="3204"/>
      <c r="FB99" s="3204"/>
      <c r="FC99" s="3204"/>
      <c r="FD99" s="3204"/>
      <c r="FE99" s="3204"/>
      <c r="FF99" s="3204"/>
      <c r="FG99" s="3204"/>
      <c r="FH99" s="3204"/>
      <c r="FI99" s="3204"/>
      <c r="FJ99" s="3204"/>
      <c r="FK99" s="3204"/>
      <c r="FL99" s="3204"/>
      <c r="FM99" s="3204"/>
      <c r="FN99" s="156"/>
      <c r="FO99" s="156"/>
      <c r="FP99" s="156"/>
      <c r="FQ99" s="156"/>
      <c r="FR99" s="156"/>
      <c r="FS99" s="156"/>
      <c r="FT99" s="156"/>
      <c r="FU99" s="156"/>
      <c r="FV99" s="156"/>
      <c r="FW99" s="156"/>
      <c r="FX99" s="156"/>
      <c r="FY99" s="156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</row>
    <row r="100" spans="2:193" ht="18.75" customHeight="1" x14ac:dyDescent="0.3"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3204"/>
      <c r="AP100" s="3204"/>
      <c r="AQ100" s="3204"/>
      <c r="AR100" s="3204"/>
      <c r="AS100" s="3204"/>
      <c r="AT100" s="3204"/>
      <c r="AU100" s="3204"/>
      <c r="AV100" s="3204"/>
      <c r="AW100" s="3204"/>
      <c r="AX100" s="3204"/>
      <c r="AY100" s="3204"/>
      <c r="AZ100" s="3204"/>
      <c r="BA100" s="3204"/>
      <c r="BB100" s="3204"/>
      <c r="BC100" s="3204"/>
      <c r="BD100" s="3204"/>
      <c r="BE100" s="3204"/>
      <c r="BF100" s="3204"/>
      <c r="BG100" s="3204"/>
      <c r="BH100" s="3204"/>
      <c r="BI100" s="3204"/>
      <c r="BJ100" s="3204"/>
      <c r="BK100" s="3204"/>
      <c r="BL100" s="3204"/>
      <c r="BM100" s="3204"/>
      <c r="BN100" s="3204"/>
      <c r="BO100" s="3204"/>
      <c r="BP100" s="3204"/>
      <c r="BQ100" s="3204"/>
      <c r="BR100" s="3204"/>
      <c r="BS100" s="3204"/>
      <c r="BT100" s="3204"/>
      <c r="BU100" s="3204"/>
      <c r="BV100" s="3204"/>
      <c r="BW100" s="3204"/>
      <c r="BX100" s="3204"/>
      <c r="BY100" s="3204"/>
      <c r="BZ100" s="3204"/>
      <c r="CA100" s="3204"/>
      <c r="CB100" s="3204"/>
      <c r="CC100" s="3204"/>
      <c r="CD100" s="3204"/>
      <c r="CE100" s="3204"/>
      <c r="CF100" s="3204"/>
      <c r="CG100" s="3204"/>
      <c r="CH100" s="3204"/>
      <c r="CI100" s="3204"/>
      <c r="CJ100" s="3204"/>
      <c r="CK100" s="3204"/>
      <c r="CL100" s="3204"/>
      <c r="CM100" s="3204"/>
      <c r="CN100" s="3204"/>
      <c r="CO100" s="3204"/>
      <c r="CP100" s="3204"/>
      <c r="CQ100" s="3204"/>
      <c r="CR100" s="3204"/>
      <c r="CS100" s="3204"/>
      <c r="CT100" s="3204"/>
      <c r="CU100" s="3204"/>
      <c r="CV100" s="3204"/>
      <c r="CW100" s="3204"/>
      <c r="CX100" s="3204"/>
      <c r="CY100" s="3204"/>
      <c r="CZ100" s="3204"/>
      <c r="DA100" s="3204"/>
      <c r="DB100" s="3204"/>
      <c r="DC100" s="3204"/>
      <c r="DD100" s="3204"/>
      <c r="DE100" s="3204"/>
      <c r="DF100" s="3204"/>
      <c r="DG100" s="3204"/>
      <c r="DH100" s="3204"/>
      <c r="DI100" s="3204"/>
      <c r="DJ100" s="3204"/>
      <c r="DK100" s="3204"/>
      <c r="DL100" s="3204"/>
      <c r="DM100" s="3204"/>
      <c r="DN100" s="3204"/>
      <c r="DO100" s="3204"/>
      <c r="DP100" s="3204"/>
      <c r="DQ100" s="3204"/>
      <c r="DR100" s="3204"/>
      <c r="DS100" s="3204"/>
      <c r="DT100" s="3204"/>
      <c r="DU100" s="3204"/>
      <c r="DV100" s="3204"/>
      <c r="DW100" s="3204"/>
      <c r="DX100" s="3204"/>
      <c r="DY100" s="3204"/>
      <c r="DZ100" s="3204"/>
      <c r="EA100" s="3204"/>
      <c r="EB100" s="3204"/>
      <c r="EC100" s="3204"/>
      <c r="ED100" s="3204"/>
      <c r="EE100" s="3204"/>
      <c r="EF100" s="3204"/>
      <c r="EG100" s="3204"/>
      <c r="EH100" s="3204"/>
      <c r="EI100" s="3204"/>
      <c r="EJ100" s="3204"/>
      <c r="EK100" s="3204"/>
      <c r="EL100" s="3204"/>
      <c r="EM100" s="3204"/>
      <c r="EN100" s="3204"/>
      <c r="EO100" s="3204"/>
      <c r="EP100" s="3204"/>
      <c r="EQ100" s="3204"/>
      <c r="ER100" s="3204"/>
      <c r="ES100" s="3204"/>
      <c r="ET100" s="3204"/>
      <c r="EU100" s="3204"/>
      <c r="EV100" s="3204"/>
      <c r="EW100" s="3204"/>
      <c r="EX100" s="3204"/>
      <c r="EY100" s="3204"/>
      <c r="EZ100" s="3204"/>
      <c r="FA100" s="3204"/>
      <c r="FB100" s="3204"/>
      <c r="FC100" s="3204"/>
      <c r="FD100" s="3204"/>
      <c r="FE100" s="3204"/>
      <c r="FF100" s="3204"/>
      <c r="FG100" s="3204"/>
      <c r="FH100" s="3204"/>
      <c r="FI100" s="3204"/>
      <c r="FJ100" s="3204"/>
      <c r="FK100" s="3204"/>
      <c r="FL100" s="3204"/>
      <c r="FM100" s="3204"/>
      <c r="FN100" s="156"/>
      <c r="FO100" s="156"/>
      <c r="FP100" s="156"/>
      <c r="FQ100" s="156"/>
      <c r="FR100" s="156"/>
      <c r="FS100" s="156"/>
      <c r="FT100" s="156"/>
      <c r="FU100" s="156"/>
      <c r="FV100" s="156"/>
      <c r="FW100" s="156"/>
      <c r="FX100" s="156"/>
      <c r="FY100" s="156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</row>
    <row r="101" spans="2:193" ht="18.75" customHeight="1" x14ac:dyDescent="0.3"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3204"/>
      <c r="AP101" s="3204"/>
      <c r="AQ101" s="3204"/>
      <c r="AR101" s="3204"/>
      <c r="AS101" s="3204"/>
      <c r="AT101" s="3204"/>
      <c r="AU101" s="3204"/>
      <c r="AV101" s="3204"/>
      <c r="AW101" s="3204"/>
      <c r="AX101" s="3204"/>
      <c r="AY101" s="3204"/>
      <c r="AZ101" s="3204"/>
      <c r="BA101" s="3204"/>
      <c r="BB101" s="3204"/>
      <c r="BC101" s="3204"/>
      <c r="BD101" s="3204"/>
      <c r="BE101" s="3204"/>
      <c r="BF101" s="3204"/>
      <c r="BG101" s="3204"/>
      <c r="BH101" s="3204"/>
      <c r="BI101" s="3204"/>
      <c r="BJ101" s="3204"/>
      <c r="BK101" s="3204"/>
      <c r="BL101" s="3204"/>
      <c r="BM101" s="3204"/>
      <c r="BN101" s="3204"/>
      <c r="BO101" s="3204"/>
      <c r="BP101" s="3204"/>
      <c r="BQ101" s="3204"/>
      <c r="BR101" s="3204"/>
      <c r="BS101" s="3204"/>
      <c r="BT101" s="3204"/>
      <c r="BU101" s="3204"/>
      <c r="BV101" s="3204"/>
      <c r="BW101" s="3204"/>
      <c r="BX101" s="3204"/>
      <c r="BY101" s="3204"/>
      <c r="BZ101" s="3204"/>
      <c r="CA101" s="3204"/>
      <c r="CB101" s="3204"/>
      <c r="CC101" s="3204"/>
      <c r="CD101" s="3204"/>
      <c r="CE101" s="3204"/>
      <c r="CF101" s="3204"/>
      <c r="CG101" s="3204"/>
      <c r="CH101" s="3204"/>
      <c r="CI101" s="3204"/>
      <c r="CJ101" s="3204"/>
      <c r="CK101" s="3204"/>
      <c r="CL101" s="3204"/>
      <c r="CM101" s="3204"/>
      <c r="CN101" s="3204"/>
      <c r="CO101" s="3204"/>
      <c r="CP101" s="3204"/>
      <c r="CQ101" s="3204"/>
      <c r="CR101" s="3204"/>
      <c r="CS101" s="3204"/>
      <c r="CT101" s="3204"/>
      <c r="CU101" s="3204"/>
      <c r="CV101" s="3204"/>
      <c r="CW101" s="3204"/>
      <c r="CX101" s="3204"/>
      <c r="CY101" s="3204"/>
      <c r="CZ101" s="3204"/>
      <c r="DA101" s="3204"/>
      <c r="DB101" s="3204"/>
      <c r="DC101" s="3204"/>
      <c r="DD101" s="3204"/>
      <c r="DE101" s="3204"/>
      <c r="DF101" s="3204"/>
      <c r="DG101" s="3204"/>
      <c r="DH101" s="3204"/>
      <c r="DI101" s="3204"/>
      <c r="DJ101" s="3204"/>
      <c r="DK101" s="3204"/>
      <c r="DL101" s="3204"/>
      <c r="DM101" s="3204"/>
      <c r="DN101" s="3204"/>
      <c r="DO101" s="3204"/>
      <c r="DP101" s="3204"/>
      <c r="DQ101" s="3204"/>
      <c r="DR101" s="3204"/>
      <c r="DS101" s="3204"/>
      <c r="DT101" s="3204"/>
      <c r="DU101" s="3204"/>
      <c r="DV101" s="3204"/>
      <c r="DW101" s="3204"/>
      <c r="DX101" s="3204"/>
      <c r="DY101" s="3204"/>
      <c r="DZ101" s="3204"/>
      <c r="EA101" s="3204"/>
      <c r="EB101" s="3204"/>
      <c r="EC101" s="3204"/>
      <c r="ED101" s="3204"/>
      <c r="EE101" s="3204"/>
      <c r="EF101" s="3204"/>
      <c r="EG101" s="3204"/>
      <c r="EH101" s="3204"/>
      <c r="EI101" s="3204"/>
      <c r="EJ101" s="3204"/>
      <c r="EK101" s="3204"/>
      <c r="EL101" s="3204"/>
      <c r="EM101" s="3204"/>
      <c r="EN101" s="3204"/>
      <c r="EO101" s="3204"/>
      <c r="EP101" s="3204"/>
      <c r="EQ101" s="3204"/>
      <c r="ER101" s="3204"/>
      <c r="ES101" s="3204"/>
      <c r="ET101" s="3204"/>
      <c r="EU101" s="3204"/>
      <c r="EV101" s="3204"/>
      <c r="EW101" s="3204"/>
      <c r="EX101" s="3204"/>
      <c r="EY101" s="3204"/>
      <c r="EZ101" s="3204"/>
      <c r="FA101" s="3204"/>
      <c r="FB101" s="3204"/>
      <c r="FC101" s="3204"/>
      <c r="FD101" s="3204"/>
      <c r="FE101" s="3204"/>
      <c r="FF101" s="3204"/>
      <c r="FG101" s="3204"/>
      <c r="FH101" s="3204"/>
      <c r="FI101" s="3204"/>
      <c r="FJ101" s="3204"/>
      <c r="FK101" s="3204"/>
      <c r="FL101" s="3204"/>
      <c r="FM101" s="3204"/>
      <c r="FN101" s="156"/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</row>
    <row r="102" spans="2:193" ht="18.75" customHeight="1" x14ac:dyDescent="0.3"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3204"/>
      <c r="AP102" s="3204"/>
      <c r="AQ102" s="3204"/>
      <c r="AR102" s="3204"/>
      <c r="AS102" s="3204"/>
      <c r="AT102" s="3204"/>
      <c r="AU102" s="3204"/>
      <c r="AV102" s="3204"/>
      <c r="AW102" s="3204"/>
      <c r="AX102" s="3204"/>
      <c r="AY102" s="3204"/>
      <c r="AZ102" s="3204"/>
      <c r="BA102" s="3204"/>
      <c r="BB102" s="3204"/>
      <c r="BC102" s="3204"/>
      <c r="BD102" s="3204"/>
      <c r="BE102" s="3204"/>
      <c r="BF102" s="3204"/>
      <c r="BG102" s="3204"/>
      <c r="BH102" s="3204"/>
      <c r="BI102" s="3204"/>
      <c r="BJ102" s="3204"/>
      <c r="BK102" s="3204"/>
      <c r="BL102" s="3204"/>
      <c r="BM102" s="3204"/>
      <c r="BN102" s="3204"/>
      <c r="BO102" s="3204"/>
      <c r="BP102" s="3204"/>
      <c r="BQ102" s="3204"/>
      <c r="BR102" s="3204"/>
      <c r="BS102" s="3204"/>
      <c r="BT102" s="3204"/>
      <c r="BU102" s="3204"/>
      <c r="BV102" s="3204"/>
      <c r="BW102" s="3204"/>
      <c r="BX102" s="3204"/>
      <c r="BY102" s="3204"/>
      <c r="BZ102" s="3204"/>
      <c r="CA102" s="3204"/>
      <c r="CB102" s="3204"/>
      <c r="CC102" s="3204"/>
      <c r="CD102" s="3204"/>
      <c r="CE102" s="3204"/>
      <c r="CF102" s="3204"/>
      <c r="CG102" s="3204"/>
      <c r="CH102" s="3204"/>
      <c r="CI102" s="3204"/>
      <c r="CJ102" s="3204"/>
      <c r="CK102" s="3204"/>
      <c r="CL102" s="3204"/>
      <c r="CM102" s="3204"/>
      <c r="CN102" s="3204"/>
      <c r="CO102" s="3204"/>
      <c r="CP102" s="3204"/>
      <c r="CQ102" s="3204"/>
      <c r="CR102" s="3204"/>
      <c r="CS102" s="3204"/>
      <c r="CT102" s="3204"/>
      <c r="CU102" s="3204"/>
      <c r="CV102" s="3204"/>
      <c r="CW102" s="3204"/>
      <c r="CX102" s="3204"/>
      <c r="CY102" s="3204"/>
      <c r="CZ102" s="3204"/>
      <c r="DA102" s="3204"/>
      <c r="DB102" s="3204"/>
      <c r="DC102" s="3204"/>
      <c r="DD102" s="3204"/>
      <c r="DE102" s="3204"/>
      <c r="DF102" s="3204"/>
      <c r="DG102" s="3204"/>
      <c r="DH102" s="3204"/>
      <c r="DI102" s="3204"/>
      <c r="DJ102" s="3204"/>
      <c r="DK102" s="3204"/>
      <c r="DL102" s="3204"/>
      <c r="DM102" s="3204"/>
      <c r="DN102" s="3204"/>
      <c r="DO102" s="3204"/>
      <c r="DP102" s="3204"/>
      <c r="DQ102" s="3204"/>
      <c r="DR102" s="3204"/>
      <c r="DS102" s="3204"/>
      <c r="DT102" s="3204"/>
      <c r="DU102" s="3204"/>
      <c r="DV102" s="3204"/>
      <c r="DW102" s="3204"/>
      <c r="DX102" s="3204"/>
      <c r="DY102" s="3204"/>
      <c r="DZ102" s="3204"/>
      <c r="EA102" s="3204"/>
      <c r="EB102" s="3204"/>
      <c r="EC102" s="3204"/>
      <c r="ED102" s="3204"/>
      <c r="EE102" s="3204"/>
      <c r="EF102" s="3204"/>
      <c r="EG102" s="3204"/>
      <c r="EH102" s="3204"/>
      <c r="EI102" s="3204"/>
      <c r="EJ102" s="3204"/>
      <c r="EK102" s="3204"/>
      <c r="EL102" s="3204"/>
      <c r="EM102" s="3204"/>
      <c r="EN102" s="3204"/>
      <c r="EO102" s="3204"/>
      <c r="EP102" s="3204"/>
      <c r="EQ102" s="3204"/>
      <c r="ER102" s="3204"/>
      <c r="ES102" s="3204"/>
      <c r="ET102" s="3204"/>
      <c r="EU102" s="3204"/>
      <c r="EV102" s="3204"/>
      <c r="EW102" s="3204"/>
      <c r="EX102" s="3204"/>
      <c r="EY102" s="3204"/>
      <c r="EZ102" s="3204"/>
      <c r="FA102" s="3204"/>
      <c r="FB102" s="3204"/>
      <c r="FC102" s="3204"/>
      <c r="FD102" s="3204"/>
      <c r="FE102" s="3204"/>
      <c r="FF102" s="3204"/>
      <c r="FG102" s="3204"/>
      <c r="FH102" s="3204"/>
      <c r="FI102" s="3204"/>
      <c r="FJ102" s="3204"/>
      <c r="FK102" s="3204"/>
      <c r="FL102" s="3204"/>
      <c r="FM102" s="3204"/>
      <c r="FN102" s="156"/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</row>
    <row r="103" spans="2:193" ht="18.75" customHeight="1" x14ac:dyDescent="0.3"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3204"/>
      <c r="AP103" s="3204"/>
      <c r="AQ103" s="3204"/>
      <c r="AR103" s="3204"/>
      <c r="AS103" s="3204"/>
      <c r="AT103" s="3204"/>
      <c r="AU103" s="3204"/>
      <c r="AV103" s="3204"/>
      <c r="AW103" s="3204"/>
      <c r="AX103" s="3204"/>
      <c r="AY103" s="3204"/>
      <c r="AZ103" s="3204"/>
      <c r="BA103" s="3204"/>
      <c r="BB103" s="3204"/>
      <c r="BC103" s="3204"/>
      <c r="BD103" s="3204"/>
      <c r="BE103" s="3204"/>
      <c r="BF103" s="3204"/>
      <c r="BG103" s="3204"/>
      <c r="BH103" s="3204"/>
      <c r="BI103" s="3204"/>
      <c r="BJ103" s="3204"/>
      <c r="BK103" s="3204"/>
      <c r="BL103" s="3204"/>
      <c r="BM103" s="3204"/>
      <c r="BN103" s="3204"/>
      <c r="BO103" s="3204"/>
      <c r="BP103" s="3204"/>
      <c r="BQ103" s="3204"/>
      <c r="BR103" s="3204"/>
      <c r="BS103" s="3204"/>
      <c r="BT103" s="3204"/>
      <c r="BU103" s="3204"/>
      <c r="BV103" s="3204"/>
      <c r="BW103" s="3204"/>
      <c r="BX103" s="3204"/>
      <c r="BY103" s="3204"/>
      <c r="BZ103" s="3204"/>
      <c r="CA103" s="3204"/>
      <c r="CB103" s="3204"/>
      <c r="CC103" s="3204"/>
      <c r="CD103" s="3204"/>
      <c r="CE103" s="3204"/>
      <c r="CF103" s="3204"/>
      <c r="CG103" s="3204"/>
      <c r="CH103" s="3204"/>
      <c r="CI103" s="3204"/>
      <c r="CJ103" s="3204"/>
      <c r="CK103" s="3204"/>
      <c r="CL103" s="3204"/>
      <c r="CM103" s="3204"/>
      <c r="CN103" s="3204"/>
      <c r="CO103" s="3204"/>
      <c r="CP103" s="3204"/>
      <c r="CQ103" s="3204"/>
      <c r="CR103" s="3204"/>
      <c r="CS103" s="3204"/>
      <c r="CT103" s="3204"/>
      <c r="CU103" s="3204"/>
      <c r="CV103" s="3204"/>
      <c r="CW103" s="3204"/>
      <c r="CX103" s="3204"/>
      <c r="CY103" s="3204"/>
      <c r="CZ103" s="3204"/>
      <c r="DA103" s="3204"/>
      <c r="DB103" s="3204"/>
      <c r="DC103" s="3204"/>
      <c r="DD103" s="3204"/>
      <c r="DE103" s="3204"/>
      <c r="DF103" s="3204"/>
      <c r="DG103" s="3204"/>
      <c r="DH103" s="3204"/>
      <c r="DI103" s="3204"/>
      <c r="DJ103" s="3204"/>
      <c r="DK103" s="3204"/>
      <c r="DL103" s="3204"/>
      <c r="DM103" s="3204"/>
      <c r="DN103" s="3204"/>
      <c r="DO103" s="3204"/>
      <c r="DP103" s="3204"/>
      <c r="DQ103" s="3204"/>
      <c r="DR103" s="3204"/>
      <c r="DS103" s="3204"/>
      <c r="DT103" s="3204"/>
      <c r="DU103" s="3204"/>
      <c r="DV103" s="3204"/>
      <c r="DW103" s="3204"/>
      <c r="DX103" s="3204"/>
      <c r="DY103" s="3204"/>
      <c r="DZ103" s="3204"/>
      <c r="EA103" s="3204"/>
      <c r="EB103" s="3204"/>
      <c r="EC103" s="3204"/>
      <c r="ED103" s="3204"/>
      <c r="EE103" s="3204"/>
      <c r="EF103" s="3204"/>
      <c r="EG103" s="3204"/>
      <c r="EH103" s="3204"/>
      <c r="EI103" s="3204"/>
      <c r="EJ103" s="3204"/>
      <c r="EK103" s="3204"/>
      <c r="EL103" s="3204"/>
      <c r="EM103" s="3204"/>
      <c r="EN103" s="3204"/>
      <c r="EO103" s="3204"/>
      <c r="EP103" s="3204"/>
      <c r="EQ103" s="3204"/>
      <c r="ER103" s="3204"/>
      <c r="ES103" s="3204"/>
      <c r="ET103" s="3204"/>
      <c r="EU103" s="3204"/>
      <c r="EV103" s="3204"/>
      <c r="EW103" s="3204"/>
      <c r="EX103" s="3204"/>
      <c r="EY103" s="3204"/>
      <c r="EZ103" s="3204"/>
      <c r="FA103" s="3204"/>
      <c r="FB103" s="3204"/>
      <c r="FC103" s="3204"/>
      <c r="FD103" s="3204"/>
      <c r="FE103" s="3204"/>
      <c r="FF103" s="3204"/>
      <c r="FG103" s="3204"/>
      <c r="FH103" s="3204"/>
      <c r="FI103" s="3204"/>
      <c r="FJ103" s="3204"/>
      <c r="FK103" s="3204"/>
      <c r="FL103" s="3204"/>
      <c r="FM103" s="3204"/>
      <c r="FN103" s="156"/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</row>
    <row r="104" spans="2:193" ht="18.75" customHeight="1" x14ac:dyDescent="0.3"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3204"/>
      <c r="AP104" s="3204"/>
      <c r="AQ104" s="3204"/>
      <c r="AR104" s="3204"/>
      <c r="AS104" s="3204"/>
      <c r="AT104" s="3204"/>
      <c r="AU104" s="3204"/>
      <c r="AV104" s="3204"/>
      <c r="AW104" s="3204"/>
      <c r="AX104" s="3204"/>
      <c r="AY104" s="3204"/>
      <c r="AZ104" s="3204"/>
      <c r="BA104" s="3204"/>
      <c r="BB104" s="3204"/>
      <c r="BC104" s="3204"/>
      <c r="BD104" s="3204"/>
      <c r="BE104" s="3204"/>
      <c r="BF104" s="3204"/>
      <c r="BG104" s="3204"/>
      <c r="BH104" s="3204"/>
      <c r="BI104" s="3204"/>
      <c r="BJ104" s="3204"/>
      <c r="BK104" s="3204"/>
      <c r="BL104" s="3204"/>
      <c r="BM104" s="3204"/>
      <c r="BN104" s="3204"/>
      <c r="BO104" s="3204"/>
      <c r="BP104" s="3204"/>
      <c r="BQ104" s="3204"/>
      <c r="BR104" s="3204"/>
      <c r="BS104" s="3204"/>
      <c r="BT104" s="3204"/>
      <c r="BU104" s="3204"/>
      <c r="BV104" s="3204"/>
      <c r="BW104" s="3204"/>
      <c r="BX104" s="3204"/>
      <c r="BY104" s="3204"/>
      <c r="BZ104" s="3204"/>
      <c r="CA104" s="3204"/>
      <c r="CB104" s="3204"/>
      <c r="CC104" s="3204"/>
      <c r="CD104" s="3204"/>
      <c r="CE104" s="3204"/>
      <c r="CF104" s="3204"/>
      <c r="CG104" s="3204"/>
      <c r="CH104" s="3204"/>
      <c r="CI104" s="3204"/>
      <c r="CJ104" s="3204"/>
      <c r="CK104" s="3204"/>
      <c r="CL104" s="3204"/>
      <c r="CM104" s="3204"/>
      <c r="CN104" s="3204"/>
      <c r="CO104" s="3204"/>
      <c r="CP104" s="3204"/>
      <c r="CQ104" s="3204"/>
      <c r="CR104" s="3204"/>
      <c r="CS104" s="3204"/>
      <c r="CT104" s="3204"/>
      <c r="CU104" s="3204"/>
      <c r="CV104" s="3204"/>
      <c r="CW104" s="3204"/>
      <c r="CX104" s="3204"/>
      <c r="CY104" s="3204"/>
      <c r="CZ104" s="3204"/>
      <c r="DA104" s="3204"/>
      <c r="DB104" s="3204"/>
      <c r="DC104" s="3204"/>
      <c r="DD104" s="3204"/>
      <c r="DE104" s="3204"/>
      <c r="DF104" s="3204"/>
      <c r="DG104" s="3204"/>
      <c r="DH104" s="3204"/>
      <c r="DI104" s="3204"/>
      <c r="DJ104" s="3204"/>
      <c r="DK104" s="3204"/>
      <c r="DL104" s="3204"/>
      <c r="DM104" s="3204"/>
      <c r="DN104" s="3204"/>
      <c r="DO104" s="3204"/>
      <c r="DP104" s="3204"/>
      <c r="DQ104" s="3204"/>
      <c r="DR104" s="3204"/>
      <c r="DS104" s="3204"/>
      <c r="DT104" s="3204"/>
      <c r="DU104" s="3204"/>
      <c r="DV104" s="3204"/>
      <c r="DW104" s="3204"/>
      <c r="DX104" s="3204"/>
      <c r="DY104" s="3204"/>
      <c r="DZ104" s="3204"/>
      <c r="EA104" s="3204"/>
      <c r="EB104" s="3204"/>
      <c r="EC104" s="3204"/>
      <c r="ED104" s="3204"/>
      <c r="EE104" s="3204"/>
      <c r="EF104" s="3204"/>
      <c r="EG104" s="3204"/>
      <c r="EH104" s="3204"/>
      <c r="EI104" s="3204"/>
      <c r="EJ104" s="3204"/>
      <c r="EK104" s="3204"/>
      <c r="EL104" s="3204"/>
      <c r="EM104" s="3204"/>
      <c r="EN104" s="3204"/>
      <c r="EO104" s="3204"/>
      <c r="EP104" s="3204"/>
      <c r="EQ104" s="3204"/>
      <c r="ER104" s="3204"/>
      <c r="ES104" s="3204"/>
      <c r="ET104" s="3204"/>
      <c r="EU104" s="3204"/>
      <c r="EV104" s="3204"/>
      <c r="EW104" s="3204"/>
      <c r="EX104" s="3204"/>
      <c r="EY104" s="3204"/>
      <c r="EZ104" s="3204"/>
      <c r="FA104" s="3204"/>
      <c r="FB104" s="3204"/>
      <c r="FC104" s="3204"/>
      <c r="FD104" s="3204"/>
      <c r="FE104" s="3204"/>
      <c r="FF104" s="3204"/>
      <c r="FG104" s="3204"/>
      <c r="FH104" s="3204"/>
      <c r="FI104" s="3204"/>
      <c r="FJ104" s="3204"/>
      <c r="FK104" s="3204"/>
      <c r="FL104" s="3204"/>
      <c r="FM104" s="3204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</row>
    <row r="105" spans="2:193" ht="18.75" customHeight="1" x14ac:dyDescent="0.3"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3204"/>
      <c r="AP105" s="3204"/>
      <c r="AQ105" s="3204"/>
      <c r="AR105" s="3204"/>
      <c r="AS105" s="3204"/>
      <c r="AT105" s="3204"/>
      <c r="AU105" s="3204"/>
      <c r="AV105" s="3204"/>
      <c r="AW105" s="3204"/>
      <c r="AX105" s="3204"/>
      <c r="AY105" s="3204"/>
      <c r="AZ105" s="3204"/>
      <c r="BA105" s="3204"/>
      <c r="BB105" s="3204"/>
      <c r="BC105" s="3204"/>
      <c r="BD105" s="3204"/>
      <c r="BE105" s="3204"/>
      <c r="BF105" s="3204"/>
      <c r="BG105" s="3204"/>
      <c r="BH105" s="3204"/>
      <c r="BI105" s="3204"/>
      <c r="BJ105" s="3204"/>
      <c r="BK105" s="3204"/>
      <c r="BL105" s="3204"/>
      <c r="BM105" s="3204"/>
      <c r="BN105" s="3204"/>
      <c r="BO105" s="3204"/>
      <c r="BP105" s="3204"/>
      <c r="BQ105" s="3204"/>
      <c r="BR105" s="3204"/>
      <c r="BS105" s="3204"/>
      <c r="BT105" s="3204"/>
      <c r="BU105" s="3204"/>
      <c r="BV105" s="3204"/>
      <c r="BW105" s="3204"/>
      <c r="BX105" s="3204"/>
      <c r="BY105" s="3204"/>
      <c r="BZ105" s="3204"/>
      <c r="CA105" s="3204"/>
      <c r="CB105" s="3204"/>
      <c r="CC105" s="3204"/>
      <c r="CD105" s="3204"/>
      <c r="CE105" s="3204"/>
      <c r="CF105" s="3204"/>
      <c r="CG105" s="3204"/>
      <c r="CH105" s="3204"/>
      <c r="CI105" s="3204"/>
      <c r="CJ105" s="3204"/>
      <c r="CK105" s="3204"/>
      <c r="CL105" s="3204"/>
      <c r="CM105" s="3204"/>
      <c r="CN105" s="3204"/>
      <c r="CO105" s="3204"/>
      <c r="CP105" s="3204"/>
      <c r="CQ105" s="3204"/>
      <c r="CR105" s="3204"/>
      <c r="CS105" s="3204"/>
      <c r="CT105" s="3204"/>
      <c r="CU105" s="3204"/>
      <c r="CV105" s="3204"/>
      <c r="CW105" s="3204"/>
      <c r="CX105" s="3204"/>
      <c r="CY105" s="3204"/>
      <c r="CZ105" s="3204"/>
      <c r="DA105" s="3204"/>
      <c r="DB105" s="3204"/>
      <c r="DC105" s="3204"/>
      <c r="DD105" s="3204"/>
      <c r="DE105" s="3204"/>
      <c r="DF105" s="3204"/>
      <c r="DG105" s="3204"/>
      <c r="DH105" s="3204"/>
      <c r="DI105" s="3204"/>
      <c r="DJ105" s="3204"/>
      <c r="DK105" s="3204"/>
      <c r="DL105" s="3204"/>
      <c r="DM105" s="3204"/>
      <c r="DN105" s="3204"/>
      <c r="DO105" s="3204"/>
      <c r="DP105" s="3204"/>
      <c r="DQ105" s="3204"/>
      <c r="DR105" s="3204"/>
      <c r="DS105" s="3204"/>
      <c r="DT105" s="3204"/>
      <c r="DU105" s="3204"/>
      <c r="DV105" s="3204"/>
      <c r="DW105" s="3204"/>
      <c r="DX105" s="3204"/>
      <c r="DY105" s="3204"/>
      <c r="DZ105" s="3204"/>
      <c r="EA105" s="3204"/>
      <c r="EB105" s="3204"/>
      <c r="EC105" s="3204"/>
      <c r="ED105" s="3204"/>
      <c r="EE105" s="3204"/>
      <c r="EF105" s="3204"/>
      <c r="EG105" s="3204"/>
      <c r="EH105" s="3204"/>
      <c r="EI105" s="3204"/>
      <c r="EJ105" s="3204"/>
      <c r="EK105" s="3204"/>
      <c r="EL105" s="3204"/>
      <c r="EM105" s="3204"/>
      <c r="EN105" s="3204"/>
      <c r="EO105" s="3204"/>
      <c r="EP105" s="3204"/>
      <c r="EQ105" s="3204"/>
      <c r="ER105" s="3204"/>
      <c r="ES105" s="3204"/>
      <c r="ET105" s="3204"/>
      <c r="EU105" s="3204"/>
      <c r="EV105" s="3204"/>
      <c r="EW105" s="3204"/>
      <c r="EX105" s="3204"/>
      <c r="EY105" s="3204"/>
      <c r="EZ105" s="3204"/>
      <c r="FA105" s="3204"/>
      <c r="FB105" s="3204"/>
      <c r="FC105" s="3204"/>
      <c r="FD105" s="3204"/>
      <c r="FE105" s="3204"/>
      <c r="FF105" s="3204"/>
      <c r="FG105" s="3204"/>
      <c r="FH105" s="3204"/>
      <c r="FI105" s="3204"/>
      <c r="FJ105" s="3204"/>
      <c r="FK105" s="3204"/>
      <c r="FL105" s="3204"/>
      <c r="FM105" s="3204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</row>
    <row r="106" spans="2:193" ht="18.75" customHeight="1" x14ac:dyDescent="0.3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3204"/>
      <c r="AP106" s="3204"/>
      <c r="AQ106" s="3204"/>
      <c r="AR106" s="3204"/>
      <c r="AS106" s="3204"/>
      <c r="AT106" s="3204"/>
      <c r="AU106" s="3204"/>
      <c r="AV106" s="3204"/>
      <c r="AW106" s="3204"/>
      <c r="AX106" s="3204"/>
      <c r="AY106" s="3204"/>
      <c r="AZ106" s="3204"/>
      <c r="BA106" s="3204"/>
      <c r="BB106" s="3204"/>
      <c r="BC106" s="3204"/>
      <c r="BD106" s="3204"/>
      <c r="BE106" s="3204"/>
      <c r="BF106" s="3204"/>
      <c r="BG106" s="3204"/>
      <c r="BH106" s="3204"/>
      <c r="BI106" s="3204"/>
      <c r="BJ106" s="3204"/>
      <c r="BK106" s="3204"/>
      <c r="BL106" s="3204"/>
      <c r="BM106" s="3204"/>
      <c r="BN106" s="3204"/>
      <c r="BO106" s="3204"/>
      <c r="BP106" s="3204"/>
      <c r="BQ106" s="3204"/>
      <c r="BR106" s="3204"/>
      <c r="BS106" s="3204"/>
      <c r="BT106" s="3204"/>
      <c r="BU106" s="3204"/>
      <c r="BV106" s="3204"/>
      <c r="BW106" s="3204"/>
      <c r="BX106" s="3204"/>
      <c r="BY106" s="3204"/>
      <c r="BZ106" s="3204"/>
      <c r="CA106" s="3204"/>
      <c r="CB106" s="3204"/>
      <c r="CC106" s="3204"/>
      <c r="CD106" s="3204"/>
      <c r="CE106" s="3204"/>
      <c r="CF106" s="3204"/>
      <c r="CG106" s="3204"/>
      <c r="CH106" s="3204"/>
      <c r="CI106" s="3204"/>
      <c r="CJ106" s="3204"/>
      <c r="CK106" s="3204"/>
      <c r="CL106" s="3204"/>
      <c r="CM106" s="3204"/>
      <c r="CN106" s="3204"/>
      <c r="CO106" s="3204"/>
      <c r="CP106" s="3204"/>
      <c r="CQ106" s="3204"/>
      <c r="CR106" s="3204"/>
      <c r="CS106" s="3204"/>
      <c r="CT106" s="3204"/>
      <c r="CU106" s="3204"/>
      <c r="CV106" s="3204"/>
      <c r="CW106" s="3204"/>
      <c r="CX106" s="3204"/>
      <c r="CY106" s="3204"/>
      <c r="CZ106" s="3204"/>
      <c r="DA106" s="3204"/>
      <c r="DB106" s="3204"/>
      <c r="DC106" s="3204"/>
      <c r="DD106" s="3204"/>
      <c r="DE106" s="3204"/>
      <c r="DF106" s="3204"/>
      <c r="DG106" s="3204"/>
      <c r="DH106" s="3204"/>
      <c r="DI106" s="3204"/>
      <c r="DJ106" s="3204"/>
      <c r="DK106" s="3204"/>
      <c r="DL106" s="3204"/>
      <c r="DM106" s="3204"/>
      <c r="DN106" s="3204"/>
      <c r="DO106" s="3204"/>
      <c r="DP106" s="3204"/>
      <c r="DQ106" s="3204"/>
      <c r="DR106" s="3204"/>
      <c r="DS106" s="3204"/>
      <c r="DT106" s="3204"/>
      <c r="DU106" s="3204"/>
      <c r="DV106" s="3204"/>
      <c r="DW106" s="3204"/>
      <c r="DX106" s="3204"/>
      <c r="DY106" s="3204"/>
      <c r="DZ106" s="3204"/>
      <c r="EA106" s="3204"/>
      <c r="EB106" s="3204"/>
      <c r="EC106" s="3204"/>
      <c r="ED106" s="3204"/>
      <c r="EE106" s="3204"/>
      <c r="EF106" s="3204"/>
      <c r="EG106" s="3204"/>
      <c r="EH106" s="3204"/>
      <c r="EI106" s="3204"/>
      <c r="EJ106" s="3204"/>
      <c r="EK106" s="3204"/>
      <c r="EL106" s="3204"/>
      <c r="EM106" s="3204"/>
      <c r="EN106" s="3204"/>
      <c r="EO106" s="3204"/>
      <c r="EP106" s="3204"/>
      <c r="EQ106" s="3204"/>
      <c r="ER106" s="3204"/>
      <c r="ES106" s="3204"/>
      <c r="ET106" s="3204"/>
      <c r="EU106" s="3204"/>
      <c r="EV106" s="3204"/>
      <c r="EW106" s="3204"/>
      <c r="EX106" s="3204"/>
      <c r="EY106" s="3204"/>
      <c r="EZ106" s="3204"/>
      <c r="FA106" s="3204"/>
      <c r="FB106" s="3204"/>
      <c r="FC106" s="3204"/>
      <c r="FD106" s="3204"/>
      <c r="FE106" s="3204"/>
      <c r="FF106" s="3204"/>
      <c r="FG106" s="3204"/>
      <c r="FH106" s="3204"/>
      <c r="FI106" s="3204"/>
      <c r="FJ106" s="3204"/>
      <c r="FK106" s="3204"/>
      <c r="FL106" s="3204"/>
      <c r="FM106" s="3204"/>
      <c r="FN106" s="156"/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6"/>
      <c r="GE106" s="156"/>
      <c r="GF106" s="156"/>
      <c r="GG106" s="156"/>
      <c r="GH106" s="156"/>
      <c r="GI106" s="156"/>
      <c r="GJ106" s="156"/>
      <c r="GK106" s="156"/>
    </row>
    <row r="107" spans="2:193" ht="18.75" customHeight="1" x14ac:dyDescent="0.3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3204"/>
      <c r="AP107" s="3204"/>
      <c r="AQ107" s="3204"/>
      <c r="AR107" s="3204"/>
      <c r="AS107" s="3204"/>
      <c r="AT107" s="3204"/>
      <c r="AU107" s="3204"/>
      <c r="AV107" s="3204"/>
      <c r="AW107" s="3204"/>
      <c r="AX107" s="3204"/>
      <c r="AY107" s="3204"/>
      <c r="AZ107" s="3204"/>
      <c r="BA107" s="3204"/>
      <c r="BB107" s="3204"/>
      <c r="BC107" s="3204"/>
      <c r="BD107" s="3204"/>
      <c r="BE107" s="3204"/>
      <c r="BF107" s="3204"/>
      <c r="BG107" s="3204"/>
      <c r="BH107" s="3204"/>
      <c r="BI107" s="3204"/>
      <c r="BJ107" s="3204"/>
      <c r="BK107" s="3204"/>
      <c r="BL107" s="3204"/>
      <c r="BM107" s="3204"/>
      <c r="BN107" s="3204"/>
      <c r="BO107" s="3204"/>
      <c r="BP107" s="3204"/>
      <c r="BQ107" s="3204"/>
      <c r="BR107" s="3204"/>
      <c r="BS107" s="3204"/>
      <c r="BT107" s="3204"/>
      <c r="BU107" s="3204"/>
      <c r="BV107" s="3204"/>
      <c r="BW107" s="3204"/>
      <c r="BX107" s="3204"/>
      <c r="BY107" s="3204"/>
      <c r="BZ107" s="3204"/>
      <c r="CA107" s="3204"/>
      <c r="CB107" s="3204"/>
      <c r="CC107" s="3204"/>
      <c r="CD107" s="3204"/>
      <c r="CE107" s="3204"/>
      <c r="CF107" s="3204"/>
      <c r="CG107" s="3204"/>
      <c r="CH107" s="3204"/>
      <c r="CI107" s="3204"/>
      <c r="CJ107" s="3204"/>
      <c r="CK107" s="3204"/>
      <c r="CL107" s="3204"/>
      <c r="CM107" s="3204"/>
      <c r="CN107" s="3204"/>
      <c r="CO107" s="3204"/>
      <c r="CP107" s="3204"/>
      <c r="CQ107" s="3204"/>
      <c r="CR107" s="3204"/>
      <c r="CS107" s="3204"/>
      <c r="CT107" s="3204"/>
      <c r="CU107" s="3204"/>
      <c r="CV107" s="3204"/>
      <c r="CW107" s="3204"/>
      <c r="CX107" s="3204"/>
      <c r="CY107" s="3204"/>
      <c r="CZ107" s="3204"/>
      <c r="DA107" s="3204"/>
      <c r="DB107" s="3204"/>
      <c r="DC107" s="3204"/>
      <c r="DD107" s="3204"/>
      <c r="DE107" s="3204"/>
      <c r="DF107" s="3204"/>
      <c r="DG107" s="3204"/>
      <c r="DH107" s="3204"/>
      <c r="DI107" s="3204"/>
      <c r="DJ107" s="3204"/>
      <c r="DK107" s="3204"/>
      <c r="DL107" s="3204"/>
      <c r="DM107" s="3204"/>
      <c r="DN107" s="3204"/>
      <c r="DO107" s="3204"/>
      <c r="DP107" s="3204"/>
      <c r="DQ107" s="3204"/>
      <c r="DR107" s="3204"/>
      <c r="DS107" s="3204"/>
      <c r="DT107" s="3204"/>
      <c r="DU107" s="3204"/>
      <c r="DV107" s="3204"/>
      <c r="DW107" s="3204"/>
      <c r="DX107" s="3204"/>
      <c r="DY107" s="3204"/>
      <c r="DZ107" s="3204"/>
      <c r="EA107" s="3204"/>
      <c r="EB107" s="3204"/>
      <c r="EC107" s="3204"/>
      <c r="ED107" s="3204"/>
      <c r="EE107" s="3204"/>
      <c r="EF107" s="3204"/>
      <c r="EG107" s="3204"/>
      <c r="EH107" s="3204"/>
      <c r="EI107" s="3204"/>
      <c r="EJ107" s="3204"/>
      <c r="EK107" s="3204"/>
      <c r="EL107" s="3204"/>
      <c r="EM107" s="3204"/>
      <c r="EN107" s="3204"/>
      <c r="EO107" s="3204"/>
      <c r="EP107" s="3204"/>
      <c r="EQ107" s="3204"/>
      <c r="ER107" s="3204"/>
      <c r="ES107" s="3204"/>
      <c r="ET107" s="3204"/>
      <c r="EU107" s="3204"/>
      <c r="EV107" s="3204"/>
      <c r="EW107" s="3204"/>
      <c r="EX107" s="3204"/>
      <c r="EY107" s="3204"/>
      <c r="EZ107" s="3204"/>
      <c r="FA107" s="3204"/>
      <c r="FB107" s="3204"/>
      <c r="FC107" s="3204"/>
      <c r="FD107" s="3204"/>
      <c r="FE107" s="3204"/>
      <c r="FF107" s="3204"/>
      <c r="FG107" s="3204"/>
      <c r="FH107" s="3204"/>
      <c r="FI107" s="3204"/>
      <c r="FJ107" s="3204"/>
      <c r="FK107" s="3204"/>
      <c r="FL107" s="3204"/>
      <c r="FM107" s="3204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</row>
    <row r="108" spans="2:193" ht="18.75" customHeight="1" x14ac:dyDescent="0.3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3204"/>
      <c r="AP108" s="3204"/>
      <c r="AQ108" s="3204"/>
      <c r="AR108" s="3204"/>
      <c r="AS108" s="3204"/>
      <c r="AT108" s="3204"/>
      <c r="AU108" s="3204"/>
      <c r="AV108" s="3204"/>
      <c r="AW108" s="3204"/>
      <c r="AX108" s="3204"/>
      <c r="AY108" s="3204"/>
      <c r="AZ108" s="3204"/>
      <c r="BA108" s="3204"/>
      <c r="BB108" s="3204"/>
      <c r="BC108" s="3204"/>
      <c r="BD108" s="3204"/>
      <c r="BE108" s="3204"/>
      <c r="BF108" s="3204"/>
      <c r="BG108" s="3204"/>
      <c r="BH108" s="3204"/>
      <c r="BI108" s="3204"/>
      <c r="BJ108" s="3204"/>
      <c r="BK108" s="3204"/>
      <c r="BL108" s="3204"/>
      <c r="BM108" s="3204"/>
      <c r="BN108" s="3204"/>
      <c r="BO108" s="3204"/>
      <c r="BP108" s="3204"/>
      <c r="BQ108" s="3204"/>
      <c r="BR108" s="3204"/>
      <c r="BS108" s="3204"/>
      <c r="BT108" s="3204"/>
      <c r="BU108" s="3204"/>
      <c r="BV108" s="3204"/>
      <c r="BW108" s="3204"/>
      <c r="BX108" s="3204"/>
      <c r="BY108" s="3204"/>
      <c r="BZ108" s="3204"/>
      <c r="CA108" s="3204"/>
      <c r="CB108" s="3204"/>
      <c r="CC108" s="3204"/>
      <c r="CD108" s="3204"/>
      <c r="CE108" s="3204"/>
      <c r="CF108" s="3204"/>
      <c r="CG108" s="3204"/>
      <c r="CH108" s="3204"/>
      <c r="CI108" s="3204"/>
      <c r="CJ108" s="3204"/>
      <c r="CK108" s="3204"/>
      <c r="CL108" s="3204"/>
      <c r="CM108" s="3204"/>
      <c r="CN108" s="3204"/>
      <c r="CO108" s="3204"/>
      <c r="CP108" s="3204"/>
      <c r="CQ108" s="3204"/>
      <c r="CR108" s="3204"/>
      <c r="CS108" s="3204"/>
      <c r="CT108" s="3204"/>
      <c r="CU108" s="3204"/>
      <c r="CV108" s="3204"/>
      <c r="CW108" s="3204"/>
      <c r="CX108" s="3204"/>
      <c r="CY108" s="3204"/>
      <c r="CZ108" s="3204"/>
      <c r="DA108" s="3204"/>
      <c r="DB108" s="3204"/>
      <c r="DC108" s="3204"/>
      <c r="DD108" s="3204"/>
      <c r="DE108" s="3204"/>
      <c r="DF108" s="3204"/>
      <c r="DG108" s="3204"/>
      <c r="DH108" s="3204"/>
      <c r="DI108" s="3204"/>
      <c r="DJ108" s="3204"/>
      <c r="DK108" s="3204"/>
      <c r="DL108" s="3204"/>
      <c r="DM108" s="3204"/>
      <c r="DN108" s="3204"/>
      <c r="DO108" s="3204"/>
      <c r="DP108" s="3204"/>
      <c r="DQ108" s="3204"/>
      <c r="DR108" s="3204"/>
      <c r="DS108" s="3204"/>
      <c r="DT108" s="3204"/>
      <c r="DU108" s="3204"/>
      <c r="DV108" s="3204"/>
      <c r="DW108" s="3204"/>
      <c r="DX108" s="3204"/>
      <c r="DY108" s="3204"/>
      <c r="DZ108" s="3204"/>
      <c r="EA108" s="3204"/>
      <c r="EB108" s="3204"/>
      <c r="EC108" s="3204"/>
      <c r="ED108" s="3204"/>
      <c r="EE108" s="3204"/>
      <c r="EF108" s="3204"/>
      <c r="EG108" s="3204"/>
      <c r="EH108" s="3204"/>
      <c r="EI108" s="3204"/>
      <c r="EJ108" s="3204"/>
      <c r="EK108" s="3204"/>
      <c r="EL108" s="3204"/>
      <c r="EM108" s="3204"/>
      <c r="EN108" s="3204"/>
      <c r="EO108" s="3204"/>
      <c r="EP108" s="3204"/>
      <c r="EQ108" s="3204"/>
      <c r="ER108" s="3204"/>
      <c r="ES108" s="3204"/>
      <c r="ET108" s="3204"/>
      <c r="EU108" s="3204"/>
      <c r="EV108" s="3204"/>
      <c r="EW108" s="3204"/>
      <c r="EX108" s="3204"/>
      <c r="EY108" s="3204"/>
      <c r="EZ108" s="3204"/>
      <c r="FA108" s="3204"/>
      <c r="FB108" s="3204"/>
      <c r="FC108" s="3204"/>
      <c r="FD108" s="3204"/>
      <c r="FE108" s="3204"/>
      <c r="FF108" s="3204"/>
      <c r="FG108" s="3204"/>
      <c r="FH108" s="3204"/>
      <c r="FI108" s="3204"/>
      <c r="FJ108" s="3204"/>
      <c r="FK108" s="3204"/>
      <c r="FL108" s="3204"/>
      <c r="FM108" s="3204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</row>
    <row r="109" spans="2:193" ht="18.75" customHeight="1" x14ac:dyDescent="0.3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3204"/>
      <c r="AP109" s="3204"/>
      <c r="AQ109" s="3204"/>
      <c r="AR109" s="3204"/>
      <c r="AS109" s="3204"/>
      <c r="AT109" s="3204"/>
      <c r="AU109" s="3204"/>
      <c r="AV109" s="3204"/>
      <c r="AW109" s="3204"/>
      <c r="AX109" s="3204"/>
      <c r="AY109" s="3204"/>
      <c r="AZ109" s="3204"/>
      <c r="BA109" s="3204"/>
      <c r="BB109" s="3204"/>
      <c r="BC109" s="3204"/>
      <c r="BD109" s="3204"/>
      <c r="BE109" s="3204"/>
      <c r="BF109" s="3204"/>
      <c r="BG109" s="3204"/>
      <c r="BH109" s="3204"/>
      <c r="BI109" s="3204"/>
      <c r="BJ109" s="3204"/>
      <c r="BK109" s="3204"/>
      <c r="BL109" s="3204"/>
      <c r="BM109" s="3204"/>
      <c r="BN109" s="3204"/>
      <c r="BO109" s="3204"/>
      <c r="BP109" s="3204"/>
      <c r="BQ109" s="3204"/>
      <c r="BR109" s="3204"/>
      <c r="BS109" s="3204"/>
      <c r="BT109" s="3204"/>
      <c r="BU109" s="3204"/>
      <c r="BV109" s="3204"/>
      <c r="BW109" s="3204"/>
      <c r="BX109" s="3204"/>
      <c r="BY109" s="3204"/>
      <c r="BZ109" s="3204"/>
      <c r="CA109" s="3204"/>
      <c r="CB109" s="3204"/>
      <c r="CC109" s="3204"/>
      <c r="CD109" s="3204"/>
      <c r="CE109" s="3204"/>
      <c r="CF109" s="3204"/>
      <c r="CG109" s="3204"/>
      <c r="CH109" s="3204"/>
      <c r="CI109" s="3204"/>
      <c r="CJ109" s="3204"/>
      <c r="CK109" s="3204"/>
      <c r="CL109" s="3204"/>
      <c r="CM109" s="3204"/>
      <c r="CN109" s="3204"/>
      <c r="CO109" s="3204"/>
      <c r="CP109" s="3204"/>
      <c r="CQ109" s="3204"/>
      <c r="CR109" s="3204"/>
      <c r="CS109" s="3204"/>
      <c r="CT109" s="3204"/>
      <c r="CU109" s="3204"/>
      <c r="CV109" s="3204"/>
      <c r="CW109" s="3204"/>
      <c r="CX109" s="3204"/>
      <c r="CY109" s="3204"/>
      <c r="CZ109" s="3204"/>
      <c r="DA109" s="3204"/>
      <c r="DB109" s="3204"/>
      <c r="DC109" s="3204"/>
      <c r="DD109" s="3204"/>
      <c r="DE109" s="3204"/>
      <c r="DF109" s="3204"/>
      <c r="DG109" s="3204"/>
      <c r="DH109" s="3204"/>
      <c r="DI109" s="3204"/>
      <c r="DJ109" s="3204"/>
      <c r="DK109" s="3204"/>
      <c r="DL109" s="3204"/>
      <c r="DM109" s="3204"/>
      <c r="DN109" s="3204"/>
      <c r="DO109" s="3204"/>
      <c r="DP109" s="3204"/>
      <c r="DQ109" s="3204"/>
      <c r="DR109" s="3204"/>
      <c r="DS109" s="3204"/>
      <c r="DT109" s="3204"/>
      <c r="DU109" s="3204"/>
      <c r="DV109" s="3204"/>
      <c r="DW109" s="3204"/>
      <c r="DX109" s="3204"/>
      <c r="DY109" s="3204"/>
      <c r="DZ109" s="3204"/>
      <c r="EA109" s="3204"/>
      <c r="EB109" s="3204"/>
      <c r="EC109" s="3204"/>
      <c r="ED109" s="3204"/>
      <c r="EE109" s="3204"/>
      <c r="EF109" s="3204"/>
      <c r="EG109" s="3204"/>
      <c r="EH109" s="3204"/>
      <c r="EI109" s="3204"/>
      <c r="EJ109" s="3204"/>
      <c r="EK109" s="3204"/>
      <c r="EL109" s="3204"/>
      <c r="EM109" s="3204"/>
      <c r="EN109" s="3204"/>
      <c r="EO109" s="3204"/>
      <c r="EP109" s="3204"/>
      <c r="EQ109" s="3204"/>
      <c r="ER109" s="3204"/>
      <c r="ES109" s="3204"/>
      <c r="ET109" s="3204"/>
      <c r="EU109" s="3204"/>
      <c r="EV109" s="3204"/>
      <c r="EW109" s="3204"/>
      <c r="EX109" s="3204"/>
      <c r="EY109" s="3204"/>
      <c r="EZ109" s="3204"/>
      <c r="FA109" s="3204"/>
      <c r="FB109" s="3204"/>
      <c r="FC109" s="3204"/>
      <c r="FD109" s="3204"/>
      <c r="FE109" s="3204"/>
      <c r="FF109" s="3204"/>
      <c r="FG109" s="3204"/>
      <c r="FH109" s="3204"/>
      <c r="FI109" s="3204"/>
      <c r="FJ109" s="3204"/>
      <c r="FK109" s="3204"/>
      <c r="FL109" s="3204"/>
      <c r="FM109" s="3204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6"/>
      <c r="GE109" s="156"/>
      <c r="GF109" s="156"/>
      <c r="GG109" s="156"/>
      <c r="GH109" s="156"/>
      <c r="GI109" s="156"/>
      <c r="GJ109" s="156"/>
      <c r="GK109" s="156"/>
    </row>
    <row r="110" spans="2:193" ht="18.75" customHeight="1" x14ac:dyDescent="0.3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3204"/>
      <c r="AP110" s="3204"/>
      <c r="AQ110" s="3204"/>
      <c r="AR110" s="3204"/>
      <c r="AS110" s="3204"/>
      <c r="AT110" s="3204"/>
      <c r="AU110" s="3204"/>
      <c r="AV110" s="3204"/>
      <c r="AW110" s="3204"/>
      <c r="AX110" s="3204"/>
      <c r="AY110" s="3204"/>
      <c r="AZ110" s="3204"/>
      <c r="BA110" s="3204"/>
      <c r="BB110" s="3204"/>
      <c r="BC110" s="3204"/>
      <c r="BD110" s="3204"/>
      <c r="BE110" s="3204"/>
      <c r="BF110" s="3204"/>
      <c r="BG110" s="3204"/>
      <c r="BH110" s="3204"/>
      <c r="BI110" s="3204"/>
      <c r="BJ110" s="3204"/>
      <c r="BK110" s="3204"/>
      <c r="BL110" s="3204"/>
      <c r="BM110" s="3204"/>
      <c r="BN110" s="3204"/>
      <c r="BO110" s="3204"/>
      <c r="BP110" s="3204"/>
      <c r="BQ110" s="3204"/>
      <c r="BR110" s="3204"/>
      <c r="BS110" s="3204"/>
      <c r="BT110" s="3204"/>
      <c r="BU110" s="3204"/>
      <c r="BV110" s="3204"/>
      <c r="BW110" s="3204"/>
      <c r="BX110" s="3204"/>
      <c r="BY110" s="3204"/>
      <c r="BZ110" s="3204"/>
      <c r="CA110" s="3204"/>
      <c r="CB110" s="3204"/>
      <c r="CC110" s="3204"/>
      <c r="CD110" s="3204"/>
      <c r="CE110" s="3204"/>
      <c r="CF110" s="3204"/>
      <c r="CG110" s="3204"/>
      <c r="CH110" s="3204"/>
      <c r="CI110" s="3204"/>
      <c r="CJ110" s="3204"/>
      <c r="CK110" s="3204"/>
      <c r="CL110" s="3204"/>
      <c r="CM110" s="3204"/>
      <c r="CN110" s="3204"/>
      <c r="CO110" s="3204"/>
      <c r="CP110" s="3204"/>
      <c r="CQ110" s="3204"/>
      <c r="CR110" s="3204"/>
      <c r="CS110" s="3204"/>
      <c r="CT110" s="3204"/>
      <c r="CU110" s="3204"/>
      <c r="CV110" s="3204"/>
      <c r="CW110" s="3204"/>
      <c r="CX110" s="3204"/>
      <c r="CY110" s="3204"/>
      <c r="CZ110" s="3204"/>
      <c r="DA110" s="3204"/>
      <c r="DB110" s="3204"/>
      <c r="DC110" s="3204"/>
      <c r="DD110" s="3204"/>
      <c r="DE110" s="3204"/>
      <c r="DF110" s="3204"/>
      <c r="DG110" s="3204"/>
      <c r="DH110" s="3204"/>
      <c r="DI110" s="3204"/>
      <c r="DJ110" s="3204"/>
      <c r="DK110" s="3204"/>
      <c r="DL110" s="3204"/>
      <c r="DM110" s="3204"/>
      <c r="DN110" s="3204"/>
      <c r="DO110" s="3204"/>
      <c r="DP110" s="3204"/>
      <c r="DQ110" s="3204"/>
      <c r="DR110" s="3204"/>
      <c r="DS110" s="3204"/>
      <c r="DT110" s="3204"/>
      <c r="DU110" s="3204"/>
      <c r="DV110" s="3204"/>
      <c r="DW110" s="3204"/>
      <c r="DX110" s="3204"/>
      <c r="DY110" s="3204"/>
      <c r="DZ110" s="3204"/>
      <c r="EA110" s="3204"/>
      <c r="EB110" s="3204"/>
      <c r="EC110" s="3204"/>
      <c r="ED110" s="3204"/>
      <c r="EE110" s="3204"/>
      <c r="EF110" s="3204"/>
      <c r="EG110" s="3204"/>
      <c r="EH110" s="3204"/>
      <c r="EI110" s="3204"/>
      <c r="EJ110" s="3204"/>
      <c r="EK110" s="3204"/>
      <c r="EL110" s="3204"/>
      <c r="EM110" s="3204"/>
      <c r="EN110" s="3204"/>
      <c r="EO110" s="3204"/>
      <c r="EP110" s="3204"/>
      <c r="EQ110" s="3204"/>
      <c r="ER110" s="3204"/>
      <c r="ES110" s="3204"/>
      <c r="ET110" s="3204"/>
      <c r="EU110" s="3204"/>
      <c r="EV110" s="3204"/>
      <c r="EW110" s="3204"/>
      <c r="EX110" s="3204"/>
      <c r="EY110" s="3204"/>
      <c r="EZ110" s="3204"/>
      <c r="FA110" s="3204"/>
      <c r="FB110" s="3204"/>
      <c r="FC110" s="3204"/>
      <c r="FD110" s="3204"/>
      <c r="FE110" s="3204"/>
      <c r="FF110" s="3204"/>
      <c r="FG110" s="3204"/>
      <c r="FH110" s="3204"/>
      <c r="FI110" s="3204"/>
      <c r="FJ110" s="3204"/>
      <c r="FK110" s="3204"/>
      <c r="FL110" s="3204"/>
      <c r="FM110" s="3204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6"/>
      <c r="GE110" s="156"/>
      <c r="GF110" s="156"/>
      <c r="GG110" s="156"/>
      <c r="GH110" s="156"/>
      <c r="GI110" s="156"/>
      <c r="GJ110" s="156"/>
      <c r="GK110" s="156"/>
    </row>
    <row r="111" spans="2:193" ht="18.75" customHeight="1" x14ac:dyDescent="0.3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3204"/>
      <c r="AP111" s="3204"/>
      <c r="AQ111" s="3204"/>
      <c r="AR111" s="3204"/>
      <c r="AS111" s="3204"/>
      <c r="AT111" s="3204"/>
      <c r="AU111" s="3204"/>
      <c r="AV111" s="3204"/>
      <c r="AW111" s="3204"/>
      <c r="AX111" s="3204"/>
      <c r="AY111" s="3204"/>
      <c r="AZ111" s="3204"/>
      <c r="BA111" s="3204"/>
      <c r="BB111" s="3204"/>
      <c r="BC111" s="3204"/>
      <c r="BD111" s="3204"/>
      <c r="BE111" s="3204"/>
      <c r="BF111" s="3204"/>
      <c r="BG111" s="3204"/>
      <c r="BH111" s="3204"/>
      <c r="BI111" s="3204"/>
      <c r="BJ111" s="3204"/>
      <c r="BK111" s="3204"/>
      <c r="BL111" s="3204"/>
      <c r="BM111" s="3204"/>
      <c r="BN111" s="3204"/>
      <c r="BO111" s="3204"/>
      <c r="BP111" s="3204"/>
      <c r="BQ111" s="3204"/>
      <c r="BR111" s="3204"/>
      <c r="BS111" s="3204"/>
      <c r="BT111" s="3204"/>
      <c r="BU111" s="3204"/>
      <c r="BV111" s="3204"/>
      <c r="BW111" s="3204"/>
      <c r="BX111" s="3204"/>
      <c r="BY111" s="3204"/>
      <c r="BZ111" s="3204"/>
      <c r="CA111" s="3204"/>
      <c r="CB111" s="3204"/>
      <c r="CC111" s="3204"/>
      <c r="CD111" s="3204"/>
      <c r="CE111" s="3204"/>
      <c r="CF111" s="3204"/>
      <c r="CG111" s="3204"/>
      <c r="CH111" s="3204"/>
      <c r="CI111" s="3204"/>
      <c r="CJ111" s="3204"/>
      <c r="CK111" s="3204"/>
      <c r="CL111" s="3204"/>
      <c r="CM111" s="3204"/>
      <c r="CN111" s="3204"/>
      <c r="CO111" s="3204"/>
      <c r="CP111" s="3204"/>
      <c r="CQ111" s="3204"/>
      <c r="CR111" s="3204"/>
      <c r="CS111" s="3204"/>
      <c r="CT111" s="3204"/>
      <c r="CU111" s="3204"/>
      <c r="CV111" s="3204"/>
      <c r="CW111" s="3204"/>
      <c r="CX111" s="3204"/>
      <c r="CY111" s="3204"/>
      <c r="CZ111" s="3204"/>
      <c r="DA111" s="3204"/>
      <c r="DB111" s="3204"/>
      <c r="DC111" s="3204"/>
      <c r="DD111" s="3204"/>
      <c r="DE111" s="3204"/>
      <c r="DF111" s="3204"/>
      <c r="DG111" s="3204"/>
      <c r="DH111" s="3204"/>
      <c r="DI111" s="3204"/>
      <c r="DJ111" s="3204"/>
      <c r="DK111" s="3204"/>
      <c r="DL111" s="3204"/>
      <c r="DM111" s="3204"/>
      <c r="DN111" s="3204"/>
      <c r="DO111" s="3204"/>
      <c r="DP111" s="3204"/>
      <c r="DQ111" s="3204"/>
      <c r="DR111" s="3204"/>
      <c r="DS111" s="3204"/>
      <c r="DT111" s="3204"/>
      <c r="DU111" s="3204"/>
      <c r="DV111" s="3204"/>
      <c r="DW111" s="3204"/>
      <c r="DX111" s="3204"/>
      <c r="DY111" s="3204"/>
      <c r="DZ111" s="3204"/>
      <c r="EA111" s="3204"/>
      <c r="EB111" s="3204"/>
      <c r="EC111" s="3204"/>
      <c r="ED111" s="3204"/>
      <c r="EE111" s="3204"/>
      <c r="EF111" s="3204"/>
      <c r="EG111" s="3204"/>
      <c r="EH111" s="3204"/>
      <c r="EI111" s="3204"/>
      <c r="EJ111" s="3204"/>
      <c r="EK111" s="3204"/>
      <c r="EL111" s="3204"/>
      <c r="EM111" s="3204"/>
      <c r="EN111" s="3204"/>
      <c r="EO111" s="3204"/>
      <c r="EP111" s="3204"/>
      <c r="EQ111" s="3204"/>
      <c r="ER111" s="3204"/>
      <c r="ES111" s="3204"/>
      <c r="ET111" s="3204"/>
      <c r="EU111" s="3204"/>
      <c r="EV111" s="3204"/>
      <c r="EW111" s="3204"/>
      <c r="EX111" s="3204"/>
      <c r="EY111" s="3204"/>
      <c r="EZ111" s="3204"/>
      <c r="FA111" s="3204"/>
      <c r="FB111" s="3204"/>
      <c r="FC111" s="3204"/>
      <c r="FD111" s="3204"/>
      <c r="FE111" s="3204"/>
      <c r="FF111" s="3204"/>
      <c r="FG111" s="3204"/>
      <c r="FH111" s="3204"/>
      <c r="FI111" s="3204"/>
      <c r="FJ111" s="3204"/>
      <c r="FK111" s="3204"/>
      <c r="FL111" s="3204"/>
      <c r="FM111" s="3204"/>
      <c r="FN111" s="156"/>
      <c r="FO111" s="156"/>
      <c r="FP111" s="156"/>
      <c r="FQ111" s="156"/>
      <c r="FR111" s="156"/>
      <c r="FS111" s="156"/>
      <c r="FT111" s="156"/>
      <c r="FU111" s="156"/>
      <c r="FV111" s="156"/>
      <c r="FW111" s="156"/>
      <c r="FX111" s="156"/>
      <c r="FY111" s="156"/>
      <c r="FZ111" s="156"/>
      <c r="GA111" s="156"/>
      <c r="GB111" s="156"/>
      <c r="GC111" s="156"/>
      <c r="GD111" s="156"/>
      <c r="GE111" s="156"/>
      <c r="GF111" s="156"/>
      <c r="GG111" s="156"/>
      <c r="GH111" s="156"/>
      <c r="GI111" s="156"/>
      <c r="GJ111" s="156"/>
      <c r="GK111" s="156"/>
    </row>
    <row r="112" spans="2:193" ht="18.75" customHeight="1" x14ac:dyDescent="0.3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3204"/>
      <c r="AP112" s="3204"/>
      <c r="AQ112" s="3204"/>
      <c r="AR112" s="3204"/>
      <c r="AS112" s="3204"/>
      <c r="AT112" s="3204"/>
      <c r="AU112" s="3204"/>
      <c r="AV112" s="3204"/>
      <c r="AW112" s="3204"/>
      <c r="AX112" s="3204"/>
      <c r="AY112" s="3204"/>
      <c r="AZ112" s="3204"/>
      <c r="BA112" s="3204"/>
      <c r="BB112" s="3204"/>
      <c r="BC112" s="3204"/>
      <c r="BD112" s="3204"/>
      <c r="BE112" s="3204"/>
      <c r="BF112" s="3204"/>
      <c r="BG112" s="3204"/>
      <c r="BH112" s="3204"/>
      <c r="BI112" s="3204"/>
      <c r="BJ112" s="3204"/>
      <c r="BK112" s="3204"/>
      <c r="BL112" s="3204"/>
      <c r="BM112" s="3204"/>
      <c r="BN112" s="3204"/>
      <c r="BO112" s="3204"/>
      <c r="BP112" s="3204"/>
      <c r="BQ112" s="3204"/>
      <c r="BR112" s="3204"/>
      <c r="BS112" s="3204"/>
      <c r="BT112" s="3204"/>
      <c r="BU112" s="3204"/>
      <c r="BV112" s="3204"/>
      <c r="BW112" s="3204"/>
      <c r="BX112" s="3204"/>
      <c r="BY112" s="3204"/>
      <c r="BZ112" s="3204"/>
      <c r="CA112" s="3204"/>
      <c r="CB112" s="3204"/>
      <c r="CC112" s="3204"/>
      <c r="CD112" s="3204"/>
      <c r="CE112" s="3204"/>
      <c r="CF112" s="3204"/>
      <c r="CG112" s="3204"/>
      <c r="CH112" s="3204"/>
      <c r="CI112" s="3204"/>
      <c r="CJ112" s="3204"/>
      <c r="CK112" s="3204"/>
      <c r="CL112" s="3204"/>
      <c r="CM112" s="3204"/>
      <c r="CN112" s="3204"/>
      <c r="CO112" s="3204"/>
      <c r="CP112" s="3204"/>
      <c r="CQ112" s="3204"/>
      <c r="CR112" s="3204"/>
      <c r="CS112" s="3204"/>
      <c r="CT112" s="3204"/>
      <c r="CU112" s="3204"/>
      <c r="CV112" s="3204"/>
      <c r="CW112" s="3204"/>
      <c r="CX112" s="3204"/>
      <c r="CY112" s="3204"/>
      <c r="CZ112" s="3204"/>
      <c r="DA112" s="3204"/>
      <c r="DB112" s="3204"/>
      <c r="DC112" s="3204"/>
      <c r="DD112" s="3204"/>
      <c r="DE112" s="3204"/>
      <c r="DF112" s="3204"/>
      <c r="DG112" s="3204"/>
      <c r="DH112" s="3204"/>
      <c r="DI112" s="3204"/>
      <c r="DJ112" s="3204"/>
      <c r="DK112" s="3204"/>
      <c r="DL112" s="3204"/>
      <c r="DM112" s="3204"/>
      <c r="DN112" s="3204"/>
      <c r="DO112" s="3204"/>
      <c r="DP112" s="3204"/>
      <c r="DQ112" s="3204"/>
      <c r="DR112" s="3204"/>
      <c r="DS112" s="3204"/>
      <c r="DT112" s="3204"/>
      <c r="DU112" s="3204"/>
      <c r="DV112" s="3204"/>
      <c r="DW112" s="3204"/>
      <c r="DX112" s="3204"/>
      <c r="DY112" s="3204"/>
      <c r="DZ112" s="3204"/>
      <c r="EA112" s="3204"/>
      <c r="EB112" s="3204"/>
      <c r="EC112" s="3204"/>
      <c r="ED112" s="3204"/>
      <c r="EE112" s="3204"/>
      <c r="EF112" s="3204"/>
      <c r="EG112" s="3204"/>
      <c r="EH112" s="3204"/>
      <c r="EI112" s="3204"/>
      <c r="EJ112" s="3204"/>
      <c r="EK112" s="3204"/>
      <c r="EL112" s="3204"/>
      <c r="EM112" s="3204"/>
      <c r="EN112" s="3204"/>
      <c r="EO112" s="3204"/>
      <c r="EP112" s="3204"/>
      <c r="EQ112" s="3204"/>
      <c r="ER112" s="3204"/>
      <c r="ES112" s="3204"/>
      <c r="ET112" s="3204"/>
      <c r="EU112" s="3204"/>
      <c r="EV112" s="3204"/>
      <c r="EW112" s="3204"/>
      <c r="EX112" s="3204"/>
      <c r="EY112" s="3204"/>
      <c r="EZ112" s="3204"/>
      <c r="FA112" s="3204"/>
      <c r="FB112" s="3204"/>
      <c r="FC112" s="3204"/>
      <c r="FD112" s="3204"/>
      <c r="FE112" s="3204"/>
      <c r="FF112" s="3204"/>
      <c r="FG112" s="3204"/>
      <c r="FH112" s="3204"/>
      <c r="FI112" s="3204"/>
      <c r="FJ112" s="3204"/>
      <c r="FK112" s="3204"/>
      <c r="FL112" s="3204"/>
      <c r="FM112" s="3204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</row>
    <row r="113" spans="2:193" ht="18.75" customHeight="1" x14ac:dyDescent="0.3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3204"/>
      <c r="AP113" s="3204"/>
      <c r="AQ113" s="3204"/>
      <c r="AR113" s="3204"/>
      <c r="AS113" s="3204"/>
      <c r="AT113" s="3204"/>
      <c r="AU113" s="3204"/>
      <c r="AV113" s="3204"/>
      <c r="AW113" s="3204"/>
      <c r="AX113" s="3204"/>
      <c r="AY113" s="3204"/>
      <c r="AZ113" s="3204"/>
      <c r="BA113" s="3204"/>
      <c r="BB113" s="3204"/>
      <c r="BC113" s="3204"/>
      <c r="BD113" s="3204"/>
      <c r="BE113" s="3204"/>
      <c r="BF113" s="3204"/>
      <c r="BG113" s="3204"/>
      <c r="BH113" s="3204"/>
      <c r="BI113" s="3204"/>
      <c r="BJ113" s="3204"/>
      <c r="BK113" s="3204"/>
      <c r="BL113" s="3204"/>
      <c r="BM113" s="3204"/>
      <c r="BN113" s="3204"/>
      <c r="BO113" s="3204"/>
      <c r="BP113" s="3204"/>
      <c r="BQ113" s="3204"/>
      <c r="BR113" s="3204"/>
      <c r="BS113" s="3204"/>
      <c r="BT113" s="3204"/>
      <c r="BU113" s="3204"/>
      <c r="BV113" s="3204"/>
      <c r="BW113" s="3204"/>
      <c r="BX113" s="3204"/>
      <c r="BY113" s="3204"/>
      <c r="BZ113" s="3204"/>
      <c r="CA113" s="3204"/>
      <c r="CB113" s="3204"/>
      <c r="CC113" s="3204"/>
      <c r="CD113" s="3204"/>
      <c r="CE113" s="3204"/>
      <c r="CF113" s="3204"/>
      <c r="CG113" s="3204"/>
      <c r="CH113" s="3204"/>
      <c r="CI113" s="3204"/>
      <c r="CJ113" s="3204"/>
      <c r="CK113" s="3204"/>
      <c r="CL113" s="3204"/>
      <c r="CM113" s="3204"/>
      <c r="CN113" s="3204"/>
      <c r="CO113" s="3204"/>
      <c r="CP113" s="3204"/>
      <c r="CQ113" s="3204"/>
      <c r="CR113" s="3204"/>
      <c r="CS113" s="3204"/>
      <c r="CT113" s="3204"/>
      <c r="CU113" s="3204"/>
      <c r="CV113" s="3204"/>
      <c r="CW113" s="3204"/>
      <c r="CX113" s="3204"/>
      <c r="CY113" s="3204"/>
      <c r="CZ113" s="3204"/>
      <c r="DA113" s="3204"/>
      <c r="DB113" s="3204"/>
      <c r="DC113" s="3204"/>
      <c r="DD113" s="3204"/>
      <c r="DE113" s="3204"/>
      <c r="DF113" s="3204"/>
      <c r="DG113" s="3204"/>
      <c r="DH113" s="3204"/>
      <c r="DI113" s="3204"/>
      <c r="DJ113" s="3204"/>
      <c r="DK113" s="3204"/>
      <c r="DL113" s="3204"/>
      <c r="DM113" s="3204"/>
      <c r="DN113" s="3204"/>
      <c r="DO113" s="3204"/>
      <c r="DP113" s="3204"/>
      <c r="DQ113" s="3204"/>
      <c r="DR113" s="3204"/>
      <c r="DS113" s="3204"/>
      <c r="DT113" s="3204"/>
      <c r="DU113" s="3204"/>
      <c r="DV113" s="3204"/>
      <c r="DW113" s="3204"/>
      <c r="DX113" s="3204"/>
      <c r="DY113" s="3204"/>
      <c r="DZ113" s="3204"/>
      <c r="EA113" s="3204"/>
      <c r="EB113" s="3204"/>
      <c r="EC113" s="3204"/>
      <c r="ED113" s="3204"/>
      <c r="EE113" s="3204"/>
      <c r="EF113" s="3204"/>
      <c r="EG113" s="3204"/>
      <c r="EH113" s="3204"/>
      <c r="EI113" s="3204"/>
      <c r="EJ113" s="3204"/>
      <c r="EK113" s="3204"/>
      <c r="EL113" s="3204"/>
      <c r="EM113" s="3204"/>
      <c r="EN113" s="3204"/>
      <c r="EO113" s="3204"/>
      <c r="EP113" s="3204"/>
      <c r="EQ113" s="3204"/>
      <c r="ER113" s="3204"/>
      <c r="ES113" s="3204"/>
      <c r="ET113" s="3204"/>
      <c r="EU113" s="3204"/>
      <c r="EV113" s="3204"/>
      <c r="EW113" s="3204"/>
      <c r="EX113" s="3204"/>
      <c r="EY113" s="3204"/>
      <c r="EZ113" s="3204"/>
      <c r="FA113" s="3204"/>
      <c r="FB113" s="3204"/>
      <c r="FC113" s="3204"/>
      <c r="FD113" s="3204"/>
      <c r="FE113" s="3204"/>
      <c r="FF113" s="3204"/>
      <c r="FG113" s="3204"/>
      <c r="FH113" s="3204"/>
      <c r="FI113" s="3204"/>
      <c r="FJ113" s="3204"/>
      <c r="FK113" s="3204"/>
      <c r="FL113" s="3204"/>
      <c r="FM113" s="3204"/>
      <c r="FN113" s="156"/>
      <c r="FO113" s="156"/>
      <c r="FP113" s="156"/>
      <c r="FQ113" s="156"/>
      <c r="FR113" s="156"/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6"/>
      <c r="GE113" s="156"/>
      <c r="GF113" s="156"/>
      <c r="GG113" s="156"/>
      <c r="GH113" s="156"/>
      <c r="GI113" s="156"/>
      <c r="GJ113" s="156"/>
      <c r="GK113" s="156"/>
    </row>
    <row r="114" spans="2:193" ht="18.75" customHeight="1" x14ac:dyDescent="0.3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3204"/>
      <c r="AP114" s="3204"/>
      <c r="AQ114" s="3204"/>
      <c r="AR114" s="3204"/>
      <c r="AS114" s="3204"/>
      <c r="AT114" s="3204"/>
      <c r="AU114" s="3204"/>
      <c r="AV114" s="3204"/>
      <c r="AW114" s="3204"/>
      <c r="AX114" s="3204"/>
      <c r="AY114" s="3204"/>
      <c r="AZ114" s="3204"/>
      <c r="BA114" s="3204"/>
      <c r="BB114" s="3204"/>
      <c r="BC114" s="3204"/>
      <c r="BD114" s="3204"/>
      <c r="BE114" s="3204"/>
      <c r="BF114" s="3204"/>
      <c r="BG114" s="3204"/>
      <c r="BH114" s="3204"/>
      <c r="BI114" s="3204"/>
      <c r="BJ114" s="3204"/>
      <c r="BK114" s="3204"/>
      <c r="BL114" s="3204"/>
      <c r="BM114" s="3204"/>
      <c r="BN114" s="3204"/>
      <c r="BO114" s="3204"/>
      <c r="BP114" s="3204"/>
      <c r="BQ114" s="3204"/>
      <c r="BR114" s="3204"/>
      <c r="BS114" s="3204"/>
      <c r="BT114" s="3204"/>
      <c r="BU114" s="3204"/>
      <c r="BV114" s="3204"/>
      <c r="BW114" s="3204"/>
      <c r="BX114" s="3204"/>
      <c r="BY114" s="3204"/>
      <c r="BZ114" s="3204"/>
      <c r="CA114" s="3204"/>
      <c r="CB114" s="3204"/>
      <c r="CC114" s="3204"/>
      <c r="CD114" s="3204"/>
      <c r="CE114" s="3204"/>
      <c r="CF114" s="3204"/>
      <c r="CG114" s="3204"/>
      <c r="CH114" s="3204"/>
      <c r="CI114" s="3204"/>
      <c r="CJ114" s="3204"/>
      <c r="CK114" s="3204"/>
      <c r="CL114" s="3204"/>
      <c r="CM114" s="3204"/>
      <c r="CN114" s="3204"/>
      <c r="CO114" s="3204"/>
      <c r="CP114" s="3204"/>
      <c r="CQ114" s="3204"/>
      <c r="CR114" s="3204"/>
      <c r="CS114" s="3204"/>
      <c r="CT114" s="3204"/>
      <c r="CU114" s="3204"/>
      <c r="CV114" s="3204"/>
      <c r="CW114" s="3204"/>
      <c r="CX114" s="3204"/>
      <c r="CY114" s="3204"/>
      <c r="CZ114" s="3204"/>
      <c r="DA114" s="3204"/>
      <c r="DB114" s="3204"/>
      <c r="DC114" s="3204"/>
      <c r="DD114" s="3204"/>
      <c r="DE114" s="3204"/>
      <c r="DF114" s="3204"/>
      <c r="DG114" s="3204"/>
      <c r="DH114" s="3204"/>
      <c r="DI114" s="3204"/>
      <c r="DJ114" s="3204"/>
      <c r="DK114" s="3204"/>
      <c r="DL114" s="3204"/>
      <c r="DM114" s="3204"/>
      <c r="DN114" s="3204"/>
      <c r="DO114" s="3204"/>
      <c r="DP114" s="3204"/>
      <c r="DQ114" s="3204"/>
      <c r="DR114" s="3204"/>
      <c r="DS114" s="3204"/>
      <c r="DT114" s="3204"/>
      <c r="DU114" s="3204"/>
      <c r="DV114" s="3204"/>
      <c r="DW114" s="3204"/>
      <c r="DX114" s="3204"/>
      <c r="DY114" s="3204"/>
      <c r="DZ114" s="3204"/>
      <c r="EA114" s="3204"/>
      <c r="EB114" s="3204"/>
      <c r="EC114" s="3204"/>
      <c r="ED114" s="3204"/>
      <c r="EE114" s="3204"/>
      <c r="EF114" s="3204"/>
      <c r="EG114" s="3204"/>
      <c r="EH114" s="3204"/>
      <c r="EI114" s="3204"/>
      <c r="EJ114" s="3204"/>
      <c r="EK114" s="3204"/>
      <c r="EL114" s="3204"/>
      <c r="EM114" s="3204"/>
      <c r="EN114" s="3204"/>
      <c r="EO114" s="3204"/>
      <c r="EP114" s="3204"/>
      <c r="EQ114" s="3204"/>
      <c r="ER114" s="3204"/>
      <c r="ES114" s="3204"/>
      <c r="ET114" s="3204"/>
      <c r="EU114" s="3204"/>
      <c r="EV114" s="3204"/>
      <c r="EW114" s="3204"/>
      <c r="EX114" s="3204"/>
      <c r="EY114" s="3204"/>
      <c r="EZ114" s="3204"/>
      <c r="FA114" s="3204"/>
      <c r="FB114" s="3204"/>
      <c r="FC114" s="3204"/>
      <c r="FD114" s="3204"/>
      <c r="FE114" s="3204"/>
      <c r="FF114" s="3204"/>
      <c r="FG114" s="3204"/>
      <c r="FH114" s="3204"/>
      <c r="FI114" s="3204"/>
      <c r="FJ114" s="3204"/>
      <c r="FK114" s="3204"/>
      <c r="FL114" s="3204"/>
      <c r="FM114" s="3204"/>
      <c r="FN114" s="156"/>
      <c r="FO114" s="156"/>
      <c r="FP114" s="156"/>
      <c r="FQ114" s="156"/>
      <c r="FR114" s="156"/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6"/>
      <c r="GE114" s="156"/>
      <c r="GF114" s="156"/>
      <c r="GG114" s="156"/>
      <c r="GH114" s="156"/>
      <c r="GI114" s="156"/>
      <c r="GJ114" s="156"/>
      <c r="GK114" s="156"/>
    </row>
    <row r="115" spans="2:193" ht="18.75" customHeight="1" x14ac:dyDescent="0.3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3204"/>
      <c r="AP115" s="3204"/>
      <c r="AQ115" s="3204"/>
      <c r="AR115" s="3204"/>
      <c r="AS115" s="3204"/>
      <c r="AT115" s="3204"/>
      <c r="AU115" s="3204"/>
      <c r="AV115" s="3204"/>
      <c r="AW115" s="3204"/>
      <c r="AX115" s="3204"/>
      <c r="AY115" s="3204"/>
      <c r="AZ115" s="3204"/>
      <c r="BA115" s="3204"/>
      <c r="BB115" s="3204"/>
      <c r="BC115" s="3204"/>
      <c r="BD115" s="3204"/>
      <c r="BE115" s="3204"/>
      <c r="BF115" s="3204"/>
      <c r="BG115" s="3204"/>
      <c r="BH115" s="3204"/>
      <c r="BI115" s="3204"/>
      <c r="BJ115" s="3204"/>
      <c r="BK115" s="3204"/>
      <c r="BL115" s="3204"/>
      <c r="BM115" s="3204"/>
      <c r="BN115" s="3204"/>
      <c r="BO115" s="3204"/>
      <c r="BP115" s="3204"/>
      <c r="BQ115" s="3204"/>
      <c r="BR115" s="3204"/>
      <c r="BS115" s="3204"/>
      <c r="BT115" s="3204"/>
      <c r="BU115" s="3204"/>
      <c r="BV115" s="3204"/>
      <c r="BW115" s="3204"/>
      <c r="BX115" s="3204"/>
      <c r="BY115" s="3204"/>
      <c r="BZ115" s="3204"/>
      <c r="CA115" s="3204"/>
      <c r="CB115" s="3204"/>
      <c r="CC115" s="3204"/>
      <c r="CD115" s="3204"/>
      <c r="CE115" s="3204"/>
      <c r="CF115" s="3204"/>
      <c r="CG115" s="3204"/>
      <c r="CH115" s="3204"/>
      <c r="CI115" s="3204"/>
      <c r="CJ115" s="3204"/>
      <c r="CK115" s="3204"/>
      <c r="CL115" s="3204"/>
      <c r="CM115" s="3204"/>
      <c r="CN115" s="3204"/>
      <c r="CO115" s="3204"/>
      <c r="CP115" s="3204"/>
      <c r="CQ115" s="3204"/>
      <c r="CR115" s="3204"/>
      <c r="CS115" s="3204"/>
      <c r="CT115" s="3204"/>
      <c r="CU115" s="3204"/>
      <c r="CV115" s="3204"/>
      <c r="CW115" s="3204"/>
      <c r="CX115" s="3204"/>
      <c r="CY115" s="3204"/>
      <c r="CZ115" s="3204"/>
      <c r="DA115" s="3204"/>
      <c r="DB115" s="3204"/>
      <c r="DC115" s="3204"/>
      <c r="DD115" s="3204"/>
      <c r="DE115" s="3204"/>
      <c r="DF115" s="3204"/>
      <c r="DG115" s="3204"/>
      <c r="DH115" s="3204"/>
      <c r="DI115" s="3204"/>
      <c r="DJ115" s="3204"/>
      <c r="DK115" s="3204"/>
      <c r="DL115" s="3204"/>
      <c r="DM115" s="3204"/>
      <c r="DN115" s="3204"/>
      <c r="DO115" s="3204"/>
      <c r="DP115" s="3204"/>
      <c r="DQ115" s="3204"/>
      <c r="DR115" s="3204"/>
      <c r="DS115" s="3204"/>
      <c r="DT115" s="3204"/>
      <c r="DU115" s="3204"/>
      <c r="DV115" s="3204"/>
      <c r="DW115" s="3204"/>
      <c r="DX115" s="3204"/>
      <c r="DY115" s="3204"/>
      <c r="DZ115" s="3204"/>
      <c r="EA115" s="3204"/>
      <c r="EB115" s="3204"/>
      <c r="EC115" s="3204"/>
      <c r="ED115" s="3204"/>
      <c r="EE115" s="3204"/>
      <c r="EF115" s="3204"/>
      <c r="EG115" s="3204"/>
      <c r="EH115" s="3204"/>
      <c r="EI115" s="3204"/>
      <c r="EJ115" s="3204"/>
      <c r="EK115" s="3204"/>
      <c r="EL115" s="3204"/>
      <c r="EM115" s="3204"/>
      <c r="EN115" s="3204"/>
      <c r="EO115" s="3204"/>
      <c r="EP115" s="3204"/>
      <c r="EQ115" s="3204"/>
      <c r="ER115" s="3204"/>
      <c r="ES115" s="3204"/>
      <c r="ET115" s="3204"/>
      <c r="EU115" s="3204"/>
      <c r="EV115" s="3204"/>
      <c r="EW115" s="3204"/>
      <c r="EX115" s="3204"/>
      <c r="EY115" s="3204"/>
      <c r="EZ115" s="3204"/>
      <c r="FA115" s="3204"/>
      <c r="FB115" s="3204"/>
      <c r="FC115" s="3204"/>
      <c r="FD115" s="3204"/>
      <c r="FE115" s="3204"/>
      <c r="FF115" s="3204"/>
      <c r="FG115" s="3204"/>
      <c r="FH115" s="3204"/>
      <c r="FI115" s="3204"/>
      <c r="FJ115" s="3204"/>
      <c r="FK115" s="3204"/>
      <c r="FL115" s="3204"/>
      <c r="FM115" s="3204"/>
      <c r="FN115" s="156"/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</row>
    <row r="116" spans="2:193" ht="18.75" customHeight="1" x14ac:dyDescent="0.3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3204"/>
      <c r="AP116" s="3204"/>
      <c r="AQ116" s="3204"/>
      <c r="AR116" s="3204"/>
      <c r="AS116" s="3204"/>
      <c r="AT116" s="3204"/>
      <c r="AU116" s="3204"/>
      <c r="AV116" s="3204"/>
      <c r="AW116" s="3204"/>
      <c r="AX116" s="3204"/>
      <c r="AY116" s="3204"/>
      <c r="AZ116" s="3204"/>
      <c r="BA116" s="3204"/>
      <c r="BB116" s="3204"/>
      <c r="BC116" s="3204"/>
      <c r="BD116" s="3204"/>
      <c r="BE116" s="3204"/>
      <c r="BF116" s="3204"/>
      <c r="BG116" s="3204"/>
      <c r="BH116" s="3204"/>
      <c r="BI116" s="3204"/>
      <c r="BJ116" s="3204"/>
      <c r="BK116" s="3204"/>
      <c r="BL116" s="3204"/>
      <c r="BM116" s="3204"/>
      <c r="BN116" s="3204"/>
      <c r="BO116" s="3204"/>
      <c r="BP116" s="3204"/>
      <c r="BQ116" s="3204"/>
      <c r="BR116" s="3204"/>
      <c r="BS116" s="3204"/>
      <c r="BT116" s="3204"/>
      <c r="BU116" s="3204"/>
      <c r="BV116" s="3204"/>
      <c r="BW116" s="3204"/>
      <c r="BX116" s="3204"/>
      <c r="BY116" s="3204"/>
      <c r="BZ116" s="3204"/>
      <c r="CA116" s="3204"/>
      <c r="CB116" s="3204"/>
      <c r="CC116" s="3204"/>
      <c r="CD116" s="3204"/>
      <c r="CE116" s="3204"/>
      <c r="CF116" s="3204"/>
      <c r="CG116" s="3204"/>
      <c r="CH116" s="3204"/>
      <c r="CI116" s="3204"/>
      <c r="CJ116" s="3204"/>
      <c r="CK116" s="3204"/>
      <c r="CL116" s="3204"/>
      <c r="CM116" s="3204"/>
      <c r="CN116" s="3204"/>
      <c r="CO116" s="3204"/>
      <c r="CP116" s="3204"/>
      <c r="CQ116" s="3204"/>
      <c r="CR116" s="3204"/>
      <c r="CS116" s="3204"/>
      <c r="CT116" s="3204"/>
      <c r="CU116" s="3204"/>
      <c r="CV116" s="3204"/>
      <c r="CW116" s="3204"/>
      <c r="CX116" s="3204"/>
      <c r="CY116" s="3204"/>
      <c r="CZ116" s="3204"/>
      <c r="DA116" s="3204"/>
      <c r="DB116" s="3204"/>
      <c r="DC116" s="3204"/>
      <c r="DD116" s="3204"/>
      <c r="DE116" s="3204"/>
      <c r="DF116" s="3204"/>
      <c r="DG116" s="3204"/>
      <c r="DH116" s="3204"/>
      <c r="DI116" s="3204"/>
      <c r="DJ116" s="3204"/>
      <c r="DK116" s="3204"/>
      <c r="DL116" s="3204"/>
      <c r="DM116" s="3204"/>
      <c r="DN116" s="3204"/>
      <c r="DO116" s="3204"/>
      <c r="DP116" s="3204"/>
      <c r="DQ116" s="3204"/>
      <c r="DR116" s="3204"/>
      <c r="DS116" s="3204"/>
      <c r="DT116" s="3204"/>
      <c r="DU116" s="3204"/>
      <c r="DV116" s="3204"/>
      <c r="DW116" s="3204"/>
      <c r="DX116" s="3204"/>
      <c r="DY116" s="3204"/>
      <c r="DZ116" s="3204"/>
      <c r="EA116" s="3204"/>
      <c r="EB116" s="3204"/>
      <c r="EC116" s="3204"/>
      <c r="ED116" s="3204"/>
      <c r="EE116" s="3204"/>
      <c r="EF116" s="3204"/>
      <c r="EG116" s="3204"/>
      <c r="EH116" s="3204"/>
      <c r="EI116" s="3204"/>
      <c r="EJ116" s="3204"/>
      <c r="EK116" s="3204"/>
      <c r="EL116" s="3204"/>
      <c r="EM116" s="3204"/>
      <c r="EN116" s="3204"/>
      <c r="EO116" s="3204"/>
      <c r="EP116" s="3204"/>
      <c r="EQ116" s="3204"/>
      <c r="ER116" s="3204"/>
      <c r="ES116" s="3204"/>
      <c r="ET116" s="3204"/>
      <c r="EU116" s="3204"/>
      <c r="EV116" s="3204"/>
      <c r="EW116" s="3204"/>
      <c r="EX116" s="3204"/>
      <c r="EY116" s="3204"/>
      <c r="EZ116" s="3204"/>
      <c r="FA116" s="3204"/>
      <c r="FB116" s="3204"/>
      <c r="FC116" s="3204"/>
      <c r="FD116" s="3204"/>
      <c r="FE116" s="3204"/>
      <c r="FF116" s="3204"/>
      <c r="FG116" s="3204"/>
      <c r="FH116" s="3204"/>
      <c r="FI116" s="3204"/>
      <c r="FJ116" s="3204"/>
      <c r="FK116" s="3204"/>
      <c r="FL116" s="3204"/>
      <c r="FM116" s="3204"/>
      <c r="FN116" s="156"/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6"/>
      <c r="GE116" s="156"/>
      <c r="GF116" s="156"/>
      <c r="GG116" s="156"/>
      <c r="GH116" s="156"/>
      <c r="GI116" s="156"/>
      <c r="GJ116" s="156"/>
      <c r="GK116" s="156"/>
    </row>
    <row r="117" spans="2:193" ht="18.75" customHeight="1" x14ac:dyDescent="0.3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3204"/>
      <c r="AP117" s="3204"/>
      <c r="AQ117" s="3204"/>
      <c r="AR117" s="3204"/>
      <c r="AS117" s="3204"/>
      <c r="AT117" s="3204"/>
      <c r="AU117" s="3204"/>
      <c r="AV117" s="3204"/>
      <c r="AW117" s="3204"/>
      <c r="AX117" s="3204"/>
      <c r="AY117" s="3204"/>
      <c r="AZ117" s="3204"/>
      <c r="BA117" s="3204"/>
      <c r="BB117" s="3204"/>
      <c r="BC117" s="3204"/>
      <c r="BD117" s="3204"/>
      <c r="BE117" s="3204"/>
      <c r="BF117" s="3204"/>
      <c r="BG117" s="3204"/>
      <c r="BH117" s="3204"/>
      <c r="BI117" s="3204"/>
      <c r="BJ117" s="3204"/>
      <c r="BK117" s="3204"/>
      <c r="BL117" s="3204"/>
      <c r="BM117" s="3204"/>
      <c r="BN117" s="3204"/>
      <c r="BO117" s="3204"/>
      <c r="BP117" s="3204"/>
      <c r="BQ117" s="3204"/>
      <c r="BR117" s="3204"/>
      <c r="BS117" s="3204"/>
      <c r="BT117" s="3204"/>
      <c r="BU117" s="3204"/>
      <c r="BV117" s="3204"/>
      <c r="BW117" s="3204"/>
      <c r="BX117" s="3204"/>
      <c r="BY117" s="3204"/>
      <c r="BZ117" s="3204"/>
      <c r="CA117" s="3204"/>
      <c r="CB117" s="3204"/>
      <c r="CC117" s="3204"/>
      <c r="CD117" s="3204"/>
      <c r="CE117" s="3204"/>
      <c r="CF117" s="3204"/>
      <c r="CG117" s="3204"/>
      <c r="CH117" s="3204"/>
      <c r="CI117" s="3204"/>
      <c r="CJ117" s="3204"/>
      <c r="CK117" s="3204"/>
      <c r="CL117" s="3204"/>
      <c r="CM117" s="3204"/>
      <c r="CN117" s="3204"/>
      <c r="CO117" s="3204"/>
      <c r="CP117" s="3204"/>
      <c r="CQ117" s="3204"/>
      <c r="CR117" s="3204"/>
      <c r="CS117" s="3204"/>
      <c r="CT117" s="3204"/>
      <c r="CU117" s="3204"/>
      <c r="CV117" s="3204"/>
      <c r="CW117" s="3204"/>
      <c r="CX117" s="3204"/>
      <c r="CY117" s="3204"/>
      <c r="CZ117" s="3204"/>
      <c r="DA117" s="3204"/>
      <c r="DB117" s="3204"/>
      <c r="DC117" s="3204"/>
      <c r="DD117" s="3204"/>
      <c r="DE117" s="3204"/>
      <c r="DF117" s="3204"/>
      <c r="DG117" s="3204"/>
      <c r="DH117" s="3204"/>
      <c r="DI117" s="3204"/>
      <c r="DJ117" s="3204"/>
      <c r="DK117" s="3204"/>
      <c r="DL117" s="3204"/>
      <c r="DM117" s="3204"/>
      <c r="DN117" s="3204"/>
      <c r="DO117" s="3204"/>
      <c r="DP117" s="3204"/>
      <c r="DQ117" s="3204"/>
      <c r="DR117" s="3204"/>
      <c r="DS117" s="3204"/>
      <c r="DT117" s="3204"/>
      <c r="DU117" s="3204"/>
      <c r="DV117" s="3204"/>
      <c r="DW117" s="3204"/>
      <c r="DX117" s="3204"/>
      <c r="DY117" s="3204"/>
      <c r="DZ117" s="3204"/>
      <c r="EA117" s="3204"/>
      <c r="EB117" s="3204"/>
      <c r="EC117" s="3204"/>
      <c r="ED117" s="3204"/>
      <c r="EE117" s="3204"/>
      <c r="EF117" s="3204"/>
      <c r="EG117" s="3204"/>
      <c r="EH117" s="3204"/>
      <c r="EI117" s="3204"/>
      <c r="EJ117" s="3204"/>
      <c r="EK117" s="3204"/>
      <c r="EL117" s="3204"/>
      <c r="EM117" s="3204"/>
      <c r="EN117" s="3204"/>
      <c r="EO117" s="3204"/>
      <c r="EP117" s="3204"/>
      <c r="EQ117" s="3204"/>
      <c r="ER117" s="3204"/>
      <c r="ES117" s="3204"/>
      <c r="ET117" s="3204"/>
      <c r="EU117" s="3204"/>
      <c r="EV117" s="3204"/>
      <c r="EW117" s="3204"/>
      <c r="EX117" s="3204"/>
      <c r="EY117" s="3204"/>
      <c r="EZ117" s="3204"/>
      <c r="FA117" s="3204"/>
      <c r="FB117" s="3204"/>
      <c r="FC117" s="3204"/>
      <c r="FD117" s="3204"/>
      <c r="FE117" s="3204"/>
      <c r="FF117" s="3204"/>
      <c r="FG117" s="3204"/>
      <c r="FH117" s="3204"/>
      <c r="FI117" s="3204"/>
      <c r="FJ117" s="3204"/>
      <c r="FK117" s="3204"/>
      <c r="FL117" s="3204"/>
      <c r="FM117" s="3204"/>
      <c r="FN117" s="156"/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</row>
    <row r="118" spans="2:193" ht="18.75" customHeight="1" x14ac:dyDescent="0.3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3204"/>
      <c r="AP118" s="3204"/>
      <c r="AQ118" s="3204"/>
      <c r="AR118" s="3204"/>
      <c r="AS118" s="3204"/>
      <c r="AT118" s="3204"/>
      <c r="AU118" s="3204"/>
      <c r="AV118" s="3204"/>
      <c r="AW118" s="3204"/>
      <c r="AX118" s="3204"/>
      <c r="AY118" s="3204"/>
      <c r="AZ118" s="3204"/>
      <c r="BA118" s="3204"/>
      <c r="BB118" s="3204"/>
      <c r="BC118" s="3204"/>
      <c r="BD118" s="3204"/>
      <c r="BE118" s="3204"/>
      <c r="BF118" s="3204"/>
      <c r="BG118" s="3204"/>
      <c r="BH118" s="3204"/>
      <c r="BI118" s="3204"/>
      <c r="BJ118" s="3204"/>
      <c r="BK118" s="3204"/>
      <c r="BL118" s="3204"/>
      <c r="BM118" s="3204"/>
      <c r="BN118" s="3204"/>
      <c r="BO118" s="3204"/>
      <c r="BP118" s="3204"/>
      <c r="BQ118" s="3204"/>
      <c r="BR118" s="3204"/>
      <c r="BS118" s="3204"/>
      <c r="BT118" s="3204"/>
      <c r="BU118" s="3204"/>
      <c r="BV118" s="3204"/>
      <c r="BW118" s="3204"/>
      <c r="BX118" s="3204"/>
      <c r="BY118" s="3204"/>
      <c r="BZ118" s="3204"/>
      <c r="CA118" s="3204"/>
      <c r="CB118" s="3204"/>
      <c r="CC118" s="3204"/>
      <c r="CD118" s="3204"/>
      <c r="CE118" s="3204"/>
      <c r="CF118" s="3204"/>
      <c r="CG118" s="3204"/>
      <c r="CH118" s="3204"/>
      <c r="CI118" s="3204"/>
      <c r="CJ118" s="3204"/>
      <c r="CK118" s="3204"/>
      <c r="CL118" s="3204"/>
      <c r="CM118" s="3204"/>
      <c r="CN118" s="3204"/>
      <c r="CO118" s="3204"/>
      <c r="CP118" s="3204"/>
      <c r="CQ118" s="3204"/>
      <c r="CR118" s="3204"/>
      <c r="CS118" s="3204"/>
      <c r="CT118" s="3204"/>
      <c r="CU118" s="3204"/>
      <c r="CV118" s="3204"/>
      <c r="CW118" s="3204"/>
      <c r="CX118" s="3204"/>
      <c r="CY118" s="3204"/>
      <c r="CZ118" s="3204"/>
      <c r="DA118" s="3204"/>
      <c r="DB118" s="3204"/>
      <c r="DC118" s="3204"/>
      <c r="DD118" s="3204"/>
      <c r="DE118" s="3204"/>
      <c r="DF118" s="3204"/>
      <c r="DG118" s="3204"/>
      <c r="DH118" s="3204"/>
      <c r="DI118" s="3204"/>
      <c r="DJ118" s="3204"/>
      <c r="DK118" s="3204"/>
      <c r="DL118" s="3204"/>
      <c r="DM118" s="3204"/>
      <c r="DN118" s="3204"/>
      <c r="DO118" s="3204"/>
      <c r="DP118" s="3204"/>
      <c r="DQ118" s="3204"/>
      <c r="DR118" s="3204"/>
      <c r="DS118" s="3204"/>
      <c r="DT118" s="3204"/>
      <c r="DU118" s="3204"/>
      <c r="DV118" s="3204"/>
      <c r="DW118" s="3204"/>
      <c r="DX118" s="3204"/>
      <c r="DY118" s="3204"/>
      <c r="DZ118" s="3204"/>
      <c r="EA118" s="3204"/>
      <c r="EB118" s="3204"/>
      <c r="EC118" s="3204"/>
      <c r="ED118" s="3204"/>
      <c r="EE118" s="3204"/>
      <c r="EF118" s="3204"/>
      <c r="EG118" s="3204"/>
      <c r="EH118" s="3204"/>
      <c r="EI118" s="3204"/>
      <c r="EJ118" s="3204"/>
      <c r="EK118" s="3204"/>
      <c r="EL118" s="3204"/>
      <c r="EM118" s="3204"/>
      <c r="EN118" s="3204"/>
      <c r="EO118" s="3204"/>
      <c r="EP118" s="3204"/>
      <c r="EQ118" s="3204"/>
      <c r="ER118" s="3204"/>
      <c r="ES118" s="3204"/>
      <c r="ET118" s="3204"/>
      <c r="EU118" s="3204"/>
      <c r="EV118" s="3204"/>
      <c r="EW118" s="3204"/>
      <c r="EX118" s="3204"/>
      <c r="EY118" s="3204"/>
      <c r="EZ118" s="3204"/>
      <c r="FA118" s="3204"/>
      <c r="FB118" s="3204"/>
      <c r="FC118" s="3204"/>
      <c r="FD118" s="3204"/>
      <c r="FE118" s="3204"/>
      <c r="FF118" s="3204"/>
      <c r="FG118" s="3204"/>
      <c r="FH118" s="3204"/>
      <c r="FI118" s="3204"/>
      <c r="FJ118" s="3204"/>
      <c r="FK118" s="3204"/>
      <c r="FL118" s="3204"/>
      <c r="FM118" s="3204"/>
      <c r="FN118" s="156"/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</row>
    <row r="119" spans="2:193" ht="18.75" customHeight="1" x14ac:dyDescent="0.3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3204"/>
      <c r="AP119" s="3204"/>
      <c r="AQ119" s="3204"/>
      <c r="AR119" s="3204"/>
      <c r="AS119" s="3204"/>
      <c r="AT119" s="3204"/>
      <c r="AU119" s="3204"/>
      <c r="AV119" s="3204"/>
      <c r="AW119" s="3204"/>
      <c r="AX119" s="3204"/>
      <c r="AY119" s="3204"/>
      <c r="AZ119" s="3204"/>
      <c r="BA119" s="3204"/>
      <c r="BB119" s="3204"/>
      <c r="BC119" s="3204"/>
      <c r="BD119" s="3204"/>
      <c r="BE119" s="3204"/>
      <c r="BF119" s="3204"/>
      <c r="BG119" s="3204"/>
      <c r="BH119" s="3204"/>
      <c r="BI119" s="3204"/>
      <c r="BJ119" s="3204"/>
      <c r="BK119" s="3204"/>
      <c r="BL119" s="3204"/>
      <c r="BM119" s="3204"/>
      <c r="BN119" s="3204"/>
      <c r="BO119" s="3204"/>
      <c r="BP119" s="3204"/>
      <c r="BQ119" s="3204"/>
      <c r="BR119" s="3204"/>
      <c r="BS119" s="3204"/>
      <c r="BT119" s="3204"/>
      <c r="BU119" s="3204"/>
      <c r="BV119" s="3204"/>
      <c r="BW119" s="3204"/>
      <c r="BX119" s="3204"/>
      <c r="BY119" s="3204"/>
      <c r="BZ119" s="3204"/>
      <c r="CA119" s="3204"/>
      <c r="CB119" s="3204"/>
      <c r="CC119" s="3204"/>
      <c r="CD119" s="3204"/>
      <c r="CE119" s="3204"/>
      <c r="CF119" s="3204"/>
      <c r="CG119" s="3204"/>
      <c r="CH119" s="3204"/>
      <c r="CI119" s="3204"/>
      <c r="CJ119" s="3204"/>
      <c r="CK119" s="3204"/>
      <c r="CL119" s="3204"/>
      <c r="CM119" s="3204"/>
      <c r="CN119" s="3204"/>
      <c r="CO119" s="3204"/>
      <c r="CP119" s="3204"/>
      <c r="CQ119" s="3204"/>
      <c r="CR119" s="3204"/>
      <c r="CS119" s="3204"/>
      <c r="CT119" s="3204"/>
      <c r="CU119" s="3204"/>
      <c r="CV119" s="3204"/>
      <c r="CW119" s="3204"/>
      <c r="CX119" s="3204"/>
      <c r="CY119" s="3204"/>
      <c r="CZ119" s="3204"/>
      <c r="DA119" s="3204"/>
      <c r="DB119" s="3204"/>
      <c r="DC119" s="3204"/>
      <c r="DD119" s="3204"/>
      <c r="DE119" s="3204"/>
      <c r="DF119" s="3204"/>
      <c r="DG119" s="3204"/>
      <c r="DH119" s="3204"/>
      <c r="DI119" s="3204"/>
      <c r="DJ119" s="3204"/>
      <c r="DK119" s="3204"/>
      <c r="DL119" s="3204"/>
      <c r="DM119" s="3204"/>
      <c r="DN119" s="3204"/>
      <c r="DO119" s="3204"/>
      <c r="DP119" s="3204"/>
      <c r="DQ119" s="3204"/>
      <c r="DR119" s="3204"/>
      <c r="DS119" s="3204"/>
      <c r="DT119" s="3204"/>
      <c r="DU119" s="3204"/>
      <c r="DV119" s="3204"/>
      <c r="DW119" s="3204"/>
      <c r="DX119" s="3204"/>
      <c r="DY119" s="3204"/>
      <c r="DZ119" s="3204"/>
      <c r="EA119" s="3204"/>
      <c r="EB119" s="3204"/>
      <c r="EC119" s="3204"/>
      <c r="ED119" s="3204"/>
      <c r="EE119" s="3204"/>
      <c r="EF119" s="3204"/>
      <c r="EG119" s="3204"/>
      <c r="EH119" s="3204"/>
      <c r="EI119" s="3204"/>
      <c r="EJ119" s="3204"/>
      <c r="EK119" s="3204"/>
      <c r="EL119" s="3204"/>
      <c r="EM119" s="3204"/>
      <c r="EN119" s="3204"/>
      <c r="EO119" s="3204"/>
      <c r="EP119" s="3204"/>
      <c r="EQ119" s="3204"/>
      <c r="ER119" s="3204"/>
      <c r="ES119" s="3204"/>
      <c r="ET119" s="3204"/>
      <c r="EU119" s="3204"/>
      <c r="EV119" s="3204"/>
      <c r="EW119" s="3204"/>
      <c r="EX119" s="3204"/>
      <c r="EY119" s="3204"/>
      <c r="EZ119" s="3204"/>
      <c r="FA119" s="3204"/>
      <c r="FB119" s="3204"/>
      <c r="FC119" s="3204"/>
      <c r="FD119" s="3204"/>
      <c r="FE119" s="3204"/>
      <c r="FF119" s="3204"/>
      <c r="FG119" s="3204"/>
      <c r="FH119" s="3204"/>
      <c r="FI119" s="3204"/>
      <c r="FJ119" s="3204"/>
      <c r="FK119" s="3204"/>
      <c r="FL119" s="3204"/>
      <c r="FM119" s="3204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</row>
    <row r="120" spans="2:193" ht="18.75" customHeight="1" x14ac:dyDescent="0.3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3204"/>
      <c r="AP120" s="3204"/>
      <c r="AQ120" s="3204"/>
      <c r="AR120" s="3204"/>
      <c r="AS120" s="3204"/>
      <c r="AT120" s="3204"/>
      <c r="AU120" s="3204"/>
      <c r="AV120" s="3204"/>
      <c r="AW120" s="3204"/>
      <c r="AX120" s="3204"/>
      <c r="AY120" s="3204"/>
      <c r="AZ120" s="3204"/>
      <c r="BA120" s="3204"/>
      <c r="BB120" s="3204"/>
      <c r="BC120" s="3204"/>
      <c r="BD120" s="3204"/>
      <c r="BE120" s="3204"/>
      <c r="BF120" s="3204"/>
      <c r="BG120" s="3204"/>
      <c r="BH120" s="3204"/>
      <c r="BI120" s="3204"/>
      <c r="BJ120" s="3204"/>
      <c r="BK120" s="3204"/>
      <c r="BL120" s="3204"/>
      <c r="BM120" s="3204"/>
      <c r="BN120" s="3204"/>
      <c r="BO120" s="3204"/>
      <c r="BP120" s="3204"/>
      <c r="BQ120" s="3204"/>
      <c r="BR120" s="3204"/>
      <c r="BS120" s="3204"/>
      <c r="BT120" s="3204"/>
      <c r="BU120" s="3204"/>
      <c r="BV120" s="3204"/>
      <c r="BW120" s="3204"/>
      <c r="BX120" s="3204"/>
      <c r="BY120" s="3204"/>
      <c r="BZ120" s="3204"/>
      <c r="CA120" s="3204"/>
      <c r="CB120" s="3204"/>
      <c r="CC120" s="3204"/>
      <c r="CD120" s="3204"/>
      <c r="CE120" s="3204"/>
      <c r="CF120" s="3204"/>
      <c r="CG120" s="3204"/>
      <c r="CH120" s="3204"/>
      <c r="CI120" s="3204"/>
      <c r="CJ120" s="3204"/>
      <c r="CK120" s="3204"/>
      <c r="CL120" s="3204"/>
      <c r="CM120" s="3204"/>
      <c r="CN120" s="3204"/>
      <c r="CO120" s="3204"/>
      <c r="CP120" s="3204"/>
      <c r="CQ120" s="3204"/>
      <c r="CR120" s="3204"/>
      <c r="CS120" s="3204"/>
      <c r="CT120" s="3204"/>
      <c r="CU120" s="3204"/>
      <c r="CV120" s="3204"/>
      <c r="CW120" s="3204"/>
      <c r="CX120" s="3204"/>
      <c r="CY120" s="3204"/>
      <c r="CZ120" s="3204"/>
      <c r="DA120" s="3204"/>
      <c r="DB120" s="3204"/>
      <c r="DC120" s="3204"/>
      <c r="DD120" s="3204"/>
      <c r="DE120" s="3204"/>
      <c r="DF120" s="3204"/>
      <c r="DG120" s="3204"/>
      <c r="DH120" s="3204"/>
      <c r="DI120" s="3204"/>
      <c r="DJ120" s="3204"/>
      <c r="DK120" s="3204"/>
      <c r="DL120" s="3204"/>
      <c r="DM120" s="3204"/>
      <c r="DN120" s="3204"/>
      <c r="DO120" s="3204"/>
      <c r="DP120" s="3204"/>
      <c r="DQ120" s="3204"/>
      <c r="DR120" s="3204"/>
      <c r="DS120" s="3204"/>
      <c r="DT120" s="3204"/>
      <c r="DU120" s="3204"/>
      <c r="DV120" s="3204"/>
      <c r="DW120" s="3204"/>
      <c r="DX120" s="3204"/>
      <c r="DY120" s="3204"/>
      <c r="DZ120" s="3204"/>
      <c r="EA120" s="3204"/>
      <c r="EB120" s="3204"/>
      <c r="EC120" s="3204"/>
      <c r="ED120" s="3204"/>
      <c r="EE120" s="3204"/>
      <c r="EF120" s="3204"/>
      <c r="EG120" s="3204"/>
      <c r="EH120" s="3204"/>
      <c r="EI120" s="3204"/>
      <c r="EJ120" s="3204"/>
      <c r="EK120" s="3204"/>
      <c r="EL120" s="3204"/>
      <c r="EM120" s="3204"/>
      <c r="EN120" s="3204"/>
      <c r="EO120" s="3204"/>
      <c r="EP120" s="3204"/>
      <c r="EQ120" s="3204"/>
      <c r="ER120" s="3204"/>
      <c r="ES120" s="3204"/>
      <c r="ET120" s="3204"/>
      <c r="EU120" s="3204"/>
      <c r="EV120" s="3204"/>
      <c r="EW120" s="3204"/>
      <c r="EX120" s="3204"/>
      <c r="EY120" s="3204"/>
      <c r="EZ120" s="3204"/>
      <c r="FA120" s="3204"/>
      <c r="FB120" s="3204"/>
      <c r="FC120" s="3204"/>
      <c r="FD120" s="3204"/>
      <c r="FE120" s="3204"/>
      <c r="FF120" s="3204"/>
      <c r="FG120" s="3204"/>
      <c r="FH120" s="3204"/>
      <c r="FI120" s="3204"/>
      <c r="FJ120" s="3204"/>
      <c r="FK120" s="3204"/>
      <c r="FL120" s="3204"/>
      <c r="FM120" s="3204"/>
      <c r="FN120" s="156"/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</row>
    <row r="121" spans="2:193" ht="18.75" customHeight="1" x14ac:dyDescent="0.3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3204"/>
      <c r="AP121" s="3204"/>
      <c r="AQ121" s="3204"/>
      <c r="AR121" s="3204"/>
      <c r="AS121" s="3204"/>
      <c r="AT121" s="3204"/>
      <c r="AU121" s="3204"/>
      <c r="AV121" s="3204"/>
      <c r="AW121" s="3204"/>
      <c r="AX121" s="3204"/>
      <c r="AY121" s="3204"/>
      <c r="AZ121" s="3204"/>
      <c r="BA121" s="3204"/>
      <c r="BB121" s="3204"/>
      <c r="BC121" s="3204"/>
      <c r="BD121" s="3204"/>
      <c r="BE121" s="3204"/>
      <c r="BF121" s="3204"/>
      <c r="BG121" s="3204"/>
      <c r="BH121" s="3204"/>
      <c r="BI121" s="3204"/>
      <c r="BJ121" s="3204"/>
      <c r="BK121" s="3204"/>
      <c r="BL121" s="3204"/>
      <c r="BM121" s="3204"/>
      <c r="BN121" s="3204"/>
      <c r="BO121" s="3204"/>
      <c r="BP121" s="3204"/>
      <c r="BQ121" s="3204"/>
      <c r="BR121" s="3204"/>
      <c r="BS121" s="3204"/>
      <c r="BT121" s="3204"/>
      <c r="BU121" s="3204"/>
      <c r="BV121" s="3204"/>
      <c r="BW121" s="3204"/>
      <c r="BX121" s="3204"/>
      <c r="BY121" s="3204"/>
      <c r="BZ121" s="3204"/>
      <c r="CA121" s="3204"/>
      <c r="CB121" s="3204"/>
      <c r="CC121" s="3204"/>
      <c r="CD121" s="3204"/>
      <c r="CE121" s="3204"/>
      <c r="CF121" s="3204"/>
      <c r="CG121" s="3204"/>
      <c r="CH121" s="3204"/>
      <c r="CI121" s="3204"/>
      <c r="CJ121" s="3204"/>
      <c r="CK121" s="3204"/>
      <c r="CL121" s="3204"/>
      <c r="CM121" s="3204"/>
      <c r="CN121" s="3204"/>
      <c r="CO121" s="3204"/>
      <c r="CP121" s="3204"/>
      <c r="CQ121" s="3204"/>
      <c r="CR121" s="3204"/>
      <c r="CS121" s="3204"/>
      <c r="CT121" s="3204"/>
      <c r="CU121" s="3204"/>
      <c r="CV121" s="3204"/>
      <c r="CW121" s="3204"/>
      <c r="CX121" s="3204"/>
      <c r="CY121" s="3204"/>
      <c r="CZ121" s="3204"/>
      <c r="DA121" s="3204"/>
      <c r="DB121" s="3204"/>
      <c r="DC121" s="3204"/>
      <c r="DD121" s="3204"/>
      <c r="DE121" s="3204"/>
      <c r="DF121" s="3204"/>
      <c r="DG121" s="3204"/>
      <c r="DH121" s="3204"/>
      <c r="DI121" s="3204"/>
      <c r="DJ121" s="3204"/>
      <c r="DK121" s="3204"/>
      <c r="DL121" s="3204"/>
      <c r="DM121" s="3204"/>
      <c r="DN121" s="3204"/>
      <c r="DO121" s="3204"/>
      <c r="DP121" s="3204"/>
      <c r="DQ121" s="3204"/>
      <c r="DR121" s="3204"/>
      <c r="DS121" s="3204"/>
      <c r="DT121" s="3204"/>
      <c r="DU121" s="3204"/>
      <c r="DV121" s="3204"/>
      <c r="DW121" s="3204"/>
      <c r="DX121" s="3204"/>
      <c r="DY121" s="3204"/>
      <c r="DZ121" s="3204"/>
      <c r="EA121" s="3204"/>
      <c r="EB121" s="3204"/>
      <c r="EC121" s="3204"/>
      <c r="ED121" s="3204"/>
      <c r="EE121" s="3204"/>
      <c r="EF121" s="3204"/>
      <c r="EG121" s="3204"/>
      <c r="EH121" s="3204"/>
      <c r="EI121" s="3204"/>
      <c r="EJ121" s="3204"/>
      <c r="EK121" s="3204"/>
      <c r="EL121" s="3204"/>
      <c r="EM121" s="3204"/>
      <c r="EN121" s="3204"/>
      <c r="EO121" s="3204"/>
      <c r="EP121" s="3204"/>
      <c r="EQ121" s="3204"/>
      <c r="ER121" s="3204"/>
      <c r="ES121" s="3204"/>
      <c r="ET121" s="3204"/>
      <c r="EU121" s="3204"/>
      <c r="EV121" s="3204"/>
      <c r="EW121" s="3204"/>
      <c r="EX121" s="3204"/>
      <c r="EY121" s="3204"/>
      <c r="EZ121" s="3204"/>
      <c r="FA121" s="3204"/>
      <c r="FB121" s="3204"/>
      <c r="FC121" s="3204"/>
      <c r="FD121" s="3204"/>
      <c r="FE121" s="3204"/>
      <c r="FF121" s="3204"/>
      <c r="FG121" s="3204"/>
      <c r="FH121" s="3204"/>
      <c r="FI121" s="3204"/>
      <c r="FJ121" s="3204"/>
      <c r="FK121" s="3204"/>
      <c r="FL121" s="3204"/>
      <c r="FM121" s="3204"/>
      <c r="FN121" s="156"/>
      <c r="FO121" s="156"/>
      <c r="FP121" s="156"/>
      <c r="FQ121" s="156"/>
      <c r="FR121" s="156"/>
      <c r="FS121" s="156"/>
      <c r="FT121" s="156"/>
      <c r="FU121" s="156"/>
      <c r="FV121" s="156"/>
      <c r="FW121" s="156"/>
      <c r="FX121" s="156"/>
      <c r="FY121" s="156"/>
      <c r="FZ121" s="156"/>
      <c r="GA121" s="156"/>
      <c r="GB121" s="156"/>
      <c r="GC121" s="156"/>
      <c r="GD121" s="156"/>
      <c r="GE121" s="156"/>
      <c r="GF121" s="156"/>
      <c r="GG121" s="156"/>
      <c r="GH121" s="156"/>
      <c r="GI121" s="156"/>
      <c r="GJ121" s="156"/>
      <c r="GK121" s="156"/>
    </row>
    <row r="122" spans="2:193" ht="18.75" customHeight="1" x14ac:dyDescent="0.3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3204"/>
      <c r="AP122" s="3204"/>
      <c r="AQ122" s="3204"/>
      <c r="AR122" s="3204"/>
      <c r="AS122" s="3204"/>
      <c r="AT122" s="3204"/>
      <c r="AU122" s="3204"/>
      <c r="AV122" s="3204"/>
      <c r="AW122" s="3204"/>
      <c r="AX122" s="3204"/>
      <c r="AY122" s="3204"/>
      <c r="AZ122" s="3204"/>
      <c r="BA122" s="3204"/>
      <c r="BB122" s="3204"/>
      <c r="BC122" s="3204"/>
      <c r="BD122" s="3204"/>
      <c r="BE122" s="3204"/>
      <c r="BF122" s="3204"/>
      <c r="BG122" s="3204"/>
      <c r="BH122" s="3204"/>
      <c r="BI122" s="3204"/>
      <c r="BJ122" s="3204"/>
      <c r="BK122" s="3204"/>
      <c r="BL122" s="3204"/>
      <c r="BM122" s="3204"/>
      <c r="BN122" s="3204"/>
      <c r="BO122" s="3204"/>
      <c r="BP122" s="3204"/>
      <c r="BQ122" s="3204"/>
      <c r="BR122" s="3204"/>
      <c r="BS122" s="3204"/>
      <c r="BT122" s="3204"/>
      <c r="BU122" s="3204"/>
      <c r="BV122" s="3204"/>
      <c r="BW122" s="3204"/>
      <c r="BX122" s="3204"/>
      <c r="BY122" s="3204"/>
      <c r="BZ122" s="3204"/>
      <c r="CA122" s="3204"/>
      <c r="CB122" s="3204"/>
      <c r="CC122" s="3204"/>
      <c r="CD122" s="3204"/>
      <c r="CE122" s="3204"/>
      <c r="CF122" s="3204"/>
      <c r="CG122" s="3204"/>
      <c r="CH122" s="3204"/>
      <c r="CI122" s="3204"/>
      <c r="CJ122" s="3204"/>
      <c r="CK122" s="3204"/>
      <c r="CL122" s="3204"/>
      <c r="CM122" s="3204"/>
      <c r="CN122" s="3204"/>
      <c r="CO122" s="3204"/>
      <c r="CP122" s="3204"/>
      <c r="CQ122" s="3204"/>
      <c r="CR122" s="3204"/>
      <c r="CS122" s="3204"/>
      <c r="CT122" s="3204"/>
      <c r="CU122" s="3204"/>
      <c r="CV122" s="3204"/>
      <c r="CW122" s="3204"/>
      <c r="CX122" s="3204"/>
      <c r="CY122" s="3204"/>
      <c r="CZ122" s="3204"/>
      <c r="DA122" s="3204"/>
      <c r="DB122" s="3204"/>
      <c r="DC122" s="3204"/>
      <c r="DD122" s="3204"/>
      <c r="DE122" s="3204"/>
      <c r="DF122" s="3204"/>
      <c r="DG122" s="3204"/>
      <c r="DH122" s="3204"/>
      <c r="DI122" s="3204"/>
      <c r="DJ122" s="3204"/>
      <c r="DK122" s="3204"/>
      <c r="DL122" s="3204"/>
      <c r="DM122" s="3204"/>
      <c r="DN122" s="3204"/>
      <c r="DO122" s="3204"/>
      <c r="DP122" s="3204"/>
      <c r="DQ122" s="3204"/>
      <c r="DR122" s="3204"/>
      <c r="DS122" s="3204"/>
      <c r="DT122" s="3204"/>
      <c r="DU122" s="3204"/>
      <c r="DV122" s="3204"/>
      <c r="DW122" s="3204"/>
      <c r="DX122" s="3204"/>
      <c r="DY122" s="3204"/>
      <c r="DZ122" s="3204"/>
      <c r="EA122" s="3204"/>
      <c r="EB122" s="3204"/>
      <c r="EC122" s="3204"/>
      <c r="ED122" s="3204"/>
      <c r="EE122" s="3204"/>
      <c r="EF122" s="3204"/>
      <c r="EG122" s="3204"/>
      <c r="EH122" s="3204"/>
      <c r="EI122" s="3204"/>
      <c r="EJ122" s="3204"/>
      <c r="EK122" s="3204"/>
      <c r="EL122" s="3204"/>
      <c r="EM122" s="3204"/>
      <c r="EN122" s="3204"/>
      <c r="EO122" s="3204"/>
      <c r="EP122" s="3204"/>
      <c r="EQ122" s="3204"/>
      <c r="ER122" s="3204"/>
      <c r="ES122" s="3204"/>
      <c r="ET122" s="3204"/>
      <c r="EU122" s="3204"/>
      <c r="EV122" s="3204"/>
      <c r="EW122" s="3204"/>
      <c r="EX122" s="3204"/>
      <c r="EY122" s="3204"/>
      <c r="EZ122" s="3204"/>
      <c r="FA122" s="3204"/>
      <c r="FB122" s="3204"/>
      <c r="FC122" s="3204"/>
      <c r="FD122" s="3204"/>
      <c r="FE122" s="3204"/>
      <c r="FF122" s="3204"/>
      <c r="FG122" s="3204"/>
      <c r="FH122" s="3204"/>
      <c r="FI122" s="3204"/>
      <c r="FJ122" s="3204"/>
      <c r="FK122" s="3204"/>
      <c r="FL122" s="3204"/>
      <c r="FM122" s="3204"/>
      <c r="FN122" s="156"/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</row>
    <row r="123" spans="2:193" ht="18.75" customHeight="1" x14ac:dyDescent="0.3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3204"/>
      <c r="AP123" s="3204"/>
      <c r="AQ123" s="3204"/>
      <c r="AR123" s="3204"/>
      <c r="AS123" s="3204"/>
      <c r="AT123" s="3204"/>
      <c r="AU123" s="3204"/>
      <c r="AV123" s="3204"/>
      <c r="AW123" s="3204"/>
      <c r="AX123" s="3204"/>
      <c r="AY123" s="3204"/>
      <c r="AZ123" s="3204"/>
      <c r="BA123" s="3204"/>
      <c r="BB123" s="3204"/>
      <c r="BC123" s="3204"/>
      <c r="BD123" s="3204"/>
      <c r="BE123" s="3204"/>
      <c r="BF123" s="3204"/>
      <c r="BG123" s="3204"/>
      <c r="BH123" s="3204"/>
      <c r="BI123" s="3204"/>
      <c r="BJ123" s="3204"/>
      <c r="BK123" s="3204"/>
      <c r="BL123" s="3204"/>
      <c r="BM123" s="3204"/>
      <c r="BN123" s="3204"/>
      <c r="BO123" s="3204"/>
      <c r="BP123" s="3204"/>
      <c r="BQ123" s="3204"/>
      <c r="BR123" s="3204"/>
      <c r="BS123" s="3204"/>
      <c r="BT123" s="3204"/>
      <c r="BU123" s="3204"/>
      <c r="BV123" s="3204"/>
      <c r="BW123" s="3204"/>
      <c r="BX123" s="3204"/>
      <c r="BY123" s="3204"/>
      <c r="BZ123" s="3204"/>
      <c r="CA123" s="3204"/>
      <c r="CB123" s="3204"/>
      <c r="CC123" s="3204"/>
      <c r="CD123" s="3204"/>
      <c r="CE123" s="3204"/>
      <c r="CF123" s="3204"/>
      <c r="CG123" s="3204"/>
      <c r="CH123" s="3204"/>
      <c r="CI123" s="3204"/>
      <c r="CJ123" s="3204"/>
      <c r="CK123" s="3204"/>
      <c r="CL123" s="3204"/>
      <c r="CM123" s="3204"/>
      <c r="CN123" s="3204"/>
      <c r="CO123" s="3204"/>
      <c r="CP123" s="3204"/>
      <c r="CQ123" s="3204"/>
      <c r="CR123" s="3204"/>
      <c r="CS123" s="3204"/>
      <c r="CT123" s="3204"/>
      <c r="CU123" s="3204"/>
      <c r="CV123" s="3204"/>
      <c r="CW123" s="3204"/>
      <c r="CX123" s="3204"/>
      <c r="CY123" s="3204"/>
      <c r="CZ123" s="3204"/>
      <c r="DA123" s="3204"/>
      <c r="DB123" s="3204"/>
      <c r="DC123" s="3204"/>
      <c r="DD123" s="3204"/>
      <c r="DE123" s="3204"/>
      <c r="DF123" s="3204"/>
      <c r="DG123" s="3204"/>
      <c r="DH123" s="3204"/>
      <c r="DI123" s="3204"/>
      <c r="DJ123" s="3204"/>
      <c r="DK123" s="3204"/>
      <c r="DL123" s="3204"/>
      <c r="DM123" s="3204"/>
      <c r="DN123" s="3204"/>
      <c r="DO123" s="3204"/>
      <c r="DP123" s="3204"/>
      <c r="DQ123" s="3204"/>
      <c r="DR123" s="3204"/>
      <c r="DS123" s="3204"/>
      <c r="DT123" s="3204"/>
      <c r="DU123" s="3204"/>
      <c r="DV123" s="3204"/>
      <c r="DW123" s="3204"/>
      <c r="DX123" s="3204"/>
      <c r="DY123" s="3204"/>
      <c r="DZ123" s="3204"/>
      <c r="EA123" s="3204"/>
      <c r="EB123" s="3204"/>
      <c r="EC123" s="3204"/>
      <c r="ED123" s="3204"/>
      <c r="EE123" s="3204"/>
      <c r="EF123" s="3204"/>
      <c r="EG123" s="3204"/>
      <c r="EH123" s="3204"/>
      <c r="EI123" s="3204"/>
      <c r="EJ123" s="3204"/>
      <c r="EK123" s="3204"/>
      <c r="EL123" s="3204"/>
      <c r="EM123" s="3204"/>
      <c r="EN123" s="3204"/>
      <c r="EO123" s="3204"/>
      <c r="EP123" s="3204"/>
      <c r="EQ123" s="3204"/>
      <c r="ER123" s="3204"/>
      <c r="ES123" s="3204"/>
      <c r="ET123" s="3204"/>
      <c r="EU123" s="3204"/>
      <c r="EV123" s="3204"/>
      <c r="EW123" s="3204"/>
      <c r="EX123" s="3204"/>
      <c r="EY123" s="3204"/>
      <c r="EZ123" s="3204"/>
      <c r="FA123" s="3204"/>
      <c r="FB123" s="3204"/>
      <c r="FC123" s="3204"/>
      <c r="FD123" s="3204"/>
      <c r="FE123" s="3204"/>
      <c r="FF123" s="3204"/>
      <c r="FG123" s="3204"/>
      <c r="FH123" s="3204"/>
      <c r="FI123" s="3204"/>
      <c r="FJ123" s="3204"/>
      <c r="FK123" s="3204"/>
      <c r="FL123" s="3204"/>
      <c r="FM123" s="3204"/>
      <c r="FN123" s="156"/>
      <c r="FO123" s="156"/>
      <c r="FP123" s="156"/>
      <c r="FQ123" s="156"/>
      <c r="FR123" s="156"/>
      <c r="FS123" s="156"/>
      <c r="FT123" s="156"/>
      <c r="FU123" s="156"/>
      <c r="FV123" s="156"/>
      <c r="FW123" s="156"/>
      <c r="FX123" s="156"/>
      <c r="FY123" s="156"/>
      <c r="FZ123" s="156"/>
      <c r="GA123" s="156"/>
      <c r="GB123" s="156"/>
      <c r="GC123" s="156"/>
      <c r="GD123" s="156"/>
      <c r="GE123" s="156"/>
      <c r="GF123" s="156"/>
      <c r="GG123" s="156"/>
      <c r="GH123" s="156"/>
      <c r="GI123" s="156"/>
      <c r="GJ123" s="156"/>
      <c r="GK123" s="156"/>
    </row>
    <row r="124" spans="2:193" ht="18.75" customHeight="1" x14ac:dyDescent="0.3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3204"/>
      <c r="AP124" s="3204"/>
      <c r="AQ124" s="3204"/>
      <c r="AR124" s="3204"/>
      <c r="AS124" s="3204"/>
      <c r="AT124" s="3204"/>
      <c r="AU124" s="3204"/>
      <c r="AV124" s="3204"/>
      <c r="AW124" s="3204"/>
      <c r="AX124" s="3204"/>
      <c r="AY124" s="3204"/>
      <c r="AZ124" s="3204"/>
      <c r="BA124" s="3204"/>
      <c r="BB124" s="3204"/>
      <c r="BC124" s="3204"/>
      <c r="BD124" s="3204"/>
      <c r="BE124" s="3204"/>
      <c r="BF124" s="3204"/>
      <c r="BG124" s="3204"/>
      <c r="BH124" s="3204"/>
      <c r="BI124" s="3204"/>
      <c r="BJ124" s="3204"/>
      <c r="BK124" s="3204"/>
      <c r="BL124" s="3204"/>
      <c r="BM124" s="3204"/>
      <c r="BN124" s="3204"/>
      <c r="BO124" s="3204"/>
      <c r="BP124" s="3204"/>
      <c r="BQ124" s="3204"/>
      <c r="BR124" s="3204"/>
      <c r="BS124" s="3204"/>
      <c r="BT124" s="3204"/>
      <c r="BU124" s="3204"/>
      <c r="BV124" s="3204"/>
      <c r="BW124" s="3204"/>
      <c r="BX124" s="3204"/>
      <c r="BY124" s="3204"/>
      <c r="BZ124" s="3204"/>
      <c r="CA124" s="3204"/>
      <c r="CB124" s="3204"/>
      <c r="CC124" s="3204"/>
      <c r="CD124" s="3204"/>
      <c r="CE124" s="3204"/>
      <c r="CF124" s="3204"/>
      <c r="CG124" s="3204"/>
      <c r="CH124" s="3204"/>
      <c r="CI124" s="3204"/>
      <c r="CJ124" s="3204"/>
      <c r="CK124" s="3204"/>
      <c r="CL124" s="3204"/>
      <c r="CM124" s="3204"/>
      <c r="CN124" s="3204"/>
      <c r="CO124" s="3204"/>
      <c r="CP124" s="3204"/>
      <c r="CQ124" s="3204"/>
      <c r="CR124" s="3204"/>
      <c r="CS124" s="3204"/>
      <c r="CT124" s="3204"/>
      <c r="CU124" s="3204"/>
      <c r="CV124" s="3204"/>
      <c r="CW124" s="3204"/>
      <c r="CX124" s="3204"/>
      <c r="CY124" s="3204"/>
      <c r="CZ124" s="3204"/>
      <c r="DA124" s="3204"/>
      <c r="DB124" s="3204"/>
      <c r="DC124" s="3204"/>
      <c r="DD124" s="3204"/>
      <c r="DE124" s="3204"/>
      <c r="DF124" s="3204"/>
      <c r="DG124" s="3204"/>
      <c r="DH124" s="3204"/>
      <c r="DI124" s="3204"/>
      <c r="DJ124" s="3204"/>
      <c r="DK124" s="3204"/>
      <c r="DL124" s="3204"/>
      <c r="DM124" s="3204"/>
      <c r="DN124" s="3204"/>
      <c r="DO124" s="3204"/>
      <c r="DP124" s="3204"/>
      <c r="DQ124" s="3204"/>
      <c r="DR124" s="3204"/>
      <c r="DS124" s="3204"/>
      <c r="DT124" s="3204"/>
      <c r="DU124" s="3204"/>
      <c r="DV124" s="3204"/>
      <c r="DW124" s="3204"/>
      <c r="DX124" s="3204"/>
      <c r="DY124" s="3204"/>
      <c r="DZ124" s="3204"/>
      <c r="EA124" s="3204"/>
      <c r="EB124" s="3204"/>
      <c r="EC124" s="3204"/>
      <c r="ED124" s="3204"/>
      <c r="EE124" s="3204"/>
      <c r="EF124" s="3204"/>
      <c r="EG124" s="3204"/>
      <c r="EH124" s="3204"/>
      <c r="EI124" s="3204"/>
      <c r="EJ124" s="3204"/>
      <c r="EK124" s="3204"/>
      <c r="EL124" s="3204"/>
      <c r="EM124" s="3204"/>
      <c r="EN124" s="3204"/>
      <c r="EO124" s="3204"/>
      <c r="EP124" s="3204"/>
      <c r="EQ124" s="3204"/>
      <c r="ER124" s="3204"/>
      <c r="ES124" s="3204"/>
      <c r="ET124" s="3204"/>
      <c r="EU124" s="3204"/>
      <c r="EV124" s="3204"/>
      <c r="EW124" s="3204"/>
      <c r="EX124" s="3204"/>
      <c r="EY124" s="3204"/>
      <c r="EZ124" s="3204"/>
      <c r="FA124" s="3204"/>
      <c r="FB124" s="3204"/>
      <c r="FC124" s="3204"/>
      <c r="FD124" s="3204"/>
      <c r="FE124" s="3204"/>
      <c r="FF124" s="3204"/>
      <c r="FG124" s="3204"/>
      <c r="FH124" s="3204"/>
      <c r="FI124" s="3204"/>
      <c r="FJ124" s="3204"/>
      <c r="FK124" s="3204"/>
      <c r="FL124" s="3204"/>
      <c r="FM124" s="3204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  <c r="FZ124" s="156"/>
      <c r="GA124" s="156"/>
      <c r="GB124" s="156"/>
      <c r="GC124" s="156"/>
      <c r="GD124" s="156"/>
      <c r="GE124" s="156"/>
      <c r="GF124" s="156"/>
      <c r="GG124" s="156"/>
      <c r="GH124" s="156"/>
      <c r="GI124" s="156"/>
      <c r="GJ124" s="156"/>
      <c r="GK124" s="156"/>
    </row>
    <row r="125" spans="2:193" ht="18.75" customHeight="1" x14ac:dyDescent="0.3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3204"/>
      <c r="AP125" s="3204"/>
      <c r="AQ125" s="3204"/>
      <c r="AR125" s="3204"/>
      <c r="AS125" s="3204"/>
      <c r="AT125" s="3204"/>
      <c r="AU125" s="3204"/>
      <c r="AV125" s="3204"/>
      <c r="AW125" s="3204"/>
      <c r="AX125" s="3204"/>
      <c r="AY125" s="3204"/>
      <c r="AZ125" s="3204"/>
      <c r="BA125" s="3204"/>
      <c r="BB125" s="3204"/>
      <c r="BC125" s="3204"/>
      <c r="BD125" s="3204"/>
      <c r="BE125" s="3204"/>
      <c r="BF125" s="3204"/>
      <c r="BG125" s="3204"/>
      <c r="BH125" s="3204"/>
      <c r="BI125" s="3204"/>
      <c r="BJ125" s="3204"/>
      <c r="BK125" s="3204"/>
      <c r="BL125" s="3204"/>
      <c r="BM125" s="3204"/>
      <c r="BN125" s="3204"/>
      <c r="BO125" s="3204"/>
      <c r="BP125" s="3204"/>
      <c r="BQ125" s="3204"/>
      <c r="BR125" s="3204"/>
      <c r="BS125" s="3204"/>
      <c r="BT125" s="3204"/>
      <c r="BU125" s="3204"/>
      <c r="BV125" s="3204"/>
      <c r="BW125" s="3204"/>
      <c r="BX125" s="3204"/>
      <c r="BY125" s="3204"/>
      <c r="BZ125" s="3204"/>
      <c r="CA125" s="3204"/>
      <c r="CB125" s="3204"/>
      <c r="CC125" s="3204"/>
      <c r="CD125" s="3204"/>
      <c r="CE125" s="3204"/>
      <c r="CF125" s="3204"/>
      <c r="CG125" s="3204"/>
      <c r="CH125" s="3204"/>
      <c r="CI125" s="3204"/>
      <c r="CJ125" s="3204"/>
      <c r="CK125" s="3204"/>
      <c r="CL125" s="3204"/>
      <c r="CM125" s="3204"/>
      <c r="CN125" s="3204"/>
      <c r="CO125" s="3204"/>
      <c r="CP125" s="3204"/>
      <c r="CQ125" s="3204"/>
      <c r="CR125" s="3204"/>
      <c r="CS125" s="3204"/>
      <c r="CT125" s="3204"/>
      <c r="CU125" s="3204"/>
      <c r="CV125" s="3204"/>
      <c r="CW125" s="3204"/>
      <c r="CX125" s="3204"/>
      <c r="CY125" s="3204"/>
      <c r="CZ125" s="3204"/>
      <c r="DA125" s="3204"/>
      <c r="DB125" s="3204"/>
      <c r="DC125" s="3204"/>
      <c r="DD125" s="3204"/>
      <c r="DE125" s="3204"/>
      <c r="DF125" s="3204"/>
      <c r="DG125" s="3204"/>
      <c r="DH125" s="3204"/>
      <c r="DI125" s="3204"/>
      <c r="DJ125" s="3204"/>
      <c r="DK125" s="3204"/>
      <c r="DL125" s="3204"/>
      <c r="DM125" s="3204"/>
      <c r="DN125" s="3204"/>
      <c r="DO125" s="3204"/>
      <c r="DP125" s="3204"/>
      <c r="DQ125" s="3204"/>
      <c r="DR125" s="3204"/>
      <c r="DS125" s="3204"/>
      <c r="DT125" s="3204"/>
      <c r="DU125" s="3204"/>
      <c r="DV125" s="3204"/>
      <c r="DW125" s="3204"/>
      <c r="DX125" s="3204"/>
      <c r="DY125" s="3204"/>
      <c r="DZ125" s="3204"/>
      <c r="EA125" s="3204"/>
      <c r="EB125" s="3204"/>
      <c r="EC125" s="3204"/>
      <c r="ED125" s="3204"/>
      <c r="EE125" s="3204"/>
      <c r="EF125" s="3204"/>
      <c r="EG125" s="3204"/>
      <c r="EH125" s="3204"/>
      <c r="EI125" s="3204"/>
      <c r="EJ125" s="3204"/>
      <c r="EK125" s="3204"/>
      <c r="EL125" s="3204"/>
      <c r="EM125" s="3204"/>
      <c r="EN125" s="3204"/>
      <c r="EO125" s="3204"/>
      <c r="EP125" s="3204"/>
      <c r="EQ125" s="3204"/>
      <c r="ER125" s="3204"/>
      <c r="ES125" s="3204"/>
      <c r="ET125" s="3204"/>
      <c r="EU125" s="3204"/>
      <c r="EV125" s="3204"/>
      <c r="EW125" s="3204"/>
      <c r="EX125" s="3204"/>
      <c r="EY125" s="3204"/>
      <c r="EZ125" s="3204"/>
      <c r="FA125" s="3204"/>
      <c r="FB125" s="3204"/>
      <c r="FC125" s="3204"/>
      <c r="FD125" s="3204"/>
      <c r="FE125" s="3204"/>
      <c r="FF125" s="3204"/>
      <c r="FG125" s="3204"/>
      <c r="FH125" s="3204"/>
      <c r="FI125" s="3204"/>
      <c r="FJ125" s="3204"/>
      <c r="FK125" s="3204"/>
      <c r="FL125" s="3204"/>
      <c r="FM125" s="3204"/>
      <c r="FN125" s="156"/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</row>
    <row r="126" spans="2:193" ht="18.75" customHeight="1" x14ac:dyDescent="0.3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3204"/>
      <c r="AP126" s="3204"/>
      <c r="AQ126" s="3204"/>
      <c r="AR126" s="3204"/>
      <c r="AS126" s="3204"/>
      <c r="AT126" s="3204"/>
      <c r="AU126" s="3204"/>
      <c r="AV126" s="3204"/>
      <c r="AW126" s="3204"/>
      <c r="AX126" s="3204"/>
      <c r="AY126" s="3204"/>
      <c r="AZ126" s="3204"/>
      <c r="BA126" s="3204"/>
      <c r="BB126" s="3204"/>
      <c r="BC126" s="3204"/>
      <c r="BD126" s="3204"/>
      <c r="BE126" s="3204"/>
      <c r="BF126" s="3204"/>
      <c r="BG126" s="3204"/>
      <c r="BH126" s="3204"/>
      <c r="BI126" s="3204"/>
      <c r="BJ126" s="3204"/>
      <c r="BK126" s="3204"/>
      <c r="BL126" s="3204"/>
      <c r="BM126" s="3204"/>
      <c r="BN126" s="3204"/>
      <c r="BO126" s="3204"/>
      <c r="BP126" s="3204"/>
      <c r="BQ126" s="3204"/>
      <c r="BR126" s="3204"/>
      <c r="BS126" s="3204"/>
      <c r="BT126" s="3204"/>
      <c r="BU126" s="3204"/>
      <c r="BV126" s="3204"/>
      <c r="BW126" s="3204"/>
      <c r="BX126" s="3204"/>
      <c r="BY126" s="3204"/>
      <c r="BZ126" s="3204"/>
      <c r="CA126" s="3204"/>
      <c r="CB126" s="3204"/>
      <c r="CC126" s="3204"/>
      <c r="CD126" s="3204"/>
      <c r="CE126" s="3204"/>
      <c r="CF126" s="3204"/>
      <c r="CG126" s="3204"/>
      <c r="CH126" s="3204"/>
      <c r="CI126" s="3204"/>
      <c r="CJ126" s="3204"/>
      <c r="CK126" s="3204"/>
      <c r="CL126" s="3204"/>
      <c r="CM126" s="3204"/>
      <c r="CN126" s="3204"/>
      <c r="CO126" s="3204"/>
      <c r="CP126" s="3204"/>
      <c r="CQ126" s="3204"/>
      <c r="CR126" s="3204"/>
      <c r="CS126" s="3204"/>
      <c r="CT126" s="3204"/>
      <c r="CU126" s="3204"/>
      <c r="CV126" s="3204"/>
      <c r="CW126" s="3204"/>
      <c r="CX126" s="3204"/>
      <c r="CY126" s="3204"/>
      <c r="CZ126" s="3204"/>
      <c r="DA126" s="3204"/>
      <c r="DB126" s="3204"/>
      <c r="DC126" s="3204"/>
      <c r="DD126" s="3204"/>
      <c r="DE126" s="3204"/>
      <c r="DF126" s="3204"/>
      <c r="DG126" s="3204"/>
      <c r="DH126" s="3204"/>
      <c r="DI126" s="3204"/>
      <c r="DJ126" s="3204"/>
      <c r="DK126" s="3204"/>
      <c r="DL126" s="3204"/>
      <c r="DM126" s="3204"/>
      <c r="DN126" s="3204"/>
      <c r="DO126" s="3204"/>
      <c r="DP126" s="3204"/>
      <c r="DQ126" s="3204"/>
      <c r="DR126" s="3204"/>
      <c r="DS126" s="3204"/>
      <c r="DT126" s="3204"/>
      <c r="DU126" s="3204"/>
      <c r="DV126" s="3204"/>
      <c r="DW126" s="3204"/>
      <c r="DX126" s="3204"/>
      <c r="DY126" s="3204"/>
      <c r="DZ126" s="3204"/>
      <c r="EA126" s="3204"/>
      <c r="EB126" s="3204"/>
      <c r="EC126" s="3204"/>
      <c r="ED126" s="3204"/>
      <c r="EE126" s="3204"/>
      <c r="EF126" s="3204"/>
      <c r="EG126" s="3204"/>
      <c r="EH126" s="3204"/>
      <c r="EI126" s="3204"/>
      <c r="EJ126" s="3204"/>
      <c r="EK126" s="3204"/>
      <c r="EL126" s="3204"/>
      <c r="EM126" s="3204"/>
      <c r="EN126" s="3204"/>
      <c r="EO126" s="3204"/>
      <c r="EP126" s="3204"/>
      <c r="EQ126" s="3204"/>
      <c r="ER126" s="3204"/>
      <c r="ES126" s="3204"/>
      <c r="ET126" s="3204"/>
      <c r="EU126" s="3204"/>
      <c r="EV126" s="3204"/>
      <c r="EW126" s="3204"/>
      <c r="EX126" s="3204"/>
      <c r="EY126" s="3204"/>
      <c r="EZ126" s="3204"/>
      <c r="FA126" s="3204"/>
      <c r="FB126" s="3204"/>
      <c r="FC126" s="3204"/>
      <c r="FD126" s="3204"/>
      <c r="FE126" s="3204"/>
      <c r="FF126" s="3204"/>
      <c r="FG126" s="3204"/>
      <c r="FH126" s="3204"/>
      <c r="FI126" s="3204"/>
      <c r="FJ126" s="3204"/>
      <c r="FK126" s="3204"/>
      <c r="FL126" s="3204"/>
      <c r="FM126" s="3204"/>
      <c r="FN126" s="156"/>
      <c r="FO126" s="156"/>
      <c r="FP126" s="156"/>
      <c r="FQ126" s="156"/>
      <c r="FR126" s="156"/>
      <c r="FS126" s="156"/>
      <c r="FT126" s="156"/>
      <c r="FU126" s="156"/>
      <c r="FV126" s="156"/>
      <c r="FW126" s="156"/>
      <c r="FX126" s="156"/>
      <c r="FY126" s="156"/>
      <c r="FZ126" s="156"/>
      <c r="GA126" s="156"/>
      <c r="GB126" s="156"/>
      <c r="GC126" s="156"/>
      <c r="GD126" s="156"/>
      <c r="GE126" s="156"/>
      <c r="GF126" s="156"/>
      <c r="GG126" s="156"/>
      <c r="GH126" s="156"/>
      <c r="GI126" s="156"/>
      <c r="GJ126" s="156"/>
      <c r="GK126" s="156"/>
    </row>
    <row r="127" spans="2:193" ht="18.75" customHeight="1" x14ac:dyDescent="0.3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3204"/>
      <c r="AP127" s="3204"/>
      <c r="AQ127" s="3204"/>
      <c r="AR127" s="3204"/>
      <c r="AS127" s="3204"/>
      <c r="AT127" s="3204"/>
      <c r="AU127" s="3204"/>
      <c r="AV127" s="3204"/>
      <c r="AW127" s="3204"/>
      <c r="AX127" s="3204"/>
      <c r="AY127" s="3204"/>
      <c r="AZ127" s="3204"/>
      <c r="BA127" s="3204"/>
      <c r="BB127" s="3204"/>
      <c r="BC127" s="3204"/>
      <c r="BD127" s="3204"/>
      <c r="BE127" s="3204"/>
      <c r="BF127" s="3204"/>
      <c r="BG127" s="3204"/>
      <c r="BH127" s="3204"/>
      <c r="BI127" s="3204"/>
      <c r="BJ127" s="3204"/>
      <c r="BK127" s="3204"/>
      <c r="BL127" s="3204"/>
      <c r="BM127" s="3204"/>
      <c r="BN127" s="3204"/>
      <c r="BO127" s="3204"/>
      <c r="BP127" s="3204"/>
      <c r="BQ127" s="3204"/>
      <c r="BR127" s="3204"/>
      <c r="BS127" s="3204"/>
      <c r="BT127" s="3204"/>
      <c r="BU127" s="3204"/>
      <c r="BV127" s="3204"/>
      <c r="BW127" s="3204"/>
      <c r="BX127" s="3204"/>
      <c r="BY127" s="3204"/>
      <c r="BZ127" s="3204"/>
      <c r="CA127" s="3204"/>
      <c r="CB127" s="3204"/>
      <c r="CC127" s="3204"/>
      <c r="CD127" s="3204"/>
      <c r="CE127" s="3204"/>
      <c r="CF127" s="3204"/>
      <c r="CG127" s="3204"/>
      <c r="CH127" s="3204"/>
      <c r="CI127" s="3204"/>
      <c r="CJ127" s="3204"/>
      <c r="CK127" s="3204"/>
      <c r="CL127" s="3204"/>
      <c r="CM127" s="3204"/>
      <c r="CN127" s="3204"/>
      <c r="CO127" s="3204"/>
      <c r="CP127" s="3204"/>
      <c r="CQ127" s="3204"/>
      <c r="CR127" s="3204"/>
      <c r="CS127" s="3204"/>
      <c r="CT127" s="3204"/>
      <c r="CU127" s="3204"/>
      <c r="CV127" s="3204"/>
      <c r="CW127" s="3204"/>
      <c r="CX127" s="3204"/>
      <c r="CY127" s="3204"/>
      <c r="CZ127" s="3204"/>
      <c r="DA127" s="3204"/>
      <c r="DB127" s="3204"/>
      <c r="DC127" s="3204"/>
      <c r="DD127" s="3204"/>
      <c r="DE127" s="3204"/>
      <c r="DF127" s="3204"/>
      <c r="DG127" s="3204"/>
      <c r="DH127" s="3204"/>
      <c r="DI127" s="3204"/>
      <c r="DJ127" s="3204"/>
      <c r="DK127" s="3204"/>
      <c r="DL127" s="3204"/>
      <c r="DM127" s="3204"/>
      <c r="DN127" s="3204"/>
      <c r="DO127" s="3204"/>
      <c r="DP127" s="3204"/>
      <c r="DQ127" s="3204"/>
      <c r="DR127" s="3204"/>
      <c r="DS127" s="3204"/>
      <c r="DT127" s="3204"/>
      <c r="DU127" s="3204"/>
      <c r="DV127" s="3204"/>
      <c r="DW127" s="3204"/>
      <c r="DX127" s="3204"/>
      <c r="DY127" s="3204"/>
      <c r="DZ127" s="3204"/>
      <c r="EA127" s="3204"/>
      <c r="EB127" s="3204"/>
      <c r="EC127" s="3204"/>
      <c r="ED127" s="3204"/>
      <c r="EE127" s="3204"/>
      <c r="EF127" s="3204"/>
      <c r="EG127" s="3204"/>
      <c r="EH127" s="3204"/>
      <c r="EI127" s="3204"/>
      <c r="EJ127" s="3204"/>
      <c r="EK127" s="3204"/>
      <c r="EL127" s="3204"/>
      <c r="EM127" s="3204"/>
      <c r="EN127" s="3204"/>
      <c r="EO127" s="3204"/>
      <c r="EP127" s="3204"/>
      <c r="EQ127" s="3204"/>
      <c r="ER127" s="3204"/>
      <c r="ES127" s="3204"/>
      <c r="ET127" s="3204"/>
      <c r="EU127" s="3204"/>
      <c r="EV127" s="3204"/>
      <c r="EW127" s="3204"/>
      <c r="EX127" s="3204"/>
      <c r="EY127" s="3204"/>
      <c r="EZ127" s="3204"/>
      <c r="FA127" s="3204"/>
      <c r="FB127" s="3204"/>
      <c r="FC127" s="3204"/>
      <c r="FD127" s="3204"/>
      <c r="FE127" s="3204"/>
      <c r="FF127" s="3204"/>
      <c r="FG127" s="3204"/>
      <c r="FH127" s="3204"/>
      <c r="FI127" s="3204"/>
      <c r="FJ127" s="3204"/>
      <c r="FK127" s="3204"/>
      <c r="FL127" s="3204"/>
      <c r="FM127" s="3204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</row>
    <row r="128" spans="2:193" ht="18.75" customHeight="1" x14ac:dyDescent="0.3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3204"/>
      <c r="AP128" s="3204"/>
      <c r="AQ128" s="3204"/>
      <c r="AR128" s="3204"/>
      <c r="AS128" s="3204"/>
      <c r="AT128" s="3204"/>
      <c r="AU128" s="3204"/>
      <c r="AV128" s="3204"/>
      <c r="AW128" s="3204"/>
      <c r="AX128" s="3204"/>
      <c r="AY128" s="3204"/>
      <c r="AZ128" s="3204"/>
      <c r="BA128" s="3204"/>
      <c r="BB128" s="3204"/>
      <c r="BC128" s="3204"/>
      <c r="BD128" s="3204"/>
      <c r="BE128" s="3204"/>
      <c r="BF128" s="3204"/>
      <c r="BG128" s="3204"/>
      <c r="BH128" s="3204"/>
      <c r="BI128" s="3204"/>
      <c r="BJ128" s="3204"/>
      <c r="BK128" s="3204"/>
      <c r="BL128" s="3204"/>
      <c r="BM128" s="3204"/>
      <c r="BN128" s="3204"/>
      <c r="BO128" s="3204"/>
      <c r="BP128" s="3204"/>
      <c r="BQ128" s="3204"/>
      <c r="BR128" s="3204"/>
      <c r="BS128" s="3204"/>
      <c r="BT128" s="3204"/>
      <c r="BU128" s="3204"/>
      <c r="BV128" s="3204"/>
      <c r="BW128" s="3204"/>
      <c r="BX128" s="3204"/>
      <c r="BY128" s="3204"/>
      <c r="BZ128" s="3204"/>
      <c r="CA128" s="3204"/>
      <c r="CB128" s="3204"/>
      <c r="CC128" s="3204"/>
      <c r="CD128" s="3204"/>
      <c r="CE128" s="3204"/>
      <c r="CF128" s="3204"/>
      <c r="CG128" s="3204"/>
      <c r="CH128" s="3204"/>
      <c r="CI128" s="3204"/>
      <c r="CJ128" s="3204"/>
      <c r="CK128" s="3204"/>
      <c r="CL128" s="3204"/>
      <c r="CM128" s="3204"/>
      <c r="CN128" s="3204"/>
      <c r="CO128" s="3204"/>
      <c r="CP128" s="3204"/>
      <c r="CQ128" s="3204"/>
      <c r="CR128" s="3204"/>
      <c r="CS128" s="3204"/>
      <c r="CT128" s="3204"/>
      <c r="CU128" s="3204"/>
      <c r="CV128" s="3204"/>
      <c r="CW128" s="3204"/>
      <c r="CX128" s="3204"/>
      <c r="CY128" s="3204"/>
      <c r="CZ128" s="3204"/>
      <c r="DA128" s="3204"/>
      <c r="DB128" s="3204"/>
      <c r="DC128" s="3204"/>
      <c r="DD128" s="3204"/>
      <c r="DE128" s="3204"/>
      <c r="DF128" s="3204"/>
      <c r="DG128" s="3204"/>
      <c r="DH128" s="3204"/>
      <c r="DI128" s="3204"/>
      <c r="DJ128" s="3204"/>
      <c r="DK128" s="3204"/>
      <c r="DL128" s="3204"/>
      <c r="DM128" s="3204"/>
      <c r="DN128" s="3204"/>
      <c r="DO128" s="3204"/>
      <c r="DP128" s="3204"/>
      <c r="DQ128" s="3204"/>
      <c r="DR128" s="3204"/>
      <c r="DS128" s="3204"/>
      <c r="DT128" s="3204"/>
      <c r="DU128" s="3204"/>
      <c r="DV128" s="3204"/>
      <c r="DW128" s="3204"/>
      <c r="DX128" s="3204"/>
      <c r="DY128" s="3204"/>
      <c r="DZ128" s="3204"/>
      <c r="EA128" s="3204"/>
      <c r="EB128" s="3204"/>
      <c r="EC128" s="3204"/>
      <c r="ED128" s="3204"/>
      <c r="EE128" s="3204"/>
      <c r="EF128" s="3204"/>
      <c r="EG128" s="3204"/>
      <c r="EH128" s="3204"/>
      <c r="EI128" s="3204"/>
      <c r="EJ128" s="3204"/>
      <c r="EK128" s="3204"/>
      <c r="EL128" s="3204"/>
      <c r="EM128" s="3204"/>
      <c r="EN128" s="3204"/>
      <c r="EO128" s="3204"/>
      <c r="EP128" s="3204"/>
      <c r="EQ128" s="3204"/>
      <c r="ER128" s="3204"/>
      <c r="ES128" s="3204"/>
      <c r="ET128" s="3204"/>
      <c r="EU128" s="3204"/>
      <c r="EV128" s="3204"/>
      <c r="EW128" s="3204"/>
      <c r="EX128" s="3204"/>
      <c r="EY128" s="3204"/>
      <c r="EZ128" s="3204"/>
      <c r="FA128" s="3204"/>
      <c r="FB128" s="3204"/>
      <c r="FC128" s="3204"/>
      <c r="FD128" s="3204"/>
      <c r="FE128" s="3204"/>
      <c r="FF128" s="3204"/>
      <c r="FG128" s="3204"/>
      <c r="FH128" s="3204"/>
      <c r="FI128" s="3204"/>
      <c r="FJ128" s="3204"/>
      <c r="FK128" s="3204"/>
      <c r="FL128" s="3204"/>
      <c r="FM128" s="3204"/>
      <c r="FN128" s="156"/>
      <c r="FO128" s="156"/>
      <c r="FP128" s="156"/>
      <c r="FQ128" s="156"/>
      <c r="FR128" s="156"/>
      <c r="FS128" s="156"/>
      <c r="FT128" s="156"/>
      <c r="FU128" s="156"/>
      <c r="FV128" s="156"/>
      <c r="FW128" s="156"/>
      <c r="FX128" s="156"/>
      <c r="FY128" s="156"/>
      <c r="FZ128" s="156"/>
      <c r="GA128" s="156"/>
      <c r="GB128" s="156"/>
      <c r="GC128" s="156"/>
      <c r="GD128" s="156"/>
      <c r="GE128" s="156"/>
      <c r="GF128" s="156"/>
      <c r="GG128" s="156"/>
      <c r="GH128" s="156"/>
      <c r="GI128" s="156"/>
      <c r="GJ128" s="156"/>
      <c r="GK128" s="156"/>
    </row>
    <row r="129" spans="2:193" ht="18.75" customHeight="1" x14ac:dyDescent="0.3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3204"/>
      <c r="AP129" s="3204"/>
      <c r="AQ129" s="3204"/>
      <c r="AR129" s="3204"/>
      <c r="AS129" s="3204"/>
      <c r="AT129" s="3204"/>
      <c r="AU129" s="3204"/>
      <c r="AV129" s="3204"/>
      <c r="AW129" s="3204"/>
      <c r="AX129" s="3204"/>
      <c r="AY129" s="3204"/>
      <c r="AZ129" s="3204"/>
      <c r="BA129" s="3204"/>
      <c r="BB129" s="3204"/>
      <c r="BC129" s="3204"/>
      <c r="BD129" s="3204"/>
      <c r="BE129" s="3204"/>
      <c r="BF129" s="3204"/>
      <c r="BG129" s="3204"/>
      <c r="BH129" s="3204"/>
      <c r="BI129" s="3204"/>
      <c r="BJ129" s="3204"/>
      <c r="BK129" s="3204"/>
      <c r="BL129" s="3204"/>
      <c r="BM129" s="3204"/>
      <c r="BN129" s="3204"/>
      <c r="BO129" s="3204"/>
      <c r="BP129" s="3204"/>
      <c r="BQ129" s="3204"/>
      <c r="BR129" s="3204"/>
      <c r="BS129" s="3204"/>
      <c r="BT129" s="3204"/>
      <c r="BU129" s="3204"/>
      <c r="BV129" s="3204"/>
      <c r="BW129" s="3204"/>
      <c r="BX129" s="3204"/>
      <c r="BY129" s="3204"/>
      <c r="BZ129" s="3204"/>
      <c r="CA129" s="3204"/>
      <c r="CB129" s="3204"/>
      <c r="CC129" s="3204"/>
      <c r="CD129" s="3204"/>
      <c r="CE129" s="3204"/>
      <c r="CF129" s="3204"/>
      <c r="CG129" s="3204"/>
      <c r="CH129" s="3204"/>
      <c r="CI129" s="3204"/>
      <c r="CJ129" s="3204"/>
      <c r="CK129" s="3204"/>
      <c r="CL129" s="3204"/>
      <c r="CM129" s="3204"/>
      <c r="CN129" s="3204"/>
      <c r="CO129" s="3204"/>
      <c r="CP129" s="3204"/>
      <c r="CQ129" s="3204"/>
      <c r="CR129" s="3204"/>
      <c r="CS129" s="3204"/>
      <c r="CT129" s="3204"/>
      <c r="CU129" s="3204"/>
      <c r="CV129" s="3204"/>
      <c r="CW129" s="3204"/>
      <c r="CX129" s="3204"/>
      <c r="CY129" s="3204"/>
      <c r="CZ129" s="3204"/>
      <c r="DA129" s="3204"/>
      <c r="DB129" s="3204"/>
      <c r="DC129" s="3204"/>
      <c r="DD129" s="3204"/>
      <c r="DE129" s="3204"/>
      <c r="DF129" s="3204"/>
      <c r="DG129" s="3204"/>
      <c r="DH129" s="3204"/>
      <c r="DI129" s="3204"/>
      <c r="DJ129" s="3204"/>
      <c r="DK129" s="3204"/>
      <c r="DL129" s="3204"/>
      <c r="DM129" s="3204"/>
      <c r="DN129" s="3204"/>
      <c r="DO129" s="3204"/>
      <c r="DP129" s="3204"/>
      <c r="DQ129" s="3204"/>
      <c r="DR129" s="3204"/>
      <c r="DS129" s="3204"/>
      <c r="DT129" s="3204"/>
      <c r="DU129" s="3204"/>
      <c r="DV129" s="3204"/>
      <c r="DW129" s="3204"/>
      <c r="DX129" s="3204"/>
      <c r="DY129" s="3204"/>
      <c r="DZ129" s="3204"/>
      <c r="EA129" s="3204"/>
      <c r="EB129" s="3204"/>
      <c r="EC129" s="3204"/>
      <c r="ED129" s="3204"/>
      <c r="EE129" s="3204"/>
      <c r="EF129" s="3204"/>
      <c r="EG129" s="3204"/>
      <c r="EH129" s="3204"/>
      <c r="EI129" s="3204"/>
      <c r="EJ129" s="3204"/>
      <c r="EK129" s="3204"/>
      <c r="EL129" s="3204"/>
      <c r="EM129" s="3204"/>
      <c r="EN129" s="3204"/>
      <c r="EO129" s="3204"/>
      <c r="EP129" s="3204"/>
      <c r="EQ129" s="3204"/>
      <c r="ER129" s="3204"/>
      <c r="ES129" s="3204"/>
      <c r="ET129" s="3204"/>
      <c r="EU129" s="3204"/>
      <c r="EV129" s="3204"/>
      <c r="EW129" s="3204"/>
      <c r="EX129" s="3204"/>
      <c r="EY129" s="3204"/>
      <c r="EZ129" s="3204"/>
      <c r="FA129" s="3204"/>
      <c r="FB129" s="3204"/>
      <c r="FC129" s="3204"/>
      <c r="FD129" s="3204"/>
      <c r="FE129" s="3204"/>
      <c r="FF129" s="3204"/>
      <c r="FG129" s="3204"/>
      <c r="FH129" s="3204"/>
      <c r="FI129" s="3204"/>
      <c r="FJ129" s="3204"/>
      <c r="FK129" s="3204"/>
      <c r="FL129" s="3204"/>
      <c r="FM129" s="3204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</row>
    <row r="130" spans="2:193" ht="18.75" customHeight="1" x14ac:dyDescent="0.3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3204"/>
      <c r="AP130" s="3204"/>
      <c r="AQ130" s="3204"/>
      <c r="AR130" s="3204"/>
      <c r="AS130" s="3204"/>
      <c r="AT130" s="3204"/>
      <c r="AU130" s="3204"/>
      <c r="AV130" s="3204"/>
      <c r="AW130" s="3204"/>
      <c r="AX130" s="3204"/>
      <c r="AY130" s="3204"/>
      <c r="AZ130" s="3204"/>
      <c r="BA130" s="3204"/>
      <c r="BB130" s="3204"/>
      <c r="BC130" s="3204"/>
      <c r="BD130" s="3204"/>
      <c r="BE130" s="3204"/>
      <c r="BF130" s="3204"/>
      <c r="BG130" s="3204"/>
      <c r="BH130" s="3204"/>
      <c r="BI130" s="3204"/>
      <c r="BJ130" s="3204"/>
      <c r="BK130" s="3204"/>
      <c r="BL130" s="3204"/>
      <c r="BM130" s="3204"/>
      <c r="BN130" s="3204"/>
      <c r="BO130" s="3204"/>
      <c r="BP130" s="3204"/>
      <c r="BQ130" s="3204"/>
      <c r="BR130" s="3204"/>
      <c r="BS130" s="3204"/>
      <c r="BT130" s="3204"/>
      <c r="BU130" s="3204"/>
      <c r="BV130" s="3204"/>
      <c r="BW130" s="3204"/>
      <c r="BX130" s="3204"/>
      <c r="BY130" s="3204"/>
      <c r="BZ130" s="3204"/>
      <c r="CA130" s="3204"/>
      <c r="CB130" s="3204"/>
      <c r="CC130" s="3204"/>
      <c r="CD130" s="3204"/>
      <c r="CE130" s="3204"/>
      <c r="CF130" s="3204"/>
      <c r="CG130" s="3204"/>
      <c r="CH130" s="3204"/>
      <c r="CI130" s="3204"/>
      <c r="CJ130" s="3204"/>
      <c r="CK130" s="3204"/>
      <c r="CL130" s="3204"/>
      <c r="CM130" s="3204"/>
      <c r="CN130" s="3204"/>
      <c r="CO130" s="3204"/>
      <c r="CP130" s="3204"/>
      <c r="CQ130" s="3204"/>
      <c r="CR130" s="3204"/>
      <c r="CS130" s="3204"/>
      <c r="CT130" s="3204"/>
      <c r="CU130" s="3204"/>
      <c r="CV130" s="3204"/>
      <c r="CW130" s="3204"/>
      <c r="CX130" s="3204"/>
      <c r="CY130" s="3204"/>
      <c r="CZ130" s="3204"/>
      <c r="DA130" s="3204"/>
      <c r="DB130" s="3204"/>
      <c r="DC130" s="3204"/>
      <c r="DD130" s="3204"/>
      <c r="DE130" s="3204"/>
      <c r="DF130" s="3204"/>
      <c r="DG130" s="3204"/>
      <c r="DH130" s="3204"/>
      <c r="DI130" s="3204"/>
      <c r="DJ130" s="3204"/>
      <c r="DK130" s="3204"/>
      <c r="DL130" s="3204"/>
      <c r="DM130" s="3204"/>
      <c r="DN130" s="3204"/>
      <c r="DO130" s="3204"/>
      <c r="DP130" s="3204"/>
      <c r="DQ130" s="3204"/>
      <c r="DR130" s="3204"/>
      <c r="DS130" s="3204"/>
      <c r="DT130" s="3204"/>
      <c r="DU130" s="3204"/>
      <c r="DV130" s="3204"/>
      <c r="DW130" s="3204"/>
      <c r="DX130" s="3204"/>
      <c r="DY130" s="3204"/>
      <c r="DZ130" s="3204"/>
      <c r="EA130" s="3204"/>
      <c r="EB130" s="3204"/>
      <c r="EC130" s="3204"/>
      <c r="ED130" s="3204"/>
      <c r="EE130" s="3204"/>
      <c r="EF130" s="3204"/>
      <c r="EG130" s="3204"/>
      <c r="EH130" s="3204"/>
      <c r="EI130" s="3204"/>
      <c r="EJ130" s="3204"/>
      <c r="EK130" s="3204"/>
      <c r="EL130" s="3204"/>
      <c r="EM130" s="3204"/>
      <c r="EN130" s="3204"/>
      <c r="EO130" s="3204"/>
      <c r="EP130" s="3204"/>
      <c r="EQ130" s="3204"/>
      <c r="ER130" s="3204"/>
      <c r="ES130" s="3204"/>
      <c r="ET130" s="3204"/>
      <c r="EU130" s="3204"/>
      <c r="EV130" s="3204"/>
      <c r="EW130" s="3204"/>
      <c r="EX130" s="3204"/>
      <c r="EY130" s="3204"/>
      <c r="EZ130" s="3204"/>
      <c r="FA130" s="3204"/>
      <c r="FB130" s="3204"/>
      <c r="FC130" s="3204"/>
      <c r="FD130" s="3204"/>
      <c r="FE130" s="3204"/>
      <c r="FF130" s="3204"/>
      <c r="FG130" s="3204"/>
      <c r="FH130" s="3204"/>
      <c r="FI130" s="3204"/>
      <c r="FJ130" s="3204"/>
      <c r="FK130" s="3204"/>
      <c r="FL130" s="3204"/>
      <c r="FM130" s="3204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</row>
    <row r="131" spans="2:193" ht="18.75" customHeight="1" x14ac:dyDescent="0.3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3204"/>
      <c r="AP131" s="3204"/>
      <c r="AQ131" s="3204"/>
      <c r="AR131" s="3204"/>
      <c r="AS131" s="3204"/>
      <c r="AT131" s="3204"/>
      <c r="AU131" s="3204"/>
      <c r="AV131" s="3204"/>
      <c r="AW131" s="3204"/>
      <c r="AX131" s="3204"/>
      <c r="AY131" s="3204"/>
      <c r="AZ131" s="3204"/>
      <c r="BA131" s="3204"/>
      <c r="BB131" s="3204"/>
      <c r="BC131" s="3204"/>
      <c r="BD131" s="3204"/>
      <c r="BE131" s="3204"/>
      <c r="BF131" s="3204"/>
      <c r="BG131" s="3204"/>
      <c r="BH131" s="3204"/>
      <c r="BI131" s="3204"/>
      <c r="BJ131" s="3204"/>
      <c r="BK131" s="3204"/>
      <c r="BL131" s="3204"/>
      <c r="BM131" s="3204"/>
      <c r="BN131" s="3204"/>
      <c r="BO131" s="3204"/>
      <c r="BP131" s="3204"/>
      <c r="BQ131" s="3204"/>
      <c r="BR131" s="3204"/>
      <c r="BS131" s="3204"/>
      <c r="BT131" s="3204"/>
      <c r="BU131" s="3204"/>
      <c r="BV131" s="3204"/>
      <c r="BW131" s="3204"/>
      <c r="BX131" s="3204"/>
      <c r="BY131" s="3204"/>
      <c r="BZ131" s="3204"/>
      <c r="CA131" s="3204"/>
      <c r="CB131" s="3204"/>
      <c r="CC131" s="3204"/>
      <c r="CD131" s="3204"/>
      <c r="CE131" s="3204"/>
      <c r="CF131" s="3204"/>
      <c r="CG131" s="3204"/>
      <c r="CH131" s="3204"/>
      <c r="CI131" s="3204"/>
      <c r="CJ131" s="3204"/>
      <c r="CK131" s="3204"/>
      <c r="CL131" s="3204"/>
      <c r="CM131" s="3204"/>
      <c r="CN131" s="3204"/>
      <c r="CO131" s="3204"/>
      <c r="CP131" s="3204"/>
      <c r="CQ131" s="3204"/>
      <c r="CR131" s="3204"/>
      <c r="CS131" s="3204"/>
      <c r="CT131" s="3204"/>
      <c r="CU131" s="3204"/>
      <c r="CV131" s="3204"/>
      <c r="CW131" s="3204"/>
      <c r="CX131" s="3204"/>
      <c r="CY131" s="3204"/>
      <c r="CZ131" s="3204"/>
      <c r="DA131" s="3204"/>
      <c r="DB131" s="3204"/>
      <c r="DC131" s="3204"/>
      <c r="DD131" s="3204"/>
      <c r="DE131" s="3204"/>
      <c r="DF131" s="3204"/>
      <c r="DG131" s="3204"/>
      <c r="DH131" s="3204"/>
      <c r="DI131" s="3204"/>
      <c r="DJ131" s="3204"/>
      <c r="DK131" s="3204"/>
      <c r="DL131" s="3204"/>
      <c r="DM131" s="3204"/>
      <c r="DN131" s="3204"/>
      <c r="DO131" s="3204"/>
      <c r="DP131" s="3204"/>
      <c r="DQ131" s="3204"/>
      <c r="DR131" s="3204"/>
      <c r="DS131" s="3204"/>
      <c r="DT131" s="3204"/>
      <c r="DU131" s="3204"/>
      <c r="DV131" s="3204"/>
      <c r="DW131" s="3204"/>
      <c r="DX131" s="3204"/>
      <c r="DY131" s="3204"/>
      <c r="DZ131" s="3204"/>
      <c r="EA131" s="3204"/>
      <c r="EB131" s="3204"/>
      <c r="EC131" s="3204"/>
      <c r="ED131" s="3204"/>
      <c r="EE131" s="3204"/>
      <c r="EF131" s="3204"/>
      <c r="EG131" s="3204"/>
      <c r="EH131" s="3204"/>
      <c r="EI131" s="3204"/>
      <c r="EJ131" s="3204"/>
      <c r="EK131" s="3204"/>
      <c r="EL131" s="3204"/>
      <c r="EM131" s="3204"/>
      <c r="EN131" s="3204"/>
      <c r="EO131" s="3204"/>
      <c r="EP131" s="3204"/>
      <c r="EQ131" s="3204"/>
      <c r="ER131" s="3204"/>
      <c r="ES131" s="3204"/>
      <c r="ET131" s="3204"/>
      <c r="EU131" s="3204"/>
      <c r="EV131" s="3204"/>
      <c r="EW131" s="3204"/>
      <c r="EX131" s="3204"/>
      <c r="EY131" s="3204"/>
      <c r="EZ131" s="3204"/>
      <c r="FA131" s="3204"/>
      <c r="FB131" s="3204"/>
      <c r="FC131" s="3204"/>
      <c r="FD131" s="3204"/>
      <c r="FE131" s="3204"/>
      <c r="FF131" s="3204"/>
      <c r="FG131" s="3204"/>
      <c r="FH131" s="3204"/>
      <c r="FI131" s="3204"/>
      <c r="FJ131" s="3204"/>
      <c r="FK131" s="3204"/>
      <c r="FL131" s="3204"/>
      <c r="FM131" s="3204"/>
      <c r="FN131" s="156"/>
      <c r="FO131" s="156"/>
      <c r="FP131" s="156"/>
      <c r="FQ131" s="156"/>
      <c r="FR131" s="156"/>
      <c r="FS131" s="156"/>
      <c r="FT131" s="156"/>
      <c r="FU131" s="156"/>
      <c r="FV131" s="156"/>
      <c r="FW131" s="156"/>
      <c r="FX131" s="156"/>
      <c r="FY131" s="156"/>
      <c r="FZ131" s="156"/>
      <c r="GA131" s="156"/>
      <c r="GB131" s="156"/>
      <c r="GC131" s="156"/>
      <c r="GD131" s="156"/>
      <c r="GE131" s="156"/>
      <c r="GF131" s="156"/>
      <c r="GG131" s="156"/>
      <c r="GH131" s="156"/>
      <c r="GI131" s="156"/>
      <c r="GJ131" s="156"/>
      <c r="GK131" s="156"/>
    </row>
    <row r="132" spans="2:193" ht="18.75" customHeight="1" x14ac:dyDescent="0.3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3204"/>
      <c r="AP132" s="3204"/>
      <c r="AQ132" s="3204"/>
      <c r="AR132" s="3204"/>
      <c r="AS132" s="3204"/>
      <c r="AT132" s="3204"/>
      <c r="AU132" s="3204"/>
      <c r="AV132" s="3204"/>
      <c r="AW132" s="3204"/>
      <c r="AX132" s="3204"/>
      <c r="AY132" s="3204"/>
      <c r="AZ132" s="3204"/>
      <c r="BA132" s="3204"/>
      <c r="BB132" s="3204"/>
      <c r="BC132" s="3204"/>
      <c r="BD132" s="3204"/>
      <c r="BE132" s="3204"/>
      <c r="BF132" s="3204"/>
      <c r="BG132" s="3204"/>
      <c r="BH132" s="3204"/>
      <c r="BI132" s="3204"/>
      <c r="BJ132" s="3204"/>
      <c r="BK132" s="3204"/>
      <c r="BL132" s="3204"/>
      <c r="BM132" s="3204"/>
      <c r="BN132" s="3204"/>
      <c r="BO132" s="3204"/>
      <c r="BP132" s="3204"/>
      <c r="BQ132" s="3204"/>
      <c r="BR132" s="3204"/>
      <c r="BS132" s="3204"/>
      <c r="BT132" s="3204"/>
      <c r="BU132" s="3204"/>
      <c r="BV132" s="3204"/>
      <c r="BW132" s="3204"/>
      <c r="BX132" s="3204"/>
      <c r="BY132" s="3204"/>
      <c r="BZ132" s="3204"/>
      <c r="CA132" s="3204"/>
      <c r="CB132" s="3204"/>
      <c r="CC132" s="3204"/>
      <c r="CD132" s="3204"/>
      <c r="CE132" s="3204"/>
      <c r="CF132" s="3204"/>
      <c r="CG132" s="3204"/>
      <c r="CH132" s="3204"/>
      <c r="CI132" s="3204"/>
      <c r="CJ132" s="3204"/>
      <c r="CK132" s="3204"/>
      <c r="CL132" s="3204"/>
      <c r="CM132" s="3204"/>
      <c r="CN132" s="3204"/>
      <c r="CO132" s="3204"/>
      <c r="CP132" s="3204"/>
      <c r="CQ132" s="3204"/>
      <c r="CR132" s="3204"/>
      <c r="CS132" s="3204"/>
      <c r="CT132" s="3204"/>
      <c r="CU132" s="3204"/>
      <c r="CV132" s="3204"/>
      <c r="CW132" s="3204"/>
      <c r="CX132" s="3204"/>
      <c r="CY132" s="3204"/>
      <c r="CZ132" s="3204"/>
      <c r="DA132" s="3204"/>
      <c r="DB132" s="3204"/>
      <c r="DC132" s="3204"/>
      <c r="DD132" s="3204"/>
      <c r="DE132" s="3204"/>
      <c r="DF132" s="3204"/>
      <c r="DG132" s="3204"/>
      <c r="DH132" s="3204"/>
      <c r="DI132" s="3204"/>
      <c r="DJ132" s="3204"/>
      <c r="DK132" s="3204"/>
      <c r="DL132" s="3204"/>
      <c r="DM132" s="3204"/>
      <c r="DN132" s="3204"/>
      <c r="DO132" s="3204"/>
      <c r="DP132" s="3204"/>
      <c r="DQ132" s="3204"/>
      <c r="DR132" s="3204"/>
      <c r="DS132" s="3204"/>
      <c r="DT132" s="3204"/>
      <c r="DU132" s="3204"/>
      <c r="DV132" s="3204"/>
      <c r="DW132" s="3204"/>
      <c r="DX132" s="3204"/>
      <c r="DY132" s="3204"/>
      <c r="DZ132" s="3204"/>
      <c r="EA132" s="3204"/>
      <c r="EB132" s="3204"/>
      <c r="EC132" s="3204"/>
      <c r="ED132" s="3204"/>
      <c r="EE132" s="3204"/>
      <c r="EF132" s="3204"/>
      <c r="EG132" s="3204"/>
      <c r="EH132" s="3204"/>
      <c r="EI132" s="3204"/>
      <c r="EJ132" s="3204"/>
      <c r="EK132" s="3204"/>
      <c r="EL132" s="3204"/>
      <c r="EM132" s="3204"/>
      <c r="EN132" s="3204"/>
      <c r="EO132" s="3204"/>
      <c r="EP132" s="3204"/>
      <c r="EQ132" s="3204"/>
      <c r="ER132" s="3204"/>
      <c r="ES132" s="3204"/>
      <c r="ET132" s="3204"/>
      <c r="EU132" s="3204"/>
      <c r="EV132" s="3204"/>
      <c r="EW132" s="3204"/>
      <c r="EX132" s="3204"/>
      <c r="EY132" s="3204"/>
      <c r="EZ132" s="3204"/>
      <c r="FA132" s="3204"/>
      <c r="FB132" s="3204"/>
      <c r="FC132" s="3204"/>
      <c r="FD132" s="3204"/>
      <c r="FE132" s="3204"/>
      <c r="FF132" s="3204"/>
      <c r="FG132" s="3204"/>
      <c r="FH132" s="3204"/>
      <c r="FI132" s="3204"/>
      <c r="FJ132" s="3204"/>
      <c r="FK132" s="3204"/>
      <c r="FL132" s="3204"/>
      <c r="FM132" s="3204"/>
      <c r="FN132" s="156"/>
      <c r="FO132" s="156"/>
      <c r="FP132" s="156"/>
      <c r="FQ132" s="156"/>
      <c r="FR132" s="156"/>
      <c r="FS132" s="156"/>
      <c r="FT132" s="156"/>
      <c r="FU132" s="156"/>
      <c r="FV132" s="156"/>
      <c r="FW132" s="156"/>
      <c r="FX132" s="156"/>
      <c r="FY132" s="156"/>
      <c r="FZ132" s="156"/>
      <c r="GA132" s="156"/>
      <c r="GB132" s="156"/>
      <c r="GC132" s="156"/>
      <c r="GD132" s="156"/>
      <c r="GE132" s="156"/>
      <c r="GF132" s="156"/>
      <c r="GG132" s="156"/>
      <c r="GH132" s="156"/>
      <c r="GI132" s="156"/>
      <c r="GJ132" s="156"/>
      <c r="GK132" s="156"/>
    </row>
    <row r="133" spans="2:193" ht="18.75" customHeight="1" x14ac:dyDescent="0.3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3204"/>
      <c r="AP133" s="3204"/>
      <c r="AQ133" s="3204"/>
      <c r="AR133" s="3204"/>
      <c r="AS133" s="3204"/>
      <c r="AT133" s="3204"/>
      <c r="AU133" s="3204"/>
      <c r="AV133" s="3204"/>
      <c r="AW133" s="3204"/>
      <c r="AX133" s="3204"/>
      <c r="AY133" s="3204"/>
      <c r="AZ133" s="3204"/>
      <c r="BA133" s="3204"/>
      <c r="BB133" s="3204"/>
      <c r="BC133" s="3204"/>
      <c r="BD133" s="3204"/>
      <c r="BE133" s="3204"/>
      <c r="BF133" s="3204"/>
      <c r="BG133" s="3204"/>
      <c r="BH133" s="3204"/>
      <c r="BI133" s="3204"/>
      <c r="BJ133" s="3204"/>
      <c r="BK133" s="3204"/>
      <c r="BL133" s="3204"/>
      <c r="BM133" s="3204"/>
      <c r="BN133" s="3204"/>
      <c r="BO133" s="3204"/>
      <c r="BP133" s="3204"/>
      <c r="BQ133" s="3204"/>
      <c r="BR133" s="3204"/>
      <c r="BS133" s="3204"/>
      <c r="BT133" s="3204"/>
      <c r="BU133" s="3204"/>
      <c r="BV133" s="3204"/>
      <c r="BW133" s="3204"/>
      <c r="BX133" s="3204"/>
      <c r="BY133" s="3204"/>
      <c r="BZ133" s="3204"/>
      <c r="CA133" s="3204"/>
      <c r="CB133" s="3204"/>
      <c r="CC133" s="3204"/>
      <c r="CD133" s="3204"/>
      <c r="CE133" s="3204"/>
      <c r="CF133" s="3204"/>
      <c r="CG133" s="3204"/>
      <c r="CH133" s="3204"/>
      <c r="CI133" s="3204"/>
      <c r="CJ133" s="3204"/>
      <c r="CK133" s="3204"/>
      <c r="CL133" s="3204"/>
      <c r="CM133" s="3204"/>
      <c r="CN133" s="3204"/>
      <c r="CO133" s="3204"/>
      <c r="CP133" s="3204"/>
      <c r="CQ133" s="3204"/>
      <c r="CR133" s="3204"/>
      <c r="CS133" s="3204"/>
      <c r="CT133" s="3204"/>
      <c r="CU133" s="3204"/>
      <c r="CV133" s="3204"/>
      <c r="CW133" s="3204"/>
      <c r="CX133" s="3204"/>
      <c r="CY133" s="3204"/>
      <c r="CZ133" s="3204"/>
      <c r="DA133" s="3204"/>
      <c r="DB133" s="3204"/>
      <c r="DC133" s="3204"/>
      <c r="DD133" s="3204"/>
      <c r="DE133" s="3204"/>
      <c r="DF133" s="3204"/>
      <c r="DG133" s="3204"/>
      <c r="DH133" s="3204"/>
      <c r="DI133" s="3204"/>
      <c r="DJ133" s="3204"/>
      <c r="DK133" s="3204"/>
      <c r="DL133" s="3204"/>
      <c r="DM133" s="3204"/>
      <c r="DN133" s="3204"/>
      <c r="DO133" s="3204"/>
      <c r="DP133" s="3204"/>
      <c r="DQ133" s="3204"/>
      <c r="DR133" s="3204"/>
      <c r="DS133" s="3204"/>
      <c r="DT133" s="3204"/>
      <c r="DU133" s="3204"/>
      <c r="DV133" s="3204"/>
      <c r="DW133" s="3204"/>
      <c r="DX133" s="3204"/>
      <c r="DY133" s="3204"/>
      <c r="DZ133" s="3204"/>
      <c r="EA133" s="3204"/>
      <c r="EB133" s="3204"/>
      <c r="EC133" s="3204"/>
      <c r="ED133" s="3204"/>
      <c r="EE133" s="3204"/>
      <c r="EF133" s="3204"/>
      <c r="EG133" s="3204"/>
      <c r="EH133" s="3204"/>
      <c r="EI133" s="3204"/>
      <c r="EJ133" s="3204"/>
      <c r="EK133" s="3204"/>
      <c r="EL133" s="3204"/>
      <c r="EM133" s="3204"/>
      <c r="EN133" s="3204"/>
      <c r="EO133" s="3204"/>
      <c r="EP133" s="3204"/>
      <c r="EQ133" s="3204"/>
      <c r="ER133" s="3204"/>
      <c r="ES133" s="3204"/>
      <c r="ET133" s="3204"/>
      <c r="EU133" s="3204"/>
      <c r="EV133" s="3204"/>
      <c r="EW133" s="3204"/>
      <c r="EX133" s="3204"/>
      <c r="EY133" s="3204"/>
      <c r="EZ133" s="3204"/>
      <c r="FA133" s="3204"/>
      <c r="FB133" s="3204"/>
      <c r="FC133" s="3204"/>
      <c r="FD133" s="3204"/>
      <c r="FE133" s="3204"/>
      <c r="FF133" s="3204"/>
      <c r="FG133" s="3204"/>
      <c r="FH133" s="3204"/>
      <c r="FI133" s="3204"/>
      <c r="FJ133" s="3204"/>
      <c r="FK133" s="3204"/>
      <c r="FL133" s="3204"/>
      <c r="FM133" s="3204"/>
      <c r="FN133" s="156"/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</row>
    <row r="134" spans="2:193" ht="18.75" customHeight="1" x14ac:dyDescent="0.3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3204"/>
      <c r="AP134" s="3204"/>
      <c r="AQ134" s="3204"/>
      <c r="AR134" s="3204"/>
      <c r="AS134" s="3204"/>
      <c r="AT134" s="3204"/>
      <c r="AU134" s="3204"/>
      <c r="AV134" s="3204"/>
      <c r="AW134" s="3204"/>
      <c r="AX134" s="3204"/>
      <c r="AY134" s="3204"/>
      <c r="AZ134" s="3204"/>
      <c r="BA134" s="3204"/>
      <c r="BB134" s="3204"/>
      <c r="BC134" s="3204"/>
      <c r="BD134" s="3204"/>
      <c r="BE134" s="3204"/>
      <c r="BF134" s="3204"/>
      <c r="BG134" s="3204"/>
      <c r="BH134" s="3204"/>
      <c r="BI134" s="3204"/>
      <c r="BJ134" s="3204"/>
      <c r="BK134" s="3204"/>
      <c r="BL134" s="3204"/>
      <c r="BM134" s="3204"/>
      <c r="BN134" s="3204"/>
      <c r="BO134" s="3204"/>
      <c r="BP134" s="3204"/>
      <c r="BQ134" s="3204"/>
      <c r="BR134" s="3204"/>
      <c r="BS134" s="3204"/>
      <c r="BT134" s="3204"/>
      <c r="BU134" s="3204"/>
      <c r="BV134" s="3204"/>
      <c r="BW134" s="3204"/>
      <c r="BX134" s="3204"/>
      <c r="BY134" s="3204"/>
      <c r="BZ134" s="3204"/>
      <c r="CA134" s="3204"/>
      <c r="CB134" s="3204"/>
      <c r="CC134" s="3204"/>
      <c r="CD134" s="3204"/>
      <c r="CE134" s="3204"/>
      <c r="CF134" s="3204"/>
      <c r="CG134" s="3204"/>
      <c r="CH134" s="3204"/>
      <c r="CI134" s="3204"/>
      <c r="CJ134" s="3204"/>
      <c r="CK134" s="3204"/>
      <c r="CL134" s="3204"/>
      <c r="CM134" s="3204"/>
      <c r="CN134" s="3204"/>
      <c r="CO134" s="3204"/>
      <c r="CP134" s="3204"/>
      <c r="CQ134" s="3204"/>
      <c r="CR134" s="3204"/>
      <c r="CS134" s="3204"/>
      <c r="CT134" s="3204"/>
      <c r="CU134" s="3204"/>
      <c r="CV134" s="3204"/>
      <c r="CW134" s="3204"/>
      <c r="CX134" s="3204"/>
      <c r="CY134" s="3204"/>
      <c r="CZ134" s="3204"/>
      <c r="DA134" s="3204"/>
      <c r="DB134" s="3204"/>
      <c r="DC134" s="3204"/>
      <c r="DD134" s="3204"/>
      <c r="DE134" s="3204"/>
      <c r="DF134" s="3204"/>
      <c r="DG134" s="3204"/>
      <c r="DH134" s="3204"/>
      <c r="DI134" s="3204"/>
      <c r="DJ134" s="3204"/>
      <c r="DK134" s="3204"/>
      <c r="DL134" s="3204"/>
      <c r="DM134" s="3204"/>
      <c r="DN134" s="3204"/>
      <c r="DO134" s="3204"/>
      <c r="DP134" s="3204"/>
      <c r="DQ134" s="3204"/>
      <c r="DR134" s="3204"/>
      <c r="DS134" s="3204"/>
      <c r="DT134" s="3204"/>
      <c r="DU134" s="3204"/>
      <c r="DV134" s="3204"/>
      <c r="DW134" s="3204"/>
      <c r="DX134" s="3204"/>
      <c r="DY134" s="3204"/>
      <c r="DZ134" s="3204"/>
      <c r="EA134" s="3204"/>
      <c r="EB134" s="3204"/>
      <c r="EC134" s="3204"/>
      <c r="ED134" s="3204"/>
      <c r="EE134" s="3204"/>
      <c r="EF134" s="3204"/>
      <c r="EG134" s="3204"/>
      <c r="EH134" s="3204"/>
      <c r="EI134" s="3204"/>
      <c r="EJ134" s="3204"/>
      <c r="EK134" s="3204"/>
      <c r="EL134" s="3204"/>
      <c r="EM134" s="3204"/>
      <c r="EN134" s="3204"/>
      <c r="EO134" s="3204"/>
      <c r="EP134" s="3204"/>
      <c r="EQ134" s="3204"/>
      <c r="ER134" s="3204"/>
      <c r="ES134" s="3204"/>
      <c r="ET134" s="3204"/>
      <c r="EU134" s="3204"/>
      <c r="EV134" s="3204"/>
      <c r="EW134" s="3204"/>
      <c r="EX134" s="3204"/>
      <c r="EY134" s="3204"/>
      <c r="EZ134" s="3204"/>
      <c r="FA134" s="3204"/>
      <c r="FB134" s="3204"/>
      <c r="FC134" s="3204"/>
      <c r="FD134" s="3204"/>
      <c r="FE134" s="3204"/>
      <c r="FF134" s="3204"/>
      <c r="FG134" s="3204"/>
      <c r="FH134" s="3204"/>
      <c r="FI134" s="3204"/>
      <c r="FJ134" s="3204"/>
      <c r="FK134" s="3204"/>
      <c r="FL134" s="3204"/>
      <c r="FM134" s="3204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</row>
    <row r="135" spans="2:193" ht="18.75" customHeight="1" x14ac:dyDescent="0.3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3204"/>
      <c r="AP135" s="3204"/>
      <c r="AQ135" s="3204"/>
      <c r="AR135" s="3204"/>
      <c r="AS135" s="3204"/>
      <c r="AT135" s="3204"/>
      <c r="AU135" s="3204"/>
      <c r="AV135" s="3204"/>
      <c r="AW135" s="3204"/>
      <c r="AX135" s="3204"/>
      <c r="AY135" s="3204"/>
      <c r="AZ135" s="3204"/>
      <c r="BA135" s="3204"/>
      <c r="BB135" s="3204"/>
      <c r="BC135" s="3204"/>
      <c r="BD135" s="3204"/>
      <c r="BE135" s="3204"/>
      <c r="BF135" s="3204"/>
      <c r="BG135" s="3204"/>
      <c r="BH135" s="3204"/>
      <c r="BI135" s="3204"/>
      <c r="BJ135" s="3204"/>
      <c r="BK135" s="3204"/>
      <c r="BL135" s="3204"/>
      <c r="BM135" s="3204"/>
      <c r="BN135" s="3204"/>
      <c r="BO135" s="3204"/>
      <c r="BP135" s="3204"/>
      <c r="BQ135" s="3204"/>
      <c r="BR135" s="3204"/>
      <c r="BS135" s="3204"/>
      <c r="BT135" s="3204"/>
      <c r="BU135" s="3204"/>
      <c r="BV135" s="3204"/>
      <c r="BW135" s="3204"/>
      <c r="BX135" s="3204"/>
      <c r="BY135" s="3204"/>
      <c r="BZ135" s="3204"/>
      <c r="CA135" s="3204"/>
      <c r="CB135" s="3204"/>
      <c r="CC135" s="3204"/>
      <c r="CD135" s="3204"/>
      <c r="CE135" s="3204"/>
      <c r="CF135" s="3204"/>
      <c r="CG135" s="3204"/>
      <c r="CH135" s="3204"/>
      <c r="CI135" s="3204"/>
      <c r="CJ135" s="3204"/>
      <c r="CK135" s="3204"/>
      <c r="CL135" s="3204"/>
      <c r="CM135" s="3204"/>
      <c r="CN135" s="3204"/>
      <c r="CO135" s="3204"/>
      <c r="CP135" s="3204"/>
      <c r="CQ135" s="3204"/>
      <c r="CR135" s="3204"/>
      <c r="CS135" s="3204"/>
      <c r="CT135" s="3204"/>
      <c r="CU135" s="3204"/>
      <c r="CV135" s="3204"/>
      <c r="CW135" s="3204"/>
      <c r="CX135" s="3204"/>
      <c r="CY135" s="3204"/>
      <c r="CZ135" s="3204"/>
      <c r="DA135" s="3204"/>
      <c r="DB135" s="3204"/>
      <c r="DC135" s="3204"/>
      <c r="DD135" s="3204"/>
      <c r="DE135" s="3204"/>
      <c r="DF135" s="3204"/>
      <c r="DG135" s="3204"/>
      <c r="DH135" s="3204"/>
      <c r="DI135" s="3204"/>
      <c r="DJ135" s="3204"/>
      <c r="DK135" s="3204"/>
      <c r="DL135" s="3204"/>
      <c r="DM135" s="3204"/>
      <c r="DN135" s="3204"/>
      <c r="DO135" s="3204"/>
      <c r="DP135" s="3204"/>
      <c r="DQ135" s="3204"/>
      <c r="DR135" s="3204"/>
      <c r="DS135" s="3204"/>
      <c r="DT135" s="3204"/>
      <c r="DU135" s="3204"/>
      <c r="DV135" s="3204"/>
      <c r="DW135" s="3204"/>
      <c r="DX135" s="3204"/>
      <c r="DY135" s="3204"/>
      <c r="DZ135" s="3204"/>
      <c r="EA135" s="3204"/>
      <c r="EB135" s="3204"/>
      <c r="EC135" s="3204"/>
      <c r="ED135" s="3204"/>
      <c r="EE135" s="3204"/>
      <c r="EF135" s="3204"/>
      <c r="EG135" s="3204"/>
      <c r="EH135" s="3204"/>
      <c r="EI135" s="3204"/>
      <c r="EJ135" s="3204"/>
      <c r="EK135" s="3204"/>
      <c r="EL135" s="3204"/>
      <c r="EM135" s="3204"/>
      <c r="EN135" s="3204"/>
      <c r="EO135" s="3204"/>
      <c r="EP135" s="3204"/>
      <c r="EQ135" s="3204"/>
      <c r="ER135" s="3204"/>
      <c r="ES135" s="3204"/>
      <c r="ET135" s="3204"/>
      <c r="EU135" s="3204"/>
      <c r="EV135" s="3204"/>
      <c r="EW135" s="3204"/>
      <c r="EX135" s="3204"/>
      <c r="EY135" s="3204"/>
      <c r="EZ135" s="3204"/>
      <c r="FA135" s="3204"/>
      <c r="FB135" s="3204"/>
      <c r="FC135" s="3204"/>
      <c r="FD135" s="3204"/>
      <c r="FE135" s="3204"/>
      <c r="FF135" s="3204"/>
      <c r="FG135" s="3204"/>
      <c r="FH135" s="3204"/>
      <c r="FI135" s="3204"/>
      <c r="FJ135" s="3204"/>
      <c r="FK135" s="3204"/>
      <c r="FL135" s="3204"/>
      <c r="FM135" s="3204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</row>
    <row r="136" spans="2:193" ht="18.75" customHeight="1" x14ac:dyDescent="0.3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3204"/>
      <c r="AP136" s="3204"/>
      <c r="AQ136" s="3204"/>
      <c r="AR136" s="3204"/>
      <c r="AS136" s="3204"/>
      <c r="AT136" s="3204"/>
      <c r="AU136" s="3204"/>
      <c r="AV136" s="3204"/>
      <c r="AW136" s="3204"/>
      <c r="AX136" s="3204"/>
      <c r="AY136" s="3204"/>
      <c r="AZ136" s="3204"/>
      <c r="BA136" s="3204"/>
      <c r="BB136" s="3204"/>
      <c r="BC136" s="3204"/>
      <c r="BD136" s="3204"/>
      <c r="BE136" s="3204"/>
      <c r="BF136" s="3204"/>
      <c r="BG136" s="3204"/>
      <c r="BH136" s="3204"/>
      <c r="BI136" s="3204"/>
      <c r="BJ136" s="3204"/>
      <c r="BK136" s="3204"/>
      <c r="BL136" s="3204"/>
      <c r="BM136" s="3204"/>
      <c r="BN136" s="3204"/>
      <c r="BO136" s="3204"/>
      <c r="BP136" s="3204"/>
      <c r="BQ136" s="3204"/>
      <c r="BR136" s="3204"/>
      <c r="BS136" s="3204"/>
      <c r="BT136" s="3204"/>
      <c r="BU136" s="3204"/>
      <c r="BV136" s="3204"/>
      <c r="BW136" s="3204"/>
      <c r="BX136" s="3204"/>
      <c r="BY136" s="3204"/>
      <c r="BZ136" s="3204"/>
      <c r="CA136" s="3204"/>
      <c r="CB136" s="3204"/>
      <c r="CC136" s="3204"/>
      <c r="CD136" s="3204"/>
      <c r="CE136" s="3204"/>
      <c r="CF136" s="3204"/>
      <c r="CG136" s="3204"/>
      <c r="CH136" s="3204"/>
      <c r="CI136" s="3204"/>
      <c r="CJ136" s="3204"/>
      <c r="CK136" s="3204"/>
      <c r="CL136" s="3204"/>
      <c r="CM136" s="3204"/>
      <c r="CN136" s="3204"/>
      <c r="CO136" s="3204"/>
      <c r="CP136" s="3204"/>
      <c r="CQ136" s="3204"/>
      <c r="CR136" s="3204"/>
      <c r="CS136" s="3204"/>
      <c r="CT136" s="3204"/>
      <c r="CU136" s="3204"/>
      <c r="CV136" s="3204"/>
      <c r="CW136" s="3204"/>
      <c r="CX136" s="3204"/>
      <c r="CY136" s="3204"/>
      <c r="CZ136" s="3204"/>
      <c r="DA136" s="3204"/>
      <c r="DB136" s="3204"/>
      <c r="DC136" s="3204"/>
      <c r="DD136" s="3204"/>
      <c r="DE136" s="3204"/>
      <c r="DF136" s="3204"/>
      <c r="DG136" s="3204"/>
      <c r="DH136" s="3204"/>
      <c r="DI136" s="3204"/>
      <c r="DJ136" s="3204"/>
      <c r="DK136" s="3204"/>
      <c r="DL136" s="3204"/>
      <c r="DM136" s="3204"/>
      <c r="DN136" s="3204"/>
      <c r="DO136" s="3204"/>
      <c r="DP136" s="3204"/>
      <c r="DQ136" s="3204"/>
      <c r="DR136" s="3204"/>
      <c r="DS136" s="3204"/>
      <c r="DT136" s="3204"/>
      <c r="DU136" s="3204"/>
      <c r="DV136" s="3204"/>
      <c r="DW136" s="3204"/>
      <c r="DX136" s="3204"/>
      <c r="DY136" s="3204"/>
      <c r="DZ136" s="3204"/>
      <c r="EA136" s="3204"/>
      <c r="EB136" s="3204"/>
      <c r="EC136" s="3204"/>
      <c r="ED136" s="3204"/>
      <c r="EE136" s="3204"/>
      <c r="EF136" s="3204"/>
      <c r="EG136" s="3204"/>
      <c r="EH136" s="3204"/>
      <c r="EI136" s="3204"/>
      <c r="EJ136" s="3204"/>
      <c r="EK136" s="3204"/>
      <c r="EL136" s="3204"/>
      <c r="EM136" s="3204"/>
      <c r="EN136" s="3204"/>
      <c r="EO136" s="3204"/>
      <c r="EP136" s="3204"/>
      <c r="EQ136" s="3204"/>
      <c r="ER136" s="3204"/>
      <c r="ES136" s="3204"/>
      <c r="ET136" s="3204"/>
      <c r="EU136" s="3204"/>
      <c r="EV136" s="3204"/>
      <c r="EW136" s="3204"/>
      <c r="EX136" s="3204"/>
      <c r="EY136" s="3204"/>
      <c r="EZ136" s="3204"/>
      <c r="FA136" s="3204"/>
      <c r="FB136" s="3204"/>
      <c r="FC136" s="3204"/>
      <c r="FD136" s="3204"/>
      <c r="FE136" s="3204"/>
      <c r="FF136" s="3204"/>
      <c r="FG136" s="3204"/>
      <c r="FH136" s="3204"/>
      <c r="FI136" s="3204"/>
      <c r="FJ136" s="3204"/>
      <c r="FK136" s="3204"/>
      <c r="FL136" s="3204"/>
      <c r="FM136" s="3204"/>
      <c r="FN136" s="156"/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6"/>
      <c r="GE136" s="156"/>
      <c r="GF136" s="156"/>
      <c r="GG136" s="156"/>
      <c r="GH136" s="156"/>
      <c r="GI136" s="156"/>
      <c r="GJ136" s="156"/>
      <c r="GK136" s="156"/>
    </row>
    <row r="137" spans="2:193" ht="18.75" customHeight="1" x14ac:dyDescent="0.3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3204"/>
      <c r="AP137" s="3204"/>
      <c r="AQ137" s="3204"/>
      <c r="AR137" s="3204"/>
      <c r="AS137" s="3204"/>
      <c r="AT137" s="3204"/>
      <c r="AU137" s="3204"/>
      <c r="AV137" s="3204"/>
      <c r="AW137" s="3204"/>
      <c r="AX137" s="3204"/>
      <c r="AY137" s="3204"/>
      <c r="AZ137" s="3204"/>
      <c r="BA137" s="3204"/>
      <c r="BB137" s="3204"/>
      <c r="BC137" s="3204"/>
      <c r="BD137" s="3204"/>
      <c r="BE137" s="3204"/>
      <c r="BF137" s="3204"/>
      <c r="BG137" s="3204"/>
      <c r="BH137" s="3204"/>
      <c r="BI137" s="3204"/>
      <c r="BJ137" s="3204"/>
      <c r="BK137" s="3204"/>
      <c r="BL137" s="3204"/>
      <c r="BM137" s="3204"/>
      <c r="BN137" s="3204"/>
      <c r="BO137" s="3204"/>
      <c r="BP137" s="3204"/>
      <c r="BQ137" s="3204"/>
      <c r="BR137" s="3204"/>
      <c r="BS137" s="3204"/>
      <c r="BT137" s="3204"/>
      <c r="BU137" s="3204"/>
      <c r="BV137" s="3204"/>
      <c r="BW137" s="3204"/>
      <c r="BX137" s="3204"/>
      <c r="BY137" s="3204"/>
      <c r="BZ137" s="3204"/>
      <c r="CA137" s="3204"/>
      <c r="CB137" s="3204"/>
      <c r="CC137" s="3204"/>
      <c r="CD137" s="3204"/>
      <c r="CE137" s="3204"/>
      <c r="CF137" s="3204"/>
      <c r="CG137" s="3204"/>
      <c r="CH137" s="3204"/>
      <c r="CI137" s="3204"/>
      <c r="CJ137" s="3204"/>
      <c r="CK137" s="3204"/>
      <c r="CL137" s="3204"/>
      <c r="CM137" s="3204"/>
      <c r="CN137" s="3204"/>
      <c r="CO137" s="3204"/>
      <c r="CP137" s="3204"/>
      <c r="CQ137" s="3204"/>
      <c r="CR137" s="3204"/>
      <c r="CS137" s="3204"/>
      <c r="CT137" s="3204"/>
      <c r="CU137" s="3204"/>
      <c r="CV137" s="3204"/>
      <c r="CW137" s="3204"/>
      <c r="CX137" s="3204"/>
      <c r="CY137" s="3204"/>
      <c r="CZ137" s="3204"/>
      <c r="DA137" s="3204"/>
      <c r="DB137" s="3204"/>
      <c r="DC137" s="3204"/>
      <c r="DD137" s="3204"/>
      <c r="DE137" s="3204"/>
      <c r="DF137" s="3204"/>
      <c r="DG137" s="3204"/>
      <c r="DH137" s="3204"/>
      <c r="DI137" s="3204"/>
      <c r="DJ137" s="3204"/>
      <c r="DK137" s="3204"/>
      <c r="DL137" s="3204"/>
      <c r="DM137" s="3204"/>
      <c r="DN137" s="3204"/>
      <c r="DO137" s="3204"/>
      <c r="DP137" s="3204"/>
      <c r="DQ137" s="3204"/>
      <c r="DR137" s="3204"/>
      <c r="DS137" s="3204"/>
      <c r="DT137" s="3204"/>
      <c r="DU137" s="3204"/>
      <c r="DV137" s="3204"/>
      <c r="DW137" s="3204"/>
      <c r="DX137" s="3204"/>
      <c r="DY137" s="3204"/>
      <c r="DZ137" s="3204"/>
      <c r="EA137" s="3204"/>
      <c r="EB137" s="3204"/>
      <c r="EC137" s="3204"/>
      <c r="ED137" s="3204"/>
      <c r="EE137" s="3204"/>
      <c r="EF137" s="3204"/>
      <c r="EG137" s="3204"/>
      <c r="EH137" s="3204"/>
      <c r="EI137" s="3204"/>
      <c r="EJ137" s="3204"/>
      <c r="EK137" s="3204"/>
      <c r="EL137" s="3204"/>
      <c r="EM137" s="3204"/>
      <c r="EN137" s="3204"/>
      <c r="EO137" s="3204"/>
      <c r="EP137" s="3204"/>
      <c r="EQ137" s="3204"/>
      <c r="ER137" s="3204"/>
      <c r="ES137" s="3204"/>
      <c r="ET137" s="3204"/>
      <c r="EU137" s="3204"/>
      <c r="EV137" s="3204"/>
      <c r="EW137" s="3204"/>
      <c r="EX137" s="3204"/>
      <c r="EY137" s="3204"/>
      <c r="EZ137" s="3204"/>
      <c r="FA137" s="3204"/>
      <c r="FB137" s="3204"/>
      <c r="FC137" s="3204"/>
      <c r="FD137" s="3204"/>
      <c r="FE137" s="3204"/>
      <c r="FF137" s="3204"/>
      <c r="FG137" s="3204"/>
      <c r="FH137" s="3204"/>
      <c r="FI137" s="3204"/>
      <c r="FJ137" s="3204"/>
      <c r="FK137" s="3204"/>
      <c r="FL137" s="3204"/>
      <c r="FM137" s="3204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</row>
    <row r="138" spans="2:193" ht="18.75" customHeight="1" x14ac:dyDescent="0.3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3204"/>
      <c r="AP138" s="3204"/>
      <c r="AQ138" s="3204"/>
      <c r="AR138" s="3204"/>
      <c r="AS138" s="3204"/>
      <c r="AT138" s="3204"/>
      <c r="AU138" s="3204"/>
      <c r="AV138" s="3204"/>
      <c r="AW138" s="3204"/>
      <c r="AX138" s="3204"/>
      <c r="AY138" s="3204"/>
      <c r="AZ138" s="3204"/>
      <c r="BA138" s="3204"/>
      <c r="BB138" s="3204"/>
      <c r="BC138" s="3204"/>
      <c r="BD138" s="3204"/>
      <c r="BE138" s="3204"/>
      <c r="BF138" s="3204"/>
      <c r="BG138" s="3204"/>
      <c r="BH138" s="3204"/>
      <c r="BI138" s="3204"/>
      <c r="BJ138" s="3204"/>
      <c r="BK138" s="3204"/>
      <c r="BL138" s="3204"/>
      <c r="BM138" s="3204"/>
      <c r="BN138" s="3204"/>
      <c r="BO138" s="3204"/>
      <c r="BP138" s="3204"/>
      <c r="BQ138" s="3204"/>
      <c r="BR138" s="3204"/>
      <c r="BS138" s="3204"/>
      <c r="BT138" s="3204"/>
      <c r="BU138" s="3204"/>
      <c r="BV138" s="3204"/>
      <c r="BW138" s="3204"/>
      <c r="BX138" s="3204"/>
      <c r="BY138" s="3204"/>
      <c r="BZ138" s="3204"/>
      <c r="CA138" s="3204"/>
      <c r="CB138" s="3204"/>
      <c r="CC138" s="3204"/>
      <c r="CD138" s="3204"/>
      <c r="CE138" s="3204"/>
      <c r="CF138" s="3204"/>
      <c r="CG138" s="3204"/>
      <c r="CH138" s="3204"/>
      <c r="CI138" s="3204"/>
      <c r="CJ138" s="3204"/>
      <c r="CK138" s="3204"/>
      <c r="CL138" s="3204"/>
      <c r="CM138" s="3204"/>
      <c r="CN138" s="3204"/>
      <c r="CO138" s="3204"/>
      <c r="CP138" s="3204"/>
      <c r="CQ138" s="3204"/>
      <c r="CR138" s="3204"/>
      <c r="CS138" s="3204"/>
      <c r="CT138" s="3204"/>
      <c r="CU138" s="3204"/>
      <c r="CV138" s="3204"/>
      <c r="CW138" s="3204"/>
      <c r="CX138" s="3204"/>
      <c r="CY138" s="3204"/>
      <c r="CZ138" s="3204"/>
      <c r="DA138" s="3204"/>
      <c r="DB138" s="3204"/>
      <c r="DC138" s="3204"/>
      <c r="DD138" s="3204"/>
      <c r="DE138" s="3204"/>
      <c r="DF138" s="3204"/>
      <c r="DG138" s="3204"/>
      <c r="DH138" s="3204"/>
      <c r="DI138" s="3204"/>
      <c r="DJ138" s="3204"/>
      <c r="DK138" s="3204"/>
      <c r="DL138" s="3204"/>
      <c r="DM138" s="3204"/>
      <c r="DN138" s="3204"/>
      <c r="DO138" s="3204"/>
      <c r="DP138" s="3204"/>
      <c r="DQ138" s="3204"/>
      <c r="DR138" s="3204"/>
      <c r="DS138" s="3204"/>
      <c r="DT138" s="3204"/>
      <c r="DU138" s="3204"/>
      <c r="DV138" s="3204"/>
      <c r="DW138" s="3204"/>
      <c r="DX138" s="3204"/>
      <c r="DY138" s="3204"/>
      <c r="DZ138" s="3204"/>
      <c r="EA138" s="3204"/>
      <c r="EB138" s="3204"/>
      <c r="EC138" s="3204"/>
      <c r="ED138" s="3204"/>
      <c r="EE138" s="3204"/>
      <c r="EF138" s="3204"/>
      <c r="EG138" s="3204"/>
      <c r="EH138" s="3204"/>
      <c r="EI138" s="3204"/>
      <c r="EJ138" s="3204"/>
      <c r="EK138" s="3204"/>
      <c r="EL138" s="3204"/>
      <c r="EM138" s="3204"/>
      <c r="EN138" s="3204"/>
      <c r="EO138" s="3204"/>
      <c r="EP138" s="3204"/>
      <c r="EQ138" s="3204"/>
      <c r="ER138" s="3204"/>
      <c r="ES138" s="3204"/>
      <c r="ET138" s="3204"/>
      <c r="EU138" s="3204"/>
      <c r="EV138" s="3204"/>
      <c r="EW138" s="3204"/>
      <c r="EX138" s="3204"/>
      <c r="EY138" s="3204"/>
      <c r="EZ138" s="3204"/>
      <c r="FA138" s="3204"/>
      <c r="FB138" s="3204"/>
      <c r="FC138" s="3204"/>
      <c r="FD138" s="3204"/>
      <c r="FE138" s="3204"/>
      <c r="FF138" s="3204"/>
      <c r="FG138" s="3204"/>
      <c r="FH138" s="3204"/>
      <c r="FI138" s="3204"/>
      <c r="FJ138" s="3204"/>
      <c r="FK138" s="3204"/>
      <c r="FL138" s="3204"/>
      <c r="FM138" s="3204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</row>
    <row r="139" spans="2:193" ht="18.75" customHeight="1" x14ac:dyDescent="0.3"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3204"/>
      <c r="AP139" s="3204"/>
      <c r="AQ139" s="3204"/>
      <c r="AR139" s="3204"/>
      <c r="AS139" s="3204"/>
      <c r="AT139" s="3204"/>
      <c r="AU139" s="3204"/>
      <c r="AV139" s="3204"/>
      <c r="AW139" s="3204"/>
      <c r="AX139" s="3204"/>
      <c r="AY139" s="3204"/>
      <c r="AZ139" s="3204"/>
      <c r="BA139" s="3204"/>
      <c r="BB139" s="3204"/>
      <c r="BC139" s="3204"/>
      <c r="BD139" s="3204"/>
      <c r="BE139" s="3204"/>
      <c r="BF139" s="3204"/>
      <c r="BG139" s="3204"/>
      <c r="BH139" s="3204"/>
      <c r="BI139" s="3204"/>
      <c r="BJ139" s="3204"/>
      <c r="BK139" s="3204"/>
      <c r="BL139" s="3204"/>
      <c r="BM139" s="3204"/>
      <c r="BN139" s="3204"/>
      <c r="BO139" s="3204"/>
      <c r="BP139" s="3204"/>
      <c r="BQ139" s="3204"/>
      <c r="BR139" s="3204"/>
      <c r="BS139" s="3204"/>
      <c r="BT139" s="3204"/>
      <c r="BU139" s="3204"/>
      <c r="BV139" s="3204"/>
      <c r="BW139" s="3204"/>
      <c r="BX139" s="3204"/>
      <c r="BY139" s="3204"/>
      <c r="BZ139" s="3204"/>
      <c r="CA139" s="3204"/>
      <c r="CB139" s="3204"/>
      <c r="CC139" s="3204"/>
      <c r="CD139" s="3204"/>
      <c r="CE139" s="3204"/>
      <c r="CF139" s="3204"/>
      <c r="CG139" s="3204"/>
      <c r="CH139" s="3204"/>
      <c r="CI139" s="3204"/>
      <c r="CJ139" s="3204"/>
      <c r="CK139" s="3204"/>
      <c r="CL139" s="3204"/>
      <c r="CM139" s="3204"/>
      <c r="CN139" s="3204"/>
      <c r="CO139" s="3204"/>
      <c r="CP139" s="3204"/>
      <c r="CQ139" s="3204"/>
      <c r="CR139" s="3204"/>
      <c r="CS139" s="3204"/>
      <c r="CT139" s="3204"/>
      <c r="CU139" s="3204"/>
      <c r="CV139" s="3204"/>
      <c r="CW139" s="3204"/>
      <c r="CX139" s="3204"/>
      <c r="CY139" s="3204"/>
      <c r="CZ139" s="3204"/>
      <c r="DA139" s="3204"/>
      <c r="DB139" s="3204"/>
      <c r="DC139" s="3204"/>
      <c r="DD139" s="3204"/>
      <c r="DE139" s="3204"/>
      <c r="DF139" s="3204"/>
      <c r="DG139" s="3204"/>
      <c r="DH139" s="3204"/>
      <c r="DI139" s="3204"/>
      <c r="DJ139" s="3204"/>
      <c r="DK139" s="3204"/>
      <c r="DL139" s="3204"/>
      <c r="DM139" s="3204"/>
      <c r="DN139" s="3204"/>
      <c r="DO139" s="3204"/>
      <c r="DP139" s="3204"/>
      <c r="DQ139" s="3204"/>
      <c r="DR139" s="3204"/>
      <c r="DS139" s="3204"/>
      <c r="DT139" s="3204"/>
      <c r="DU139" s="3204"/>
      <c r="DV139" s="3204"/>
      <c r="DW139" s="3204"/>
      <c r="DX139" s="3204"/>
      <c r="DY139" s="3204"/>
      <c r="DZ139" s="3204"/>
      <c r="EA139" s="3204"/>
      <c r="EB139" s="3204"/>
      <c r="EC139" s="3204"/>
      <c r="ED139" s="3204"/>
      <c r="EE139" s="3204"/>
      <c r="EF139" s="3204"/>
      <c r="EG139" s="3204"/>
      <c r="EH139" s="3204"/>
      <c r="EI139" s="3204"/>
      <c r="EJ139" s="3204"/>
      <c r="EK139" s="3204"/>
      <c r="EL139" s="3204"/>
      <c r="EM139" s="3204"/>
      <c r="EN139" s="3204"/>
      <c r="EO139" s="3204"/>
      <c r="EP139" s="3204"/>
      <c r="EQ139" s="3204"/>
      <c r="ER139" s="3204"/>
      <c r="ES139" s="3204"/>
      <c r="ET139" s="3204"/>
      <c r="EU139" s="3204"/>
      <c r="EV139" s="3204"/>
      <c r="EW139" s="3204"/>
      <c r="EX139" s="3204"/>
      <c r="EY139" s="3204"/>
      <c r="EZ139" s="3204"/>
      <c r="FA139" s="3204"/>
      <c r="FB139" s="3204"/>
      <c r="FC139" s="3204"/>
      <c r="FD139" s="3204"/>
      <c r="FE139" s="3204"/>
      <c r="FF139" s="3204"/>
      <c r="FG139" s="3204"/>
      <c r="FH139" s="3204"/>
      <c r="FI139" s="3204"/>
      <c r="FJ139" s="3204"/>
      <c r="FK139" s="3204"/>
      <c r="FL139" s="3204"/>
      <c r="FM139" s="3204"/>
      <c r="FN139" s="156"/>
      <c r="FO139" s="156"/>
      <c r="FP139" s="156"/>
      <c r="FQ139" s="156"/>
      <c r="FR139" s="156"/>
      <c r="FS139" s="156"/>
      <c r="FT139" s="156"/>
      <c r="FU139" s="156"/>
      <c r="FV139" s="156"/>
      <c r="FW139" s="156"/>
      <c r="FX139" s="156"/>
      <c r="FY139" s="156"/>
      <c r="FZ139" s="156"/>
      <c r="GA139" s="156"/>
      <c r="GB139" s="156"/>
      <c r="GC139" s="156"/>
      <c r="GD139" s="156"/>
      <c r="GE139" s="156"/>
      <c r="GF139" s="156"/>
      <c r="GG139" s="156"/>
      <c r="GH139" s="156"/>
      <c r="GI139" s="156"/>
      <c r="GJ139" s="156"/>
      <c r="GK139" s="156"/>
    </row>
    <row r="140" spans="2:193" ht="18.75" customHeight="1" x14ac:dyDescent="0.3"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  <c r="BG140" s="396"/>
      <c r="BH140" s="396"/>
      <c r="BI140" s="396"/>
      <c r="BJ140" s="396"/>
      <c r="BK140" s="396"/>
      <c r="BL140" s="396"/>
      <c r="BM140" s="396"/>
      <c r="BN140" s="396"/>
      <c r="BO140" s="396"/>
      <c r="BP140" s="396"/>
      <c r="BQ140" s="396"/>
      <c r="BR140" s="396"/>
      <c r="BS140" s="396"/>
      <c r="BT140" s="396"/>
      <c r="BU140" s="396"/>
      <c r="BV140" s="396"/>
      <c r="BW140" s="396"/>
      <c r="BX140" s="396"/>
      <c r="BY140" s="396"/>
      <c r="BZ140" s="396"/>
      <c r="CA140" s="396"/>
      <c r="CB140" s="396"/>
      <c r="CC140" s="396"/>
      <c r="CD140" s="396"/>
      <c r="CE140" s="396"/>
      <c r="CF140" s="396"/>
      <c r="CG140" s="396"/>
      <c r="CH140" s="396"/>
      <c r="CI140" s="396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6"/>
      <c r="DQ140" s="396"/>
      <c r="DR140" s="396"/>
      <c r="DS140" s="396"/>
      <c r="DT140" s="396"/>
      <c r="DU140" s="396"/>
      <c r="DV140" s="396"/>
      <c r="DW140" s="396"/>
      <c r="DX140" s="396"/>
      <c r="DY140" s="396"/>
      <c r="DZ140" s="396"/>
      <c r="EA140" s="396"/>
      <c r="EB140" s="396"/>
      <c r="EC140" s="396"/>
      <c r="ED140" s="396"/>
      <c r="EE140" s="396"/>
      <c r="EF140" s="396"/>
      <c r="EG140" s="396"/>
      <c r="EH140" s="396"/>
      <c r="EI140" s="396"/>
      <c r="EJ140" s="396"/>
      <c r="EK140" s="396"/>
      <c r="EL140" s="396"/>
      <c r="EM140" s="396"/>
      <c r="EN140" s="396"/>
      <c r="EO140" s="396"/>
      <c r="EP140" s="396"/>
      <c r="EQ140" s="396"/>
      <c r="ER140" s="396"/>
      <c r="ES140" s="396"/>
      <c r="ET140" s="396"/>
      <c r="EU140" s="396"/>
      <c r="EV140" s="396"/>
      <c r="EW140" s="396"/>
      <c r="EX140" s="396"/>
      <c r="EY140" s="396"/>
      <c r="EZ140" s="396"/>
      <c r="FA140" s="396"/>
      <c r="FB140" s="396"/>
      <c r="FC140" s="396"/>
      <c r="FD140" s="396"/>
      <c r="FE140" s="396"/>
      <c r="FF140" s="396"/>
      <c r="FG140" s="396"/>
      <c r="FH140" s="396"/>
      <c r="FI140" s="396"/>
      <c r="FJ140" s="396"/>
      <c r="FK140" s="396"/>
      <c r="FL140" s="396"/>
      <c r="FM140" s="396"/>
    </row>
    <row r="141" spans="2:193" ht="18.75" customHeight="1" x14ac:dyDescent="0.3"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  <c r="BG141" s="396"/>
      <c r="BH141" s="396"/>
      <c r="BI141" s="396"/>
      <c r="BJ141" s="396"/>
      <c r="BK141" s="396"/>
      <c r="BL141" s="396"/>
      <c r="BM141" s="396"/>
      <c r="BN141" s="396"/>
      <c r="BO141" s="396"/>
      <c r="BP141" s="396"/>
      <c r="BQ141" s="396"/>
      <c r="BR141" s="396"/>
      <c r="BS141" s="396"/>
      <c r="BT141" s="396"/>
      <c r="BU141" s="396"/>
      <c r="BV141" s="396"/>
      <c r="BW141" s="396"/>
      <c r="BX141" s="396"/>
      <c r="BY141" s="396"/>
      <c r="BZ141" s="396"/>
      <c r="CA141" s="396"/>
      <c r="CB141" s="396"/>
      <c r="CC141" s="396"/>
      <c r="CD141" s="396"/>
      <c r="CE141" s="396"/>
      <c r="CF141" s="396"/>
      <c r="CG141" s="396"/>
      <c r="CH141" s="396"/>
      <c r="CI141" s="396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6"/>
      <c r="DQ141" s="396"/>
      <c r="DR141" s="396"/>
      <c r="DS141" s="396"/>
      <c r="DT141" s="396"/>
      <c r="DU141" s="396"/>
      <c r="DV141" s="396"/>
      <c r="DW141" s="396"/>
      <c r="DX141" s="396"/>
      <c r="DY141" s="396"/>
      <c r="DZ141" s="396"/>
      <c r="EA141" s="396"/>
      <c r="EB141" s="396"/>
      <c r="EC141" s="396"/>
      <c r="ED141" s="396"/>
      <c r="EE141" s="396"/>
      <c r="EF141" s="396"/>
      <c r="EG141" s="396"/>
      <c r="EH141" s="396"/>
      <c r="EI141" s="396"/>
      <c r="EJ141" s="396"/>
      <c r="EK141" s="396"/>
      <c r="EL141" s="396"/>
      <c r="EM141" s="396"/>
      <c r="EN141" s="396"/>
      <c r="EO141" s="396"/>
      <c r="EP141" s="396"/>
      <c r="EQ141" s="396"/>
      <c r="ER141" s="396"/>
      <c r="ES141" s="396"/>
      <c r="ET141" s="396"/>
      <c r="EU141" s="396"/>
      <c r="EV141" s="396"/>
      <c r="EW141" s="396"/>
      <c r="EX141" s="396"/>
      <c r="EY141" s="396"/>
      <c r="EZ141" s="396"/>
      <c r="FA141" s="396"/>
      <c r="FB141" s="396"/>
      <c r="FC141" s="396"/>
      <c r="FD141" s="396"/>
      <c r="FE141" s="396"/>
      <c r="FF141" s="396"/>
      <c r="FG141" s="396"/>
      <c r="FH141" s="396"/>
      <c r="FI141" s="396"/>
      <c r="FJ141" s="396"/>
      <c r="FK141" s="396"/>
      <c r="FL141" s="396"/>
      <c r="FM141" s="396"/>
    </row>
    <row r="142" spans="2:193" ht="18.75" customHeight="1" x14ac:dyDescent="0.3"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  <c r="BG142" s="396"/>
      <c r="BH142" s="396"/>
      <c r="BI142" s="396"/>
      <c r="BJ142" s="396"/>
      <c r="BK142" s="396"/>
      <c r="BL142" s="396"/>
      <c r="BM142" s="396"/>
      <c r="BN142" s="396"/>
      <c r="BO142" s="396"/>
      <c r="BP142" s="396"/>
      <c r="BQ142" s="396"/>
      <c r="BR142" s="396"/>
      <c r="BS142" s="396"/>
      <c r="BT142" s="396"/>
      <c r="BU142" s="396"/>
      <c r="BV142" s="396"/>
      <c r="BW142" s="396"/>
      <c r="BX142" s="396"/>
      <c r="BY142" s="396"/>
      <c r="BZ142" s="396"/>
      <c r="CA142" s="396"/>
      <c r="CB142" s="396"/>
      <c r="CC142" s="396"/>
      <c r="CD142" s="396"/>
      <c r="CE142" s="396"/>
      <c r="CF142" s="396"/>
      <c r="CG142" s="396"/>
      <c r="CH142" s="396"/>
      <c r="CI142" s="396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6"/>
      <c r="DQ142" s="396"/>
      <c r="DR142" s="396"/>
      <c r="DS142" s="396"/>
      <c r="DT142" s="396"/>
      <c r="DU142" s="396"/>
      <c r="DV142" s="396"/>
      <c r="DW142" s="396"/>
      <c r="DX142" s="396"/>
      <c r="DY142" s="396"/>
      <c r="DZ142" s="396"/>
      <c r="EA142" s="396"/>
      <c r="EB142" s="396"/>
      <c r="EC142" s="396"/>
      <c r="ED142" s="396"/>
      <c r="EE142" s="396"/>
      <c r="EF142" s="396"/>
      <c r="EG142" s="396"/>
      <c r="EH142" s="396"/>
      <c r="EI142" s="396"/>
      <c r="EJ142" s="396"/>
      <c r="EK142" s="396"/>
      <c r="EL142" s="396"/>
      <c r="EM142" s="396"/>
      <c r="EN142" s="396"/>
      <c r="EO142" s="396"/>
      <c r="EP142" s="396"/>
      <c r="EQ142" s="396"/>
      <c r="ER142" s="396"/>
      <c r="ES142" s="396"/>
      <c r="ET142" s="396"/>
      <c r="EU142" s="396"/>
      <c r="EV142" s="396"/>
      <c r="EW142" s="396"/>
      <c r="EX142" s="396"/>
      <c r="EY142" s="396"/>
      <c r="EZ142" s="396"/>
      <c r="FA142" s="396"/>
      <c r="FB142" s="396"/>
      <c r="FC142" s="396"/>
      <c r="FD142" s="396"/>
      <c r="FE142" s="396"/>
      <c r="FF142" s="396"/>
      <c r="FG142" s="396"/>
      <c r="FH142" s="396"/>
      <c r="FI142" s="396"/>
      <c r="FJ142" s="396"/>
      <c r="FK142" s="396"/>
      <c r="FL142" s="396"/>
      <c r="FM142" s="396"/>
    </row>
    <row r="143" spans="2:193" ht="18.75" customHeight="1" x14ac:dyDescent="0.3"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  <c r="BG143" s="396"/>
      <c r="BH143" s="396"/>
      <c r="BI143" s="396"/>
      <c r="BJ143" s="396"/>
      <c r="BK143" s="396"/>
      <c r="BL143" s="396"/>
      <c r="BM143" s="396"/>
      <c r="BN143" s="396"/>
      <c r="BO143" s="396"/>
      <c r="BP143" s="396"/>
      <c r="BQ143" s="396"/>
      <c r="BR143" s="396"/>
      <c r="BS143" s="396"/>
      <c r="BT143" s="396"/>
      <c r="BU143" s="396"/>
      <c r="BV143" s="396"/>
      <c r="BW143" s="396"/>
      <c r="BX143" s="396"/>
      <c r="BY143" s="396"/>
      <c r="BZ143" s="396"/>
      <c r="CA143" s="396"/>
      <c r="CB143" s="396"/>
      <c r="CC143" s="396"/>
      <c r="CD143" s="396"/>
      <c r="CE143" s="396"/>
      <c r="CF143" s="396"/>
      <c r="CG143" s="396"/>
      <c r="CH143" s="396"/>
      <c r="CI143" s="396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6"/>
      <c r="DQ143" s="396"/>
      <c r="DR143" s="396"/>
      <c r="DS143" s="396"/>
      <c r="DT143" s="396"/>
      <c r="DU143" s="396"/>
      <c r="DV143" s="396"/>
      <c r="DW143" s="396"/>
      <c r="DX143" s="396"/>
      <c r="DY143" s="396"/>
      <c r="DZ143" s="396"/>
      <c r="EA143" s="396"/>
      <c r="EB143" s="396"/>
      <c r="EC143" s="396"/>
      <c r="ED143" s="396"/>
      <c r="EE143" s="396"/>
      <c r="EF143" s="396"/>
      <c r="EG143" s="396"/>
      <c r="EH143" s="396"/>
      <c r="EI143" s="396"/>
      <c r="EJ143" s="396"/>
      <c r="EK143" s="396"/>
      <c r="EL143" s="396"/>
      <c r="EM143" s="396"/>
      <c r="EN143" s="396"/>
      <c r="EO143" s="396"/>
      <c r="EP143" s="396"/>
      <c r="EQ143" s="396"/>
      <c r="ER143" s="396"/>
      <c r="ES143" s="396"/>
      <c r="ET143" s="396"/>
      <c r="EU143" s="396"/>
      <c r="EV143" s="396"/>
      <c r="EW143" s="396"/>
      <c r="EX143" s="396"/>
      <c r="EY143" s="396"/>
      <c r="EZ143" s="396"/>
      <c r="FA143" s="396"/>
      <c r="FB143" s="396"/>
      <c r="FC143" s="396"/>
      <c r="FD143" s="396"/>
      <c r="FE143" s="396"/>
      <c r="FF143" s="396"/>
      <c r="FG143" s="396"/>
      <c r="FH143" s="396"/>
      <c r="FI143" s="396"/>
      <c r="FJ143" s="396"/>
      <c r="FK143" s="396"/>
      <c r="FL143" s="396"/>
      <c r="FM143" s="396"/>
    </row>
    <row r="144" spans="2:193" ht="18.75" customHeight="1" x14ac:dyDescent="0.3"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  <c r="BH144" s="396"/>
      <c r="BI144" s="396"/>
      <c r="BJ144" s="396"/>
      <c r="BK144" s="396"/>
      <c r="BL144" s="396"/>
      <c r="BM144" s="396"/>
      <c r="BN144" s="396"/>
      <c r="BO144" s="396"/>
      <c r="BP144" s="396"/>
      <c r="BQ144" s="396"/>
      <c r="BR144" s="396"/>
      <c r="BS144" s="396"/>
      <c r="BT144" s="396"/>
      <c r="BU144" s="396"/>
      <c r="BV144" s="396"/>
      <c r="BW144" s="396"/>
      <c r="BX144" s="396"/>
      <c r="BY144" s="396"/>
      <c r="BZ144" s="396"/>
      <c r="CA144" s="396"/>
      <c r="CB144" s="396"/>
      <c r="CC144" s="396"/>
      <c r="CD144" s="396"/>
      <c r="CE144" s="396"/>
      <c r="CF144" s="396"/>
      <c r="CG144" s="396"/>
      <c r="CH144" s="396"/>
      <c r="CI144" s="396"/>
      <c r="CJ144" s="396"/>
      <c r="CK144" s="396"/>
      <c r="CL144" s="396"/>
      <c r="CM144" s="396"/>
      <c r="CN144" s="396"/>
      <c r="CO144" s="396"/>
      <c r="CP144" s="396"/>
      <c r="CQ144" s="396"/>
      <c r="CR144" s="396"/>
      <c r="CS144" s="396"/>
      <c r="CT144" s="396"/>
      <c r="CU144" s="396"/>
      <c r="CV144" s="396"/>
      <c r="CW144" s="396"/>
      <c r="CX144" s="396"/>
      <c r="CY144" s="396"/>
      <c r="CZ144" s="396"/>
      <c r="DA144" s="396"/>
      <c r="DB144" s="396"/>
      <c r="DC144" s="396"/>
      <c r="DD144" s="396"/>
      <c r="DE144" s="396"/>
      <c r="DF144" s="396"/>
      <c r="DG144" s="396"/>
      <c r="DH144" s="396"/>
      <c r="DI144" s="396"/>
      <c r="DJ144" s="396"/>
      <c r="DK144" s="396"/>
      <c r="DL144" s="396"/>
      <c r="DM144" s="396"/>
      <c r="DN144" s="396"/>
      <c r="DO144" s="396"/>
      <c r="DP144" s="396"/>
      <c r="DQ144" s="396"/>
      <c r="DR144" s="396"/>
      <c r="DS144" s="396"/>
      <c r="DT144" s="396"/>
      <c r="DU144" s="396"/>
      <c r="DV144" s="396"/>
      <c r="DW144" s="396"/>
      <c r="DX144" s="396"/>
      <c r="DY144" s="396"/>
      <c r="DZ144" s="396"/>
      <c r="EA144" s="396"/>
      <c r="EB144" s="396"/>
      <c r="EC144" s="396"/>
      <c r="ED144" s="396"/>
      <c r="EE144" s="396"/>
      <c r="EF144" s="396"/>
      <c r="EG144" s="396"/>
      <c r="EH144" s="396"/>
      <c r="EI144" s="396"/>
      <c r="EJ144" s="396"/>
      <c r="EK144" s="396"/>
      <c r="EL144" s="396"/>
      <c r="EM144" s="396"/>
      <c r="EN144" s="396"/>
      <c r="EO144" s="396"/>
      <c r="EP144" s="396"/>
      <c r="EQ144" s="396"/>
      <c r="ER144" s="396"/>
      <c r="ES144" s="396"/>
      <c r="ET144" s="396"/>
      <c r="EU144" s="396"/>
      <c r="EV144" s="396"/>
      <c r="EW144" s="396"/>
      <c r="EX144" s="396"/>
      <c r="EY144" s="396"/>
      <c r="EZ144" s="396"/>
      <c r="FA144" s="396"/>
      <c r="FB144" s="396"/>
      <c r="FC144" s="396"/>
      <c r="FD144" s="396"/>
      <c r="FE144" s="396"/>
      <c r="FF144" s="396"/>
      <c r="FG144" s="396"/>
      <c r="FH144" s="396"/>
      <c r="FI144" s="396"/>
      <c r="FJ144" s="396"/>
      <c r="FK144" s="396"/>
      <c r="FL144" s="396"/>
      <c r="FM144" s="396"/>
    </row>
    <row r="145" spans="41:169" ht="18.75" customHeight="1" x14ac:dyDescent="0.3"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396"/>
      <c r="BI145" s="396"/>
      <c r="BJ145" s="396"/>
      <c r="BK145" s="396"/>
      <c r="BL145" s="396"/>
      <c r="BM145" s="396"/>
      <c r="BN145" s="396"/>
      <c r="BO145" s="396"/>
      <c r="BP145" s="396"/>
      <c r="BQ145" s="396"/>
      <c r="BR145" s="396"/>
      <c r="BS145" s="396"/>
      <c r="BT145" s="396"/>
      <c r="BU145" s="396"/>
      <c r="BV145" s="396"/>
      <c r="BW145" s="396"/>
      <c r="BX145" s="396"/>
      <c r="BY145" s="396"/>
      <c r="BZ145" s="396"/>
      <c r="CA145" s="396"/>
      <c r="CB145" s="396"/>
      <c r="CC145" s="396"/>
      <c r="CD145" s="396"/>
      <c r="CE145" s="396"/>
      <c r="CF145" s="396"/>
      <c r="CG145" s="396"/>
      <c r="CH145" s="396"/>
      <c r="CI145" s="39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396"/>
      <c r="CU145" s="396"/>
      <c r="CV145" s="396"/>
      <c r="CW145" s="396"/>
      <c r="CX145" s="396"/>
      <c r="CY145" s="396"/>
      <c r="CZ145" s="396"/>
      <c r="DA145" s="396"/>
      <c r="DB145" s="396"/>
      <c r="DC145" s="396"/>
      <c r="DD145" s="396"/>
      <c r="DE145" s="396"/>
      <c r="DF145" s="396"/>
      <c r="DG145" s="396"/>
      <c r="DH145" s="396"/>
      <c r="DI145" s="396"/>
      <c r="DJ145" s="396"/>
      <c r="DK145" s="396"/>
      <c r="DL145" s="396"/>
      <c r="DM145" s="396"/>
      <c r="DN145" s="396"/>
      <c r="DO145" s="396"/>
      <c r="DP145" s="396"/>
      <c r="DQ145" s="396"/>
      <c r="DR145" s="396"/>
      <c r="DS145" s="396"/>
      <c r="DT145" s="396"/>
      <c r="DU145" s="396"/>
      <c r="DV145" s="396"/>
      <c r="DW145" s="396"/>
      <c r="DX145" s="396"/>
      <c r="DY145" s="396"/>
      <c r="DZ145" s="396"/>
      <c r="EA145" s="396"/>
      <c r="EB145" s="396"/>
      <c r="EC145" s="396"/>
      <c r="ED145" s="396"/>
      <c r="EE145" s="396"/>
      <c r="EF145" s="396"/>
      <c r="EG145" s="396"/>
      <c r="EH145" s="396"/>
      <c r="EI145" s="396"/>
      <c r="EJ145" s="396"/>
      <c r="EK145" s="396"/>
      <c r="EL145" s="396"/>
      <c r="EM145" s="396"/>
      <c r="EN145" s="396"/>
      <c r="EO145" s="396"/>
      <c r="EP145" s="396"/>
      <c r="EQ145" s="396"/>
      <c r="ER145" s="396"/>
      <c r="ES145" s="396"/>
      <c r="ET145" s="396"/>
      <c r="EU145" s="396"/>
      <c r="EV145" s="396"/>
      <c r="EW145" s="396"/>
      <c r="EX145" s="396"/>
      <c r="EY145" s="396"/>
      <c r="EZ145" s="396"/>
      <c r="FA145" s="396"/>
      <c r="FB145" s="396"/>
      <c r="FC145" s="396"/>
      <c r="FD145" s="396"/>
      <c r="FE145" s="396"/>
      <c r="FF145" s="396"/>
      <c r="FG145" s="396"/>
      <c r="FH145" s="396"/>
      <c r="FI145" s="396"/>
      <c r="FJ145" s="396"/>
      <c r="FK145" s="396"/>
      <c r="FL145" s="396"/>
      <c r="FM145" s="396"/>
    </row>
    <row r="146" spans="41:169" ht="18.75" customHeight="1" x14ac:dyDescent="0.3"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  <c r="BH146" s="396"/>
      <c r="BI146" s="396"/>
      <c r="BJ146" s="396"/>
      <c r="BK146" s="396"/>
      <c r="BL146" s="396"/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396"/>
      <c r="CG146" s="396"/>
      <c r="CH146" s="396"/>
      <c r="CI146" s="396"/>
      <c r="CJ146" s="396"/>
      <c r="CK146" s="396"/>
      <c r="CL146" s="396"/>
      <c r="CM146" s="396"/>
      <c r="CN146" s="396"/>
      <c r="CO146" s="396"/>
      <c r="CP146" s="396"/>
      <c r="CQ146" s="396"/>
      <c r="CR146" s="396"/>
      <c r="CS146" s="396"/>
      <c r="CT146" s="396"/>
      <c r="CU146" s="396"/>
      <c r="CV146" s="396"/>
      <c r="CW146" s="396"/>
      <c r="CX146" s="396"/>
      <c r="CY146" s="396"/>
      <c r="CZ146" s="396"/>
      <c r="DA146" s="396"/>
      <c r="DB146" s="396"/>
      <c r="DC146" s="396"/>
      <c r="DD146" s="396"/>
      <c r="DE146" s="396"/>
      <c r="DF146" s="396"/>
      <c r="DG146" s="396"/>
      <c r="DH146" s="396"/>
      <c r="DI146" s="396"/>
      <c r="DJ146" s="396"/>
      <c r="DK146" s="396"/>
      <c r="DL146" s="396"/>
      <c r="DM146" s="396"/>
      <c r="DN146" s="396"/>
      <c r="DO146" s="396"/>
      <c r="DP146" s="396"/>
      <c r="DQ146" s="396"/>
      <c r="DR146" s="396"/>
      <c r="DS146" s="396"/>
      <c r="DT146" s="396"/>
      <c r="DU146" s="396"/>
      <c r="DV146" s="396"/>
      <c r="DW146" s="396"/>
      <c r="DX146" s="396"/>
      <c r="DY146" s="396"/>
      <c r="DZ146" s="396"/>
      <c r="EA146" s="396"/>
      <c r="EB146" s="396"/>
      <c r="EC146" s="396"/>
      <c r="ED146" s="396"/>
      <c r="EE146" s="396"/>
      <c r="EF146" s="396"/>
      <c r="EG146" s="396"/>
      <c r="EH146" s="396"/>
      <c r="EI146" s="396"/>
      <c r="EJ146" s="396"/>
      <c r="EK146" s="396"/>
      <c r="EL146" s="396"/>
      <c r="EM146" s="396"/>
      <c r="EN146" s="396"/>
      <c r="EO146" s="396"/>
      <c r="EP146" s="396"/>
      <c r="EQ146" s="396"/>
      <c r="ER146" s="396"/>
      <c r="ES146" s="396"/>
      <c r="ET146" s="396"/>
      <c r="EU146" s="396"/>
      <c r="EV146" s="396"/>
      <c r="EW146" s="396"/>
      <c r="EX146" s="396"/>
      <c r="EY146" s="396"/>
      <c r="EZ146" s="396"/>
      <c r="FA146" s="396"/>
      <c r="FB146" s="396"/>
      <c r="FC146" s="396"/>
      <c r="FD146" s="396"/>
      <c r="FE146" s="396"/>
      <c r="FF146" s="396"/>
      <c r="FG146" s="396"/>
      <c r="FH146" s="396"/>
      <c r="FI146" s="396"/>
      <c r="FJ146" s="396"/>
      <c r="FK146" s="396"/>
      <c r="FL146" s="396"/>
      <c r="FM146" s="396"/>
    </row>
    <row r="147" spans="41:169" ht="18.75" customHeight="1" x14ac:dyDescent="0.3"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  <c r="BH147" s="396"/>
      <c r="BI147" s="396"/>
      <c r="BJ147" s="396"/>
      <c r="BK147" s="396"/>
      <c r="BL147" s="396"/>
      <c r="BM147" s="396"/>
      <c r="BN147" s="396"/>
      <c r="BO147" s="396"/>
      <c r="BP147" s="396"/>
      <c r="BQ147" s="396"/>
      <c r="BR147" s="396"/>
      <c r="BS147" s="396"/>
      <c r="BT147" s="396"/>
      <c r="BU147" s="396"/>
      <c r="BV147" s="396"/>
      <c r="BW147" s="396"/>
      <c r="BX147" s="396"/>
      <c r="BY147" s="396"/>
      <c r="BZ147" s="396"/>
      <c r="CA147" s="396"/>
      <c r="CB147" s="396"/>
      <c r="CC147" s="396"/>
      <c r="CD147" s="396"/>
      <c r="CE147" s="396"/>
      <c r="CF147" s="396"/>
      <c r="CG147" s="396"/>
      <c r="CH147" s="396"/>
      <c r="CI147" s="396"/>
      <c r="CJ147" s="396"/>
      <c r="CK147" s="396"/>
      <c r="CL147" s="396"/>
      <c r="CM147" s="396"/>
      <c r="CN147" s="396"/>
      <c r="CO147" s="396"/>
      <c r="CP147" s="396"/>
      <c r="CQ147" s="396"/>
      <c r="CR147" s="396"/>
      <c r="CS147" s="396"/>
      <c r="CT147" s="396"/>
      <c r="CU147" s="396"/>
      <c r="CV147" s="396"/>
      <c r="CW147" s="396"/>
      <c r="CX147" s="396"/>
      <c r="CY147" s="396"/>
      <c r="CZ147" s="396"/>
      <c r="DA147" s="396"/>
      <c r="DB147" s="396"/>
      <c r="DC147" s="396"/>
      <c r="DD147" s="396"/>
      <c r="DE147" s="396"/>
      <c r="DF147" s="396"/>
      <c r="DG147" s="396"/>
      <c r="DH147" s="396"/>
      <c r="DI147" s="396"/>
      <c r="DJ147" s="396"/>
      <c r="DK147" s="396"/>
      <c r="DL147" s="396"/>
      <c r="DM147" s="396"/>
      <c r="DN147" s="396"/>
      <c r="DO147" s="396"/>
      <c r="DP147" s="396"/>
      <c r="DQ147" s="396"/>
      <c r="DR147" s="396"/>
      <c r="DS147" s="396"/>
      <c r="DT147" s="396"/>
      <c r="DU147" s="396"/>
      <c r="DV147" s="396"/>
      <c r="DW147" s="396"/>
      <c r="DX147" s="396"/>
      <c r="DY147" s="396"/>
      <c r="DZ147" s="396"/>
      <c r="EA147" s="396"/>
      <c r="EB147" s="396"/>
      <c r="EC147" s="396"/>
      <c r="ED147" s="396"/>
      <c r="EE147" s="396"/>
      <c r="EF147" s="396"/>
      <c r="EG147" s="396"/>
      <c r="EH147" s="396"/>
      <c r="EI147" s="396"/>
      <c r="EJ147" s="396"/>
      <c r="EK147" s="396"/>
      <c r="EL147" s="396"/>
      <c r="EM147" s="396"/>
      <c r="EN147" s="396"/>
      <c r="EO147" s="396"/>
      <c r="EP147" s="396"/>
      <c r="EQ147" s="396"/>
      <c r="ER147" s="396"/>
      <c r="ES147" s="396"/>
      <c r="ET147" s="396"/>
      <c r="EU147" s="396"/>
      <c r="EV147" s="396"/>
      <c r="EW147" s="396"/>
      <c r="EX147" s="396"/>
      <c r="EY147" s="396"/>
      <c r="EZ147" s="396"/>
      <c r="FA147" s="396"/>
      <c r="FB147" s="396"/>
      <c r="FC147" s="396"/>
      <c r="FD147" s="396"/>
      <c r="FE147" s="396"/>
      <c r="FF147" s="396"/>
      <c r="FG147" s="396"/>
      <c r="FH147" s="396"/>
      <c r="FI147" s="396"/>
      <c r="FJ147" s="396"/>
      <c r="FK147" s="396"/>
      <c r="FL147" s="396"/>
      <c r="FM147" s="396"/>
    </row>
    <row r="148" spans="41:169" ht="18.75" customHeight="1" x14ac:dyDescent="0.3"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  <c r="BH148" s="396"/>
      <c r="BI148" s="396"/>
      <c r="BJ148" s="396"/>
      <c r="BK148" s="396"/>
      <c r="BL148" s="396"/>
      <c r="BM148" s="396"/>
      <c r="BN148" s="396"/>
      <c r="BO148" s="396"/>
      <c r="BP148" s="396"/>
      <c r="BQ148" s="396"/>
      <c r="BR148" s="396"/>
      <c r="BS148" s="396"/>
      <c r="BT148" s="396"/>
      <c r="BU148" s="396"/>
      <c r="BV148" s="396"/>
      <c r="BW148" s="396"/>
      <c r="BX148" s="396"/>
      <c r="BY148" s="396"/>
      <c r="BZ148" s="396"/>
      <c r="CA148" s="396"/>
      <c r="CB148" s="396"/>
      <c r="CC148" s="396"/>
      <c r="CD148" s="396"/>
      <c r="CE148" s="396"/>
      <c r="CF148" s="396"/>
      <c r="CG148" s="396"/>
      <c r="CH148" s="396"/>
      <c r="CI148" s="396"/>
      <c r="CJ148" s="396"/>
      <c r="CK148" s="396"/>
      <c r="CL148" s="396"/>
      <c r="CM148" s="396"/>
      <c r="CN148" s="396"/>
      <c r="CO148" s="396"/>
      <c r="CP148" s="396"/>
      <c r="CQ148" s="396"/>
      <c r="CR148" s="396"/>
      <c r="CS148" s="396"/>
      <c r="CT148" s="396"/>
      <c r="CU148" s="396"/>
      <c r="CV148" s="396"/>
      <c r="CW148" s="396"/>
      <c r="CX148" s="396"/>
      <c r="CY148" s="396"/>
      <c r="CZ148" s="396"/>
      <c r="DA148" s="396"/>
      <c r="DB148" s="396"/>
      <c r="DC148" s="396"/>
      <c r="DD148" s="396"/>
      <c r="DE148" s="396"/>
      <c r="DF148" s="396"/>
      <c r="DG148" s="396"/>
      <c r="DH148" s="396"/>
      <c r="DI148" s="396"/>
      <c r="DJ148" s="396"/>
      <c r="DK148" s="396"/>
      <c r="DL148" s="396"/>
      <c r="DM148" s="396"/>
      <c r="DN148" s="396"/>
      <c r="DO148" s="396"/>
      <c r="DP148" s="396"/>
      <c r="DQ148" s="396"/>
      <c r="DR148" s="396"/>
      <c r="DS148" s="396"/>
      <c r="DT148" s="396"/>
      <c r="DU148" s="396"/>
      <c r="DV148" s="396"/>
      <c r="DW148" s="396"/>
      <c r="DX148" s="396"/>
      <c r="DY148" s="396"/>
      <c r="DZ148" s="396"/>
      <c r="EA148" s="396"/>
      <c r="EB148" s="396"/>
      <c r="EC148" s="396"/>
      <c r="ED148" s="396"/>
      <c r="EE148" s="396"/>
      <c r="EF148" s="396"/>
      <c r="EG148" s="396"/>
      <c r="EH148" s="396"/>
      <c r="EI148" s="396"/>
      <c r="EJ148" s="396"/>
      <c r="EK148" s="396"/>
      <c r="EL148" s="396"/>
      <c r="EM148" s="396"/>
      <c r="EN148" s="396"/>
      <c r="EO148" s="396"/>
      <c r="EP148" s="396"/>
      <c r="EQ148" s="396"/>
      <c r="ER148" s="396"/>
      <c r="ES148" s="396"/>
      <c r="ET148" s="396"/>
      <c r="EU148" s="396"/>
      <c r="EV148" s="396"/>
      <c r="EW148" s="396"/>
      <c r="EX148" s="396"/>
      <c r="EY148" s="396"/>
      <c r="EZ148" s="396"/>
      <c r="FA148" s="396"/>
      <c r="FB148" s="396"/>
      <c r="FC148" s="396"/>
      <c r="FD148" s="396"/>
      <c r="FE148" s="396"/>
      <c r="FF148" s="396"/>
      <c r="FG148" s="396"/>
      <c r="FH148" s="396"/>
      <c r="FI148" s="396"/>
      <c r="FJ148" s="396"/>
      <c r="FK148" s="396"/>
      <c r="FL148" s="396"/>
      <c r="FM148" s="396"/>
    </row>
    <row r="149" spans="41:169" ht="18.75" customHeight="1" x14ac:dyDescent="0.3"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396"/>
      <c r="BI149" s="396"/>
      <c r="BJ149" s="396"/>
      <c r="BK149" s="396"/>
      <c r="BL149" s="396"/>
      <c r="BM149" s="396"/>
      <c r="BN149" s="396"/>
      <c r="BO149" s="396"/>
      <c r="BP149" s="396"/>
      <c r="BQ149" s="396"/>
      <c r="BR149" s="396"/>
      <c r="BS149" s="396"/>
      <c r="BT149" s="396"/>
      <c r="BU149" s="396"/>
      <c r="BV149" s="396"/>
      <c r="BW149" s="396"/>
      <c r="BX149" s="396"/>
      <c r="BY149" s="396"/>
      <c r="BZ149" s="396"/>
      <c r="CA149" s="396"/>
      <c r="CB149" s="396"/>
      <c r="CC149" s="396"/>
      <c r="CD149" s="396"/>
      <c r="CE149" s="396"/>
      <c r="CF149" s="396"/>
      <c r="CG149" s="396"/>
      <c r="CH149" s="396"/>
      <c r="CI149" s="396"/>
      <c r="CJ149" s="396"/>
      <c r="CK149" s="396"/>
      <c r="CL149" s="396"/>
      <c r="CM149" s="396"/>
      <c r="CN149" s="396"/>
      <c r="CO149" s="396"/>
      <c r="CP149" s="396"/>
      <c r="CQ149" s="396"/>
      <c r="CR149" s="396"/>
      <c r="CS149" s="396"/>
      <c r="CT149" s="396"/>
      <c r="CU149" s="396"/>
      <c r="CV149" s="396"/>
      <c r="CW149" s="396"/>
      <c r="CX149" s="396"/>
      <c r="CY149" s="396"/>
      <c r="CZ149" s="396"/>
      <c r="DA149" s="396"/>
      <c r="DB149" s="396"/>
      <c r="DC149" s="396"/>
      <c r="DD149" s="396"/>
      <c r="DE149" s="396"/>
      <c r="DF149" s="396"/>
      <c r="DG149" s="396"/>
      <c r="DH149" s="396"/>
      <c r="DI149" s="396"/>
      <c r="DJ149" s="396"/>
      <c r="DK149" s="396"/>
      <c r="DL149" s="396"/>
      <c r="DM149" s="396"/>
      <c r="DN149" s="396"/>
      <c r="DO149" s="396"/>
      <c r="DP149" s="396"/>
      <c r="DQ149" s="396"/>
      <c r="DR149" s="396"/>
      <c r="DS149" s="396"/>
      <c r="DT149" s="396"/>
      <c r="DU149" s="396"/>
      <c r="DV149" s="396"/>
      <c r="DW149" s="396"/>
      <c r="DX149" s="396"/>
      <c r="DY149" s="396"/>
      <c r="DZ149" s="396"/>
      <c r="EA149" s="396"/>
      <c r="EB149" s="396"/>
      <c r="EC149" s="396"/>
      <c r="ED149" s="396"/>
      <c r="EE149" s="396"/>
      <c r="EF149" s="396"/>
      <c r="EG149" s="396"/>
      <c r="EH149" s="396"/>
      <c r="EI149" s="396"/>
      <c r="EJ149" s="396"/>
      <c r="EK149" s="396"/>
      <c r="EL149" s="396"/>
      <c r="EM149" s="396"/>
      <c r="EN149" s="396"/>
      <c r="EO149" s="396"/>
      <c r="EP149" s="396"/>
      <c r="EQ149" s="396"/>
      <c r="ER149" s="396"/>
      <c r="ES149" s="396"/>
      <c r="ET149" s="396"/>
      <c r="EU149" s="396"/>
      <c r="EV149" s="396"/>
      <c r="EW149" s="396"/>
      <c r="EX149" s="396"/>
      <c r="EY149" s="396"/>
      <c r="EZ149" s="396"/>
      <c r="FA149" s="396"/>
      <c r="FB149" s="396"/>
      <c r="FC149" s="396"/>
      <c r="FD149" s="396"/>
      <c r="FE149" s="396"/>
      <c r="FF149" s="396"/>
      <c r="FG149" s="396"/>
      <c r="FH149" s="396"/>
      <c r="FI149" s="396"/>
      <c r="FJ149" s="396"/>
      <c r="FK149" s="396"/>
      <c r="FL149" s="396"/>
      <c r="FM149" s="396"/>
    </row>
    <row r="150" spans="41:169" ht="18.75" customHeight="1" x14ac:dyDescent="0.3"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  <c r="CR150" s="396"/>
      <c r="CS150" s="396"/>
      <c r="CT150" s="396"/>
      <c r="CU150" s="396"/>
      <c r="CV150" s="396"/>
      <c r="CW150" s="396"/>
      <c r="CX150" s="396"/>
      <c r="CY150" s="396"/>
      <c r="CZ150" s="396"/>
      <c r="DA150" s="396"/>
      <c r="DB150" s="396"/>
      <c r="DC150" s="396"/>
      <c r="DD150" s="396"/>
      <c r="DE150" s="396"/>
      <c r="DF150" s="396"/>
      <c r="DG150" s="396"/>
      <c r="DH150" s="396"/>
      <c r="DI150" s="396"/>
      <c r="DJ150" s="396"/>
      <c r="DK150" s="396"/>
      <c r="DL150" s="396"/>
      <c r="DM150" s="396"/>
      <c r="DN150" s="396"/>
      <c r="DO150" s="396"/>
      <c r="DP150" s="396"/>
      <c r="DQ150" s="396"/>
      <c r="DR150" s="396"/>
      <c r="DS150" s="396"/>
      <c r="DT150" s="396"/>
      <c r="DU150" s="396"/>
      <c r="DV150" s="396"/>
      <c r="DW150" s="396"/>
      <c r="DX150" s="396"/>
      <c r="DY150" s="396"/>
      <c r="DZ150" s="396"/>
      <c r="EA150" s="396"/>
      <c r="EB150" s="396"/>
      <c r="EC150" s="396"/>
      <c r="ED150" s="396"/>
      <c r="EE150" s="396"/>
      <c r="EF150" s="396"/>
      <c r="EG150" s="396"/>
      <c r="EH150" s="396"/>
      <c r="EI150" s="396"/>
      <c r="EJ150" s="396"/>
      <c r="EK150" s="396"/>
      <c r="EL150" s="396"/>
      <c r="EM150" s="396"/>
      <c r="EN150" s="396"/>
      <c r="EO150" s="396"/>
      <c r="EP150" s="396"/>
      <c r="EQ150" s="396"/>
      <c r="ER150" s="396"/>
      <c r="ES150" s="396"/>
      <c r="ET150" s="396"/>
      <c r="EU150" s="396"/>
      <c r="EV150" s="396"/>
      <c r="EW150" s="396"/>
      <c r="EX150" s="396"/>
      <c r="EY150" s="396"/>
      <c r="EZ150" s="396"/>
      <c r="FA150" s="396"/>
      <c r="FB150" s="396"/>
      <c r="FC150" s="396"/>
      <c r="FD150" s="396"/>
      <c r="FE150" s="396"/>
      <c r="FF150" s="396"/>
      <c r="FG150" s="396"/>
      <c r="FH150" s="396"/>
      <c r="FI150" s="396"/>
      <c r="FJ150" s="396"/>
      <c r="FK150" s="396"/>
      <c r="FL150" s="396"/>
      <c r="FM150" s="396"/>
    </row>
    <row r="151" spans="41:169" ht="18.75" customHeight="1" x14ac:dyDescent="0.3"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  <c r="BH151" s="396"/>
      <c r="BI151" s="396"/>
      <c r="BJ151" s="396"/>
      <c r="BK151" s="396"/>
      <c r="BL151" s="396"/>
      <c r="BM151" s="396"/>
      <c r="BN151" s="396"/>
      <c r="BO151" s="396"/>
      <c r="BP151" s="396"/>
      <c r="BQ151" s="396"/>
      <c r="BR151" s="396"/>
      <c r="BS151" s="396"/>
      <c r="BT151" s="396"/>
      <c r="BU151" s="396"/>
      <c r="BV151" s="396"/>
      <c r="BW151" s="396"/>
      <c r="BX151" s="396"/>
      <c r="BY151" s="396"/>
      <c r="BZ151" s="396"/>
      <c r="CA151" s="396"/>
      <c r="CB151" s="396"/>
      <c r="CC151" s="396"/>
      <c r="CD151" s="396"/>
      <c r="CE151" s="396"/>
      <c r="CF151" s="396"/>
      <c r="CG151" s="396"/>
      <c r="CH151" s="396"/>
      <c r="CI151" s="396"/>
      <c r="CJ151" s="396"/>
      <c r="CK151" s="396"/>
      <c r="CL151" s="396"/>
      <c r="CM151" s="396"/>
      <c r="CN151" s="396"/>
      <c r="CO151" s="396"/>
      <c r="CP151" s="396"/>
      <c r="CQ151" s="396"/>
      <c r="CR151" s="396"/>
      <c r="CS151" s="396"/>
      <c r="CT151" s="396"/>
      <c r="CU151" s="396"/>
      <c r="CV151" s="396"/>
      <c r="CW151" s="396"/>
      <c r="CX151" s="396"/>
      <c r="CY151" s="396"/>
      <c r="CZ151" s="396"/>
      <c r="DA151" s="396"/>
      <c r="DB151" s="396"/>
      <c r="DC151" s="396"/>
      <c r="DD151" s="396"/>
      <c r="DE151" s="396"/>
      <c r="DF151" s="396"/>
      <c r="DG151" s="396"/>
      <c r="DH151" s="396"/>
      <c r="DI151" s="396"/>
      <c r="DJ151" s="396"/>
      <c r="DK151" s="396"/>
      <c r="DL151" s="396"/>
      <c r="DM151" s="396"/>
      <c r="DN151" s="396"/>
      <c r="DO151" s="396"/>
      <c r="DP151" s="396"/>
      <c r="DQ151" s="396"/>
      <c r="DR151" s="396"/>
      <c r="DS151" s="396"/>
      <c r="DT151" s="396"/>
      <c r="DU151" s="396"/>
      <c r="DV151" s="396"/>
      <c r="DW151" s="396"/>
      <c r="DX151" s="396"/>
      <c r="DY151" s="396"/>
      <c r="DZ151" s="396"/>
      <c r="EA151" s="396"/>
      <c r="EB151" s="396"/>
      <c r="EC151" s="396"/>
      <c r="ED151" s="396"/>
      <c r="EE151" s="396"/>
      <c r="EF151" s="396"/>
      <c r="EG151" s="396"/>
      <c r="EH151" s="396"/>
      <c r="EI151" s="396"/>
      <c r="EJ151" s="396"/>
      <c r="EK151" s="396"/>
      <c r="EL151" s="396"/>
      <c r="EM151" s="396"/>
      <c r="EN151" s="396"/>
      <c r="EO151" s="396"/>
      <c r="EP151" s="396"/>
      <c r="EQ151" s="396"/>
      <c r="ER151" s="396"/>
      <c r="ES151" s="396"/>
      <c r="ET151" s="396"/>
      <c r="EU151" s="396"/>
      <c r="EV151" s="396"/>
      <c r="EW151" s="396"/>
      <c r="EX151" s="396"/>
      <c r="EY151" s="396"/>
      <c r="EZ151" s="396"/>
      <c r="FA151" s="396"/>
      <c r="FB151" s="396"/>
      <c r="FC151" s="396"/>
      <c r="FD151" s="396"/>
      <c r="FE151" s="396"/>
      <c r="FF151" s="396"/>
      <c r="FG151" s="396"/>
      <c r="FH151" s="396"/>
      <c r="FI151" s="396"/>
      <c r="FJ151" s="396"/>
      <c r="FK151" s="396"/>
      <c r="FL151" s="396"/>
      <c r="FM151" s="396"/>
    </row>
    <row r="152" spans="41:169" ht="18.75" customHeight="1" x14ac:dyDescent="0.3"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  <c r="CR152" s="396"/>
      <c r="CS152" s="396"/>
      <c r="CT152" s="396"/>
      <c r="CU152" s="396"/>
      <c r="CV152" s="396"/>
      <c r="CW152" s="396"/>
      <c r="CX152" s="396"/>
      <c r="CY152" s="396"/>
      <c r="CZ152" s="396"/>
      <c r="DA152" s="396"/>
      <c r="DB152" s="396"/>
      <c r="DC152" s="396"/>
      <c r="DD152" s="396"/>
      <c r="DE152" s="396"/>
      <c r="DF152" s="396"/>
      <c r="DG152" s="396"/>
      <c r="DH152" s="396"/>
      <c r="DI152" s="396"/>
      <c r="DJ152" s="396"/>
      <c r="DK152" s="396"/>
      <c r="DL152" s="396"/>
      <c r="DM152" s="396"/>
      <c r="DN152" s="396"/>
      <c r="DO152" s="396"/>
      <c r="DP152" s="396"/>
      <c r="DQ152" s="396"/>
      <c r="DR152" s="396"/>
      <c r="DS152" s="396"/>
      <c r="DT152" s="396"/>
      <c r="DU152" s="396"/>
      <c r="DV152" s="396"/>
      <c r="DW152" s="396"/>
      <c r="DX152" s="396"/>
      <c r="DY152" s="396"/>
      <c r="DZ152" s="396"/>
      <c r="EA152" s="396"/>
      <c r="EB152" s="396"/>
      <c r="EC152" s="396"/>
      <c r="ED152" s="396"/>
      <c r="EE152" s="396"/>
      <c r="EF152" s="396"/>
      <c r="EG152" s="396"/>
      <c r="EH152" s="396"/>
      <c r="EI152" s="396"/>
      <c r="EJ152" s="396"/>
      <c r="EK152" s="396"/>
      <c r="EL152" s="396"/>
      <c r="EM152" s="396"/>
      <c r="EN152" s="396"/>
      <c r="EO152" s="396"/>
      <c r="EP152" s="396"/>
      <c r="EQ152" s="396"/>
      <c r="ER152" s="396"/>
      <c r="ES152" s="396"/>
      <c r="ET152" s="396"/>
      <c r="EU152" s="396"/>
      <c r="EV152" s="396"/>
      <c r="EW152" s="396"/>
      <c r="EX152" s="396"/>
      <c r="EY152" s="396"/>
      <c r="EZ152" s="396"/>
      <c r="FA152" s="396"/>
      <c r="FB152" s="396"/>
      <c r="FC152" s="396"/>
      <c r="FD152" s="396"/>
      <c r="FE152" s="396"/>
      <c r="FF152" s="396"/>
      <c r="FG152" s="396"/>
      <c r="FH152" s="396"/>
      <c r="FI152" s="396"/>
      <c r="FJ152" s="396"/>
      <c r="FK152" s="396"/>
      <c r="FL152" s="396"/>
      <c r="FM152" s="396"/>
    </row>
    <row r="153" spans="41:169" ht="18.75" customHeight="1" x14ac:dyDescent="0.3"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396"/>
      <c r="BI153" s="396"/>
      <c r="BJ153" s="396"/>
      <c r="BK153" s="396"/>
      <c r="BL153" s="396"/>
      <c r="BM153" s="396"/>
      <c r="BN153" s="396"/>
      <c r="BO153" s="396"/>
      <c r="BP153" s="39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396"/>
      <c r="CG153" s="396"/>
      <c r="CH153" s="396"/>
      <c r="CI153" s="396"/>
      <c r="CJ153" s="396"/>
      <c r="CK153" s="396"/>
      <c r="CL153" s="396"/>
      <c r="CM153" s="396"/>
      <c r="CN153" s="396"/>
      <c r="CO153" s="396"/>
      <c r="CP153" s="396"/>
      <c r="CQ153" s="396"/>
      <c r="CR153" s="396"/>
      <c r="CS153" s="396"/>
      <c r="CT153" s="396"/>
      <c r="CU153" s="396"/>
      <c r="CV153" s="396"/>
      <c r="CW153" s="396"/>
      <c r="CX153" s="396"/>
      <c r="CY153" s="396"/>
      <c r="CZ153" s="396"/>
      <c r="DA153" s="396"/>
      <c r="DB153" s="396"/>
      <c r="DC153" s="396"/>
      <c r="DD153" s="396"/>
      <c r="DE153" s="396"/>
      <c r="DF153" s="396"/>
      <c r="DG153" s="396"/>
      <c r="DH153" s="396"/>
      <c r="DI153" s="396"/>
      <c r="DJ153" s="396"/>
      <c r="DK153" s="396"/>
      <c r="DL153" s="396"/>
      <c r="DM153" s="396"/>
      <c r="DN153" s="396"/>
      <c r="DO153" s="396"/>
      <c r="DP153" s="396"/>
      <c r="DQ153" s="396"/>
      <c r="DR153" s="396"/>
      <c r="DS153" s="396"/>
      <c r="DT153" s="396"/>
      <c r="DU153" s="396"/>
      <c r="DV153" s="396"/>
      <c r="DW153" s="396"/>
      <c r="DX153" s="396"/>
      <c r="DY153" s="396"/>
      <c r="DZ153" s="396"/>
      <c r="EA153" s="396"/>
      <c r="EB153" s="396"/>
      <c r="EC153" s="396"/>
      <c r="ED153" s="396"/>
      <c r="EE153" s="396"/>
      <c r="EF153" s="396"/>
      <c r="EG153" s="396"/>
      <c r="EH153" s="396"/>
      <c r="EI153" s="396"/>
      <c r="EJ153" s="396"/>
      <c r="EK153" s="396"/>
      <c r="EL153" s="396"/>
      <c r="EM153" s="396"/>
      <c r="EN153" s="396"/>
      <c r="EO153" s="396"/>
      <c r="EP153" s="396"/>
      <c r="EQ153" s="396"/>
      <c r="ER153" s="396"/>
      <c r="ES153" s="396"/>
      <c r="ET153" s="396"/>
      <c r="EU153" s="396"/>
      <c r="EV153" s="396"/>
      <c r="EW153" s="396"/>
      <c r="EX153" s="396"/>
      <c r="EY153" s="396"/>
      <c r="EZ153" s="396"/>
      <c r="FA153" s="396"/>
      <c r="FB153" s="396"/>
      <c r="FC153" s="396"/>
      <c r="FD153" s="396"/>
      <c r="FE153" s="396"/>
      <c r="FF153" s="396"/>
      <c r="FG153" s="396"/>
      <c r="FH153" s="396"/>
      <c r="FI153" s="396"/>
      <c r="FJ153" s="396"/>
      <c r="FK153" s="396"/>
      <c r="FL153" s="396"/>
      <c r="FM153" s="396"/>
    </row>
    <row r="154" spans="41:169" ht="18.75" customHeight="1" x14ac:dyDescent="0.3"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  <c r="DZ154" s="396"/>
      <c r="EA154" s="396"/>
      <c r="EB154" s="396"/>
      <c r="EC154" s="396"/>
      <c r="ED154" s="396"/>
      <c r="EE154" s="396"/>
      <c r="EF154" s="396"/>
      <c r="EG154" s="396"/>
      <c r="EH154" s="396"/>
      <c r="EI154" s="396"/>
      <c r="EJ154" s="396"/>
      <c r="EK154" s="396"/>
      <c r="EL154" s="396"/>
      <c r="EM154" s="396"/>
      <c r="EN154" s="396"/>
      <c r="EO154" s="396"/>
      <c r="EP154" s="396"/>
      <c r="EQ154" s="396"/>
      <c r="ER154" s="396"/>
      <c r="ES154" s="396"/>
      <c r="ET154" s="396"/>
      <c r="EU154" s="396"/>
      <c r="EV154" s="396"/>
      <c r="EW154" s="396"/>
      <c r="EX154" s="396"/>
      <c r="EY154" s="396"/>
      <c r="EZ154" s="396"/>
      <c r="FA154" s="396"/>
      <c r="FB154" s="396"/>
      <c r="FC154" s="396"/>
      <c r="FD154" s="396"/>
      <c r="FE154" s="396"/>
      <c r="FF154" s="396"/>
      <c r="FG154" s="396"/>
      <c r="FH154" s="396"/>
      <c r="FI154" s="396"/>
      <c r="FJ154" s="396"/>
      <c r="FK154" s="396"/>
      <c r="FL154" s="396"/>
      <c r="FM154" s="396"/>
    </row>
    <row r="155" spans="41:169" ht="18.75" customHeight="1" x14ac:dyDescent="0.3"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396"/>
      <c r="EC155" s="396"/>
      <c r="ED155" s="396"/>
      <c r="EE155" s="396"/>
      <c r="EF155" s="396"/>
      <c r="EG155" s="396"/>
      <c r="EH155" s="396"/>
      <c r="EI155" s="396"/>
      <c r="EJ155" s="396"/>
      <c r="EK155" s="396"/>
      <c r="EL155" s="396"/>
      <c r="EM155" s="396"/>
      <c r="EN155" s="396"/>
      <c r="EO155" s="396"/>
      <c r="EP155" s="396"/>
      <c r="EQ155" s="396"/>
      <c r="ER155" s="396"/>
      <c r="ES155" s="396"/>
      <c r="ET155" s="396"/>
      <c r="EU155" s="396"/>
      <c r="EV155" s="396"/>
      <c r="EW155" s="396"/>
      <c r="EX155" s="396"/>
      <c r="EY155" s="396"/>
      <c r="EZ155" s="396"/>
      <c r="FA155" s="396"/>
      <c r="FB155" s="396"/>
      <c r="FC155" s="396"/>
      <c r="FD155" s="396"/>
      <c r="FE155" s="396"/>
      <c r="FF155" s="396"/>
      <c r="FG155" s="396"/>
      <c r="FH155" s="396"/>
      <c r="FI155" s="396"/>
      <c r="FJ155" s="396"/>
      <c r="FK155" s="396"/>
      <c r="FL155" s="396"/>
      <c r="FM155" s="396"/>
    </row>
    <row r="156" spans="41:169" ht="18.75" customHeight="1" x14ac:dyDescent="0.3"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  <c r="DZ156" s="396"/>
      <c r="EA156" s="396"/>
      <c r="EB156" s="396"/>
      <c r="EC156" s="396"/>
      <c r="ED156" s="396"/>
      <c r="EE156" s="396"/>
      <c r="EF156" s="396"/>
      <c r="EG156" s="396"/>
      <c r="EH156" s="396"/>
      <c r="EI156" s="396"/>
      <c r="EJ156" s="396"/>
      <c r="EK156" s="396"/>
      <c r="EL156" s="396"/>
      <c r="EM156" s="396"/>
      <c r="EN156" s="396"/>
      <c r="EO156" s="396"/>
      <c r="EP156" s="396"/>
      <c r="EQ156" s="396"/>
      <c r="ER156" s="396"/>
      <c r="ES156" s="396"/>
      <c r="ET156" s="396"/>
      <c r="EU156" s="396"/>
      <c r="EV156" s="396"/>
      <c r="EW156" s="396"/>
      <c r="EX156" s="396"/>
      <c r="EY156" s="396"/>
      <c r="EZ156" s="396"/>
      <c r="FA156" s="396"/>
      <c r="FB156" s="396"/>
      <c r="FC156" s="396"/>
      <c r="FD156" s="396"/>
      <c r="FE156" s="396"/>
      <c r="FF156" s="396"/>
      <c r="FG156" s="396"/>
      <c r="FH156" s="396"/>
      <c r="FI156" s="396"/>
      <c r="FJ156" s="396"/>
      <c r="FK156" s="396"/>
      <c r="FL156" s="396"/>
      <c r="FM156" s="396"/>
    </row>
    <row r="157" spans="41:169" ht="18.75" customHeight="1" x14ac:dyDescent="0.3"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  <c r="DZ157" s="396"/>
      <c r="EA157" s="396"/>
      <c r="EB157" s="396"/>
      <c r="EC157" s="396"/>
      <c r="ED157" s="396"/>
      <c r="EE157" s="396"/>
      <c r="EF157" s="396"/>
      <c r="EG157" s="396"/>
      <c r="EH157" s="396"/>
      <c r="EI157" s="396"/>
      <c r="EJ157" s="396"/>
      <c r="EK157" s="396"/>
      <c r="EL157" s="396"/>
      <c r="EM157" s="396"/>
      <c r="EN157" s="396"/>
      <c r="EO157" s="396"/>
      <c r="EP157" s="396"/>
      <c r="EQ157" s="396"/>
      <c r="ER157" s="396"/>
      <c r="ES157" s="396"/>
      <c r="ET157" s="396"/>
      <c r="EU157" s="396"/>
      <c r="EV157" s="396"/>
      <c r="EW157" s="396"/>
      <c r="EX157" s="396"/>
      <c r="EY157" s="396"/>
      <c r="EZ157" s="396"/>
      <c r="FA157" s="396"/>
      <c r="FB157" s="396"/>
      <c r="FC157" s="396"/>
      <c r="FD157" s="396"/>
      <c r="FE157" s="396"/>
      <c r="FF157" s="396"/>
      <c r="FG157" s="396"/>
      <c r="FH157" s="396"/>
      <c r="FI157" s="396"/>
      <c r="FJ157" s="396"/>
      <c r="FK157" s="396"/>
      <c r="FL157" s="396"/>
      <c r="FM157" s="396"/>
    </row>
    <row r="158" spans="41:169" ht="18.75" customHeight="1" x14ac:dyDescent="0.3"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  <c r="DZ158" s="396"/>
      <c r="EA158" s="396"/>
      <c r="EB158" s="396"/>
      <c r="EC158" s="396"/>
      <c r="ED158" s="396"/>
      <c r="EE158" s="396"/>
      <c r="EF158" s="396"/>
      <c r="EG158" s="396"/>
      <c r="EH158" s="396"/>
      <c r="EI158" s="396"/>
      <c r="EJ158" s="396"/>
      <c r="EK158" s="396"/>
      <c r="EL158" s="396"/>
      <c r="EM158" s="396"/>
      <c r="EN158" s="396"/>
      <c r="EO158" s="396"/>
      <c r="EP158" s="396"/>
      <c r="EQ158" s="396"/>
      <c r="ER158" s="396"/>
      <c r="ES158" s="396"/>
      <c r="ET158" s="396"/>
      <c r="EU158" s="396"/>
      <c r="EV158" s="396"/>
      <c r="EW158" s="396"/>
      <c r="EX158" s="396"/>
      <c r="EY158" s="396"/>
      <c r="EZ158" s="396"/>
      <c r="FA158" s="396"/>
      <c r="FB158" s="396"/>
      <c r="FC158" s="396"/>
      <c r="FD158" s="396"/>
      <c r="FE158" s="396"/>
      <c r="FF158" s="396"/>
      <c r="FG158" s="396"/>
      <c r="FH158" s="396"/>
      <c r="FI158" s="396"/>
      <c r="FJ158" s="396"/>
      <c r="FK158" s="396"/>
      <c r="FL158" s="396"/>
      <c r="FM158" s="396"/>
    </row>
    <row r="159" spans="41:169" ht="18.75" customHeight="1" x14ac:dyDescent="0.3"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  <c r="DZ159" s="396"/>
      <c r="EA159" s="396"/>
      <c r="EB159" s="396"/>
      <c r="EC159" s="396"/>
      <c r="ED159" s="396"/>
      <c r="EE159" s="396"/>
      <c r="EF159" s="396"/>
      <c r="EG159" s="396"/>
      <c r="EH159" s="396"/>
      <c r="EI159" s="396"/>
      <c r="EJ159" s="396"/>
      <c r="EK159" s="396"/>
      <c r="EL159" s="396"/>
      <c r="EM159" s="396"/>
      <c r="EN159" s="396"/>
      <c r="EO159" s="396"/>
      <c r="EP159" s="396"/>
      <c r="EQ159" s="396"/>
      <c r="ER159" s="396"/>
      <c r="ES159" s="396"/>
      <c r="ET159" s="396"/>
      <c r="EU159" s="396"/>
      <c r="EV159" s="396"/>
      <c r="EW159" s="396"/>
      <c r="EX159" s="396"/>
      <c r="EY159" s="396"/>
      <c r="EZ159" s="396"/>
      <c r="FA159" s="396"/>
      <c r="FB159" s="396"/>
      <c r="FC159" s="396"/>
      <c r="FD159" s="396"/>
      <c r="FE159" s="396"/>
      <c r="FF159" s="396"/>
      <c r="FG159" s="396"/>
      <c r="FH159" s="396"/>
      <c r="FI159" s="396"/>
      <c r="FJ159" s="396"/>
      <c r="FK159" s="396"/>
      <c r="FL159" s="396"/>
      <c r="FM159" s="396"/>
    </row>
    <row r="160" spans="41:169" ht="18.75" customHeight="1" x14ac:dyDescent="0.3"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  <c r="BH160" s="396"/>
      <c r="BI160" s="396"/>
      <c r="BJ160" s="396"/>
      <c r="BK160" s="396"/>
      <c r="BL160" s="396"/>
      <c r="BM160" s="396"/>
      <c r="BN160" s="396"/>
      <c r="BO160" s="396"/>
      <c r="BP160" s="396"/>
      <c r="BQ160" s="396"/>
      <c r="BR160" s="396"/>
      <c r="BS160" s="396"/>
      <c r="BT160" s="396"/>
      <c r="BU160" s="396"/>
      <c r="BV160" s="396"/>
      <c r="BW160" s="396"/>
      <c r="BX160" s="396"/>
      <c r="BY160" s="396"/>
      <c r="BZ160" s="396"/>
      <c r="CA160" s="396"/>
      <c r="CB160" s="396"/>
      <c r="CC160" s="396"/>
      <c r="CD160" s="396"/>
      <c r="CE160" s="396"/>
      <c r="CF160" s="396"/>
      <c r="CG160" s="396"/>
      <c r="CH160" s="396"/>
      <c r="CI160" s="396"/>
      <c r="CJ160" s="396"/>
      <c r="CK160" s="396"/>
      <c r="CL160" s="396"/>
      <c r="CM160" s="396"/>
      <c r="CN160" s="396"/>
      <c r="CO160" s="396"/>
      <c r="CP160" s="396"/>
      <c r="CQ160" s="396"/>
      <c r="CR160" s="396"/>
      <c r="CS160" s="396"/>
      <c r="CT160" s="396"/>
      <c r="CU160" s="396"/>
      <c r="CV160" s="396"/>
      <c r="CW160" s="396"/>
      <c r="CX160" s="396"/>
      <c r="CY160" s="396"/>
      <c r="CZ160" s="396"/>
      <c r="DA160" s="396"/>
      <c r="DB160" s="396"/>
      <c r="DC160" s="396"/>
      <c r="DD160" s="396"/>
      <c r="DE160" s="396"/>
      <c r="DF160" s="396"/>
      <c r="DG160" s="396"/>
      <c r="DH160" s="396"/>
      <c r="DI160" s="396"/>
      <c r="DJ160" s="396"/>
      <c r="DK160" s="396"/>
      <c r="DL160" s="396"/>
      <c r="DM160" s="396"/>
      <c r="DN160" s="396"/>
      <c r="DO160" s="396"/>
      <c r="DP160" s="396"/>
      <c r="DQ160" s="396"/>
      <c r="DR160" s="396"/>
      <c r="DS160" s="396"/>
      <c r="DT160" s="396"/>
      <c r="DU160" s="396"/>
      <c r="DV160" s="396"/>
      <c r="DW160" s="396"/>
      <c r="DX160" s="396"/>
      <c r="DY160" s="396"/>
      <c r="DZ160" s="396"/>
      <c r="EA160" s="396"/>
      <c r="EB160" s="396"/>
      <c r="EC160" s="396"/>
      <c r="ED160" s="396"/>
      <c r="EE160" s="396"/>
      <c r="EF160" s="396"/>
      <c r="EG160" s="396"/>
      <c r="EH160" s="396"/>
      <c r="EI160" s="396"/>
      <c r="EJ160" s="396"/>
      <c r="EK160" s="396"/>
      <c r="EL160" s="396"/>
      <c r="EM160" s="396"/>
      <c r="EN160" s="396"/>
      <c r="EO160" s="396"/>
      <c r="EP160" s="396"/>
      <c r="EQ160" s="396"/>
      <c r="ER160" s="396"/>
      <c r="ES160" s="396"/>
      <c r="ET160" s="396"/>
      <c r="EU160" s="396"/>
      <c r="EV160" s="396"/>
      <c r="EW160" s="396"/>
      <c r="EX160" s="396"/>
      <c r="EY160" s="396"/>
      <c r="EZ160" s="396"/>
      <c r="FA160" s="396"/>
      <c r="FB160" s="396"/>
      <c r="FC160" s="396"/>
      <c r="FD160" s="396"/>
      <c r="FE160" s="396"/>
      <c r="FF160" s="396"/>
      <c r="FG160" s="396"/>
      <c r="FH160" s="396"/>
      <c r="FI160" s="396"/>
      <c r="FJ160" s="396"/>
      <c r="FK160" s="396"/>
      <c r="FL160" s="396"/>
      <c r="FM160" s="396"/>
    </row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</sheetData>
  <mergeCells count="573">
    <mergeCell ref="A4:GK4"/>
    <mergeCell ref="GI70:GK70"/>
    <mergeCell ref="FH70:FJ70"/>
    <mergeCell ref="FK70:FM70"/>
    <mergeCell ref="FN70:FP70"/>
    <mergeCell ref="FQ70:FS70"/>
    <mergeCell ref="FT70:FV70"/>
    <mergeCell ref="FW70:FY70"/>
    <mergeCell ref="FZ70:GB70"/>
    <mergeCell ref="GC70:GE70"/>
    <mergeCell ref="GF70:GH70"/>
    <mergeCell ref="EG70:EI70"/>
    <mergeCell ref="EJ70:EL70"/>
    <mergeCell ref="EM70:EO70"/>
    <mergeCell ref="EP70:ER70"/>
    <mergeCell ref="ES70:EU70"/>
    <mergeCell ref="EV70:EX70"/>
    <mergeCell ref="EY70:FA70"/>
    <mergeCell ref="FB70:FD70"/>
    <mergeCell ref="FE70:FG70"/>
    <mergeCell ref="DF70:DH70"/>
    <mergeCell ref="DI70:DK70"/>
    <mergeCell ref="DL70:DN70"/>
    <mergeCell ref="DO70:DQ70"/>
    <mergeCell ref="DR70:DT70"/>
    <mergeCell ref="DU70:DW70"/>
    <mergeCell ref="DX70:DZ70"/>
    <mergeCell ref="EA70:EC70"/>
    <mergeCell ref="ED70:EF70"/>
    <mergeCell ref="CE70:CG70"/>
    <mergeCell ref="CH70:CJ70"/>
    <mergeCell ref="CK70:CM70"/>
    <mergeCell ref="CN70:CP70"/>
    <mergeCell ref="CQ70:CS70"/>
    <mergeCell ref="CT70:CV70"/>
    <mergeCell ref="CW70:CY70"/>
    <mergeCell ref="CZ70:DB70"/>
    <mergeCell ref="DC70:DE70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B70:CD70"/>
    <mergeCell ref="AC70:AE70"/>
    <mergeCell ref="AF70:AH70"/>
    <mergeCell ref="AI70:AK70"/>
    <mergeCell ref="AL70:AN70"/>
    <mergeCell ref="AO70:AQ70"/>
    <mergeCell ref="AR70:AT70"/>
    <mergeCell ref="AU70:AW70"/>
    <mergeCell ref="AX70:AZ70"/>
    <mergeCell ref="BA70:BC70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K69:FM69"/>
    <mergeCell ref="FN69:FP69"/>
    <mergeCell ref="FQ69:FS69"/>
    <mergeCell ref="FT69:FV69"/>
    <mergeCell ref="FW69:FY69"/>
    <mergeCell ref="FZ69:GB69"/>
    <mergeCell ref="GC69:GE69"/>
    <mergeCell ref="GF69:GH69"/>
    <mergeCell ref="GI69:GK69"/>
    <mergeCell ref="EJ69:EL69"/>
    <mergeCell ref="EM69:EO69"/>
    <mergeCell ref="EP69:ER69"/>
    <mergeCell ref="ES69:EU69"/>
    <mergeCell ref="EV69:EX69"/>
    <mergeCell ref="EY69:FA69"/>
    <mergeCell ref="FB69:FD69"/>
    <mergeCell ref="FE69:FG69"/>
    <mergeCell ref="FH69:FJ69"/>
    <mergeCell ref="DI69:DK69"/>
    <mergeCell ref="DL69:DN69"/>
    <mergeCell ref="DO69:DQ69"/>
    <mergeCell ref="DR69:DT69"/>
    <mergeCell ref="DU69:DW69"/>
    <mergeCell ref="DX69:DZ69"/>
    <mergeCell ref="EA69:EC69"/>
    <mergeCell ref="ED69:EF69"/>
    <mergeCell ref="EG69:EI69"/>
    <mergeCell ref="CH69:CJ69"/>
    <mergeCell ref="CK69:CM69"/>
    <mergeCell ref="CN69:CP69"/>
    <mergeCell ref="CQ69:CS69"/>
    <mergeCell ref="CT69:CV69"/>
    <mergeCell ref="CW69:CY69"/>
    <mergeCell ref="CZ69:DB69"/>
    <mergeCell ref="DC69:DE69"/>
    <mergeCell ref="DF69:DH69"/>
    <mergeCell ref="BG69:BI69"/>
    <mergeCell ref="BJ69:BL69"/>
    <mergeCell ref="BM69:BO69"/>
    <mergeCell ref="BP69:BR69"/>
    <mergeCell ref="BS69:BU69"/>
    <mergeCell ref="BV69:BX69"/>
    <mergeCell ref="BY69:CA69"/>
    <mergeCell ref="CB69:CD69"/>
    <mergeCell ref="CE69:CG69"/>
    <mergeCell ref="FW68:FY68"/>
    <mergeCell ref="FZ68:GB68"/>
    <mergeCell ref="GC68:GE68"/>
    <mergeCell ref="GF68:GH68"/>
    <mergeCell ref="GI68:GK68"/>
    <mergeCell ref="B69:D69"/>
    <mergeCell ref="E69:G69"/>
    <mergeCell ref="H69:J69"/>
    <mergeCell ref="K69:M69"/>
    <mergeCell ref="N69:P69"/>
    <mergeCell ref="Q69:S69"/>
    <mergeCell ref="T69:V69"/>
    <mergeCell ref="W69:Y69"/>
    <mergeCell ref="Z69:AB69"/>
    <mergeCell ref="AC69:AE69"/>
    <mergeCell ref="AF69:AH69"/>
    <mergeCell ref="AI69:AK69"/>
    <mergeCell ref="AL69:AN69"/>
    <mergeCell ref="AO69:AQ69"/>
    <mergeCell ref="AR69:AT69"/>
    <mergeCell ref="AU69:AW69"/>
    <mergeCell ref="AX69:AZ69"/>
    <mergeCell ref="BA69:BC69"/>
    <mergeCell ref="BD69:BF69"/>
    <mergeCell ref="EV68:EX68"/>
    <mergeCell ref="EY68:FA68"/>
    <mergeCell ref="FB68:FD68"/>
    <mergeCell ref="FE68:FG68"/>
    <mergeCell ref="FH68:FJ68"/>
    <mergeCell ref="FK68:FM68"/>
    <mergeCell ref="FN68:FP68"/>
    <mergeCell ref="FQ68:FS68"/>
    <mergeCell ref="FT68:FV68"/>
    <mergeCell ref="DU68:DW68"/>
    <mergeCell ref="DX68:DZ68"/>
    <mergeCell ref="EA68:EC68"/>
    <mergeCell ref="ED68:EF68"/>
    <mergeCell ref="EG68:EI68"/>
    <mergeCell ref="EJ68:EL68"/>
    <mergeCell ref="EM68:EO68"/>
    <mergeCell ref="EP68:ER68"/>
    <mergeCell ref="ES68:EU68"/>
    <mergeCell ref="CT68:CV68"/>
    <mergeCell ref="CW68:CY68"/>
    <mergeCell ref="CZ68:DB68"/>
    <mergeCell ref="DC68:DE68"/>
    <mergeCell ref="DF68:DH68"/>
    <mergeCell ref="DI68:DK68"/>
    <mergeCell ref="DL68:DN68"/>
    <mergeCell ref="DO68:DQ68"/>
    <mergeCell ref="DR68:DT68"/>
    <mergeCell ref="BS68:BU68"/>
    <mergeCell ref="BV68:BX68"/>
    <mergeCell ref="BY68:CA68"/>
    <mergeCell ref="CB68:CD68"/>
    <mergeCell ref="CE68:CG68"/>
    <mergeCell ref="CH68:CJ68"/>
    <mergeCell ref="CK68:CM68"/>
    <mergeCell ref="CN68:CP68"/>
    <mergeCell ref="CQ68:CS68"/>
    <mergeCell ref="GI66:GK66"/>
    <mergeCell ref="B68:D68"/>
    <mergeCell ref="E68:G68"/>
    <mergeCell ref="H68:J68"/>
    <mergeCell ref="K68:M68"/>
    <mergeCell ref="N68:P68"/>
    <mergeCell ref="Q68:S68"/>
    <mergeCell ref="T68:V68"/>
    <mergeCell ref="W68:Y68"/>
    <mergeCell ref="Z68:AB68"/>
    <mergeCell ref="AC68:AE68"/>
    <mergeCell ref="AF68:AH68"/>
    <mergeCell ref="AI68:AK68"/>
    <mergeCell ref="AL68:AN68"/>
    <mergeCell ref="AO68:AQ68"/>
    <mergeCell ref="AR68:AT68"/>
    <mergeCell ref="AU68:AW68"/>
    <mergeCell ref="AX68:AZ68"/>
    <mergeCell ref="BA68:BC68"/>
    <mergeCell ref="BD68:BF68"/>
    <mergeCell ref="BG68:BI68"/>
    <mergeCell ref="BJ68:BL68"/>
    <mergeCell ref="BM68:BO68"/>
    <mergeCell ref="BP68:BR68"/>
    <mergeCell ref="FH66:FJ66"/>
    <mergeCell ref="FK66:FM66"/>
    <mergeCell ref="FN66:FP66"/>
    <mergeCell ref="FQ66:FS66"/>
    <mergeCell ref="FT66:FV66"/>
    <mergeCell ref="FW66:FY66"/>
    <mergeCell ref="FZ66:GB66"/>
    <mergeCell ref="GC66:GE66"/>
    <mergeCell ref="GF66:GH66"/>
    <mergeCell ref="EG66:EI66"/>
    <mergeCell ref="EJ66:EL66"/>
    <mergeCell ref="EM66:EO66"/>
    <mergeCell ref="EP66:ER66"/>
    <mergeCell ref="ES66:EU66"/>
    <mergeCell ref="EV66:EX66"/>
    <mergeCell ref="EY66:FA66"/>
    <mergeCell ref="FB66:FD66"/>
    <mergeCell ref="FE66:FG66"/>
    <mergeCell ref="DF66:DH66"/>
    <mergeCell ref="DI66:DK66"/>
    <mergeCell ref="DL66:DN66"/>
    <mergeCell ref="DO66:DQ66"/>
    <mergeCell ref="DR66:DT66"/>
    <mergeCell ref="DU66:DW66"/>
    <mergeCell ref="DX66:DZ66"/>
    <mergeCell ref="EA66:EC66"/>
    <mergeCell ref="ED66:EF66"/>
    <mergeCell ref="CE66:CG66"/>
    <mergeCell ref="CH66:CJ66"/>
    <mergeCell ref="CK66:CM66"/>
    <mergeCell ref="CN66:CP66"/>
    <mergeCell ref="CQ66:CS66"/>
    <mergeCell ref="CT66:CV66"/>
    <mergeCell ref="CW66:CY66"/>
    <mergeCell ref="CZ66:DB66"/>
    <mergeCell ref="DC66:DE66"/>
    <mergeCell ref="BD66:BF66"/>
    <mergeCell ref="BG66:BI66"/>
    <mergeCell ref="BJ66:BL66"/>
    <mergeCell ref="BM66:BO66"/>
    <mergeCell ref="BP66:BR66"/>
    <mergeCell ref="BS66:BU66"/>
    <mergeCell ref="BV66:BX66"/>
    <mergeCell ref="BY66:CA66"/>
    <mergeCell ref="CB66:CD66"/>
    <mergeCell ref="AC66:AE66"/>
    <mergeCell ref="AF66:AH66"/>
    <mergeCell ref="AI66:AK66"/>
    <mergeCell ref="AL66:AN66"/>
    <mergeCell ref="AO66:AQ66"/>
    <mergeCell ref="AR66:AT66"/>
    <mergeCell ref="AU66:AW66"/>
    <mergeCell ref="AX66:AZ66"/>
    <mergeCell ref="BA66:BC66"/>
    <mergeCell ref="B66:D66"/>
    <mergeCell ref="E66:G66"/>
    <mergeCell ref="H66:J66"/>
    <mergeCell ref="K66:M66"/>
    <mergeCell ref="N66:P66"/>
    <mergeCell ref="Q66:S66"/>
    <mergeCell ref="T66:V66"/>
    <mergeCell ref="W66:Y66"/>
    <mergeCell ref="Z66:AB66"/>
    <mergeCell ref="GF29:GH29"/>
    <mergeCell ref="GI29:GK29"/>
    <mergeCell ref="FT29:FV29"/>
    <mergeCell ref="FW29:FY29"/>
    <mergeCell ref="EP29:ER29"/>
    <mergeCell ref="ES29:EU29"/>
    <mergeCell ref="EV29:EX29"/>
    <mergeCell ref="EY29:FA29"/>
    <mergeCell ref="EG29:EI29"/>
    <mergeCell ref="FN29:FP29"/>
    <mergeCell ref="FQ29:FS29"/>
    <mergeCell ref="FZ29:GB29"/>
    <mergeCell ref="GC29:GE29"/>
    <mergeCell ref="EJ29:EL29"/>
    <mergeCell ref="EM29:EO29"/>
    <mergeCell ref="FZ15:GB15"/>
    <mergeCell ref="GC15:GE15"/>
    <mergeCell ref="ES15:EU15"/>
    <mergeCell ref="EV15:EX15"/>
    <mergeCell ref="EY15:FA15"/>
    <mergeCell ref="FB15:FD15"/>
    <mergeCell ref="DF15:DH15"/>
    <mergeCell ref="DI15:DK15"/>
    <mergeCell ref="DL15:DN15"/>
    <mergeCell ref="DO15:DQ15"/>
    <mergeCell ref="DR15:DT15"/>
    <mergeCell ref="DU15:DW15"/>
    <mergeCell ref="EA28:EL28"/>
    <mergeCell ref="EM28:EU28"/>
    <mergeCell ref="EV28:FD28"/>
    <mergeCell ref="GF15:GH15"/>
    <mergeCell ref="GI15:GK15"/>
    <mergeCell ref="FN28:FY28"/>
    <mergeCell ref="FZ28:GK28"/>
    <mergeCell ref="B29:D29"/>
    <mergeCell ref="E29:G29"/>
    <mergeCell ref="H29:J29"/>
    <mergeCell ref="K29:M29"/>
    <mergeCell ref="N29:P29"/>
    <mergeCell ref="Q29:S29"/>
    <mergeCell ref="T29:V29"/>
    <mergeCell ref="W29:Y29"/>
    <mergeCell ref="BG28:BO28"/>
    <mergeCell ref="BP28:CA28"/>
    <mergeCell ref="CB28:CM28"/>
    <mergeCell ref="CN28:CV28"/>
    <mergeCell ref="CW28:DE28"/>
    <mergeCell ref="DF28:DN28"/>
    <mergeCell ref="B28:J28"/>
    <mergeCell ref="K28:S28"/>
    <mergeCell ref="DR29:DT29"/>
    <mergeCell ref="DU29:DW29"/>
    <mergeCell ref="EM15:EO15"/>
    <mergeCell ref="EP15:ER15"/>
    <mergeCell ref="H15:J15"/>
    <mergeCell ref="K15:M15"/>
    <mergeCell ref="N15:P15"/>
    <mergeCell ref="Q15:S15"/>
    <mergeCell ref="T15:V15"/>
    <mergeCell ref="W15:Y15"/>
    <mergeCell ref="T28:AB28"/>
    <mergeCell ref="AC28:AN28"/>
    <mergeCell ref="AO28:AW28"/>
    <mergeCell ref="AX28:BF28"/>
    <mergeCell ref="Z29:AB29"/>
    <mergeCell ref="AC29:AE29"/>
    <mergeCell ref="AF29:AH29"/>
    <mergeCell ref="AI29:AK29"/>
    <mergeCell ref="AL29:AN29"/>
    <mergeCell ref="AO29:AQ29"/>
    <mergeCell ref="AR29:AT29"/>
    <mergeCell ref="BV29:BX29"/>
    <mergeCell ref="AU29:AW29"/>
    <mergeCell ref="AX29:AZ29"/>
    <mergeCell ref="BA29:BC29"/>
    <mergeCell ref="CB15:CD15"/>
    <mergeCell ref="CE15:CG15"/>
    <mergeCell ref="CH15:CJ15"/>
    <mergeCell ref="BM15:BO15"/>
    <mergeCell ref="BP15:BR15"/>
    <mergeCell ref="BS15:BU15"/>
    <mergeCell ref="BA15:BC15"/>
    <mergeCell ref="BD15:BF15"/>
    <mergeCell ref="BY15:CA15"/>
    <mergeCell ref="BG15:BI15"/>
    <mergeCell ref="Z15:AB15"/>
    <mergeCell ref="AC15:AE15"/>
    <mergeCell ref="AO15:AQ15"/>
    <mergeCell ref="AR15:AT15"/>
    <mergeCell ref="AU15:AW15"/>
    <mergeCell ref="AX15:AZ15"/>
    <mergeCell ref="AF15:AH15"/>
    <mergeCell ref="AI15:AK15"/>
    <mergeCell ref="BV15:BX15"/>
    <mergeCell ref="AL15:AN15"/>
    <mergeCell ref="FZ6:GB6"/>
    <mergeCell ref="GC6:GE6"/>
    <mergeCell ref="GF6:GH6"/>
    <mergeCell ref="GI6:GK6"/>
    <mergeCell ref="B14:J14"/>
    <mergeCell ref="K14:S14"/>
    <mergeCell ref="T14:AB14"/>
    <mergeCell ref="AC14:AN14"/>
    <mergeCell ref="AO14:AW14"/>
    <mergeCell ref="FB6:FD6"/>
    <mergeCell ref="FE6:FG6"/>
    <mergeCell ref="FH6:FJ6"/>
    <mergeCell ref="FK6:FM6"/>
    <mergeCell ref="FN6:FP6"/>
    <mergeCell ref="FQ6:FS6"/>
    <mergeCell ref="DR6:DT6"/>
    <mergeCell ref="DU6:DW6"/>
    <mergeCell ref="DX6:DZ6"/>
    <mergeCell ref="EA6:EC6"/>
    <mergeCell ref="ED6:EF6"/>
    <mergeCell ref="CE6:CG6"/>
    <mergeCell ref="CH6:CJ6"/>
    <mergeCell ref="FN14:FY14"/>
    <mergeCell ref="FZ14:GK14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CW5:DE5"/>
    <mergeCell ref="DF5:DN5"/>
    <mergeCell ref="DO5:DZ5"/>
    <mergeCell ref="EA5:EL5"/>
    <mergeCell ref="EM5:EU5"/>
    <mergeCell ref="EV5:FD5"/>
    <mergeCell ref="B5:J5"/>
    <mergeCell ref="K5:S5"/>
    <mergeCell ref="AL6:AN6"/>
    <mergeCell ref="CK6:CM6"/>
    <mergeCell ref="CN6:CP6"/>
    <mergeCell ref="CQ6:CS6"/>
    <mergeCell ref="BA6:BC6"/>
    <mergeCell ref="BD6:BF6"/>
    <mergeCell ref="BG6:BI6"/>
    <mergeCell ref="BD29:BF29"/>
    <mergeCell ref="BG29:BI29"/>
    <mergeCell ref="BJ29:BL29"/>
    <mergeCell ref="FE28:FM28"/>
    <mergeCell ref="DO28:DZ28"/>
    <mergeCell ref="BY29:CA29"/>
    <mergeCell ref="CB29:CD29"/>
    <mergeCell ref="DX29:DZ29"/>
    <mergeCell ref="EA29:EC29"/>
    <mergeCell ref="ED29:EF29"/>
    <mergeCell ref="FB29:FD29"/>
    <mergeCell ref="FE29:FG29"/>
    <mergeCell ref="FH29:FJ29"/>
    <mergeCell ref="FK29:FM29"/>
    <mergeCell ref="DF29:DH29"/>
    <mergeCell ref="CT29:CV29"/>
    <mergeCell ref="CE29:CG29"/>
    <mergeCell ref="CH29:CJ29"/>
    <mergeCell ref="CK29:CM29"/>
    <mergeCell ref="CN29:CP29"/>
    <mergeCell ref="CQ29:CS29"/>
    <mergeCell ref="CW29:CY29"/>
    <mergeCell ref="CZ29:DB29"/>
    <mergeCell ref="DC29:DE29"/>
    <mergeCell ref="DI29:DK29"/>
    <mergeCell ref="DL29:DN29"/>
    <mergeCell ref="DO29:DQ29"/>
    <mergeCell ref="A28:A30"/>
    <mergeCell ref="FN15:FP15"/>
    <mergeCell ref="FQ15:FS15"/>
    <mergeCell ref="FT15:FV15"/>
    <mergeCell ref="FW15:FY15"/>
    <mergeCell ref="FE15:FG15"/>
    <mergeCell ref="FH15:FJ15"/>
    <mergeCell ref="FK15:FM15"/>
    <mergeCell ref="ED15:EF15"/>
    <mergeCell ref="EG15:EI15"/>
    <mergeCell ref="EJ15:EL15"/>
    <mergeCell ref="DX15:DZ15"/>
    <mergeCell ref="EA15:EC15"/>
    <mergeCell ref="CT15:CV15"/>
    <mergeCell ref="CW15:CY15"/>
    <mergeCell ref="CZ15:DB15"/>
    <mergeCell ref="DC15:DE15"/>
    <mergeCell ref="CK15:CM15"/>
    <mergeCell ref="CN15:CP15"/>
    <mergeCell ref="CQ15:CS15"/>
    <mergeCell ref="BJ15:BL15"/>
    <mergeCell ref="BM29:BO29"/>
    <mergeCell ref="BP29:BR29"/>
    <mergeCell ref="BS29:BU29"/>
    <mergeCell ref="A14:A16"/>
    <mergeCell ref="FT6:FV6"/>
    <mergeCell ref="FW6:FY6"/>
    <mergeCell ref="DF6:DH6"/>
    <mergeCell ref="DI6:DK6"/>
    <mergeCell ref="DL6:DN6"/>
    <mergeCell ref="DO6:DQ6"/>
    <mergeCell ref="CT6:CV6"/>
    <mergeCell ref="CW6:CY6"/>
    <mergeCell ref="CZ6:DB6"/>
    <mergeCell ref="DC6:DE6"/>
    <mergeCell ref="BV6:BX6"/>
    <mergeCell ref="BY6:CA6"/>
    <mergeCell ref="CB6:CD6"/>
    <mergeCell ref="BS6:BU6"/>
    <mergeCell ref="AO6:AQ6"/>
    <mergeCell ref="AR6:AT6"/>
    <mergeCell ref="BJ6:BL6"/>
    <mergeCell ref="BM6:BO6"/>
    <mergeCell ref="BP6:BR6"/>
    <mergeCell ref="AU6:AW6"/>
    <mergeCell ref="B15:D15"/>
    <mergeCell ref="E15:G15"/>
    <mergeCell ref="FN5:FY5"/>
    <mergeCell ref="Z6:AB6"/>
    <mergeCell ref="AC6:AE6"/>
    <mergeCell ref="AF6:AH6"/>
    <mergeCell ref="AI6:AK6"/>
    <mergeCell ref="EV14:FD14"/>
    <mergeCell ref="FE14:FM14"/>
    <mergeCell ref="AX14:BF14"/>
    <mergeCell ref="BG14:BO14"/>
    <mergeCell ref="BP14:CA14"/>
    <mergeCell ref="CB14:CM14"/>
    <mergeCell ref="CW14:DE14"/>
    <mergeCell ref="DF14:DN14"/>
    <mergeCell ref="DO14:DZ14"/>
    <mergeCell ref="EA14:EL14"/>
    <mergeCell ref="EM14:EU14"/>
    <mergeCell ref="FE5:FM5"/>
    <mergeCell ref="BG5:BO5"/>
    <mergeCell ref="BP5:CA5"/>
    <mergeCell ref="CB5:CM5"/>
    <mergeCell ref="CN5:CV5"/>
    <mergeCell ref="CN14:CV14"/>
    <mergeCell ref="A5:A7"/>
    <mergeCell ref="EP6:ER6"/>
    <mergeCell ref="ES6:EU6"/>
    <mergeCell ref="EV6:EX6"/>
    <mergeCell ref="EY6:FA6"/>
    <mergeCell ref="EG6:EI6"/>
    <mergeCell ref="EJ6:EL6"/>
    <mergeCell ref="EM6:EO6"/>
    <mergeCell ref="T5:AB5"/>
    <mergeCell ref="AC5:AN5"/>
    <mergeCell ref="AO5:AW5"/>
    <mergeCell ref="AX5:BF5"/>
    <mergeCell ref="AX6:AZ6"/>
    <mergeCell ref="B67:D67"/>
    <mergeCell ref="E67:G67"/>
    <mergeCell ref="H67:J67"/>
    <mergeCell ref="K67:M67"/>
    <mergeCell ref="N67:P67"/>
    <mergeCell ref="Q67:S67"/>
    <mergeCell ref="T67:V67"/>
    <mergeCell ref="W67:Y67"/>
    <mergeCell ref="Z67:AB67"/>
    <mergeCell ref="AC67:AE67"/>
    <mergeCell ref="AF67:AH67"/>
    <mergeCell ref="AI67:AK67"/>
    <mergeCell ref="AL67:AN67"/>
    <mergeCell ref="AO67:AQ67"/>
    <mergeCell ref="AR67:AT67"/>
    <mergeCell ref="AU67:AW67"/>
    <mergeCell ref="AX67:AZ67"/>
    <mergeCell ref="BA67:BC67"/>
    <mergeCell ref="BD67:BF67"/>
    <mergeCell ref="BG67:BI67"/>
    <mergeCell ref="BJ67:BL67"/>
    <mergeCell ref="BM67:BO67"/>
    <mergeCell ref="BP67:BR67"/>
    <mergeCell ref="BS67:BU67"/>
    <mergeCell ref="BV67:BX67"/>
    <mergeCell ref="BY67:CA67"/>
    <mergeCell ref="CB67:CD67"/>
    <mergeCell ref="CE67:CG67"/>
    <mergeCell ref="CH67:CJ67"/>
    <mergeCell ref="CK67:CM67"/>
    <mergeCell ref="CN67:CP67"/>
    <mergeCell ref="CQ67:CS67"/>
    <mergeCell ref="CT67:CV67"/>
    <mergeCell ref="CW67:CY67"/>
    <mergeCell ref="CZ67:DB67"/>
    <mergeCell ref="DC67:DE67"/>
    <mergeCell ref="DF67:DH67"/>
    <mergeCell ref="DI67:DK67"/>
    <mergeCell ref="DL67:DN67"/>
    <mergeCell ref="DO67:DQ67"/>
    <mergeCell ref="DR67:DT67"/>
    <mergeCell ref="DU67:DW67"/>
    <mergeCell ref="DX67:DZ67"/>
    <mergeCell ref="EA67:EC67"/>
    <mergeCell ref="ED67:EF67"/>
    <mergeCell ref="EG67:EI67"/>
    <mergeCell ref="EJ67:EL67"/>
    <mergeCell ref="EM67:EO67"/>
    <mergeCell ref="EP67:ER67"/>
    <mergeCell ref="ES67:EU67"/>
    <mergeCell ref="EV67:EX67"/>
    <mergeCell ref="EY67:FA67"/>
    <mergeCell ref="FB67:FD67"/>
    <mergeCell ref="FE67:FG67"/>
    <mergeCell ref="GI67:GK67"/>
    <mergeCell ref="FH67:FJ67"/>
    <mergeCell ref="FK67:FM67"/>
    <mergeCell ref="FN67:FP67"/>
    <mergeCell ref="FQ67:FS67"/>
    <mergeCell ref="FT67:FV67"/>
    <mergeCell ref="FW67:FY67"/>
    <mergeCell ref="FZ67:GB67"/>
    <mergeCell ref="GC67:GE67"/>
    <mergeCell ref="GF67:GH67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CM542"/>
  <sheetViews>
    <sheetView zoomScale="80" zoomScaleNormal="80" zoomScalePageLayoutView="90" workbookViewId="0">
      <pane xSplit="1" ySplit="7" topLeftCell="AY107" activePane="bottomRight" state="frozen"/>
      <selection pane="topRight" activeCell="B1" sqref="B1"/>
      <selection pane="bottomLeft" activeCell="A8" sqref="A8"/>
      <selection pane="bottomRight" activeCell="CE139" sqref="CE139:CG142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5.5703125" customWidth="1"/>
    <col min="80" max="81" width="13.710937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89" ht="23.25" x14ac:dyDescent="0.35">
      <c r="A1" s="3103" t="s">
        <v>3667</v>
      </c>
      <c r="BG1" s="3161"/>
      <c r="BH1" s="3161"/>
      <c r="BI1" s="3161"/>
    </row>
    <row r="2" spans="1:89" ht="23.25" x14ac:dyDescent="0.35">
      <c r="A2" s="3103" t="s">
        <v>3573</v>
      </c>
      <c r="BG2" s="3161"/>
      <c r="BH2" s="3161"/>
      <c r="BI2" s="3161"/>
    </row>
    <row r="3" spans="1:89" ht="19.5" customHeight="1" x14ac:dyDescent="0.35">
      <c r="A3" s="3162"/>
      <c r="B3" s="3162"/>
      <c r="C3" s="3162"/>
      <c r="D3" s="3162"/>
      <c r="E3" s="3162"/>
      <c r="F3" s="3162"/>
      <c r="G3" s="3162"/>
      <c r="H3" s="3162"/>
      <c r="I3" s="3162"/>
      <c r="J3" s="3162"/>
      <c r="K3" s="3163"/>
      <c r="L3" s="3163"/>
      <c r="M3" s="3163"/>
      <c r="N3" s="3163"/>
      <c r="O3" s="3163"/>
      <c r="P3" s="3163"/>
      <c r="Q3" s="3163"/>
      <c r="R3" s="3163"/>
      <c r="S3" s="3163"/>
      <c r="T3" s="3163"/>
      <c r="U3" s="3163"/>
      <c r="V3" s="3163"/>
      <c r="W3" s="3163"/>
      <c r="X3" s="3163"/>
      <c r="Y3" s="3163"/>
      <c r="Z3" s="3163"/>
      <c r="AA3" s="3163"/>
      <c r="AB3" s="3163"/>
      <c r="AC3" s="3163"/>
      <c r="AD3" s="3163"/>
      <c r="AE3" s="3163"/>
      <c r="AF3" s="3163"/>
      <c r="AG3" s="3163"/>
      <c r="AH3" s="3163"/>
      <c r="AI3" s="3163"/>
      <c r="AJ3" s="3163"/>
      <c r="AK3" s="3163"/>
      <c r="AL3" s="3163"/>
      <c r="AM3" s="3163"/>
      <c r="AN3" s="3163"/>
      <c r="AO3" s="3163"/>
      <c r="AP3" s="3163"/>
      <c r="AQ3" s="3163"/>
      <c r="AR3" s="3163"/>
      <c r="AS3" s="3163"/>
      <c r="AT3" s="3163"/>
      <c r="AU3" s="3163"/>
      <c r="AV3" s="3163"/>
      <c r="AW3" s="3163"/>
      <c r="AX3" s="3163"/>
      <c r="AY3" s="3163"/>
      <c r="AZ3" s="3163"/>
      <c r="BA3" s="3163"/>
      <c r="BB3" s="3163"/>
      <c r="BC3" s="3163"/>
      <c r="BD3" s="3163"/>
      <c r="BE3" s="3163"/>
      <c r="BF3" s="3163"/>
      <c r="BG3" s="3163"/>
      <c r="BH3" s="3163"/>
      <c r="BI3" s="3163"/>
      <c r="BJ3" s="3163"/>
      <c r="BK3" s="3163"/>
      <c r="BL3" s="3163"/>
      <c r="BM3" s="3163"/>
      <c r="BN3" s="3163"/>
      <c r="BO3" s="3163"/>
      <c r="BP3" s="3163"/>
      <c r="BQ3" s="3163"/>
      <c r="BR3" s="3163"/>
      <c r="BS3" s="3163"/>
      <c r="BT3" s="3163"/>
      <c r="BU3" s="3163"/>
    </row>
    <row r="4" spans="1:89" ht="18.75" customHeight="1" x14ac:dyDescent="0.2">
      <c r="A4" s="3164" t="s">
        <v>3655</v>
      </c>
      <c r="B4" s="3165"/>
      <c r="C4" s="3165"/>
      <c r="D4" s="3165"/>
      <c r="E4" s="3165"/>
      <c r="F4" s="3165"/>
      <c r="G4" s="3165"/>
      <c r="H4" s="3165"/>
      <c r="I4" s="3165"/>
      <c r="J4" s="3165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/>
      <c r="Y4" s="3166"/>
      <c r="Z4" s="3166"/>
      <c r="AA4" s="3166"/>
      <c r="AB4" s="3166"/>
      <c r="AC4" s="3166"/>
      <c r="AD4" s="3166"/>
      <c r="AE4" s="3166"/>
      <c r="AF4" s="3166"/>
      <c r="AG4" s="3166"/>
      <c r="AH4" s="3166"/>
      <c r="AI4" s="3166"/>
      <c r="AJ4" s="3166"/>
      <c r="AK4" s="3166"/>
      <c r="AL4" s="3166"/>
      <c r="AM4" s="3166"/>
      <c r="AN4" s="3166"/>
      <c r="AO4" s="3166"/>
      <c r="AP4" s="3166"/>
      <c r="AQ4" s="3166"/>
      <c r="AR4" s="3166"/>
      <c r="AS4" s="3166"/>
      <c r="AT4" s="3166"/>
      <c r="AU4" s="3166"/>
      <c r="AV4" s="3166"/>
      <c r="AW4" s="3166"/>
      <c r="AX4" s="3166"/>
      <c r="AY4" s="3166"/>
      <c r="AZ4" s="3166"/>
      <c r="BA4" s="3166"/>
      <c r="BB4" s="3166"/>
      <c r="BC4" s="3166"/>
      <c r="BD4" s="3166"/>
      <c r="BE4" s="3166"/>
      <c r="BF4" s="3166"/>
      <c r="BG4" s="3166"/>
      <c r="BH4" s="3166"/>
      <c r="BI4" s="3166"/>
      <c r="BJ4" s="3166"/>
      <c r="BK4" s="3166"/>
      <c r="BL4" s="3166"/>
      <c r="BM4" s="3166"/>
      <c r="BN4" s="3166"/>
      <c r="BO4" s="3166"/>
      <c r="BP4" s="3166"/>
      <c r="BQ4" s="3166"/>
      <c r="BR4" s="3166"/>
      <c r="BS4" s="3166"/>
      <c r="BT4" s="3166"/>
      <c r="BU4" s="3166"/>
      <c r="BV4" s="3167"/>
      <c r="BW4" s="3167"/>
      <c r="BX4" s="3167"/>
      <c r="BY4" s="3167"/>
      <c r="BZ4" s="3167"/>
      <c r="CA4" s="3167"/>
      <c r="CB4" s="3167"/>
      <c r="CC4" s="3167"/>
      <c r="CD4" s="3167"/>
      <c r="CE4" s="3167"/>
      <c r="CF4" s="3167"/>
      <c r="CG4" s="3167"/>
      <c r="CH4" s="3167"/>
      <c r="CI4" s="3167"/>
      <c r="CJ4" s="3168"/>
    </row>
    <row r="5" spans="1:89" ht="18.75" customHeight="1" x14ac:dyDescent="0.2">
      <c r="A5" s="3723" t="s">
        <v>536</v>
      </c>
      <c r="B5" s="3707" t="s">
        <v>3575</v>
      </c>
      <c r="C5" s="3708"/>
      <c r="D5" s="3708"/>
      <c r="E5" s="3708"/>
      <c r="F5" s="3708"/>
      <c r="G5" s="3708"/>
      <c r="H5" s="3708"/>
      <c r="I5" s="3708"/>
      <c r="J5" s="3708"/>
      <c r="K5" s="3708"/>
      <c r="L5" s="3708"/>
      <c r="M5" s="3708"/>
      <c r="N5" s="3708"/>
      <c r="O5" s="3708"/>
      <c r="P5" s="3725"/>
      <c r="Q5" s="3696" t="s">
        <v>3576</v>
      </c>
      <c r="R5" s="3697"/>
      <c r="S5" s="3697"/>
      <c r="T5" s="3697"/>
      <c r="U5" s="3697"/>
      <c r="V5" s="3697"/>
      <c r="W5" s="3697"/>
      <c r="X5" s="3697"/>
      <c r="Y5" s="3697"/>
      <c r="Z5" s="3697"/>
      <c r="AA5" s="3697"/>
      <c r="AB5" s="3697"/>
      <c r="AC5" s="3697"/>
      <c r="AD5" s="3655"/>
      <c r="AE5" s="3656"/>
      <c r="AF5" s="3692" t="s">
        <v>3577</v>
      </c>
      <c r="AG5" s="3693"/>
      <c r="AH5" s="3693"/>
      <c r="AI5" s="3693"/>
      <c r="AJ5" s="3693"/>
      <c r="AK5" s="3693"/>
      <c r="AL5" s="3693"/>
      <c r="AM5" s="3705"/>
      <c r="AN5" s="3706"/>
      <c r="AO5" s="3707" t="s">
        <v>3578</v>
      </c>
      <c r="AP5" s="3708"/>
      <c r="AQ5" s="3708"/>
      <c r="AR5" s="3708"/>
      <c r="AS5" s="3708"/>
      <c r="AT5" s="3708"/>
      <c r="AU5" s="3708"/>
      <c r="AV5" s="3708"/>
      <c r="AW5" s="3708"/>
      <c r="AX5" s="3708"/>
      <c r="AY5" s="3708"/>
      <c r="AZ5" s="3708"/>
      <c r="BA5" s="3708"/>
      <c r="BB5" s="3705"/>
      <c r="BC5" s="3706"/>
      <c r="BD5" s="3692" t="s">
        <v>3579</v>
      </c>
      <c r="BE5" s="3693"/>
      <c r="BF5" s="3693"/>
      <c r="BG5" s="3693"/>
      <c r="BH5" s="3693"/>
      <c r="BI5" s="3693"/>
      <c r="BJ5" s="3693"/>
      <c r="BK5" s="3705"/>
      <c r="BL5" s="3706"/>
      <c r="BM5" s="3707" t="s">
        <v>3580</v>
      </c>
      <c r="BN5" s="3708"/>
      <c r="BO5" s="3708"/>
      <c r="BP5" s="3708"/>
      <c r="BQ5" s="3708"/>
      <c r="BR5" s="3708"/>
      <c r="BS5" s="3708"/>
      <c r="BT5" s="3708"/>
      <c r="BU5" s="3708"/>
      <c r="BV5" s="3708"/>
      <c r="BW5" s="3708"/>
      <c r="BX5" s="3708"/>
      <c r="BY5" s="3708"/>
      <c r="BZ5" s="3705"/>
      <c r="CA5" s="3705"/>
      <c r="CB5" s="3692" t="s">
        <v>2019</v>
      </c>
      <c r="CC5" s="3693"/>
      <c r="CD5" s="3693"/>
      <c r="CE5" s="3693"/>
      <c r="CF5" s="3693"/>
      <c r="CG5" s="3693"/>
      <c r="CH5" s="3693"/>
      <c r="CI5" s="3694"/>
      <c r="CJ5" s="3695"/>
    </row>
    <row r="6" spans="1:89" ht="25.5" customHeight="1" x14ac:dyDescent="0.2">
      <c r="A6" s="3724"/>
      <c r="B6" s="3696" t="s">
        <v>3581</v>
      </c>
      <c r="C6" s="3697"/>
      <c r="D6" s="3698"/>
      <c r="E6" s="3726" t="s">
        <v>582</v>
      </c>
      <c r="F6" s="3727"/>
      <c r="G6" s="3728"/>
      <c r="H6" s="3726" t="s">
        <v>583</v>
      </c>
      <c r="I6" s="3727"/>
      <c r="J6" s="3728"/>
      <c r="K6" s="3726" t="s">
        <v>584</v>
      </c>
      <c r="L6" s="3727"/>
      <c r="M6" s="3728"/>
      <c r="N6" s="3696" t="s">
        <v>1692</v>
      </c>
      <c r="O6" s="3697"/>
      <c r="P6" s="3698"/>
      <c r="Q6" s="3696" t="s">
        <v>3581</v>
      </c>
      <c r="R6" s="3697"/>
      <c r="S6" s="3698"/>
      <c r="T6" s="3729" t="s">
        <v>3582</v>
      </c>
      <c r="U6" s="3730"/>
      <c r="V6" s="3731"/>
      <c r="W6" s="3729" t="s">
        <v>586</v>
      </c>
      <c r="X6" s="3730"/>
      <c r="Y6" s="3731"/>
      <c r="Z6" s="3729" t="s">
        <v>587</v>
      </c>
      <c r="AA6" s="3730"/>
      <c r="AB6" s="3731"/>
      <c r="AC6" s="3696" t="s">
        <v>1692</v>
      </c>
      <c r="AD6" s="3697"/>
      <c r="AE6" s="3698"/>
      <c r="AF6" s="3699" t="s">
        <v>3581</v>
      </c>
      <c r="AG6" s="3700"/>
      <c r="AH6" s="3701"/>
      <c r="AI6" s="3699" t="s">
        <v>1692</v>
      </c>
      <c r="AJ6" s="3700"/>
      <c r="AK6" s="3701"/>
      <c r="AL6" s="3699" t="s">
        <v>3583</v>
      </c>
      <c r="AM6" s="3700"/>
      <c r="AN6" s="3701"/>
      <c r="AO6" s="3712" t="s">
        <v>3581</v>
      </c>
      <c r="AP6" s="3713"/>
      <c r="AQ6" s="3714"/>
      <c r="AR6" s="3702" t="s">
        <v>588</v>
      </c>
      <c r="AS6" s="3703"/>
      <c r="AT6" s="3704"/>
      <c r="AU6" s="3702" t="s">
        <v>589</v>
      </c>
      <c r="AV6" s="3703"/>
      <c r="AW6" s="3704"/>
      <c r="AX6" s="3702" t="s">
        <v>590</v>
      </c>
      <c r="AY6" s="3703"/>
      <c r="AZ6" s="3704"/>
      <c r="BA6" s="3712" t="s">
        <v>1692</v>
      </c>
      <c r="BB6" s="3713"/>
      <c r="BC6" s="3714"/>
      <c r="BD6" s="3715" t="s">
        <v>3581</v>
      </c>
      <c r="BE6" s="3716"/>
      <c r="BF6" s="3717"/>
      <c r="BG6" s="3715" t="s">
        <v>1692</v>
      </c>
      <c r="BH6" s="3716"/>
      <c r="BI6" s="3717"/>
      <c r="BJ6" s="3715" t="s">
        <v>3583</v>
      </c>
      <c r="BK6" s="3716"/>
      <c r="BL6" s="3717"/>
      <c r="BM6" s="3709" t="s">
        <v>3581</v>
      </c>
      <c r="BN6" s="3710"/>
      <c r="BO6" s="3711"/>
      <c r="BP6" s="3709" t="s">
        <v>591</v>
      </c>
      <c r="BQ6" s="3710"/>
      <c r="BR6" s="3711"/>
      <c r="BS6" s="3709" t="s">
        <v>592</v>
      </c>
      <c r="BT6" s="3710"/>
      <c r="BU6" s="3711"/>
      <c r="BV6" s="3709" t="s">
        <v>593</v>
      </c>
      <c r="BW6" s="3710"/>
      <c r="BX6" s="3711"/>
      <c r="BY6" s="3709" t="s">
        <v>1692</v>
      </c>
      <c r="BZ6" s="3710"/>
      <c r="CA6" s="3710"/>
      <c r="CB6" s="3718" t="s">
        <v>3581</v>
      </c>
      <c r="CC6" s="3721"/>
      <c r="CD6" s="3722"/>
      <c r="CE6" s="3718" t="s">
        <v>1692</v>
      </c>
      <c r="CF6" s="3721"/>
      <c r="CG6" s="3722"/>
      <c r="CH6" s="3718" t="s">
        <v>3583</v>
      </c>
      <c r="CI6" s="3719"/>
      <c r="CJ6" s="3720"/>
    </row>
    <row r="7" spans="1:89" ht="25.5" customHeight="1" x14ac:dyDescent="0.2">
      <c r="A7" s="3724"/>
      <c r="B7" s="3095" t="s">
        <v>627</v>
      </c>
      <c r="C7" s="3095" t="s">
        <v>3668</v>
      </c>
      <c r="D7" s="3095" t="s">
        <v>3669</v>
      </c>
      <c r="E7" s="3095" t="s">
        <v>627</v>
      </c>
      <c r="F7" s="3095" t="s">
        <v>3668</v>
      </c>
      <c r="G7" s="3095" t="s">
        <v>3669</v>
      </c>
      <c r="H7" s="3095" t="s">
        <v>627</v>
      </c>
      <c r="I7" s="3095" t="s">
        <v>3668</v>
      </c>
      <c r="J7" s="3095" t="s">
        <v>3669</v>
      </c>
      <c r="K7" s="3095" t="s">
        <v>627</v>
      </c>
      <c r="L7" s="3095" t="s">
        <v>3668</v>
      </c>
      <c r="M7" s="3095" t="s">
        <v>3669</v>
      </c>
      <c r="N7" s="3095" t="s">
        <v>627</v>
      </c>
      <c r="O7" s="3095" t="s">
        <v>3668</v>
      </c>
      <c r="P7" s="3095" t="s">
        <v>3669</v>
      </c>
      <c r="Q7" s="3095" t="s">
        <v>627</v>
      </c>
      <c r="R7" s="3095" t="s">
        <v>3668</v>
      </c>
      <c r="S7" s="3095" t="s">
        <v>3669</v>
      </c>
      <c r="T7" s="3095" t="s">
        <v>627</v>
      </c>
      <c r="U7" s="3095" t="s">
        <v>3668</v>
      </c>
      <c r="V7" s="3095" t="s">
        <v>3669</v>
      </c>
      <c r="W7" s="3095" t="s">
        <v>627</v>
      </c>
      <c r="X7" s="3095" t="s">
        <v>3668</v>
      </c>
      <c r="Y7" s="3095" t="s">
        <v>3669</v>
      </c>
      <c r="Z7" s="3095" t="s">
        <v>627</v>
      </c>
      <c r="AA7" s="3095" t="s">
        <v>3668</v>
      </c>
      <c r="AB7" s="3095" t="s">
        <v>3669</v>
      </c>
      <c r="AC7" s="3095" t="s">
        <v>627</v>
      </c>
      <c r="AD7" s="3095" t="s">
        <v>3668</v>
      </c>
      <c r="AE7" s="3095" t="s">
        <v>3669</v>
      </c>
      <c r="AF7" s="3096" t="s">
        <v>627</v>
      </c>
      <c r="AG7" s="3096" t="s">
        <v>3668</v>
      </c>
      <c r="AH7" s="3096" t="s">
        <v>3669</v>
      </c>
      <c r="AI7" s="3096" t="s">
        <v>627</v>
      </c>
      <c r="AJ7" s="3096" t="s">
        <v>3668</v>
      </c>
      <c r="AK7" s="3096" t="s">
        <v>3669</v>
      </c>
      <c r="AL7" s="3096" t="s">
        <v>627</v>
      </c>
      <c r="AM7" s="3096" t="s">
        <v>3668</v>
      </c>
      <c r="AN7" s="3096" t="s">
        <v>3669</v>
      </c>
      <c r="AO7" s="3095" t="s">
        <v>627</v>
      </c>
      <c r="AP7" s="3095" t="s">
        <v>3668</v>
      </c>
      <c r="AQ7" s="3095" t="s">
        <v>3669</v>
      </c>
      <c r="AR7" s="3095" t="s">
        <v>627</v>
      </c>
      <c r="AS7" s="3095" t="s">
        <v>3668</v>
      </c>
      <c r="AT7" s="3095" t="s">
        <v>3669</v>
      </c>
      <c r="AU7" s="3095" t="s">
        <v>627</v>
      </c>
      <c r="AV7" s="3095" t="s">
        <v>3668</v>
      </c>
      <c r="AW7" s="3095" t="s">
        <v>3669</v>
      </c>
      <c r="AX7" s="3095" t="s">
        <v>627</v>
      </c>
      <c r="AY7" s="3095" t="s">
        <v>3668</v>
      </c>
      <c r="AZ7" s="3095" t="s">
        <v>3669</v>
      </c>
      <c r="BA7" s="3095" t="s">
        <v>627</v>
      </c>
      <c r="BB7" s="3095" t="s">
        <v>3668</v>
      </c>
      <c r="BC7" s="3095" t="s">
        <v>3669</v>
      </c>
      <c r="BD7" s="3096" t="s">
        <v>627</v>
      </c>
      <c r="BE7" s="3096" t="s">
        <v>3668</v>
      </c>
      <c r="BF7" s="3096" t="s">
        <v>3669</v>
      </c>
      <c r="BG7" s="3096" t="s">
        <v>627</v>
      </c>
      <c r="BH7" s="3096" t="s">
        <v>3668</v>
      </c>
      <c r="BI7" s="3096" t="s">
        <v>3669</v>
      </c>
      <c r="BJ7" s="3096" t="s">
        <v>627</v>
      </c>
      <c r="BK7" s="3096" t="s">
        <v>3668</v>
      </c>
      <c r="BL7" s="3096" t="s">
        <v>3669</v>
      </c>
      <c r="BM7" s="3095" t="s">
        <v>627</v>
      </c>
      <c r="BN7" s="3095" t="s">
        <v>3668</v>
      </c>
      <c r="BO7" s="3095" t="s">
        <v>3669</v>
      </c>
      <c r="BP7" s="3095" t="s">
        <v>627</v>
      </c>
      <c r="BQ7" s="3095" t="s">
        <v>3668</v>
      </c>
      <c r="BR7" s="3095" t="s">
        <v>3669</v>
      </c>
      <c r="BS7" s="3095" t="s">
        <v>627</v>
      </c>
      <c r="BT7" s="3095" t="s">
        <v>3668</v>
      </c>
      <c r="BU7" s="3095" t="s">
        <v>3669</v>
      </c>
      <c r="BV7" s="3095" t="s">
        <v>627</v>
      </c>
      <c r="BW7" s="3095" t="s">
        <v>3668</v>
      </c>
      <c r="BX7" s="3095" t="s">
        <v>3669</v>
      </c>
      <c r="BY7" s="3095" t="s">
        <v>627</v>
      </c>
      <c r="BZ7" s="3095" t="s">
        <v>3668</v>
      </c>
      <c r="CA7" s="3095" t="s">
        <v>3669</v>
      </c>
      <c r="CB7" s="3096" t="s">
        <v>627</v>
      </c>
      <c r="CC7" s="3096" t="s">
        <v>3668</v>
      </c>
      <c r="CD7" s="3096" t="s">
        <v>3669</v>
      </c>
      <c r="CE7" s="3096" t="s">
        <v>627</v>
      </c>
      <c r="CF7" s="3096" t="s">
        <v>3668</v>
      </c>
      <c r="CG7" s="3096" t="s">
        <v>3669</v>
      </c>
      <c r="CH7" s="3096" t="s">
        <v>627</v>
      </c>
      <c r="CI7" s="3096" t="s">
        <v>3668</v>
      </c>
      <c r="CJ7" s="3096" t="s">
        <v>3669</v>
      </c>
    </row>
    <row r="8" spans="1:89" ht="25.5" customHeight="1" x14ac:dyDescent="0.2">
      <c r="A8" s="3169" t="s">
        <v>3656</v>
      </c>
      <c r="B8" s="3207">
        <f>SUM(C8:D8)</f>
        <v>755.00091078952471</v>
      </c>
      <c r="C8" s="3207">
        <f>SUM(CC8/4)</f>
        <v>750.58424412285808</v>
      </c>
      <c r="D8" s="3207">
        <f>SUM(CD8/4)</f>
        <v>4.416666666666667</v>
      </c>
      <c r="E8" s="3057">
        <f>SUM(F8:G8)</f>
        <v>458.41999999999996</v>
      </c>
      <c r="F8" s="3266">
        <v>458.21749999999997</v>
      </c>
      <c r="G8" s="3463">
        <v>0.20250000000000001</v>
      </c>
      <c r="H8" s="3057">
        <f>SUM(I8:J8)</f>
        <v>405.82799999999997</v>
      </c>
      <c r="I8" s="3266">
        <v>405.65499999999997</v>
      </c>
      <c r="J8" s="3463">
        <v>0.17299999999999999</v>
      </c>
      <c r="K8" s="3057">
        <f>SUM(L8:M8)</f>
        <v>504.87</v>
      </c>
      <c r="L8" s="3266">
        <v>501.19</v>
      </c>
      <c r="M8" s="3266">
        <v>3.68</v>
      </c>
      <c r="N8" s="3057">
        <f>SUM(O8:P8)</f>
        <v>1369.1179999999999</v>
      </c>
      <c r="O8" s="3057">
        <f>SUM(F8+I8+L8)</f>
        <v>1365.0625</v>
      </c>
      <c r="P8" s="3057">
        <f>SUM(G8+J8+M8)</f>
        <v>4.0555000000000003</v>
      </c>
      <c r="Q8" s="3207">
        <f>SUM(R8:S8)</f>
        <v>755.00091078952471</v>
      </c>
      <c r="R8" s="3207">
        <f>SUM(CC8/4)</f>
        <v>750.58424412285808</v>
      </c>
      <c r="S8" s="3207">
        <f>SUM(CD8/4)</f>
        <v>4.416666666666667</v>
      </c>
      <c r="T8" s="3057">
        <f>SUM(U8:V8)</f>
        <v>676.83199999999999</v>
      </c>
      <c r="U8" s="3266">
        <v>676.53200000000004</v>
      </c>
      <c r="V8" s="3266">
        <v>0.3</v>
      </c>
      <c r="W8" s="3057">
        <f>SUM(X8:Y8)</f>
        <v>539.16999999999996</v>
      </c>
      <c r="X8" s="3266">
        <f>538.66</f>
        <v>538.66</v>
      </c>
      <c r="Y8" s="3266">
        <v>0.51</v>
      </c>
      <c r="Z8" s="3057">
        <f>SUM(AA8:AB8)</f>
        <v>447.476</v>
      </c>
      <c r="AA8" s="3266">
        <v>443.61</v>
      </c>
      <c r="AB8" s="3266">
        <v>3.8660000000000001</v>
      </c>
      <c r="AC8" s="3057">
        <f>SUM(AD8:AE8)</f>
        <v>1663.4780000000001</v>
      </c>
      <c r="AD8" s="3057">
        <f>SUM(U8+X8+AA8)</f>
        <v>1658.8020000000001</v>
      </c>
      <c r="AE8" s="3057">
        <f>SUM(V8+Y8+AB8)</f>
        <v>4.6760000000000002</v>
      </c>
      <c r="AF8" s="3206">
        <f>SUM(AG8:AH8)</f>
        <v>1510.0018215790494</v>
      </c>
      <c r="AG8" s="3206">
        <f>SUM(C8+R8)</f>
        <v>1501.1684882457162</v>
      </c>
      <c r="AH8" s="3206">
        <f>SUM(D8+S8)</f>
        <v>8.8333333333333339</v>
      </c>
      <c r="AI8" s="3206">
        <f>SUM(AJ8:AK8)</f>
        <v>3032.596</v>
      </c>
      <c r="AJ8" s="3206">
        <f>SUM(O8+AD8)</f>
        <v>3023.8645000000001</v>
      </c>
      <c r="AK8" s="3206">
        <f>SUM(P8+AE8)</f>
        <v>8.7315000000000005</v>
      </c>
      <c r="AL8" s="3058">
        <f>SUM(AM8:AN8)</f>
        <v>1522.5941784209506</v>
      </c>
      <c r="AM8" s="3058">
        <f t="shared" ref="AM8:AN8" si="0">SUM(AJ8-AG8)</f>
        <v>1522.696011754284</v>
      </c>
      <c r="AN8" s="3058">
        <f t="shared" si="0"/>
        <v>-0.10183333333333344</v>
      </c>
      <c r="AO8" s="3207">
        <f>SUM(AP8:AQ8)</f>
        <v>755.00091078952471</v>
      </c>
      <c r="AP8" s="3207">
        <f>SUM(CC8/4)</f>
        <v>750.58424412285808</v>
      </c>
      <c r="AQ8" s="3207">
        <f>SUM(CD8/4)</f>
        <v>4.416666666666667</v>
      </c>
      <c r="AR8" s="3057">
        <f>SUM(AS8:AT8)</f>
        <v>609.21</v>
      </c>
      <c r="AS8" s="3266">
        <v>608.899</v>
      </c>
      <c r="AT8" s="3266">
        <v>0.311</v>
      </c>
      <c r="AU8" s="3207">
        <f>SUM(AV8:AW8)</f>
        <v>524.38</v>
      </c>
      <c r="AV8" s="3463">
        <v>524.00099999999998</v>
      </c>
      <c r="AW8" s="3463">
        <v>0.379</v>
      </c>
      <c r="AX8" s="3057">
        <f>SUM(AY8:AZ8)</f>
        <v>498.43</v>
      </c>
      <c r="AY8" s="3266">
        <v>494.52199999999999</v>
      </c>
      <c r="AZ8" s="3462">
        <v>3.9079999999999999</v>
      </c>
      <c r="BA8" s="3057">
        <f>SUM(BB8:BC8)</f>
        <v>1632.02</v>
      </c>
      <c r="BB8" s="3057">
        <f>SUM(AS8+AV8+AY8)</f>
        <v>1627.422</v>
      </c>
      <c r="BC8" s="3057">
        <f>SUM(AT8+AW8+AZ8)</f>
        <v>4.5979999999999999</v>
      </c>
      <c r="BD8" s="3206">
        <f>SUM(BE8:BF8)</f>
        <v>2265.0027323685745</v>
      </c>
      <c r="BE8" s="3206">
        <f>SUM(AG8+AP8)</f>
        <v>2251.7527323685745</v>
      </c>
      <c r="BF8" s="3206">
        <f>SUM(AH8+AQ8)</f>
        <v>13.25</v>
      </c>
      <c r="BG8" s="3058">
        <f>SUM(BH8:BI8)</f>
        <v>4664.616</v>
      </c>
      <c r="BH8" s="3058">
        <f>SUM(AJ8+BB8)</f>
        <v>4651.2865000000002</v>
      </c>
      <c r="BI8" s="3058">
        <f>SUM(AK8+BC8)</f>
        <v>13.329499999999999</v>
      </c>
      <c r="BJ8" s="3058">
        <f>SUM(BK8:BL8)</f>
        <v>2399.6132676314255</v>
      </c>
      <c r="BK8" s="3058">
        <f t="shared" ref="BK8:BL8" si="1">SUM(BH8-BE8)</f>
        <v>2399.5337676314257</v>
      </c>
      <c r="BL8" s="3058">
        <f t="shared" si="1"/>
        <v>7.949999999999946E-2</v>
      </c>
      <c r="BM8" s="3207">
        <f>SUM(BN8:BO8)</f>
        <v>755.00091078952471</v>
      </c>
      <c r="BN8" s="3207">
        <f>SUM(CC8/4)</f>
        <v>750.58424412285808</v>
      </c>
      <c r="BO8" s="3207">
        <f>SUM(CD8/4)</f>
        <v>4.416666666666667</v>
      </c>
      <c r="BP8" s="3057">
        <f>SUM(BQ8:BR8)</f>
        <v>0</v>
      </c>
      <c r="BQ8" s="3266"/>
      <c r="BR8" s="3266"/>
      <c r="BS8" s="3057">
        <f>SUM(BT8:BU8)</f>
        <v>0</v>
      </c>
      <c r="BT8" s="3266"/>
      <c r="BU8" s="3266"/>
      <c r="BV8" s="3057">
        <f>SUM(BW8:BX8)</f>
        <v>0</v>
      </c>
      <c r="BW8" s="3266"/>
      <c r="BX8" s="3266"/>
      <c r="BY8" s="3057">
        <f>SUM(BZ8:CA8)</f>
        <v>0</v>
      </c>
      <c r="BZ8" s="3057">
        <f>SUM(BQ8+BT8+BW8)</f>
        <v>0</v>
      </c>
      <c r="CA8" s="3057">
        <f>SUM(BR8+BU8+BX8)</f>
        <v>0</v>
      </c>
      <c r="CB8" s="3109">
        <f>SUM(CC8:CD8)</f>
        <v>3020.0036431580988</v>
      </c>
      <c r="CC8" s="3109">
        <f>SUM(CC9)</f>
        <v>3002.3369764914323</v>
      </c>
      <c r="CD8" s="3109">
        <f>SUM(CD9)</f>
        <v>17.666666666666668</v>
      </c>
      <c r="CE8" s="3058">
        <f>SUM(CF8:CG8)</f>
        <v>4664.616</v>
      </c>
      <c r="CF8" s="3058">
        <f>SUM(BH8+BZ8)</f>
        <v>4651.2865000000002</v>
      </c>
      <c r="CG8" s="3058">
        <f>SUM(BI8+CA8)</f>
        <v>13.329499999999999</v>
      </c>
      <c r="CH8" s="3058">
        <f>SUM(CI8:CJ8)</f>
        <v>1644.6123568419011</v>
      </c>
      <c r="CI8" s="3058">
        <f t="shared" ref="CI8:CJ8" si="2">SUM(CF8-CC8)</f>
        <v>1648.9495235085678</v>
      </c>
      <c r="CJ8" s="3058">
        <f t="shared" si="2"/>
        <v>-4.3371666666666684</v>
      </c>
      <c r="CK8" s="3205"/>
    </row>
    <row r="9" spans="1:89" ht="18.75" customHeight="1" x14ac:dyDescent="0.2">
      <c r="A9" s="3127" t="s">
        <v>3657</v>
      </c>
      <c r="B9" s="3207">
        <f t="shared" ref="B9:B12" si="3">SUM(C9:D9)</f>
        <v>755.00091078952471</v>
      </c>
      <c r="C9" s="3207">
        <f t="shared" ref="C9:C12" si="4">SUM(CC9/4)</f>
        <v>750.58424412285808</v>
      </c>
      <c r="D9" s="3207">
        <f t="shared" ref="D9:D12" si="5">SUM(CD9/4)</f>
        <v>4.416666666666667</v>
      </c>
      <c r="E9" s="3057">
        <f t="shared" ref="E9:E12" si="6">SUM(F9:G9)</f>
        <v>266.49549999999999</v>
      </c>
      <c r="F9" s="3057">
        <f>SUM(F10:F12)</f>
        <v>266.29300000000001</v>
      </c>
      <c r="G9" s="3057">
        <f>SUM(G10:G12)</f>
        <v>0.20250000000000001</v>
      </c>
      <c r="H9" s="3057">
        <f t="shared" ref="H9:H12" si="7">SUM(I9:J9)</f>
        <v>256.30599999999998</v>
      </c>
      <c r="I9" s="3057">
        <f>SUM(I10:I12)</f>
        <v>256.13299999999998</v>
      </c>
      <c r="J9" s="3057">
        <f>SUM(J10:J12)</f>
        <v>0.17299999999999999</v>
      </c>
      <c r="K9" s="3057">
        <f t="shared" ref="K9:K12" si="8">SUM(L9:M9)</f>
        <v>252.04300000000001</v>
      </c>
      <c r="L9" s="3057">
        <f>SUM(L10:L12)</f>
        <v>248.363</v>
      </c>
      <c r="M9" s="3057">
        <f>SUM(M10:M12)</f>
        <v>3.68</v>
      </c>
      <c r="N9" s="3057">
        <f t="shared" ref="N9:N12" si="9">SUM(O9:P9)</f>
        <v>774.84450000000004</v>
      </c>
      <c r="O9" s="3057">
        <f t="shared" ref="O9:O12" si="10">SUM(F9+I9+L9)</f>
        <v>770.78899999999999</v>
      </c>
      <c r="P9" s="3057">
        <f t="shared" ref="P9:P12" si="11">SUM(G9+J9+M9)</f>
        <v>4.0555000000000003</v>
      </c>
      <c r="Q9" s="3207">
        <f t="shared" ref="Q9:Q12" si="12">SUM(R9:S9)</f>
        <v>755.00091078952471</v>
      </c>
      <c r="R9" s="3207">
        <f t="shared" ref="R9:R12" si="13">SUM(CC9/4)</f>
        <v>750.58424412285808</v>
      </c>
      <c r="S9" s="3207">
        <f t="shared" ref="S9:S12" si="14">SUM(CD9/4)</f>
        <v>4.416666666666667</v>
      </c>
      <c r="T9" s="3057">
        <f t="shared" ref="T9:T12" si="15">SUM(U9:V9)</f>
        <v>260.08700000000005</v>
      </c>
      <c r="U9" s="3057">
        <f>SUM(U10:U12)</f>
        <v>259.78700000000003</v>
      </c>
      <c r="V9" s="3057">
        <f>SUM(V10:V12)</f>
        <v>0.3</v>
      </c>
      <c r="W9" s="3057">
        <f t="shared" ref="W9:W12" si="16">SUM(X9:Y9)</f>
        <v>254.17200000000003</v>
      </c>
      <c r="X9" s="3057">
        <f>SUM(X10:X12)</f>
        <v>253.66200000000003</v>
      </c>
      <c r="Y9" s="3057">
        <f>SUM(Y10:Y12)</f>
        <v>0.51</v>
      </c>
      <c r="Z9" s="3057">
        <f t="shared" ref="Z9:Z12" si="17">SUM(AA9:AB9)</f>
        <v>258.279</v>
      </c>
      <c r="AA9" s="3057">
        <f>SUM(AA10:AA12)</f>
        <v>254.41299999999998</v>
      </c>
      <c r="AB9" s="3057">
        <f>SUM(AB10:AB12)</f>
        <v>3.8660000000000001</v>
      </c>
      <c r="AC9" s="3057">
        <f t="shared" ref="AC9:AC12" si="18">SUM(AD9:AE9)</f>
        <v>772.53800000000012</v>
      </c>
      <c r="AD9" s="3057">
        <f t="shared" ref="AD9:AD12" si="19">SUM(U9+X9+AA9)</f>
        <v>767.86200000000008</v>
      </c>
      <c r="AE9" s="3057">
        <f t="shared" ref="AE9:AE12" si="20">SUM(V9+Y9+AB9)</f>
        <v>4.6760000000000002</v>
      </c>
      <c r="AF9" s="3206">
        <f t="shared" ref="AF9:AF12" si="21">SUM(AG9:AH9)</f>
        <v>1510.0018215790494</v>
      </c>
      <c r="AG9" s="3206">
        <f t="shared" ref="AG9:AG12" si="22">SUM(C9+R9)</f>
        <v>1501.1684882457162</v>
      </c>
      <c r="AH9" s="3206">
        <f t="shared" ref="AH9:AH12" si="23">SUM(D9+S9)</f>
        <v>8.8333333333333339</v>
      </c>
      <c r="AI9" s="3206">
        <f t="shared" ref="AI9:AI12" si="24">SUM(AJ9:AK9)</f>
        <v>1547.3825000000002</v>
      </c>
      <c r="AJ9" s="3206">
        <f t="shared" ref="AJ9:AJ12" si="25">SUM(O9+AD9)</f>
        <v>1538.6510000000001</v>
      </c>
      <c r="AK9" s="3206">
        <f t="shared" ref="AK9:AK12" si="26">SUM(P9+AE9)</f>
        <v>8.7315000000000005</v>
      </c>
      <c r="AL9" s="3058">
        <f t="shared" ref="AL9:AL12" si="27">SUM(AM9:AN9)</f>
        <v>37.380678420950574</v>
      </c>
      <c r="AM9" s="3058">
        <f t="shared" ref="AM9:AM12" si="28">SUM(AJ9-AG9)</f>
        <v>37.482511754283905</v>
      </c>
      <c r="AN9" s="3058">
        <f t="shared" ref="AN9:AN12" si="29">SUM(AK9-AH9)</f>
        <v>-0.10183333333333344</v>
      </c>
      <c r="AO9" s="3207">
        <f t="shared" ref="AO9:AO12" si="30">SUM(AP9:AQ9)</f>
        <v>755.00091078952471</v>
      </c>
      <c r="AP9" s="3207">
        <f t="shared" ref="AP9:AP12" si="31">SUM(CC9/4)</f>
        <v>750.58424412285808</v>
      </c>
      <c r="AQ9" s="3207">
        <f t="shared" ref="AQ9:AQ12" si="32">SUM(CD9/4)</f>
        <v>4.416666666666667</v>
      </c>
      <c r="AR9" s="3057">
        <f t="shared" ref="AR9:AR12" si="33">SUM(AS9:AT9)</f>
        <v>242.05600000000001</v>
      </c>
      <c r="AS9" s="3057">
        <f t="shared" ref="AS9:AT9" si="34">SUM(AS10:AS12)</f>
        <v>241.745</v>
      </c>
      <c r="AT9" s="3057">
        <f t="shared" si="34"/>
        <v>0.311</v>
      </c>
      <c r="AU9" s="3057">
        <f t="shared" ref="AU9:AU12" si="35">SUM(AV9:AW9)</f>
        <v>275.63300000000004</v>
      </c>
      <c r="AV9" s="3057">
        <f t="shared" ref="AV9" si="36">SUM(AV10:AV12)</f>
        <v>275.25400000000002</v>
      </c>
      <c r="AW9" s="3057">
        <f t="shared" ref="AW9" si="37">SUM(AW10:AW12)</f>
        <v>0.379</v>
      </c>
      <c r="AX9" s="3057">
        <f t="shared" ref="AX9:AX12" si="38">SUM(AY9:AZ9)</f>
        <v>257.37900000000002</v>
      </c>
      <c r="AY9" s="3057">
        <f t="shared" ref="AY9" si="39">SUM(AY10:AY12)</f>
        <v>253.471</v>
      </c>
      <c r="AZ9" s="3057">
        <f t="shared" ref="AZ9" si="40">SUM(AZ10:AZ12)</f>
        <v>3.9079999999999999</v>
      </c>
      <c r="BA9" s="3057">
        <f t="shared" ref="BA9:BA12" si="41">SUM(BB9:BC9)</f>
        <v>775.06799999999998</v>
      </c>
      <c r="BB9" s="3057">
        <f t="shared" ref="BB9:BB12" si="42">SUM(AS9+AV9+AY9)</f>
        <v>770.47</v>
      </c>
      <c r="BC9" s="3057">
        <f t="shared" ref="BC9:BC12" si="43">SUM(AT9+AW9+AZ9)</f>
        <v>4.5979999999999999</v>
      </c>
      <c r="BD9" s="3206">
        <f t="shared" ref="BD9:BD12" si="44">SUM(BE9:BF9)</f>
        <v>2265.0027323685745</v>
      </c>
      <c r="BE9" s="3206">
        <f t="shared" ref="BE9:BE12" si="45">SUM(AG9+AP9)</f>
        <v>2251.7527323685745</v>
      </c>
      <c r="BF9" s="3206">
        <f t="shared" ref="BF9:BF12" si="46">SUM(AH9+AQ9)</f>
        <v>13.25</v>
      </c>
      <c r="BG9" s="3058">
        <f t="shared" ref="BG9:BG12" si="47">SUM(BH9:BI9)</f>
        <v>2322.4504999999999</v>
      </c>
      <c r="BH9" s="3058">
        <f t="shared" ref="BH9:BH12" si="48">SUM(AJ9+BB9)</f>
        <v>2309.1210000000001</v>
      </c>
      <c r="BI9" s="3058">
        <f t="shared" ref="BI9:BI12" si="49">SUM(AK9+BC9)</f>
        <v>13.329499999999999</v>
      </c>
      <c r="BJ9" s="3058">
        <f t="shared" ref="BJ9:BJ12" si="50">SUM(BK9:BL9)</f>
        <v>57.44776763142562</v>
      </c>
      <c r="BK9" s="3058">
        <f t="shared" ref="BK9:BK12" si="51">SUM(BH9-BE9)</f>
        <v>57.368267631425624</v>
      </c>
      <c r="BL9" s="3058">
        <f t="shared" ref="BL9:BL12" si="52">SUM(BI9-BF9)</f>
        <v>7.949999999999946E-2</v>
      </c>
      <c r="BM9" s="3207">
        <f t="shared" ref="BM9:BM12" si="53">SUM(BN9:BO9)</f>
        <v>755.00091078952471</v>
      </c>
      <c r="BN9" s="3207">
        <f t="shared" ref="BN9:BN12" si="54">SUM(CC9/4)</f>
        <v>750.58424412285808</v>
      </c>
      <c r="BO9" s="3207">
        <f t="shared" ref="BO9:BO12" si="55">SUM(CD9/4)</f>
        <v>4.416666666666667</v>
      </c>
      <c r="BP9" s="3057">
        <f t="shared" ref="BP9:BP12" si="56">SUM(BQ9:BR9)</f>
        <v>0</v>
      </c>
      <c r="BQ9" s="3057">
        <f t="shared" ref="BQ9" si="57">SUM(BQ10:BQ12)</f>
        <v>0</v>
      </c>
      <c r="BR9" s="3057">
        <f t="shared" ref="BR9" si="58">SUM(BR10:BR12)</f>
        <v>0</v>
      </c>
      <c r="BS9" s="3057">
        <f t="shared" ref="BS9:BS12" si="59">SUM(BT9:BU9)</f>
        <v>0</v>
      </c>
      <c r="BT9" s="3057">
        <f t="shared" ref="BT9" si="60">SUM(BT10:BT12)</f>
        <v>0</v>
      </c>
      <c r="BU9" s="3057">
        <f t="shared" ref="BU9" si="61">SUM(BU10:BU12)</f>
        <v>0</v>
      </c>
      <c r="BV9" s="3057">
        <f t="shared" ref="BV9:BV12" si="62">SUM(BW9:BX9)</f>
        <v>0</v>
      </c>
      <c r="BW9" s="3057">
        <f t="shared" ref="BW9" si="63">SUM(BW10:BW12)</f>
        <v>0</v>
      </c>
      <c r="BX9" s="3057">
        <f t="shared" ref="BX9" si="64">SUM(BX10:BX12)</f>
        <v>0</v>
      </c>
      <c r="BY9" s="3057">
        <f t="shared" ref="BY9:BY12" si="65">SUM(BZ9:CA9)</f>
        <v>0</v>
      </c>
      <c r="BZ9" s="3057">
        <f t="shared" ref="BZ9:BZ12" si="66">SUM(BQ9+BT9+BW9)</f>
        <v>0</v>
      </c>
      <c r="CA9" s="3057">
        <f t="shared" ref="CA9:CA12" si="67">SUM(BR9+BU9+BX9)</f>
        <v>0</v>
      </c>
      <c r="CB9" s="3109">
        <f t="shared" ref="CB9:CB12" si="68">SUM(CC9:CD9)</f>
        <v>3020.0036431580988</v>
      </c>
      <c r="CC9" s="3285">
        <f>SUM(CC10:CC12)</f>
        <v>3002.3369764914323</v>
      </c>
      <c r="CD9" s="3285">
        <f>SUM(CD10:CD12)</f>
        <v>17.666666666666668</v>
      </c>
      <c r="CE9" s="3058">
        <f t="shared" ref="CE9:CE12" si="69">SUM(CF9:CG9)</f>
        <v>2322.4504999999999</v>
      </c>
      <c r="CF9" s="3058">
        <f t="shared" ref="CF9:CF12" si="70">SUM(BH9+BZ9)</f>
        <v>2309.1210000000001</v>
      </c>
      <c r="CG9" s="3058">
        <f t="shared" ref="CG9:CG12" si="71">SUM(BI9+CA9)</f>
        <v>13.329499999999999</v>
      </c>
      <c r="CH9" s="3058">
        <f t="shared" ref="CH9:CH12" si="72">SUM(CI9:CJ9)</f>
        <v>-697.55314315809892</v>
      </c>
      <c r="CI9" s="3058">
        <f t="shared" ref="CI9:CI12" si="73">SUM(CF9-CC9)</f>
        <v>-693.21597649143223</v>
      </c>
      <c r="CJ9" s="3058">
        <f t="shared" ref="CJ9:CJ12" si="74">SUM(CG9-CD9)</f>
        <v>-4.3371666666666684</v>
      </c>
      <c r="CK9" s="3205"/>
    </row>
    <row r="10" spans="1:89" ht="18.75" customHeight="1" x14ac:dyDescent="0.2">
      <c r="A10" s="3072" t="s">
        <v>261</v>
      </c>
      <c r="B10" s="3208">
        <f t="shared" si="3"/>
        <v>570</v>
      </c>
      <c r="C10" s="3208">
        <f t="shared" si="4"/>
        <v>570</v>
      </c>
      <c r="D10" s="3208">
        <f t="shared" si="5"/>
        <v>0</v>
      </c>
      <c r="E10" s="3060">
        <f t="shared" si="6"/>
        <v>208.13900000000001</v>
      </c>
      <c r="F10" s="3077">
        <v>208.13900000000001</v>
      </c>
      <c r="G10" s="3077"/>
      <c r="H10" s="3060">
        <f t="shared" si="7"/>
        <v>194.65</v>
      </c>
      <c r="I10" s="3077">
        <v>194.65</v>
      </c>
      <c r="J10" s="3077"/>
      <c r="K10" s="3060">
        <f t="shared" si="8"/>
        <v>188.65</v>
      </c>
      <c r="L10" s="3077">
        <v>188.65</v>
      </c>
      <c r="M10" s="3077"/>
      <c r="N10" s="3060">
        <f t="shared" si="9"/>
        <v>591.43899999999996</v>
      </c>
      <c r="O10" s="3060">
        <f t="shared" si="10"/>
        <v>591.43899999999996</v>
      </c>
      <c r="P10" s="3060">
        <f t="shared" si="11"/>
        <v>0</v>
      </c>
      <c r="Q10" s="3208">
        <f t="shared" si="12"/>
        <v>570</v>
      </c>
      <c r="R10" s="3208">
        <f t="shared" si="13"/>
        <v>570</v>
      </c>
      <c r="S10" s="3208">
        <f t="shared" si="14"/>
        <v>0</v>
      </c>
      <c r="T10" s="3060">
        <f t="shared" si="15"/>
        <v>194.28100000000001</v>
      </c>
      <c r="U10" s="3077">
        <v>194.28100000000001</v>
      </c>
      <c r="V10" s="3077"/>
      <c r="W10" s="3060">
        <f t="shared" si="16"/>
        <v>196.55900000000003</v>
      </c>
      <c r="X10" s="3077">
        <f>196.562-0.003</f>
        <v>196.55900000000003</v>
      </c>
      <c r="Y10" s="3077"/>
      <c r="Z10" s="3060">
        <f t="shared" si="17"/>
        <v>190.40799999999999</v>
      </c>
      <c r="AA10" s="3077">
        <v>190.40799999999999</v>
      </c>
      <c r="AB10" s="3077"/>
      <c r="AC10" s="3060">
        <f t="shared" si="18"/>
        <v>581.24800000000005</v>
      </c>
      <c r="AD10" s="3060">
        <f t="shared" si="19"/>
        <v>581.24800000000005</v>
      </c>
      <c r="AE10" s="3060">
        <f t="shared" si="20"/>
        <v>0</v>
      </c>
      <c r="AF10" s="3209">
        <f t="shared" si="21"/>
        <v>1140</v>
      </c>
      <c r="AG10" s="3209">
        <f t="shared" si="22"/>
        <v>1140</v>
      </c>
      <c r="AH10" s="3209">
        <f t="shared" si="23"/>
        <v>0</v>
      </c>
      <c r="AI10" s="3209">
        <f t="shared" si="24"/>
        <v>1172.6869999999999</v>
      </c>
      <c r="AJ10" s="3209">
        <f t="shared" si="25"/>
        <v>1172.6869999999999</v>
      </c>
      <c r="AK10" s="3209">
        <f t="shared" si="26"/>
        <v>0</v>
      </c>
      <c r="AL10" s="3062">
        <f t="shared" si="27"/>
        <v>32.686999999999898</v>
      </c>
      <c r="AM10" s="3062">
        <f t="shared" si="28"/>
        <v>32.686999999999898</v>
      </c>
      <c r="AN10" s="3062">
        <f t="shared" si="29"/>
        <v>0</v>
      </c>
      <c r="AO10" s="3208">
        <f t="shared" si="30"/>
        <v>570</v>
      </c>
      <c r="AP10" s="3208">
        <f t="shared" si="31"/>
        <v>570</v>
      </c>
      <c r="AQ10" s="3208">
        <f t="shared" si="32"/>
        <v>0</v>
      </c>
      <c r="AR10" s="3060">
        <f t="shared" si="33"/>
        <v>186.721</v>
      </c>
      <c r="AS10" s="3077">
        <v>186.721</v>
      </c>
      <c r="AT10" s="3077"/>
      <c r="AU10" s="3060">
        <f t="shared" si="35"/>
        <v>217.06299999999999</v>
      </c>
      <c r="AV10" s="3077">
        <v>217.06299999999999</v>
      </c>
      <c r="AW10" s="3077"/>
      <c r="AX10" s="3060">
        <f t="shared" si="38"/>
        <v>173.76599999999999</v>
      </c>
      <c r="AY10" s="3077">
        <v>173.76599999999999</v>
      </c>
      <c r="AZ10" s="3077"/>
      <c r="BA10" s="3060">
        <f t="shared" si="41"/>
        <v>577.54999999999995</v>
      </c>
      <c r="BB10" s="3060">
        <f t="shared" si="42"/>
        <v>577.54999999999995</v>
      </c>
      <c r="BC10" s="3060">
        <f t="shared" si="43"/>
        <v>0</v>
      </c>
      <c r="BD10" s="3209">
        <f t="shared" si="44"/>
        <v>1710</v>
      </c>
      <c r="BE10" s="3209">
        <f t="shared" si="45"/>
        <v>1710</v>
      </c>
      <c r="BF10" s="3209">
        <f t="shared" si="46"/>
        <v>0</v>
      </c>
      <c r="BG10" s="3062">
        <f t="shared" si="47"/>
        <v>1750.2369999999999</v>
      </c>
      <c r="BH10" s="3062">
        <f t="shared" si="48"/>
        <v>1750.2369999999999</v>
      </c>
      <c r="BI10" s="3062">
        <f t="shared" si="49"/>
        <v>0</v>
      </c>
      <c r="BJ10" s="3062">
        <f t="shared" si="50"/>
        <v>40.236999999999853</v>
      </c>
      <c r="BK10" s="3062">
        <f t="shared" si="51"/>
        <v>40.236999999999853</v>
      </c>
      <c r="BL10" s="3062">
        <f t="shared" si="52"/>
        <v>0</v>
      </c>
      <c r="BM10" s="3208">
        <f t="shared" si="53"/>
        <v>570</v>
      </c>
      <c r="BN10" s="3208">
        <f t="shared" si="54"/>
        <v>570</v>
      </c>
      <c r="BO10" s="3208">
        <f t="shared" si="55"/>
        <v>0</v>
      </c>
      <c r="BP10" s="3060">
        <f t="shared" si="56"/>
        <v>0</v>
      </c>
      <c r="BQ10" s="3077"/>
      <c r="BR10" s="3077"/>
      <c r="BS10" s="3060">
        <f t="shared" si="59"/>
        <v>0</v>
      </c>
      <c r="BT10" s="3077"/>
      <c r="BU10" s="3077"/>
      <c r="BV10" s="3060">
        <f t="shared" si="62"/>
        <v>0</v>
      </c>
      <c r="BW10" s="3077"/>
      <c r="BX10" s="3077"/>
      <c r="BY10" s="3060">
        <f t="shared" si="65"/>
        <v>0</v>
      </c>
      <c r="BZ10" s="3060">
        <f t="shared" si="66"/>
        <v>0</v>
      </c>
      <c r="CA10" s="3060">
        <f t="shared" si="67"/>
        <v>0</v>
      </c>
      <c r="CB10" s="3114">
        <f t="shared" si="68"/>
        <v>2280</v>
      </c>
      <c r="CC10" s="3286">
        <f>SUM(объемы!AX59)</f>
        <v>2280</v>
      </c>
      <c r="CD10" s="3286"/>
      <c r="CE10" s="3062">
        <f t="shared" si="69"/>
        <v>1750.2369999999999</v>
      </c>
      <c r="CF10" s="3062">
        <f t="shared" si="70"/>
        <v>1750.2369999999999</v>
      </c>
      <c r="CG10" s="3062">
        <f t="shared" si="71"/>
        <v>0</v>
      </c>
      <c r="CH10" s="3062">
        <f t="shared" si="72"/>
        <v>-529.76300000000015</v>
      </c>
      <c r="CI10" s="3062">
        <f t="shared" si="73"/>
        <v>-529.76300000000015</v>
      </c>
      <c r="CJ10" s="3062">
        <f t="shared" si="74"/>
        <v>0</v>
      </c>
      <c r="CK10" s="3205"/>
    </row>
    <row r="11" spans="1:89" ht="18.75" customHeight="1" x14ac:dyDescent="0.2">
      <c r="A11" s="3072" t="s">
        <v>3675</v>
      </c>
      <c r="B11" s="3208">
        <f t="shared" si="3"/>
        <v>4.416666666666667</v>
      </c>
      <c r="C11" s="3208">
        <f t="shared" si="4"/>
        <v>0</v>
      </c>
      <c r="D11" s="3208">
        <f t="shared" si="5"/>
        <v>4.416666666666667</v>
      </c>
      <c r="E11" s="3060">
        <f t="shared" si="6"/>
        <v>0.20250000000000001</v>
      </c>
      <c r="F11" s="3077">
        <v>0</v>
      </c>
      <c r="G11" s="3462">
        <v>0.20250000000000001</v>
      </c>
      <c r="H11" s="3060">
        <f t="shared" si="7"/>
        <v>0.17299999999999999</v>
      </c>
      <c r="I11" s="3077">
        <v>0</v>
      </c>
      <c r="J11" s="3462">
        <v>0.17299999999999999</v>
      </c>
      <c r="K11" s="3060">
        <f t="shared" si="8"/>
        <v>3.68</v>
      </c>
      <c r="L11" s="3077">
        <v>0</v>
      </c>
      <c r="M11" s="3077">
        <v>3.68</v>
      </c>
      <c r="N11" s="3060">
        <f t="shared" si="9"/>
        <v>4.0555000000000003</v>
      </c>
      <c r="O11" s="3060">
        <f t="shared" si="10"/>
        <v>0</v>
      </c>
      <c r="P11" s="3060">
        <f t="shared" si="11"/>
        <v>4.0555000000000003</v>
      </c>
      <c r="Q11" s="3208">
        <f t="shared" si="12"/>
        <v>4.416666666666667</v>
      </c>
      <c r="R11" s="3208">
        <f t="shared" si="13"/>
        <v>0</v>
      </c>
      <c r="S11" s="3208">
        <f t="shared" si="14"/>
        <v>4.416666666666667</v>
      </c>
      <c r="T11" s="3060">
        <f t="shared" si="15"/>
        <v>0.3</v>
      </c>
      <c r="U11" s="3077">
        <v>0</v>
      </c>
      <c r="V11" s="3077">
        <v>0.3</v>
      </c>
      <c r="W11" s="3060">
        <f t="shared" si="16"/>
        <v>0.51</v>
      </c>
      <c r="X11" s="3077">
        <v>0</v>
      </c>
      <c r="Y11" s="3077">
        <v>0.51</v>
      </c>
      <c r="Z11" s="3060">
        <f t="shared" si="17"/>
        <v>3.8660000000000001</v>
      </c>
      <c r="AA11" s="3077">
        <v>0</v>
      </c>
      <c r="AB11" s="3077">
        <v>3.8660000000000001</v>
      </c>
      <c r="AC11" s="3060">
        <f t="shared" si="18"/>
        <v>4.6760000000000002</v>
      </c>
      <c r="AD11" s="3060">
        <f t="shared" si="19"/>
        <v>0</v>
      </c>
      <c r="AE11" s="3060">
        <f t="shared" si="20"/>
        <v>4.6760000000000002</v>
      </c>
      <c r="AF11" s="3209">
        <f t="shared" si="21"/>
        <v>8.8333333333333339</v>
      </c>
      <c r="AG11" s="3209">
        <f t="shared" si="22"/>
        <v>0</v>
      </c>
      <c r="AH11" s="3209">
        <f t="shared" si="23"/>
        <v>8.8333333333333339</v>
      </c>
      <c r="AI11" s="3209">
        <f t="shared" si="24"/>
        <v>8.7315000000000005</v>
      </c>
      <c r="AJ11" s="3209">
        <f t="shared" si="25"/>
        <v>0</v>
      </c>
      <c r="AK11" s="3209">
        <f t="shared" si="26"/>
        <v>8.7315000000000005</v>
      </c>
      <c r="AL11" s="3062">
        <f t="shared" si="27"/>
        <v>-0.10183333333333344</v>
      </c>
      <c r="AM11" s="3062">
        <f t="shared" si="28"/>
        <v>0</v>
      </c>
      <c r="AN11" s="3062">
        <f t="shared" si="29"/>
        <v>-0.10183333333333344</v>
      </c>
      <c r="AO11" s="3208">
        <f t="shared" si="30"/>
        <v>4.416666666666667</v>
      </c>
      <c r="AP11" s="3208">
        <f t="shared" si="31"/>
        <v>0</v>
      </c>
      <c r="AQ11" s="3208">
        <f t="shared" si="32"/>
        <v>4.416666666666667</v>
      </c>
      <c r="AR11" s="3060">
        <f t="shared" si="33"/>
        <v>0.311</v>
      </c>
      <c r="AS11" s="3077">
        <v>0</v>
      </c>
      <c r="AT11" s="3077">
        <v>0.311</v>
      </c>
      <c r="AU11" s="3060">
        <f t="shared" si="35"/>
        <v>0.379</v>
      </c>
      <c r="AV11" s="3077">
        <v>0</v>
      </c>
      <c r="AW11" s="3077">
        <v>0.379</v>
      </c>
      <c r="AX11" s="3060">
        <f t="shared" si="38"/>
        <v>3.9079999999999999</v>
      </c>
      <c r="AY11" s="3077">
        <v>0</v>
      </c>
      <c r="AZ11" s="3077">
        <v>3.9079999999999999</v>
      </c>
      <c r="BA11" s="3060">
        <f t="shared" si="41"/>
        <v>4.5979999999999999</v>
      </c>
      <c r="BB11" s="3060">
        <f t="shared" si="42"/>
        <v>0</v>
      </c>
      <c r="BC11" s="3060">
        <f t="shared" si="43"/>
        <v>4.5979999999999999</v>
      </c>
      <c r="BD11" s="3209">
        <f t="shared" si="44"/>
        <v>13.25</v>
      </c>
      <c r="BE11" s="3209">
        <f t="shared" si="45"/>
        <v>0</v>
      </c>
      <c r="BF11" s="3209">
        <f t="shared" si="46"/>
        <v>13.25</v>
      </c>
      <c r="BG11" s="3062">
        <f t="shared" si="47"/>
        <v>13.329499999999999</v>
      </c>
      <c r="BH11" s="3062">
        <f t="shared" si="48"/>
        <v>0</v>
      </c>
      <c r="BI11" s="3062">
        <f t="shared" si="49"/>
        <v>13.329499999999999</v>
      </c>
      <c r="BJ11" s="3062">
        <f t="shared" si="50"/>
        <v>7.949999999999946E-2</v>
      </c>
      <c r="BK11" s="3062">
        <f t="shared" si="51"/>
        <v>0</v>
      </c>
      <c r="BL11" s="3062">
        <f t="shared" si="52"/>
        <v>7.949999999999946E-2</v>
      </c>
      <c r="BM11" s="3208">
        <f t="shared" si="53"/>
        <v>4.416666666666667</v>
      </c>
      <c r="BN11" s="3208">
        <f t="shared" si="54"/>
        <v>0</v>
      </c>
      <c r="BO11" s="3208">
        <f t="shared" si="55"/>
        <v>4.416666666666667</v>
      </c>
      <c r="BP11" s="3060">
        <f t="shared" si="56"/>
        <v>0</v>
      </c>
      <c r="BQ11" s="3077"/>
      <c r="BR11" s="3077"/>
      <c r="BS11" s="3060">
        <f t="shared" si="59"/>
        <v>0</v>
      </c>
      <c r="BT11" s="3077"/>
      <c r="BU11" s="3077"/>
      <c r="BV11" s="3060">
        <f t="shared" si="62"/>
        <v>0</v>
      </c>
      <c r="BW11" s="3077"/>
      <c r="BX11" s="3077"/>
      <c r="BY11" s="3060">
        <f t="shared" si="65"/>
        <v>0</v>
      </c>
      <c r="BZ11" s="3060">
        <f t="shared" si="66"/>
        <v>0</v>
      </c>
      <c r="CA11" s="3060">
        <f t="shared" si="67"/>
        <v>0</v>
      </c>
      <c r="CB11" s="3114">
        <f t="shared" si="68"/>
        <v>17.666666666666668</v>
      </c>
      <c r="CC11" s="3286"/>
      <c r="CD11" s="3286">
        <f>SUM(объемы!AY61)</f>
        <v>17.666666666666668</v>
      </c>
      <c r="CE11" s="3062">
        <f t="shared" si="69"/>
        <v>13.329499999999999</v>
      </c>
      <c r="CF11" s="3062">
        <f t="shared" si="70"/>
        <v>0</v>
      </c>
      <c r="CG11" s="3062">
        <f t="shared" si="71"/>
        <v>13.329499999999999</v>
      </c>
      <c r="CH11" s="3062">
        <f t="shared" si="72"/>
        <v>-4.3371666666666684</v>
      </c>
      <c r="CI11" s="3062">
        <f t="shared" si="73"/>
        <v>0</v>
      </c>
      <c r="CJ11" s="3062">
        <f t="shared" si="74"/>
        <v>-4.3371666666666684</v>
      </c>
      <c r="CK11" s="3205"/>
    </row>
    <row r="12" spans="1:89" ht="18.75" customHeight="1" x14ac:dyDescent="0.2">
      <c r="A12" s="3072" t="s">
        <v>3659</v>
      </c>
      <c r="B12" s="3208">
        <f t="shared" si="3"/>
        <v>180.58424412285808</v>
      </c>
      <c r="C12" s="3208">
        <f t="shared" si="4"/>
        <v>180.58424412285808</v>
      </c>
      <c r="D12" s="3208">
        <f t="shared" si="5"/>
        <v>0</v>
      </c>
      <c r="E12" s="3060">
        <f t="shared" si="6"/>
        <v>58.154000000000003</v>
      </c>
      <c r="F12" s="3077">
        <v>58.154000000000003</v>
      </c>
      <c r="G12" s="3077"/>
      <c r="H12" s="3060">
        <f t="shared" si="7"/>
        <v>61.482999999999997</v>
      </c>
      <c r="I12" s="3077">
        <v>61.482999999999997</v>
      </c>
      <c r="J12" s="3077"/>
      <c r="K12" s="3060">
        <f t="shared" si="8"/>
        <v>59.713000000000001</v>
      </c>
      <c r="L12" s="3077">
        <v>59.713000000000001</v>
      </c>
      <c r="M12" s="3077"/>
      <c r="N12" s="3060">
        <f t="shared" si="9"/>
        <v>179.35</v>
      </c>
      <c r="O12" s="3060">
        <f t="shared" si="10"/>
        <v>179.35</v>
      </c>
      <c r="P12" s="3060">
        <f t="shared" si="11"/>
        <v>0</v>
      </c>
      <c r="Q12" s="3208">
        <f t="shared" si="12"/>
        <v>180.58424412285808</v>
      </c>
      <c r="R12" s="3208">
        <f t="shared" si="13"/>
        <v>180.58424412285808</v>
      </c>
      <c r="S12" s="3208">
        <f t="shared" si="14"/>
        <v>0</v>
      </c>
      <c r="T12" s="3060">
        <f t="shared" si="15"/>
        <v>65.506</v>
      </c>
      <c r="U12" s="3077">
        <v>65.506</v>
      </c>
      <c r="V12" s="3077"/>
      <c r="W12" s="3060">
        <f t="shared" si="16"/>
        <v>57.103000000000002</v>
      </c>
      <c r="X12" s="3077">
        <v>57.103000000000002</v>
      </c>
      <c r="Y12" s="3077"/>
      <c r="Z12" s="3060">
        <f t="shared" si="17"/>
        <v>64.004999999999995</v>
      </c>
      <c r="AA12" s="3077">
        <v>64.004999999999995</v>
      </c>
      <c r="AB12" s="3077"/>
      <c r="AC12" s="3060">
        <f t="shared" si="18"/>
        <v>186.614</v>
      </c>
      <c r="AD12" s="3060">
        <f t="shared" si="19"/>
        <v>186.614</v>
      </c>
      <c r="AE12" s="3060">
        <f t="shared" si="20"/>
        <v>0</v>
      </c>
      <c r="AF12" s="3209">
        <f t="shared" si="21"/>
        <v>361.16848824571616</v>
      </c>
      <c r="AG12" s="3209">
        <f t="shared" si="22"/>
        <v>361.16848824571616</v>
      </c>
      <c r="AH12" s="3209">
        <f t="shared" si="23"/>
        <v>0</v>
      </c>
      <c r="AI12" s="3209">
        <f t="shared" si="24"/>
        <v>365.964</v>
      </c>
      <c r="AJ12" s="3209">
        <f t="shared" si="25"/>
        <v>365.964</v>
      </c>
      <c r="AK12" s="3209">
        <f t="shared" si="26"/>
        <v>0</v>
      </c>
      <c r="AL12" s="3062">
        <f t="shared" si="27"/>
        <v>4.7955117542838366</v>
      </c>
      <c r="AM12" s="3062">
        <f t="shared" si="28"/>
        <v>4.7955117542838366</v>
      </c>
      <c r="AN12" s="3062">
        <f t="shared" si="29"/>
        <v>0</v>
      </c>
      <c r="AO12" s="3208">
        <f t="shared" si="30"/>
        <v>180.58424412285808</v>
      </c>
      <c r="AP12" s="3208">
        <f t="shared" si="31"/>
        <v>180.58424412285808</v>
      </c>
      <c r="AQ12" s="3208">
        <f t="shared" si="32"/>
        <v>0</v>
      </c>
      <c r="AR12" s="3060">
        <f t="shared" si="33"/>
        <v>55.024000000000001</v>
      </c>
      <c r="AS12" s="3077">
        <v>55.024000000000001</v>
      </c>
      <c r="AT12" s="3077"/>
      <c r="AU12" s="3060">
        <f t="shared" si="35"/>
        <v>58.191000000000003</v>
      </c>
      <c r="AV12" s="3077">
        <v>58.191000000000003</v>
      </c>
      <c r="AW12" s="3077"/>
      <c r="AX12" s="3060">
        <f t="shared" si="38"/>
        <v>79.704999999999998</v>
      </c>
      <c r="AY12" s="3077">
        <v>79.704999999999998</v>
      </c>
      <c r="AZ12" s="3077"/>
      <c r="BA12" s="3060">
        <f t="shared" si="41"/>
        <v>192.92000000000002</v>
      </c>
      <c r="BB12" s="3060">
        <f t="shared" si="42"/>
        <v>192.92000000000002</v>
      </c>
      <c r="BC12" s="3060">
        <f t="shared" si="43"/>
        <v>0</v>
      </c>
      <c r="BD12" s="3209">
        <f t="shared" si="44"/>
        <v>541.75273236857424</v>
      </c>
      <c r="BE12" s="3209">
        <f t="shared" si="45"/>
        <v>541.75273236857424</v>
      </c>
      <c r="BF12" s="3209">
        <f t="shared" si="46"/>
        <v>0</v>
      </c>
      <c r="BG12" s="3062">
        <f t="shared" si="47"/>
        <v>558.88400000000001</v>
      </c>
      <c r="BH12" s="3062">
        <f t="shared" si="48"/>
        <v>558.88400000000001</v>
      </c>
      <c r="BI12" s="3062">
        <f t="shared" si="49"/>
        <v>0</v>
      </c>
      <c r="BJ12" s="3062">
        <f t="shared" si="50"/>
        <v>17.131267631425771</v>
      </c>
      <c r="BK12" s="3062">
        <f t="shared" si="51"/>
        <v>17.131267631425771</v>
      </c>
      <c r="BL12" s="3062">
        <f t="shared" si="52"/>
        <v>0</v>
      </c>
      <c r="BM12" s="3208">
        <f t="shared" si="53"/>
        <v>180.58424412285808</v>
      </c>
      <c r="BN12" s="3208">
        <f t="shared" si="54"/>
        <v>180.58424412285808</v>
      </c>
      <c r="BO12" s="3208">
        <f t="shared" si="55"/>
        <v>0</v>
      </c>
      <c r="BP12" s="3060">
        <f t="shared" si="56"/>
        <v>0</v>
      </c>
      <c r="BQ12" s="3077"/>
      <c r="BR12" s="3077"/>
      <c r="BS12" s="3060">
        <f t="shared" si="59"/>
        <v>0</v>
      </c>
      <c r="BT12" s="3077"/>
      <c r="BU12" s="3077"/>
      <c r="BV12" s="3060">
        <f t="shared" si="62"/>
        <v>0</v>
      </c>
      <c r="BW12" s="3077"/>
      <c r="BX12" s="3077"/>
      <c r="BY12" s="3060">
        <f t="shared" si="65"/>
        <v>0</v>
      </c>
      <c r="BZ12" s="3060">
        <f t="shared" si="66"/>
        <v>0</v>
      </c>
      <c r="CA12" s="3060">
        <f t="shared" si="67"/>
        <v>0</v>
      </c>
      <c r="CB12" s="3114">
        <f t="shared" si="68"/>
        <v>722.33697649143232</v>
      </c>
      <c r="CC12" s="3286">
        <f>SUM(объемы!AX60)</f>
        <v>722.33697649143232</v>
      </c>
      <c r="CD12" s="3286"/>
      <c r="CE12" s="3062">
        <f t="shared" si="69"/>
        <v>558.88400000000001</v>
      </c>
      <c r="CF12" s="3062">
        <f t="shared" si="70"/>
        <v>558.88400000000001</v>
      </c>
      <c r="CG12" s="3062">
        <f t="shared" si="71"/>
        <v>0</v>
      </c>
      <c r="CH12" s="3062">
        <f t="shared" si="72"/>
        <v>-163.45297649143231</v>
      </c>
      <c r="CI12" s="3062">
        <f t="shared" si="73"/>
        <v>-163.45297649143231</v>
      </c>
      <c r="CJ12" s="3062">
        <f t="shared" si="74"/>
        <v>0</v>
      </c>
      <c r="CK12" s="3205"/>
    </row>
    <row r="13" spans="1:89" ht="18.75" customHeight="1" x14ac:dyDescent="0.3">
      <c r="A13" s="3104" t="s">
        <v>3588</v>
      </c>
      <c r="B13" s="3238"/>
      <c r="C13" s="3238"/>
      <c r="D13" s="3238"/>
      <c r="E13" s="3238"/>
      <c r="F13" s="3238"/>
      <c r="G13" s="3238"/>
      <c r="H13" s="3239"/>
      <c r="I13" s="3239"/>
      <c r="J13" s="3239"/>
      <c r="K13" s="3239"/>
      <c r="L13" s="3239"/>
      <c r="M13" s="3239"/>
      <c r="N13" s="3239"/>
      <c r="O13" s="3239"/>
      <c r="P13" s="3239"/>
      <c r="Q13" s="3239"/>
      <c r="R13" s="3239"/>
      <c r="S13" s="3239"/>
      <c r="T13" s="3239"/>
      <c r="U13" s="3239"/>
      <c r="V13" s="3239"/>
      <c r="W13" s="3239"/>
      <c r="X13" s="3239"/>
      <c r="Y13" s="3239"/>
      <c r="Z13" s="3239"/>
      <c r="AA13" s="3239"/>
      <c r="AB13" s="3239"/>
      <c r="AC13" s="3239"/>
      <c r="AD13" s="3239"/>
      <c r="AE13" s="3239"/>
      <c r="AF13" s="3239"/>
      <c r="AG13" s="3239"/>
      <c r="AH13" s="3239"/>
      <c r="AI13" s="3239"/>
      <c r="AJ13" s="3239"/>
      <c r="AK13" s="3239"/>
      <c r="AL13" s="3239"/>
      <c r="AM13" s="3239"/>
      <c r="AN13" s="3239"/>
      <c r="AO13" s="3239"/>
      <c r="AP13" s="3239"/>
      <c r="AQ13" s="3239"/>
      <c r="AR13" s="3239"/>
      <c r="AS13" s="3239"/>
      <c r="AT13" s="3239"/>
      <c r="AU13" s="3239"/>
      <c r="AV13" s="3239"/>
      <c r="AW13" s="3239"/>
      <c r="AX13" s="3239"/>
      <c r="AY13" s="3239"/>
      <c r="AZ13" s="3239"/>
      <c r="BA13" s="3239"/>
      <c r="BB13" s="3239"/>
      <c r="BC13" s="3239"/>
      <c r="BD13" s="3239"/>
      <c r="BE13" s="3239"/>
      <c r="BF13" s="3239"/>
      <c r="BG13" s="3239"/>
      <c r="BH13" s="3239"/>
      <c r="BI13" s="3239"/>
      <c r="BJ13" s="3239"/>
      <c r="BK13" s="3239"/>
      <c r="BL13" s="3239"/>
      <c r="BM13" s="3239"/>
      <c r="BN13" s="3239"/>
      <c r="BO13" s="3239"/>
      <c r="BP13" s="3239"/>
      <c r="BQ13" s="3239"/>
      <c r="BR13" s="3239"/>
      <c r="BS13" s="3239"/>
      <c r="BT13" s="3239"/>
      <c r="BU13" s="3239"/>
      <c r="BV13" s="3240"/>
      <c r="BW13" s="3240"/>
      <c r="BX13" s="3240"/>
      <c r="BY13" s="3240"/>
      <c r="BZ13" s="3240"/>
      <c r="CA13" s="3240"/>
      <c r="CB13" s="3240"/>
      <c r="CC13" s="3240"/>
      <c r="CD13" s="3240"/>
      <c r="CE13" s="3240"/>
      <c r="CF13" s="3240"/>
      <c r="CG13" s="3240"/>
      <c r="CH13" s="3240"/>
      <c r="CI13" s="3240"/>
      <c r="CJ13" s="3241"/>
    </row>
    <row r="14" spans="1:89" ht="18.75" customHeight="1" x14ac:dyDescent="0.2">
      <c r="A14" s="3723" t="s">
        <v>536</v>
      </c>
      <c r="B14" s="3707" t="s">
        <v>3575</v>
      </c>
      <c r="C14" s="3708"/>
      <c r="D14" s="3708"/>
      <c r="E14" s="3708"/>
      <c r="F14" s="3708"/>
      <c r="G14" s="3708"/>
      <c r="H14" s="3708"/>
      <c r="I14" s="3708"/>
      <c r="J14" s="3708"/>
      <c r="K14" s="3708"/>
      <c r="L14" s="3708"/>
      <c r="M14" s="3708"/>
      <c r="N14" s="3708"/>
      <c r="O14" s="3708"/>
      <c r="P14" s="3725"/>
      <c r="Q14" s="3696" t="s">
        <v>3576</v>
      </c>
      <c r="R14" s="3697"/>
      <c r="S14" s="3697"/>
      <c r="T14" s="3697"/>
      <c r="U14" s="3697"/>
      <c r="V14" s="3697"/>
      <c r="W14" s="3697"/>
      <c r="X14" s="3697"/>
      <c r="Y14" s="3697"/>
      <c r="Z14" s="3697"/>
      <c r="AA14" s="3697"/>
      <c r="AB14" s="3697"/>
      <c r="AC14" s="3697"/>
      <c r="AD14" s="3655"/>
      <c r="AE14" s="3656"/>
      <c r="AF14" s="3692" t="s">
        <v>3577</v>
      </c>
      <c r="AG14" s="3693"/>
      <c r="AH14" s="3693"/>
      <c r="AI14" s="3693"/>
      <c r="AJ14" s="3693"/>
      <c r="AK14" s="3693"/>
      <c r="AL14" s="3693"/>
      <c r="AM14" s="3705"/>
      <c r="AN14" s="3706"/>
      <c r="AO14" s="3707" t="s">
        <v>3578</v>
      </c>
      <c r="AP14" s="3708"/>
      <c r="AQ14" s="3708"/>
      <c r="AR14" s="3708"/>
      <c r="AS14" s="3708"/>
      <c r="AT14" s="3708"/>
      <c r="AU14" s="3708"/>
      <c r="AV14" s="3708"/>
      <c r="AW14" s="3708"/>
      <c r="AX14" s="3708"/>
      <c r="AY14" s="3708"/>
      <c r="AZ14" s="3708"/>
      <c r="BA14" s="3708"/>
      <c r="BB14" s="3705"/>
      <c r="BC14" s="3706"/>
      <c r="BD14" s="3692" t="s">
        <v>3579</v>
      </c>
      <c r="BE14" s="3693"/>
      <c r="BF14" s="3693"/>
      <c r="BG14" s="3693"/>
      <c r="BH14" s="3693"/>
      <c r="BI14" s="3693"/>
      <c r="BJ14" s="3693"/>
      <c r="BK14" s="3705"/>
      <c r="BL14" s="3706"/>
      <c r="BM14" s="3707" t="s">
        <v>3580</v>
      </c>
      <c r="BN14" s="3708"/>
      <c r="BO14" s="3708"/>
      <c r="BP14" s="3708"/>
      <c r="BQ14" s="3708"/>
      <c r="BR14" s="3708"/>
      <c r="BS14" s="3708"/>
      <c r="BT14" s="3708"/>
      <c r="BU14" s="3708"/>
      <c r="BV14" s="3708"/>
      <c r="BW14" s="3708"/>
      <c r="BX14" s="3708"/>
      <c r="BY14" s="3708"/>
      <c r="BZ14" s="3705"/>
      <c r="CA14" s="3705"/>
      <c r="CB14" s="3692" t="s">
        <v>2019</v>
      </c>
      <c r="CC14" s="3693"/>
      <c r="CD14" s="3693"/>
      <c r="CE14" s="3693"/>
      <c r="CF14" s="3693"/>
      <c r="CG14" s="3693"/>
      <c r="CH14" s="3693"/>
      <c r="CI14" s="3694"/>
      <c r="CJ14" s="3695"/>
    </row>
    <row r="15" spans="1:89" ht="25.5" customHeight="1" x14ac:dyDescent="0.2">
      <c r="A15" s="3724"/>
      <c r="B15" s="3696" t="s">
        <v>3581</v>
      </c>
      <c r="C15" s="3697"/>
      <c r="D15" s="3698"/>
      <c r="E15" s="3726" t="s">
        <v>582</v>
      </c>
      <c r="F15" s="3727"/>
      <c r="G15" s="3728"/>
      <c r="H15" s="3726" t="s">
        <v>583</v>
      </c>
      <c r="I15" s="3727"/>
      <c r="J15" s="3728"/>
      <c r="K15" s="3726" t="s">
        <v>584</v>
      </c>
      <c r="L15" s="3727"/>
      <c r="M15" s="3728"/>
      <c r="N15" s="3696" t="s">
        <v>1692</v>
      </c>
      <c r="O15" s="3697"/>
      <c r="P15" s="3698"/>
      <c r="Q15" s="3696" t="s">
        <v>3581</v>
      </c>
      <c r="R15" s="3697"/>
      <c r="S15" s="3698"/>
      <c r="T15" s="3729" t="s">
        <v>3582</v>
      </c>
      <c r="U15" s="3730"/>
      <c r="V15" s="3731"/>
      <c r="W15" s="3729" t="s">
        <v>586</v>
      </c>
      <c r="X15" s="3730"/>
      <c r="Y15" s="3731"/>
      <c r="Z15" s="3729" t="s">
        <v>587</v>
      </c>
      <c r="AA15" s="3730"/>
      <c r="AB15" s="3731"/>
      <c r="AC15" s="3696" t="s">
        <v>1692</v>
      </c>
      <c r="AD15" s="3697"/>
      <c r="AE15" s="3698"/>
      <c r="AF15" s="3699" t="s">
        <v>3581</v>
      </c>
      <c r="AG15" s="3700"/>
      <c r="AH15" s="3701"/>
      <c r="AI15" s="3699" t="s">
        <v>1692</v>
      </c>
      <c r="AJ15" s="3700"/>
      <c r="AK15" s="3701"/>
      <c r="AL15" s="3699" t="s">
        <v>3583</v>
      </c>
      <c r="AM15" s="3700"/>
      <c r="AN15" s="3701"/>
      <c r="AO15" s="3712" t="s">
        <v>3581</v>
      </c>
      <c r="AP15" s="3713"/>
      <c r="AQ15" s="3714"/>
      <c r="AR15" s="3702" t="s">
        <v>588</v>
      </c>
      <c r="AS15" s="3703"/>
      <c r="AT15" s="3704"/>
      <c r="AU15" s="3702" t="s">
        <v>589</v>
      </c>
      <c r="AV15" s="3703"/>
      <c r="AW15" s="3704"/>
      <c r="AX15" s="3702" t="s">
        <v>590</v>
      </c>
      <c r="AY15" s="3703"/>
      <c r="AZ15" s="3704"/>
      <c r="BA15" s="3712" t="s">
        <v>1692</v>
      </c>
      <c r="BB15" s="3713"/>
      <c r="BC15" s="3714"/>
      <c r="BD15" s="3715" t="s">
        <v>3581</v>
      </c>
      <c r="BE15" s="3716"/>
      <c r="BF15" s="3717"/>
      <c r="BG15" s="3715" t="s">
        <v>1692</v>
      </c>
      <c r="BH15" s="3716"/>
      <c r="BI15" s="3717"/>
      <c r="BJ15" s="3715" t="s">
        <v>3583</v>
      </c>
      <c r="BK15" s="3716"/>
      <c r="BL15" s="3717"/>
      <c r="BM15" s="3709" t="s">
        <v>3581</v>
      </c>
      <c r="BN15" s="3710"/>
      <c r="BO15" s="3711"/>
      <c r="BP15" s="3709" t="s">
        <v>591</v>
      </c>
      <c r="BQ15" s="3710"/>
      <c r="BR15" s="3711"/>
      <c r="BS15" s="3709" t="s">
        <v>592</v>
      </c>
      <c r="BT15" s="3710"/>
      <c r="BU15" s="3711"/>
      <c r="BV15" s="3709" t="s">
        <v>593</v>
      </c>
      <c r="BW15" s="3710"/>
      <c r="BX15" s="3711"/>
      <c r="BY15" s="3709" t="s">
        <v>1692</v>
      </c>
      <c r="BZ15" s="3710"/>
      <c r="CA15" s="3710"/>
      <c r="CB15" s="3718" t="s">
        <v>3581</v>
      </c>
      <c r="CC15" s="3721"/>
      <c r="CD15" s="3722"/>
      <c r="CE15" s="3718" t="s">
        <v>1692</v>
      </c>
      <c r="CF15" s="3721"/>
      <c r="CG15" s="3722"/>
      <c r="CH15" s="3718" t="s">
        <v>3583</v>
      </c>
      <c r="CI15" s="3719"/>
      <c r="CJ15" s="3720"/>
    </row>
    <row r="16" spans="1:89" ht="25.5" customHeight="1" x14ac:dyDescent="0.2">
      <c r="A16" s="3724"/>
      <c r="B16" s="3095" t="s">
        <v>627</v>
      </c>
      <c r="C16" s="3095" t="s">
        <v>3668</v>
      </c>
      <c r="D16" s="3095" t="s">
        <v>3669</v>
      </c>
      <c r="E16" s="3095" t="s">
        <v>627</v>
      </c>
      <c r="F16" s="3095" t="s">
        <v>3668</v>
      </c>
      <c r="G16" s="3095" t="s">
        <v>3669</v>
      </c>
      <c r="H16" s="3095" t="s">
        <v>627</v>
      </c>
      <c r="I16" s="3095" t="s">
        <v>3668</v>
      </c>
      <c r="J16" s="3095" t="s">
        <v>3669</v>
      </c>
      <c r="K16" s="3095" t="s">
        <v>627</v>
      </c>
      <c r="L16" s="3095" t="s">
        <v>3668</v>
      </c>
      <c r="M16" s="3095" t="s">
        <v>3669</v>
      </c>
      <c r="N16" s="3095" t="s">
        <v>627</v>
      </c>
      <c r="O16" s="3095" t="s">
        <v>3668</v>
      </c>
      <c r="P16" s="3095" t="s">
        <v>3669</v>
      </c>
      <c r="Q16" s="3095" t="s">
        <v>627</v>
      </c>
      <c r="R16" s="3095" t="s">
        <v>3668</v>
      </c>
      <c r="S16" s="3095" t="s">
        <v>3669</v>
      </c>
      <c r="T16" s="3095" t="s">
        <v>627</v>
      </c>
      <c r="U16" s="3095" t="s">
        <v>3668</v>
      </c>
      <c r="V16" s="3095" t="s">
        <v>3669</v>
      </c>
      <c r="W16" s="3095" t="s">
        <v>627</v>
      </c>
      <c r="X16" s="3095" t="s">
        <v>3668</v>
      </c>
      <c r="Y16" s="3095" t="s">
        <v>3669</v>
      </c>
      <c r="Z16" s="3095" t="s">
        <v>627</v>
      </c>
      <c r="AA16" s="3095" t="s">
        <v>3668</v>
      </c>
      <c r="AB16" s="3095" t="s">
        <v>3669</v>
      </c>
      <c r="AC16" s="3095" t="s">
        <v>627</v>
      </c>
      <c r="AD16" s="3095" t="s">
        <v>3668</v>
      </c>
      <c r="AE16" s="3095" t="s">
        <v>3669</v>
      </c>
      <c r="AF16" s="3096" t="s">
        <v>627</v>
      </c>
      <c r="AG16" s="3096" t="s">
        <v>3668</v>
      </c>
      <c r="AH16" s="3096" t="s">
        <v>3669</v>
      </c>
      <c r="AI16" s="3096" t="s">
        <v>627</v>
      </c>
      <c r="AJ16" s="3096" t="s">
        <v>3668</v>
      </c>
      <c r="AK16" s="3096" t="s">
        <v>3669</v>
      </c>
      <c r="AL16" s="3096" t="s">
        <v>627</v>
      </c>
      <c r="AM16" s="3096" t="s">
        <v>3668</v>
      </c>
      <c r="AN16" s="3096" t="s">
        <v>3669</v>
      </c>
      <c r="AO16" s="3095" t="s">
        <v>627</v>
      </c>
      <c r="AP16" s="3095" t="s">
        <v>3668</v>
      </c>
      <c r="AQ16" s="3095" t="s">
        <v>3669</v>
      </c>
      <c r="AR16" s="3095" t="s">
        <v>627</v>
      </c>
      <c r="AS16" s="3095" t="s">
        <v>3668</v>
      </c>
      <c r="AT16" s="3095" t="s">
        <v>3669</v>
      </c>
      <c r="AU16" s="3095" t="s">
        <v>627</v>
      </c>
      <c r="AV16" s="3095" t="s">
        <v>3668</v>
      </c>
      <c r="AW16" s="3095" t="s">
        <v>3669</v>
      </c>
      <c r="AX16" s="3095" t="s">
        <v>627</v>
      </c>
      <c r="AY16" s="3095" t="s">
        <v>3668</v>
      </c>
      <c r="AZ16" s="3095" t="s">
        <v>3669</v>
      </c>
      <c r="BA16" s="3095" t="s">
        <v>627</v>
      </c>
      <c r="BB16" s="3095" t="s">
        <v>3668</v>
      </c>
      <c r="BC16" s="3095" t="s">
        <v>3669</v>
      </c>
      <c r="BD16" s="3096" t="s">
        <v>627</v>
      </c>
      <c r="BE16" s="3096" t="s">
        <v>3668</v>
      </c>
      <c r="BF16" s="3096" t="s">
        <v>3669</v>
      </c>
      <c r="BG16" s="3096" t="s">
        <v>627</v>
      </c>
      <c r="BH16" s="3096" t="s">
        <v>3668</v>
      </c>
      <c r="BI16" s="3096" t="s">
        <v>3669</v>
      </c>
      <c r="BJ16" s="3096" t="s">
        <v>627</v>
      </c>
      <c r="BK16" s="3096" t="s">
        <v>3668</v>
      </c>
      <c r="BL16" s="3096" t="s">
        <v>3669</v>
      </c>
      <c r="BM16" s="3095" t="s">
        <v>627</v>
      </c>
      <c r="BN16" s="3095" t="s">
        <v>3668</v>
      </c>
      <c r="BO16" s="3095" t="s">
        <v>3669</v>
      </c>
      <c r="BP16" s="3095" t="s">
        <v>627</v>
      </c>
      <c r="BQ16" s="3095" t="s">
        <v>3668</v>
      </c>
      <c r="BR16" s="3095" t="s">
        <v>3669</v>
      </c>
      <c r="BS16" s="3095" t="s">
        <v>627</v>
      </c>
      <c r="BT16" s="3095" t="s">
        <v>3668</v>
      </c>
      <c r="BU16" s="3095" t="s">
        <v>3669</v>
      </c>
      <c r="BV16" s="3095" t="s">
        <v>627</v>
      </c>
      <c r="BW16" s="3095" t="s">
        <v>3668</v>
      </c>
      <c r="BX16" s="3095" t="s">
        <v>3669</v>
      </c>
      <c r="BY16" s="3095" t="s">
        <v>627</v>
      </c>
      <c r="BZ16" s="3095" t="s">
        <v>3668</v>
      </c>
      <c r="CA16" s="3095" t="s">
        <v>3669</v>
      </c>
      <c r="CB16" s="3096" t="s">
        <v>627</v>
      </c>
      <c r="CC16" s="3096" t="s">
        <v>3668</v>
      </c>
      <c r="CD16" s="3096" t="s">
        <v>3669</v>
      </c>
      <c r="CE16" s="3096" t="s">
        <v>627</v>
      </c>
      <c r="CF16" s="3096" t="s">
        <v>3668</v>
      </c>
      <c r="CG16" s="3096" t="s">
        <v>3669</v>
      </c>
      <c r="CH16" s="3096" t="s">
        <v>627</v>
      </c>
      <c r="CI16" s="3096" t="s">
        <v>3668</v>
      </c>
      <c r="CJ16" s="3096" t="s">
        <v>3669</v>
      </c>
    </row>
    <row r="17" spans="1:91" ht="18.75" customHeight="1" x14ac:dyDescent="0.3">
      <c r="A17" s="3106" t="s">
        <v>0</v>
      </c>
      <c r="B17" s="3251">
        <f>SUM(C17:D17)</f>
        <v>3995.1285135662706</v>
      </c>
      <c r="C17" s="3251">
        <f t="shared" ref="C17:D17" si="75">SUM(C18:C23)+C25</f>
        <v>3995.1285135662706</v>
      </c>
      <c r="D17" s="3251">
        <f t="shared" si="75"/>
        <v>0</v>
      </c>
      <c r="E17" s="3156">
        <f>SUM(F17:G17)</f>
        <v>1229.69</v>
      </c>
      <c r="F17" s="3156">
        <f t="shared" ref="F17:G17" si="76">SUM(F18:F23)+F25</f>
        <v>1229.69</v>
      </c>
      <c r="G17" s="3156">
        <f t="shared" si="76"/>
        <v>0</v>
      </c>
      <c r="H17" s="3156">
        <f>SUM(I17:J17)</f>
        <v>1179.81</v>
      </c>
      <c r="I17" s="3156">
        <f t="shared" ref="I17" si="77">SUM(I18:I23)+I25</f>
        <v>1179.81</v>
      </c>
      <c r="J17" s="3156">
        <f t="shared" ref="J17" si="78">SUM(J18:J23)+J25</f>
        <v>0</v>
      </c>
      <c r="K17" s="3156">
        <f>SUM(L17:M17)</f>
        <v>1231.68</v>
      </c>
      <c r="L17" s="3156">
        <f t="shared" ref="L17" si="79">SUM(L18:L23)+L25</f>
        <v>1231.68</v>
      </c>
      <c r="M17" s="3156">
        <f t="shared" ref="M17" si="80">SUM(M18:M23)+M25</f>
        <v>0</v>
      </c>
      <c r="N17" s="3156">
        <f>SUM(O17:P17)</f>
        <v>3641.1800000000003</v>
      </c>
      <c r="O17" s="3156">
        <f t="shared" ref="O17" si="81">SUM(O18:O23)+O25</f>
        <v>3641.1800000000003</v>
      </c>
      <c r="P17" s="3156">
        <f t="shared" ref="P17" si="82">SUM(P18:P23)+P25</f>
        <v>0</v>
      </c>
      <c r="Q17" s="3251">
        <f>SUM(R17:S17)</f>
        <v>3995.1285135662706</v>
      </c>
      <c r="R17" s="3251">
        <f t="shared" ref="R17" si="83">SUM(R18:R23)+R25</f>
        <v>3995.1285135662706</v>
      </c>
      <c r="S17" s="3251">
        <f t="shared" ref="S17" si="84">SUM(S18:S23)+S25</f>
        <v>0</v>
      </c>
      <c r="T17" s="3156">
        <f>SUM(U17:V17)</f>
        <v>1531.9499999999998</v>
      </c>
      <c r="U17" s="3156">
        <f t="shared" ref="U17" si="85">SUM(U18:U23)+U25</f>
        <v>1531.9499999999998</v>
      </c>
      <c r="V17" s="3156">
        <f t="shared" ref="V17" si="86">SUM(V18:V23)+V25</f>
        <v>0</v>
      </c>
      <c r="W17" s="3156">
        <f>SUM(X17:Y17)</f>
        <v>1623.0400000000002</v>
      </c>
      <c r="X17" s="3156">
        <f t="shared" ref="X17" si="87">SUM(X18:X23)+X25</f>
        <v>1623.0400000000002</v>
      </c>
      <c r="Y17" s="3156">
        <f t="shared" ref="Y17" si="88">SUM(Y18:Y23)+Y25</f>
        <v>0</v>
      </c>
      <c r="Z17" s="3156">
        <f>SUM(AA17:AB17)</f>
        <v>1109.8300000000002</v>
      </c>
      <c r="AA17" s="3156">
        <f t="shared" ref="AA17" si="89">SUM(AA18:AA23)+AA25</f>
        <v>1109.8300000000002</v>
      </c>
      <c r="AB17" s="3156">
        <f t="shared" ref="AB17" si="90">SUM(AB18:AB23)+AB25</f>
        <v>0</v>
      </c>
      <c r="AC17" s="3156">
        <f>SUM(AD17:AE17)</f>
        <v>4264.82</v>
      </c>
      <c r="AD17" s="3156">
        <f t="shared" ref="AD17" si="91">SUM(AD18:AD23)+AD25</f>
        <v>4264.82</v>
      </c>
      <c r="AE17" s="3156">
        <f t="shared" ref="AE17" si="92">SUM(AE18:AE23)+AE25</f>
        <v>0</v>
      </c>
      <c r="AF17" s="3206">
        <f t="shared" ref="AF17" si="93">SUM(AG17:AH17)</f>
        <v>7990.2570271325412</v>
      </c>
      <c r="AG17" s="3206">
        <f t="shared" ref="AG17" si="94">SUM(C17+R17)</f>
        <v>7990.2570271325412</v>
      </c>
      <c r="AH17" s="3206">
        <f t="shared" ref="AH17" si="95">SUM(D17+S17)</f>
        <v>0</v>
      </c>
      <c r="AI17" s="3193">
        <f t="shared" ref="AI17:AI23" si="96">SUM(AC17+N17)</f>
        <v>7906</v>
      </c>
      <c r="AJ17" s="3193">
        <f t="shared" ref="AJ17:AJ23" si="97">SUM(AD17+O17)</f>
        <v>7906</v>
      </c>
      <c r="AK17" s="3193">
        <f t="shared" ref="AK17:AK23" si="98">SUM(AE17+P17)</f>
        <v>0</v>
      </c>
      <c r="AL17" s="3193">
        <f t="shared" ref="AL17:AL24" si="99">SUM(AI17-AF17)</f>
        <v>-84.257027132541225</v>
      </c>
      <c r="AM17" s="3193">
        <f t="shared" ref="AM17:AM24" si="100">SUM(AJ17-AG17)</f>
        <v>-84.257027132541225</v>
      </c>
      <c r="AN17" s="3193">
        <f t="shared" ref="AN17:AN24" si="101">SUM(AK17-AH17)</f>
        <v>0</v>
      </c>
      <c r="AO17" s="3251">
        <f>SUM(AP17:AQ17)</f>
        <v>4019.6501926401265</v>
      </c>
      <c r="AP17" s="3251">
        <f t="shared" ref="AP17" si="102">SUM(AP18:AP23)+AP25</f>
        <v>4019.6501926401265</v>
      </c>
      <c r="AQ17" s="3251">
        <f t="shared" ref="AQ17" si="103">SUM(AQ18:AQ23)+AQ25</f>
        <v>0</v>
      </c>
      <c r="AR17" s="3156">
        <f>SUM(AS17:AT17)</f>
        <v>1306.98</v>
      </c>
      <c r="AS17" s="3156">
        <f t="shared" ref="AS17" si="104">SUM(AS18:AS23)+AS25</f>
        <v>1306.98</v>
      </c>
      <c r="AT17" s="3156">
        <f t="shared" ref="AT17" si="105">SUM(AT18:AT23)+AT25</f>
        <v>0</v>
      </c>
      <c r="AU17" s="3156">
        <f>SUM(AV17:AW17)</f>
        <v>1425.2299999999998</v>
      </c>
      <c r="AV17" s="3156">
        <f t="shared" ref="AV17" si="106">SUM(AV18:AV23)+AV25</f>
        <v>1425.2299999999998</v>
      </c>
      <c r="AW17" s="3156">
        <f t="shared" ref="AW17" si="107">SUM(AW18:AW23)+AW25</f>
        <v>0</v>
      </c>
      <c r="AX17" s="3156">
        <f>SUM(AY17:AZ17)</f>
        <v>1591.0400000000002</v>
      </c>
      <c r="AY17" s="3156">
        <f t="shared" ref="AY17" si="108">SUM(AY18:AY23)+AY25</f>
        <v>1591.0400000000002</v>
      </c>
      <c r="AZ17" s="3156">
        <f t="shared" ref="AZ17" si="109">SUM(AZ18:AZ23)+AZ25</f>
        <v>0</v>
      </c>
      <c r="BA17" s="3156">
        <f>SUM(BB17:BC17)</f>
        <v>4323.25</v>
      </c>
      <c r="BB17" s="3156">
        <f t="shared" ref="BB17" si="110">SUM(BB18:BB23)+BB25</f>
        <v>4323.25</v>
      </c>
      <c r="BC17" s="3156">
        <f t="shared" ref="BC17" si="111">SUM(BC18:BC23)+BC25</f>
        <v>0</v>
      </c>
      <c r="BD17" s="3206">
        <f t="shared" ref="BD17" si="112">SUM(BE17:BF17)</f>
        <v>12009.907219772667</v>
      </c>
      <c r="BE17" s="3206">
        <f t="shared" ref="BE17" si="113">SUM(AG17+AP17)</f>
        <v>12009.907219772667</v>
      </c>
      <c r="BF17" s="3206">
        <f t="shared" ref="BF17" si="114">SUM(AH17+AQ17)</f>
        <v>0</v>
      </c>
      <c r="BG17" s="3193">
        <f t="shared" ref="BG17:BG23" si="115">SUM(AI17+BA17)</f>
        <v>12229.25</v>
      </c>
      <c r="BH17" s="3193">
        <f t="shared" ref="BH17:BH23" si="116">SUM(AJ17+BB17)</f>
        <v>12229.25</v>
      </c>
      <c r="BI17" s="3193">
        <f t="shared" ref="BI17:BI23" si="117">SUM(AK17+BC17)</f>
        <v>0</v>
      </c>
      <c r="BJ17" s="3193">
        <f t="shared" ref="BJ17:BJ24" si="118">SUM(BG17-BD17)</f>
        <v>219.3427802273327</v>
      </c>
      <c r="BK17" s="3193">
        <f t="shared" ref="BK17:BK24" si="119">SUM(BH17-BE17)</f>
        <v>219.3427802273327</v>
      </c>
      <c r="BL17" s="3193">
        <f t="shared" ref="BL17:BL24" si="120">SUM(BI17-BF17)</f>
        <v>0</v>
      </c>
      <c r="BM17" s="3251">
        <f>SUM(BN17:BO17)</f>
        <v>4019.6501926401265</v>
      </c>
      <c r="BN17" s="3251">
        <f t="shared" ref="BN17" si="121">SUM(BN18:BN23)+BN25</f>
        <v>4019.6501926401265</v>
      </c>
      <c r="BO17" s="3251">
        <f t="shared" ref="BO17" si="122">SUM(BO18:BO23)+BO25</f>
        <v>0</v>
      </c>
      <c r="BP17" s="3156">
        <f>SUM(BQ17:BR17)</f>
        <v>0</v>
      </c>
      <c r="BQ17" s="3156">
        <f t="shared" ref="BQ17" si="123">SUM(BQ18:BQ23)+BQ25</f>
        <v>0</v>
      </c>
      <c r="BR17" s="3156">
        <f t="shared" ref="BR17" si="124">SUM(BR18:BR23)+BR25</f>
        <v>0</v>
      </c>
      <c r="BS17" s="3156">
        <f>SUM(BT17:BU17)</f>
        <v>0</v>
      </c>
      <c r="BT17" s="3156">
        <f t="shared" ref="BT17" si="125">SUM(BT18:BT23)+BT25</f>
        <v>0</v>
      </c>
      <c r="BU17" s="3156">
        <f t="shared" ref="BU17" si="126">SUM(BU18:BU23)+BU25</f>
        <v>0</v>
      </c>
      <c r="BV17" s="3156">
        <f>SUM(BW17:BX17)</f>
        <v>0</v>
      </c>
      <c r="BW17" s="3156">
        <f t="shared" ref="BW17" si="127">SUM(BW18:BW23)+BW25</f>
        <v>0</v>
      </c>
      <c r="BX17" s="3156">
        <f t="shared" ref="BX17" si="128">SUM(BX18:BX23)+BX25</f>
        <v>0</v>
      </c>
      <c r="BY17" s="3156">
        <f>SUM(BZ17:CA17)</f>
        <v>0</v>
      </c>
      <c r="BZ17" s="3156">
        <f t="shared" ref="BZ17" si="129">SUM(BZ18:BZ23)+BZ25</f>
        <v>0</v>
      </c>
      <c r="CA17" s="3156">
        <f t="shared" ref="CA17" si="130">SUM(CA18:CA23)+CA25</f>
        <v>0</v>
      </c>
      <c r="CB17" s="3206">
        <f>SUM(CC17:CD17)</f>
        <v>16029.557414856392</v>
      </c>
      <c r="CC17" s="3285">
        <f>SUM(стоки!BN8+стоки!BN49)</f>
        <v>16029.557414856392</v>
      </c>
      <c r="CD17" s="3285">
        <f>SUM(стоки!BO8)</f>
        <v>0</v>
      </c>
      <c r="CE17" s="3193">
        <f t="shared" ref="CE17:CE23" si="131">SUM(BY17+BG17)</f>
        <v>12229.25</v>
      </c>
      <c r="CF17" s="3193">
        <f t="shared" ref="CF17:CF23" si="132">SUM(BZ17+BH17)</f>
        <v>12229.25</v>
      </c>
      <c r="CG17" s="3193">
        <f t="shared" ref="CG17:CG23" si="133">SUM(CA17+BI17)</f>
        <v>0</v>
      </c>
      <c r="CH17" s="3193">
        <f t="shared" ref="CH17:CH35" si="134">SUM(CE17-CB17)</f>
        <v>-3800.3074148563919</v>
      </c>
      <c r="CI17" s="3193">
        <f t="shared" ref="CI17:CI24" si="135">SUM(CF17-CC17)</f>
        <v>-3800.3074148563919</v>
      </c>
      <c r="CJ17" s="3193">
        <f t="shared" ref="CJ17:CJ24" si="136">SUM(CG17-CD17)</f>
        <v>0</v>
      </c>
      <c r="CK17" s="3261"/>
      <c r="CL17" s="3261"/>
      <c r="CM17" s="3261"/>
    </row>
    <row r="18" spans="1:91" ht="18.75" customHeight="1" x14ac:dyDescent="0.3">
      <c r="A18" s="3111" t="s">
        <v>1</v>
      </c>
      <c r="B18" s="3208">
        <f t="shared" ref="B18:B19" si="137">SUM(C18:D18)</f>
        <v>415.62167921789103</v>
      </c>
      <c r="C18" s="3208">
        <f>SUM(CC18/2)/(1+(105.9%*100-100)/2/100)/6*3</f>
        <v>415.62167921789103</v>
      </c>
      <c r="D18" s="3208">
        <f>SUM(CD18/2)/(1+(105.9%*100-100)/2/100)/6*3</f>
        <v>0</v>
      </c>
      <c r="E18" s="3136">
        <f t="shared" ref="E18:E43" si="138">SUM(F18:G18)</f>
        <v>149.09</v>
      </c>
      <c r="F18" s="3137">
        <v>149.09</v>
      </c>
      <c r="G18" s="3137"/>
      <c r="H18" s="3136">
        <f t="shared" ref="H18:H23" si="139">SUM(I18:J18)</f>
        <v>130.27000000000001</v>
      </c>
      <c r="I18" s="3137">
        <v>130.27000000000001</v>
      </c>
      <c r="J18" s="3137"/>
      <c r="K18" s="3136">
        <f t="shared" ref="K18:K23" si="140">SUM(L18:M18)</f>
        <v>135.69999999999999</v>
      </c>
      <c r="L18" s="3137">
        <v>135.69999999999999</v>
      </c>
      <c r="M18" s="3137"/>
      <c r="N18" s="3136">
        <f>SUM(O18:P18)</f>
        <v>415.06</v>
      </c>
      <c r="O18" s="3136">
        <f>SUM(F18+I18+L18)</f>
        <v>415.06</v>
      </c>
      <c r="P18" s="3136">
        <f>SUM(G18+J18+M18)</f>
        <v>0</v>
      </c>
      <c r="Q18" s="3208">
        <f t="shared" ref="Q18" si="141">SUM(R18:S18)</f>
        <v>415.62167921789103</v>
      </c>
      <c r="R18" s="3208">
        <f t="shared" ref="R18:S18" si="142">SUM(C18)</f>
        <v>415.62167921789103</v>
      </c>
      <c r="S18" s="3208">
        <f t="shared" si="142"/>
        <v>0</v>
      </c>
      <c r="T18" s="3136">
        <f t="shared" ref="T18:T23" si="143">SUM(U18:V18)</f>
        <v>192.8</v>
      </c>
      <c r="U18" s="3137">
        <v>192.8</v>
      </c>
      <c r="V18" s="3137"/>
      <c r="W18" s="3136">
        <f t="shared" ref="W18:W23" si="144">SUM(X18:Y18)</f>
        <v>121.76</v>
      </c>
      <c r="X18" s="3137">
        <v>121.76</v>
      </c>
      <c r="Y18" s="3137"/>
      <c r="Z18" s="3136">
        <f t="shared" ref="Z18:Z23" si="145">SUM(AA18:AB18)</f>
        <v>76.08</v>
      </c>
      <c r="AA18" s="3137">
        <v>76.08</v>
      </c>
      <c r="AB18" s="3137"/>
      <c r="AC18" s="3136">
        <f>SUM(AD18:AE18)</f>
        <v>390.64</v>
      </c>
      <c r="AD18" s="3136">
        <f>SUM(U18+X18+AA18)</f>
        <v>390.64</v>
      </c>
      <c r="AE18" s="3136">
        <f>SUM(V18+Y18+AB18)</f>
        <v>0</v>
      </c>
      <c r="AF18" s="3209">
        <f t="shared" ref="AF18" si="146">SUM(AG18:AH18)</f>
        <v>831.24335843578206</v>
      </c>
      <c r="AG18" s="3209">
        <f t="shared" ref="AG18" si="147">SUM(C18+R18)</f>
        <v>831.24335843578206</v>
      </c>
      <c r="AH18" s="3209">
        <f t="shared" ref="AH18" si="148">SUM(D18+S18)</f>
        <v>0</v>
      </c>
      <c r="AI18" s="3264">
        <f t="shared" si="96"/>
        <v>805.7</v>
      </c>
      <c r="AJ18" s="3264">
        <f t="shared" si="97"/>
        <v>805.7</v>
      </c>
      <c r="AK18" s="3264">
        <f t="shared" si="98"/>
        <v>0</v>
      </c>
      <c r="AL18" s="3264">
        <f t="shared" si="99"/>
        <v>-25.543358435782011</v>
      </c>
      <c r="AM18" s="3264">
        <f t="shared" si="100"/>
        <v>-25.543358435782011</v>
      </c>
      <c r="AN18" s="3264">
        <f t="shared" si="101"/>
        <v>0</v>
      </c>
      <c r="AO18" s="3208">
        <f t="shared" ref="AO18:AO23" si="149">SUM(AP18:AQ18)</f>
        <v>440.14335829174672</v>
      </c>
      <c r="AP18" s="3208">
        <f t="shared" ref="AP18:AQ23" si="150">SUM(CC18-AG18)/2</f>
        <v>440.14335829174672</v>
      </c>
      <c r="AQ18" s="3208">
        <f t="shared" si="150"/>
        <v>0</v>
      </c>
      <c r="AR18" s="3136">
        <f t="shared" ref="AR18:AR23" si="151">SUM(AS18:AT18)</f>
        <v>98.82</v>
      </c>
      <c r="AS18" s="3137">
        <v>98.82</v>
      </c>
      <c r="AT18" s="3137"/>
      <c r="AU18" s="3136">
        <f t="shared" ref="AU18:AU23" si="152">SUM(AV18:AW18)</f>
        <v>143.51</v>
      </c>
      <c r="AV18" s="3137">
        <v>143.51</v>
      </c>
      <c r="AW18" s="3137"/>
      <c r="AX18" s="3136">
        <f t="shared" ref="AX18:AX23" si="153">SUM(AY18:AZ18)</f>
        <v>120.7</v>
      </c>
      <c r="AY18" s="3137">
        <v>120.7</v>
      </c>
      <c r="AZ18" s="3137"/>
      <c r="BA18" s="3136">
        <f>SUM(BB18:BC18)</f>
        <v>363.03</v>
      </c>
      <c r="BB18" s="3136">
        <f>SUM(AS18+AV18+AY18)</f>
        <v>363.03</v>
      </c>
      <c r="BC18" s="3136">
        <f>SUM(AT18+AW18+AZ18)</f>
        <v>0</v>
      </c>
      <c r="BD18" s="3209">
        <f t="shared" ref="BD18" si="154">SUM(BE18:BF18)</f>
        <v>1271.3867167275289</v>
      </c>
      <c r="BE18" s="3209">
        <f t="shared" ref="BE18:BF18" si="155">SUM(AG18+AP18)</f>
        <v>1271.3867167275289</v>
      </c>
      <c r="BF18" s="3209">
        <f t="shared" si="155"/>
        <v>0</v>
      </c>
      <c r="BG18" s="3264">
        <f t="shared" si="115"/>
        <v>1168.73</v>
      </c>
      <c r="BH18" s="3264">
        <f t="shared" si="116"/>
        <v>1168.73</v>
      </c>
      <c r="BI18" s="3264">
        <f t="shared" si="117"/>
        <v>0</v>
      </c>
      <c r="BJ18" s="3264">
        <f t="shared" si="118"/>
        <v>-102.65671672752887</v>
      </c>
      <c r="BK18" s="3264">
        <f t="shared" si="119"/>
        <v>-102.65671672752887</v>
      </c>
      <c r="BL18" s="3264">
        <f t="shared" si="120"/>
        <v>0</v>
      </c>
      <c r="BM18" s="3208">
        <f t="shared" ref="BM18:BM19" si="156">SUM(BN18:BO18)</f>
        <v>440.14335829174672</v>
      </c>
      <c r="BN18" s="3208">
        <f t="shared" ref="BN18:BO19" si="157">SUM(AP18)</f>
        <v>440.14335829174672</v>
      </c>
      <c r="BO18" s="3208">
        <f t="shared" si="157"/>
        <v>0</v>
      </c>
      <c r="BP18" s="3136">
        <f>SUM(BQ18:BR18)</f>
        <v>0</v>
      </c>
      <c r="BQ18" s="3137"/>
      <c r="BR18" s="3137"/>
      <c r="BS18" s="3136">
        <f>SUM(BT18:BU18)</f>
        <v>0</v>
      </c>
      <c r="BT18" s="3137"/>
      <c r="BU18" s="3137"/>
      <c r="BV18" s="3136">
        <f>SUM(BW18:BX18)</f>
        <v>0</v>
      </c>
      <c r="BW18" s="3137"/>
      <c r="BX18" s="3137"/>
      <c r="BY18" s="3136">
        <f>SUM(BZ18:CA18)</f>
        <v>0</v>
      </c>
      <c r="BZ18" s="3136">
        <f>SUM(BQ18+BT18+BW18)</f>
        <v>0</v>
      </c>
      <c r="CA18" s="3136">
        <f>SUM(BR18+BU18+BX18)</f>
        <v>0</v>
      </c>
      <c r="CB18" s="3209">
        <f t="shared" ref="CB18:CB81" si="158">SUM(CC18:CD18)</f>
        <v>1711.5300750192755</v>
      </c>
      <c r="CC18" s="3286">
        <f>SUM(стоки!BN9)</f>
        <v>1711.5300750192755</v>
      </c>
      <c r="CD18" s="3286">
        <f>SUM(стоки!BO9)</f>
        <v>0</v>
      </c>
      <c r="CE18" s="3264">
        <f t="shared" si="131"/>
        <v>1168.73</v>
      </c>
      <c r="CF18" s="3264">
        <f t="shared" si="132"/>
        <v>1168.73</v>
      </c>
      <c r="CG18" s="3264">
        <f t="shared" si="133"/>
        <v>0</v>
      </c>
      <c r="CH18" s="3264">
        <f t="shared" si="134"/>
        <v>-542.80007501927548</v>
      </c>
      <c r="CI18" s="3264">
        <f t="shared" si="135"/>
        <v>-542.80007501927548</v>
      </c>
      <c r="CJ18" s="3264">
        <f t="shared" si="136"/>
        <v>0</v>
      </c>
      <c r="CK18" s="3259"/>
      <c r="CL18" s="3259"/>
      <c r="CM18" s="3259"/>
    </row>
    <row r="19" spans="1:91" ht="18.75" customHeight="1" x14ac:dyDescent="0.3">
      <c r="A19" s="3111" t="s">
        <v>2</v>
      </c>
      <c r="B19" s="3208">
        <f t="shared" si="137"/>
        <v>124.7225</v>
      </c>
      <c r="C19" s="3208">
        <f t="shared" ref="C19:D19" si="159">SUM(CC19/4)</f>
        <v>124.7225</v>
      </c>
      <c r="D19" s="3208">
        <f t="shared" si="159"/>
        <v>0</v>
      </c>
      <c r="E19" s="3136">
        <f t="shared" si="138"/>
        <v>30.69</v>
      </c>
      <c r="F19" s="3137">
        <v>30.69</v>
      </c>
      <c r="G19" s="3137"/>
      <c r="H19" s="3136">
        <f t="shared" si="139"/>
        <v>30.69</v>
      </c>
      <c r="I19" s="3137">
        <v>30.69</v>
      </c>
      <c r="J19" s="3137"/>
      <c r="K19" s="3136">
        <f t="shared" si="140"/>
        <v>30.69</v>
      </c>
      <c r="L19" s="3137">
        <v>30.69</v>
      </c>
      <c r="M19" s="3137"/>
      <c r="N19" s="3136">
        <f t="shared" ref="N19:N23" si="160">SUM(O19:P19)</f>
        <v>92.070000000000007</v>
      </c>
      <c r="O19" s="3136">
        <f t="shared" ref="O19:O23" si="161">SUM(F19+I19+L19)</f>
        <v>92.070000000000007</v>
      </c>
      <c r="P19" s="3136">
        <f t="shared" ref="P19:P23" si="162">SUM(G19+J19+M19)</f>
        <v>0</v>
      </c>
      <c r="Q19" s="3208">
        <f t="shared" ref="Q19:Q23" si="163">SUM(R19:S19)</f>
        <v>124.7225</v>
      </c>
      <c r="R19" s="3208">
        <f t="shared" ref="R19:R23" si="164">SUM(C19)</f>
        <v>124.7225</v>
      </c>
      <c r="S19" s="3208">
        <f t="shared" ref="S19:S23" si="165">SUM(D19)</f>
        <v>0</v>
      </c>
      <c r="T19" s="3136">
        <f t="shared" si="143"/>
        <v>27.3</v>
      </c>
      <c r="U19" s="3137">
        <v>27.3</v>
      </c>
      <c r="V19" s="3137"/>
      <c r="W19" s="3136">
        <f t="shared" si="144"/>
        <v>28.21</v>
      </c>
      <c r="X19" s="3137">
        <v>28.21</v>
      </c>
      <c r="Y19" s="3137"/>
      <c r="Z19" s="3136">
        <f t="shared" si="145"/>
        <v>28.21</v>
      </c>
      <c r="AA19" s="3137">
        <v>28.21</v>
      </c>
      <c r="AB19" s="3137"/>
      <c r="AC19" s="3136">
        <f t="shared" ref="AC19:AC43" si="166">SUM(AD19:AE19)</f>
        <v>83.72</v>
      </c>
      <c r="AD19" s="3136">
        <f t="shared" ref="AD19:AD23" si="167">SUM(U19+X19+AA19)</f>
        <v>83.72</v>
      </c>
      <c r="AE19" s="3136">
        <f t="shared" ref="AE19:AE23" si="168">SUM(V19+Y19+AB19)</f>
        <v>0</v>
      </c>
      <c r="AF19" s="3209">
        <f t="shared" ref="AF19:AF23" si="169">SUM(AG19:AH19)</f>
        <v>249.44499999999999</v>
      </c>
      <c r="AG19" s="3209">
        <f t="shared" ref="AG19:AG23" si="170">SUM(C19+R19)</f>
        <v>249.44499999999999</v>
      </c>
      <c r="AH19" s="3209">
        <f t="shared" ref="AH19:AH23" si="171">SUM(D19+S19)</f>
        <v>0</v>
      </c>
      <c r="AI19" s="3264">
        <f t="shared" si="96"/>
        <v>175.79000000000002</v>
      </c>
      <c r="AJ19" s="3264">
        <f t="shared" si="97"/>
        <v>175.79000000000002</v>
      </c>
      <c r="AK19" s="3264">
        <f t="shared" si="98"/>
        <v>0</v>
      </c>
      <c r="AL19" s="3264">
        <f t="shared" si="99"/>
        <v>-73.654999999999973</v>
      </c>
      <c r="AM19" s="3264">
        <f t="shared" si="100"/>
        <v>-73.654999999999973</v>
      </c>
      <c r="AN19" s="3264">
        <f t="shared" si="101"/>
        <v>0</v>
      </c>
      <c r="AO19" s="3208">
        <f t="shared" si="149"/>
        <v>124.7225</v>
      </c>
      <c r="AP19" s="3208">
        <f t="shared" si="150"/>
        <v>124.7225</v>
      </c>
      <c r="AQ19" s="3208">
        <f t="shared" si="150"/>
        <v>0</v>
      </c>
      <c r="AR19" s="3136">
        <f t="shared" si="151"/>
        <v>28.21</v>
      </c>
      <c r="AS19" s="3137">
        <v>28.21</v>
      </c>
      <c r="AT19" s="3137"/>
      <c r="AU19" s="3136">
        <f t="shared" si="152"/>
        <v>28.51</v>
      </c>
      <c r="AV19" s="3137">
        <v>28.51</v>
      </c>
      <c r="AW19" s="3137"/>
      <c r="AX19" s="3136">
        <f t="shared" si="153"/>
        <v>28.51</v>
      </c>
      <c r="AY19" s="3137">
        <v>28.51</v>
      </c>
      <c r="AZ19" s="3137"/>
      <c r="BA19" s="3136">
        <f t="shared" ref="BA19:BA23" si="172">SUM(BB19:BC19)</f>
        <v>85.23</v>
      </c>
      <c r="BB19" s="3136">
        <f t="shared" ref="BB19:BB23" si="173">SUM(AS19+AV19+AY19)</f>
        <v>85.23</v>
      </c>
      <c r="BC19" s="3136">
        <f t="shared" ref="BC19:BC23" si="174">SUM(AT19+AW19+AZ19)</f>
        <v>0</v>
      </c>
      <c r="BD19" s="3209">
        <f t="shared" ref="BD19:BD23" si="175">SUM(BE19:BF19)</f>
        <v>374.16750000000002</v>
      </c>
      <c r="BE19" s="3209">
        <f t="shared" ref="BE19:BE23" si="176">SUM(AG19+AP19)</f>
        <v>374.16750000000002</v>
      </c>
      <c r="BF19" s="3209">
        <f t="shared" ref="BF19:BF23" si="177">SUM(AH19+AQ19)</f>
        <v>0</v>
      </c>
      <c r="BG19" s="3264">
        <f t="shared" si="115"/>
        <v>261.02000000000004</v>
      </c>
      <c r="BH19" s="3264">
        <f t="shared" si="116"/>
        <v>261.02000000000004</v>
      </c>
      <c r="BI19" s="3264">
        <f t="shared" si="117"/>
        <v>0</v>
      </c>
      <c r="BJ19" s="3264">
        <f t="shared" si="118"/>
        <v>-113.14749999999998</v>
      </c>
      <c r="BK19" s="3264">
        <f t="shared" si="119"/>
        <v>-113.14749999999998</v>
      </c>
      <c r="BL19" s="3264">
        <f t="shared" si="120"/>
        <v>0</v>
      </c>
      <c r="BM19" s="3208">
        <f t="shared" si="156"/>
        <v>124.7225</v>
      </c>
      <c r="BN19" s="3208">
        <f t="shared" si="157"/>
        <v>124.7225</v>
      </c>
      <c r="BO19" s="3208">
        <f t="shared" si="157"/>
        <v>0</v>
      </c>
      <c r="BP19" s="3136">
        <f t="shared" ref="BP19:BP23" si="178">SUM(BQ19:BR19)</f>
        <v>0</v>
      </c>
      <c r="BQ19" s="3137"/>
      <c r="BR19" s="3137"/>
      <c r="BS19" s="3136">
        <f t="shared" ref="BS19:BS23" si="179">SUM(BT19:BU19)</f>
        <v>0</v>
      </c>
      <c r="BT19" s="3137"/>
      <c r="BU19" s="3137"/>
      <c r="BV19" s="3136">
        <f t="shared" ref="BV19:BV23" si="180">SUM(BW19:BX19)</f>
        <v>0</v>
      </c>
      <c r="BW19" s="3137"/>
      <c r="BX19" s="3137"/>
      <c r="BY19" s="3136">
        <f t="shared" ref="BY19:BY23" si="181">SUM(BZ19:CA19)</f>
        <v>0</v>
      </c>
      <c r="BZ19" s="3136">
        <f t="shared" ref="BZ19:BZ23" si="182">SUM(BQ19+BT19+BW19)</f>
        <v>0</v>
      </c>
      <c r="CA19" s="3136">
        <f t="shared" ref="CA19:CA23" si="183">SUM(BR19+BU19+BX19)</f>
        <v>0</v>
      </c>
      <c r="CB19" s="3209">
        <f t="shared" si="158"/>
        <v>498.89</v>
      </c>
      <c r="CC19" s="3286">
        <f>SUM(стоки!BN10)</f>
        <v>498.89</v>
      </c>
      <c r="CD19" s="3286">
        <f>SUM(стоки!BO10)</f>
        <v>0</v>
      </c>
      <c r="CE19" s="3264">
        <f t="shared" si="131"/>
        <v>261.02000000000004</v>
      </c>
      <c r="CF19" s="3264">
        <f t="shared" si="132"/>
        <v>261.02000000000004</v>
      </c>
      <c r="CG19" s="3264">
        <f t="shared" si="133"/>
        <v>0</v>
      </c>
      <c r="CH19" s="3264">
        <f t="shared" si="134"/>
        <v>-237.86999999999995</v>
      </c>
      <c r="CI19" s="3264">
        <f t="shared" si="135"/>
        <v>-237.86999999999995</v>
      </c>
      <c r="CJ19" s="3264">
        <f t="shared" si="136"/>
        <v>0</v>
      </c>
      <c r="CK19" s="3259"/>
      <c r="CL19" s="3259"/>
      <c r="CM19" s="3259"/>
    </row>
    <row r="20" spans="1:91" ht="18.75" customHeight="1" x14ac:dyDescent="0.3">
      <c r="A20" s="3072" t="s">
        <v>3589</v>
      </c>
      <c r="B20" s="3208">
        <f t="shared" ref="B20:B25" si="184">SUM(C20:D20)</f>
        <v>0</v>
      </c>
      <c r="C20" s="3208">
        <f t="shared" ref="C20:C23" si="185">SUM(CC20/4)</f>
        <v>0</v>
      </c>
      <c r="D20" s="3208">
        <f t="shared" ref="D20:D23" si="186">SUM(CD20/4)</f>
        <v>0</v>
      </c>
      <c r="E20" s="3136">
        <f t="shared" si="138"/>
        <v>0</v>
      </c>
      <c r="F20" s="3137"/>
      <c r="G20" s="3137"/>
      <c r="H20" s="3136">
        <f t="shared" si="139"/>
        <v>0</v>
      </c>
      <c r="I20" s="3137"/>
      <c r="J20" s="3137"/>
      <c r="K20" s="3136">
        <f t="shared" si="140"/>
        <v>0</v>
      </c>
      <c r="L20" s="3137"/>
      <c r="M20" s="3137"/>
      <c r="N20" s="3136">
        <f t="shared" si="160"/>
        <v>0</v>
      </c>
      <c r="O20" s="3136">
        <f t="shared" si="161"/>
        <v>0</v>
      </c>
      <c r="P20" s="3136">
        <f t="shared" si="162"/>
        <v>0</v>
      </c>
      <c r="Q20" s="3208">
        <f t="shared" si="163"/>
        <v>0</v>
      </c>
      <c r="R20" s="3208">
        <f t="shared" si="164"/>
        <v>0</v>
      </c>
      <c r="S20" s="3208">
        <f t="shared" si="165"/>
        <v>0</v>
      </c>
      <c r="T20" s="3136">
        <f t="shared" si="143"/>
        <v>0</v>
      </c>
      <c r="U20" s="3137"/>
      <c r="V20" s="3137"/>
      <c r="W20" s="3136">
        <f t="shared" si="144"/>
        <v>0</v>
      </c>
      <c r="X20" s="3137"/>
      <c r="Y20" s="3137"/>
      <c r="Z20" s="3136">
        <f t="shared" si="145"/>
        <v>0</v>
      </c>
      <c r="AA20" s="3137"/>
      <c r="AB20" s="3137"/>
      <c r="AC20" s="3136">
        <f t="shared" si="166"/>
        <v>0</v>
      </c>
      <c r="AD20" s="3136">
        <f t="shared" si="167"/>
        <v>0</v>
      </c>
      <c r="AE20" s="3136">
        <f t="shared" si="168"/>
        <v>0</v>
      </c>
      <c r="AF20" s="3209">
        <f t="shared" si="169"/>
        <v>0</v>
      </c>
      <c r="AG20" s="3209">
        <f t="shared" si="170"/>
        <v>0</v>
      </c>
      <c r="AH20" s="3209">
        <f t="shared" si="171"/>
        <v>0</v>
      </c>
      <c r="AI20" s="3264">
        <f t="shared" si="96"/>
        <v>0</v>
      </c>
      <c r="AJ20" s="3264">
        <f t="shared" si="97"/>
        <v>0</v>
      </c>
      <c r="AK20" s="3264">
        <f t="shared" si="98"/>
        <v>0</v>
      </c>
      <c r="AL20" s="3264">
        <f t="shared" si="99"/>
        <v>0</v>
      </c>
      <c r="AM20" s="3264">
        <f t="shared" si="100"/>
        <v>0</v>
      </c>
      <c r="AN20" s="3264">
        <f t="shared" si="101"/>
        <v>0</v>
      </c>
      <c r="AO20" s="3208">
        <f t="shared" si="149"/>
        <v>0</v>
      </c>
      <c r="AP20" s="3208">
        <f t="shared" si="150"/>
        <v>0</v>
      </c>
      <c r="AQ20" s="3208">
        <f t="shared" si="150"/>
        <v>0</v>
      </c>
      <c r="AR20" s="3136">
        <f t="shared" si="151"/>
        <v>0</v>
      </c>
      <c r="AS20" s="3137"/>
      <c r="AT20" s="3137"/>
      <c r="AU20" s="3136">
        <f t="shared" si="152"/>
        <v>0</v>
      </c>
      <c r="AV20" s="3137"/>
      <c r="AW20" s="3137"/>
      <c r="AX20" s="3136">
        <f t="shared" si="153"/>
        <v>0</v>
      </c>
      <c r="AY20" s="3137"/>
      <c r="AZ20" s="3137"/>
      <c r="BA20" s="3136">
        <f t="shared" si="172"/>
        <v>0</v>
      </c>
      <c r="BB20" s="3136">
        <f t="shared" si="173"/>
        <v>0</v>
      </c>
      <c r="BC20" s="3136">
        <f t="shared" si="174"/>
        <v>0</v>
      </c>
      <c r="BD20" s="3209">
        <f t="shared" si="175"/>
        <v>0</v>
      </c>
      <c r="BE20" s="3209">
        <f t="shared" si="176"/>
        <v>0</v>
      </c>
      <c r="BF20" s="3209">
        <f t="shared" si="177"/>
        <v>0</v>
      </c>
      <c r="BG20" s="3264">
        <f t="shared" si="115"/>
        <v>0</v>
      </c>
      <c r="BH20" s="3264">
        <f t="shared" si="116"/>
        <v>0</v>
      </c>
      <c r="BI20" s="3264">
        <f t="shared" si="117"/>
        <v>0</v>
      </c>
      <c r="BJ20" s="3264">
        <f t="shared" si="118"/>
        <v>0</v>
      </c>
      <c r="BK20" s="3264">
        <f t="shared" si="119"/>
        <v>0</v>
      </c>
      <c r="BL20" s="3264">
        <f t="shared" si="120"/>
        <v>0</v>
      </c>
      <c r="BM20" s="3208">
        <f t="shared" ref="BM20:BM23" si="187">SUM(BN20:BO20)</f>
        <v>0</v>
      </c>
      <c r="BN20" s="3208">
        <f t="shared" ref="BN20:BN23" si="188">SUM(AP20)</f>
        <v>0</v>
      </c>
      <c r="BO20" s="3208">
        <f t="shared" ref="BO20:BO23" si="189">SUM(AQ20)</f>
        <v>0</v>
      </c>
      <c r="BP20" s="3136">
        <f t="shared" si="178"/>
        <v>0</v>
      </c>
      <c r="BQ20" s="3137"/>
      <c r="BR20" s="3137"/>
      <c r="BS20" s="3136">
        <f t="shared" si="179"/>
        <v>0</v>
      </c>
      <c r="BT20" s="3137"/>
      <c r="BU20" s="3137"/>
      <c r="BV20" s="3136">
        <f t="shared" si="180"/>
        <v>0</v>
      </c>
      <c r="BW20" s="3137"/>
      <c r="BX20" s="3137"/>
      <c r="BY20" s="3136">
        <f t="shared" si="181"/>
        <v>0</v>
      </c>
      <c r="BZ20" s="3136">
        <f t="shared" si="182"/>
        <v>0</v>
      </c>
      <c r="CA20" s="3136">
        <f t="shared" si="183"/>
        <v>0</v>
      </c>
      <c r="CB20" s="3209">
        <f t="shared" si="158"/>
        <v>0</v>
      </c>
      <c r="CC20" s="3286">
        <f>SUM(стоки!BN11)</f>
        <v>0</v>
      </c>
      <c r="CD20" s="3286">
        <f>SUM(стоки!BO11)</f>
        <v>0</v>
      </c>
      <c r="CE20" s="3264">
        <f t="shared" si="131"/>
        <v>0</v>
      </c>
      <c r="CF20" s="3264">
        <f t="shared" si="132"/>
        <v>0</v>
      </c>
      <c r="CG20" s="3264">
        <f t="shared" si="133"/>
        <v>0</v>
      </c>
      <c r="CH20" s="3264">
        <f t="shared" si="134"/>
        <v>0</v>
      </c>
      <c r="CI20" s="3264">
        <f t="shared" si="135"/>
        <v>0</v>
      </c>
      <c r="CJ20" s="3264">
        <f t="shared" si="136"/>
        <v>0</v>
      </c>
      <c r="CK20" s="3259"/>
      <c r="CL20" s="3259"/>
      <c r="CM20" s="3259"/>
    </row>
    <row r="21" spans="1:91" ht="18.75" customHeight="1" x14ac:dyDescent="0.3">
      <c r="A21" s="3111" t="s">
        <v>3</v>
      </c>
      <c r="B21" s="3208">
        <f t="shared" si="184"/>
        <v>0</v>
      </c>
      <c r="C21" s="3208">
        <f t="shared" si="185"/>
        <v>0</v>
      </c>
      <c r="D21" s="3208">
        <f t="shared" si="186"/>
        <v>0</v>
      </c>
      <c r="E21" s="3136">
        <f t="shared" si="138"/>
        <v>4.18</v>
      </c>
      <c r="F21" s="3137">
        <v>4.18</v>
      </c>
      <c r="G21" s="3137"/>
      <c r="H21" s="3136">
        <f t="shared" si="139"/>
        <v>57.5</v>
      </c>
      <c r="I21" s="3137">
        <v>57.5</v>
      </c>
      <c r="J21" s="3137"/>
      <c r="K21" s="3136">
        <f t="shared" si="140"/>
        <v>11.98</v>
      </c>
      <c r="L21" s="3137">
        <v>11.98</v>
      </c>
      <c r="M21" s="3137"/>
      <c r="N21" s="3136">
        <f t="shared" si="160"/>
        <v>73.66</v>
      </c>
      <c r="O21" s="3136">
        <f t="shared" si="161"/>
        <v>73.66</v>
      </c>
      <c r="P21" s="3136">
        <f t="shared" si="162"/>
        <v>0</v>
      </c>
      <c r="Q21" s="3208">
        <f t="shared" si="163"/>
        <v>0</v>
      </c>
      <c r="R21" s="3208">
        <f t="shared" si="164"/>
        <v>0</v>
      </c>
      <c r="S21" s="3208">
        <f t="shared" si="165"/>
        <v>0</v>
      </c>
      <c r="T21" s="3136">
        <f t="shared" si="143"/>
        <v>127.15</v>
      </c>
      <c r="U21" s="3137">
        <v>127.15</v>
      </c>
      <c r="V21" s="3137"/>
      <c r="W21" s="3136">
        <f t="shared" si="144"/>
        <v>298.62</v>
      </c>
      <c r="X21" s="3137">
        <v>298.62</v>
      </c>
      <c r="Y21" s="3137"/>
      <c r="Z21" s="3136">
        <f t="shared" si="145"/>
        <v>84.27</v>
      </c>
      <c r="AA21" s="3137">
        <v>84.27</v>
      </c>
      <c r="AB21" s="3137"/>
      <c r="AC21" s="3136">
        <f t="shared" si="166"/>
        <v>510.03999999999996</v>
      </c>
      <c r="AD21" s="3136">
        <f t="shared" si="167"/>
        <v>510.03999999999996</v>
      </c>
      <c r="AE21" s="3136">
        <f t="shared" si="168"/>
        <v>0</v>
      </c>
      <c r="AF21" s="3209">
        <f t="shared" si="169"/>
        <v>0</v>
      </c>
      <c r="AG21" s="3209">
        <f t="shared" si="170"/>
        <v>0</v>
      </c>
      <c r="AH21" s="3209">
        <f t="shared" si="171"/>
        <v>0</v>
      </c>
      <c r="AI21" s="3264">
        <f t="shared" si="96"/>
        <v>583.69999999999993</v>
      </c>
      <c r="AJ21" s="3264">
        <f t="shared" si="97"/>
        <v>583.69999999999993</v>
      </c>
      <c r="AK21" s="3264">
        <f t="shared" si="98"/>
        <v>0</v>
      </c>
      <c r="AL21" s="3264">
        <f t="shared" si="99"/>
        <v>583.69999999999993</v>
      </c>
      <c r="AM21" s="3264">
        <f t="shared" si="100"/>
        <v>583.69999999999993</v>
      </c>
      <c r="AN21" s="3264">
        <f t="shared" si="101"/>
        <v>0</v>
      </c>
      <c r="AO21" s="3208">
        <f t="shared" si="149"/>
        <v>0</v>
      </c>
      <c r="AP21" s="3208">
        <f t="shared" si="150"/>
        <v>0</v>
      </c>
      <c r="AQ21" s="3208">
        <f t="shared" si="150"/>
        <v>0</v>
      </c>
      <c r="AR21" s="3136">
        <f t="shared" si="151"/>
        <v>48.83</v>
      </c>
      <c r="AS21" s="3137">
        <v>48.83</v>
      </c>
      <c r="AT21" s="3137"/>
      <c r="AU21" s="3136">
        <f t="shared" si="152"/>
        <v>30.23</v>
      </c>
      <c r="AV21" s="3137">
        <v>30.23</v>
      </c>
      <c r="AW21" s="3137"/>
      <c r="AX21" s="3136">
        <f t="shared" si="153"/>
        <v>532.72</v>
      </c>
      <c r="AY21" s="3137">
        <v>532.72</v>
      </c>
      <c r="AZ21" s="3137"/>
      <c r="BA21" s="3136">
        <f t="shared" si="172"/>
        <v>611.78</v>
      </c>
      <c r="BB21" s="3136">
        <f t="shared" si="173"/>
        <v>611.78</v>
      </c>
      <c r="BC21" s="3136">
        <f t="shared" si="174"/>
        <v>0</v>
      </c>
      <c r="BD21" s="3209">
        <f t="shared" si="175"/>
        <v>0</v>
      </c>
      <c r="BE21" s="3209">
        <f t="shared" si="176"/>
        <v>0</v>
      </c>
      <c r="BF21" s="3209">
        <f t="shared" si="177"/>
        <v>0</v>
      </c>
      <c r="BG21" s="3264">
        <f t="shared" si="115"/>
        <v>1195.48</v>
      </c>
      <c r="BH21" s="3264">
        <f t="shared" si="116"/>
        <v>1195.48</v>
      </c>
      <c r="BI21" s="3264">
        <f t="shared" si="117"/>
        <v>0</v>
      </c>
      <c r="BJ21" s="3264">
        <f t="shared" si="118"/>
        <v>1195.48</v>
      </c>
      <c r="BK21" s="3264">
        <f t="shared" si="119"/>
        <v>1195.48</v>
      </c>
      <c r="BL21" s="3264">
        <f t="shared" si="120"/>
        <v>0</v>
      </c>
      <c r="BM21" s="3208">
        <f t="shared" si="187"/>
        <v>0</v>
      </c>
      <c r="BN21" s="3208">
        <f t="shared" si="188"/>
        <v>0</v>
      </c>
      <c r="BO21" s="3208">
        <f t="shared" si="189"/>
        <v>0</v>
      </c>
      <c r="BP21" s="3136">
        <f t="shared" si="178"/>
        <v>0</v>
      </c>
      <c r="BQ21" s="3137"/>
      <c r="BR21" s="3137"/>
      <c r="BS21" s="3136">
        <f t="shared" si="179"/>
        <v>0</v>
      </c>
      <c r="BT21" s="3137"/>
      <c r="BU21" s="3137"/>
      <c r="BV21" s="3136">
        <f t="shared" si="180"/>
        <v>0</v>
      </c>
      <c r="BW21" s="3137"/>
      <c r="BX21" s="3137"/>
      <c r="BY21" s="3136">
        <f t="shared" si="181"/>
        <v>0</v>
      </c>
      <c r="BZ21" s="3136">
        <f t="shared" si="182"/>
        <v>0</v>
      </c>
      <c r="CA21" s="3136">
        <f t="shared" si="183"/>
        <v>0</v>
      </c>
      <c r="CB21" s="3209">
        <f t="shared" si="158"/>
        <v>0</v>
      </c>
      <c r="CC21" s="3286">
        <f>SUM(стоки!BN12)</f>
        <v>0</v>
      </c>
      <c r="CD21" s="3286">
        <f>SUM(стоки!BO12)</f>
        <v>0</v>
      </c>
      <c r="CE21" s="3264">
        <f t="shared" si="131"/>
        <v>1195.48</v>
      </c>
      <c r="CF21" s="3264">
        <f t="shared" si="132"/>
        <v>1195.48</v>
      </c>
      <c r="CG21" s="3264">
        <f t="shared" si="133"/>
        <v>0</v>
      </c>
      <c r="CH21" s="3264">
        <f t="shared" si="134"/>
        <v>1195.48</v>
      </c>
      <c r="CI21" s="3264">
        <f t="shared" si="135"/>
        <v>1195.48</v>
      </c>
      <c r="CJ21" s="3264">
        <f t="shared" si="136"/>
        <v>0</v>
      </c>
      <c r="CK21" s="3259"/>
      <c r="CL21" s="3259"/>
      <c r="CM21" s="3259"/>
    </row>
    <row r="22" spans="1:91" ht="18.75" customHeight="1" x14ac:dyDescent="0.3">
      <c r="A22" s="3111" t="s">
        <v>4</v>
      </c>
      <c r="B22" s="3208">
        <f t="shared" si="184"/>
        <v>2496.9526559999995</v>
      </c>
      <c r="C22" s="3208">
        <f t="shared" si="185"/>
        <v>2496.9526559999995</v>
      </c>
      <c r="D22" s="3208">
        <f t="shared" si="186"/>
        <v>0</v>
      </c>
      <c r="E22" s="3136">
        <f t="shared" si="138"/>
        <v>800.96</v>
      </c>
      <c r="F22" s="3137">
        <v>800.96</v>
      </c>
      <c r="G22" s="3137"/>
      <c r="H22" s="3136">
        <f t="shared" si="139"/>
        <v>734.87</v>
      </c>
      <c r="I22" s="3137">
        <v>734.87</v>
      </c>
      <c r="J22" s="3137"/>
      <c r="K22" s="3136">
        <f t="shared" si="140"/>
        <v>807.69</v>
      </c>
      <c r="L22" s="3137">
        <v>807.69</v>
      </c>
      <c r="M22" s="3137"/>
      <c r="N22" s="3136">
        <f t="shared" si="160"/>
        <v>2343.52</v>
      </c>
      <c r="O22" s="3136">
        <f t="shared" si="161"/>
        <v>2343.52</v>
      </c>
      <c r="P22" s="3136">
        <f t="shared" si="162"/>
        <v>0</v>
      </c>
      <c r="Q22" s="3208">
        <f t="shared" si="163"/>
        <v>2496.9526559999995</v>
      </c>
      <c r="R22" s="3208">
        <f t="shared" si="164"/>
        <v>2496.9526559999995</v>
      </c>
      <c r="S22" s="3208">
        <f t="shared" si="165"/>
        <v>0</v>
      </c>
      <c r="T22" s="3136">
        <f t="shared" si="143"/>
        <v>904.93</v>
      </c>
      <c r="U22" s="3137">
        <v>904.93</v>
      </c>
      <c r="V22" s="3137"/>
      <c r="W22" s="3136">
        <f t="shared" si="144"/>
        <v>894.77</v>
      </c>
      <c r="X22" s="3137">
        <v>894.77</v>
      </c>
      <c r="Y22" s="3137"/>
      <c r="Z22" s="3136">
        <f t="shared" si="145"/>
        <v>705.39</v>
      </c>
      <c r="AA22" s="3137">
        <v>705.39</v>
      </c>
      <c r="AB22" s="3137"/>
      <c r="AC22" s="3136">
        <f t="shared" si="166"/>
        <v>2505.0899999999997</v>
      </c>
      <c r="AD22" s="3136">
        <f t="shared" si="167"/>
        <v>2505.0899999999997</v>
      </c>
      <c r="AE22" s="3136">
        <f t="shared" si="168"/>
        <v>0</v>
      </c>
      <c r="AF22" s="3209">
        <f t="shared" si="169"/>
        <v>4993.905311999999</v>
      </c>
      <c r="AG22" s="3209">
        <f t="shared" si="170"/>
        <v>4993.905311999999</v>
      </c>
      <c r="AH22" s="3209">
        <f t="shared" si="171"/>
        <v>0</v>
      </c>
      <c r="AI22" s="3264">
        <f t="shared" si="96"/>
        <v>4848.6099999999997</v>
      </c>
      <c r="AJ22" s="3264">
        <f t="shared" si="97"/>
        <v>4848.6099999999997</v>
      </c>
      <c r="AK22" s="3264">
        <f t="shared" si="98"/>
        <v>0</v>
      </c>
      <c r="AL22" s="3264">
        <f t="shared" si="99"/>
        <v>-145.29531199999929</v>
      </c>
      <c r="AM22" s="3264">
        <f t="shared" si="100"/>
        <v>-145.29531199999929</v>
      </c>
      <c r="AN22" s="3264">
        <f t="shared" si="101"/>
        <v>0</v>
      </c>
      <c r="AO22" s="3208">
        <f t="shared" si="149"/>
        <v>2496.9526559999995</v>
      </c>
      <c r="AP22" s="3208">
        <f t="shared" si="150"/>
        <v>2496.9526559999995</v>
      </c>
      <c r="AQ22" s="3208">
        <f t="shared" si="150"/>
        <v>0</v>
      </c>
      <c r="AR22" s="3136">
        <f t="shared" si="151"/>
        <v>845.67</v>
      </c>
      <c r="AS22" s="3137">
        <v>845.67</v>
      </c>
      <c r="AT22" s="3137"/>
      <c r="AU22" s="3136">
        <f t="shared" si="152"/>
        <v>931.09</v>
      </c>
      <c r="AV22" s="3137">
        <v>931.09</v>
      </c>
      <c r="AW22" s="3137"/>
      <c r="AX22" s="3136">
        <f t="shared" si="153"/>
        <v>685.12</v>
      </c>
      <c r="AY22" s="3137">
        <v>685.12</v>
      </c>
      <c r="AZ22" s="3137"/>
      <c r="BA22" s="3136">
        <f t="shared" si="172"/>
        <v>2461.88</v>
      </c>
      <c r="BB22" s="3136">
        <f t="shared" si="173"/>
        <v>2461.88</v>
      </c>
      <c r="BC22" s="3136">
        <f t="shared" si="174"/>
        <v>0</v>
      </c>
      <c r="BD22" s="3209">
        <f t="shared" si="175"/>
        <v>7490.8579679999984</v>
      </c>
      <c r="BE22" s="3209">
        <f t="shared" si="176"/>
        <v>7490.8579679999984</v>
      </c>
      <c r="BF22" s="3209">
        <f t="shared" si="177"/>
        <v>0</v>
      </c>
      <c r="BG22" s="3264">
        <f t="shared" si="115"/>
        <v>7310.49</v>
      </c>
      <c r="BH22" s="3264">
        <f t="shared" si="116"/>
        <v>7310.49</v>
      </c>
      <c r="BI22" s="3264">
        <f t="shared" si="117"/>
        <v>0</v>
      </c>
      <c r="BJ22" s="3264">
        <f t="shared" si="118"/>
        <v>-180.36796799999865</v>
      </c>
      <c r="BK22" s="3264">
        <f t="shared" si="119"/>
        <v>-180.36796799999865</v>
      </c>
      <c r="BL22" s="3264">
        <f t="shared" si="120"/>
        <v>0</v>
      </c>
      <c r="BM22" s="3208">
        <f t="shared" si="187"/>
        <v>2496.9526559999995</v>
      </c>
      <c r="BN22" s="3208">
        <f t="shared" si="188"/>
        <v>2496.9526559999995</v>
      </c>
      <c r="BO22" s="3208">
        <f t="shared" si="189"/>
        <v>0</v>
      </c>
      <c r="BP22" s="3136">
        <f t="shared" si="178"/>
        <v>0</v>
      </c>
      <c r="BQ22" s="3137"/>
      <c r="BR22" s="3137"/>
      <c r="BS22" s="3136">
        <f t="shared" si="179"/>
        <v>0</v>
      </c>
      <c r="BT22" s="3137"/>
      <c r="BU22" s="3137"/>
      <c r="BV22" s="3136">
        <f t="shared" si="180"/>
        <v>0</v>
      </c>
      <c r="BW22" s="3137"/>
      <c r="BX22" s="3137"/>
      <c r="BY22" s="3136">
        <f t="shared" si="181"/>
        <v>0</v>
      </c>
      <c r="BZ22" s="3136">
        <f t="shared" si="182"/>
        <v>0</v>
      </c>
      <c r="CA22" s="3136">
        <f t="shared" si="183"/>
        <v>0</v>
      </c>
      <c r="CB22" s="3209">
        <f t="shared" si="158"/>
        <v>9987.8106239999979</v>
      </c>
      <c r="CC22" s="3286">
        <f>SUM(стоки!BN13)</f>
        <v>9987.8106239999979</v>
      </c>
      <c r="CD22" s="3286">
        <f>SUM(стоки!BO13)</f>
        <v>0</v>
      </c>
      <c r="CE22" s="3264">
        <f t="shared" si="131"/>
        <v>7310.49</v>
      </c>
      <c r="CF22" s="3264">
        <f t="shared" si="132"/>
        <v>7310.49</v>
      </c>
      <c r="CG22" s="3264">
        <f t="shared" si="133"/>
        <v>0</v>
      </c>
      <c r="CH22" s="3264">
        <f t="shared" si="134"/>
        <v>-2677.3206239999981</v>
      </c>
      <c r="CI22" s="3264">
        <f t="shared" si="135"/>
        <v>-2677.3206239999981</v>
      </c>
      <c r="CJ22" s="3264">
        <f t="shared" si="136"/>
        <v>0</v>
      </c>
      <c r="CK22" s="3259"/>
      <c r="CL22" s="3259"/>
      <c r="CM22" s="3259"/>
    </row>
    <row r="23" spans="1:91" ht="18.75" customHeight="1" x14ac:dyDescent="0.3">
      <c r="A23" s="3111" t="s">
        <v>117</v>
      </c>
      <c r="B23" s="3208">
        <f t="shared" si="184"/>
        <v>747.91498109837994</v>
      </c>
      <c r="C23" s="3208">
        <f t="shared" si="185"/>
        <v>747.91498109837994</v>
      </c>
      <c r="D23" s="3208">
        <f t="shared" si="186"/>
        <v>0</v>
      </c>
      <c r="E23" s="3136">
        <f t="shared" si="138"/>
        <v>241.9</v>
      </c>
      <c r="F23" s="3137">
        <v>241.9</v>
      </c>
      <c r="G23" s="3137"/>
      <c r="H23" s="3136">
        <f t="shared" si="139"/>
        <v>220.65</v>
      </c>
      <c r="I23" s="3137">
        <v>220.65</v>
      </c>
      <c r="J23" s="3137"/>
      <c r="K23" s="3136">
        <f t="shared" si="140"/>
        <v>243.48</v>
      </c>
      <c r="L23" s="3137">
        <v>243.48</v>
      </c>
      <c r="M23" s="3137"/>
      <c r="N23" s="3136">
        <f t="shared" si="160"/>
        <v>706.03</v>
      </c>
      <c r="O23" s="3136">
        <f t="shared" si="161"/>
        <v>706.03</v>
      </c>
      <c r="P23" s="3136">
        <f t="shared" si="162"/>
        <v>0</v>
      </c>
      <c r="Q23" s="3208">
        <f t="shared" si="163"/>
        <v>747.91498109837994</v>
      </c>
      <c r="R23" s="3208">
        <f t="shared" si="164"/>
        <v>747.91498109837994</v>
      </c>
      <c r="S23" s="3208">
        <f t="shared" si="165"/>
        <v>0</v>
      </c>
      <c r="T23" s="3136">
        <f t="shared" si="143"/>
        <v>273.25</v>
      </c>
      <c r="U23" s="3137">
        <v>273.25</v>
      </c>
      <c r="V23" s="3137"/>
      <c r="W23" s="3136">
        <f t="shared" si="144"/>
        <v>270.17</v>
      </c>
      <c r="X23" s="3137">
        <v>270.17</v>
      </c>
      <c r="Y23" s="3137"/>
      <c r="Z23" s="3136">
        <f t="shared" si="145"/>
        <v>213.24</v>
      </c>
      <c r="AA23" s="3137">
        <v>213.24</v>
      </c>
      <c r="AB23" s="3137"/>
      <c r="AC23" s="3136">
        <f t="shared" si="166"/>
        <v>756.66000000000008</v>
      </c>
      <c r="AD23" s="3136">
        <f t="shared" si="167"/>
        <v>756.66000000000008</v>
      </c>
      <c r="AE23" s="3136">
        <f t="shared" si="168"/>
        <v>0</v>
      </c>
      <c r="AF23" s="3209">
        <f t="shared" si="169"/>
        <v>1495.8299621967599</v>
      </c>
      <c r="AG23" s="3209">
        <f t="shared" si="170"/>
        <v>1495.8299621967599</v>
      </c>
      <c r="AH23" s="3209">
        <f t="shared" si="171"/>
        <v>0</v>
      </c>
      <c r="AI23" s="3264">
        <f t="shared" si="96"/>
        <v>1462.69</v>
      </c>
      <c r="AJ23" s="3264">
        <f t="shared" si="97"/>
        <v>1462.69</v>
      </c>
      <c r="AK23" s="3264">
        <f t="shared" si="98"/>
        <v>0</v>
      </c>
      <c r="AL23" s="3264">
        <f t="shared" si="99"/>
        <v>-33.139962196759825</v>
      </c>
      <c r="AM23" s="3264">
        <f t="shared" si="100"/>
        <v>-33.139962196759825</v>
      </c>
      <c r="AN23" s="3264">
        <f t="shared" si="101"/>
        <v>0</v>
      </c>
      <c r="AO23" s="3208">
        <f t="shared" si="149"/>
        <v>747.91498109837994</v>
      </c>
      <c r="AP23" s="3208">
        <f t="shared" si="150"/>
        <v>747.91498109837994</v>
      </c>
      <c r="AQ23" s="3208">
        <f t="shared" si="150"/>
        <v>0</v>
      </c>
      <c r="AR23" s="3136">
        <f t="shared" si="151"/>
        <v>255.37</v>
      </c>
      <c r="AS23" s="3137">
        <v>255.37</v>
      </c>
      <c r="AT23" s="3137"/>
      <c r="AU23" s="3136">
        <f t="shared" si="152"/>
        <v>280.54000000000002</v>
      </c>
      <c r="AV23" s="3137">
        <v>280.54000000000002</v>
      </c>
      <c r="AW23" s="3137"/>
      <c r="AX23" s="3136">
        <f t="shared" si="153"/>
        <v>217.13</v>
      </c>
      <c r="AY23" s="3137">
        <v>217.13</v>
      </c>
      <c r="AZ23" s="3137"/>
      <c r="BA23" s="3136">
        <f t="shared" si="172"/>
        <v>753.04000000000008</v>
      </c>
      <c r="BB23" s="3136">
        <f t="shared" si="173"/>
        <v>753.04000000000008</v>
      </c>
      <c r="BC23" s="3136">
        <f t="shared" si="174"/>
        <v>0</v>
      </c>
      <c r="BD23" s="3209">
        <f t="shared" si="175"/>
        <v>2243.7449432951398</v>
      </c>
      <c r="BE23" s="3209">
        <f t="shared" si="176"/>
        <v>2243.7449432951398</v>
      </c>
      <c r="BF23" s="3209">
        <f t="shared" si="177"/>
        <v>0</v>
      </c>
      <c r="BG23" s="3264">
        <f t="shared" si="115"/>
        <v>2215.73</v>
      </c>
      <c r="BH23" s="3264">
        <f t="shared" si="116"/>
        <v>2215.73</v>
      </c>
      <c r="BI23" s="3264">
        <f t="shared" si="117"/>
        <v>0</v>
      </c>
      <c r="BJ23" s="3264">
        <f t="shared" si="118"/>
        <v>-28.014943295139801</v>
      </c>
      <c r="BK23" s="3264">
        <f t="shared" si="119"/>
        <v>-28.014943295139801</v>
      </c>
      <c r="BL23" s="3264">
        <f t="shared" si="120"/>
        <v>0</v>
      </c>
      <c r="BM23" s="3208">
        <f t="shared" si="187"/>
        <v>747.91498109837994</v>
      </c>
      <c r="BN23" s="3208">
        <f t="shared" si="188"/>
        <v>747.91498109837994</v>
      </c>
      <c r="BO23" s="3208">
        <f t="shared" si="189"/>
        <v>0</v>
      </c>
      <c r="BP23" s="3136">
        <f t="shared" si="178"/>
        <v>0</v>
      </c>
      <c r="BQ23" s="3137"/>
      <c r="BR23" s="3137"/>
      <c r="BS23" s="3136">
        <f t="shared" si="179"/>
        <v>0</v>
      </c>
      <c r="BT23" s="3137"/>
      <c r="BU23" s="3137"/>
      <c r="BV23" s="3136">
        <f t="shared" si="180"/>
        <v>0</v>
      </c>
      <c r="BW23" s="3137"/>
      <c r="BX23" s="3137"/>
      <c r="BY23" s="3136">
        <f t="shared" si="181"/>
        <v>0</v>
      </c>
      <c r="BZ23" s="3136">
        <f t="shared" si="182"/>
        <v>0</v>
      </c>
      <c r="CA23" s="3136">
        <f t="shared" si="183"/>
        <v>0</v>
      </c>
      <c r="CB23" s="3209">
        <f t="shared" si="158"/>
        <v>2991.6599243935198</v>
      </c>
      <c r="CC23" s="3286">
        <f>SUM(стоки!BN14)</f>
        <v>2991.6599243935198</v>
      </c>
      <c r="CD23" s="3286">
        <f>SUM(стоки!BO14)</f>
        <v>0</v>
      </c>
      <c r="CE23" s="3264">
        <f t="shared" si="131"/>
        <v>2215.73</v>
      </c>
      <c r="CF23" s="3264">
        <f t="shared" si="132"/>
        <v>2215.73</v>
      </c>
      <c r="CG23" s="3264">
        <f t="shared" si="133"/>
        <v>0</v>
      </c>
      <c r="CH23" s="3264">
        <f t="shared" si="134"/>
        <v>-775.92992439351974</v>
      </c>
      <c r="CI23" s="3264">
        <f t="shared" si="135"/>
        <v>-775.92992439351974</v>
      </c>
      <c r="CJ23" s="3264">
        <f t="shared" si="136"/>
        <v>0</v>
      </c>
      <c r="CK23" s="3259"/>
      <c r="CL23" s="3259"/>
      <c r="CM23" s="3259"/>
    </row>
    <row r="24" spans="1:91" ht="18.75" customHeight="1" x14ac:dyDescent="0.3">
      <c r="A24" s="3081" t="s">
        <v>318</v>
      </c>
      <c r="B24" s="3139">
        <f t="shared" ref="B24:D24" si="190">SUM(B23/B22)</f>
        <v>0.2995311021621469</v>
      </c>
      <c r="C24" s="3139">
        <f t="shared" si="190"/>
        <v>0.2995311021621469</v>
      </c>
      <c r="D24" s="3139" t="e">
        <f t="shared" si="190"/>
        <v>#DIV/0!</v>
      </c>
      <c r="E24" s="3139">
        <f>SUM(E23/E22)</f>
        <v>0.30201258489812227</v>
      </c>
      <c r="F24" s="3139">
        <f t="shared" ref="F24:G24" si="191">SUM(F23/F22)</f>
        <v>0.30201258489812227</v>
      </c>
      <c r="G24" s="3139" t="e">
        <f t="shared" si="191"/>
        <v>#DIV/0!</v>
      </c>
      <c r="H24" s="3139">
        <f t="shared" ref="H24:P24" si="192">SUM(H23/H22)</f>
        <v>0.3002571883462381</v>
      </c>
      <c r="I24" s="3139">
        <f t="shared" ref="I24" si="193">SUM(I23/I22)</f>
        <v>0.3002571883462381</v>
      </c>
      <c r="J24" s="3139" t="e">
        <f t="shared" ref="J24" si="194">SUM(J23/J22)</f>
        <v>#DIV/0!</v>
      </c>
      <c r="K24" s="3139">
        <f t="shared" si="192"/>
        <v>0.30145228986368527</v>
      </c>
      <c r="L24" s="3139">
        <f t="shared" si="192"/>
        <v>0.30145228986368527</v>
      </c>
      <c r="M24" s="3139" t="e">
        <f t="shared" si="192"/>
        <v>#DIV/0!</v>
      </c>
      <c r="N24" s="3139">
        <f t="shared" si="192"/>
        <v>0.30126903120092852</v>
      </c>
      <c r="O24" s="3139">
        <f t="shared" si="192"/>
        <v>0.30126903120092852</v>
      </c>
      <c r="P24" s="3139" t="e">
        <f t="shared" si="192"/>
        <v>#DIV/0!</v>
      </c>
      <c r="Q24" s="3139">
        <f t="shared" ref="Q24:S24" si="195">SUM(Q23/Q22)</f>
        <v>0.2995311021621469</v>
      </c>
      <c r="R24" s="3139">
        <f t="shared" si="195"/>
        <v>0.2995311021621469</v>
      </c>
      <c r="S24" s="3139" t="e">
        <f t="shared" si="195"/>
        <v>#DIV/0!</v>
      </c>
      <c r="T24" s="3139">
        <f>SUM(T23/T22)</f>
        <v>0.30195705745195761</v>
      </c>
      <c r="U24" s="3139">
        <f t="shared" ref="U24:Y24" si="196">SUM(U23/U22)</f>
        <v>0.30195705745195761</v>
      </c>
      <c r="V24" s="3139" t="e">
        <f t="shared" si="196"/>
        <v>#DIV/0!</v>
      </c>
      <c r="W24" s="3139">
        <f t="shared" si="196"/>
        <v>0.30194351621086984</v>
      </c>
      <c r="X24" s="3139">
        <f t="shared" si="196"/>
        <v>0.30194351621086984</v>
      </c>
      <c r="Y24" s="3139" t="e">
        <f t="shared" si="196"/>
        <v>#DIV/0!</v>
      </c>
      <c r="Z24" s="3139">
        <f t="shared" ref="Z24:AK24" si="197">SUM(Z23/Z22)</f>
        <v>0.3023008548462553</v>
      </c>
      <c r="AA24" s="3139">
        <f t="shared" si="197"/>
        <v>0.3023008548462553</v>
      </c>
      <c r="AB24" s="3139" t="e">
        <f t="shared" si="197"/>
        <v>#DIV/0!</v>
      </c>
      <c r="AC24" s="3139">
        <f t="shared" si="197"/>
        <v>0.30204902817862839</v>
      </c>
      <c r="AD24" s="3139">
        <f t="shared" si="197"/>
        <v>0.30204902817862839</v>
      </c>
      <c r="AE24" s="3139" t="e">
        <f t="shared" si="197"/>
        <v>#DIV/0!</v>
      </c>
      <c r="AF24" s="3140">
        <f t="shared" si="197"/>
        <v>0.2995311021621469</v>
      </c>
      <c r="AG24" s="3140">
        <f t="shared" si="197"/>
        <v>0.2995311021621469</v>
      </c>
      <c r="AH24" s="3140" t="e">
        <f t="shared" si="197"/>
        <v>#DIV/0!</v>
      </c>
      <c r="AI24" s="3140">
        <f t="shared" si="197"/>
        <v>0.30167202559083944</v>
      </c>
      <c r="AJ24" s="3140">
        <f t="shared" si="197"/>
        <v>0.30167202559083944</v>
      </c>
      <c r="AK24" s="3140" t="e">
        <f t="shared" si="197"/>
        <v>#DIV/0!</v>
      </c>
      <c r="AL24" s="3194">
        <f t="shared" si="99"/>
        <v>2.1409234286925427E-3</v>
      </c>
      <c r="AM24" s="3194">
        <f t="shared" si="100"/>
        <v>2.1409234286925427E-3</v>
      </c>
      <c r="AN24" s="3194" t="e">
        <f t="shared" si="101"/>
        <v>#DIV/0!</v>
      </c>
      <c r="AO24" s="3139">
        <f t="shared" ref="AO24:AQ24" si="198">SUM(AO23/AO22)</f>
        <v>0.2995311021621469</v>
      </c>
      <c r="AP24" s="3139">
        <f t="shared" si="198"/>
        <v>0.2995311021621469</v>
      </c>
      <c r="AQ24" s="3139" t="e">
        <f t="shared" si="198"/>
        <v>#DIV/0!</v>
      </c>
      <c r="AR24" s="3139">
        <f>SUM(AR23/AR22)</f>
        <v>0.30197358307614081</v>
      </c>
      <c r="AS24" s="3139">
        <f t="shared" ref="AS24:AT24" si="199">SUM(AS23/AS22)</f>
        <v>0.30197358307614081</v>
      </c>
      <c r="AT24" s="3139" t="e">
        <f t="shared" si="199"/>
        <v>#DIV/0!</v>
      </c>
      <c r="AU24" s="3139">
        <f t="shared" ref="AU24:AZ24" si="200">SUM(AU23/AU22)</f>
        <v>0.30130277416791074</v>
      </c>
      <c r="AV24" s="3139">
        <f t="shared" si="200"/>
        <v>0.30130277416791074</v>
      </c>
      <c r="AW24" s="3139" t="e">
        <f t="shared" si="200"/>
        <v>#DIV/0!</v>
      </c>
      <c r="AX24" s="3139">
        <f t="shared" si="200"/>
        <v>0.31692258290518449</v>
      </c>
      <c r="AY24" s="3139">
        <f t="shared" si="200"/>
        <v>0.31692258290518449</v>
      </c>
      <c r="AZ24" s="3139" t="e">
        <f t="shared" si="200"/>
        <v>#DIV/0!</v>
      </c>
      <c r="BA24" s="3139">
        <f t="shared" ref="BA24:BC24" si="201">SUM(BA23/BA22)</f>
        <v>0.30588005914179411</v>
      </c>
      <c r="BB24" s="3139">
        <f t="shared" si="201"/>
        <v>0.30588005914179411</v>
      </c>
      <c r="BC24" s="3139" t="e">
        <f t="shared" si="201"/>
        <v>#DIV/0!</v>
      </c>
      <c r="BD24" s="3140">
        <f>SUM(BD23/BD22)</f>
        <v>0.2995311021621469</v>
      </c>
      <c r="BE24" s="3140">
        <f t="shared" ref="BE24:BF24" si="202">SUM(BE23/BE22)</f>
        <v>0.2995311021621469</v>
      </c>
      <c r="BF24" s="3140" t="e">
        <f t="shared" si="202"/>
        <v>#DIV/0!</v>
      </c>
      <c r="BG24" s="3140">
        <f>SUM(BG23/BG22)</f>
        <v>0.30308912261695181</v>
      </c>
      <c r="BH24" s="3140">
        <f t="shared" ref="BH24:BI24" si="203">SUM(BH23/BH22)</f>
        <v>0.30308912261695181</v>
      </c>
      <c r="BI24" s="3140" t="e">
        <f t="shared" si="203"/>
        <v>#DIV/0!</v>
      </c>
      <c r="BJ24" s="3194">
        <f t="shared" si="118"/>
        <v>3.558020454804911E-3</v>
      </c>
      <c r="BK24" s="3194">
        <f t="shared" si="119"/>
        <v>3.558020454804911E-3</v>
      </c>
      <c r="BL24" s="3194" t="e">
        <f t="shared" si="120"/>
        <v>#DIV/0!</v>
      </c>
      <c r="BM24" s="3139">
        <f t="shared" ref="BM24:BO24" si="204">SUM(BM23/BM22)</f>
        <v>0.2995311021621469</v>
      </c>
      <c r="BN24" s="3139">
        <f t="shared" si="204"/>
        <v>0.2995311021621469</v>
      </c>
      <c r="BO24" s="3139" t="e">
        <f t="shared" si="204"/>
        <v>#DIV/0!</v>
      </c>
      <c r="BP24" s="3139" t="e">
        <f>SUM(BP23/BP22)</f>
        <v>#DIV/0!</v>
      </c>
      <c r="BQ24" s="3139" t="e">
        <f t="shared" ref="BQ24:CA24" si="205">SUM(BQ23/BQ22)</f>
        <v>#DIV/0!</v>
      </c>
      <c r="BR24" s="3139" t="e">
        <f t="shared" si="205"/>
        <v>#DIV/0!</v>
      </c>
      <c r="BS24" s="3139" t="e">
        <f t="shared" si="205"/>
        <v>#DIV/0!</v>
      </c>
      <c r="BT24" s="3139" t="e">
        <f t="shared" si="205"/>
        <v>#DIV/0!</v>
      </c>
      <c r="BU24" s="3139" t="e">
        <f t="shared" si="205"/>
        <v>#DIV/0!</v>
      </c>
      <c r="BV24" s="3139" t="e">
        <f t="shared" si="205"/>
        <v>#DIV/0!</v>
      </c>
      <c r="BW24" s="3139" t="e">
        <f t="shared" si="205"/>
        <v>#DIV/0!</v>
      </c>
      <c r="BX24" s="3139" t="e">
        <f t="shared" si="205"/>
        <v>#DIV/0!</v>
      </c>
      <c r="BY24" s="3139" t="e">
        <f t="shared" si="205"/>
        <v>#DIV/0!</v>
      </c>
      <c r="BZ24" s="3139" t="e">
        <f t="shared" si="205"/>
        <v>#DIV/0!</v>
      </c>
      <c r="CA24" s="3139" t="e">
        <f t="shared" si="205"/>
        <v>#DIV/0!</v>
      </c>
      <c r="CB24" s="3140">
        <f t="shared" ref="CB24:CE24" si="206">SUM(CB23/CB22)</f>
        <v>0.2995311021621469</v>
      </c>
      <c r="CC24" s="3140">
        <f t="shared" si="206"/>
        <v>0.2995311021621469</v>
      </c>
      <c r="CD24" s="3140" t="e">
        <f t="shared" si="206"/>
        <v>#DIV/0!</v>
      </c>
      <c r="CE24" s="3140">
        <f t="shared" si="206"/>
        <v>0.30308912261695181</v>
      </c>
      <c r="CF24" s="3140">
        <f t="shared" ref="CF24:CG24" si="207">SUM(CF23/CF22)</f>
        <v>0.30308912261695181</v>
      </c>
      <c r="CG24" s="3140" t="e">
        <f t="shared" si="207"/>
        <v>#DIV/0!</v>
      </c>
      <c r="CH24" s="3194">
        <f t="shared" si="134"/>
        <v>3.558020454804911E-3</v>
      </c>
      <c r="CI24" s="3194">
        <f t="shared" si="135"/>
        <v>3.558020454804911E-3</v>
      </c>
      <c r="CJ24" s="3194" t="e">
        <f t="shared" si="136"/>
        <v>#DIV/0!</v>
      </c>
      <c r="CK24" s="3259"/>
      <c r="CL24" s="3259"/>
      <c r="CM24" s="3259"/>
    </row>
    <row r="25" spans="1:91" ht="18.75" customHeight="1" x14ac:dyDescent="0.3">
      <c r="A25" s="3158" t="s">
        <v>3590</v>
      </c>
      <c r="B25" s="3207">
        <f t="shared" si="184"/>
        <v>209.91669725</v>
      </c>
      <c r="C25" s="3251">
        <f t="shared" ref="C25:D25" si="208">SUM(C26:C31)+C34</f>
        <v>209.91669725</v>
      </c>
      <c r="D25" s="3251">
        <f t="shared" si="208"/>
        <v>0</v>
      </c>
      <c r="E25" s="3156">
        <f t="shared" si="138"/>
        <v>2.87</v>
      </c>
      <c r="F25" s="3156">
        <f t="shared" ref="F25:G25" si="209">SUM(F26:F31)+F34</f>
        <v>2.87</v>
      </c>
      <c r="G25" s="3156">
        <f t="shared" si="209"/>
        <v>0</v>
      </c>
      <c r="H25" s="3156">
        <f t="shared" ref="H25:H30" si="210">SUM(I25:J25)</f>
        <v>5.83</v>
      </c>
      <c r="I25" s="3156">
        <f t="shared" ref="I25" si="211">SUM(I26:I31)+I34</f>
        <v>5.83</v>
      </c>
      <c r="J25" s="3156">
        <f t="shared" ref="J25" si="212">SUM(J26:J31)+J34</f>
        <v>0</v>
      </c>
      <c r="K25" s="3156">
        <f t="shared" ref="K25:K30" si="213">SUM(L25:M25)</f>
        <v>2.14</v>
      </c>
      <c r="L25" s="3156">
        <f t="shared" ref="L25" si="214">SUM(L26:L31)+L34</f>
        <v>2.14</v>
      </c>
      <c r="M25" s="3156">
        <f t="shared" ref="M25" si="215">SUM(M26:M31)+M34</f>
        <v>0</v>
      </c>
      <c r="N25" s="3156">
        <f t="shared" ref="N25" si="216">SUM(O25:P25)</f>
        <v>10.84</v>
      </c>
      <c r="O25" s="3156">
        <f t="shared" ref="O25:P25" si="217">SUM(O26:O31)+O34</f>
        <v>10.84</v>
      </c>
      <c r="P25" s="3156">
        <f t="shared" si="217"/>
        <v>0</v>
      </c>
      <c r="Q25" s="3207">
        <f t="shared" ref="Q25:Q30" si="218">SUM(R25:S25)</f>
        <v>209.91669725</v>
      </c>
      <c r="R25" s="3251">
        <f t="shared" ref="R25" si="219">SUM(R26:R31)+R34</f>
        <v>209.91669725</v>
      </c>
      <c r="S25" s="3251">
        <f t="shared" ref="S25" si="220">SUM(S26:S31)+S34</f>
        <v>0</v>
      </c>
      <c r="T25" s="3156">
        <f t="shared" ref="T25:T30" si="221">SUM(U25:V25)</f>
        <v>6.5200000000000005</v>
      </c>
      <c r="U25" s="3156">
        <f t="shared" ref="U25" si="222">SUM(U26:U31)+U34</f>
        <v>6.5200000000000005</v>
      </c>
      <c r="V25" s="3156">
        <f t="shared" ref="V25" si="223">SUM(V26:V31)+V34</f>
        <v>0</v>
      </c>
      <c r="W25" s="3156">
        <f t="shared" ref="W25:W30" si="224">SUM(X25:Y25)</f>
        <v>9.5100000000000016</v>
      </c>
      <c r="X25" s="3156">
        <f t="shared" ref="X25" si="225">SUM(X26:X31)+X34</f>
        <v>9.5100000000000016</v>
      </c>
      <c r="Y25" s="3156">
        <f t="shared" ref="Y25" si="226">SUM(Y26:Y31)+Y34</f>
        <v>0</v>
      </c>
      <c r="Z25" s="3156">
        <f t="shared" ref="Z25:Z30" si="227">SUM(AA25:AB25)</f>
        <v>2.64</v>
      </c>
      <c r="AA25" s="3156">
        <f t="shared" ref="AA25" si="228">SUM(AA26:AA31)+AA34</f>
        <v>2.64</v>
      </c>
      <c r="AB25" s="3156">
        <f t="shared" ref="AB25" si="229">SUM(AB26:AB31)+AB34</f>
        <v>0</v>
      </c>
      <c r="AC25" s="3156">
        <f t="shared" ref="AC25" si="230">SUM(AD25:AE25)</f>
        <v>18.670000000000002</v>
      </c>
      <c r="AD25" s="3156">
        <f t="shared" ref="AD25" si="231">SUM(AD26:AD31)+AD34</f>
        <v>18.670000000000002</v>
      </c>
      <c r="AE25" s="3156">
        <f t="shared" ref="AE25" si="232">SUM(AE26:AE31)+AE34</f>
        <v>0</v>
      </c>
      <c r="AF25" s="3206">
        <f t="shared" ref="AF25:AF35" si="233">SUM(AG25:AH25)</f>
        <v>419.8333945</v>
      </c>
      <c r="AG25" s="3206">
        <f t="shared" ref="AG25:AG35" si="234">SUM(C25+R25)</f>
        <v>419.8333945</v>
      </c>
      <c r="AH25" s="3206">
        <f t="shared" ref="AH25:AH35" si="235">SUM(D25+S25)</f>
        <v>0</v>
      </c>
      <c r="AI25" s="3193">
        <f t="shared" ref="AI25:AI35" si="236">SUM(AC25+N25)</f>
        <v>29.51</v>
      </c>
      <c r="AJ25" s="3193">
        <f t="shared" ref="AJ25:AJ35" si="237">SUM(AD25+O25)</f>
        <v>29.51</v>
      </c>
      <c r="AK25" s="3193">
        <f t="shared" ref="AK25:AK35" si="238">SUM(AE25+P25)</f>
        <v>0</v>
      </c>
      <c r="AL25" s="3193">
        <f t="shared" ref="AL25:AL35" si="239">SUM(AI25-AF25)</f>
        <v>-390.32339450000001</v>
      </c>
      <c r="AM25" s="3193">
        <f t="shared" ref="AM25:AM35" si="240">SUM(AJ25-AG25)</f>
        <v>-390.32339450000001</v>
      </c>
      <c r="AN25" s="3193">
        <f t="shared" ref="AN25:AN35" si="241">SUM(AK25-AH25)</f>
        <v>0</v>
      </c>
      <c r="AO25" s="3207">
        <f t="shared" ref="AO25" si="242">SUM(AP25:AQ25)</f>
        <v>209.91669725</v>
      </c>
      <c r="AP25" s="3251">
        <f t="shared" ref="AP25" si="243">SUM(AP26:AP31)+AP34</f>
        <v>209.91669725</v>
      </c>
      <c r="AQ25" s="3251">
        <f t="shared" ref="AQ25" si="244">SUM(AQ26:AQ31)+AQ34</f>
        <v>0</v>
      </c>
      <c r="AR25" s="3156">
        <f t="shared" ref="AR25:AR30" si="245">SUM(AS25:AT25)</f>
        <v>30.08</v>
      </c>
      <c r="AS25" s="3156">
        <f t="shared" ref="AS25" si="246">SUM(AS26:AS31)+AS34</f>
        <v>30.08</v>
      </c>
      <c r="AT25" s="3156">
        <f t="shared" ref="AT25" si="247">SUM(AT26:AT31)+AT34</f>
        <v>0</v>
      </c>
      <c r="AU25" s="3156">
        <f t="shared" ref="AU25:AU30" si="248">SUM(AV25:AW25)</f>
        <v>11.35</v>
      </c>
      <c r="AV25" s="3156">
        <f t="shared" ref="AV25" si="249">SUM(AV26:AV31)+AV34</f>
        <v>11.35</v>
      </c>
      <c r="AW25" s="3156">
        <f t="shared" ref="AW25" si="250">SUM(AW26:AW31)+AW34</f>
        <v>0</v>
      </c>
      <c r="AX25" s="3156">
        <f t="shared" ref="AX25:AX30" si="251">SUM(AY25:AZ25)</f>
        <v>6.86</v>
      </c>
      <c r="AY25" s="3156">
        <f t="shared" ref="AY25" si="252">SUM(AY26:AY31)+AY34</f>
        <v>6.86</v>
      </c>
      <c r="AZ25" s="3156">
        <f t="shared" ref="AZ25" si="253">SUM(AZ26:AZ31)+AZ34</f>
        <v>0</v>
      </c>
      <c r="BA25" s="3156">
        <f t="shared" ref="BA25" si="254">SUM(BB25:BC25)</f>
        <v>48.289999999999992</v>
      </c>
      <c r="BB25" s="3156">
        <f t="shared" ref="BB25" si="255">SUM(BB26:BB31)+BB34</f>
        <v>48.289999999999992</v>
      </c>
      <c r="BC25" s="3156">
        <f t="shared" ref="BC25" si="256">SUM(BC26:BC31)+BC34</f>
        <v>0</v>
      </c>
      <c r="BD25" s="3206">
        <f t="shared" ref="BD25:BD88" si="257">SUM(BE25:BF25)</f>
        <v>629.75009175000002</v>
      </c>
      <c r="BE25" s="3206">
        <f t="shared" ref="BE25:BE88" si="258">SUM(AG25+AP25)</f>
        <v>629.75009175000002</v>
      </c>
      <c r="BF25" s="3206">
        <f t="shared" ref="BF25:BF88" si="259">SUM(AH25+AQ25)</f>
        <v>0</v>
      </c>
      <c r="BG25" s="3193">
        <f t="shared" ref="BG25:BG35" si="260">SUM(AI25+BA25)</f>
        <v>77.8</v>
      </c>
      <c r="BH25" s="3193">
        <f t="shared" ref="BH25:BH35" si="261">SUM(AJ25+BB25)</f>
        <v>77.8</v>
      </c>
      <c r="BI25" s="3193">
        <f t="shared" ref="BI25:BI35" si="262">SUM(AK25+BC25)</f>
        <v>0</v>
      </c>
      <c r="BJ25" s="3193">
        <f t="shared" ref="BJ25:BJ35" si="263">SUM(BG25-BD25)</f>
        <v>-551.95009175000007</v>
      </c>
      <c r="BK25" s="3193">
        <f t="shared" ref="BK25:BK35" si="264">SUM(BH25-BE25)</f>
        <v>-551.95009175000007</v>
      </c>
      <c r="BL25" s="3193">
        <f t="shared" ref="BL25:BL35" si="265">SUM(BI25-BF25)</f>
        <v>0</v>
      </c>
      <c r="BM25" s="3207">
        <f t="shared" ref="BM25" si="266">SUM(BN25:BO25)</f>
        <v>209.91669725</v>
      </c>
      <c r="BN25" s="3251">
        <f t="shared" ref="BN25" si="267">SUM(BN26:BN31)+BN34</f>
        <v>209.91669725</v>
      </c>
      <c r="BO25" s="3251">
        <f t="shared" ref="BO25" si="268">SUM(BO26:BO31)+BO34</f>
        <v>0</v>
      </c>
      <c r="BP25" s="3156">
        <f t="shared" ref="BP25:BP30" si="269">SUM(BQ25:BR25)</f>
        <v>0</v>
      </c>
      <c r="BQ25" s="3156">
        <f t="shared" ref="BQ25" si="270">SUM(BQ26:BQ31)+BQ34</f>
        <v>0</v>
      </c>
      <c r="BR25" s="3156">
        <f t="shared" ref="BR25" si="271">SUM(BR26:BR31)+BR34</f>
        <v>0</v>
      </c>
      <c r="BS25" s="3156">
        <f t="shared" ref="BS25:BS30" si="272">SUM(BT25:BU25)</f>
        <v>0</v>
      </c>
      <c r="BT25" s="3156">
        <f t="shared" ref="BT25" si="273">SUM(BT26:BT31)+BT34</f>
        <v>0</v>
      </c>
      <c r="BU25" s="3156">
        <f t="shared" ref="BU25" si="274">SUM(BU26:BU31)+BU34</f>
        <v>0</v>
      </c>
      <c r="BV25" s="3156">
        <f t="shared" ref="BV25:BV30" si="275">SUM(BW25:BX25)</f>
        <v>0</v>
      </c>
      <c r="BW25" s="3156">
        <f t="shared" ref="BW25" si="276">SUM(BW26:BW31)+BW34</f>
        <v>0</v>
      </c>
      <c r="BX25" s="3156">
        <f t="shared" ref="BX25" si="277">SUM(BX26:BX31)+BX34</f>
        <v>0</v>
      </c>
      <c r="BY25" s="3156">
        <f t="shared" ref="BY25" si="278">SUM(BZ25:CA25)</f>
        <v>0</v>
      </c>
      <c r="BZ25" s="3156">
        <f t="shared" ref="BZ25" si="279">SUM(BZ26:BZ31)+BZ34</f>
        <v>0</v>
      </c>
      <c r="CA25" s="3156">
        <f t="shared" ref="CA25" si="280">SUM(CA26:CA31)+CA34</f>
        <v>0</v>
      </c>
      <c r="CB25" s="3206">
        <f t="shared" si="158"/>
        <v>839.66679144359932</v>
      </c>
      <c r="CC25" s="3285">
        <f>SUM(стоки!BN16+стоки!BN49)</f>
        <v>839.66679144359932</v>
      </c>
      <c r="CD25" s="3285">
        <f>SUM(стоки!BO16)</f>
        <v>0</v>
      </c>
      <c r="CE25" s="3193">
        <f t="shared" ref="CE25:CE35" si="281">SUM(BY25+BG25)</f>
        <v>77.8</v>
      </c>
      <c r="CF25" s="3193">
        <f t="shared" ref="CF25:CF35" si="282">SUM(BZ25+BH25)</f>
        <v>77.8</v>
      </c>
      <c r="CG25" s="3193">
        <f t="shared" ref="CG25:CG35" si="283">SUM(CA25+BI25)</f>
        <v>0</v>
      </c>
      <c r="CH25" s="3193">
        <f t="shared" si="134"/>
        <v>-761.86679144359937</v>
      </c>
      <c r="CI25" s="3193">
        <f t="shared" ref="CI25:CI35" si="284">SUM(CF25-CC25)</f>
        <v>-761.86679144359937</v>
      </c>
      <c r="CJ25" s="3193">
        <f t="shared" ref="CJ25:CJ35" si="285">SUM(CG25-CD25)</f>
        <v>0</v>
      </c>
      <c r="CK25" s="3262"/>
      <c r="CL25" s="3262"/>
      <c r="CM25" s="3262"/>
    </row>
    <row r="26" spans="1:91" ht="18.75" customHeight="1" x14ac:dyDescent="0.3">
      <c r="A26" s="3172" t="s">
        <v>72</v>
      </c>
      <c r="B26" s="3208">
        <f t="shared" ref="B26:B30" si="286">SUM(C26:D26)</f>
        <v>0</v>
      </c>
      <c r="C26" s="3208">
        <f t="shared" ref="C26:C30" si="287">SUM(CC26/4)</f>
        <v>0</v>
      </c>
      <c r="D26" s="3208">
        <f t="shared" ref="D26:D30" si="288">SUM(CD26/4)</f>
        <v>0</v>
      </c>
      <c r="E26" s="3136">
        <f t="shared" si="138"/>
        <v>0</v>
      </c>
      <c r="F26" s="3137"/>
      <c r="G26" s="3137"/>
      <c r="H26" s="3136">
        <f t="shared" si="210"/>
        <v>0</v>
      </c>
      <c r="I26" s="3137"/>
      <c r="J26" s="3137"/>
      <c r="K26" s="3136">
        <f t="shared" si="213"/>
        <v>0</v>
      </c>
      <c r="L26" s="3137"/>
      <c r="M26" s="3137"/>
      <c r="N26" s="3136">
        <f t="shared" ref="N26:N43" si="289">SUM(O26:P26)</f>
        <v>0</v>
      </c>
      <c r="O26" s="3136">
        <f t="shared" ref="O26:P35" si="290">SUM(F26+I26+L26)</f>
        <v>0</v>
      </c>
      <c r="P26" s="3136">
        <f t="shared" si="290"/>
        <v>0</v>
      </c>
      <c r="Q26" s="3208">
        <f t="shared" si="218"/>
        <v>0</v>
      </c>
      <c r="R26" s="3208">
        <f t="shared" ref="R26:R30" si="291">SUM(C26)</f>
        <v>0</v>
      </c>
      <c r="S26" s="3208">
        <f t="shared" ref="S26:S30" si="292">SUM(D26)</f>
        <v>0</v>
      </c>
      <c r="T26" s="3136">
        <f t="shared" si="221"/>
        <v>0</v>
      </c>
      <c r="U26" s="3137"/>
      <c r="V26" s="3137"/>
      <c r="W26" s="3136">
        <f t="shared" si="224"/>
        <v>0</v>
      </c>
      <c r="X26" s="3137"/>
      <c r="Y26" s="3137"/>
      <c r="Z26" s="3136">
        <f t="shared" si="227"/>
        <v>0</v>
      </c>
      <c r="AA26" s="3137"/>
      <c r="AB26" s="3137"/>
      <c r="AC26" s="3136">
        <f t="shared" si="166"/>
        <v>0</v>
      </c>
      <c r="AD26" s="3136">
        <f t="shared" ref="AD26:AD35" si="293">SUM(U26+X26+AA26)</f>
        <v>0</v>
      </c>
      <c r="AE26" s="3136">
        <f t="shared" ref="AE26:AE35" si="294">SUM(V26+Y26+AB26)</f>
        <v>0</v>
      </c>
      <c r="AF26" s="3209">
        <f t="shared" si="233"/>
        <v>0</v>
      </c>
      <c r="AG26" s="3209">
        <f t="shared" si="234"/>
        <v>0</v>
      </c>
      <c r="AH26" s="3209">
        <f t="shared" si="235"/>
        <v>0</v>
      </c>
      <c r="AI26" s="3264">
        <f t="shared" si="236"/>
        <v>0</v>
      </c>
      <c r="AJ26" s="3264">
        <f t="shared" si="237"/>
        <v>0</v>
      </c>
      <c r="AK26" s="3264">
        <f t="shared" si="238"/>
        <v>0</v>
      </c>
      <c r="AL26" s="3264">
        <f t="shared" si="239"/>
        <v>0</v>
      </c>
      <c r="AM26" s="3264">
        <f t="shared" si="240"/>
        <v>0</v>
      </c>
      <c r="AN26" s="3264">
        <f t="shared" si="241"/>
        <v>0</v>
      </c>
      <c r="AO26" s="3208">
        <f t="shared" ref="AO26:AO30" si="295">SUM(AP26:AQ26)</f>
        <v>0</v>
      </c>
      <c r="AP26" s="3208">
        <f t="shared" ref="AP26:AP30" si="296">SUM(CC26-AG26)/2</f>
        <v>0</v>
      </c>
      <c r="AQ26" s="3208">
        <f t="shared" ref="AQ26:AQ30" si="297">SUM(CD26-AH26)/2</f>
        <v>0</v>
      </c>
      <c r="AR26" s="3136">
        <f t="shared" si="245"/>
        <v>0</v>
      </c>
      <c r="AS26" s="3137"/>
      <c r="AT26" s="3137"/>
      <c r="AU26" s="3136">
        <f t="shared" si="248"/>
        <v>0</v>
      </c>
      <c r="AV26" s="3137"/>
      <c r="AW26" s="3137"/>
      <c r="AX26" s="3136">
        <f t="shared" si="251"/>
        <v>0</v>
      </c>
      <c r="AY26" s="3137"/>
      <c r="AZ26" s="3137"/>
      <c r="BA26" s="3136">
        <f t="shared" ref="BA26:BA35" si="298">SUM(BB26:BC26)</f>
        <v>0</v>
      </c>
      <c r="BB26" s="3136">
        <f t="shared" ref="BB26:BB35" si="299">SUM(AS26+AV26+AY26)</f>
        <v>0</v>
      </c>
      <c r="BC26" s="3136">
        <f t="shared" ref="BC26:BC35" si="300">SUM(AT26+AW26+AZ26)</f>
        <v>0</v>
      </c>
      <c r="BD26" s="3209">
        <f t="shared" si="257"/>
        <v>0</v>
      </c>
      <c r="BE26" s="3209">
        <f t="shared" si="258"/>
        <v>0</v>
      </c>
      <c r="BF26" s="3209">
        <f t="shared" si="259"/>
        <v>0</v>
      </c>
      <c r="BG26" s="3264">
        <f t="shared" si="260"/>
        <v>0</v>
      </c>
      <c r="BH26" s="3264">
        <f t="shared" si="261"/>
        <v>0</v>
      </c>
      <c r="BI26" s="3264">
        <f t="shared" si="262"/>
        <v>0</v>
      </c>
      <c r="BJ26" s="3264">
        <f t="shared" si="263"/>
        <v>0</v>
      </c>
      <c r="BK26" s="3264">
        <f t="shared" si="264"/>
        <v>0</v>
      </c>
      <c r="BL26" s="3264">
        <f t="shared" si="265"/>
        <v>0</v>
      </c>
      <c r="BM26" s="3208">
        <f t="shared" ref="BM26:BM30" si="301">SUM(BN26:BO26)</f>
        <v>0</v>
      </c>
      <c r="BN26" s="3208">
        <f t="shared" ref="BN26:BN30" si="302">SUM(AP26)</f>
        <v>0</v>
      </c>
      <c r="BO26" s="3208">
        <f t="shared" ref="BO26:BO30" si="303">SUM(AQ26)</f>
        <v>0</v>
      </c>
      <c r="BP26" s="3136">
        <f t="shared" si="269"/>
        <v>0</v>
      </c>
      <c r="BQ26" s="3137"/>
      <c r="BR26" s="3137"/>
      <c r="BS26" s="3136">
        <f t="shared" si="272"/>
        <v>0</v>
      </c>
      <c r="BT26" s="3137"/>
      <c r="BU26" s="3137"/>
      <c r="BV26" s="3136">
        <f t="shared" si="275"/>
        <v>0</v>
      </c>
      <c r="BW26" s="3137"/>
      <c r="BX26" s="3137"/>
      <c r="BY26" s="3136">
        <f t="shared" ref="BY26:BY43" si="304">SUM(BZ26:CA26)</f>
        <v>0</v>
      </c>
      <c r="BZ26" s="3136">
        <f t="shared" ref="BZ26:BZ35" si="305">SUM(BQ26+BT26+BW26)</f>
        <v>0</v>
      </c>
      <c r="CA26" s="3136">
        <f t="shared" ref="CA26:CA35" si="306">SUM(BR26+BU26+BX26)</f>
        <v>0</v>
      </c>
      <c r="CB26" s="3209">
        <f t="shared" si="158"/>
        <v>0</v>
      </c>
      <c r="CC26" s="3286">
        <v>0</v>
      </c>
      <c r="CD26" s="3286">
        <v>0</v>
      </c>
      <c r="CE26" s="3264">
        <f t="shared" si="281"/>
        <v>0</v>
      </c>
      <c r="CF26" s="3264">
        <f t="shared" si="282"/>
        <v>0</v>
      </c>
      <c r="CG26" s="3264">
        <f t="shared" si="283"/>
        <v>0</v>
      </c>
      <c r="CH26" s="3264">
        <f t="shared" si="134"/>
        <v>0</v>
      </c>
      <c r="CI26" s="3264">
        <f t="shared" si="284"/>
        <v>0</v>
      </c>
      <c r="CJ26" s="3264">
        <f t="shared" si="285"/>
        <v>0</v>
      </c>
      <c r="CK26" s="3259"/>
      <c r="CL26" s="3259"/>
      <c r="CM26" s="3259"/>
    </row>
    <row r="27" spans="1:91" ht="18.75" customHeight="1" x14ac:dyDescent="0.3">
      <c r="A27" s="3172" t="s">
        <v>117</v>
      </c>
      <c r="B27" s="3208">
        <f t="shared" si="286"/>
        <v>0</v>
      </c>
      <c r="C27" s="3208">
        <f t="shared" si="287"/>
        <v>0</v>
      </c>
      <c r="D27" s="3208">
        <f t="shared" si="288"/>
        <v>0</v>
      </c>
      <c r="E27" s="3136">
        <f t="shared" si="138"/>
        <v>0</v>
      </c>
      <c r="F27" s="3137"/>
      <c r="G27" s="3137"/>
      <c r="H27" s="3136">
        <f t="shared" si="210"/>
        <v>0</v>
      </c>
      <c r="I27" s="3137"/>
      <c r="J27" s="3137"/>
      <c r="K27" s="3136">
        <f t="shared" si="213"/>
        <v>0</v>
      </c>
      <c r="L27" s="3137"/>
      <c r="M27" s="3137"/>
      <c r="N27" s="3136">
        <f t="shared" si="289"/>
        <v>0</v>
      </c>
      <c r="O27" s="3136">
        <f t="shared" si="290"/>
        <v>0</v>
      </c>
      <c r="P27" s="3136">
        <f t="shared" si="290"/>
        <v>0</v>
      </c>
      <c r="Q27" s="3208">
        <f t="shared" si="218"/>
        <v>0</v>
      </c>
      <c r="R27" s="3208">
        <f t="shared" si="291"/>
        <v>0</v>
      </c>
      <c r="S27" s="3208">
        <f t="shared" si="292"/>
        <v>0</v>
      </c>
      <c r="T27" s="3136">
        <f t="shared" si="221"/>
        <v>0</v>
      </c>
      <c r="U27" s="3137"/>
      <c r="V27" s="3137"/>
      <c r="W27" s="3136">
        <f t="shared" si="224"/>
        <v>0</v>
      </c>
      <c r="X27" s="3137"/>
      <c r="Y27" s="3137"/>
      <c r="Z27" s="3136">
        <f t="shared" si="227"/>
        <v>0</v>
      </c>
      <c r="AA27" s="3137"/>
      <c r="AB27" s="3137"/>
      <c r="AC27" s="3136">
        <f t="shared" si="166"/>
        <v>0</v>
      </c>
      <c r="AD27" s="3136">
        <f t="shared" si="293"/>
        <v>0</v>
      </c>
      <c r="AE27" s="3136">
        <f t="shared" si="294"/>
        <v>0</v>
      </c>
      <c r="AF27" s="3209">
        <f t="shared" si="233"/>
        <v>0</v>
      </c>
      <c r="AG27" s="3209">
        <f t="shared" si="234"/>
        <v>0</v>
      </c>
      <c r="AH27" s="3209">
        <f t="shared" si="235"/>
        <v>0</v>
      </c>
      <c r="AI27" s="3264">
        <f t="shared" si="236"/>
        <v>0</v>
      </c>
      <c r="AJ27" s="3264">
        <f t="shared" si="237"/>
        <v>0</v>
      </c>
      <c r="AK27" s="3264">
        <f t="shared" si="238"/>
        <v>0</v>
      </c>
      <c r="AL27" s="3264">
        <f t="shared" si="239"/>
        <v>0</v>
      </c>
      <c r="AM27" s="3264">
        <f t="shared" si="240"/>
        <v>0</v>
      </c>
      <c r="AN27" s="3264">
        <f t="shared" si="241"/>
        <v>0</v>
      </c>
      <c r="AO27" s="3208">
        <f t="shared" si="295"/>
        <v>0</v>
      </c>
      <c r="AP27" s="3208">
        <f t="shared" si="296"/>
        <v>0</v>
      </c>
      <c r="AQ27" s="3208">
        <f t="shared" si="297"/>
        <v>0</v>
      </c>
      <c r="AR27" s="3136">
        <f t="shared" si="245"/>
        <v>0</v>
      </c>
      <c r="AS27" s="3137"/>
      <c r="AT27" s="3137"/>
      <c r="AU27" s="3136">
        <f t="shared" si="248"/>
        <v>0</v>
      </c>
      <c r="AV27" s="3137"/>
      <c r="AW27" s="3137"/>
      <c r="AX27" s="3136">
        <f t="shared" si="251"/>
        <v>0</v>
      </c>
      <c r="AY27" s="3137"/>
      <c r="AZ27" s="3137"/>
      <c r="BA27" s="3136">
        <f t="shared" si="298"/>
        <v>0</v>
      </c>
      <c r="BB27" s="3136">
        <f t="shared" si="299"/>
        <v>0</v>
      </c>
      <c r="BC27" s="3136">
        <f t="shared" si="300"/>
        <v>0</v>
      </c>
      <c r="BD27" s="3209">
        <f t="shared" si="257"/>
        <v>0</v>
      </c>
      <c r="BE27" s="3209">
        <f t="shared" si="258"/>
        <v>0</v>
      </c>
      <c r="BF27" s="3209">
        <f t="shared" si="259"/>
        <v>0</v>
      </c>
      <c r="BG27" s="3264">
        <f t="shared" si="260"/>
        <v>0</v>
      </c>
      <c r="BH27" s="3264">
        <f t="shared" si="261"/>
        <v>0</v>
      </c>
      <c r="BI27" s="3264">
        <f t="shared" si="262"/>
        <v>0</v>
      </c>
      <c r="BJ27" s="3264">
        <f t="shared" si="263"/>
        <v>0</v>
      </c>
      <c r="BK27" s="3264">
        <f t="shared" si="264"/>
        <v>0</v>
      </c>
      <c r="BL27" s="3264">
        <f t="shared" si="265"/>
        <v>0</v>
      </c>
      <c r="BM27" s="3208">
        <f t="shared" si="301"/>
        <v>0</v>
      </c>
      <c r="BN27" s="3208">
        <f t="shared" si="302"/>
        <v>0</v>
      </c>
      <c r="BO27" s="3208">
        <f t="shared" si="303"/>
        <v>0</v>
      </c>
      <c r="BP27" s="3136">
        <f t="shared" si="269"/>
        <v>0</v>
      </c>
      <c r="BQ27" s="3137"/>
      <c r="BR27" s="3137"/>
      <c r="BS27" s="3136">
        <f t="shared" si="272"/>
        <v>0</v>
      </c>
      <c r="BT27" s="3137"/>
      <c r="BU27" s="3137"/>
      <c r="BV27" s="3136">
        <f t="shared" si="275"/>
        <v>0</v>
      </c>
      <c r="BW27" s="3137"/>
      <c r="BX27" s="3137"/>
      <c r="BY27" s="3136">
        <f t="shared" si="304"/>
        <v>0</v>
      </c>
      <c r="BZ27" s="3136">
        <f t="shared" si="305"/>
        <v>0</v>
      </c>
      <c r="CA27" s="3136">
        <f t="shared" si="306"/>
        <v>0</v>
      </c>
      <c r="CB27" s="3209">
        <f t="shared" si="158"/>
        <v>0</v>
      </c>
      <c r="CC27" s="3286">
        <v>0</v>
      </c>
      <c r="CD27" s="3286">
        <v>0</v>
      </c>
      <c r="CE27" s="3264">
        <f t="shared" si="281"/>
        <v>0</v>
      </c>
      <c r="CF27" s="3264">
        <f t="shared" si="282"/>
        <v>0</v>
      </c>
      <c r="CG27" s="3264">
        <f t="shared" si="283"/>
        <v>0</v>
      </c>
      <c r="CH27" s="3264">
        <f t="shared" si="134"/>
        <v>0</v>
      </c>
      <c r="CI27" s="3264">
        <f t="shared" si="284"/>
        <v>0</v>
      </c>
      <c r="CJ27" s="3264">
        <f t="shared" si="285"/>
        <v>0</v>
      </c>
      <c r="CK27" s="3259"/>
      <c r="CL27" s="3259"/>
      <c r="CM27" s="3259"/>
    </row>
    <row r="28" spans="1:91" ht="18.75" customHeight="1" x14ac:dyDescent="0.3">
      <c r="A28" s="3172" t="s">
        <v>52</v>
      </c>
      <c r="B28" s="3208">
        <f t="shared" si="286"/>
        <v>5.18</v>
      </c>
      <c r="C28" s="3208">
        <f t="shared" si="287"/>
        <v>5.18</v>
      </c>
      <c r="D28" s="3208">
        <f t="shared" si="288"/>
        <v>0</v>
      </c>
      <c r="E28" s="3136">
        <f t="shared" si="138"/>
        <v>0</v>
      </c>
      <c r="F28" s="3137"/>
      <c r="G28" s="3137"/>
      <c r="H28" s="3136">
        <f t="shared" si="210"/>
        <v>3.02</v>
      </c>
      <c r="I28" s="3137">
        <v>3.02</v>
      </c>
      <c r="J28" s="3137"/>
      <c r="K28" s="3136">
        <f t="shared" si="213"/>
        <v>1.46</v>
      </c>
      <c r="L28" s="3137">
        <v>1.46</v>
      </c>
      <c r="M28" s="3137"/>
      <c r="N28" s="3136">
        <f t="shared" si="289"/>
        <v>4.4800000000000004</v>
      </c>
      <c r="O28" s="3136">
        <f t="shared" si="290"/>
        <v>4.4800000000000004</v>
      </c>
      <c r="P28" s="3136">
        <f t="shared" si="290"/>
        <v>0</v>
      </c>
      <c r="Q28" s="3208">
        <f t="shared" si="218"/>
        <v>5.18</v>
      </c>
      <c r="R28" s="3208">
        <f t="shared" si="291"/>
        <v>5.18</v>
      </c>
      <c r="S28" s="3208">
        <f t="shared" si="292"/>
        <v>0</v>
      </c>
      <c r="T28" s="3136">
        <f t="shared" si="221"/>
        <v>1.37</v>
      </c>
      <c r="U28" s="3137">
        <v>1.37</v>
      </c>
      <c r="V28" s="3137"/>
      <c r="W28" s="3136">
        <f t="shared" si="224"/>
        <v>1.34</v>
      </c>
      <c r="X28" s="3137">
        <v>1.34</v>
      </c>
      <c r="Y28" s="3137"/>
      <c r="Z28" s="3136">
        <f t="shared" si="227"/>
        <v>1.34</v>
      </c>
      <c r="AA28" s="3137">
        <v>1.34</v>
      </c>
      <c r="AB28" s="3137"/>
      <c r="AC28" s="3136">
        <f t="shared" si="166"/>
        <v>4.05</v>
      </c>
      <c r="AD28" s="3136">
        <f t="shared" si="293"/>
        <v>4.05</v>
      </c>
      <c r="AE28" s="3136">
        <f t="shared" si="294"/>
        <v>0</v>
      </c>
      <c r="AF28" s="3209">
        <f t="shared" si="233"/>
        <v>10.36</v>
      </c>
      <c r="AG28" s="3209">
        <f t="shared" si="234"/>
        <v>10.36</v>
      </c>
      <c r="AH28" s="3209">
        <f t="shared" si="235"/>
        <v>0</v>
      </c>
      <c r="AI28" s="3264">
        <f t="shared" si="236"/>
        <v>8.5300000000000011</v>
      </c>
      <c r="AJ28" s="3264">
        <f t="shared" si="237"/>
        <v>8.5300000000000011</v>
      </c>
      <c r="AK28" s="3264">
        <f t="shared" si="238"/>
        <v>0</v>
      </c>
      <c r="AL28" s="3264">
        <f t="shared" si="239"/>
        <v>-1.8299999999999983</v>
      </c>
      <c r="AM28" s="3264">
        <f t="shared" si="240"/>
        <v>-1.8299999999999983</v>
      </c>
      <c r="AN28" s="3264">
        <f t="shared" si="241"/>
        <v>0</v>
      </c>
      <c r="AO28" s="3208">
        <f t="shared" si="295"/>
        <v>5.18</v>
      </c>
      <c r="AP28" s="3208">
        <f t="shared" si="296"/>
        <v>5.18</v>
      </c>
      <c r="AQ28" s="3208">
        <f t="shared" si="297"/>
        <v>0</v>
      </c>
      <c r="AR28" s="3136">
        <f t="shared" si="245"/>
        <v>1.34</v>
      </c>
      <c r="AS28" s="3137">
        <v>1.34</v>
      </c>
      <c r="AT28" s="3137"/>
      <c r="AU28" s="3136">
        <f t="shared" si="248"/>
        <v>10.78</v>
      </c>
      <c r="AV28" s="3137">
        <v>10.78</v>
      </c>
      <c r="AW28" s="3137"/>
      <c r="AX28" s="3136">
        <f t="shared" si="251"/>
        <v>6.37</v>
      </c>
      <c r="AY28" s="3137">
        <v>6.37</v>
      </c>
      <c r="AZ28" s="3137"/>
      <c r="BA28" s="3136">
        <f t="shared" si="298"/>
        <v>18.489999999999998</v>
      </c>
      <c r="BB28" s="3136">
        <f t="shared" si="299"/>
        <v>18.489999999999998</v>
      </c>
      <c r="BC28" s="3136">
        <f t="shared" si="300"/>
        <v>0</v>
      </c>
      <c r="BD28" s="3209">
        <f t="shared" si="257"/>
        <v>15.54</v>
      </c>
      <c r="BE28" s="3209">
        <f t="shared" si="258"/>
        <v>15.54</v>
      </c>
      <c r="BF28" s="3209">
        <f t="shared" si="259"/>
        <v>0</v>
      </c>
      <c r="BG28" s="3264">
        <f t="shared" si="260"/>
        <v>27.02</v>
      </c>
      <c r="BH28" s="3264">
        <f t="shared" si="261"/>
        <v>27.02</v>
      </c>
      <c r="BI28" s="3264">
        <f t="shared" si="262"/>
        <v>0</v>
      </c>
      <c r="BJ28" s="3264">
        <f t="shared" si="263"/>
        <v>11.48</v>
      </c>
      <c r="BK28" s="3264">
        <f t="shared" si="264"/>
        <v>11.48</v>
      </c>
      <c r="BL28" s="3264">
        <f t="shared" si="265"/>
        <v>0</v>
      </c>
      <c r="BM28" s="3208">
        <f t="shared" si="301"/>
        <v>5.18</v>
      </c>
      <c r="BN28" s="3208">
        <f t="shared" si="302"/>
        <v>5.18</v>
      </c>
      <c r="BO28" s="3208">
        <f t="shared" si="303"/>
        <v>0</v>
      </c>
      <c r="BP28" s="3136">
        <f t="shared" si="269"/>
        <v>0</v>
      </c>
      <c r="BQ28" s="3137"/>
      <c r="BR28" s="3137"/>
      <c r="BS28" s="3136">
        <f t="shared" si="272"/>
        <v>0</v>
      </c>
      <c r="BT28" s="3137"/>
      <c r="BU28" s="3137"/>
      <c r="BV28" s="3136">
        <f t="shared" si="275"/>
        <v>0</v>
      </c>
      <c r="BW28" s="3137"/>
      <c r="BX28" s="3137"/>
      <c r="BY28" s="3136">
        <f t="shared" si="304"/>
        <v>0</v>
      </c>
      <c r="BZ28" s="3136">
        <f t="shared" si="305"/>
        <v>0</v>
      </c>
      <c r="CA28" s="3136">
        <f t="shared" si="306"/>
        <v>0</v>
      </c>
      <c r="CB28" s="3209">
        <f t="shared" si="158"/>
        <v>20.72</v>
      </c>
      <c r="CC28" s="3286">
        <v>20.72</v>
      </c>
      <c r="CD28" s="3286">
        <v>0</v>
      </c>
      <c r="CE28" s="3264">
        <f t="shared" si="281"/>
        <v>27.02</v>
      </c>
      <c r="CF28" s="3264">
        <f t="shared" si="282"/>
        <v>27.02</v>
      </c>
      <c r="CG28" s="3264">
        <f t="shared" si="283"/>
        <v>0</v>
      </c>
      <c r="CH28" s="3264">
        <f t="shared" si="134"/>
        <v>6.3000000000000007</v>
      </c>
      <c r="CI28" s="3264">
        <f t="shared" si="284"/>
        <v>6.3000000000000007</v>
      </c>
      <c r="CJ28" s="3264">
        <f t="shared" si="285"/>
        <v>0</v>
      </c>
      <c r="CK28" s="3259"/>
      <c r="CL28" s="3259"/>
      <c r="CM28" s="3259"/>
    </row>
    <row r="29" spans="1:91" ht="18.75" customHeight="1" x14ac:dyDescent="0.3">
      <c r="A29" s="3172" t="s">
        <v>601</v>
      </c>
      <c r="B29" s="3208">
        <f t="shared" si="286"/>
        <v>29.734999999999999</v>
      </c>
      <c r="C29" s="3208">
        <f t="shared" si="287"/>
        <v>29.734999999999999</v>
      </c>
      <c r="D29" s="3208">
        <f t="shared" si="288"/>
        <v>0</v>
      </c>
      <c r="E29" s="3136">
        <f t="shared" si="138"/>
        <v>0.73</v>
      </c>
      <c r="F29" s="3137">
        <v>0.73</v>
      </c>
      <c r="G29" s="3137"/>
      <c r="H29" s="3136">
        <f t="shared" si="210"/>
        <v>0.79</v>
      </c>
      <c r="I29" s="3137">
        <v>0.79</v>
      </c>
      <c r="J29" s="3137"/>
      <c r="K29" s="3136">
        <f t="shared" si="213"/>
        <v>0.62</v>
      </c>
      <c r="L29" s="3137">
        <v>0.62</v>
      </c>
      <c r="M29" s="3137"/>
      <c r="N29" s="3136">
        <f t="shared" si="289"/>
        <v>2.14</v>
      </c>
      <c r="O29" s="3136">
        <f t="shared" si="290"/>
        <v>2.14</v>
      </c>
      <c r="P29" s="3136">
        <f t="shared" si="290"/>
        <v>0</v>
      </c>
      <c r="Q29" s="3208">
        <f t="shared" si="218"/>
        <v>29.734999999999999</v>
      </c>
      <c r="R29" s="3208">
        <f t="shared" si="291"/>
        <v>29.734999999999999</v>
      </c>
      <c r="S29" s="3208">
        <f t="shared" si="292"/>
        <v>0</v>
      </c>
      <c r="T29" s="3136">
        <f t="shared" si="221"/>
        <v>5.12</v>
      </c>
      <c r="U29" s="3137">
        <v>5.12</v>
      </c>
      <c r="V29" s="3137"/>
      <c r="W29" s="3136">
        <f t="shared" si="224"/>
        <v>7.87</v>
      </c>
      <c r="X29" s="3137">
        <v>7.87</v>
      </c>
      <c r="Y29" s="3137"/>
      <c r="Z29" s="3136">
        <f t="shared" si="227"/>
        <v>0.46</v>
      </c>
      <c r="AA29" s="3137">
        <v>0.46</v>
      </c>
      <c r="AB29" s="3137"/>
      <c r="AC29" s="3136">
        <f t="shared" si="166"/>
        <v>13.450000000000001</v>
      </c>
      <c r="AD29" s="3136">
        <f t="shared" si="293"/>
        <v>13.450000000000001</v>
      </c>
      <c r="AE29" s="3136">
        <f t="shared" si="294"/>
        <v>0</v>
      </c>
      <c r="AF29" s="3209">
        <f t="shared" si="233"/>
        <v>59.47</v>
      </c>
      <c r="AG29" s="3209">
        <f t="shared" si="234"/>
        <v>59.47</v>
      </c>
      <c r="AH29" s="3209">
        <f t="shared" si="235"/>
        <v>0</v>
      </c>
      <c r="AI29" s="3264">
        <f t="shared" si="236"/>
        <v>15.590000000000002</v>
      </c>
      <c r="AJ29" s="3264">
        <f t="shared" si="237"/>
        <v>15.590000000000002</v>
      </c>
      <c r="AK29" s="3264">
        <f t="shared" si="238"/>
        <v>0</v>
      </c>
      <c r="AL29" s="3264">
        <f t="shared" si="239"/>
        <v>-43.879999999999995</v>
      </c>
      <c r="AM29" s="3264">
        <f t="shared" si="240"/>
        <v>-43.879999999999995</v>
      </c>
      <c r="AN29" s="3264">
        <f t="shared" si="241"/>
        <v>0</v>
      </c>
      <c r="AO29" s="3208">
        <f t="shared" si="295"/>
        <v>29.734999999999999</v>
      </c>
      <c r="AP29" s="3208">
        <f t="shared" si="296"/>
        <v>29.734999999999999</v>
      </c>
      <c r="AQ29" s="3208">
        <f t="shared" si="297"/>
        <v>0</v>
      </c>
      <c r="AR29" s="3136">
        <f t="shared" si="245"/>
        <v>0.6</v>
      </c>
      <c r="AS29" s="3137">
        <v>0.6</v>
      </c>
      <c r="AT29" s="3137"/>
      <c r="AU29" s="3136">
        <f t="shared" si="248"/>
        <v>0.54</v>
      </c>
      <c r="AV29" s="3137">
        <v>0.54</v>
      </c>
      <c r="AW29" s="3137"/>
      <c r="AX29" s="3136">
        <f t="shared" si="251"/>
        <v>0.45</v>
      </c>
      <c r="AY29" s="3137">
        <v>0.45</v>
      </c>
      <c r="AZ29" s="3137"/>
      <c r="BA29" s="3136">
        <f t="shared" si="298"/>
        <v>1.59</v>
      </c>
      <c r="BB29" s="3136">
        <f t="shared" si="299"/>
        <v>1.59</v>
      </c>
      <c r="BC29" s="3136">
        <f t="shared" si="300"/>
        <v>0</v>
      </c>
      <c r="BD29" s="3209">
        <f t="shared" si="257"/>
        <v>89.204999999999998</v>
      </c>
      <c r="BE29" s="3209">
        <f t="shared" si="258"/>
        <v>89.204999999999998</v>
      </c>
      <c r="BF29" s="3209">
        <f t="shared" si="259"/>
        <v>0</v>
      </c>
      <c r="BG29" s="3264">
        <f t="shared" si="260"/>
        <v>17.180000000000003</v>
      </c>
      <c r="BH29" s="3264">
        <f t="shared" si="261"/>
        <v>17.180000000000003</v>
      </c>
      <c r="BI29" s="3264">
        <f t="shared" si="262"/>
        <v>0</v>
      </c>
      <c r="BJ29" s="3264">
        <f t="shared" si="263"/>
        <v>-72.024999999999991</v>
      </c>
      <c r="BK29" s="3264">
        <f t="shared" si="264"/>
        <v>-72.024999999999991</v>
      </c>
      <c r="BL29" s="3264">
        <f t="shared" si="265"/>
        <v>0</v>
      </c>
      <c r="BM29" s="3208">
        <f t="shared" si="301"/>
        <v>29.734999999999999</v>
      </c>
      <c r="BN29" s="3208">
        <f t="shared" si="302"/>
        <v>29.734999999999999</v>
      </c>
      <c r="BO29" s="3208">
        <f t="shared" si="303"/>
        <v>0</v>
      </c>
      <c r="BP29" s="3136">
        <f t="shared" si="269"/>
        <v>0</v>
      </c>
      <c r="BQ29" s="3137"/>
      <c r="BR29" s="3137"/>
      <c r="BS29" s="3136">
        <f t="shared" si="272"/>
        <v>0</v>
      </c>
      <c r="BT29" s="3137"/>
      <c r="BU29" s="3137"/>
      <c r="BV29" s="3136">
        <f t="shared" si="275"/>
        <v>0</v>
      </c>
      <c r="BW29" s="3137"/>
      <c r="BX29" s="3137"/>
      <c r="BY29" s="3136">
        <f t="shared" si="304"/>
        <v>0</v>
      </c>
      <c r="BZ29" s="3136">
        <f t="shared" si="305"/>
        <v>0</v>
      </c>
      <c r="CA29" s="3136">
        <f t="shared" si="306"/>
        <v>0</v>
      </c>
      <c r="CB29" s="3209">
        <f t="shared" si="158"/>
        <v>118.94</v>
      </c>
      <c r="CC29" s="3286">
        <v>118.94</v>
      </c>
      <c r="CD29" s="3286">
        <v>0</v>
      </c>
      <c r="CE29" s="3264">
        <f t="shared" si="281"/>
        <v>17.180000000000003</v>
      </c>
      <c r="CF29" s="3264">
        <f t="shared" si="282"/>
        <v>17.180000000000003</v>
      </c>
      <c r="CG29" s="3264">
        <f t="shared" si="283"/>
        <v>0</v>
      </c>
      <c r="CH29" s="3264">
        <f t="shared" si="134"/>
        <v>-101.75999999999999</v>
      </c>
      <c r="CI29" s="3264">
        <f t="shared" si="284"/>
        <v>-101.75999999999999</v>
      </c>
      <c r="CJ29" s="3264">
        <f t="shared" si="285"/>
        <v>0</v>
      </c>
      <c r="CK29" s="3259"/>
      <c r="CL29" s="3259"/>
      <c r="CM29" s="3259"/>
    </row>
    <row r="30" spans="1:91" ht="18.75" customHeight="1" x14ac:dyDescent="0.3">
      <c r="A30" s="3172" t="s">
        <v>3660</v>
      </c>
      <c r="B30" s="3208">
        <f t="shared" si="286"/>
        <v>129.32416725000002</v>
      </c>
      <c r="C30" s="3208">
        <f t="shared" si="287"/>
        <v>129.32416725000002</v>
      </c>
      <c r="D30" s="3208">
        <f t="shared" si="288"/>
        <v>0</v>
      </c>
      <c r="E30" s="3136">
        <f t="shared" si="138"/>
        <v>0</v>
      </c>
      <c r="F30" s="3137"/>
      <c r="G30" s="3137"/>
      <c r="H30" s="3136">
        <f t="shared" si="210"/>
        <v>0</v>
      </c>
      <c r="I30" s="3137"/>
      <c r="J30" s="3137"/>
      <c r="K30" s="3136">
        <f t="shared" si="213"/>
        <v>0</v>
      </c>
      <c r="L30" s="3137"/>
      <c r="M30" s="3137"/>
      <c r="N30" s="3136">
        <f t="shared" si="289"/>
        <v>0</v>
      </c>
      <c r="O30" s="3136">
        <f t="shared" si="290"/>
        <v>0</v>
      </c>
      <c r="P30" s="3136">
        <f t="shared" si="290"/>
        <v>0</v>
      </c>
      <c r="Q30" s="3208">
        <f t="shared" si="218"/>
        <v>129.32416725000002</v>
      </c>
      <c r="R30" s="3208">
        <f t="shared" si="291"/>
        <v>129.32416725000002</v>
      </c>
      <c r="S30" s="3208">
        <f t="shared" si="292"/>
        <v>0</v>
      </c>
      <c r="T30" s="3136">
        <f t="shared" si="221"/>
        <v>0</v>
      </c>
      <c r="U30" s="3137"/>
      <c r="V30" s="3137"/>
      <c r="W30" s="3136">
        <f t="shared" si="224"/>
        <v>0</v>
      </c>
      <c r="X30" s="3137"/>
      <c r="Y30" s="3137"/>
      <c r="Z30" s="3136">
        <f t="shared" si="227"/>
        <v>0</v>
      </c>
      <c r="AA30" s="3137"/>
      <c r="AB30" s="3137"/>
      <c r="AC30" s="3136">
        <f t="shared" si="166"/>
        <v>0</v>
      </c>
      <c r="AD30" s="3136">
        <f t="shared" si="293"/>
        <v>0</v>
      </c>
      <c r="AE30" s="3136">
        <f t="shared" si="294"/>
        <v>0</v>
      </c>
      <c r="AF30" s="3209">
        <f t="shared" si="233"/>
        <v>258.64833450000003</v>
      </c>
      <c r="AG30" s="3209">
        <f t="shared" si="234"/>
        <v>258.64833450000003</v>
      </c>
      <c r="AH30" s="3209">
        <f t="shared" si="235"/>
        <v>0</v>
      </c>
      <c r="AI30" s="3264">
        <f t="shared" si="236"/>
        <v>0</v>
      </c>
      <c r="AJ30" s="3264">
        <f t="shared" si="237"/>
        <v>0</v>
      </c>
      <c r="AK30" s="3264">
        <f t="shared" si="238"/>
        <v>0</v>
      </c>
      <c r="AL30" s="3264">
        <f t="shared" si="239"/>
        <v>-258.64833450000003</v>
      </c>
      <c r="AM30" s="3264">
        <f t="shared" si="240"/>
        <v>-258.64833450000003</v>
      </c>
      <c r="AN30" s="3264">
        <f t="shared" si="241"/>
        <v>0</v>
      </c>
      <c r="AO30" s="3208">
        <f t="shared" si="295"/>
        <v>129.32416725000002</v>
      </c>
      <c r="AP30" s="3208">
        <f t="shared" si="296"/>
        <v>129.32416725000002</v>
      </c>
      <c r="AQ30" s="3208">
        <f t="shared" si="297"/>
        <v>0</v>
      </c>
      <c r="AR30" s="3136">
        <f t="shared" si="245"/>
        <v>0</v>
      </c>
      <c r="AS30" s="3137"/>
      <c r="AT30" s="3137"/>
      <c r="AU30" s="3136">
        <f t="shared" si="248"/>
        <v>0</v>
      </c>
      <c r="AV30" s="3137"/>
      <c r="AW30" s="3137"/>
      <c r="AX30" s="3136">
        <f t="shared" si="251"/>
        <v>0</v>
      </c>
      <c r="AY30" s="3137"/>
      <c r="AZ30" s="3137"/>
      <c r="BA30" s="3136">
        <f t="shared" si="298"/>
        <v>0</v>
      </c>
      <c r="BB30" s="3136">
        <f t="shared" si="299"/>
        <v>0</v>
      </c>
      <c r="BC30" s="3136">
        <f t="shared" si="300"/>
        <v>0</v>
      </c>
      <c r="BD30" s="3209">
        <f t="shared" si="257"/>
        <v>387.97250175000005</v>
      </c>
      <c r="BE30" s="3209">
        <f t="shared" si="258"/>
        <v>387.97250175000005</v>
      </c>
      <c r="BF30" s="3209">
        <f t="shared" si="259"/>
        <v>0</v>
      </c>
      <c r="BG30" s="3264">
        <f t="shared" si="260"/>
        <v>0</v>
      </c>
      <c r="BH30" s="3264">
        <f t="shared" si="261"/>
        <v>0</v>
      </c>
      <c r="BI30" s="3264">
        <f t="shared" si="262"/>
        <v>0</v>
      </c>
      <c r="BJ30" s="3264">
        <f t="shared" si="263"/>
        <v>-387.97250175000005</v>
      </c>
      <c r="BK30" s="3264">
        <f t="shared" si="264"/>
        <v>-387.97250175000005</v>
      </c>
      <c r="BL30" s="3264">
        <f t="shared" si="265"/>
        <v>0</v>
      </c>
      <c r="BM30" s="3208">
        <f t="shared" si="301"/>
        <v>129.32416725000002</v>
      </c>
      <c r="BN30" s="3208">
        <f t="shared" si="302"/>
        <v>129.32416725000002</v>
      </c>
      <c r="BO30" s="3208">
        <f t="shared" si="303"/>
        <v>0</v>
      </c>
      <c r="BP30" s="3136">
        <f t="shared" si="269"/>
        <v>0</v>
      </c>
      <c r="BQ30" s="3137"/>
      <c r="BR30" s="3137"/>
      <c r="BS30" s="3136">
        <f t="shared" si="272"/>
        <v>0</v>
      </c>
      <c r="BT30" s="3137"/>
      <c r="BU30" s="3137"/>
      <c r="BV30" s="3136">
        <f t="shared" si="275"/>
        <v>0</v>
      </c>
      <c r="BW30" s="3137"/>
      <c r="BX30" s="3137"/>
      <c r="BY30" s="3136">
        <f t="shared" si="304"/>
        <v>0</v>
      </c>
      <c r="BZ30" s="3136">
        <f t="shared" si="305"/>
        <v>0</v>
      </c>
      <c r="CA30" s="3136">
        <f t="shared" si="306"/>
        <v>0</v>
      </c>
      <c r="CB30" s="3209">
        <f t="shared" si="158"/>
        <v>517.29666900000007</v>
      </c>
      <c r="CC30" s="3286">
        <f>SUM(стоки!BN49)</f>
        <v>517.29666900000007</v>
      </c>
      <c r="CD30" s="3286">
        <v>0</v>
      </c>
      <c r="CE30" s="3264">
        <f t="shared" si="281"/>
        <v>0</v>
      </c>
      <c r="CF30" s="3264">
        <f t="shared" si="282"/>
        <v>0</v>
      </c>
      <c r="CG30" s="3264">
        <f t="shared" si="283"/>
        <v>0</v>
      </c>
      <c r="CH30" s="3264">
        <f t="shared" si="134"/>
        <v>-517.29666900000007</v>
      </c>
      <c r="CI30" s="3264">
        <f t="shared" si="284"/>
        <v>-517.29666900000007</v>
      </c>
      <c r="CJ30" s="3264">
        <f t="shared" si="285"/>
        <v>0</v>
      </c>
      <c r="CK30" s="3259"/>
      <c r="CL30" s="3259"/>
      <c r="CM30" s="3259"/>
    </row>
    <row r="31" spans="1:91" ht="18.75" customHeight="1" x14ac:dyDescent="0.3">
      <c r="A31" s="3172" t="s">
        <v>602</v>
      </c>
      <c r="B31" s="3277">
        <f>SUM(C31:D31)</f>
        <v>39.590029999999999</v>
      </c>
      <c r="C31" s="3277">
        <f t="shared" ref="C31:D31" si="307">SUM(C32:C33)</f>
        <v>39.590029999999999</v>
      </c>
      <c r="D31" s="3277">
        <f t="shared" si="307"/>
        <v>0</v>
      </c>
      <c r="E31" s="3136">
        <f>SUM(E32:E33)</f>
        <v>2.14</v>
      </c>
      <c r="F31" s="3136">
        <f t="shared" ref="F31:G31" si="308">SUM(F32:F33)</f>
        <v>2.14</v>
      </c>
      <c r="G31" s="3136">
        <f t="shared" si="308"/>
        <v>0</v>
      </c>
      <c r="H31" s="3136">
        <f>SUM(H32:H33)</f>
        <v>2.02</v>
      </c>
      <c r="I31" s="3136">
        <f t="shared" ref="I31" si="309">SUM(I32:I33)</f>
        <v>2.02</v>
      </c>
      <c r="J31" s="3136">
        <f t="shared" ref="J31" si="310">SUM(J32:J33)</f>
        <v>0</v>
      </c>
      <c r="K31" s="3136">
        <f>SUM(K32:K33)</f>
        <v>0.06</v>
      </c>
      <c r="L31" s="3136">
        <f t="shared" ref="L31" si="311">SUM(L32:L33)</f>
        <v>0.06</v>
      </c>
      <c r="M31" s="3136">
        <f t="shared" ref="M31" si="312">SUM(M32:M33)</f>
        <v>0</v>
      </c>
      <c r="N31" s="3136">
        <f t="shared" si="289"/>
        <v>4.22</v>
      </c>
      <c r="O31" s="3136">
        <f t="shared" si="290"/>
        <v>4.22</v>
      </c>
      <c r="P31" s="3136">
        <f t="shared" si="290"/>
        <v>0</v>
      </c>
      <c r="Q31" s="3277">
        <f>SUM(R31:S31)</f>
        <v>39.590029999999999</v>
      </c>
      <c r="R31" s="3277">
        <f t="shared" ref="R31" si="313">SUM(R32:R33)</f>
        <v>39.590029999999999</v>
      </c>
      <c r="S31" s="3277">
        <f t="shared" ref="S31" si="314">SUM(S32:S33)</f>
        <v>0</v>
      </c>
      <c r="T31" s="3136">
        <f>SUM(T32:T33)</f>
        <v>0.03</v>
      </c>
      <c r="U31" s="3136">
        <f t="shared" ref="U31" si="315">SUM(U32:U33)</f>
        <v>0.03</v>
      </c>
      <c r="V31" s="3136">
        <f t="shared" ref="V31" si="316">SUM(V32:V33)</f>
        <v>0</v>
      </c>
      <c r="W31" s="3136">
        <f>SUM(W32:W33)</f>
        <v>0.3</v>
      </c>
      <c r="X31" s="3136">
        <f t="shared" ref="X31" si="317">SUM(X32:X33)</f>
        <v>0.3</v>
      </c>
      <c r="Y31" s="3136">
        <f t="shared" ref="Y31" si="318">SUM(Y32:Y33)</f>
        <v>0</v>
      </c>
      <c r="Z31" s="3136">
        <f>SUM(Z32:Z33)</f>
        <v>0.84</v>
      </c>
      <c r="AA31" s="3136">
        <f t="shared" ref="AA31" si="319">SUM(AA32:AA33)</f>
        <v>0.84</v>
      </c>
      <c r="AB31" s="3136">
        <f t="shared" ref="AB31" si="320">SUM(AB32:AB33)</f>
        <v>0</v>
      </c>
      <c r="AC31" s="3136">
        <f t="shared" si="166"/>
        <v>1.17</v>
      </c>
      <c r="AD31" s="3136">
        <f t="shared" si="293"/>
        <v>1.17</v>
      </c>
      <c r="AE31" s="3136">
        <f t="shared" si="294"/>
        <v>0</v>
      </c>
      <c r="AF31" s="3209">
        <f t="shared" si="233"/>
        <v>79.180059999999997</v>
      </c>
      <c r="AG31" s="3209">
        <f t="shared" si="234"/>
        <v>79.180059999999997</v>
      </c>
      <c r="AH31" s="3209">
        <f t="shared" si="235"/>
        <v>0</v>
      </c>
      <c r="AI31" s="3264">
        <f t="shared" si="236"/>
        <v>5.39</v>
      </c>
      <c r="AJ31" s="3264">
        <f t="shared" si="237"/>
        <v>5.39</v>
      </c>
      <c r="AK31" s="3264">
        <f t="shared" si="238"/>
        <v>0</v>
      </c>
      <c r="AL31" s="3264">
        <f t="shared" si="239"/>
        <v>-73.790059999999997</v>
      </c>
      <c r="AM31" s="3264">
        <f t="shared" si="240"/>
        <v>-73.790059999999997</v>
      </c>
      <c r="AN31" s="3264">
        <f t="shared" si="241"/>
        <v>0</v>
      </c>
      <c r="AO31" s="3277">
        <f>SUM(AP31:AQ31)</f>
        <v>39.590029999999999</v>
      </c>
      <c r="AP31" s="3277">
        <f t="shared" ref="AP31" si="321">SUM(AP32:AP33)</f>
        <v>39.590029999999999</v>
      </c>
      <c r="AQ31" s="3277">
        <f t="shared" ref="AQ31" si="322">SUM(AQ32:AQ33)</f>
        <v>0</v>
      </c>
      <c r="AR31" s="3136">
        <f>SUM(AR32:AR33)</f>
        <v>0.06</v>
      </c>
      <c r="AS31" s="3136">
        <f t="shared" ref="AS31" si="323">SUM(AS32:AS33)</f>
        <v>0.06</v>
      </c>
      <c r="AT31" s="3136">
        <f t="shared" ref="AT31" si="324">SUM(AT32:AT33)</f>
        <v>0</v>
      </c>
      <c r="AU31" s="3136">
        <f>SUM(AU32:AU33)</f>
        <v>0.03</v>
      </c>
      <c r="AV31" s="3136">
        <f t="shared" ref="AV31" si="325">SUM(AV32:AV33)</f>
        <v>0.03</v>
      </c>
      <c r="AW31" s="3136">
        <f t="shared" ref="AW31" si="326">SUM(AW32:AW33)</f>
        <v>0</v>
      </c>
      <c r="AX31" s="3136">
        <f>SUM(AX32:AX33)</f>
        <v>0.04</v>
      </c>
      <c r="AY31" s="3136">
        <f t="shared" ref="AY31" si="327">SUM(AY32:AY33)</f>
        <v>0.04</v>
      </c>
      <c r="AZ31" s="3136">
        <f t="shared" ref="AZ31" si="328">SUM(AZ32:AZ33)</f>
        <v>0</v>
      </c>
      <c r="BA31" s="3136">
        <f t="shared" si="298"/>
        <v>0.13</v>
      </c>
      <c r="BB31" s="3136">
        <f t="shared" si="299"/>
        <v>0.13</v>
      </c>
      <c r="BC31" s="3136">
        <f t="shared" si="300"/>
        <v>0</v>
      </c>
      <c r="BD31" s="3209">
        <f t="shared" si="257"/>
        <v>118.77009</v>
      </c>
      <c r="BE31" s="3209">
        <f t="shared" si="258"/>
        <v>118.77009</v>
      </c>
      <c r="BF31" s="3209">
        <f t="shared" si="259"/>
        <v>0</v>
      </c>
      <c r="BG31" s="3264">
        <f t="shared" si="260"/>
        <v>5.52</v>
      </c>
      <c r="BH31" s="3264">
        <f t="shared" si="261"/>
        <v>5.52</v>
      </c>
      <c r="BI31" s="3264">
        <f t="shared" si="262"/>
        <v>0</v>
      </c>
      <c r="BJ31" s="3264">
        <f t="shared" si="263"/>
        <v>-113.25009</v>
      </c>
      <c r="BK31" s="3264">
        <f t="shared" si="264"/>
        <v>-113.25009</v>
      </c>
      <c r="BL31" s="3264">
        <f t="shared" si="265"/>
        <v>0</v>
      </c>
      <c r="BM31" s="3277">
        <f>SUM(BN31:BO31)</f>
        <v>39.590029999999999</v>
      </c>
      <c r="BN31" s="3277">
        <f t="shared" ref="BN31" si="329">SUM(BN32:BN33)</f>
        <v>39.590029999999999</v>
      </c>
      <c r="BO31" s="3277">
        <f t="shared" ref="BO31" si="330">SUM(BO32:BO33)</f>
        <v>0</v>
      </c>
      <c r="BP31" s="3136">
        <f>SUM(BP32:BP33)</f>
        <v>0</v>
      </c>
      <c r="BQ31" s="3136">
        <f t="shared" ref="BQ31" si="331">SUM(BQ32:BQ33)</f>
        <v>0</v>
      </c>
      <c r="BR31" s="3136">
        <f t="shared" ref="BR31" si="332">SUM(BR32:BR33)</f>
        <v>0</v>
      </c>
      <c r="BS31" s="3136">
        <f>SUM(BS32:BS33)</f>
        <v>0</v>
      </c>
      <c r="BT31" s="3136">
        <f t="shared" ref="BT31" si="333">SUM(BT32:BT33)</f>
        <v>0</v>
      </c>
      <c r="BU31" s="3136">
        <f t="shared" ref="BU31" si="334">SUM(BU32:BU33)</f>
        <v>0</v>
      </c>
      <c r="BV31" s="3136">
        <f>SUM(BV32:BV33)</f>
        <v>0</v>
      </c>
      <c r="BW31" s="3136">
        <f t="shared" ref="BW31" si="335">SUM(BW32:BW33)</f>
        <v>0</v>
      </c>
      <c r="BX31" s="3136">
        <f t="shared" ref="BX31" si="336">SUM(BX32:BX33)</f>
        <v>0</v>
      </c>
      <c r="BY31" s="3136">
        <f t="shared" si="304"/>
        <v>0</v>
      </c>
      <c r="BZ31" s="3136">
        <f t="shared" si="305"/>
        <v>0</v>
      </c>
      <c r="CA31" s="3136">
        <f t="shared" si="306"/>
        <v>0</v>
      </c>
      <c r="CB31" s="3209">
        <f t="shared" si="158"/>
        <v>158.36011999999999</v>
      </c>
      <c r="CC31" s="3287">
        <f t="shared" ref="CC31:CD31" si="337">SUM(CC32:CC33)</f>
        <v>158.36011999999999</v>
      </c>
      <c r="CD31" s="3287">
        <f t="shared" si="337"/>
        <v>0</v>
      </c>
      <c r="CE31" s="3264">
        <f t="shared" si="281"/>
        <v>5.52</v>
      </c>
      <c r="CF31" s="3264">
        <f t="shared" si="282"/>
        <v>5.52</v>
      </c>
      <c r="CG31" s="3264">
        <f t="shared" si="283"/>
        <v>0</v>
      </c>
      <c r="CH31" s="3264">
        <f t="shared" si="134"/>
        <v>-152.84011999999998</v>
      </c>
      <c r="CI31" s="3264">
        <f t="shared" si="284"/>
        <v>-152.84011999999998</v>
      </c>
      <c r="CJ31" s="3264">
        <f t="shared" si="285"/>
        <v>0</v>
      </c>
      <c r="CK31" s="3259"/>
      <c r="CL31" s="3259"/>
      <c r="CM31" s="3259"/>
    </row>
    <row r="32" spans="1:91" ht="18.75" customHeight="1" x14ac:dyDescent="0.3">
      <c r="A32" s="3079" t="s">
        <v>557</v>
      </c>
      <c r="B32" s="3210">
        <f t="shared" ref="B32:B33" si="338">SUM(C32:D32)</f>
        <v>37.997529999999998</v>
      </c>
      <c r="C32" s="3210">
        <f t="shared" ref="C32:C33" si="339">SUM(CC32/4)</f>
        <v>37.997529999999998</v>
      </c>
      <c r="D32" s="3210">
        <f t="shared" ref="D32:D33" si="340">SUM(CD32/4)</f>
        <v>0</v>
      </c>
      <c r="E32" s="3145">
        <f t="shared" si="138"/>
        <v>2.14</v>
      </c>
      <c r="F32" s="3149">
        <v>2.14</v>
      </c>
      <c r="G32" s="3149"/>
      <c r="H32" s="3145">
        <f t="shared" ref="H32:H33" si="341">SUM(I32:J32)</f>
        <v>2.02</v>
      </c>
      <c r="I32" s="3149">
        <v>2.02</v>
      </c>
      <c r="J32" s="3149"/>
      <c r="K32" s="3145">
        <f t="shared" ref="K32:K33" si="342">SUM(L32:M32)</f>
        <v>0.06</v>
      </c>
      <c r="L32" s="3149">
        <v>0.06</v>
      </c>
      <c r="M32" s="3149"/>
      <c r="N32" s="3145">
        <f t="shared" si="289"/>
        <v>4.22</v>
      </c>
      <c r="O32" s="3145">
        <f t="shared" si="290"/>
        <v>4.22</v>
      </c>
      <c r="P32" s="3145">
        <f t="shared" si="290"/>
        <v>0</v>
      </c>
      <c r="Q32" s="3210">
        <f t="shared" ref="Q32:Q33" si="343">SUM(R32:S32)</f>
        <v>37.997529999999998</v>
      </c>
      <c r="R32" s="3210">
        <f t="shared" ref="R32:R33" si="344">SUM(C32)</f>
        <v>37.997529999999998</v>
      </c>
      <c r="S32" s="3210">
        <f t="shared" ref="S32:S33" si="345">SUM(D32)</f>
        <v>0</v>
      </c>
      <c r="T32" s="3145">
        <f t="shared" ref="T32:T33" si="346">SUM(U32:V32)</f>
        <v>0.03</v>
      </c>
      <c r="U32" s="3149">
        <v>0.03</v>
      </c>
      <c r="V32" s="3149"/>
      <c r="W32" s="3145">
        <f t="shared" ref="W32:W33" si="347">SUM(X32:Y32)</f>
        <v>0.3</v>
      </c>
      <c r="X32" s="3149">
        <v>0.3</v>
      </c>
      <c r="Y32" s="3149"/>
      <c r="Z32" s="3145">
        <f t="shared" ref="Z32:Z33" si="348">SUM(AA32:AB32)</f>
        <v>0.84</v>
      </c>
      <c r="AA32" s="3149">
        <v>0.84</v>
      </c>
      <c r="AB32" s="3149"/>
      <c r="AC32" s="3145">
        <f t="shared" si="166"/>
        <v>1.17</v>
      </c>
      <c r="AD32" s="3145">
        <f t="shared" si="293"/>
        <v>1.17</v>
      </c>
      <c r="AE32" s="3145">
        <f t="shared" si="294"/>
        <v>0</v>
      </c>
      <c r="AF32" s="3211">
        <f t="shared" si="233"/>
        <v>75.995059999999995</v>
      </c>
      <c r="AG32" s="3211">
        <f t="shared" si="234"/>
        <v>75.995059999999995</v>
      </c>
      <c r="AH32" s="3211">
        <f t="shared" si="235"/>
        <v>0</v>
      </c>
      <c r="AI32" s="3194">
        <f t="shared" si="236"/>
        <v>5.39</v>
      </c>
      <c r="AJ32" s="3194">
        <f t="shared" si="237"/>
        <v>5.39</v>
      </c>
      <c r="AK32" s="3194">
        <f t="shared" si="238"/>
        <v>0</v>
      </c>
      <c r="AL32" s="3194">
        <f t="shared" si="239"/>
        <v>-70.605059999999995</v>
      </c>
      <c r="AM32" s="3194">
        <f t="shared" si="240"/>
        <v>-70.605059999999995</v>
      </c>
      <c r="AN32" s="3194">
        <f t="shared" si="241"/>
        <v>0</v>
      </c>
      <c r="AO32" s="3210">
        <f t="shared" ref="AO32:AO33" si="349">SUM(AP32:AQ32)</f>
        <v>37.997529999999998</v>
      </c>
      <c r="AP32" s="3210">
        <f t="shared" ref="AP32:AP33" si="350">SUM(CC32-AG32)/2</f>
        <v>37.997529999999998</v>
      </c>
      <c r="AQ32" s="3210">
        <f t="shared" ref="AQ32:AQ33" si="351">SUM(CD32-AH32)/2</f>
        <v>0</v>
      </c>
      <c r="AR32" s="3145">
        <f t="shared" ref="AR32:AR33" si="352">SUM(AS32:AT32)</f>
        <v>0.06</v>
      </c>
      <c r="AS32" s="3149">
        <v>0.06</v>
      </c>
      <c r="AT32" s="3149"/>
      <c r="AU32" s="3145">
        <f t="shared" ref="AU32:AU33" si="353">SUM(AV32:AW32)</f>
        <v>0.03</v>
      </c>
      <c r="AV32" s="3149">
        <v>0.03</v>
      </c>
      <c r="AW32" s="3149"/>
      <c r="AX32" s="3145">
        <f t="shared" ref="AX32:AX33" si="354">SUM(AY32:AZ32)</f>
        <v>0.04</v>
      </c>
      <c r="AY32" s="3149">
        <v>0.04</v>
      </c>
      <c r="AZ32" s="3149"/>
      <c r="BA32" s="3145">
        <f t="shared" si="298"/>
        <v>0.13</v>
      </c>
      <c r="BB32" s="3145">
        <f t="shared" si="299"/>
        <v>0.13</v>
      </c>
      <c r="BC32" s="3145">
        <f t="shared" si="300"/>
        <v>0</v>
      </c>
      <c r="BD32" s="3211">
        <f t="shared" si="257"/>
        <v>113.99258999999999</v>
      </c>
      <c r="BE32" s="3211">
        <f t="shared" si="258"/>
        <v>113.99258999999999</v>
      </c>
      <c r="BF32" s="3211">
        <f t="shared" si="259"/>
        <v>0</v>
      </c>
      <c r="BG32" s="3194">
        <f t="shared" si="260"/>
        <v>5.52</v>
      </c>
      <c r="BH32" s="3194">
        <f t="shared" si="261"/>
        <v>5.52</v>
      </c>
      <c r="BI32" s="3194">
        <f t="shared" si="262"/>
        <v>0</v>
      </c>
      <c r="BJ32" s="3194">
        <f t="shared" si="263"/>
        <v>-108.47259</v>
      </c>
      <c r="BK32" s="3194">
        <f t="shared" si="264"/>
        <v>-108.47259</v>
      </c>
      <c r="BL32" s="3194">
        <f t="shared" si="265"/>
        <v>0</v>
      </c>
      <c r="BM32" s="3210">
        <f t="shared" ref="BM32:BM33" si="355">SUM(BN32:BO32)</f>
        <v>37.997529999999998</v>
      </c>
      <c r="BN32" s="3210">
        <f t="shared" ref="BN32:BN33" si="356">SUM(AP32)</f>
        <v>37.997529999999998</v>
      </c>
      <c r="BO32" s="3210">
        <f t="shared" ref="BO32:BO33" si="357">SUM(AQ32)</f>
        <v>0</v>
      </c>
      <c r="BP32" s="3145">
        <f t="shared" ref="BP32:BP33" si="358">SUM(BQ32:BR32)</f>
        <v>0</v>
      </c>
      <c r="BQ32" s="3149"/>
      <c r="BR32" s="3149"/>
      <c r="BS32" s="3145">
        <f t="shared" ref="BS32:BS33" si="359">SUM(BT32:BU32)</f>
        <v>0</v>
      </c>
      <c r="BT32" s="3149"/>
      <c r="BU32" s="3149"/>
      <c r="BV32" s="3145">
        <f t="shared" ref="BV32:BV33" si="360">SUM(BW32:BX32)</f>
        <v>0</v>
      </c>
      <c r="BW32" s="3149"/>
      <c r="BX32" s="3149"/>
      <c r="BY32" s="3145">
        <f t="shared" si="304"/>
        <v>0</v>
      </c>
      <c r="BZ32" s="3145">
        <f t="shared" si="305"/>
        <v>0</v>
      </c>
      <c r="CA32" s="3145">
        <f t="shared" si="306"/>
        <v>0</v>
      </c>
      <c r="CB32" s="3211">
        <f t="shared" si="158"/>
        <v>151.99011999999999</v>
      </c>
      <c r="CC32" s="3288">
        <v>151.99011999999999</v>
      </c>
      <c r="CD32" s="3288">
        <v>0</v>
      </c>
      <c r="CE32" s="3194">
        <f t="shared" si="281"/>
        <v>5.52</v>
      </c>
      <c r="CF32" s="3194">
        <f t="shared" si="282"/>
        <v>5.52</v>
      </c>
      <c r="CG32" s="3194">
        <f t="shared" si="283"/>
        <v>0</v>
      </c>
      <c r="CH32" s="3194">
        <f t="shared" si="134"/>
        <v>-146.47011999999998</v>
      </c>
      <c r="CI32" s="3194">
        <f t="shared" si="284"/>
        <v>-146.47011999999998</v>
      </c>
      <c r="CJ32" s="3194">
        <f t="shared" si="285"/>
        <v>0</v>
      </c>
      <c r="CK32" s="3259"/>
      <c r="CL32" s="3259"/>
      <c r="CM32" s="3259"/>
    </row>
    <row r="33" spans="1:91" ht="18.75" customHeight="1" x14ac:dyDescent="0.3">
      <c r="A33" s="3079" t="s">
        <v>558</v>
      </c>
      <c r="B33" s="3210">
        <f t="shared" si="338"/>
        <v>1.5925</v>
      </c>
      <c r="C33" s="3210">
        <f t="shared" si="339"/>
        <v>1.5925</v>
      </c>
      <c r="D33" s="3210">
        <f t="shared" si="340"/>
        <v>0</v>
      </c>
      <c r="E33" s="3145">
        <f t="shared" si="138"/>
        <v>0</v>
      </c>
      <c r="F33" s="3149"/>
      <c r="G33" s="3149"/>
      <c r="H33" s="3145">
        <f t="shared" si="341"/>
        <v>0</v>
      </c>
      <c r="I33" s="3149"/>
      <c r="J33" s="3149"/>
      <c r="K33" s="3145">
        <f t="shared" si="342"/>
        <v>0</v>
      </c>
      <c r="L33" s="3149"/>
      <c r="M33" s="3149"/>
      <c r="N33" s="3145">
        <f t="shared" si="289"/>
        <v>0</v>
      </c>
      <c r="O33" s="3145">
        <f t="shared" si="290"/>
        <v>0</v>
      </c>
      <c r="P33" s="3145">
        <f t="shared" si="290"/>
        <v>0</v>
      </c>
      <c r="Q33" s="3210">
        <f t="shared" si="343"/>
        <v>1.5925</v>
      </c>
      <c r="R33" s="3210">
        <f t="shared" si="344"/>
        <v>1.5925</v>
      </c>
      <c r="S33" s="3210">
        <f t="shared" si="345"/>
        <v>0</v>
      </c>
      <c r="T33" s="3145">
        <f t="shared" si="346"/>
        <v>0</v>
      </c>
      <c r="U33" s="3149"/>
      <c r="V33" s="3149"/>
      <c r="W33" s="3145">
        <f t="shared" si="347"/>
        <v>0</v>
      </c>
      <c r="X33" s="3149"/>
      <c r="Y33" s="3149"/>
      <c r="Z33" s="3145">
        <f t="shared" si="348"/>
        <v>0</v>
      </c>
      <c r="AA33" s="3149"/>
      <c r="AB33" s="3149"/>
      <c r="AC33" s="3145">
        <f t="shared" si="166"/>
        <v>0</v>
      </c>
      <c r="AD33" s="3145">
        <f t="shared" si="293"/>
        <v>0</v>
      </c>
      <c r="AE33" s="3145">
        <f t="shared" si="294"/>
        <v>0</v>
      </c>
      <c r="AF33" s="3211">
        <f t="shared" si="233"/>
        <v>3.1850000000000001</v>
      </c>
      <c r="AG33" s="3211">
        <f t="shared" si="234"/>
        <v>3.1850000000000001</v>
      </c>
      <c r="AH33" s="3211">
        <f t="shared" si="235"/>
        <v>0</v>
      </c>
      <c r="AI33" s="3194">
        <f t="shared" si="236"/>
        <v>0</v>
      </c>
      <c r="AJ33" s="3194">
        <f t="shared" si="237"/>
        <v>0</v>
      </c>
      <c r="AK33" s="3194">
        <f t="shared" si="238"/>
        <v>0</v>
      </c>
      <c r="AL33" s="3194">
        <f t="shared" si="239"/>
        <v>-3.1850000000000001</v>
      </c>
      <c r="AM33" s="3194">
        <f t="shared" si="240"/>
        <v>-3.1850000000000001</v>
      </c>
      <c r="AN33" s="3194">
        <f t="shared" si="241"/>
        <v>0</v>
      </c>
      <c r="AO33" s="3210">
        <f t="shared" si="349"/>
        <v>1.5925</v>
      </c>
      <c r="AP33" s="3210">
        <f t="shared" si="350"/>
        <v>1.5925</v>
      </c>
      <c r="AQ33" s="3210">
        <f t="shared" si="351"/>
        <v>0</v>
      </c>
      <c r="AR33" s="3145">
        <f t="shared" si="352"/>
        <v>0</v>
      </c>
      <c r="AS33" s="3149"/>
      <c r="AT33" s="3149"/>
      <c r="AU33" s="3145">
        <f t="shared" si="353"/>
        <v>0</v>
      </c>
      <c r="AV33" s="3149"/>
      <c r="AW33" s="3149"/>
      <c r="AX33" s="3145">
        <f t="shared" si="354"/>
        <v>0</v>
      </c>
      <c r="AY33" s="3149"/>
      <c r="AZ33" s="3149"/>
      <c r="BA33" s="3145">
        <f t="shared" si="298"/>
        <v>0</v>
      </c>
      <c r="BB33" s="3145">
        <f t="shared" si="299"/>
        <v>0</v>
      </c>
      <c r="BC33" s="3145">
        <f t="shared" si="300"/>
        <v>0</v>
      </c>
      <c r="BD33" s="3211">
        <f t="shared" si="257"/>
        <v>4.7774999999999999</v>
      </c>
      <c r="BE33" s="3211">
        <f t="shared" si="258"/>
        <v>4.7774999999999999</v>
      </c>
      <c r="BF33" s="3211">
        <f t="shared" si="259"/>
        <v>0</v>
      </c>
      <c r="BG33" s="3194">
        <f t="shared" si="260"/>
        <v>0</v>
      </c>
      <c r="BH33" s="3194">
        <f t="shared" si="261"/>
        <v>0</v>
      </c>
      <c r="BI33" s="3194">
        <f t="shared" si="262"/>
        <v>0</v>
      </c>
      <c r="BJ33" s="3194">
        <f t="shared" si="263"/>
        <v>-4.7774999999999999</v>
      </c>
      <c r="BK33" s="3194">
        <f t="shared" si="264"/>
        <v>-4.7774999999999999</v>
      </c>
      <c r="BL33" s="3194">
        <f t="shared" si="265"/>
        <v>0</v>
      </c>
      <c r="BM33" s="3210">
        <f t="shared" si="355"/>
        <v>1.5925</v>
      </c>
      <c r="BN33" s="3210">
        <f t="shared" si="356"/>
        <v>1.5925</v>
      </c>
      <c r="BO33" s="3210">
        <f t="shared" si="357"/>
        <v>0</v>
      </c>
      <c r="BP33" s="3145">
        <f t="shared" si="358"/>
        <v>0</v>
      </c>
      <c r="BQ33" s="3149"/>
      <c r="BR33" s="3149"/>
      <c r="BS33" s="3145">
        <f t="shared" si="359"/>
        <v>0</v>
      </c>
      <c r="BT33" s="3149"/>
      <c r="BU33" s="3149"/>
      <c r="BV33" s="3145">
        <f t="shared" si="360"/>
        <v>0</v>
      </c>
      <c r="BW33" s="3149"/>
      <c r="BX33" s="3149"/>
      <c r="BY33" s="3145">
        <f t="shared" si="304"/>
        <v>0</v>
      </c>
      <c r="BZ33" s="3145">
        <f t="shared" si="305"/>
        <v>0</v>
      </c>
      <c r="CA33" s="3145">
        <f t="shared" si="306"/>
        <v>0</v>
      </c>
      <c r="CB33" s="3211">
        <f t="shared" si="158"/>
        <v>6.37</v>
      </c>
      <c r="CC33" s="3288">
        <v>6.37</v>
      </c>
      <c r="CD33" s="3288">
        <v>0</v>
      </c>
      <c r="CE33" s="3194">
        <f t="shared" si="281"/>
        <v>0</v>
      </c>
      <c r="CF33" s="3194">
        <f t="shared" si="282"/>
        <v>0</v>
      </c>
      <c r="CG33" s="3194">
        <f t="shared" si="283"/>
        <v>0</v>
      </c>
      <c r="CH33" s="3194">
        <f t="shared" si="134"/>
        <v>-6.37</v>
      </c>
      <c r="CI33" s="3194">
        <f t="shared" si="284"/>
        <v>-6.37</v>
      </c>
      <c r="CJ33" s="3194">
        <f t="shared" si="285"/>
        <v>0</v>
      </c>
      <c r="CK33" s="3259"/>
      <c r="CL33" s="3259"/>
      <c r="CM33" s="3259"/>
    </row>
    <row r="34" spans="1:91" ht="18.75" customHeight="1" x14ac:dyDescent="0.3">
      <c r="A34" s="3172" t="s">
        <v>605</v>
      </c>
      <c r="B34" s="3277">
        <f>SUM(C34:D34)</f>
        <v>6.0875000000000004</v>
      </c>
      <c r="C34" s="3277">
        <f t="shared" ref="C34:D34" si="361">SUM(C35)</f>
        <v>6.0875000000000004</v>
      </c>
      <c r="D34" s="3277">
        <f t="shared" si="361"/>
        <v>0</v>
      </c>
      <c r="E34" s="3136">
        <f>SUM(E35)</f>
        <v>0</v>
      </c>
      <c r="F34" s="3136">
        <f t="shared" ref="F34:G34" si="362">SUM(F35)</f>
        <v>0</v>
      </c>
      <c r="G34" s="3136">
        <f t="shared" si="362"/>
        <v>0</v>
      </c>
      <c r="H34" s="3136">
        <f>SUM(H35)</f>
        <v>0</v>
      </c>
      <c r="I34" s="3136">
        <f t="shared" ref="I34" si="363">SUM(I35)</f>
        <v>0</v>
      </c>
      <c r="J34" s="3136">
        <f t="shared" ref="J34" si="364">SUM(J35)</f>
        <v>0</v>
      </c>
      <c r="K34" s="3136">
        <f>SUM(K35)</f>
        <v>0</v>
      </c>
      <c r="L34" s="3136">
        <f t="shared" ref="L34" si="365">SUM(L35)</f>
        <v>0</v>
      </c>
      <c r="M34" s="3136">
        <f t="shared" ref="M34" si="366">SUM(M35)</f>
        <v>0</v>
      </c>
      <c r="N34" s="3136">
        <f t="shared" si="289"/>
        <v>0</v>
      </c>
      <c r="O34" s="3136">
        <f t="shared" si="290"/>
        <v>0</v>
      </c>
      <c r="P34" s="3136">
        <f t="shared" si="290"/>
        <v>0</v>
      </c>
      <c r="Q34" s="3277">
        <f>SUM(R34:S34)</f>
        <v>6.0875000000000004</v>
      </c>
      <c r="R34" s="3277">
        <f t="shared" ref="R34" si="367">SUM(R35)</f>
        <v>6.0875000000000004</v>
      </c>
      <c r="S34" s="3277">
        <f t="shared" ref="S34" si="368">SUM(S35)</f>
        <v>0</v>
      </c>
      <c r="T34" s="3136">
        <f>SUM(T35)</f>
        <v>0</v>
      </c>
      <c r="U34" s="3136">
        <f t="shared" ref="U34" si="369">SUM(U35)</f>
        <v>0</v>
      </c>
      <c r="V34" s="3136">
        <f t="shared" ref="V34" si="370">SUM(V35)</f>
        <v>0</v>
      </c>
      <c r="W34" s="3136">
        <f>SUM(W35)</f>
        <v>0</v>
      </c>
      <c r="X34" s="3136">
        <f t="shared" ref="X34" si="371">SUM(X35)</f>
        <v>0</v>
      </c>
      <c r="Y34" s="3136">
        <f t="shared" ref="Y34" si="372">SUM(Y35)</f>
        <v>0</v>
      </c>
      <c r="Z34" s="3136">
        <f>SUM(Z35)</f>
        <v>0</v>
      </c>
      <c r="AA34" s="3136">
        <f t="shared" ref="AA34" si="373">SUM(AA35)</f>
        <v>0</v>
      </c>
      <c r="AB34" s="3136">
        <f t="shared" ref="AB34" si="374">SUM(AB35)</f>
        <v>0</v>
      </c>
      <c r="AC34" s="3136">
        <f t="shared" si="166"/>
        <v>0</v>
      </c>
      <c r="AD34" s="3136">
        <f t="shared" si="293"/>
        <v>0</v>
      </c>
      <c r="AE34" s="3136">
        <f t="shared" si="294"/>
        <v>0</v>
      </c>
      <c r="AF34" s="3209">
        <f t="shared" si="233"/>
        <v>12.175000000000001</v>
      </c>
      <c r="AG34" s="3209">
        <f t="shared" si="234"/>
        <v>12.175000000000001</v>
      </c>
      <c r="AH34" s="3209">
        <f t="shared" si="235"/>
        <v>0</v>
      </c>
      <c r="AI34" s="3264">
        <f t="shared" si="236"/>
        <v>0</v>
      </c>
      <c r="AJ34" s="3264">
        <f t="shared" si="237"/>
        <v>0</v>
      </c>
      <c r="AK34" s="3264">
        <f t="shared" si="238"/>
        <v>0</v>
      </c>
      <c r="AL34" s="3264">
        <f t="shared" si="239"/>
        <v>-12.175000000000001</v>
      </c>
      <c r="AM34" s="3264">
        <f t="shared" si="240"/>
        <v>-12.175000000000001</v>
      </c>
      <c r="AN34" s="3264">
        <f t="shared" si="241"/>
        <v>0</v>
      </c>
      <c r="AO34" s="3277">
        <f>SUM(AP34:AQ34)</f>
        <v>6.0875000000000004</v>
      </c>
      <c r="AP34" s="3277">
        <f t="shared" ref="AP34" si="375">SUM(AP35)</f>
        <v>6.0875000000000004</v>
      </c>
      <c r="AQ34" s="3277">
        <f t="shared" ref="AQ34" si="376">SUM(AQ35)</f>
        <v>0</v>
      </c>
      <c r="AR34" s="3136">
        <f>SUM(AR35)</f>
        <v>28.08</v>
      </c>
      <c r="AS34" s="3136">
        <f t="shared" ref="AS34" si="377">SUM(AS35)</f>
        <v>28.08</v>
      </c>
      <c r="AT34" s="3136">
        <f t="shared" ref="AT34" si="378">SUM(AT35)</f>
        <v>0</v>
      </c>
      <c r="AU34" s="3136">
        <f>SUM(AU35)</f>
        <v>0</v>
      </c>
      <c r="AV34" s="3136">
        <f t="shared" ref="AV34" si="379">SUM(AV35)</f>
        <v>0</v>
      </c>
      <c r="AW34" s="3136">
        <f t="shared" ref="AW34" si="380">SUM(AW35)</f>
        <v>0</v>
      </c>
      <c r="AX34" s="3136">
        <f>SUM(AX35)</f>
        <v>0</v>
      </c>
      <c r="AY34" s="3136">
        <f t="shared" ref="AY34" si="381">SUM(AY35)</f>
        <v>0</v>
      </c>
      <c r="AZ34" s="3136">
        <f t="shared" ref="AZ34" si="382">SUM(AZ35)</f>
        <v>0</v>
      </c>
      <c r="BA34" s="3136">
        <f t="shared" si="298"/>
        <v>28.08</v>
      </c>
      <c r="BB34" s="3136">
        <f t="shared" si="299"/>
        <v>28.08</v>
      </c>
      <c r="BC34" s="3136">
        <f t="shared" si="300"/>
        <v>0</v>
      </c>
      <c r="BD34" s="3209">
        <f t="shared" si="257"/>
        <v>18.262500000000003</v>
      </c>
      <c r="BE34" s="3209">
        <f t="shared" si="258"/>
        <v>18.262500000000003</v>
      </c>
      <c r="BF34" s="3209">
        <f t="shared" si="259"/>
        <v>0</v>
      </c>
      <c r="BG34" s="3264">
        <f t="shared" si="260"/>
        <v>28.08</v>
      </c>
      <c r="BH34" s="3264">
        <f t="shared" si="261"/>
        <v>28.08</v>
      </c>
      <c r="BI34" s="3264">
        <f t="shared" si="262"/>
        <v>0</v>
      </c>
      <c r="BJ34" s="3264">
        <f t="shared" si="263"/>
        <v>9.8174999999999955</v>
      </c>
      <c r="BK34" s="3264">
        <f t="shared" si="264"/>
        <v>9.8174999999999955</v>
      </c>
      <c r="BL34" s="3264">
        <f t="shared" si="265"/>
        <v>0</v>
      </c>
      <c r="BM34" s="3277">
        <f>SUM(BN34:BO34)</f>
        <v>6.0875000000000004</v>
      </c>
      <c r="BN34" s="3277">
        <f t="shared" ref="BN34" si="383">SUM(BN35)</f>
        <v>6.0875000000000004</v>
      </c>
      <c r="BO34" s="3277">
        <f t="shared" ref="BO34" si="384">SUM(BO35)</f>
        <v>0</v>
      </c>
      <c r="BP34" s="3136">
        <f>SUM(BP35)</f>
        <v>0</v>
      </c>
      <c r="BQ34" s="3136">
        <f t="shared" ref="BQ34" si="385">SUM(BQ35)</f>
        <v>0</v>
      </c>
      <c r="BR34" s="3136">
        <f t="shared" ref="BR34" si="386">SUM(BR35)</f>
        <v>0</v>
      </c>
      <c r="BS34" s="3136">
        <f>SUM(BS35)</f>
        <v>0</v>
      </c>
      <c r="BT34" s="3136">
        <f t="shared" ref="BT34" si="387">SUM(BT35)</f>
        <v>0</v>
      </c>
      <c r="BU34" s="3136">
        <f t="shared" ref="BU34" si="388">SUM(BU35)</f>
        <v>0</v>
      </c>
      <c r="BV34" s="3136">
        <f>SUM(BV35)</f>
        <v>0</v>
      </c>
      <c r="BW34" s="3136">
        <f t="shared" ref="BW34" si="389">SUM(BW35)</f>
        <v>0</v>
      </c>
      <c r="BX34" s="3136">
        <f t="shared" ref="BX34" si="390">SUM(BX35)</f>
        <v>0</v>
      </c>
      <c r="BY34" s="3136">
        <f t="shared" si="304"/>
        <v>0</v>
      </c>
      <c r="BZ34" s="3136">
        <f t="shared" si="305"/>
        <v>0</v>
      </c>
      <c r="CA34" s="3136">
        <f t="shared" si="306"/>
        <v>0</v>
      </c>
      <c r="CB34" s="3209">
        <f t="shared" si="158"/>
        <v>24.35</v>
      </c>
      <c r="CC34" s="3287">
        <f t="shared" ref="CC34:CD34" si="391">SUM(CC35)</f>
        <v>24.35</v>
      </c>
      <c r="CD34" s="3287">
        <f t="shared" si="391"/>
        <v>0</v>
      </c>
      <c r="CE34" s="3264">
        <f t="shared" si="281"/>
        <v>28.08</v>
      </c>
      <c r="CF34" s="3264">
        <f t="shared" si="282"/>
        <v>28.08</v>
      </c>
      <c r="CG34" s="3264">
        <f t="shared" si="283"/>
        <v>0</v>
      </c>
      <c r="CH34" s="3264">
        <f t="shared" si="134"/>
        <v>3.7299999999999969</v>
      </c>
      <c r="CI34" s="3264">
        <f t="shared" si="284"/>
        <v>3.7299999999999969</v>
      </c>
      <c r="CJ34" s="3264">
        <f t="shared" si="285"/>
        <v>0</v>
      </c>
      <c r="CK34" s="3259"/>
      <c r="CL34" s="3259"/>
      <c r="CM34" s="3259"/>
    </row>
    <row r="35" spans="1:91" ht="18.75" customHeight="1" x14ac:dyDescent="0.3">
      <c r="A35" s="3079" t="s">
        <v>543</v>
      </c>
      <c r="B35" s="3210">
        <f t="shared" ref="B35:B45" si="392">SUM(C35:D35)</f>
        <v>6.0875000000000004</v>
      </c>
      <c r="C35" s="3210">
        <f t="shared" ref="C35" si="393">SUM(CC35/4)</f>
        <v>6.0875000000000004</v>
      </c>
      <c r="D35" s="3210">
        <f t="shared" ref="D35" si="394">SUM(CD35/4)</f>
        <v>0</v>
      </c>
      <c r="E35" s="3145">
        <f t="shared" si="138"/>
        <v>0</v>
      </c>
      <c r="F35" s="3149"/>
      <c r="G35" s="3149"/>
      <c r="H35" s="3145">
        <f t="shared" ref="H35" si="395">SUM(I35:J35)</f>
        <v>0</v>
      </c>
      <c r="I35" s="3149"/>
      <c r="J35" s="3149"/>
      <c r="K35" s="3145">
        <f t="shared" ref="K35" si="396">SUM(L35:M35)</f>
        <v>0</v>
      </c>
      <c r="L35" s="3149"/>
      <c r="M35" s="3149"/>
      <c r="N35" s="3145">
        <f t="shared" si="289"/>
        <v>0</v>
      </c>
      <c r="O35" s="3145">
        <f t="shared" si="290"/>
        <v>0</v>
      </c>
      <c r="P35" s="3145">
        <f t="shared" si="290"/>
        <v>0</v>
      </c>
      <c r="Q35" s="3210">
        <f t="shared" ref="Q35:Q37" si="397">SUM(R35:S35)</f>
        <v>6.0875000000000004</v>
      </c>
      <c r="R35" s="3210">
        <f t="shared" ref="R35" si="398">SUM(C35)</f>
        <v>6.0875000000000004</v>
      </c>
      <c r="S35" s="3210">
        <f t="shared" ref="S35" si="399">SUM(D35)</f>
        <v>0</v>
      </c>
      <c r="T35" s="3145">
        <f t="shared" ref="T35" si="400">SUM(U35:V35)</f>
        <v>0</v>
      </c>
      <c r="U35" s="3149"/>
      <c r="V35" s="3149"/>
      <c r="W35" s="3145">
        <f t="shared" ref="W35" si="401">SUM(X35:Y35)</f>
        <v>0</v>
      </c>
      <c r="X35" s="3149"/>
      <c r="Y35" s="3149"/>
      <c r="Z35" s="3145">
        <f t="shared" ref="Z35" si="402">SUM(AA35:AB35)</f>
        <v>0</v>
      </c>
      <c r="AA35" s="3149"/>
      <c r="AB35" s="3149"/>
      <c r="AC35" s="3145">
        <f t="shared" si="166"/>
        <v>0</v>
      </c>
      <c r="AD35" s="3145">
        <f t="shared" si="293"/>
        <v>0</v>
      </c>
      <c r="AE35" s="3145">
        <f t="shared" si="294"/>
        <v>0</v>
      </c>
      <c r="AF35" s="3211">
        <f t="shared" si="233"/>
        <v>12.175000000000001</v>
      </c>
      <c r="AG35" s="3211">
        <f t="shared" si="234"/>
        <v>12.175000000000001</v>
      </c>
      <c r="AH35" s="3211">
        <f t="shared" si="235"/>
        <v>0</v>
      </c>
      <c r="AI35" s="3194">
        <f t="shared" si="236"/>
        <v>0</v>
      </c>
      <c r="AJ35" s="3194">
        <f t="shared" si="237"/>
        <v>0</v>
      </c>
      <c r="AK35" s="3194">
        <f t="shared" si="238"/>
        <v>0</v>
      </c>
      <c r="AL35" s="3194">
        <f t="shared" si="239"/>
        <v>-12.175000000000001</v>
      </c>
      <c r="AM35" s="3194">
        <f t="shared" si="240"/>
        <v>-12.175000000000001</v>
      </c>
      <c r="AN35" s="3194">
        <f t="shared" si="241"/>
        <v>0</v>
      </c>
      <c r="AO35" s="3210">
        <f t="shared" ref="AO35:AO36" si="403">SUM(AP35:AQ35)</f>
        <v>6.0875000000000004</v>
      </c>
      <c r="AP35" s="3210">
        <f t="shared" ref="AP35" si="404">SUM(CC35-AG35)/2</f>
        <v>6.0875000000000004</v>
      </c>
      <c r="AQ35" s="3210">
        <f t="shared" ref="AQ35" si="405">SUM(CD35-AH35)/2</f>
        <v>0</v>
      </c>
      <c r="AR35" s="3145">
        <f t="shared" ref="AR35" si="406">SUM(AS35:AT35)</f>
        <v>28.08</v>
      </c>
      <c r="AS35" s="3149">
        <v>28.08</v>
      </c>
      <c r="AT35" s="3149"/>
      <c r="AU35" s="3145">
        <f t="shared" ref="AU35" si="407">SUM(AV35:AW35)</f>
        <v>0</v>
      </c>
      <c r="AV35" s="3149"/>
      <c r="AW35" s="3149"/>
      <c r="AX35" s="3145">
        <f t="shared" ref="AX35" si="408">SUM(AY35:AZ35)</f>
        <v>0</v>
      </c>
      <c r="AY35" s="3149"/>
      <c r="AZ35" s="3149"/>
      <c r="BA35" s="3145">
        <f t="shared" si="298"/>
        <v>28.08</v>
      </c>
      <c r="BB35" s="3145">
        <f t="shared" si="299"/>
        <v>28.08</v>
      </c>
      <c r="BC35" s="3145">
        <f t="shared" si="300"/>
        <v>0</v>
      </c>
      <c r="BD35" s="3211">
        <f t="shared" si="257"/>
        <v>18.262500000000003</v>
      </c>
      <c r="BE35" s="3211">
        <f t="shared" si="258"/>
        <v>18.262500000000003</v>
      </c>
      <c r="BF35" s="3211">
        <f t="shared" si="259"/>
        <v>0</v>
      </c>
      <c r="BG35" s="3194">
        <f t="shared" si="260"/>
        <v>28.08</v>
      </c>
      <c r="BH35" s="3194">
        <f t="shared" si="261"/>
        <v>28.08</v>
      </c>
      <c r="BI35" s="3194">
        <f t="shared" si="262"/>
        <v>0</v>
      </c>
      <c r="BJ35" s="3194">
        <f t="shared" si="263"/>
        <v>9.8174999999999955</v>
      </c>
      <c r="BK35" s="3194">
        <f t="shared" si="264"/>
        <v>9.8174999999999955</v>
      </c>
      <c r="BL35" s="3194">
        <f t="shared" si="265"/>
        <v>0</v>
      </c>
      <c r="BM35" s="3210">
        <f t="shared" ref="BM35:BM37" si="409">SUM(BN35:BO35)</f>
        <v>6.0875000000000004</v>
      </c>
      <c r="BN35" s="3210">
        <f t="shared" ref="BN35" si="410">SUM(AP35)</f>
        <v>6.0875000000000004</v>
      </c>
      <c r="BO35" s="3210">
        <f t="shared" ref="BO35" si="411">SUM(AQ35)</f>
        <v>0</v>
      </c>
      <c r="BP35" s="3145">
        <f t="shared" ref="BP35" si="412">SUM(BQ35:BR35)</f>
        <v>0</v>
      </c>
      <c r="BQ35" s="3149"/>
      <c r="BR35" s="3149"/>
      <c r="BS35" s="3145">
        <f t="shared" ref="BS35" si="413">SUM(BT35:BU35)</f>
        <v>0</v>
      </c>
      <c r="BT35" s="3149"/>
      <c r="BU35" s="3149"/>
      <c r="BV35" s="3145">
        <f t="shared" ref="BV35" si="414">SUM(BW35:BX35)</f>
        <v>0</v>
      </c>
      <c r="BW35" s="3149"/>
      <c r="BX35" s="3149"/>
      <c r="BY35" s="3145">
        <f t="shared" si="304"/>
        <v>0</v>
      </c>
      <c r="BZ35" s="3145">
        <f t="shared" si="305"/>
        <v>0</v>
      </c>
      <c r="CA35" s="3145">
        <f t="shared" si="306"/>
        <v>0</v>
      </c>
      <c r="CB35" s="3211">
        <f t="shared" si="158"/>
        <v>24.35</v>
      </c>
      <c r="CC35" s="3288">
        <v>24.35</v>
      </c>
      <c r="CD35" s="3288">
        <v>0</v>
      </c>
      <c r="CE35" s="3194">
        <f t="shared" si="281"/>
        <v>28.08</v>
      </c>
      <c r="CF35" s="3194">
        <f t="shared" si="282"/>
        <v>28.08</v>
      </c>
      <c r="CG35" s="3194">
        <f t="shared" si="283"/>
        <v>0</v>
      </c>
      <c r="CH35" s="3194">
        <f t="shared" si="134"/>
        <v>3.7299999999999969</v>
      </c>
      <c r="CI35" s="3194">
        <f t="shared" si="284"/>
        <v>3.7299999999999969</v>
      </c>
      <c r="CJ35" s="3194">
        <f t="shared" si="285"/>
        <v>0</v>
      </c>
      <c r="CK35" s="3259"/>
      <c r="CL35" s="3259"/>
      <c r="CM35" s="3259"/>
    </row>
    <row r="36" spans="1:91" ht="18.75" customHeight="1" x14ac:dyDescent="0.3">
      <c r="A36" s="3106" t="s">
        <v>7</v>
      </c>
      <c r="B36" s="3207">
        <f t="shared" si="392"/>
        <v>11231.924266664619</v>
      </c>
      <c r="C36" s="3251">
        <f t="shared" ref="C36:D36" si="415">SUM(C37:C43)+C45</f>
        <v>11167.998069511576</v>
      </c>
      <c r="D36" s="3251">
        <f t="shared" si="415"/>
        <v>63.926197153043532</v>
      </c>
      <c r="E36" s="3156">
        <f>SUM(F36:G36)</f>
        <v>3035.8630000000003</v>
      </c>
      <c r="F36" s="3156">
        <f t="shared" ref="F36:P36" si="416">SUM(F37:F43)+F45</f>
        <v>3025.01</v>
      </c>
      <c r="G36" s="3156">
        <f t="shared" si="416"/>
        <v>10.853</v>
      </c>
      <c r="H36" s="3156">
        <f>SUM(I36:J36)</f>
        <v>2704.6099999999997</v>
      </c>
      <c r="I36" s="3156">
        <f t="shared" ref="I36:J36" si="417">SUM(I37:I43)+I45</f>
        <v>2694.41</v>
      </c>
      <c r="J36" s="3156">
        <f t="shared" si="417"/>
        <v>10.199999999999999</v>
      </c>
      <c r="K36" s="3156">
        <f>SUM(L36:M36)</f>
        <v>3180.1499999999996</v>
      </c>
      <c r="L36" s="3156">
        <f t="shared" ref="L36:M36" si="418">SUM(L37:L43)+L45</f>
        <v>3170.2</v>
      </c>
      <c r="M36" s="3156">
        <f t="shared" si="418"/>
        <v>9.9499999999999993</v>
      </c>
      <c r="N36" s="3156">
        <f t="shared" si="289"/>
        <v>8920.6229999999996</v>
      </c>
      <c r="O36" s="3156">
        <f t="shared" si="416"/>
        <v>8889.619999999999</v>
      </c>
      <c r="P36" s="3156">
        <f t="shared" si="416"/>
        <v>31.003</v>
      </c>
      <c r="Q36" s="3207">
        <f t="shared" si="397"/>
        <v>11231.924266664619</v>
      </c>
      <c r="R36" s="3251">
        <f t="shared" ref="R36:S36" si="419">SUM(R37:R43)+R45</f>
        <v>11167.998069511576</v>
      </c>
      <c r="S36" s="3251">
        <f t="shared" si="419"/>
        <v>63.926197153043532</v>
      </c>
      <c r="T36" s="3156">
        <f>SUM(U36:V36)</f>
        <v>3303.4380000000001</v>
      </c>
      <c r="U36" s="3156">
        <f t="shared" ref="U36:V36" si="420">SUM(U37:U43)+U45</f>
        <v>3293.1600000000003</v>
      </c>
      <c r="V36" s="3156">
        <f t="shared" si="420"/>
        <v>10.278</v>
      </c>
      <c r="W36" s="3156">
        <f>SUM(X36:Y36)</f>
        <v>3086.06</v>
      </c>
      <c r="X36" s="3156">
        <f t="shared" ref="X36:Y36" si="421">SUM(X37:X43)+X45</f>
        <v>3073.59</v>
      </c>
      <c r="Y36" s="3156">
        <f t="shared" si="421"/>
        <v>12.469999999999999</v>
      </c>
      <c r="Z36" s="3156">
        <f>SUM(AA36:AB36)</f>
        <v>3501.0450000000001</v>
      </c>
      <c r="AA36" s="3156">
        <f t="shared" ref="AA36:AB36" si="422">SUM(AA37:AA43)+AA45</f>
        <v>3472.9749999999999</v>
      </c>
      <c r="AB36" s="3156">
        <f t="shared" si="422"/>
        <v>28.07</v>
      </c>
      <c r="AC36" s="3156">
        <f t="shared" si="166"/>
        <v>9890.5429999999997</v>
      </c>
      <c r="AD36" s="3156">
        <f t="shared" ref="AD36:AE36" si="423">SUM(AD37:AD43)+AD45</f>
        <v>9839.7250000000004</v>
      </c>
      <c r="AE36" s="3156">
        <f t="shared" si="423"/>
        <v>50.818000000000005</v>
      </c>
      <c r="AF36" s="3206">
        <f t="shared" ref="AF36:AF99" si="424">SUM(AG36:AH36)</f>
        <v>22463.848533329237</v>
      </c>
      <c r="AG36" s="3206">
        <f t="shared" ref="AG36:AG99" si="425">SUM(C36+R36)</f>
        <v>22335.996139023151</v>
      </c>
      <c r="AH36" s="3206">
        <f t="shared" ref="AH36:AH99" si="426">SUM(D36+S36)</f>
        <v>127.85239430608706</v>
      </c>
      <c r="AI36" s="3193">
        <f t="shared" ref="AI36:AI43" si="427">SUM(AC36+N36)</f>
        <v>18811.165999999997</v>
      </c>
      <c r="AJ36" s="3193">
        <f t="shared" ref="AJ36:AJ43" si="428">SUM(AD36+O36)</f>
        <v>18729.345000000001</v>
      </c>
      <c r="AK36" s="3193">
        <f t="shared" ref="AK36:AK43" si="429">SUM(AE36+P36)</f>
        <v>81.820999999999998</v>
      </c>
      <c r="AL36" s="3193">
        <f t="shared" ref="AL36:AL44" si="430">SUM(AI36-AF36)</f>
        <v>-3652.68253332924</v>
      </c>
      <c r="AM36" s="3193">
        <f t="shared" ref="AM36:AM44" si="431">SUM(AJ36-AG36)</f>
        <v>-3606.6511390231499</v>
      </c>
      <c r="AN36" s="3193">
        <f t="shared" ref="AN36:AN44" si="432">SUM(AK36-AH36)</f>
        <v>-46.031394306087066</v>
      </c>
      <c r="AO36" s="3207">
        <f t="shared" si="403"/>
        <v>11335.263665348866</v>
      </c>
      <c r="AP36" s="3251">
        <f t="shared" ref="AP36:AQ36" si="433">SUM(AP37:AP43)+AP45</f>
        <v>11270.732944848898</v>
      </c>
      <c r="AQ36" s="3251">
        <f t="shared" si="433"/>
        <v>64.53072049996878</v>
      </c>
      <c r="AR36" s="3156">
        <f>SUM(AS36:AT36)</f>
        <v>2726.3179999999998</v>
      </c>
      <c r="AS36" s="3156">
        <f t="shared" ref="AS36:AT36" si="434">SUM(AS37:AS43)+AS45</f>
        <v>2724.08</v>
      </c>
      <c r="AT36" s="3156">
        <f t="shared" si="434"/>
        <v>2.238</v>
      </c>
      <c r="AU36" s="3156">
        <f>SUM(AV36:AW36)</f>
        <v>3100.6849999999999</v>
      </c>
      <c r="AV36" s="3156">
        <f t="shared" ref="AV36:AW36" si="435">SUM(AV37:AV43)+AV45</f>
        <v>3089.2599999999998</v>
      </c>
      <c r="AW36" s="3156">
        <f t="shared" si="435"/>
        <v>11.424999999999999</v>
      </c>
      <c r="AX36" s="3156">
        <f>SUM(AY36:AZ36)</f>
        <v>2920.75</v>
      </c>
      <c r="AY36" s="3156">
        <f t="shared" ref="AY36:AZ36" si="436">SUM(AY37:AY43)+AY45</f>
        <v>2902.36</v>
      </c>
      <c r="AZ36" s="3156">
        <f t="shared" si="436"/>
        <v>18.39</v>
      </c>
      <c r="BA36" s="3156">
        <f t="shared" ref="BA36:BA43" si="437">SUM(BB36:BC36)</f>
        <v>8747.7530000000006</v>
      </c>
      <c r="BB36" s="3156">
        <f t="shared" ref="BB36:BC36" si="438">SUM(BB37:BB43)+BB45</f>
        <v>8715.7000000000007</v>
      </c>
      <c r="BC36" s="3156">
        <f t="shared" si="438"/>
        <v>32.052999999999997</v>
      </c>
      <c r="BD36" s="3206">
        <f t="shared" si="257"/>
        <v>33799.112198678107</v>
      </c>
      <c r="BE36" s="3206">
        <f t="shared" si="258"/>
        <v>33606.729083872051</v>
      </c>
      <c r="BF36" s="3206">
        <f t="shared" si="259"/>
        <v>192.38311480605586</v>
      </c>
      <c r="BG36" s="3193">
        <f t="shared" ref="BG36:BG43" si="439">SUM(AI36+BA36)</f>
        <v>27558.918999999998</v>
      </c>
      <c r="BH36" s="3193">
        <f t="shared" ref="BH36:BH43" si="440">SUM(AJ36+BB36)</f>
        <v>27445.045000000002</v>
      </c>
      <c r="BI36" s="3193">
        <f t="shared" ref="BI36:BI43" si="441">SUM(AK36+BC36)</f>
        <v>113.874</v>
      </c>
      <c r="BJ36" s="3193">
        <f t="shared" ref="BJ36:BJ44" si="442">SUM(BG36-BD36)</f>
        <v>-6240.1931986781092</v>
      </c>
      <c r="BK36" s="3193">
        <f t="shared" ref="BK36:BK44" si="443">SUM(BH36-BE36)</f>
        <v>-6161.6840838720491</v>
      </c>
      <c r="BL36" s="3193">
        <f t="shared" ref="BL36:BL44" si="444">SUM(BI36-BF36)</f>
        <v>-78.509114806055862</v>
      </c>
      <c r="BM36" s="3207">
        <f t="shared" si="409"/>
        <v>11335.263665348866</v>
      </c>
      <c r="BN36" s="3251">
        <f t="shared" ref="BN36:BO36" si="445">SUM(BN37:BN43)+BN45</f>
        <v>11270.732944848898</v>
      </c>
      <c r="BO36" s="3251">
        <f t="shared" si="445"/>
        <v>64.53072049996878</v>
      </c>
      <c r="BP36" s="3156">
        <f>SUM(BQ36:BR36)</f>
        <v>0</v>
      </c>
      <c r="BQ36" s="3156">
        <f t="shared" ref="BQ36:BR36" si="446">SUM(BQ37:BQ43)+BQ45</f>
        <v>0</v>
      </c>
      <c r="BR36" s="3156">
        <f t="shared" si="446"/>
        <v>0</v>
      </c>
      <c r="BS36" s="3156">
        <f>SUM(BT36:BU36)</f>
        <v>0</v>
      </c>
      <c r="BT36" s="3156">
        <f t="shared" ref="BT36:BU36" si="447">SUM(BT37:BT43)+BT45</f>
        <v>0</v>
      </c>
      <c r="BU36" s="3156">
        <f t="shared" si="447"/>
        <v>0</v>
      </c>
      <c r="BV36" s="3156">
        <f>SUM(BW36:BX36)</f>
        <v>0</v>
      </c>
      <c r="BW36" s="3156">
        <f t="shared" ref="BW36:BX36" si="448">SUM(BW37:BW43)+BW45</f>
        <v>0</v>
      </c>
      <c r="BX36" s="3156">
        <f t="shared" si="448"/>
        <v>0</v>
      </c>
      <c r="BY36" s="3156">
        <f t="shared" si="304"/>
        <v>0</v>
      </c>
      <c r="BZ36" s="3156">
        <f t="shared" ref="BZ36:CA36" si="449">SUM(BZ37:BZ43)+BZ45</f>
        <v>0</v>
      </c>
      <c r="CA36" s="3156">
        <f t="shared" si="449"/>
        <v>0</v>
      </c>
      <c r="CB36" s="3206">
        <f t="shared" si="158"/>
        <v>45134.37586430239</v>
      </c>
      <c r="CC36" s="3285">
        <f>SUM(стоки!BN17+стоки!BN48)</f>
        <v>44877.462028994756</v>
      </c>
      <c r="CD36" s="3285">
        <f>SUM(стоки!BO17)</f>
        <v>256.91383530763579</v>
      </c>
      <c r="CE36" s="3193">
        <f t="shared" ref="CE36:CE43" si="450">SUM(BY36+BG36)</f>
        <v>27558.918999999998</v>
      </c>
      <c r="CF36" s="3193">
        <f t="shared" ref="CF36:CF43" si="451">SUM(BZ36+BH36)</f>
        <v>27445.045000000002</v>
      </c>
      <c r="CG36" s="3193">
        <f t="shared" ref="CG36:CG43" si="452">SUM(CA36+BI36)</f>
        <v>113.874</v>
      </c>
      <c r="CH36" s="3193">
        <f t="shared" ref="CH36:CH44" si="453">SUM(CE36-CB36)</f>
        <v>-17575.456864302392</v>
      </c>
      <c r="CI36" s="3193">
        <f t="shared" ref="CI36:CI44" si="454">SUM(CF36-CC36)</f>
        <v>-17432.417028994754</v>
      </c>
      <c r="CJ36" s="3193">
        <f t="shared" ref="CJ36:CJ44" si="455">SUM(CG36-CD36)</f>
        <v>-143.0398353076358</v>
      </c>
      <c r="CK36" s="3261"/>
      <c r="CL36" s="3261"/>
      <c r="CM36" s="3261"/>
    </row>
    <row r="37" spans="1:91" ht="18.75" customHeight="1" x14ac:dyDescent="0.3">
      <c r="A37" s="3111" t="s">
        <v>1</v>
      </c>
      <c r="B37" s="3208">
        <f t="shared" si="392"/>
        <v>1751.5152319364183</v>
      </c>
      <c r="C37" s="3208">
        <f>SUM(CC37/2)/(1+(105.9%*100-100)/2/100)/6*3</f>
        <v>1741.2690735139563</v>
      </c>
      <c r="D37" s="3208">
        <f>SUM(CD37/2)/(1+(105.9%*100-100)/2/100)/6*3</f>
        <v>10.246158422461928</v>
      </c>
      <c r="E37" s="3136">
        <f t="shared" si="138"/>
        <v>796.41099999999994</v>
      </c>
      <c r="F37" s="3137">
        <v>796.03</v>
      </c>
      <c r="G37" s="3137">
        <v>0.38100000000000001</v>
      </c>
      <c r="H37" s="3136">
        <f t="shared" ref="H37:H43" si="456">SUM(I37:J37)</f>
        <v>660.53000000000009</v>
      </c>
      <c r="I37" s="3137">
        <v>660.21</v>
      </c>
      <c r="J37" s="3137">
        <v>0.32</v>
      </c>
      <c r="K37" s="3136">
        <f t="shared" ref="K37:K43" si="457">SUM(L37:M37)</f>
        <v>726.11</v>
      </c>
      <c r="L37" s="3137">
        <v>726.03</v>
      </c>
      <c r="M37" s="3137">
        <f>0.07+0.01</f>
        <v>0.08</v>
      </c>
      <c r="N37" s="3136">
        <f t="shared" si="289"/>
        <v>2183.0509999999999</v>
      </c>
      <c r="O37" s="3136">
        <f t="shared" ref="O37:O43" si="458">SUM(F37+I37+L37)</f>
        <v>2182.27</v>
      </c>
      <c r="P37" s="3136">
        <f t="shared" ref="P37:P43" si="459">SUM(G37+J37+M37)</f>
        <v>0.78100000000000003</v>
      </c>
      <c r="Q37" s="3208">
        <f t="shared" si="397"/>
        <v>1751.5152319364183</v>
      </c>
      <c r="R37" s="3208">
        <f t="shared" ref="R37:R43" si="460">SUM(C37)</f>
        <v>1741.2690735139563</v>
      </c>
      <c r="S37" s="3208">
        <f t="shared" ref="S37:S43" si="461">SUM(D37)</f>
        <v>10.246158422461928</v>
      </c>
      <c r="T37" s="3136">
        <f t="shared" ref="T37:T43" si="462">SUM(U37:V37)</f>
        <v>788.81399999999996</v>
      </c>
      <c r="U37" s="3137">
        <v>788.25</v>
      </c>
      <c r="V37" s="3137">
        <v>0.56399999999999995</v>
      </c>
      <c r="W37" s="3136">
        <f t="shared" ref="W37:W43" si="463">SUM(X37:Y37)</f>
        <v>678.94999999999993</v>
      </c>
      <c r="X37" s="3137">
        <v>678.02</v>
      </c>
      <c r="Y37" s="3137">
        <v>0.93</v>
      </c>
      <c r="Z37" s="3136">
        <f t="shared" ref="Z37:Z43" si="464">SUM(AA37:AB37)</f>
        <v>603.77</v>
      </c>
      <c r="AA37" s="3137">
        <v>596.65</v>
      </c>
      <c r="AB37" s="3137">
        <v>7.12</v>
      </c>
      <c r="AC37" s="3136">
        <f t="shared" si="166"/>
        <v>2071.5340000000001</v>
      </c>
      <c r="AD37" s="3136">
        <f t="shared" ref="AD37:AD43" si="465">SUM(U37+X37+AA37)</f>
        <v>2062.92</v>
      </c>
      <c r="AE37" s="3136">
        <f t="shared" ref="AE37:AE43" si="466">SUM(V37+Y37+AB37)</f>
        <v>8.6140000000000008</v>
      </c>
      <c r="AF37" s="3209">
        <f t="shared" si="424"/>
        <v>3503.0304638728367</v>
      </c>
      <c r="AG37" s="3209">
        <f t="shared" si="425"/>
        <v>3482.5381470279126</v>
      </c>
      <c r="AH37" s="3209">
        <f t="shared" si="426"/>
        <v>20.492316844923856</v>
      </c>
      <c r="AI37" s="3264">
        <f t="shared" si="427"/>
        <v>4254.585</v>
      </c>
      <c r="AJ37" s="3264">
        <f t="shared" si="428"/>
        <v>4245.1900000000005</v>
      </c>
      <c r="AK37" s="3264">
        <f t="shared" si="429"/>
        <v>9.3950000000000014</v>
      </c>
      <c r="AL37" s="3264">
        <f t="shared" si="430"/>
        <v>751.55453612716337</v>
      </c>
      <c r="AM37" s="3264">
        <f t="shared" si="431"/>
        <v>762.65185297208791</v>
      </c>
      <c r="AN37" s="3264">
        <f t="shared" si="432"/>
        <v>-11.097316844923855</v>
      </c>
      <c r="AO37" s="3208">
        <f t="shared" ref="AO37:AO45" si="467">SUM(AP37:AQ37)</f>
        <v>1854.854630620667</v>
      </c>
      <c r="AP37" s="3208">
        <f t="shared" ref="AP37:AP43" si="468">SUM(CC37-AG37)/2</f>
        <v>1844.0039488512798</v>
      </c>
      <c r="AQ37" s="3208">
        <f t="shared" ref="AQ37:AQ43" si="469">SUM(CD37-AH37)/2</f>
        <v>10.850681769387183</v>
      </c>
      <c r="AR37" s="3136">
        <f t="shared" ref="AR37:AR43" si="470">SUM(AS37:AT37)</f>
        <v>740.25199999999995</v>
      </c>
      <c r="AS37" s="3137">
        <v>739.66</v>
      </c>
      <c r="AT37" s="3137">
        <v>0.59199999999999997</v>
      </c>
      <c r="AU37" s="3136">
        <f t="shared" ref="AU37:AU43" si="471">SUM(AV37:AW37)</f>
        <v>787.09799999999996</v>
      </c>
      <c r="AV37" s="3137">
        <v>786.37</v>
      </c>
      <c r="AW37" s="3137">
        <v>0.72799999999999998</v>
      </c>
      <c r="AX37" s="3136">
        <f t="shared" ref="AX37:AX43" si="472">SUM(AY37:AZ37)</f>
        <v>686.61</v>
      </c>
      <c r="AY37" s="3137">
        <v>679.07</v>
      </c>
      <c r="AZ37" s="3137">
        <v>7.54</v>
      </c>
      <c r="BA37" s="3136">
        <f t="shared" si="437"/>
        <v>2213.96</v>
      </c>
      <c r="BB37" s="3136">
        <f t="shared" ref="BB37:BB43" si="473">SUM(AS37+AV37+AY37)</f>
        <v>2205.1</v>
      </c>
      <c r="BC37" s="3136">
        <f t="shared" ref="BC37:BC43" si="474">SUM(AT37+AW37+AZ37)</f>
        <v>8.86</v>
      </c>
      <c r="BD37" s="3209">
        <f t="shared" si="257"/>
        <v>5357.8850944935039</v>
      </c>
      <c r="BE37" s="3209">
        <f t="shared" si="258"/>
        <v>5326.5420958791929</v>
      </c>
      <c r="BF37" s="3209">
        <f t="shared" si="259"/>
        <v>31.342998614311039</v>
      </c>
      <c r="BG37" s="3264">
        <f t="shared" si="439"/>
        <v>6468.5450000000001</v>
      </c>
      <c r="BH37" s="3264">
        <f t="shared" si="440"/>
        <v>6450.2900000000009</v>
      </c>
      <c r="BI37" s="3264">
        <f t="shared" si="441"/>
        <v>18.255000000000003</v>
      </c>
      <c r="BJ37" s="3264">
        <f t="shared" si="442"/>
        <v>1110.6599055064962</v>
      </c>
      <c r="BK37" s="3264">
        <f t="shared" si="443"/>
        <v>1123.747904120808</v>
      </c>
      <c r="BL37" s="3264">
        <f t="shared" si="444"/>
        <v>-13.087998614311037</v>
      </c>
      <c r="BM37" s="3208">
        <f t="shared" si="409"/>
        <v>1854.854630620667</v>
      </c>
      <c r="BN37" s="3208">
        <f t="shared" ref="BN37:BN43" si="475">SUM(AP37)</f>
        <v>1844.0039488512798</v>
      </c>
      <c r="BO37" s="3208">
        <f t="shared" ref="BO37:BO43" si="476">SUM(AQ37)</f>
        <v>10.850681769387183</v>
      </c>
      <c r="BP37" s="3136">
        <f t="shared" ref="BP37:BP43" si="477">SUM(BQ37:BR37)</f>
        <v>0</v>
      </c>
      <c r="BQ37" s="3137"/>
      <c r="BR37" s="3137"/>
      <c r="BS37" s="3136">
        <f t="shared" ref="BS37:BS43" si="478">SUM(BT37:BU37)</f>
        <v>0</v>
      </c>
      <c r="BT37" s="3137"/>
      <c r="BU37" s="3137"/>
      <c r="BV37" s="3136">
        <f t="shared" ref="BV37:BV43" si="479">SUM(BW37:BX37)</f>
        <v>0</v>
      </c>
      <c r="BW37" s="3137"/>
      <c r="BX37" s="3137"/>
      <c r="BY37" s="3136">
        <f t="shared" si="304"/>
        <v>0</v>
      </c>
      <c r="BZ37" s="3136">
        <f t="shared" ref="BZ37:BZ43" si="480">SUM(BQ37+BT37+BW37)</f>
        <v>0</v>
      </c>
      <c r="CA37" s="3136">
        <f t="shared" ref="CA37:CA43" si="481">SUM(BR37+BU37+BX37)</f>
        <v>0</v>
      </c>
      <c r="CB37" s="3209">
        <f t="shared" si="158"/>
        <v>7212.7397251141701</v>
      </c>
      <c r="CC37" s="3286">
        <f>SUM(стоки!BN18)</f>
        <v>7170.5460447304722</v>
      </c>
      <c r="CD37" s="3286">
        <f>SUM(стоки!BO18)</f>
        <v>42.193680383698222</v>
      </c>
      <c r="CE37" s="3264">
        <f t="shared" si="450"/>
        <v>6468.5450000000001</v>
      </c>
      <c r="CF37" s="3264">
        <f t="shared" si="451"/>
        <v>6450.2900000000009</v>
      </c>
      <c r="CG37" s="3264">
        <f t="shared" si="452"/>
        <v>18.255000000000003</v>
      </c>
      <c r="CH37" s="3264">
        <f t="shared" si="453"/>
        <v>-744.19472511417007</v>
      </c>
      <c r="CI37" s="3264">
        <f t="shared" si="454"/>
        <v>-720.25604473047133</v>
      </c>
      <c r="CJ37" s="3264">
        <f t="shared" si="455"/>
        <v>-23.93868038369822</v>
      </c>
      <c r="CK37" s="3259"/>
      <c r="CL37" s="3259"/>
      <c r="CM37" s="3259"/>
    </row>
    <row r="38" spans="1:91" ht="18.75" customHeight="1" x14ac:dyDescent="0.3">
      <c r="A38" s="3111" t="s">
        <v>8</v>
      </c>
      <c r="B38" s="3208">
        <f t="shared" si="392"/>
        <v>277.63956783514635</v>
      </c>
      <c r="C38" s="3208">
        <f t="shared" ref="C38:C43" si="482">SUM(CC38/4)</f>
        <v>277.63956783514635</v>
      </c>
      <c r="D38" s="3208">
        <f t="shared" ref="D38:D43" si="483">SUM(CD38/4)</f>
        <v>0</v>
      </c>
      <c r="E38" s="3136">
        <f t="shared" si="138"/>
        <v>27.07</v>
      </c>
      <c r="F38" s="3137">
        <v>27.07</v>
      </c>
      <c r="G38" s="3137"/>
      <c r="H38" s="3136">
        <f t="shared" si="456"/>
        <v>9.61</v>
      </c>
      <c r="I38" s="3137">
        <v>9.61</v>
      </c>
      <c r="J38" s="3137"/>
      <c r="K38" s="3136">
        <f t="shared" si="457"/>
        <v>72.930000000000007</v>
      </c>
      <c r="L38" s="3137">
        <v>72.930000000000007</v>
      </c>
      <c r="M38" s="3137"/>
      <c r="N38" s="3136">
        <f t="shared" si="289"/>
        <v>109.61000000000001</v>
      </c>
      <c r="O38" s="3136">
        <f t="shared" si="458"/>
        <v>109.61000000000001</v>
      </c>
      <c r="P38" s="3136">
        <f t="shared" si="459"/>
        <v>0</v>
      </c>
      <c r="Q38" s="3208">
        <f t="shared" ref="Q38:Q45" si="484">SUM(R38:S38)</f>
        <v>277.63956783514635</v>
      </c>
      <c r="R38" s="3208">
        <f t="shared" si="460"/>
        <v>277.63956783514635</v>
      </c>
      <c r="S38" s="3208">
        <f t="shared" si="461"/>
        <v>0</v>
      </c>
      <c r="T38" s="3136">
        <f t="shared" si="462"/>
        <v>48.34</v>
      </c>
      <c r="U38" s="3137">
        <v>48.34</v>
      </c>
      <c r="V38" s="3137"/>
      <c r="W38" s="3136">
        <f t="shared" si="463"/>
        <v>67.680000000000007</v>
      </c>
      <c r="X38" s="3137">
        <v>67.680000000000007</v>
      </c>
      <c r="Y38" s="3137"/>
      <c r="Z38" s="3136">
        <f t="shared" si="464"/>
        <v>67.989999999999995</v>
      </c>
      <c r="AA38" s="3137">
        <v>67.989999999999995</v>
      </c>
      <c r="AB38" s="3137"/>
      <c r="AC38" s="3136">
        <f t="shared" si="166"/>
        <v>184.01</v>
      </c>
      <c r="AD38" s="3136">
        <f t="shared" si="465"/>
        <v>184.01</v>
      </c>
      <c r="AE38" s="3136">
        <f t="shared" si="466"/>
        <v>0</v>
      </c>
      <c r="AF38" s="3209">
        <f t="shared" si="424"/>
        <v>555.2791356702927</v>
      </c>
      <c r="AG38" s="3209">
        <f t="shared" si="425"/>
        <v>555.2791356702927</v>
      </c>
      <c r="AH38" s="3209">
        <f t="shared" si="426"/>
        <v>0</v>
      </c>
      <c r="AI38" s="3264">
        <f t="shared" si="427"/>
        <v>293.62</v>
      </c>
      <c r="AJ38" s="3264">
        <f t="shared" si="428"/>
        <v>293.62</v>
      </c>
      <c r="AK38" s="3264">
        <f t="shared" si="429"/>
        <v>0</v>
      </c>
      <c r="AL38" s="3264">
        <f t="shared" si="430"/>
        <v>-261.6591356702927</v>
      </c>
      <c r="AM38" s="3264">
        <f t="shared" si="431"/>
        <v>-261.6591356702927</v>
      </c>
      <c r="AN38" s="3264">
        <f t="shared" si="432"/>
        <v>0</v>
      </c>
      <c r="AO38" s="3208">
        <f t="shared" si="467"/>
        <v>277.63956783514635</v>
      </c>
      <c r="AP38" s="3208">
        <f t="shared" si="468"/>
        <v>277.63956783514635</v>
      </c>
      <c r="AQ38" s="3208">
        <f t="shared" si="469"/>
        <v>0</v>
      </c>
      <c r="AR38" s="3136">
        <f t="shared" si="470"/>
        <v>27.85</v>
      </c>
      <c r="AS38" s="3137">
        <v>27.85</v>
      </c>
      <c r="AT38" s="3137"/>
      <c r="AU38" s="3136">
        <f t="shared" si="471"/>
        <v>63.46</v>
      </c>
      <c r="AV38" s="3137">
        <v>63.46</v>
      </c>
      <c r="AW38" s="3137"/>
      <c r="AX38" s="3136">
        <f t="shared" si="472"/>
        <v>104.67</v>
      </c>
      <c r="AY38" s="3137">
        <v>104.67</v>
      </c>
      <c r="AZ38" s="3137"/>
      <c r="BA38" s="3136">
        <f t="shared" si="437"/>
        <v>195.98000000000002</v>
      </c>
      <c r="BB38" s="3136">
        <f t="shared" si="473"/>
        <v>195.98000000000002</v>
      </c>
      <c r="BC38" s="3136">
        <f t="shared" si="474"/>
        <v>0</v>
      </c>
      <c r="BD38" s="3209">
        <f t="shared" si="257"/>
        <v>832.918703505439</v>
      </c>
      <c r="BE38" s="3209">
        <f t="shared" si="258"/>
        <v>832.918703505439</v>
      </c>
      <c r="BF38" s="3209">
        <f t="shared" si="259"/>
        <v>0</v>
      </c>
      <c r="BG38" s="3264">
        <f t="shared" si="439"/>
        <v>489.6</v>
      </c>
      <c r="BH38" s="3264">
        <f t="shared" si="440"/>
        <v>489.6</v>
      </c>
      <c r="BI38" s="3264">
        <f t="shared" si="441"/>
        <v>0</v>
      </c>
      <c r="BJ38" s="3264">
        <f t="shared" si="442"/>
        <v>-343.31870350543898</v>
      </c>
      <c r="BK38" s="3264">
        <f t="shared" si="443"/>
        <v>-343.31870350543898</v>
      </c>
      <c r="BL38" s="3264">
        <f t="shared" si="444"/>
        <v>0</v>
      </c>
      <c r="BM38" s="3208">
        <f t="shared" ref="BM38:BM45" si="485">SUM(BN38:BO38)</f>
        <v>277.63956783514635</v>
      </c>
      <c r="BN38" s="3208">
        <f t="shared" si="475"/>
        <v>277.63956783514635</v>
      </c>
      <c r="BO38" s="3208">
        <f t="shared" si="476"/>
        <v>0</v>
      </c>
      <c r="BP38" s="3136">
        <f t="shared" si="477"/>
        <v>0</v>
      </c>
      <c r="BQ38" s="3137"/>
      <c r="BR38" s="3137"/>
      <c r="BS38" s="3136">
        <f t="shared" si="478"/>
        <v>0</v>
      </c>
      <c r="BT38" s="3137"/>
      <c r="BU38" s="3137"/>
      <c r="BV38" s="3136">
        <f t="shared" si="479"/>
        <v>0</v>
      </c>
      <c r="BW38" s="3137"/>
      <c r="BX38" s="3137"/>
      <c r="BY38" s="3136">
        <f t="shared" si="304"/>
        <v>0</v>
      </c>
      <c r="BZ38" s="3136">
        <f t="shared" si="480"/>
        <v>0</v>
      </c>
      <c r="CA38" s="3136">
        <f t="shared" si="481"/>
        <v>0</v>
      </c>
      <c r="CB38" s="3209">
        <f t="shared" si="158"/>
        <v>1110.5582713405854</v>
      </c>
      <c r="CC38" s="3286">
        <f>SUM(стоки!BN19)</f>
        <v>1110.5582713405854</v>
      </c>
      <c r="CD38" s="3286">
        <f>SUM(стоки!BO19)</f>
        <v>0</v>
      </c>
      <c r="CE38" s="3264">
        <f t="shared" si="450"/>
        <v>489.6</v>
      </c>
      <c r="CF38" s="3264">
        <f t="shared" si="451"/>
        <v>489.6</v>
      </c>
      <c r="CG38" s="3264">
        <f t="shared" si="452"/>
        <v>0</v>
      </c>
      <c r="CH38" s="3264">
        <f t="shared" si="453"/>
        <v>-620.95827134058538</v>
      </c>
      <c r="CI38" s="3264">
        <f t="shared" si="454"/>
        <v>-620.95827134058538</v>
      </c>
      <c r="CJ38" s="3264">
        <f t="shared" si="455"/>
        <v>0</v>
      </c>
      <c r="CK38" s="3259"/>
      <c r="CL38" s="3259"/>
      <c r="CM38" s="3259"/>
    </row>
    <row r="39" spans="1:91" ht="18.75" customHeight="1" x14ac:dyDescent="0.3">
      <c r="A39" s="3111" t="s">
        <v>2</v>
      </c>
      <c r="B39" s="3208">
        <f t="shared" si="392"/>
        <v>128.35249999999999</v>
      </c>
      <c r="C39" s="3208">
        <f t="shared" si="482"/>
        <v>127.60165294772224</v>
      </c>
      <c r="D39" s="3208">
        <f t="shared" si="483"/>
        <v>0.75084705227775295</v>
      </c>
      <c r="E39" s="3136">
        <f t="shared" si="138"/>
        <v>42.14</v>
      </c>
      <c r="F39" s="3137">
        <v>42.14</v>
      </c>
      <c r="G39" s="3137"/>
      <c r="H39" s="3136">
        <f t="shared" si="456"/>
        <v>43.67</v>
      </c>
      <c r="I39" s="3137">
        <v>43.67</v>
      </c>
      <c r="J39" s="3137"/>
      <c r="K39" s="3136">
        <f t="shared" si="457"/>
        <v>43.54</v>
      </c>
      <c r="L39" s="3137">
        <v>43.54</v>
      </c>
      <c r="M39" s="3137"/>
      <c r="N39" s="3136">
        <f t="shared" si="289"/>
        <v>129.35</v>
      </c>
      <c r="O39" s="3136">
        <f t="shared" si="458"/>
        <v>129.35</v>
      </c>
      <c r="P39" s="3136">
        <f t="shared" si="459"/>
        <v>0</v>
      </c>
      <c r="Q39" s="3208">
        <f t="shared" si="484"/>
        <v>128.35249999999999</v>
      </c>
      <c r="R39" s="3208">
        <f t="shared" si="460"/>
        <v>127.60165294772224</v>
      </c>
      <c r="S39" s="3208">
        <f t="shared" si="461"/>
        <v>0.75084705227775295</v>
      </c>
      <c r="T39" s="3136">
        <f t="shared" si="462"/>
        <v>41.7</v>
      </c>
      <c r="U39" s="3137">
        <v>41.7</v>
      </c>
      <c r="V39" s="3137"/>
      <c r="W39" s="3136">
        <f t="shared" si="463"/>
        <v>41.83</v>
      </c>
      <c r="X39" s="3137">
        <v>41.83</v>
      </c>
      <c r="Y39" s="3137"/>
      <c r="Z39" s="3136">
        <f t="shared" si="464"/>
        <v>40.119999999999997</v>
      </c>
      <c r="AA39" s="3137">
        <v>40.119999999999997</v>
      </c>
      <c r="AB39" s="3137"/>
      <c r="AC39" s="3136">
        <f t="shared" si="166"/>
        <v>123.65</v>
      </c>
      <c r="AD39" s="3136">
        <f t="shared" si="465"/>
        <v>123.65</v>
      </c>
      <c r="AE39" s="3136">
        <f t="shared" si="466"/>
        <v>0</v>
      </c>
      <c r="AF39" s="3209">
        <f t="shared" si="424"/>
        <v>256.70499999999998</v>
      </c>
      <c r="AG39" s="3209">
        <f t="shared" si="425"/>
        <v>255.20330589544449</v>
      </c>
      <c r="AH39" s="3209">
        <f t="shared" si="426"/>
        <v>1.5016941045555059</v>
      </c>
      <c r="AI39" s="3264">
        <f t="shared" si="427"/>
        <v>253</v>
      </c>
      <c r="AJ39" s="3264">
        <f t="shared" si="428"/>
        <v>253</v>
      </c>
      <c r="AK39" s="3264">
        <f t="shared" si="429"/>
        <v>0</v>
      </c>
      <c r="AL39" s="3264">
        <f t="shared" si="430"/>
        <v>-3.7049999999999841</v>
      </c>
      <c r="AM39" s="3264">
        <f t="shared" si="431"/>
        <v>-2.2033058954444869</v>
      </c>
      <c r="AN39" s="3264">
        <f t="shared" si="432"/>
        <v>-1.5016941045555059</v>
      </c>
      <c r="AO39" s="3208">
        <f t="shared" si="467"/>
        <v>128.35249999999999</v>
      </c>
      <c r="AP39" s="3208">
        <f t="shared" si="468"/>
        <v>127.60165294772224</v>
      </c>
      <c r="AQ39" s="3208">
        <f t="shared" si="469"/>
        <v>0.75084705227775295</v>
      </c>
      <c r="AR39" s="3136">
        <f t="shared" si="470"/>
        <v>40.29</v>
      </c>
      <c r="AS39" s="3137">
        <v>40.29</v>
      </c>
      <c r="AT39" s="3137"/>
      <c r="AU39" s="3136">
        <f t="shared" si="471"/>
        <v>36.67</v>
      </c>
      <c r="AV39" s="3137">
        <v>36.67</v>
      </c>
      <c r="AW39" s="3137"/>
      <c r="AX39" s="3136">
        <f t="shared" si="472"/>
        <v>39.08</v>
      </c>
      <c r="AY39" s="3137">
        <v>39.08</v>
      </c>
      <c r="AZ39" s="3137"/>
      <c r="BA39" s="3136">
        <f t="shared" si="437"/>
        <v>116.04</v>
      </c>
      <c r="BB39" s="3136">
        <f t="shared" si="473"/>
        <v>116.04</v>
      </c>
      <c r="BC39" s="3136">
        <f t="shared" si="474"/>
        <v>0</v>
      </c>
      <c r="BD39" s="3209">
        <f t="shared" si="257"/>
        <v>385.0575</v>
      </c>
      <c r="BE39" s="3209">
        <f t="shared" si="258"/>
        <v>382.80495884316673</v>
      </c>
      <c r="BF39" s="3209">
        <f t="shared" si="259"/>
        <v>2.2525411568332587</v>
      </c>
      <c r="BG39" s="3264">
        <f t="shared" si="439"/>
        <v>369.04</v>
      </c>
      <c r="BH39" s="3264">
        <f t="shared" si="440"/>
        <v>369.04</v>
      </c>
      <c r="BI39" s="3264">
        <f t="shared" si="441"/>
        <v>0</v>
      </c>
      <c r="BJ39" s="3264">
        <f t="shared" si="442"/>
        <v>-16.017499999999984</v>
      </c>
      <c r="BK39" s="3264">
        <f t="shared" si="443"/>
        <v>-13.76495884316671</v>
      </c>
      <c r="BL39" s="3264">
        <f t="shared" si="444"/>
        <v>-2.2525411568332587</v>
      </c>
      <c r="BM39" s="3208">
        <f t="shared" si="485"/>
        <v>128.35249999999999</v>
      </c>
      <c r="BN39" s="3208">
        <f t="shared" si="475"/>
        <v>127.60165294772224</v>
      </c>
      <c r="BO39" s="3208">
        <f t="shared" si="476"/>
        <v>0.75084705227775295</v>
      </c>
      <c r="BP39" s="3136">
        <f t="shared" si="477"/>
        <v>0</v>
      </c>
      <c r="BQ39" s="3137"/>
      <c r="BR39" s="3137"/>
      <c r="BS39" s="3136">
        <f t="shared" si="478"/>
        <v>0</v>
      </c>
      <c r="BT39" s="3137"/>
      <c r="BU39" s="3137"/>
      <c r="BV39" s="3136">
        <f t="shared" si="479"/>
        <v>0</v>
      </c>
      <c r="BW39" s="3137"/>
      <c r="BX39" s="3137"/>
      <c r="BY39" s="3136">
        <f t="shared" si="304"/>
        <v>0</v>
      </c>
      <c r="BZ39" s="3136">
        <f t="shared" si="480"/>
        <v>0</v>
      </c>
      <c r="CA39" s="3136">
        <f t="shared" si="481"/>
        <v>0</v>
      </c>
      <c r="CB39" s="3209">
        <f t="shared" si="158"/>
        <v>513.41</v>
      </c>
      <c r="CC39" s="3286">
        <f>SUM(стоки!BN20)</f>
        <v>510.40661179088897</v>
      </c>
      <c r="CD39" s="3286">
        <f>SUM(стоки!BO20)</f>
        <v>3.0033882091110118</v>
      </c>
      <c r="CE39" s="3264">
        <f t="shared" si="450"/>
        <v>369.04</v>
      </c>
      <c r="CF39" s="3264">
        <f t="shared" si="451"/>
        <v>369.04</v>
      </c>
      <c r="CG39" s="3264">
        <f t="shared" si="452"/>
        <v>0</v>
      </c>
      <c r="CH39" s="3264">
        <f t="shared" si="453"/>
        <v>-144.36999999999995</v>
      </c>
      <c r="CI39" s="3264">
        <f t="shared" si="454"/>
        <v>-141.36661179088895</v>
      </c>
      <c r="CJ39" s="3264">
        <f t="shared" si="455"/>
        <v>-3.0033882091110118</v>
      </c>
      <c r="CK39" s="3259"/>
      <c r="CL39" s="3259"/>
      <c r="CM39" s="3259"/>
    </row>
    <row r="40" spans="1:91" ht="18.75" customHeight="1" x14ac:dyDescent="0.3">
      <c r="A40" s="3072" t="s">
        <v>3589</v>
      </c>
      <c r="B40" s="3208">
        <f t="shared" si="392"/>
        <v>0</v>
      </c>
      <c r="C40" s="3208">
        <f t="shared" si="482"/>
        <v>0</v>
      </c>
      <c r="D40" s="3208">
        <f t="shared" si="483"/>
        <v>0</v>
      </c>
      <c r="E40" s="3136">
        <f t="shared" si="138"/>
        <v>0</v>
      </c>
      <c r="F40" s="3137"/>
      <c r="G40" s="3137"/>
      <c r="H40" s="3136">
        <f t="shared" si="456"/>
        <v>0</v>
      </c>
      <c r="I40" s="3137"/>
      <c r="J40" s="3137"/>
      <c r="K40" s="3136">
        <f t="shared" si="457"/>
        <v>0</v>
      </c>
      <c r="L40" s="3137"/>
      <c r="M40" s="3137"/>
      <c r="N40" s="3136">
        <f t="shared" si="289"/>
        <v>0</v>
      </c>
      <c r="O40" s="3136">
        <f t="shared" si="458"/>
        <v>0</v>
      </c>
      <c r="P40" s="3136">
        <f t="shared" si="459"/>
        <v>0</v>
      </c>
      <c r="Q40" s="3208">
        <f t="shared" si="484"/>
        <v>0</v>
      </c>
      <c r="R40" s="3208">
        <f t="shared" si="460"/>
        <v>0</v>
      </c>
      <c r="S40" s="3208">
        <f t="shared" si="461"/>
        <v>0</v>
      </c>
      <c r="T40" s="3136">
        <f t="shared" si="462"/>
        <v>0</v>
      </c>
      <c r="U40" s="3137"/>
      <c r="V40" s="3137"/>
      <c r="W40" s="3136">
        <f t="shared" si="463"/>
        <v>0</v>
      </c>
      <c r="X40" s="3137"/>
      <c r="Y40" s="3137"/>
      <c r="Z40" s="3136">
        <f t="shared" si="464"/>
        <v>0</v>
      </c>
      <c r="AA40" s="3137"/>
      <c r="AB40" s="3137"/>
      <c r="AC40" s="3136">
        <f t="shared" si="166"/>
        <v>0</v>
      </c>
      <c r="AD40" s="3136">
        <f t="shared" si="465"/>
        <v>0</v>
      </c>
      <c r="AE40" s="3136">
        <f t="shared" si="466"/>
        <v>0</v>
      </c>
      <c r="AF40" s="3209">
        <f t="shared" si="424"/>
        <v>0</v>
      </c>
      <c r="AG40" s="3209">
        <f t="shared" si="425"/>
        <v>0</v>
      </c>
      <c r="AH40" s="3209">
        <f t="shared" si="426"/>
        <v>0</v>
      </c>
      <c r="AI40" s="3264">
        <f t="shared" si="427"/>
        <v>0</v>
      </c>
      <c r="AJ40" s="3264">
        <f t="shared" si="428"/>
        <v>0</v>
      </c>
      <c r="AK40" s="3264">
        <f t="shared" si="429"/>
        <v>0</v>
      </c>
      <c r="AL40" s="3264">
        <f t="shared" si="430"/>
        <v>0</v>
      </c>
      <c r="AM40" s="3264">
        <f t="shared" si="431"/>
        <v>0</v>
      </c>
      <c r="AN40" s="3264">
        <f t="shared" si="432"/>
        <v>0</v>
      </c>
      <c r="AO40" s="3208">
        <f t="shared" si="467"/>
        <v>0</v>
      </c>
      <c r="AP40" s="3208">
        <f t="shared" si="468"/>
        <v>0</v>
      </c>
      <c r="AQ40" s="3208">
        <f t="shared" si="469"/>
        <v>0</v>
      </c>
      <c r="AR40" s="3136">
        <f t="shared" si="470"/>
        <v>0</v>
      </c>
      <c r="AS40" s="3137"/>
      <c r="AT40" s="3137"/>
      <c r="AU40" s="3136">
        <f t="shared" si="471"/>
        <v>0</v>
      </c>
      <c r="AV40" s="3137"/>
      <c r="AW40" s="3137"/>
      <c r="AX40" s="3136">
        <f t="shared" si="472"/>
        <v>0</v>
      </c>
      <c r="AY40" s="3137"/>
      <c r="AZ40" s="3137"/>
      <c r="BA40" s="3136">
        <f t="shared" si="437"/>
        <v>0</v>
      </c>
      <c r="BB40" s="3136">
        <f t="shared" si="473"/>
        <v>0</v>
      </c>
      <c r="BC40" s="3136">
        <f t="shared" si="474"/>
        <v>0</v>
      </c>
      <c r="BD40" s="3209">
        <f t="shared" si="257"/>
        <v>0</v>
      </c>
      <c r="BE40" s="3209">
        <f t="shared" si="258"/>
        <v>0</v>
      </c>
      <c r="BF40" s="3209">
        <f t="shared" si="259"/>
        <v>0</v>
      </c>
      <c r="BG40" s="3264">
        <f t="shared" si="439"/>
        <v>0</v>
      </c>
      <c r="BH40" s="3264">
        <f t="shared" si="440"/>
        <v>0</v>
      </c>
      <c r="BI40" s="3264">
        <f t="shared" si="441"/>
        <v>0</v>
      </c>
      <c r="BJ40" s="3264">
        <f t="shared" si="442"/>
        <v>0</v>
      </c>
      <c r="BK40" s="3264">
        <f t="shared" si="443"/>
        <v>0</v>
      </c>
      <c r="BL40" s="3264">
        <f t="shared" si="444"/>
        <v>0</v>
      </c>
      <c r="BM40" s="3208">
        <f t="shared" si="485"/>
        <v>0</v>
      </c>
      <c r="BN40" s="3208">
        <f t="shared" si="475"/>
        <v>0</v>
      </c>
      <c r="BO40" s="3208">
        <f t="shared" si="476"/>
        <v>0</v>
      </c>
      <c r="BP40" s="3136">
        <f t="shared" si="477"/>
        <v>0</v>
      </c>
      <c r="BQ40" s="3137"/>
      <c r="BR40" s="3137"/>
      <c r="BS40" s="3136">
        <f t="shared" si="478"/>
        <v>0</v>
      </c>
      <c r="BT40" s="3137"/>
      <c r="BU40" s="3137"/>
      <c r="BV40" s="3136">
        <f t="shared" si="479"/>
        <v>0</v>
      </c>
      <c r="BW40" s="3137"/>
      <c r="BX40" s="3137"/>
      <c r="BY40" s="3136">
        <f t="shared" si="304"/>
        <v>0</v>
      </c>
      <c r="BZ40" s="3136">
        <f t="shared" si="480"/>
        <v>0</v>
      </c>
      <c r="CA40" s="3136">
        <f t="shared" si="481"/>
        <v>0</v>
      </c>
      <c r="CB40" s="3209">
        <f t="shared" si="158"/>
        <v>0</v>
      </c>
      <c r="CC40" s="3286">
        <f>SUM(стоки!BN21)</f>
        <v>0</v>
      </c>
      <c r="CD40" s="3286">
        <f>SUM(стоки!BO21)</f>
        <v>0</v>
      </c>
      <c r="CE40" s="3264">
        <f t="shared" si="450"/>
        <v>0</v>
      </c>
      <c r="CF40" s="3264">
        <f t="shared" si="451"/>
        <v>0</v>
      </c>
      <c r="CG40" s="3264">
        <f t="shared" si="452"/>
        <v>0</v>
      </c>
      <c r="CH40" s="3264">
        <f t="shared" si="453"/>
        <v>0</v>
      </c>
      <c r="CI40" s="3264">
        <f t="shared" si="454"/>
        <v>0</v>
      </c>
      <c r="CJ40" s="3264">
        <f t="shared" si="455"/>
        <v>0</v>
      </c>
      <c r="CK40" s="3259"/>
      <c r="CL40" s="3259"/>
      <c r="CM40" s="3259"/>
    </row>
    <row r="41" spans="1:91" ht="18.75" customHeight="1" x14ac:dyDescent="0.3">
      <c r="A41" s="3111" t="s">
        <v>3</v>
      </c>
      <c r="B41" s="3208">
        <f t="shared" si="392"/>
        <v>0</v>
      </c>
      <c r="C41" s="3208">
        <f t="shared" si="482"/>
        <v>0</v>
      </c>
      <c r="D41" s="3208">
        <f t="shared" si="483"/>
        <v>0</v>
      </c>
      <c r="E41" s="3136">
        <f t="shared" si="138"/>
        <v>7.25</v>
      </c>
      <c r="F41" s="3137">
        <f>0.14+7.11</f>
        <v>7.25</v>
      </c>
      <c r="G41" s="3137"/>
      <c r="H41" s="3136">
        <f t="shared" si="456"/>
        <v>0.27</v>
      </c>
      <c r="I41" s="3137">
        <f>0.25+0.02</f>
        <v>0.27</v>
      </c>
      <c r="J41" s="3137"/>
      <c r="K41" s="3136">
        <f t="shared" si="457"/>
        <v>1.33</v>
      </c>
      <c r="L41" s="3137">
        <v>1.33</v>
      </c>
      <c r="M41" s="3137"/>
      <c r="N41" s="3136">
        <f t="shared" si="289"/>
        <v>8.85</v>
      </c>
      <c r="O41" s="3136">
        <f t="shared" si="458"/>
        <v>8.85</v>
      </c>
      <c r="P41" s="3136">
        <f t="shared" si="459"/>
        <v>0</v>
      </c>
      <c r="Q41" s="3208">
        <f t="shared" si="484"/>
        <v>0</v>
      </c>
      <c r="R41" s="3208">
        <f t="shared" si="460"/>
        <v>0</v>
      </c>
      <c r="S41" s="3208">
        <f t="shared" si="461"/>
        <v>0</v>
      </c>
      <c r="T41" s="3136">
        <f t="shared" si="462"/>
        <v>0.73</v>
      </c>
      <c r="U41" s="3137">
        <v>0.73</v>
      </c>
      <c r="V41" s="3137"/>
      <c r="W41" s="3136">
        <f t="shared" si="463"/>
        <v>38.020000000000003</v>
      </c>
      <c r="X41" s="3137">
        <v>38.020000000000003</v>
      </c>
      <c r="Y41" s="3137"/>
      <c r="Z41" s="3136">
        <f t="shared" si="464"/>
        <v>118.15</v>
      </c>
      <c r="AA41" s="3137">
        <f>56.97+61.18</f>
        <v>118.15</v>
      </c>
      <c r="AB41" s="3137"/>
      <c r="AC41" s="3136">
        <f t="shared" si="166"/>
        <v>156.9</v>
      </c>
      <c r="AD41" s="3136">
        <f t="shared" si="465"/>
        <v>156.9</v>
      </c>
      <c r="AE41" s="3136">
        <f t="shared" si="466"/>
        <v>0</v>
      </c>
      <c r="AF41" s="3209">
        <f t="shared" si="424"/>
        <v>0</v>
      </c>
      <c r="AG41" s="3209">
        <f t="shared" si="425"/>
        <v>0</v>
      </c>
      <c r="AH41" s="3209">
        <f t="shared" si="426"/>
        <v>0</v>
      </c>
      <c r="AI41" s="3264">
        <f t="shared" si="427"/>
        <v>165.75</v>
      </c>
      <c r="AJ41" s="3264">
        <f t="shared" si="428"/>
        <v>165.75</v>
      </c>
      <c r="AK41" s="3264">
        <f t="shared" si="429"/>
        <v>0</v>
      </c>
      <c r="AL41" s="3264">
        <f t="shared" si="430"/>
        <v>165.75</v>
      </c>
      <c r="AM41" s="3264">
        <f t="shared" si="431"/>
        <v>165.75</v>
      </c>
      <c r="AN41" s="3264">
        <f t="shared" si="432"/>
        <v>0</v>
      </c>
      <c r="AO41" s="3208">
        <f t="shared" si="467"/>
        <v>0</v>
      </c>
      <c r="AP41" s="3208">
        <f t="shared" si="468"/>
        <v>0</v>
      </c>
      <c r="AQ41" s="3208">
        <f t="shared" si="469"/>
        <v>0</v>
      </c>
      <c r="AR41" s="3136">
        <f t="shared" si="470"/>
        <v>14.43</v>
      </c>
      <c r="AS41" s="3137">
        <v>14.43</v>
      </c>
      <c r="AT41" s="3137"/>
      <c r="AU41" s="3136">
        <f t="shared" si="471"/>
        <v>68.8</v>
      </c>
      <c r="AV41" s="3137">
        <v>68.8</v>
      </c>
      <c r="AW41" s="3137"/>
      <c r="AX41" s="3136">
        <f t="shared" si="472"/>
        <v>56.61</v>
      </c>
      <c r="AY41" s="3137">
        <v>56.61</v>
      </c>
      <c r="AZ41" s="3137"/>
      <c r="BA41" s="3136">
        <f t="shared" si="437"/>
        <v>139.83999999999997</v>
      </c>
      <c r="BB41" s="3136">
        <f t="shared" si="473"/>
        <v>139.83999999999997</v>
      </c>
      <c r="BC41" s="3136">
        <f t="shared" si="474"/>
        <v>0</v>
      </c>
      <c r="BD41" s="3209">
        <f t="shared" si="257"/>
        <v>0</v>
      </c>
      <c r="BE41" s="3209">
        <f t="shared" si="258"/>
        <v>0</v>
      </c>
      <c r="BF41" s="3209">
        <f t="shared" si="259"/>
        <v>0</v>
      </c>
      <c r="BG41" s="3264">
        <f t="shared" si="439"/>
        <v>305.58999999999997</v>
      </c>
      <c r="BH41" s="3264">
        <f t="shared" si="440"/>
        <v>305.58999999999997</v>
      </c>
      <c r="BI41" s="3264">
        <f t="shared" si="441"/>
        <v>0</v>
      </c>
      <c r="BJ41" s="3264">
        <f t="shared" si="442"/>
        <v>305.58999999999997</v>
      </c>
      <c r="BK41" s="3264">
        <f t="shared" si="443"/>
        <v>305.58999999999997</v>
      </c>
      <c r="BL41" s="3264">
        <f t="shared" si="444"/>
        <v>0</v>
      </c>
      <c r="BM41" s="3208">
        <f t="shared" si="485"/>
        <v>0</v>
      </c>
      <c r="BN41" s="3208">
        <f t="shared" si="475"/>
        <v>0</v>
      </c>
      <c r="BO41" s="3208">
        <f t="shared" si="476"/>
        <v>0</v>
      </c>
      <c r="BP41" s="3136">
        <f t="shared" si="477"/>
        <v>0</v>
      </c>
      <c r="BQ41" s="3137"/>
      <c r="BR41" s="3137"/>
      <c r="BS41" s="3136">
        <f t="shared" si="478"/>
        <v>0</v>
      </c>
      <c r="BT41" s="3137"/>
      <c r="BU41" s="3137"/>
      <c r="BV41" s="3136">
        <f t="shared" si="479"/>
        <v>0</v>
      </c>
      <c r="BW41" s="3137"/>
      <c r="BX41" s="3137"/>
      <c r="BY41" s="3136">
        <f t="shared" si="304"/>
        <v>0</v>
      </c>
      <c r="BZ41" s="3136">
        <f t="shared" si="480"/>
        <v>0</v>
      </c>
      <c r="CA41" s="3136">
        <f t="shared" si="481"/>
        <v>0</v>
      </c>
      <c r="CB41" s="3209">
        <f t="shared" si="158"/>
        <v>0</v>
      </c>
      <c r="CC41" s="3286">
        <f>SUM(стоки!BN22)</f>
        <v>0</v>
      </c>
      <c r="CD41" s="3286">
        <f>SUM(стоки!BO22)</f>
        <v>0</v>
      </c>
      <c r="CE41" s="3264">
        <f t="shared" si="450"/>
        <v>305.58999999999997</v>
      </c>
      <c r="CF41" s="3264">
        <f t="shared" si="451"/>
        <v>305.58999999999997</v>
      </c>
      <c r="CG41" s="3264">
        <f t="shared" si="452"/>
        <v>0</v>
      </c>
      <c r="CH41" s="3264">
        <f t="shared" si="453"/>
        <v>305.58999999999997</v>
      </c>
      <c r="CI41" s="3264">
        <f t="shared" si="454"/>
        <v>305.58999999999997</v>
      </c>
      <c r="CJ41" s="3264">
        <f t="shared" si="455"/>
        <v>0</v>
      </c>
      <c r="CK41" s="3259"/>
      <c r="CL41" s="3259"/>
      <c r="CM41" s="3259"/>
    </row>
    <row r="42" spans="1:91" ht="18.75" customHeight="1" x14ac:dyDescent="0.3">
      <c r="A42" s="3111" t="s">
        <v>4</v>
      </c>
      <c r="B42" s="3208">
        <f t="shared" si="392"/>
        <v>5097.9450060000008</v>
      </c>
      <c r="C42" s="3208">
        <f t="shared" si="482"/>
        <v>5068.1226263780281</v>
      </c>
      <c r="D42" s="3208">
        <f t="shared" si="483"/>
        <v>29.822379621972239</v>
      </c>
      <c r="E42" s="3136">
        <f t="shared" si="138"/>
        <v>1208.7429999999999</v>
      </c>
      <c r="F42" s="3137">
        <v>1200.7</v>
      </c>
      <c r="G42" s="3137">
        <v>8.0429999999999993</v>
      </c>
      <c r="H42" s="3136">
        <f t="shared" si="456"/>
        <v>1022.52</v>
      </c>
      <c r="I42" s="3137">
        <v>1014.93</v>
      </c>
      <c r="J42" s="3137">
        <v>7.59</v>
      </c>
      <c r="K42" s="3136">
        <f t="shared" si="457"/>
        <v>1203.8699999999999</v>
      </c>
      <c r="L42" s="3137">
        <v>1196.29</v>
      </c>
      <c r="M42" s="3137">
        <v>7.58</v>
      </c>
      <c r="N42" s="3136">
        <f t="shared" si="289"/>
        <v>3435.1330000000003</v>
      </c>
      <c r="O42" s="3136">
        <f t="shared" si="458"/>
        <v>3411.92</v>
      </c>
      <c r="P42" s="3136">
        <f t="shared" si="459"/>
        <v>23.213000000000001</v>
      </c>
      <c r="Q42" s="3208">
        <f t="shared" si="484"/>
        <v>5097.9450060000008</v>
      </c>
      <c r="R42" s="3208">
        <f t="shared" si="460"/>
        <v>5068.1226263780281</v>
      </c>
      <c r="S42" s="3208">
        <f t="shared" si="461"/>
        <v>29.822379621972239</v>
      </c>
      <c r="T42" s="3136">
        <f t="shared" si="462"/>
        <v>1361.241</v>
      </c>
      <c r="U42" s="3137">
        <v>1353.78</v>
      </c>
      <c r="V42" s="3137">
        <v>7.4610000000000003</v>
      </c>
      <c r="W42" s="3136">
        <f t="shared" si="463"/>
        <v>1251.6299999999999</v>
      </c>
      <c r="X42" s="3137">
        <v>1242.77</v>
      </c>
      <c r="Y42" s="3137">
        <v>8.86</v>
      </c>
      <c r="Z42" s="3136">
        <f t="shared" si="464"/>
        <v>1375.3899999999999</v>
      </c>
      <c r="AA42" s="3137">
        <v>1359.3</v>
      </c>
      <c r="AB42" s="3137">
        <v>16.09</v>
      </c>
      <c r="AC42" s="3136">
        <f t="shared" si="166"/>
        <v>3988.2610000000004</v>
      </c>
      <c r="AD42" s="3136">
        <f t="shared" si="465"/>
        <v>3955.8500000000004</v>
      </c>
      <c r="AE42" s="3136">
        <f t="shared" si="466"/>
        <v>32.411000000000001</v>
      </c>
      <c r="AF42" s="3209">
        <f t="shared" si="424"/>
        <v>10195.890012000002</v>
      </c>
      <c r="AG42" s="3209">
        <f t="shared" si="425"/>
        <v>10136.245252756056</v>
      </c>
      <c r="AH42" s="3209">
        <f t="shared" si="426"/>
        <v>59.644759243944478</v>
      </c>
      <c r="AI42" s="3264">
        <f t="shared" si="427"/>
        <v>7423.3940000000002</v>
      </c>
      <c r="AJ42" s="3264">
        <f t="shared" si="428"/>
        <v>7367.77</v>
      </c>
      <c r="AK42" s="3264">
        <f t="shared" si="429"/>
        <v>55.624000000000002</v>
      </c>
      <c r="AL42" s="3264">
        <f t="shared" si="430"/>
        <v>-2772.4960120000014</v>
      </c>
      <c r="AM42" s="3264">
        <f t="shared" si="431"/>
        <v>-2768.4752527560559</v>
      </c>
      <c r="AN42" s="3264">
        <f t="shared" si="432"/>
        <v>-4.0207592439444753</v>
      </c>
      <c r="AO42" s="3208">
        <f t="shared" si="467"/>
        <v>5097.9450060000008</v>
      </c>
      <c r="AP42" s="3208">
        <f t="shared" si="468"/>
        <v>5068.1226263780281</v>
      </c>
      <c r="AQ42" s="3208">
        <f t="shared" si="469"/>
        <v>29.822379621972239</v>
      </c>
      <c r="AR42" s="3136">
        <f t="shared" si="470"/>
        <v>1150.654</v>
      </c>
      <c r="AS42" s="3137">
        <v>1149.3900000000001</v>
      </c>
      <c r="AT42" s="3137">
        <v>1.264</v>
      </c>
      <c r="AU42" s="3136">
        <f t="shared" si="471"/>
        <v>1233.626</v>
      </c>
      <c r="AV42" s="3137">
        <v>1225.4100000000001</v>
      </c>
      <c r="AW42" s="3137">
        <v>8.2159999999999993</v>
      </c>
      <c r="AX42" s="3136">
        <f t="shared" si="472"/>
        <v>1075.01</v>
      </c>
      <c r="AY42" s="3137">
        <v>1066.68</v>
      </c>
      <c r="AZ42" s="3137">
        <v>8.33</v>
      </c>
      <c r="BA42" s="3136">
        <f t="shared" si="437"/>
        <v>3459.2900000000004</v>
      </c>
      <c r="BB42" s="3136">
        <f t="shared" si="473"/>
        <v>3441.4800000000005</v>
      </c>
      <c r="BC42" s="3136">
        <f t="shared" si="474"/>
        <v>17.809999999999999</v>
      </c>
      <c r="BD42" s="3209">
        <f t="shared" si="257"/>
        <v>15293.835018000002</v>
      </c>
      <c r="BE42" s="3209">
        <f t="shared" si="258"/>
        <v>15204.367879134084</v>
      </c>
      <c r="BF42" s="3209">
        <f t="shared" si="259"/>
        <v>89.467138865916723</v>
      </c>
      <c r="BG42" s="3264">
        <f t="shared" si="439"/>
        <v>10882.684000000001</v>
      </c>
      <c r="BH42" s="3264">
        <f t="shared" si="440"/>
        <v>10809.25</v>
      </c>
      <c r="BI42" s="3264">
        <f t="shared" si="441"/>
        <v>73.433999999999997</v>
      </c>
      <c r="BJ42" s="3264">
        <f t="shared" si="442"/>
        <v>-4411.1510180000005</v>
      </c>
      <c r="BK42" s="3264">
        <f t="shared" si="443"/>
        <v>-4395.1178791340844</v>
      </c>
      <c r="BL42" s="3264">
        <f t="shared" si="444"/>
        <v>-16.033138865916726</v>
      </c>
      <c r="BM42" s="3208">
        <f t="shared" si="485"/>
        <v>5097.9450060000008</v>
      </c>
      <c r="BN42" s="3208">
        <f t="shared" si="475"/>
        <v>5068.1226263780281</v>
      </c>
      <c r="BO42" s="3208">
        <f t="shared" si="476"/>
        <v>29.822379621972239</v>
      </c>
      <c r="BP42" s="3136">
        <f t="shared" si="477"/>
        <v>0</v>
      </c>
      <c r="BQ42" s="3137"/>
      <c r="BR42" s="3137"/>
      <c r="BS42" s="3136">
        <f t="shared" si="478"/>
        <v>0</v>
      </c>
      <c r="BT42" s="3137"/>
      <c r="BU42" s="3137"/>
      <c r="BV42" s="3136">
        <f t="shared" si="479"/>
        <v>0</v>
      </c>
      <c r="BW42" s="3137"/>
      <c r="BX42" s="3137"/>
      <c r="BY42" s="3136">
        <f t="shared" si="304"/>
        <v>0</v>
      </c>
      <c r="BZ42" s="3136">
        <f t="shared" si="480"/>
        <v>0</v>
      </c>
      <c r="CA42" s="3136">
        <f t="shared" si="481"/>
        <v>0</v>
      </c>
      <c r="CB42" s="3209">
        <f t="shared" si="158"/>
        <v>20391.780024000003</v>
      </c>
      <c r="CC42" s="3286">
        <f>SUM(стоки!BN23)</f>
        <v>20272.490505512113</v>
      </c>
      <c r="CD42" s="3286">
        <f>SUM(стоки!BO23)</f>
        <v>119.28951848788896</v>
      </c>
      <c r="CE42" s="3264">
        <f t="shared" si="450"/>
        <v>10882.684000000001</v>
      </c>
      <c r="CF42" s="3264">
        <f t="shared" si="451"/>
        <v>10809.25</v>
      </c>
      <c r="CG42" s="3264">
        <f t="shared" si="452"/>
        <v>73.433999999999997</v>
      </c>
      <c r="CH42" s="3264">
        <f t="shared" si="453"/>
        <v>-9509.0960240000022</v>
      </c>
      <c r="CI42" s="3264">
        <f t="shared" si="454"/>
        <v>-9463.2405055121126</v>
      </c>
      <c r="CJ42" s="3264">
        <f t="shared" si="455"/>
        <v>-45.855518487888958</v>
      </c>
      <c r="CK42" s="3259"/>
      <c r="CL42" s="3259"/>
      <c r="CM42" s="3259"/>
    </row>
    <row r="43" spans="1:91" ht="18.75" customHeight="1" x14ac:dyDescent="0.3">
      <c r="A43" s="3111" t="s">
        <v>117</v>
      </c>
      <c r="B43" s="3208">
        <f t="shared" si="392"/>
        <v>1536.1227562680535</v>
      </c>
      <c r="C43" s="3208">
        <f t="shared" si="482"/>
        <v>1527.1374261829831</v>
      </c>
      <c r="D43" s="3208">
        <f t="shared" si="483"/>
        <v>8.9853300850704869</v>
      </c>
      <c r="E43" s="3136">
        <f t="shared" si="138"/>
        <v>365.94899999999996</v>
      </c>
      <c r="F43" s="3137">
        <v>363.52</v>
      </c>
      <c r="G43" s="3137">
        <v>2.4289999999999998</v>
      </c>
      <c r="H43" s="3136">
        <f t="shared" si="456"/>
        <v>303.84000000000003</v>
      </c>
      <c r="I43" s="3137">
        <v>301.55</v>
      </c>
      <c r="J43" s="3137">
        <v>2.29</v>
      </c>
      <c r="K43" s="3136">
        <f t="shared" si="457"/>
        <v>361.44</v>
      </c>
      <c r="L43" s="3137">
        <v>359.15</v>
      </c>
      <c r="M43" s="3137">
        <v>2.29</v>
      </c>
      <c r="N43" s="3136">
        <f t="shared" si="289"/>
        <v>1031.2289999999998</v>
      </c>
      <c r="O43" s="3136">
        <f t="shared" si="458"/>
        <v>1024.2199999999998</v>
      </c>
      <c r="P43" s="3136">
        <f t="shared" si="459"/>
        <v>7.0089999999999995</v>
      </c>
      <c r="Q43" s="3208">
        <f t="shared" si="484"/>
        <v>1536.1227562680535</v>
      </c>
      <c r="R43" s="3208">
        <f t="shared" si="460"/>
        <v>1527.1374261829831</v>
      </c>
      <c r="S43" s="3208">
        <f t="shared" si="461"/>
        <v>8.9853300850704869</v>
      </c>
      <c r="T43" s="3136">
        <f t="shared" si="462"/>
        <v>422.01299999999998</v>
      </c>
      <c r="U43" s="3137">
        <v>419.76</v>
      </c>
      <c r="V43" s="3137">
        <v>2.2530000000000001</v>
      </c>
      <c r="W43" s="3136">
        <f t="shared" si="463"/>
        <v>377.06</v>
      </c>
      <c r="X43" s="3137">
        <v>374.38</v>
      </c>
      <c r="Y43" s="3137">
        <v>2.68</v>
      </c>
      <c r="Z43" s="3136">
        <f t="shared" si="464"/>
        <v>415.88</v>
      </c>
      <c r="AA43" s="3137">
        <v>411.02</v>
      </c>
      <c r="AB43" s="3137">
        <v>4.8600000000000003</v>
      </c>
      <c r="AC43" s="3136">
        <f t="shared" si="166"/>
        <v>1214.9529999999997</v>
      </c>
      <c r="AD43" s="3136">
        <f t="shared" si="465"/>
        <v>1205.1599999999999</v>
      </c>
      <c r="AE43" s="3136">
        <f t="shared" si="466"/>
        <v>9.7929999999999993</v>
      </c>
      <c r="AF43" s="3209">
        <f t="shared" si="424"/>
        <v>3072.2455125361071</v>
      </c>
      <c r="AG43" s="3209">
        <f t="shared" si="425"/>
        <v>3054.2748523659661</v>
      </c>
      <c r="AH43" s="3209">
        <f t="shared" si="426"/>
        <v>17.970660170140974</v>
      </c>
      <c r="AI43" s="3264">
        <f t="shared" si="427"/>
        <v>2246.1819999999998</v>
      </c>
      <c r="AJ43" s="3264">
        <f t="shared" si="428"/>
        <v>2229.3799999999997</v>
      </c>
      <c r="AK43" s="3264">
        <f t="shared" si="429"/>
        <v>16.802</v>
      </c>
      <c r="AL43" s="3264">
        <f t="shared" si="430"/>
        <v>-826.06351253610728</v>
      </c>
      <c r="AM43" s="3264">
        <f t="shared" si="431"/>
        <v>-824.89485236596647</v>
      </c>
      <c r="AN43" s="3264">
        <f t="shared" si="432"/>
        <v>-1.1686601701409742</v>
      </c>
      <c r="AO43" s="3208">
        <f t="shared" si="467"/>
        <v>1536.1227562680535</v>
      </c>
      <c r="AP43" s="3208">
        <f t="shared" si="468"/>
        <v>1527.1374261829831</v>
      </c>
      <c r="AQ43" s="3208">
        <f t="shared" si="469"/>
        <v>8.9853300850704869</v>
      </c>
      <c r="AR43" s="3136">
        <f t="shared" si="470"/>
        <v>344.50200000000001</v>
      </c>
      <c r="AS43" s="3137">
        <v>344.12</v>
      </c>
      <c r="AT43" s="3137">
        <v>0.38200000000000001</v>
      </c>
      <c r="AU43" s="3136">
        <f t="shared" si="471"/>
        <v>372.661</v>
      </c>
      <c r="AV43" s="3137">
        <v>370.18</v>
      </c>
      <c r="AW43" s="3137">
        <v>2.4809999999999999</v>
      </c>
      <c r="AX43" s="3136">
        <f t="shared" si="472"/>
        <v>324.78999999999996</v>
      </c>
      <c r="AY43" s="3137">
        <v>322.27</v>
      </c>
      <c r="AZ43" s="3137">
        <v>2.52</v>
      </c>
      <c r="BA43" s="3136">
        <f t="shared" si="437"/>
        <v>1041.953</v>
      </c>
      <c r="BB43" s="3136">
        <f t="shared" si="473"/>
        <v>1036.57</v>
      </c>
      <c r="BC43" s="3136">
        <f t="shared" si="474"/>
        <v>5.383</v>
      </c>
      <c r="BD43" s="3209">
        <f t="shared" si="257"/>
        <v>4608.3682688041608</v>
      </c>
      <c r="BE43" s="3209">
        <f t="shared" si="258"/>
        <v>4581.412278548949</v>
      </c>
      <c r="BF43" s="3209">
        <f t="shared" si="259"/>
        <v>26.955990255211461</v>
      </c>
      <c r="BG43" s="3264">
        <f t="shared" si="439"/>
        <v>3288.1349999999998</v>
      </c>
      <c r="BH43" s="3264">
        <f t="shared" si="440"/>
        <v>3265.95</v>
      </c>
      <c r="BI43" s="3264">
        <f t="shared" si="441"/>
        <v>22.184999999999999</v>
      </c>
      <c r="BJ43" s="3264">
        <f t="shared" si="442"/>
        <v>-1320.2332688041611</v>
      </c>
      <c r="BK43" s="3264">
        <f t="shared" si="443"/>
        <v>-1315.4622785489491</v>
      </c>
      <c r="BL43" s="3264">
        <f t="shared" si="444"/>
        <v>-4.770990255211462</v>
      </c>
      <c r="BM43" s="3208">
        <f t="shared" si="485"/>
        <v>1536.1227562680535</v>
      </c>
      <c r="BN43" s="3208">
        <f t="shared" si="475"/>
        <v>1527.1374261829831</v>
      </c>
      <c r="BO43" s="3208">
        <f t="shared" si="476"/>
        <v>8.9853300850704869</v>
      </c>
      <c r="BP43" s="3136">
        <f t="shared" si="477"/>
        <v>0</v>
      </c>
      <c r="BQ43" s="3137"/>
      <c r="BR43" s="3137"/>
      <c r="BS43" s="3136">
        <f t="shared" si="478"/>
        <v>0</v>
      </c>
      <c r="BT43" s="3137"/>
      <c r="BU43" s="3137"/>
      <c r="BV43" s="3136">
        <f t="shared" si="479"/>
        <v>0</v>
      </c>
      <c r="BW43" s="3137"/>
      <c r="BX43" s="3137"/>
      <c r="BY43" s="3136">
        <f t="shared" si="304"/>
        <v>0</v>
      </c>
      <c r="BZ43" s="3136">
        <f t="shared" si="480"/>
        <v>0</v>
      </c>
      <c r="CA43" s="3136">
        <f t="shared" si="481"/>
        <v>0</v>
      </c>
      <c r="CB43" s="3209">
        <f t="shared" si="158"/>
        <v>6144.4910250722141</v>
      </c>
      <c r="CC43" s="3286">
        <f>SUM(стоки!BN24)</f>
        <v>6108.5497047319323</v>
      </c>
      <c r="CD43" s="3286">
        <f>SUM(стоки!BO24)</f>
        <v>35.941320340281948</v>
      </c>
      <c r="CE43" s="3264">
        <f t="shared" si="450"/>
        <v>3288.1349999999998</v>
      </c>
      <c r="CF43" s="3264">
        <f t="shared" si="451"/>
        <v>3265.95</v>
      </c>
      <c r="CG43" s="3264">
        <f t="shared" si="452"/>
        <v>22.184999999999999</v>
      </c>
      <c r="CH43" s="3264">
        <f t="shared" si="453"/>
        <v>-2856.3560250722144</v>
      </c>
      <c r="CI43" s="3264">
        <f t="shared" si="454"/>
        <v>-2842.5997047319324</v>
      </c>
      <c r="CJ43" s="3264">
        <f t="shared" si="455"/>
        <v>-13.756320340281949</v>
      </c>
      <c r="CK43" s="3259"/>
      <c r="CL43" s="3259"/>
      <c r="CM43" s="3259"/>
    </row>
    <row r="44" spans="1:91" ht="18.75" customHeight="1" x14ac:dyDescent="0.3">
      <c r="A44" s="3081" t="str">
        <f>A24</f>
        <v>то же в %</v>
      </c>
      <c r="B44" s="3139">
        <f t="shared" ref="B44:D44" si="486">SUM(B43/B42)</f>
        <v>0.30132195511330967</v>
      </c>
      <c r="C44" s="3139">
        <f t="shared" si="486"/>
        <v>0.30132211447187562</v>
      </c>
      <c r="D44" s="3139">
        <f t="shared" si="486"/>
        <v>0.30129487314454156</v>
      </c>
      <c r="E44" s="3139">
        <f>SUM(E43/E42)</f>
        <v>0.30275170156104314</v>
      </c>
      <c r="F44" s="3139">
        <f t="shared" ref="F44:G44" si="487">SUM(F43/F42)</f>
        <v>0.30275672524360786</v>
      </c>
      <c r="G44" s="3139">
        <f t="shared" si="487"/>
        <v>0.30200174064403829</v>
      </c>
      <c r="H44" s="3139">
        <f>SUM(H43/H42)</f>
        <v>0.29714822203966673</v>
      </c>
      <c r="I44" s="3139">
        <f t="shared" ref="I44" si="488">SUM(I43/I42)</f>
        <v>0.29711408668578132</v>
      </c>
      <c r="J44" s="3139">
        <f t="shared" ref="J44" si="489">SUM(J43/J42)</f>
        <v>0.30171277997364954</v>
      </c>
      <c r="K44" s="3139">
        <f>SUM(K43/K42)</f>
        <v>0.30023175259787188</v>
      </c>
      <c r="L44" s="3139">
        <f t="shared" ref="L44" si="490">SUM(L43/L42)</f>
        <v>0.30021984635832449</v>
      </c>
      <c r="M44" s="3139">
        <f t="shared" ref="M44" si="491">SUM(M43/M42)</f>
        <v>0.30211081794195249</v>
      </c>
      <c r="N44" s="3139">
        <f t="shared" ref="N44:P44" si="492">SUM(N43/N42)</f>
        <v>0.30020060358652773</v>
      </c>
      <c r="O44" s="3139">
        <f t="shared" si="492"/>
        <v>0.30018875002930895</v>
      </c>
      <c r="P44" s="3139">
        <f t="shared" si="492"/>
        <v>0.30194287683625554</v>
      </c>
      <c r="Q44" s="3139">
        <f t="shared" ref="Q44:S44" si="493">SUM(Q43/Q42)</f>
        <v>0.30132195511330967</v>
      </c>
      <c r="R44" s="3139">
        <f t="shared" si="493"/>
        <v>0.30132211447187562</v>
      </c>
      <c r="S44" s="3139">
        <f t="shared" si="493"/>
        <v>0.30129487314454156</v>
      </c>
      <c r="T44" s="3139">
        <f>SUM(T43/T42)</f>
        <v>0.31002078250655102</v>
      </c>
      <c r="U44" s="3139">
        <f t="shared" ref="U44:V44" si="494">SUM(U43/U42)</f>
        <v>0.31006515091078313</v>
      </c>
      <c r="V44" s="3139">
        <f t="shared" si="494"/>
        <v>0.30197024527543226</v>
      </c>
      <c r="W44" s="3139">
        <f>SUM(W43/W42)</f>
        <v>0.30125516326709972</v>
      </c>
      <c r="X44" s="3139">
        <f t="shared" ref="X44:Y44" si="495">SUM(X43/X42)</f>
        <v>0.30124640923099205</v>
      </c>
      <c r="Y44" s="3139">
        <f t="shared" si="495"/>
        <v>0.30248306997742669</v>
      </c>
      <c r="Z44" s="3139">
        <f>SUM(Z43/Z42)</f>
        <v>0.30237241800507497</v>
      </c>
      <c r="AA44" s="3139">
        <f t="shared" ref="AA44:AE44" si="496">SUM(AA43/AA42)</f>
        <v>0.30237622305598472</v>
      </c>
      <c r="AB44" s="3139">
        <f t="shared" si="496"/>
        <v>0.30205096333126169</v>
      </c>
      <c r="AC44" s="3139">
        <f t="shared" si="496"/>
        <v>0.30463226955307077</v>
      </c>
      <c r="AD44" s="3139">
        <f t="shared" si="496"/>
        <v>0.30465260310679115</v>
      </c>
      <c r="AE44" s="3139">
        <f t="shared" si="496"/>
        <v>0.30215050445836289</v>
      </c>
      <c r="AF44" s="3140">
        <f t="shared" ref="AF44:AK44" si="497">SUM(AF43/AF42)</f>
        <v>0.30132195511330967</v>
      </c>
      <c r="AG44" s="3140">
        <f t="shared" si="497"/>
        <v>0.30132211447187562</v>
      </c>
      <c r="AH44" s="3140">
        <f t="shared" si="497"/>
        <v>0.30129487314454156</v>
      </c>
      <c r="AI44" s="3140">
        <f t="shared" si="497"/>
        <v>0.3025815415428576</v>
      </c>
      <c r="AJ44" s="3140">
        <f t="shared" si="497"/>
        <v>0.30258544987153502</v>
      </c>
      <c r="AK44" s="3140">
        <f t="shared" si="497"/>
        <v>0.30206385732777219</v>
      </c>
      <c r="AL44" s="3194">
        <f t="shared" si="430"/>
        <v>1.259586429547932E-3</v>
      </c>
      <c r="AM44" s="3194">
        <f t="shared" si="431"/>
        <v>1.2633353996593932E-3</v>
      </c>
      <c r="AN44" s="3194">
        <f t="shared" si="432"/>
        <v>7.6898418323062545E-4</v>
      </c>
      <c r="AO44" s="3139">
        <f t="shared" ref="AO44:AQ44" si="498">SUM(AO43/AO42)</f>
        <v>0.30132195511330967</v>
      </c>
      <c r="AP44" s="3139">
        <f t="shared" si="498"/>
        <v>0.30132211447187562</v>
      </c>
      <c r="AQ44" s="3139">
        <f t="shared" si="498"/>
        <v>0.30129487314454156</v>
      </c>
      <c r="AR44" s="3139">
        <f>SUM(AR43/AR42)</f>
        <v>0.29939669092533466</v>
      </c>
      <c r="AS44" s="3139">
        <f t="shared" ref="AS44:AT44" si="499">SUM(AS43/AS42)</f>
        <v>0.29939359138325544</v>
      </c>
      <c r="AT44" s="3139">
        <f t="shared" si="499"/>
        <v>0.30221518987341772</v>
      </c>
      <c r="AU44" s="3139">
        <f>SUM(AU43/AU42)</f>
        <v>0.30208588340388415</v>
      </c>
      <c r="AV44" s="3139">
        <f t="shared" ref="AV44:AW44" si="500">SUM(AV43/AV42)</f>
        <v>0.30208664855028111</v>
      </c>
      <c r="AW44" s="3139">
        <f t="shared" si="500"/>
        <v>0.30197176241480039</v>
      </c>
      <c r="AX44" s="3139">
        <f>SUM(AX43/AX42)</f>
        <v>0.30212742207049231</v>
      </c>
      <c r="AY44" s="3139">
        <f t="shared" ref="AY44:BC44" si="501">SUM(AY43/AY42)</f>
        <v>0.3021243484456444</v>
      </c>
      <c r="AZ44" s="3139">
        <f t="shared" si="501"/>
        <v>0.30252100840336132</v>
      </c>
      <c r="BA44" s="3139">
        <f t="shared" si="501"/>
        <v>0.30120429336655785</v>
      </c>
      <c r="BB44" s="3139">
        <f t="shared" si="501"/>
        <v>0.30119890279763351</v>
      </c>
      <c r="BC44" s="3139">
        <f t="shared" si="501"/>
        <v>0.30224592925322852</v>
      </c>
      <c r="BD44" s="3140">
        <f t="shared" ref="BD44:BF44" si="502">SUM(BD43/BD42)</f>
        <v>0.30132195511330973</v>
      </c>
      <c r="BE44" s="3140">
        <f t="shared" si="502"/>
        <v>0.30132211447187557</v>
      </c>
      <c r="BF44" s="3140">
        <f t="shared" si="502"/>
        <v>0.30129487314454151</v>
      </c>
      <c r="BG44" s="3140">
        <f>SUM(BG43/BG42)</f>
        <v>0.30214375424297896</v>
      </c>
      <c r="BH44" s="3140">
        <f t="shared" ref="BH44:BI44" si="503">SUM(BH43/BH42)</f>
        <v>0.30214399703957256</v>
      </c>
      <c r="BI44" s="3140">
        <f t="shared" si="503"/>
        <v>0.30210801536073206</v>
      </c>
      <c r="BJ44" s="3194">
        <f t="shared" si="442"/>
        <v>8.2179912966923174E-4</v>
      </c>
      <c r="BK44" s="3194">
        <f t="shared" si="443"/>
        <v>8.2188256769699652E-4</v>
      </c>
      <c r="BL44" s="3194">
        <f t="shared" si="444"/>
        <v>8.1314221619055438E-4</v>
      </c>
      <c r="BM44" s="3139">
        <f t="shared" ref="BM44:BO44" si="504">SUM(BM43/BM42)</f>
        <v>0.30132195511330967</v>
      </c>
      <c r="BN44" s="3139">
        <f t="shared" si="504"/>
        <v>0.30132211447187562</v>
      </c>
      <c r="BO44" s="3139">
        <f t="shared" si="504"/>
        <v>0.30129487314454156</v>
      </c>
      <c r="BP44" s="3139" t="e">
        <f>SUM(BP43/BP42)</f>
        <v>#DIV/0!</v>
      </c>
      <c r="BQ44" s="3139" t="e">
        <f t="shared" ref="BQ44:BR44" si="505">SUM(BQ43/BQ42)</f>
        <v>#DIV/0!</v>
      </c>
      <c r="BR44" s="3139" t="e">
        <f t="shared" si="505"/>
        <v>#DIV/0!</v>
      </c>
      <c r="BS44" s="3139" t="e">
        <f>SUM(BS43/BS42)</f>
        <v>#DIV/0!</v>
      </c>
      <c r="BT44" s="3139" t="e">
        <f t="shared" ref="BT44:BU44" si="506">SUM(BT43/BT42)</f>
        <v>#DIV/0!</v>
      </c>
      <c r="BU44" s="3139" t="e">
        <f t="shared" si="506"/>
        <v>#DIV/0!</v>
      </c>
      <c r="BV44" s="3139" t="e">
        <f>SUM(BV43/BV42)</f>
        <v>#DIV/0!</v>
      </c>
      <c r="BW44" s="3139" t="e">
        <f t="shared" ref="BW44:CA44" si="507">SUM(BW43/BW42)</f>
        <v>#DIV/0!</v>
      </c>
      <c r="BX44" s="3139" t="e">
        <f t="shared" si="507"/>
        <v>#DIV/0!</v>
      </c>
      <c r="BY44" s="3139" t="e">
        <f t="shared" si="507"/>
        <v>#DIV/0!</v>
      </c>
      <c r="BZ44" s="3139" t="e">
        <f t="shared" si="507"/>
        <v>#DIV/0!</v>
      </c>
      <c r="CA44" s="3139" t="e">
        <f t="shared" si="507"/>
        <v>#DIV/0!</v>
      </c>
      <c r="CB44" s="3140">
        <f t="shared" ref="CB44:CG44" si="508">SUM(CB43/CB42)</f>
        <v>0.30132195511330967</v>
      </c>
      <c r="CC44" s="3140">
        <f t="shared" si="508"/>
        <v>0.30132211447187562</v>
      </c>
      <c r="CD44" s="3140">
        <f t="shared" si="508"/>
        <v>0.30129487314454156</v>
      </c>
      <c r="CE44" s="3140">
        <f t="shared" si="508"/>
        <v>0.30214375424297896</v>
      </c>
      <c r="CF44" s="3140">
        <f t="shared" si="508"/>
        <v>0.30214399703957256</v>
      </c>
      <c r="CG44" s="3140">
        <f t="shared" si="508"/>
        <v>0.30210801536073206</v>
      </c>
      <c r="CH44" s="3194">
        <f t="shared" si="453"/>
        <v>8.2179912966928725E-4</v>
      </c>
      <c r="CI44" s="3194">
        <f t="shared" si="454"/>
        <v>8.2188256769694101E-4</v>
      </c>
      <c r="CJ44" s="3194">
        <f t="shared" si="455"/>
        <v>8.1314221619049887E-4</v>
      </c>
      <c r="CK44" s="3259"/>
      <c r="CL44" s="3259"/>
      <c r="CM44" s="3259"/>
    </row>
    <row r="45" spans="1:91" ht="18.75" customHeight="1" x14ac:dyDescent="0.3">
      <c r="A45" s="3158" t="s">
        <v>3590</v>
      </c>
      <c r="B45" s="3207">
        <f t="shared" si="392"/>
        <v>2440.3492046250003</v>
      </c>
      <c r="C45" s="3251">
        <f t="shared" ref="C45:D45" si="509">SUM(C46:C61)+C66</f>
        <v>2426.227722653739</v>
      </c>
      <c r="D45" s="3251">
        <f t="shared" si="509"/>
        <v>14.121481971261124</v>
      </c>
      <c r="E45" s="3156">
        <f t="shared" ref="E45:E108" si="510">SUM(F45:G45)</f>
        <v>588.30000000000007</v>
      </c>
      <c r="F45" s="3156">
        <f t="shared" ref="F45:G45" si="511">SUM(F46:F61)+F66</f>
        <v>588.30000000000007</v>
      </c>
      <c r="G45" s="3156">
        <f t="shared" si="511"/>
        <v>0</v>
      </c>
      <c r="H45" s="3156">
        <f t="shared" ref="H45:H60" si="512">SUM(I45:J45)</f>
        <v>664.17000000000007</v>
      </c>
      <c r="I45" s="3156">
        <f t="shared" ref="I45" si="513">SUM(I46:I61)+I66</f>
        <v>664.17000000000007</v>
      </c>
      <c r="J45" s="3156">
        <f t="shared" ref="J45" si="514">SUM(J46:J61)+J66</f>
        <v>0</v>
      </c>
      <c r="K45" s="3156">
        <f t="shared" ref="K45:K60" si="515">SUM(L45:M45)</f>
        <v>770.93</v>
      </c>
      <c r="L45" s="3156">
        <f t="shared" ref="L45" si="516">SUM(L46:L61)+L66</f>
        <v>770.93</v>
      </c>
      <c r="M45" s="3156">
        <f t="shared" ref="M45" si="517">SUM(M46:M61)+M66</f>
        <v>0</v>
      </c>
      <c r="N45" s="3156">
        <f t="shared" ref="N45:N70" si="518">SUM(O45:P45)</f>
        <v>2023.4</v>
      </c>
      <c r="O45" s="3156">
        <f t="shared" ref="O45:O70" si="519">SUM(F45+I45+L45)</f>
        <v>2023.4</v>
      </c>
      <c r="P45" s="3156">
        <f t="shared" ref="P45:P70" si="520">SUM(G45+J45+M45)</f>
        <v>0</v>
      </c>
      <c r="Q45" s="3207">
        <f t="shared" si="484"/>
        <v>2440.3492046250003</v>
      </c>
      <c r="R45" s="3251">
        <f t="shared" ref="R45:S45" si="521">SUM(R46:R61)+R66</f>
        <v>2426.227722653739</v>
      </c>
      <c r="S45" s="3251">
        <f t="shared" si="521"/>
        <v>14.121481971261124</v>
      </c>
      <c r="T45" s="3156">
        <f t="shared" ref="T45:T60" si="522">SUM(U45:V45)</f>
        <v>640.6</v>
      </c>
      <c r="U45" s="3156">
        <f t="shared" ref="U45:V45" si="523">SUM(U46:U61)+U66</f>
        <v>640.6</v>
      </c>
      <c r="V45" s="3156">
        <f t="shared" si="523"/>
        <v>0</v>
      </c>
      <c r="W45" s="3156">
        <f t="shared" ref="W45:W60" si="524">SUM(X45:Y45)</f>
        <v>630.8900000000001</v>
      </c>
      <c r="X45" s="3156">
        <f t="shared" ref="X45:Y45" si="525">SUM(X46:X61)+X66</f>
        <v>630.8900000000001</v>
      </c>
      <c r="Y45" s="3156">
        <f t="shared" si="525"/>
        <v>0</v>
      </c>
      <c r="Z45" s="3156">
        <f t="shared" ref="Z45:Z60" si="526">SUM(AA45:AB45)</f>
        <v>879.745</v>
      </c>
      <c r="AA45" s="3156">
        <f t="shared" ref="AA45:AB45" si="527">SUM(AA46:AA61)+AA66</f>
        <v>879.745</v>
      </c>
      <c r="AB45" s="3156">
        <f t="shared" si="527"/>
        <v>0</v>
      </c>
      <c r="AC45" s="3156">
        <f t="shared" ref="AC45:AC89" si="528">SUM(AD45:AE45)</f>
        <v>2151.2350000000001</v>
      </c>
      <c r="AD45" s="3156">
        <f t="shared" ref="AD45:AD89" si="529">SUM(U45+X45+AA45)</f>
        <v>2151.2350000000001</v>
      </c>
      <c r="AE45" s="3156">
        <f t="shared" ref="AE45:AE89" si="530">SUM(V45+Y45+AB45)</f>
        <v>0</v>
      </c>
      <c r="AF45" s="3206">
        <f t="shared" si="424"/>
        <v>4880.6984092500006</v>
      </c>
      <c r="AG45" s="3206">
        <f t="shared" si="425"/>
        <v>4852.4554453074779</v>
      </c>
      <c r="AH45" s="3206">
        <f t="shared" si="426"/>
        <v>28.242963942522248</v>
      </c>
      <c r="AI45" s="3193">
        <f t="shared" ref="AI45:AI70" si="531">SUM(AC45+N45)</f>
        <v>4174.6350000000002</v>
      </c>
      <c r="AJ45" s="3193">
        <f t="shared" ref="AJ45:AJ70" si="532">SUM(AD45+O45)</f>
        <v>4174.6350000000002</v>
      </c>
      <c r="AK45" s="3193">
        <f t="shared" ref="AK45:AK70" si="533">SUM(AE45+P45)</f>
        <v>0</v>
      </c>
      <c r="AL45" s="3193">
        <f t="shared" ref="AL45:AL70" si="534">SUM(AI45-AF45)</f>
        <v>-706.0634092500004</v>
      </c>
      <c r="AM45" s="3193">
        <f t="shared" ref="AM45:AM70" si="535">SUM(AJ45-AG45)</f>
        <v>-677.82044530747771</v>
      </c>
      <c r="AN45" s="3193">
        <f t="shared" ref="AN45:AN70" si="536">SUM(AK45-AH45)</f>
        <v>-28.242963942522248</v>
      </c>
      <c r="AO45" s="3207">
        <f t="shared" si="467"/>
        <v>2440.3492046250003</v>
      </c>
      <c r="AP45" s="3251">
        <f t="shared" ref="AP45:AQ45" si="537">SUM(AP46:AP61)+AP66</f>
        <v>2426.227722653739</v>
      </c>
      <c r="AQ45" s="3251">
        <f t="shared" si="537"/>
        <v>14.121481971261124</v>
      </c>
      <c r="AR45" s="3156">
        <f t="shared" ref="AR45:AR60" si="538">SUM(AS45:AT45)</f>
        <v>408.34000000000009</v>
      </c>
      <c r="AS45" s="3156">
        <f t="shared" ref="AS45:AT45" si="539">SUM(AS46:AS61)+AS66</f>
        <v>408.34000000000009</v>
      </c>
      <c r="AT45" s="3156">
        <f t="shared" si="539"/>
        <v>0</v>
      </c>
      <c r="AU45" s="3156">
        <f t="shared" ref="AU45:AU60" si="540">SUM(AV45:AW45)</f>
        <v>538.37</v>
      </c>
      <c r="AV45" s="3156">
        <f t="shared" ref="AV45:AW45" si="541">SUM(AV46:AV61)+AV66</f>
        <v>538.37</v>
      </c>
      <c r="AW45" s="3156">
        <f t="shared" si="541"/>
        <v>0</v>
      </c>
      <c r="AX45" s="3156">
        <f t="shared" ref="AX45:AX60" si="542">SUM(AY45:AZ45)</f>
        <v>633.98</v>
      </c>
      <c r="AY45" s="3156">
        <f t="shared" ref="AY45:AZ45" si="543">SUM(AY46:AY61)+AY66</f>
        <v>633.98</v>
      </c>
      <c r="AZ45" s="3156">
        <f t="shared" si="543"/>
        <v>0</v>
      </c>
      <c r="BA45" s="3156">
        <f t="shared" ref="BA45:BA89" si="544">SUM(BB45:BC45)</f>
        <v>1580.69</v>
      </c>
      <c r="BB45" s="3156">
        <f t="shared" ref="BB45:BB89" si="545">SUM(AS45+AV45+AY45)</f>
        <v>1580.69</v>
      </c>
      <c r="BC45" s="3156">
        <f t="shared" ref="BC45:BC89" si="546">SUM(AT45+AW45+AZ45)</f>
        <v>0</v>
      </c>
      <c r="BD45" s="3206">
        <f t="shared" si="257"/>
        <v>7321.047613875</v>
      </c>
      <c r="BE45" s="3206">
        <f t="shared" si="258"/>
        <v>7278.6831679612169</v>
      </c>
      <c r="BF45" s="3206">
        <f t="shared" si="259"/>
        <v>42.364445913783371</v>
      </c>
      <c r="BG45" s="3193">
        <f t="shared" ref="BG45:BG70" si="547">SUM(AI45+BA45)</f>
        <v>5755.3250000000007</v>
      </c>
      <c r="BH45" s="3193">
        <f t="shared" ref="BH45:BH70" si="548">SUM(AJ45+BB45)</f>
        <v>5755.3250000000007</v>
      </c>
      <c r="BI45" s="3193">
        <f t="shared" ref="BI45:BI70" si="549">SUM(AK45+BC45)</f>
        <v>0</v>
      </c>
      <c r="BJ45" s="3193">
        <f t="shared" ref="BJ45:BJ70" si="550">SUM(BG45-BD45)</f>
        <v>-1565.7226138749993</v>
      </c>
      <c r="BK45" s="3193">
        <f t="shared" ref="BK45:BK70" si="551">SUM(BH45-BE45)</f>
        <v>-1523.3581679612162</v>
      </c>
      <c r="BL45" s="3193">
        <f t="shared" ref="BL45:BL70" si="552">SUM(BI45-BF45)</f>
        <v>-42.364445913783371</v>
      </c>
      <c r="BM45" s="3207">
        <f t="shared" si="485"/>
        <v>2440.3492046250003</v>
      </c>
      <c r="BN45" s="3251">
        <f t="shared" ref="BN45:BO45" si="553">SUM(BN46:BN61)+BN66</f>
        <v>2426.227722653739</v>
      </c>
      <c r="BO45" s="3251">
        <f t="shared" si="553"/>
        <v>14.121481971261124</v>
      </c>
      <c r="BP45" s="3156">
        <f t="shared" ref="BP45:BP60" si="554">SUM(BQ45:BR45)</f>
        <v>0</v>
      </c>
      <c r="BQ45" s="3156">
        <f t="shared" ref="BQ45:BR45" si="555">SUM(BQ46:BQ61)+BQ66</f>
        <v>0</v>
      </c>
      <c r="BR45" s="3156">
        <f t="shared" si="555"/>
        <v>0</v>
      </c>
      <c r="BS45" s="3156">
        <f t="shared" ref="BS45:BS60" si="556">SUM(BT45:BU45)</f>
        <v>0</v>
      </c>
      <c r="BT45" s="3156">
        <f t="shared" ref="BT45:BU45" si="557">SUM(BT46:BT61)+BT66</f>
        <v>0</v>
      </c>
      <c r="BU45" s="3156">
        <f t="shared" si="557"/>
        <v>0</v>
      </c>
      <c r="BV45" s="3156">
        <f t="shared" ref="BV45:BV60" si="558">SUM(BW45:BX45)</f>
        <v>0</v>
      </c>
      <c r="BW45" s="3156">
        <f t="shared" ref="BW45:BX45" si="559">SUM(BW46:BW61)+BW66</f>
        <v>0</v>
      </c>
      <c r="BX45" s="3156">
        <f t="shared" si="559"/>
        <v>0</v>
      </c>
      <c r="BY45" s="3156">
        <f t="shared" ref="BY45:BY89" si="560">SUM(BZ45:CA45)</f>
        <v>0</v>
      </c>
      <c r="BZ45" s="3156">
        <f t="shared" ref="BZ45:BZ89" si="561">SUM(BQ45+BT45+BW45)</f>
        <v>0</v>
      </c>
      <c r="CA45" s="3156">
        <f t="shared" ref="CA45:CA89" si="562">SUM(BR45+BU45+BX45)</f>
        <v>0</v>
      </c>
      <c r="CB45" s="3206">
        <f t="shared" si="158"/>
        <v>9761.3968187754162</v>
      </c>
      <c r="CC45" s="3285">
        <f>SUM(стоки!BN26+стоки!BN48)</f>
        <v>9704.9108908887611</v>
      </c>
      <c r="CD45" s="3285">
        <f>SUM(стоки!BO26)</f>
        <v>56.485927886655645</v>
      </c>
      <c r="CE45" s="3193">
        <f t="shared" ref="CE45" si="563">SUM(BY45+BG45)</f>
        <v>5755.3250000000007</v>
      </c>
      <c r="CF45" s="3193">
        <f>SUM(CC46:CC61)+CC66</f>
        <v>9704.9108906149559</v>
      </c>
      <c r="CG45" s="3193">
        <f>SUM(CD46:CD61)+CD66</f>
        <v>56.485927885044497</v>
      </c>
      <c r="CH45" s="3193">
        <f t="shared" ref="CH45:CH70" si="564">SUM(CE45-CB45)</f>
        <v>-4006.0718187754155</v>
      </c>
      <c r="CI45" s="3193">
        <f t="shared" ref="CI45:CI70" si="565">SUM(CF45-CC45)</f>
        <v>-2.7380519895814359E-7</v>
      </c>
      <c r="CJ45" s="3193">
        <f t="shared" ref="CJ45:CJ70" si="566">SUM(CG45-CD45)</f>
        <v>-1.6111485479086696E-9</v>
      </c>
      <c r="CK45" s="3261"/>
      <c r="CL45" s="3261"/>
      <c r="CM45" s="3261"/>
    </row>
    <row r="46" spans="1:91" ht="18.75" customHeight="1" x14ac:dyDescent="0.3">
      <c r="A46" s="3172" t="s">
        <v>72</v>
      </c>
      <c r="B46" s="3208">
        <f t="shared" ref="B46:B61" si="567">SUM(C46:D46)</f>
        <v>1156.1675</v>
      </c>
      <c r="C46" s="3208">
        <f t="shared" ref="C46:C60" si="568">SUM(CC46/4)</f>
        <v>1149.4040558963454</v>
      </c>
      <c r="D46" s="3208">
        <f t="shared" ref="D46:D60" si="569">SUM(CD46/4)</f>
        <v>6.7634441036546935</v>
      </c>
      <c r="E46" s="3136">
        <f t="shared" si="510"/>
        <v>327.01</v>
      </c>
      <c r="F46" s="3137">
        <v>327.01</v>
      </c>
      <c r="G46" s="3137"/>
      <c r="H46" s="3136">
        <f t="shared" si="512"/>
        <v>303.47000000000003</v>
      </c>
      <c r="I46" s="3137">
        <v>303.47000000000003</v>
      </c>
      <c r="J46" s="3137"/>
      <c r="K46" s="3136">
        <f t="shared" si="515"/>
        <v>325.08</v>
      </c>
      <c r="L46" s="3137">
        <v>325.08</v>
      </c>
      <c r="M46" s="3137"/>
      <c r="N46" s="3136">
        <f t="shared" si="518"/>
        <v>955.56</v>
      </c>
      <c r="O46" s="3136">
        <f t="shared" si="519"/>
        <v>955.56</v>
      </c>
      <c r="P46" s="3136">
        <f t="shared" si="520"/>
        <v>0</v>
      </c>
      <c r="Q46" s="3208">
        <f t="shared" ref="Q46:Q61" si="570">SUM(R46:S46)</f>
        <v>1156.1675</v>
      </c>
      <c r="R46" s="3208">
        <f t="shared" ref="R46:R60" si="571">SUM(C46)</f>
        <v>1149.4040558963454</v>
      </c>
      <c r="S46" s="3208">
        <f t="shared" ref="S46:S60" si="572">SUM(D46)</f>
        <v>6.7634441036546935</v>
      </c>
      <c r="T46" s="3136">
        <f t="shared" si="522"/>
        <v>303.04000000000002</v>
      </c>
      <c r="U46" s="3137">
        <v>303.04000000000002</v>
      </c>
      <c r="V46" s="3137"/>
      <c r="W46" s="3136">
        <f t="shared" si="524"/>
        <v>369.73</v>
      </c>
      <c r="X46" s="3137">
        <v>369.73</v>
      </c>
      <c r="Y46" s="3137"/>
      <c r="Z46" s="3136">
        <f t="shared" si="526"/>
        <v>192.98</v>
      </c>
      <c r="AA46" s="3137">
        <v>192.98</v>
      </c>
      <c r="AB46" s="3137"/>
      <c r="AC46" s="3136">
        <f t="shared" si="528"/>
        <v>865.75</v>
      </c>
      <c r="AD46" s="3136">
        <f t="shared" si="529"/>
        <v>865.75</v>
      </c>
      <c r="AE46" s="3136">
        <f t="shared" si="530"/>
        <v>0</v>
      </c>
      <c r="AF46" s="3209">
        <f t="shared" si="424"/>
        <v>2312.335</v>
      </c>
      <c r="AG46" s="3209">
        <f t="shared" si="425"/>
        <v>2298.8081117926909</v>
      </c>
      <c r="AH46" s="3209">
        <f t="shared" si="426"/>
        <v>13.526888207309387</v>
      </c>
      <c r="AI46" s="3264">
        <f t="shared" si="531"/>
        <v>1821.31</v>
      </c>
      <c r="AJ46" s="3264">
        <f t="shared" si="532"/>
        <v>1821.31</v>
      </c>
      <c r="AK46" s="3264">
        <f t="shared" si="533"/>
        <v>0</v>
      </c>
      <c r="AL46" s="3264">
        <f t="shared" si="534"/>
        <v>-491.02500000000009</v>
      </c>
      <c r="AM46" s="3264">
        <f t="shared" si="535"/>
        <v>-477.49811179269091</v>
      </c>
      <c r="AN46" s="3264">
        <f t="shared" si="536"/>
        <v>-13.526888207309387</v>
      </c>
      <c r="AO46" s="3208">
        <f t="shared" ref="AO46:AO61" si="573">SUM(AP46:AQ46)</f>
        <v>1156.1675</v>
      </c>
      <c r="AP46" s="3208">
        <f t="shared" ref="AP46:AP60" si="574">SUM(CC46-AG46)/2</f>
        <v>1149.4040558963454</v>
      </c>
      <c r="AQ46" s="3208">
        <f t="shared" ref="AQ46:AQ60" si="575">SUM(CD46-AH46)/2</f>
        <v>6.7634441036546935</v>
      </c>
      <c r="AR46" s="3136">
        <f t="shared" si="538"/>
        <v>221.56</v>
      </c>
      <c r="AS46" s="3137">
        <v>221.56</v>
      </c>
      <c r="AT46" s="3137"/>
      <c r="AU46" s="3136">
        <f t="shared" si="540"/>
        <v>219.62</v>
      </c>
      <c r="AV46" s="3137">
        <v>219.62</v>
      </c>
      <c r="AW46" s="3137"/>
      <c r="AX46" s="3136">
        <f t="shared" si="542"/>
        <v>351.28</v>
      </c>
      <c r="AY46" s="3137">
        <v>351.28</v>
      </c>
      <c r="AZ46" s="3137"/>
      <c r="BA46" s="3136">
        <f t="shared" si="544"/>
        <v>792.46</v>
      </c>
      <c r="BB46" s="3136">
        <f t="shared" si="545"/>
        <v>792.46</v>
      </c>
      <c r="BC46" s="3136">
        <f t="shared" si="546"/>
        <v>0</v>
      </c>
      <c r="BD46" s="3209">
        <f t="shared" si="257"/>
        <v>3468.5025000000005</v>
      </c>
      <c r="BE46" s="3209">
        <f t="shared" si="258"/>
        <v>3448.2121676890365</v>
      </c>
      <c r="BF46" s="3209">
        <f t="shared" si="259"/>
        <v>20.290332310964082</v>
      </c>
      <c r="BG46" s="3264">
        <f t="shared" si="547"/>
        <v>2613.77</v>
      </c>
      <c r="BH46" s="3264">
        <f t="shared" si="548"/>
        <v>2613.77</v>
      </c>
      <c r="BI46" s="3264">
        <f t="shared" si="549"/>
        <v>0</v>
      </c>
      <c r="BJ46" s="3264">
        <f t="shared" si="550"/>
        <v>-854.73250000000053</v>
      </c>
      <c r="BK46" s="3264">
        <f t="shared" si="551"/>
        <v>-834.44216768903652</v>
      </c>
      <c r="BL46" s="3264">
        <f t="shared" si="552"/>
        <v>-20.290332310964082</v>
      </c>
      <c r="BM46" s="3208">
        <f t="shared" ref="BM46:BM61" si="576">SUM(BN46:BO46)</f>
        <v>1156.1675</v>
      </c>
      <c r="BN46" s="3208">
        <f t="shared" ref="BN46:BN60" si="577">SUM(AP46)</f>
        <v>1149.4040558963454</v>
      </c>
      <c r="BO46" s="3208">
        <f t="shared" ref="BO46:BO60" si="578">SUM(AQ46)</f>
        <v>6.7634441036546935</v>
      </c>
      <c r="BP46" s="3136">
        <f t="shared" si="554"/>
        <v>0</v>
      </c>
      <c r="BQ46" s="3137"/>
      <c r="BR46" s="3137"/>
      <c r="BS46" s="3136">
        <f t="shared" si="556"/>
        <v>0</v>
      </c>
      <c r="BT46" s="3137"/>
      <c r="BU46" s="3137"/>
      <c r="BV46" s="3136">
        <f t="shared" si="558"/>
        <v>0</v>
      </c>
      <c r="BW46" s="3137"/>
      <c r="BX46" s="3137"/>
      <c r="BY46" s="3136">
        <f t="shared" si="560"/>
        <v>0</v>
      </c>
      <c r="BZ46" s="3136">
        <f t="shared" si="561"/>
        <v>0</v>
      </c>
      <c r="CA46" s="3136">
        <f t="shared" si="562"/>
        <v>0</v>
      </c>
      <c r="CB46" s="3209">
        <v>4624.67</v>
      </c>
      <c r="CC46" s="3209">
        <f>SUM(CB46/CB9*CC9)</f>
        <v>4597.6162235853817</v>
      </c>
      <c r="CD46" s="3209">
        <f>SUM(CB46/CB9*CD9)</f>
        <v>27.053776414618774</v>
      </c>
      <c r="CE46" s="3264">
        <f t="shared" ref="CE46:CE70" si="579">SUM(BY46+BG46)</f>
        <v>2613.77</v>
      </c>
      <c r="CF46" s="3264">
        <f t="shared" ref="CF46:CF70" si="580">SUM(BZ46+BH46)</f>
        <v>2613.77</v>
      </c>
      <c r="CG46" s="3264">
        <f t="shared" ref="CG46:CG70" si="581">SUM(CA46+BI46)</f>
        <v>0</v>
      </c>
      <c r="CH46" s="3264">
        <f t="shared" si="564"/>
        <v>-2010.9</v>
      </c>
      <c r="CI46" s="3264">
        <f t="shared" si="565"/>
        <v>-1983.8462235853817</v>
      </c>
      <c r="CJ46" s="3264">
        <f t="shared" si="566"/>
        <v>-27.053776414618774</v>
      </c>
      <c r="CK46" s="3259"/>
      <c r="CL46" s="3259"/>
      <c r="CM46" s="3259"/>
    </row>
    <row r="47" spans="1:91" ht="18.75" customHeight="1" x14ac:dyDescent="0.3">
      <c r="A47" s="3172" t="s">
        <v>117</v>
      </c>
      <c r="B47" s="3208">
        <f t="shared" si="567"/>
        <v>346.85</v>
      </c>
      <c r="C47" s="3208">
        <f t="shared" si="568"/>
        <v>344.82096823137425</v>
      </c>
      <c r="D47" s="3208">
        <f t="shared" si="569"/>
        <v>2.029031768625766</v>
      </c>
      <c r="E47" s="3136">
        <f t="shared" si="510"/>
        <v>98.72</v>
      </c>
      <c r="F47" s="3137">
        <v>98.72</v>
      </c>
      <c r="G47" s="3137"/>
      <c r="H47" s="3136">
        <f t="shared" si="512"/>
        <v>91.61</v>
      </c>
      <c r="I47" s="3137">
        <v>91.61</v>
      </c>
      <c r="J47" s="3137"/>
      <c r="K47" s="3136">
        <f t="shared" si="515"/>
        <v>98.14</v>
      </c>
      <c r="L47" s="3137">
        <v>98.14</v>
      </c>
      <c r="M47" s="3137"/>
      <c r="N47" s="3136">
        <f t="shared" si="518"/>
        <v>288.46999999999997</v>
      </c>
      <c r="O47" s="3136">
        <f t="shared" si="519"/>
        <v>288.46999999999997</v>
      </c>
      <c r="P47" s="3136">
        <f t="shared" si="520"/>
        <v>0</v>
      </c>
      <c r="Q47" s="3208">
        <f t="shared" si="570"/>
        <v>346.85</v>
      </c>
      <c r="R47" s="3208">
        <f t="shared" si="571"/>
        <v>344.82096823137425</v>
      </c>
      <c r="S47" s="3208">
        <f t="shared" si="572"/>
        <v>2.029031768625766</v>
      </c>
      <c r="T47" s="3136">
        <f t="shared" si="522"/>
        <v>97.42</v>
      </c>
      <c r="U47" s="3137">
        <v>97.42</v>
      </c>
      <c r="V47" s="3137"/>
      <c r="W47" s="3136">
        <f t="shared" si="524"/>
        <v>111.59</v>
      </c>
      <c r="X47" s="3137">
        <v>111.59</v>
      </c>
      <c r="Y47" s="3137"/>
      <c r="Z47" s="3136">
        <f t="shared" si="526"/>
        <v>58.28</v>
      </c>
      <c r="AA47" s="3137">
        <v>58.28</v>
      </c>
      <c r="AB47" s="3137"/>
      <c r="AC47" s="3136">
        <f t="shared" si="528"/>
        <v>267.28999999999996</v>
      </c>
      <c r="AD47" s="3136">
        <f t="shared" si="529"/>
        <v>267.28999999999996</v>
      </c>
      <c r="AE47" s="3136">
        <f t="shared" si="530"/>
        <v>0</v>
      </c>
      <c r="AF47" s="3209">
        <f t="shared" si="424"/>
        <v>693.7</v>
      </c>
      <c r="AG47" s="3209">
        <f t="shared" si="425"/>
        <v>689.6419364627485</v>
      </c>
      <c r="AH47" s="3209">
        <f t="shared" si="426"/>
        <v>4.0580635372515319</v>
      </c>
      <c r="AI47" s="3264">
        <f t="shared" si="531"/>
        <v>555.76</v>
      </c>
      <c r="AJ47" s="3264">
        <f t="shared" si="532"/>
        <v>555.76</v>
      </c>
      <c r="AK47" s="3264">
        <f t="shared" si="533"/>
        <v>0</v>
      </c>
      <c r="AL47" s="3264">
        <f t="shared" si="534"/>
        <v>-137.94000000000005</v>
      </c>
      <c r="AM47" s="3264">
        <f t="shared" si="535"/>
        <v>-133.88193646274851</v>
      </c>
      <c r="AN47" s="3264">
        <f t="shared" si="536"/>
        <v>-4.0580635372515319</v>
      </c>
      <c r="AO47" s="3208">
        <f t="shared" si="573"/>
        <v>346.85</v>
      </c>
      <c r="AP47" s="3208">
        <f t="shared" si="574"/>
        <v>344.82096823137425</v>
      </c>
      <c r="AQ47" s="3208">
        <f t="shared" si="575"/>
        <v>2.029031768625766</v>
      </c>
      <c r="AR47" s="3136">
        <f t="shared" si="538"/>
        <v>65.7</v>
      </c>
      <c r="AS47" s="3137">
        <v>65.7</v>
      </c>
      <c r="AT47" s="3137"/>
      <c r="AU47" s="3136">
        <f t="shared" si="540"/>
        <v>66.290000000000006</v>
      </c>
      <c r="AV47" s="3137">
        <v>66.290000000000006</v>
      </c>
      <c r="AW47" s="3137"/>
      <c r="AX47" s="3136">
        <f t="shared" si="542"/>
        <v>106.05</v>
      </c>
      <c r="AY47" s="3137">
        <v>106.05</v>
      </c>
      <c r="AZ47" s="3137"/>
      <c r="BA47" s="3136">
        <f t="shared" si="544"/>
        <v>238.04000000000002</v>
      </c>
      <c r="BB47" s="3136">
        <f t="shared" si="545"/>
        <v>238.04000000000002</v>
      </c>
      <c r="BC47" s="3136">
        <f t="shared" si="546"/>
        <v>0</v>
      </c>
      <c r="BD47" s="3209">
        <f t="shared" si="257"/>
        <v>1040.55</v>
      </c>
      <c r="BE47" s="3209">
        <f t="shared" si="258"/>
        <v>1034.4629046941227</v>
      </c>
      <c r="BF47" s="3209">
        <f t="shared" si="259"/>
        <v>6.0870953058772983</v>
      </c>
      <c r="BG47" s="3264">
        <f t="shared" si="547"/>
        <v>793.8</v>
      </c>
      <c r="BH47" s="3264">
        <f t="shared" si="548"/>
        <v>793.8</v>
      </c>
      <c r="BI47" s="3264">
        <f t="shared" si="549"/>
        <v>0</v>
      </c>
      <c r="BJ47" s="3264">
        <f t="shared" si="550"/>
        <v>-246.75</v>
      </c>
      <c r="BK47" s="3264">
        <f t="shared" si="551"/>
        <v>-240.66290469412274</v>
      </c>
      <c r="BL47" s="3264">
        <f t="shared" si="552"/>
        <v>-6.0870953058772983</v>
      </c>
      <c r="BM47" s="3208">
        <f t="shared" si="576"/>
        <v>346.85</v>
      </c>
      <c r="BN47" s="3208">
        <f t="shared" si="577"/>
        <v>344.82096823137425</v>
      </c>
      <c r="BO47" s="3208">
        <f t="shared" si="578"/>
        <v>2.029031768625766</v>
      </c>
      <c r="BP47" s="3136">
        <f t="shared" si="554"/>
        <v>0</v>
      </c>
      <c r="BQ47" s="3137"/>
      <c r="BR47" s="3137"/>
      <c r="BS47" s="3136">
        <f t="shared" si="556"/>
        <v>0</v>
      </c>
      <c r="BT47" s="3137"/>
      <c r="BU47" s="3137"/>
      <c r="BV47" s="3136">
        <f t="shared" si="558"/>
        <v>0</v>
      </c>
      <c r="BW47" s="3137"/>
      <c r="BX47" s="3137"/>
      <c r="BY47" s="3136">
        <f t="shared" si="560"/>
        <v>0</v>
      </c>
      <c r="BZ47" s="3136">
        <f t="shared" si="561"/>
        <v>0</v>
      </c>
      <c r="CA47" s="3136">
        <f t="shared" si="562"/>
        <v>0</v>
      </c>
      <c r="CB47" s="3209">
        <v>1387.4</v>
      </c>
      <c r="CC47" s="3209">
        <f>SUM(CB47/CB9*CC9)</f>
        <v>1379.283872925497</v>
      </c>
      <c r="CD47" s="3209">
        <f>SUM(CB47/CB9*CD9)</f>
        <v>8.1161270745030638</v>
      </c>
      <c r="CE47" s="3264">
        <f t="shared" si="579"/>
        <v>793.8</v>
      </c>
      <c r="CF47" s="3264">
        <f t="shared" si="580"/>
        <v>793.8</v>
      </c>
      <c r="CG47" s="3264">
        <f t="shared" si="581"/>
        <v>0</v>
      </c>
      <c r="CH47" s="3264">
        <f t="shared" si="564"/>
        <v>-593.60000000000014</v>
      </c>
      <c r="CI47" s="3264">
        <f t="shared" si="565"/>
        <v>-585.48387292549705</v>
      </c>
      <c r="CJ47" s="3264">
        <f t="shared" si="566"/>
        <v>-8.1161270745030638</v>
      </c>
      <c r="CK47" s="3259"/>
      <c r="CL47" s="3259"/>
      <c r="CM47" s="3259"/>
    </row>
    <row r="48" spans="1:91" ht="18.75" customHeight="1" x14ac:dyDescent="0.3">
      <c r="A48" s="3172" t="s">
        <v>52</v>
      </c>
      <c r="B48" s="3208">
        <f t="shared" si="567"/>
        <v>23.530000000000005</v>
      </c>
      <c r="C48" s="3208">
        <f t="shared" si="568"/>
        <v>23.392352263180733</v>
      </c>
      <c r="D48" s="3208">
        <f t="shared" si="569"/>
        <v>0.13764773681927137</v>
      </c>
      <c r="E48" s="3136">
        <f t="shared" si="510"/>
        <v>6.68</v>
      </c>
      <c r="F48" s="3137">
        <v>6.68</v>
      </c>
      <c r="G48" s="3137"/>
      <c r="H48" s="3136">
        <f t="shared" si="512"/>
        <v>8.98</v>
      </c>
      <c r="I48" s="3137">
        <v>8.98</v>
      </c>
      <c r="J48" s="3137"/>
      <c r="K48" s="3136">
        <f t="shared" si="515"/>
        <v>8.14</v>
      </c>
      <c r="L48" s="3137">
        <v>8.14</v>
      </c>
      <c r="M48" s="3137"/>
      <c r="N48" s="3136">
        <f t="shared" si="518"/>
        <v>23.8</v>
      </c>
      <c r="O48" s="3136">
        <f t="shared" si="519"/>
        <v>23.8</v>
      </c>
      <c r="P48" s="3136">
        <f t="shared" si="520"/>
        <v>0</v>
      </c>
      <c r="Q48" s="3208">
        <f t="shared" si="570"/>
        <v>23.530000000000005</v>
      </c>
      <c r="R48" s="3208">
        <f t="shared" si="571"/>
        <v>23.392352263180733</v>
      </c>
      <c r="S48" s="3208">
        <f t="shared" si="572"/>
        <v>0.13764773681927137</v>
      </c>
      <c r="T48" s="3136">
        <f t="shared" si="522"/>
        <v>8.9</v>
      </c>
      <c r="U48" s="3137">
        <v>8.9</v>
      </c>
      <c r="V48" s="3137"/>
      <c r="W48" s="3136">
        <f t="shared" si="524"/>
        <v>7.44</v>
      </c>
      <c r="X48" s="3137">
        <v>7.44</v>
      </c>
      <c r="Y48" s="3137"/>
      <c r="Z48" s="3136">
        <f t="shared" si="526"/>
        <v>8.34</v>
      </c>
      <c r="AA48" s="3137">
        <v>8.34</v>
      </c>
      <c r="AB48" s="3137"/>
      <c r="AC48" s="3136">
        <f t="shared" si="528"/>
        <v>24.68</v>
      </c>
      <c r="AD48" s="3136">
        <f t="shared" si="529"/>
        <v>24.68</v>
      </c>
      <c r="AE48" s="3136">
        <f t="shared" si="530"/>
        <v>0</v>
      </c>
      <c r="AF48" s="3209">
        <f t="shared" si="424"/>
        <v>47.060000000000009</v>
      </c>
      <c r="AG48" s="3209">
        <f t="shared" si="425"/>
        <v>46.784704526361466</v>
      </c>
      <c r="AH48" s="3209">
        <f t="shared" si="426"/>
        <v>0.27529547363854273</v>
      </c>
      <c r="AI48" s="3264">
        <f t="shared" si="531"/>
        <v>48.480000000000004</v>
      </c>
      <c r="AJ48" s="3264">
        <f t="shared" si="532"/>
        <v>48.480000000000004</v>
      </c>
      <c r="AK48" s="3264">
        <f t="shared" si="533"/>
        <v>0</v>
      </c>
      <c r="AL48" s="3264">
        <f t="shared" si="534"/>
        <v>1.4199999999999946</v>
      </c>
      <c r="AM48" s="3264">
        <f t="shared" si="535"/>
        <v>1.6952954736385379</v>
      </c>
      <c r="AN48" s="3264">
        <f t="shared" si="536"/>
        <v>-0.27529547363854273</v>
      </c>
      <c r="AO48" s="3208">
        <f t="shared" si="573"/>
        <v>23.530000000000005</v>
      </c>
      <c r="AP48" s="3208">
        <f t="shared" si="574"/>
        <v>23.392352263180733</v>
      </c>
      <c r="AQ48" s="3208">
        <f t="shared" si="575"/>
        <v>0.13764773681927137</v>
      </c>
      <c r="AR48" s="3136">
        <f t="shared" si="538"/>
        <v>12.04</v>
      </c>
      <c r="AS48" s="3137">
        <v>12.04</v>
      </c>
      <c r="AT48" s="3137"/>
      <c r="AU48" s="3136">
        <f t="shared" si="540"/>
        <v>7.4</v>
      </c>
      <c r="AV48" s="3137">
        <v>7.4</v>
      </c>
      <c r="AW48" s="3137"/>
      <c r="AX48" s="3136">
        <f t="shared" si="542"/>
        <v>8.48</v>
      </c>
      <c r="AY48" s="3137">
        <v>8.48</v>
      </c>
      <c r="AZ48" s="3137"/>
      <c r="BA48" s="3136">
        <f t="shared" si="544"/>
        <v>27.919999999999998</v>
      </c>
      <c r="BB48" s="3136">
        <f t="shared" si="545"/>
        <v>27.919999999999998</v>
      </c>
      <c r="BC48" s="3136">
        <f t="shared" si="546"/>
        <v>0</v>
      </c>
      <c r="BD48" s="3209">
        <f t="shared" si="257"/>
        <v>70.590000000000018</v>
      </c>
      <c r="BE48" s="3209">
        <f t="shared" si="258"/>
        <v>70.177056789542206</v>
      </c>
      <c r="BF48" s="3209">
        <f t="shared" si="259"/>
        <v>0.41294321045781412</v>
      </c>
      <c r="BG48" s="3264">
        <f t="shared" si="547"/>
        <v>76.400000000000006</v>
      </c>
      <c r="BH48" s="3264">
        <f t="shared" si="548"/>
        <v>76.400000000000006</v>
      </c>
      <c r="BI48" s="3264">
        <f t="shared" si="549"/>
        <v>0</v>
      </c>
      <c r="BJ48" s="3264">
        <f t="shared" si="550"/>
        <v>5.8099999999999881</v>
      </c>
      <c r="BK48" s="3264">
        <f t="shared" si="551"/>
        <v>6.2229432104577995</v>
      </c>
      <c r="BL48" s="3264">
        <f t="shared" si="552"/>
        <v>-0.41294321045781412</v>
      </c>
      <c r="BM48" s="3208">
        <f t="shared" si="576"/>
        <v>23.530000000000005</v>
      </c>
      <c r="BN48" s="3208">
        <f t="shared" si="577"/>
        <v>23.392352263180733</v>
      </c>
      <c r="BO48" s="3208">
        <f t="shared" si="578"/>
        <v>0.13764773681927137</v>
      </c>
      <c r="BP48" s="3136">
        <f t="shared" si="554"/>
        <v>0</v>
      </c>
      <c r="BQ48" s="3137"/>
      <c r="BR48" s="3137"/>
      <c r="BS48" s="3136">
        <f t="shared" si="556"/>
        <v>0</v>
      </c>
      <c r="BT48" s="3137"/>
      <c r="BU48" s="3137"/>
      <c r="BV48" s="3136">
        <f t="shared" si="558"/>
        <v>0</v>
      </c>
      <c r="BW48" s="3137"/>
      <c r="BX48" s="3137"/>
      <c r="BY48" s="3136">
        <f t="shared" si="560"/>
        <v>0</v>
      </c>
      <c r="BZ48" s="3136">
        <f t="shared" si="561"/>
        <v>0</v>
      </c>
      <c r="CA48" s="3136">
        <f t="shared" si="562"/>
        <v>0</v>
      </c>
      <c r="CB48" s="3209">
        <v>94.12</v>
      </c>
      <c r="CC48" s="3209">
        <f>SUM(CB48/CB9*CC9)</f>
        <v>93.569409052722932</v>
      </c>
      <c r="CD48" s="3209">
        <f>SUM(CB48/CB9*CD9)</f>
        <v>0.55059094727708546</v>
      </c>
      <c r="CE48" s="3264">
        <f t="shared" si="579"/>
        <v>76.400000000000006</v>
      </c>
      <c r="CF48" s="3264">
        <f t="shared" si="580"/>
        <v>76.400000000000006</v>
      </c>
      <c r="CG48" s="3264">
        <f t="shared" si="581"/>
        <v>0</v>
      </c>
      <c r="CH48" s="3264">
        <f t="shared" si="564"/>
        <v>-17.72</v>
      </c>
      <c r="CI48" s="3264">
        <f t="shared" si="565"/>
        <v>-17.169409052722926</v>
      </c>
      <c r="CJ48" s="3264">
        <f t="shared" si="566"/>
        <v>-0.55059094727708546</v>
      </c>
      <c r="CK48" s="3259"/>
      <c r="CL48" s="3259"/>
      <c r="CM48" s="3259"/>
    </row>
    <row r="49" spans="1:91" ht="18.75" customHeight="1" x14ac:dyDescent="0.3">
      <c r="A49" s="3172" t="s">
        <v>633</v>
      </c>
      <c r="B49" s="3208">
        <f t="shared" si="567"/>
        <v>0</v>
      </c>
      <c r="C49" s="3208">
        <f t="shared" si="568"/>
        <v>0</v>
      </c>
      <c r="D49" s="3208">
        <f t="shared" si="569"/>
        <v>0</v>
      </c>
      <c r="E49" s="3136">
        <f t="shared" si="510"/>
        <v>0</v>
      </c>
      <c r="F49" s="3137"/>
      <c r="G49" s="3137"/>
      <c r="H49" s="3136">
        <f t="shared" si="512"/>
        <v>0</v>
      </c>
      <c r="I49" s="3137"/>
      <c r="J49" s="3137"/>
      <c r="K49" s="3136">
        <f t="shared" si="515"/>
        <v>0</v>
      </c>
      <c r="L49" s="3137"/>
      <c r="M49" s="3137"/>
      <c r="N49" s="3136">
        <f t="shared" si="518"/>
        <v>0</v>
      </c>
      <c r="O49" s="3136">
        <f t="shared" si="519"/>
        <v>0</v>
      </c>
      <c r="P49" s="3136">
        <f t="shared" si="520"/>
        <v>0</v>
      </c>
      <c r="Q49" s="3208">
        <f t="shared" si="570"/>
        <v>0</v>
      </c>
      <c r="R49" s="3208">
        <f t="shared" si="571"/>
        <v>0</v>
      </c>
      <c r="S49" s="3208">
        <f t="shared" si="572"/>
        <v>0</v>
      </c>
      <c r="T49" s="3136">
        <f t="shared" si="522"/>
        <v>0</v>
      </c>
      <c r="U49" s="3137"/>
      <c r="V49" s="3137"/>
      <c r="W49" s="3136">
        <f t="shared" si="524"/>
        <v>0</v>
      </c>
      <c r="X49" s="3137"/>
      <c r="Y49" s="3137"/>
      <c r="Z49" s="3136">
        <f t="shared" si="526"/>
        <v>0</v>
      </c>
      <c r="AA49" s="3137"/>
      <c r="AB49" s="3137"/>
      <c r="AC49" s="3136">
        <f t="shared" si="528"/>
        <v>0</v>
      </c>
      <c r="AD49" s="3136">
        <f t="shared" si="529"/>
        <v>0</v>
      </c>
      <c r="AE49" s="3136">
        <f t="shared" si="530"/>
        <v>0</v>
      </c>
      <c r="AF49" s="3209">
        <f t="shared" si="424"/>
        <v>0</v>
      </c>
      <c r="AG49" s="3209">
        <f t="shared" si="425"/>
        <v>0</v>
      </c>
      <c r="AH49" s="3209">
        <f t="shared" si="426"/>
        <v>0</v>
      </c>
      <c r="AI49" s="3264">
        <f t="shared" si="531"/>
        <v>0</v>
      </c>
      <c r="AJ49" s="3264">
        <f t="shared" si="532"/>
        <v>0</v>
      </c>
      <c r="AK49" s="3264">
        <f t="shared" si="533"/>
        <v>0</v>
      </c>
      <c r="AL49" s="3264">
        <f t="shared" si="534"/>
        <v>0</v>
      </c>
      <c r="AM49" s="3264">
        <f t="shared" si="535"/>
        <v>0</v>
      </c>
      <c r="AN49" s="3264">
        <f t="shared" si="536"/>
        <v>0</v>
      </c>
      <c r="AO49" s="3208">
        <f t="shared" si="573"/>
        <v>0</v>
      </c>
      <c r="AP49" s="3208">
        <f t="shared" si="574"/>
        <v>0</v>
      </c>
      <c r="AQ49" s="3208">
        <f t="shared" si="575"/>
        <v>0</v>
      </c>
      <c r="AR49" s="3136">
        <f t="shared" si="538"/>
        <v>0</v>
      </c>
      <c r="AS49" s="3137"/>
      <c r="AT49" s="3137"/>
      <c r="AU49" s="3136">
        <f t="shared" si="540"/>
        <v>0</v>
      </c>
      <c r="AV49" s="3137"/>
      <c r="AW49" s="3137"/>
      <c r="AX49" s="3136">
        <f t="shared" si="542"/>
        <v>0</v>
      </c>
      <c r="AY49" s="3137"/>
      <c r="AZ49" s="3137"/>
      <c r="BA49" s="3136">
        <f t="shared" si="544"/>
        <v>0</v>
      </c>
      <c r="BB49" s="3136">
        <f t="shared" si="545"/>
        <v>0</v>
      </c>
      <c r="BC49" s="3136">
        <f t="shared" si="546"/>
        <v>0</v>
      </c>
      <c r="BD49" s="3209">
        <f t="shared" si="257"/>
        <v>0</v>
      </c>
      <c r="BE49" s="3209">
        <f t="shared" si="258"/>
        <v>0</v>
      </c>
      <c r="BF49" s="3209">
        <f t="shared" si="259"/>
        <v>0</v>
      </c>
      <c r="BG49" s="3264">
        <f t="shared" si="547"/>
        <v>0</v>
      </c>
      <c r="BH49" s="3264">
        <f t="shared" si="548"/>
        <v>0</v>
      </c>
      <c r="BI49" s="3264">
        <f t="shared" si="549"/>
        <v>0</v>
      </c>
      <c r="BJ49" s="3264">
        <f t="shared" si="550"/>
        <v>0</v>
      </c>
      <c r="BK49" s="3264">
        <f t="shared" si="551"/>
        <v>0</v>
      </c>
      <c r="BL49" s="3264">
        <f t="shared" si="552"/>
        <v>0</v>
      </c>
      <c r="BM49" s="3208">
        <f t="shared" si="576"/>
        <v>0</v>
      </c>
      <c r="BN49" s="3208">
        <f t="shared" si="577"/>
        <v>0</v>
      </c>
      <c r="BO49" s="3208">
        <f t="shared" si="578"/>
        <v>0</v>
      </c>
      <c r="BP49" s="3136">
        <f t="shared" si="554"/>
        <v>0</v>
      </c>
      <c r="BQ49" s="3137"/>
      <c r="BR49" s="3137"/>
      <c r="BS49" s="3136">
        <f t="shared" si="556"/>
        <v>0</v>
      </c>
      <c r="BT49" s="3137"/>
      <c r="BU49" s="3137"/>
      <c r="BV49" s="3136">
        <f t="shared" si="558"/>
        <v>0</v>
      </c>
      <c r="BW49" s="3137"/>
      <c r="BX49" s="3137"/>
      <c r="BY49" s="3136">
        <f t="shared" si="560"/>
        <v>0</v>
      </c>
      <c r="BZ49" s="3136">
        <f t="shared" si="561"/>
        <v>0</v>
      </c>
      <c r="CA49" s="3136">
        <f t="shared" si="562"/>
        <v>0</v>
      </c>
      <c r="CB49" s="3209"/>
      <c r="CC49" s="3209">
        <f>SUM(CB49/CB9*CC9)</f>
        <v>0</v>
      </c>
      <c r="CD49" s="3209">
        <f>SUM(CB49/CB9*CD9)</f>
        <v>0</v>
      </c>
      <c r="CE49" s="3264">
        <f t="shared" si="579"/>
        <v>0</v>
      </c>
      <c r="CF49" s="3264">
        <f t="shared" si="580"/>
        <v>0</v>
      </c>
      <c r="CG49" s="3264">
        <f t="shared" si="581"/>
        <v>0</v>
      </c>
      <c r="CH49" s="3264">
        <f t="shared" si="564"/>
        <v>0</v>
      </c>
      <c r="CI49" s="3264">
        <f t="shared" si="565"/>
        <v>0</v>
      </c>
      <c r="CJ49" s="3264">
        <f t="shared" si="566"/>
        <v>0</v>
      </c>
      <c r="CK49" s="3259"/>
      <c r="CL49" s="3259"/>
      <c r="CM49" s="3259"/>
    </row>
    <row r="50" spans="1:91" ht="18.75" customHeight="1" x14ac:dyDescent="0.3">
      <c r="A50" s="3172" t="s">
        <v>635</v>
      </c>
      <c r="B50" s="3208">
        <f t="shared" si="567"/>
        <v>16.837499999999999</v>
      </c>
      <c r="C50" s="3208">
        <f t="shared" si="568"/>
        <v>16.739002602265426</v>
      </c>
      <c r="D50" s="3208">
        <f t="shared" si="569"/>
        <v>9.8497397734572098E-2</v>
      </c>
      <c r="E50" s="3136">
        <f t="shared" si="510"/>
        <v>2.37</v>
      </c>
      <c r="F50" s="3137">
        <v>2.37</v>
      </c>
      <c r="G50" s="3137"/>
      <c r="H50" s="3136">
        <f t="shared" si="512"/>
        <v>2.37</v>
      </c>
      <c r="I50" s="3137">
        <v>2.37</v>
      </c>
      <c r="J50" s="3137"/>
      <c r="K50" s="3136">
        <f t="shared" si="515"/>
        <v>2.38</v>
      </c>
      <c r="L50" s="3137">
        <v>2.38</v>
      </c>
      <c r="M50" s="3137"/>
      <c r="N50" s="3136">
        <f t="shared" si="518"/>
        <v>7.12</v>
      </c>
      <c r="O50" s="3136">
        <f t="shared" si="519"/>
        <v>7.12</v>
      </c>
      <c r="P50" s="3136">
        <f t="shared" si="520"/>
        <v>0</v>
      </c>
      <c r="Q50" s="3208">
        <f t="shared" si="570"/>
        <v>16.837499999999999</v>
      </c>
      <c r="R50" s="3208">
        <f t="shared" si="571"/>
        <v>16.739002602265426</v>
      </c>
      <c r="S50" s="3208">
        <f t="shared" si="572"/>
        <v>9.8497397734572098E-2</v>
      </c>
      <c r="T50" s="3136">
        <f t="shared" si="522"/>
        <v>2.38</v>
      </c>
      <c r="U50" s="3137">
        <v>2.38</v>
      </c>
      <c r="V50" s="3137"/>
      <c r="W50" s="3136">
        <f t="shared" si="524"/>
        <v>2.4900000000000002</v>
      </c>
      <c r="X50" s="3137">
        <v>2.4900000000000002</v>
      </c>
      <c r="Y50" s="3137"/>
      <c r="Z50" s="3136">
        <f t="shared" si="526"/>
        <v>3.08</v>
      </c>
      <c r="AA50" s="3137">
        <v>3.08</v>
      </c>
      <c r="AB50" s="3137"/>
      <c r="AC50" s="3136">
        <f t="shared" si="528"/>
        <v>7.95</v>
      </c>
      <c r="AD50" s="3136">
        <f t="shared" si="529"/>
        <v>7.95</v>
      </c>
      <c r="AE50" s="3136">
        <f t="shared" si="530"/>
        <v>0</v>
      </c>
      <c r="AF50" s="3209">
        <f t="shared" si="424"/>
        <v>33.674999999999997</v>
      </c>
      <c r="AG50" s="3209">
        <f t="shared" si="425"/>
        <v>33.478005204530852</v>
      </c>
      <c r="AH50" s="3209">
        <f t="shared" si="426"/>
        <v>0.1969947954691442</v>
      </c>
      <c r="AI50" s="3264">
        <f t="shared" si="531"/>
        <v>15.07</v>
      </c>
      <c r="AJ50" s="3264">
        <f t="shared" si="532"/>
        <v>15.07</v>
      </c>
      <c r="AK50" s="3264">
        <f t="shared" si="533"/>
        <v>0</v>
      </c>
      <c r="AL50" s="3264">
        <f t="shared" si="534"/>
        <v>-18.604999999999997</v>
      </c>
      <c r="AM50" s="3264">
        <f t="shared" si="535"/>
        <v>-18.408005204530852</v>
      </c>
      <c r="AN50" s="3264">
        <f t="shared" si="536"/>
        <v>-0.1969947954691442</v>
      </c>
      <c r="AO50" s="3208">
        <f t="shared" si="573"/>
        <v>16.837499999999999</v>
      </c>
      <c r="AP50" s="3208">
        <f t="shared" si="574"/>
        <v>16.739002602265426</v>
      </c>
      <c r="AQ50" s="3208">
        <f t="shared" si="575"/>
        <v>9.8497397734572098E-2</v>
      </c>
      <c r="AR50" s="3136">
        <f t="shared" si="538"/>
        <v>3.08</v>
      </c>
      <c r="AS50" s="3137">
        <v>3.08</v>
      </c>
      <c r="AT50" s="3137"/>
      <c r="AU50" s="3136">
        <f t="shared" si="540"/>
        <v>3.08</v>
      </c>
      <c r="AV50" s="3137">
        <v>3.08</v>
      </c>
      <c r="AW50" s="3137"/>
      <c r="AX50" s="3136">
        <f t="shared" si="542"/>
        <v>3.08</v>
      </c>
      <c r="AY50" s="3137">
        <v>3.08</v>
      </c>
      <c r="AZ50" s="3137"/>
      <c r="BA50" s="3136">
        <f t="shared" si="544"/>
        <v>9.24</v>
      </c>
      <c r="BB50" s="3136">
        <f t="shared" si="545"/>
        <v>9.24</v>
      </c>
      <c r="BC50" s="3136">
        <f t="shared" si="546"/>
        <v>0</v>
      </c>
      <c r="BD50" s="3209">
        <f t="shared" si="257"/>
        <v>50.512499999999989</v>
      </c>
      <c r="BE50" s="3209">
        <f t="shared" si="258"/>
        <v>50.217007806796275</v>
      </c>
      <c r="BF50" s="3209">
        <f t="shared" si="259"/>
        <v>0.29549219320371628</v>
      </c>
      <c r="BG50" s="3264">
        <f t="shared" si="547"/>
        <v>24.310000000000002</v>
      </c>
      <c r="BH50" s="3264">
        <f t="shared" si="548"/>
        <v>24.310000000000002</v>
      </c>
      <c r="BI50" s="3264">
        <f t="shared" si="549"/>
        <v>0</v>
      </c>
      <c r="BJ50" s="3264">
        <f t="shared" si="550"/>
        <v>-26.202499999999986</v>
      </c>
      <c r="BK50" s="3264">
        <f t="shared" si="551"/>
        <v>-25.907007806796273</v>
      </c>
      <c r="BL50" s="3264">
        <f t="shared" si="552"/>
        <v>-0.29549219320371628</v>
      </c>
      <c r="BM50" s="3208">
        <f t="shared" si="576"/>
        <v>16.837499999999999</v>
      </c>
      <c r="BN50" s="3208">
        <f t="shared" si="577"/>
        <v>16.739002602265426</v>
      </c>
      <c r="BO50" s="3208">
        <f t="shared" si="578"/>
        <v>9.8497397734572098E-2</v>
      </c>
      <c r="BP50" s="3136">
        <f t="shared" si="554"/>
        <v>0</v>
      </c>
      <c r="BQ50" s="3137"/>
      <c r="BR50" s="3137"/>
      <c r="BS50" s="3136">
        <f t="shared" si="556"/>
        <v>0</v>
      </c>
      <c r="BT50" s="3137"/>
      <c r="BU50" s="3137"/>
      <c r="BV50" s="3136">
        <f t="shared" si="558"/>
        <v>0</v>
      </c>
      <c r="BW50" s="3137"/>
      <c r="BX50" s="3137"/>
      <c r="BY50" s="3136">
        <f t="shared" si="560"/>
        <v>0</v>
      </c>
      <c r="BZ50" s="3136">
        <f t="shared" si="561"/>
        <v>0</v>
      </c>
      <c r="CA50" s="3136">
        <f t="shared" si="562"/>
        <v>0</v>
      </c>
      <c r="CB50" s="3209">
        <v>67.349999999999994</v>
      </c>
      <c r="CC50" s="3209">
        <f>SUM(CB50/CB9*CC9)</f>
        <v>66.956010409061705</v>
      </c>
      <c r="CD50" s="3209">
        <f>SUM(CB50/CB9*CD9)</f>
        <v>0.39398959093828839</v>
      </c>
      <c r="CE50" s="3264">
        <f t="shared" si="579"/>
        <v>24.310000000000002</v>
      </c>
      <c r="CF50" s="3264">
        <f t="shared" si="580"/>
        <v>24.310000000000002</v>
      </c>
      <c r="CG50" s="3264">
        <f t="shared" si="581"/>
        <v>0</v>
      </c>
      <c r="CH50" s="3264">
        <f t="shared" si="564"/>
        <v>-43.039999999999992</v>
      </c>
      <c r="CI50" s="3264">
        <f t="shared" si="565"/>
        <v>-42.646010409061702</v>
      </c>
      <c r="CJ50" s="3264">
        <f t="shared" si="566"/>
        <v>-0.39398959093828839</v>
      </c>
      <c r="CK50" s="3259"/>
      <c r="CL50" s="3259"/>
      <c r="CM50" s="3259"/>
    </row>
    <row r="51" spans="1:91" ht="18.75" customHeight="1" x14ac:dyDescent="0.3">
      <c r="A51" s="3172" t="s">
        <v>601</v>
      </c>
      <c r="B51" s="3208">
        <f t="shared" si="567"/>
        <v>153.26250000000002</v>
      </c>
      <c r="C51" s="3208">
        <f t="shared" si="568"/>
        <v>152.36593237295949</v>
      </c>
      <c r="D51" s="3208">
        <f t="shared" si="569"/>
        <v>0.89656762704052595</v>
      </c>
      <c r="E51" s="3136">
        <f t="shared" si="510"/>
        <v>26.18</v>
      </c>
      <c r="F51" s="3137">
        <v>26.18</v>
      </c>
      <c r="G51" s="3137"/>
      <c r="H51" s="3136">
        <f t="shared" si="512"/>
        <v>136.83000000000001</v>
      </c>
      <c r="I51" s="3137">
        <v>136.83000000000001</v>
      </c>
      <c r="J51" s="3137"/>
      <c r="K51" s="3136">
        <f t="shared" si="515"/>
        <v>24.54</v>
      </c>
      <c r="L51" s="3137">
        <v>24.54</v>
      </c>
      <c r="M51" s="3137"/>
      <c r="N51" s="3136">
        <f t="shared" si="518"/>
        <v>187.55</v>
      </c>
      <c r="O51" s="3136">
        <f t="shared" si="519"/>
        <v>187.55</v>
      </c>
      <c r="P51" s="3136">
        <f t="shared" si="520"/>
        <v>0</v>
      </c>
      <c r="Q51" s="3208">
        <f t="shared" si="570"/>
        <v>153.26250000000002</v>
      </c>
      <c r="R51" s="3208">
        <f t="shared" si="571"/>
        <v>152.36593237295949</v>
      </c>
      <c r="S51" s="3208">
        <f t="shared" si="572"/>
        <v>0.89656762704052595</v>
      </c>
      <c r="T51" s="3136">
        <f t="shared" si="522"/>
        <v>26.02</v>
      </c>
      <c r="U51" s="3137">
        <v>26.02</v>
      </c>
      <c r="V51" s="3137"/>
      <c r="W51" s="3136">
        <f t="shared" si="524"/>
        <v>27.68</v>
      </c>
      <c r="X51" s="3137">
        <v>27.68</v>
      </c>
      <c r="Y51" s="3137"/>
      <c r="Z51" s="3136">
        <f t="shared" si="526"/>
        <v>24.02</v>
      </c>
      <c r="AA51" s="3137">
        <f>22.58+1.44</f>
        <v>24.02</v>
      </c>
      <c r="AB51" s="3137"/>
      <c r="AC51" s="3136">
        <f t="shared" si="528"/>
        <v>77.72</v>
      </c>
      <c r="AD51" s="3136">
        <f t="shared" si="529"/>
        <v>77.72</v>
      </c>
      <c r="AE51" s="3136">
        <f t="shared" si="530"/>
        <v>0</v>
      </c>
      <c r="AF51" s="3209">
        <f t="shared" si="424"/>
        <v>306.52500000000003</v>
      </c>
      <c r="AG51" s="3209">
        <f t="shared" si="425"/>
        <v>304.73186474591898</v>
      </c>
      <c r="AH51" s="3209">
        <f t="shared" si="426"/>
        <v>1.7931352540810519</v>
      </c>
      <c r="AI51" s="3264">
        <f t="shared" si="531"/>
        <v>265.27</v>
      </c>
      <c r="AJ51" s="3264">
        <f t="shared" si="532"/>
        <v>265.27</v>
      </c>
      <c r="AK51" s="3264">
        <f t="shared" si="533"/>
        <v>0</v>
      </c>
      <c r="AL51" s="3264">
        <f t="shared" si="534"/>
        <v>-41.255000000000052</v>
      </c>
      <c r="AM51" s="3264">
        <f t="shared" si="535"/>
        <v>-39.461864745919002</v>
      </c>
      <c r="AN51" s="3264">
        <f t="shared" si="536"/>
        <v>-1.7931352540810519</v>
      </c>
      <c r="AO51" s="3208">
        <f t="shared" si="573"/>
        <v>153.26250000000002</v>
      </c>
      <c r="AP51" s="3208">
        <f t="shared" si="574"/>
        <v>152.36593237295949</v>
      </c>
      <c r="AQ51" s="3208">
        <f t="shared" si="575"/>
        <v>0.89656762704052595</v>
      </c>
      <c r="AR51" s="3136">
        <f t="shared" si="538"/>
        <v>30.470000000000002</v>
      </c>
      <c r="AS51" s="3137">
        <f>30.46+0.01</f>
        <v>30.470000000000002</v>
      </c>
      <c r="AT51" s="3137"/>
      <c r="AU51" s="3136">
        <f t="shared" si="540"/>
        <v>26.470000000000002</v>
      </c>
      <c r="AV51" s="3137">
        <f>26.46+0.01</f>
        <v>26.470000000000002</v>
      </c>
      <c r="AW51" s="3137"/>
      <c r="AX51" s="3136">
        <f t="shared" si="542"/>
        <v>20.6</v>
      </c>
      <c r="AY51" s="3137">
        <f>20.59+0.01</f>
        <v>20.6</v>
      </c>
      <c r="AZ51" s="3137"/>
      <c r="BA51" s="3136">
        <f t="shared" si="544"/>
        <v>77.540000000000006</v>
      </c>
      <c r="BB51" s="3136">
        <f t="shared" si="545"/>
        <v>77.540000000000006</v>
      </c>
      <c r="BC51" s="3136">
        <f t="shared" si="546"/>
        <v>0</v>
      </c>
      <c r="BD51" s="3209">
        <f t="shared" si="257"/>
        <v>459.78750000000008</v>
      </c>
      <c r="BE51" s="3209">
        <f t="shared" si="258"/>
        <v>457.09779711887847</v>
      </c>
      <c r="BF51" s="3209">
        <f t="shared" si="259"/>
        <v>2.689702881121578</v>
      </c>
      <c r="BG51" s="3264">
        <f t="shared" si="547"/>
        <v>342.81</v>
      </c>
      <c r="BH51" s="3264">
        <f t="shared" si="548"/>
        <v>342.81</v>
      </c>
      <c r="BI51" s="3264">
        <f t="shared" si="549"/>
        <v>0</v>
      </c>
      <c r="BJ51" s="3264">
        <f t="shared" si="550"/>
        <v>-116.97750000000008</v>
      </c>
      <c r="BK51" s="3264">
        <f t="shared" si="551"/>
        <v>-114.28779711887847</v>
      </c>
      <c r="BL51" s="3264">
        <f t="shared" si="552"/>
        <v>-2.689702881121578</v>
      </c>
      <c r="BM51" s="3208">
        <f t="shared" si="576"/>
        <v>153.26250000000002</v>
      </c>
      <c r="BN51" s="3208">
        <f t="shared" si="577"/>
        <v>152.36593237295949</v>
      </c>
      <c r="BO51" s="3208">
        <f t="shared" si="578"/>
        <v>0.89656762704052595</v>
      </c>
      <c r="BP51" s="3136">
        <f t="shared" si="554"/>
        <v>0</v>
      </c>
      <c r="BQ51" s="3137"/>
      <c r="BR51" s="3137"/>
      <c r="BS51" s="3136">
        <f t="shared" si="556"/>
        <v>0</v>
      </c>
      <c r="BT51" s="3137"/>
      <c r="BU51" s="3137"/>
      <c r="BV51" s="3136">
        <f t="shared" si="558"/>
        <v>0</v>
      </c>
      <c r="BW51" s="3137"/>
      <c r="BX51" s="3137"/>
      <c r="BY51" s="3136">
        <f t="shared" si="560"/>
        <v>0</v>
      </c>
      <c r="BZ51" s="3136">
        <f t="shared" si="561"/>
        <v>0</v>
      </c>
      <c r="CA51" s="3136">
        <f t="shared" si="562"/>
        <v>0</v>
      </c>
      <c r="CB51" s="3209">
        <v>613.04999999999995</v>
      </c>
      <c r="CC51" s="3209">
        <f>SUM(CB51/CB9*CC9)</f>
        <v>609.46372949183797</v>
      </c>
      <c r="CD51" s="3209">
        <f>SUM(CB51/CB9*CD9)</f>
        <v>3.5862705081621038</v>
      </c>
      <c r="CE51" s="3264">
        <f t="shared" si="579"/>
        <v>342.81</v>
      </c>
      <c r="CF51" s="3264">
        <f t="shared" si="580"/>
        <v>342.81</v>
      </c>
      <c r="CG51" s="3264">
        <f t="shared" si="581"/>
        <v>0</v>
      </c>
      <c r="CH51" s="3264">
        <f t="shared" si="564"/>
        <v>-270.23999999999995</v>
      </c>
      <c r="CI51" s="3264">
        <f t="shared" si="565"/>
        <v>-266.65372949183796</v>
      </c>
      <c r="CJ51" s="3264">
        <f t="shared" si="566"/>
        <v>-3.5862705081621038</v>
      </c>
      <c r="CK51" s="3259"/>
      <c r="CL51" s="3259"/>
      <c r="CM51" s="3259"/>
    </row>
    <row r="52" spans="1:91" ht="18.75" customHeight="1" x14ac:dyDescent="0.3">
      <c r="A52" s="3172" t="s">
        <v>42</v>
      </c>
      <c r="B52" s="3208">
        <f t="shared" si="567"/>
        <v>15.740000000000002</v>
      </c>
      <c r="C52" s="3208">
        <f t="shared" si="568"/>
        <v>15.647922848383541</v>
      </c>
      <c r="D52" s="3208">
        <f t="shared" si="569"/>
        <v>9.207715161646117E-2</v>
      </c>
      <c r="E52" s="3136">
        <f t="shared" si="510"/>
        <v>1.74</v>
      </c>
      <c r="F52" s="3137">
        <v>1.74</v>
      </c>
      <c r="G52" s="3137"/>
      <c r="H52" s="3136">
        <f t="shared" si="512"/>
        <v>0</v>
      </c>
      <c r="I52" s="3137"/>
      <c r="J52" s="3137"/>
      <c r="K52" s="3136">
        <f t="shared" si="515"/>
        <v>6.67</v>
      </c>
      <c r="L52" s="3137">
        <f>1.16+5.51</f>
        <v>6.67</v>
      </c>
      <c r="M52" s="3137"/>
      <c r="N52" s="3136">
        <f t="shared" si="518"/>
        <v>8.41</v>
      </c>
      <c r="O52" s="3136">
        <f t="shared" si="519"/>
        <v>8.41</v>
      </c>
      <c r="P52" s="3136">
        <f t="shared" si="520"/>
        <v>0</v>
      </c>
      <c r="Q52" s="3208">
        <f t="shared" si="570"/>
        <v>15.740000000000002</v>
      </c>
      <c r="R52" s="3208">
        <f t="shared" si="571"/>
        <v>15.647922848383541</v>
      </c>
      <c r="S52" s="3208">
        <f t="shared" si="572"/>
        <v>9.207715161646117E-2</v>
      </c>
      <c r="T52" s="3136">
        <f t="shared" si="522"/>
        <v>0</v>
      </c>
      <c r="U52" s="3137"/>
      <c r="V52" s="3137"/>
      <c r="W52" s="3136">
        <f t="shared" si="524"/>
        <v>0</v>
      </c>
      <c r="X52" s="3137"/>
      <c r="Y52" s="3137"/>
      <c r="Z52" s="3136">
        <f t="shared" si="526"/>
        <v>19.28</v>
      </c>
      <c r="AA52" s="3137">
        <f>0.02+19.26</f>
        <v>19.28</v>
      </c>
      <c r="AB52" s="3137"/>
      <c r="AC52" s="3136">
        <f t="shared" si="528"/>
        <v>19.28</v>
      </c>
      <c r="AD52" s="3136">
        <f t="shared" si="529"/>
        <v>19.28</v>
      </c>
      <c r="AE52" s="3136">
        <f t="shared" si="530"/>
        <v>0</v>
      </c>
      <c r="AF52" s="3209">
        <f t="shared" si="424"/>
        <v>31.480000000000004</v>
      </c>
      <c r="AG52" s="3209">
        <f t="shared" si="425"/>
        <v>31.295845696767081</v>
      </c>
      <c r="AH52" s="3209">
        <f t="shared" si="426"/>
        <v>0.18415430323292234</v>
      </c>
      <c r="AI52" s="3264">
        <f t="shared" si="531"/>
        <v>27.69</v>
      </c>
      <c r="AJ52" s="3264">
        <f t="shared" si="532"/>
        <v>27.69</v>
      </c>
      <c r="AK52" s="3264">
        <f t="shared" si="533"/>
        <v>0</v>
      </c>
      <c r="AL52" s="3264">
        <f t="shared" si="534"/>
        <v>-3.7900000000000027</v>
      </c>
      <c r="AM52" s="3264">
        <f t="shared" si="535"/>
        <v>-3.60584569676708</v>
      </c>
      <c r="AN52" s="3264">
        <f t="shared" si="536"/>
        <v>-0.18415430323292234</v>
      </c>
      <c r="AO52" s="3208">
        <f t="shared" si="573"/>
        <v>15.740000000000002</v>
      </c>
      <c r="AP52" s="3208">
        <f t="shared" si="574"/>
        <v>15.647922848383541</v>
      </c>
      <c r="AQ52" s="3208">
        <f t="shared" si="575"/>
        <v>9.207715161646117E-2</v>
      </c>
      <c r="AR52" s="3136">
        <f t="shared" si="538"/>
        <v>0</v>
      </c>
      <c r="AS52" s="3137"/>
      <c r="AT52" s="3137"/>
      <c r="AU52" s="3136">
        <f t="shared" si="540"/>
        <v>0</v>
      </c>
      <c r="AV52" s="3137"/>
      <c r="AW52" s="3137"/>
      <c r="AX52" s="3136">
        <f t="shared" si="542"/>
        <v>16.53</v>
      </c>
      <c r="AY52" s="3137">
        <f>14.72+1.81</f>
        <v>16.53</v>
      </c>
      <c r="AZ52" s="3137"/>
      <c r="BA52" s="3136">
        <f t="shared" si="544"/>
        <v>16.53</v>
      </c>
      <c r="BB52" s="3136">
        <f t="shared" si="545"/>
        <v>16.53</v>
      </c>
      <c r="BC52" s="3136">
        <f t="shared" si="546"/>
        <v>0</v>
      </c>
      <c r="BD52" s="3209">
        <f t="shared" si="257"/>
        <v>47.22</v>
      </c>
      <c r="BE52" s="3209">
        <f t="shared" si="258"/>
        <v>46.943768545150618</v>
      </c>
      <c r="BF52" s="3209">
        <f t="shared" si="259"/>
        <v>0.2762314548493835</v>
      </c>
      <c r="BG52" s="3264">
        <f t="shared" si="547"/>
        <v>44.22</v>
      </c>
      <c r="BH52" s="3264">
        <f t="shared" si="548"/>
        <v>44.22</v>
      </c>
      <c r="BI52" s="3264">
        <f t="shared" si="549"/>
        <v>0</v>
      </c>
      <c r="BJ52" s="3264">
        <f t="shared" si="550"/>
        <v>-3</v>
      </c>
      <c r="BK52" s="3264">
        <f t="shared" si="551"/>
        <v>-2.7237685451506195</v>
      </c>
      <c r="BL52" s="3264">
        <f t="shared" si="552"/>
        <v>-0.2762314548493835</v>
      </c>
      <c r="BM52" s="3208">
        <f t="shared" si="576"/>
        <v>15.740000000000002</v>
      </c>
      <c r="BN52" s="3208">
        <f t="shared" si="577"/>
        <v>15.647922848383541</v>
      </c>
      <c r="BO52" s="3208">
        <f t="shared" si="578"/>
        <v>9.207715161646117E-2</v>
      </c>
      <c r="BP52" s="3136">
        <f t="shared" si="554"/>
        <v>0</v>
      </c>
      <c r="BQ52" s="3137"/>
      <c r="BR52" s="3137"/>
      <c r="BS52" s="3136">
        <f t="shared" si="556"/>
        <v>0</v>
      </c>
      <c r="BT52" s="3137"/>
      <c r="BU52" s="3137"/>
      <c r="BV52" s="3136">
        <f t="shared" si="558"/>
        <v>0</v>
      </c>
      <c r="BW52" s="3137"/>
      <c r="BX52" s="3137"/>
      <c r="BY52" s="3136">
        <f t="shared" si="560"/>
        <v>0</v>
      </c>
      <c r="BZ52" s="3136">
        <f t="shared" si="561"/>
        <v>0</v>
      </c>
      <c r="CA52" s="3136">
        <f t="shared" si="562"/>
        <v>0</v>
      </c>
      <c r="CB52" s="3209">
        <v>62.96</v>
      </c>
      <c r="CC52" s="3209">
        <f>SUM(CB52/CB9*CC9)</f>
        <v>62.591691393534163</v>
      </c>
      <c r="CD52" s="3209">
        <f>SUM(CB52/CB9*CD9)</f>
        <v>0.36830860646584468</v>
      </c>
      <c r="CE52" s="3264">
        <f t="shared" si="579"/>
        <v>44.22</v>
      </c>
      <c r="CF52" s="3264">
        <f t="shared" si="580"/>
        <v>44.22</v>
      </c>
      <c r="CG52" s="3264">
        <f t="shared" si="581"/>
        <v>0</v>
      </c>
      <c r="CH52" s="3264">
        <f t="shared" si="564"/>
        <v>-18.740000000000002</v>
      </c>
      <c r="CI52" s="3264">
        <f t="shared" si="565"/>
        <v>-18.371691393534164</v>
      </c>
      <c r="CJ52" s="3264">
        <f t="shared" si="566"/>
        <v>-0.36830860646584468</v>
      </c>
      <c r="CK52" s="3259"/>
      <c r="CL52" s="3259"/>
      <c r="CM52" s="3259"/>
    </row>
    <row r="53" spans="1:91" ht="18.75" customHeight="1" x14ac:dyDescent="0.3">
      <c r="A53" s="3172" t="s">
        <v>38</v>
      </c>
      <c r="B53" s="3208">
        <f t="shared" si="567"/>
        <v>4.0549999999999997</v>
      </c>
      <c r="C53" s="3208">
        <f t="shared" si="568"/>
        <v>4.0312787261877538</v>
      </c>
      <c r="D53" s="3208">
        <f t="shared" si="569"/>
        <v>2.3721273812245872E-2</v>
      </c>
      <c r="E53" s="3136">
        <f t="shared" si="510"/>
        <v>0</v>
      </c>
      <c r="F53" s="3137"/>
      <c r="G53" s="3137"/>
      <c r="H53" s="3136">
        <f t="shared" si="512"/>
        <v>0</v>
      </c>
      <c r="I53" s="3137"/>
      <c r="J53" s="3137"/>
      <c r="K53" s="3136">
        <f t="shared" si="515"/>
        <v>10.5</v>
      </c>
      <c r="L53" s="3137">
        <v>10.5</v>
      </c>
      <c r="M53" s="3137"/>
      <c r="N53" s="3136">
        <f t="shared" si="518"/>
        <v>10.5</v>
      </c>
      <c r="O53" s="3136">
        <f t="shared" si="519"/>
        <v>10.5</v>
      </c>
      <c r="P53" s="3136">
        <f t="shared" si="520"/>
        <v>0</v>
      </c>
      <c r="Q53" s="3208">
        <f t="shared" si="570"/>
        <v>4.0549999999999997</v>
      </c>
      <c r="R53" s="3208">
        <f t="shared" si="571"/>
        <v>4.0312787261877538</v>
      </c>
      <c r="S53" s="3208">
        <f t="shared" si="572"/>
        <v>2.3721273812245872E-2</v>
      </c>
      <c r="T53" s="3136">
        <f t="shared" si="522"/>
        <v>64.56</v>
      </c>
      <c r="U53" s="3137">
        <f>2.8+29.6+32.16</f>
        <v>64.56</v>
      </c>
      <c r="V53" s="3137"/>
      <c r="W53" s="3136">
        <f t="shared" si="524"/>
        <v>0</v>
      </c>
      <c r="X53" s="3137"/>
      <c r="Y53" s="3137"/>
      <c r="Z53" s="3136">
        <f t="shared" si="526"/>
        <v>24</v>
      </c>
      <c r="AA53" s="3137">
        <v>24</v>
      </c>
      <c r="AB53" s="3137"/>
      <c r="AC53" s="3136">
        <f t="shared" si="528"/>
        <v>88.56</v>
      </c>
      <c r="AD53" s="3136">
        <f t="shared" si="529"/>
        <v>88.56</v>
      </c>
      <c r="AE53" s="3136">
        <f t="shared" si="530"/>
        <v>0</v>
      </c>
      <c r="AF53" s="3209">
        <f t="shared" si="424"/>
        <v>8.11</v>
      </c>
      <c r="AG53" s="3209">
        <f t="shared" si="425"/>
        <v>8.0625574523755077</v>
      </c>
      <c r="AH53" s="3209">
        <f t="shared" si="426"/>
        <v>4.7442547624491745E-2</v>
      </c>
      <c r="AI53" s="3264">
        <f t="shared" si="531"/>
        <v>99.06</v>
      </c>
      <c r="AJ53" s="3264">
        <f t="shared" si="532"/>
        <v>99.06</v>
      </c>
      <c r="AK53" s="3264">
        <f t="shared" si="533"/>
        <v>0</v>
      </c>
      <c r="AL53" s="3264">
        <f t="shared" si="534"/>
        <v>90.95</v>
      </c>
      <c r="AM53" s="3264">
        <f t="shared" si="535"/>
        <v>90.997442547624502</v>
      </c>
      <c r="AN53" s="3264">
        <f t="shared" si="536"/>
        <v>-4.7442547624491745E-2</v>
      </c>
      <c r="AO53" s="3208">
        <f t="shared" si="573"/>
        <v>4.0549999999999997</v>
      </c>
      <c r="AP53" s="3208">
        <f t="shared" si="574"/>
        <v>4.0312787261877538</v>
      </c>
      <c r="AQ53" s="3208">
        <f t="shared" si="575"/>
        <v>2.3721273812245872E-2</v>
      </c>
      <c r="AR53" s="3136">
        <f t="shared" si="538"/>
        <v>0</v>
      </c>
      <c r="AS53" s="3137"/>
      <c r="AT53" s="3137"/>
      <c r="AU53" s="3136">
        <f t="shared" si="540"/>
        <v>11.4</v>
      </c>
      <c r="AV53" s="3137">
        <v>11.4</v>
      </c>
      <c r="AW53" s="3137"/>
      <c r="AX53" s="3136">
        <f t="shared" si="542"/>
        <v>2.8</v>
      </c>
      <c r="AY53" s="3137">
        <v>2.8</v>
      </c>
      <c r="AZ53" s="3137"/>
      <c r="BA53" s="3136">
        <f t="shared" si="544"/>
        <v>14.2</v>
      </c>
      <c r="BB53" s="3136">
        <f t="shared" si="545"/>
        <v>14.2</v>
      </c>
      <c r="BC53" s="3136">
        <f t="shared" si="546"/>
        <v>0</v>
      </c>
      <c r="BD53" s="3209">
        <f t="shared" si="257"/>
        <v>12.164999999999999</v>
      </c>
      <c r="BE53" s="3209">
        <f t="shared" si="258"/>
        <v>12.093836178563262</v>
      </c>
      <c r="BF53" s="3209">
        <f t="shared" si="259"/>
        <v>7.116382143673762E-2</v>
      </c>
      <c r="BG53" s="3264">
        <f t="shared" si="547"/>
        <v>113.26</v>
      </c>
      <c r="BH53" s="3264">
        <f t="shared" si="548"/>
        <v>113.26</v>
      </c>
      <c r="BI53" s="3264">
        <f t="shared" si="549"/>
        <v>0</v>
      </c>
      <c r="BJ53" s="3264">
        <f t="shared" si="550"/>
        <v>101.095</v>
      </c>
      <c r="BK53" s="3264">
        <f t="shared" si="551"/>
        <v>101.16616382143674</v>
      </c>
      <c r="BL53" s="3264">
        <f t="shared" si="552"/>
        <v>-7.116382143673762E-2</v>
      </c>
      <c r="BM53" s="3208">
        <f t="shared" si="576"/>
        <v>4.0549999999999997</v>
      </c>
      <c r="BN53" s="3208">
        <f t="shared" si="577"/>
        <v>4.0312787261877538</v>
      </c>
      <c r="BO53" s="3208">
        <f t="shared" si="578"/>
        <v>2.3721273812245872E-2</v>
      </c>
      <c r="BP53" s="3136">
        <f t="shared" si="554"/>
        <v>0</v>
      </c>
      <c r="BQ53" s="3137"/>
      <c r="BR53" s="3137"/>
      <c r="BS53" s="3136">
        <f t="shared" si="556"/>
        <v>0</v>
      </c>
      <c r="BT53" s="3137"/>
      <c r="BU53" s="3137"/>
      <c r="BV53" s="3136">
        <f t="shared" si="558"/>
        <v>0</v>
      </c>
      <c r="BW53" s="3137"/>
      <c r="BX53" s="3137"/>
      <c r="BY53" s="3136">
        <f t="shared" si="560"/>
        <v>0</v>
      </c>
      <c r="BZ53" s="3136">
        <f t="shared" si="561"/>
        <v>0</v>
      </c>
      <c r="CA53" s="3136">
        <f t="shared" si="562"/>
        <v>0</v>
      </c>
      <c r="CB53" s="3209">
        <v>16.22</v>
      </c>
      <c r="CC53" s="3209">
        <f>SUM(CB53/CB9*CC9)</f>
        <v>16.125114904751015</v>
      </c>
      <c r="CD53" s="3209">
        <f>SUM(CB53/CB9*CD9)</f>
        <v>9.4885095248983489E-2</v>
      </c>
      <c r="CE53" s="3264">
        <f t="shared" si="579"/>
        <v>113.26</v>
      </c>
      <c r="CF53" s="3264">
        <f t="shared" si="580"/>
        <v>113.26</v>
      </c>
      <c r="CG53" s="3264">
        <f t="shared" si="581"/>
        <v>0</v>
      </c>
      <c r="CH53" s="3264">
        <f t="shared" si="564"/>
        <v>97.04</v>
      </c>
      <c r="CI53" s="3264">
        <f t="shared" si="565"/>
        <v>97.13488509524899</v>
      </c>
      <c r="CJ53" s="3264">
        <f t="shared" si="566"/>
        <v>-9.4885095248983489E-2</v>
      </c>
      <c r="CK53" s="3259"/>
      <c r="CL53" s="3259"/>
      <c r="CM53" s="3259"/>
    </row>
    <row r="54" spans="1:91" ht="18.75" customHeight="1" x14ac:dyDescent="0.3">
      <c r="A54" s="3172" t="s">
        <v>603</v>
      </c>
      <c r="B54" s="3208">
        <f t="shared" si="567"/>
        <v>0</v>
      </c>
      <c r="C54" s="3208">
        <f t="shared" si="568"/>
        <v>0</v>
      </c>
      <c r="D54" s="3208">
        <f t="shared" si="569"/>
        <v>0</v>
      </c>
      <c r="E54" s="3136">
        <f t="shared" si="510"/>
        <v>0</v>
      </c>
      <c r="F54" s="3137"/>
      <c r="G54" s="3137"/>
      <c r="H54" s="3136">
        <f t="shared" si="512"/>
        <v>0</v>
      </c>
      <c r="I54" s="3137"/>
      <c r="J54" s="3137"/>
      <c r="K54" s="3136">
        <f t="shared" si="515"/>
        <v>0</v>
      </c>
      <c r="L54" s="3137"/>
      <c r="M54" s="3137"/>
      <c r="N54" s="3136">
        <f t="shared" si="518"/>
        <v>0</v>
      </c>
      <c r="O54" s="3136">
        <f t="shared" si="519"/>
        <v>0</v>
      </c>
      <c r="P54" s="3136">
        <f t="shared" si="520"/>
        <v>0</v>
      </c>
      <c r="Q54" s="3208">
        <f t="shared" si="570"/>
        <v>0</v>
      </c>
      <c r="R54" s="3208">
        <f t="shared" si="571"/>
        <v>0</v>
      </c>
      <c r="S54" s="3208">
        <f t="shared" si="572"/>
        <v>0</v>
      </c>
      <c r="T54" s="3136">
        <f t="shared" si="522"/>
        <v>0</v>
      </c>
      <c r="U54" s="3137"/>
      <c r="V54" s="3137"/>
      <c r="W54" s="3136">
        <f t="shared" si="524"/>
        <v>0</v>
      </c>
      <c r="X54" s="3137"/>
      <c r="Y54" s="3137"/>
      <c r="Z54" s="3136">
        <f t="shared" si="526"/>
        <v>0</v>
      </c>
      <c r="AA54" s="3137"/>
      <c r="AB54" s="3137"/>
      <c r="AC54" s="3136">
        <f t="shared" si="528"/>
        <v>0</v>
      </c>
      <c r="AD54" s="3136">
        <f t="shared" si="529"/>
        <v>0</v>
      </c>
      <c r="AE54" s="3136">
        <f t="shared" si="530"/>
        <v>0</v>
      </c>
      <c r="AF54" s="3209">
        <f t="shared" si="424"/>
        <v>0</v>
      </c>
      <c r="AG54" s="3209">
        <f t="shared" si="425"/>
        <v>0</v>
      </c>
      <c r="AH54" s="3209">
        <f t="shared" si="426"/>
        <v>0</v>
      </c>
      <c r="AI54" s="3264">
        <f t="shared" si="531"/>
        <v>0</v>
      </c>
      <c r="AJ54" s="3264">
        <f t="shared" si="532"/>
        <v>0</v>
      </c>
      <c r="AK54" s="3264">
        <f t="shared" si="533"/>
        <v>0</v>
      </c>
      <c r="AL54" s="3264">
        <f t="shared" si="534"/>
        <v>0</v>
      </c>
      <c r="AM54" s="3264">
        <f t="shared" si="535"/>
        <v>0</v>
      </c>
      <c r="AN54" s="3264">
        <f t="shared" si="536"/>
        <v>0</v>
      </c>
      <c r="AO54" s="3208">
        <f t="shared" si="573"/>
        <v>0</v>
      </c>
      <c r="AP54" s="3208">
        <f t="shared" si="574"/>
        <v>0</v>
      </c>
      <c r="AQ54" s="3208">
        <f t="shared" si="575"/>
        <v>0</v>
      </c>
      <c r="AR54" s="3136">
        <f t="shared" si="538"/>
        <v>0</v>
      </c>
      <c r="AS54" s="3137"/>
      <c r="AT54" s="3137"/>
      <c r="AU54" s="3136">
        <f t="shared" si="540"/>
        <v>0</v>
      </c>
      <c r="AV54" s="3137"/>
      <c r="AW54" s="3137"/>
      <c r="AX54" s="3136">
        <f t="shared" si="542"/>
        <v>0</v>
      </c>
      <c r="AY54" s="3137"/>
      <c r="AZ54" s="3137"/>
      <c r="BA54" s="3136">
        <f t="shared" si="544"/>
        <v>0</v>
      </c>
      <c r="BB54" s="3136">
        <f t="shared" si="545"/>
        <v>0</v>
      </c>
      <c r="BC54" s="3136">
        <f t="shared" si="546"/>
        <v>0</v>
      </c>
      <c r="BD54" s="3209">
        <f t="shared" si="257"/>
        <v>0</v>
      </c>
      <c r="BE54" s="3209">
        <f t="shared" si="258"/>
        <v>0</v>
      </c>
      <c r="BF54" s="3209">
        <f t="shared" si="259"/>
        <v>0</v>
      </c>
      <c r="BG54" s="3264">
        <f t="shared" si="547"/>
        <v>0</v>
      </c>
      <c r="BH54" s="3264">
        <f t="shared" si="548"/>
        <v>0</v>
      </c>
      <c r="BI54" s="3264">
        <f t="shared" si="549"/>
        <v>0</v>
      </c>
      <c r="BJ54" s="3264">
        <f t="shared" si="550"/>
        <v>0</v>
      </c>
      <c r="BK54" s="3264">
        <f t="shared" si="551"/>
        <v>0</v>
      </c>
      <c r="BL54" s="3264">
        <f t="shared" si="552"/>
        <v>0</v>
      </c>
      <c r="BM54" s="3208">
        <f t="shared" si="576"/>
        <v>0</v>
      </c>
      <c r="BN54" s="3208">
        <f t="shared" si="577"/>
        <v>0</v>
      </c>
      <c r="BO54" s="3208">
        <f t="shared" si="578"/>
        <v>0</v>
      </c>
      <c r="BP54" s="3136">
        <f t="shared" si="554"/>
        <v>0</v>
      </c>
      <c r="BQ54" s="3137"/>
      <c r="BR54" s="3137"/>
      <c r="BS54" s="3136">
        <f t="shared" si="556"/>
        <v>0</v>
      </c>
      <c r="BT54" s="3137"/>
      <c r="BU54" s="3137"/>
      <c r="BV54" s="3136">
        <f t="shared" si="558"/>
        <v>0</v>
      </c>
      <c r="BW54" s="3137"/>
      <c r="BX54" s="3137"/>
      <c r="BY54" s="3136">
        <f t="shared" si="560"/>
        <v>0</v>
      </c>
      <c r="BZ54" s="3136">
        <f t="shared" si="561"/>
        <v>0</v>
      </c>
      <c r="CA54" s="3136">
        <f t="shared" si="562"/>
        <v>0</v>
      </c>
      <c r="CB54" s="3209">
        <v>0</v>
      </c>
      <c r="CC54" s="3209">
        <f>SUM(CB54/CB9*CC9)</f>
        <v>0</v>
      </c>
      <c r="CD54" s="3209">
        <f>SUM(CB54/CB9*CD9)</f>
        <v>0</v>
      </c>
      <c r="CE54" s="3264">
        <f t="shared" si="579"/>
        <v>0</v>
      </c>
      <c r="CF54" s="3264">
        <f t="shared" si="580"/>
        <v>0</v>
      </c>
      <c r="CG54" s="3264">
        <f t="shared" si="581"/>
        <v>0</v>
      </c>
      <c r="CH54" s="3264">
        <f t="shared" si="564"/>
        <v>0</v>
      </c>
      <c r="CI54" s="3264">
        <f t="shared" si="565"/>
        <v>0</v>
      </c>
      <c r="CJ54" s="3264">
        <f t="shared" si="566"/>
        <v>0</v>
      </c>
      <c r="CK54" s="3259"/>
      <c r="CL54" s="3259"/>
      <c r="CM54" s="3259"/>
    </row>
    <row r="55" spans="1:91" ht="18.75" customHeight="1" x14ac:dyDescent="0.3">
      <c r="A55" s="3172" t="s">
        <v>98</v>
      </c>
      <c r="B55" s="3208">
        <f t="shared" si="567"/>
        <v>26.372204624999998</v>
      </c>
      <c r="C55" s="3208">
        <f t="shared" si="568"/>
        <v>26.372204624999998</v>
      </c>
      <c r="D55" s="3208">
        <f t="shared" si="569"/>
        <v>0</v>
      </c>
      <c r="E55" s="3136">
        <f t="shared" si="510"/>
        <v>0</v>
      </c>
      <c r="F55" s="3137"/>
      <c r="G55" s="3137"/>
      <c r="H55" s="3136">
        <f t="shared" si="512"/>
        <v>0</v>
      </c>
      <c r="I55" s="3137"/>
      <c r="J55" s="3137"/>
      <c r="K55" s="3136">
        <f t="shared" si="515"/>
        <v>22.43</v>
      </c>
      <c r="L55" s="3137">
        <v>22.43</v>
      </c>
      <c r="M55" s="3137"/>
      <c r="N55" s="3136">
        <f t="shared" si="518"/>
        <v>22.43</v>
      </c>
      <c r="O55" s="3136">
        <f t="shared" si="519"/>
        <v>22.43</v>
      </c>
      <c r="P55" s="3136">
        <f t="shared" si="520"/>
        <v>0</v>
      </c>
      <c r="Q55" s="3208">
        <f t="shared" si="570"/>
        <v>26.372204624999998</v>
      </c>
      <c r="R55" s="3208">
        <f t="shared" si="571"/>
        <v>26.372204624999998</v>
      </c>
      <c r="S55" s="3208">
        <f t="shared" si="572"/>
        <v>0</v>
      </c>
      <c r="T55" s="3136">
        <f t="shared" si="522"/>
        <v>0</v>
      </c>
      <c r="U55" s="3137"/>
      <c r="V55" s="3137"/>
      <c r="W55" s="3136">
        <f t="shared" si="524"/>
        <v>0</v>
      </c>
      <c r="X55" s="3137"/>
      <c r="Y55" s="3137"/>
      <c r="Z55" s="3136">
        <f t="shared" si="526"/>
        <v>22.43</v>
      </c>
      <c r="AA55" s="3137">
        <v>22.43</v>
      </c>
      <c r="AB55" s="3137"/>
      <c r="AC55" s="3136">
        <f t="shared" si="528"/>
        <v>22.43</v>
      </c>
      <c r="AD55" s="3136">
        <f t="shared" si="529"/>
        <v>22.43</v>
      </c>
      <c r="AE55" s="3136">
        <f t="shared" si="530"/>
        <v>0</v>
      </c>
      <c r="AF55" s="3209">
        <f t="shared" si="424"/>
        <v>52.744409249999997</v>
      </c>
      <c r="AG55" s="3209">
        <f t="shared" si="425"/>
        <v>52.744409249999997</v>
      </c>
      <c r="AH55" s="3209">
        <f t="shared" si="426"/>
        <v>0</v>
      </c>
      <c r="AI55" s="3264">
        <f t="shared" si="531"/>
        <v>44.86</v>
      </c>
      <c r="AJ55" s="3264">
        <f t="shared" si="532"/>
        <v>44.86</v>
      </c>
      <c r="AK55" s="3264">
        <f t="shared" si="533"/>
        <v>0</v>
      </c>
      <c r="AL55" s="3264">
        <f t="shared" si="534"/>
        <v>-7.8844092499999974</v>
      </c>
      <c r="AM55" s="3264">
        <f t="shared" si="535"/>
        <v>-7.8844092499999974</v>
      </c>
      <c r="AN55" s="3264">
        <f t="shared" si="536"/>
        <v>0</v>
      </c>
      <c r="AO55" s="3208">
        <f t="shared" si="573"/>
        <v>26.372204624999998</v>
      </c>
      <c r="AP55" s="3208">
        <f t="shared" si="574"/>
        <v>26.372204624999998</v>
      </c>
      <c r="AQ55" s="3208">
        <f t="shared" si="575"/>
        <v>0</v>
      </c>
      <c r="AR55" s="3136">
        <f t="shared" si="538"/>
        <v>0</v>
      </c>
      <c r="AS55" s="3137"/>
      <c r="AT55" s="3137"/>
      <c r="AU55" s="3136">
        <f t="shared" si="540"/>
        <v>0</v>
      </c>
      <c r="AV55" s="3137"/>
      <c r="AW55" s="3137"/>
      <c r="AX55" s="3136">
        <f t="shared" si="542"/>
        <v>22.43</v>
      </c>
      <c r="AY55" s="3137">
        <v>22.43</v>
      </c>
      <c r="AZ55" s="3137"/>
      <c r="BA55" s="3136">
        <f t="shared" si="544"/>
        <v>22.43</v>
      </c>
      <c r="BB55" s="3136">
        <f t="shared" si="545"/>
        <v>22.43</v>
      </c>
      <c r="BC55" s="3136">
        <f t="shared" si="546"/>
        <v>0</v>
      </c>
      <c r="BD55" s="3209">
        <f t="shared" si="257"/>
        <v>79.116613874999999</v>
      </c>
      <c r="BE55" s="3209">
        <f t="shared" si="258"/>
        <v>79.116613874999999</v>
      </c>
      <c r="BF55" s="3209">
        <f t="shared" si="259"/>
        <v>0</v>
      </c>
      <c r="BG55" s="3264">
        <f t="shared" si="547"/>
        <v>67.289999999999992</v>
      </c>
      <c r="BH55" s="3264">
        <f t="shared" si="548"/>
        <v>67.289999999999992</v>
      </c>
      <c r="BI55" s="3264">
        <f t="shared" si="549"/>
        <v>0</v>
      </c>
      <c r="BJ55" s="3264">
        <f t="shared" si="550"/>
        <v>-11.826613875000007</v>
      </c>
      <c r="BK55" s="3264">
        <f t="shared" si="551"/>
        <v>-11.826613875000007</v>
      </c>
      <c r="BL55" s="3264">
        <f t="shared" si="552"/>
        <v>0</v>
      </c>
      <c r="BM55" s="3208">
        <f t="shared" si="576"/>
        <v>26.372204624999998</v>
      </c>
      <c r="BN55" s="3208">
        <f t="shared" si="577"/>
        <v>26.372204624999998</v>
      </c>
      <c r="BO55" s="3208">
        <f t="shared" si="578"/>
        <v>0</v>
      </c>
      <c r="BP55" s="3136">
        <f t="shared" si="554"/>
        <v>0</v>
      </c>
      <c r="BQ55" s="3137"/>
      <c r="BR55" s="3137"/>
      <c r="BS55" s="3136">
        <f t="shared" si="556"/>
        <v>0</v>
      </c>
      <c r="BT55" s="3137"/>
      <c r="BU55" s="3137"/>
      <c r="BV55" s="3136">
        <f t="shared" si="558"/>
        <v>0</v>
      </c>
      <c r="BW55" s="3137"/>
      <c r="BX55" s="3137"/>
      <c r="BY55" s="3136">
        <f t="shared" si="560"/>
        <v>0</v>
      </c>
      <c r="BZ55" s="3136">
        <f t="shared" si="561"/>
        <v>0</v>
      </c>
      <c r="CA55" s="3136">
        <f t="shared" si="562"/>
        <v>0</v>
      </c>
      <c r="CB55" s="3209">
        <f>SUM(CC55:CD55)</f>
        <v>105.48881849999999</v>
      </c>
      <c r="CC55" s="3209">
        <f>SUM(стоки!BN48)</f>
        <v>105.48881849999999</v>
      </c>
      <c r="CD55" s="3209">
        <f>SUM(стоки!BO48)</f>
        <v>0</v>
      </c>
      <c r="CE55" s="3264">
        <f t="shared" si="579"/>
        <v>67.289999999999992</v>
      </c>
      <c r="CF55" s="3264">
        <f t="shared" si="580"/>
        <v>67.289999999999992</v>
      </c>
      <c r="CG55" s="3264">
        <f t="shared" si="581"/>
        <v>0</v>
      </c>
      <c r="CH55" s="3264">
        <f t="shared" si="564"/>
        <v>-38.198818500000002</v>
      </c>
      <c r="CI55" s="3264">
        <f t="shared" si="565"/>
        <v>-38.198818500000002</v>
      </c>
      <c r="CJ55" s="3264">
        <f t="shared" si="566"/>
        <v>0</v>
      </c>
      <c r="CK55" s="3259"/>
      <c r="CL55" s="3259"/>
      <c r="CM55" s="3259"/>
    </row>
    <row r="56" spans="1:91" ht="18.75" customHeight="1" x14ac:dyDescent="0.3">
      <c r="A56" s="3172" t="s">
        <v>604</v>
      </c>
      <c r="B56" s="3208">
        <f t="shared" si="567"/>
        <v>7.3175000000000008</v>
      </c>
      <c r="C56" s="3208">
        <f t="shared" si="568"/>
        <v>7.2746934843104549</v>
      </c>
      <c r="D56" s="3208">
        <f t="shared" si="569"/>
        <v>4.2806515689546035E-2</v>
      </c>
      <c r="E56" s="3136">
        <f t="shared" si="510"/>
        <v>7.67</v>
      </c>
      <c r="F56" s="3137">
        <v>7.67</v>
      </c>
      <c r="G56" s="3137"/>
      <c r="H56" s="3136">
        <f t="shared" si="512"/>
        <v>0</v>
      </c>
      <c r="I56" s="3137"/>
      <c r="J56" s="3137"/>
      <c r="K56" s="3136">
        <f t="shared" si="515"/>
        <v>0</v>
      </c>
      <c r="L56" s="3137"/>
      <c r="M56" s="3137"/>
      <c r="N56" s="3136">
        <f t="shared" si="518"/>
        <v>7.67</v>
      </c>
      <c r="O56" s="3136">
        <f t="shared" si="519"/>
        <v>7.67</v>
      </c>
      <c r="P56" s="3136">
        <f t="shared" si="520"/>
        <v>0</v>
      </c>
      <c r="Q56" s="3208">
        <f t="shared" si="570"/>
        <v>7.3175000000000008</v>
      </c>
      <c r="R56" s="3208">
        <f t="shared" si="571"/>
        <v>7.2746934843104549</v>
      </c>
      <c r="S56" s="3208">
        <f t="shared" si="572"/>
        <v>4.2806515689546035E-2</v>
      </c>
      <c r="T56" s="3136">
        <f t="shared" si="522"/>
        <v>0</v>
      </c>
      <c r="U56" s="3137"/>
      <c r="V56" s="3137"/>
      <c r="W56" s="3136">
        <f t="shared" si="524"/>
        <v>0</v>
      </c>
      <c r="X56" s="3137"/>
      <c r="Y56" s="3137"/>
      <c r="Z56" s="3136">
        <f t="shared" si="526"/>
        <v>0</v>
      </c>
      <c r="AA56" s="3137"/>
      <c r="AB56" s="3137"/>
      <c r="AC56" s="3136">
        <f t="shared" si="528"/>
        <v>0</v>
      </c>
      <c r="AD56" s="3136">
        <f t="shared" si="529"/>
        <v>0</v>
      </c>
      <c r="AE56" s="3136">
        <f t="shared" si="530"/>
        <v>0</v>
      </c>
      <c r="AF56" s="3209">
        <f t="shared" si="424"/>
        <v>14.635000000000002</v>
      </c>
      <c r="AG56" s="3209">
        <f t="shared" si="425"/>
        <v>14.54938696862091</v>
      </c>
      <c r="AH56" s="3209">
        <f t="shared" si="426"/>
        <v>8.5613031379092069E-2</v>
      </c>
      <c r="AI56" s="3264">
        <f t="shared" si="531"/>
        <v>7.67</v>
      </c>
      <c r="AJ56" s="3264">
        <f t="shared" si="532"/>
        <v>7.67</v>
      </c>
      <c r="AK56" s="3264">
        <f t="shared" si="533"/>
        <v>0</v>
      </c>
      <c r="AL56" s="3264">
        <f t="shared" si="534"/>
        <v>-6.9650000000000016</v>
      </c>
      <c r="AM56" s="3264">
        <f t="shared" si="535"/>
        <v>-6.8793869686209099</v>
      </c>
      <c r="AN56" s="3264">
        <f t="shared" si="536"/>
        <v>-8.5613031379092069E-2</v>
      </c>
      <c r="AO56" s="3208">
        <f t="shared" si="573"/>
        <v>7.3175000000000008</v>
      </c>
      <c r="AP56" s="3208">
        <f t="shared" si="574"/>
        <v>7.2746934843104549</v>
      </c>
      <c r="AQ56" s="3208">
        <f t="shared" si="575"/>
        <v>4.2806515689546035E-2</v>
      </c>
      <c r="AR56" s="3136">
        <f t="shared" si="538"/>
        <v>0.92</v>
      </c>
      <c r="AS56" s="3137">
        <v>0.92</v>
      </c>
      <c r="AT56" s="3137"/>
      <c r="AU56" s="3136">
        <f t="shared" si="540"/>
        <v>6.12</v>
      </c>
      <c r="AV56" s="3137">
        <v>6.12</v>
      </c>
      <c r="AW56" s="3137"/>
      <c r="AX56" s="3136">
        <f t="shared" si="542"/>
        <v>11.67</v>
      </c>
      <c r="AY56" s="3137">
        <v>11.67</v>
      </c>
      <c r="AZ56" s="3137"/>
      <c r="BA56" s="3136">
        <f t="shared" si="544"/>
        <v>18.71</v>
      </c>
      <c r="BB56" s="3136">
        <f t="shared" si="545"/>
        <v>18.71</v>
      </c>
      <c r="BC56" s="3136">
        <f t="shared" si="546"/>
        <v>0</v>
      </c>
      <c r="BD56" s="3209">
        <f t="shared" si="257"/>
        <v>21.952500000000004</v>
      </c>
      <c r="BE56" s="3209">
        <f t="shared" si="258"/>
        <v>21.824080452931366</v>
      </c>
      <c r="BF56" s="3209">
        <f t="shared" si="259"/>
        <v>0.12841954706863812</v>
      </c>
      <c r="BG56" s="3264">
        <f t="shared" si="547"/>
        <v>26.380000000000003</v>
      </c>
      <c r="BH56" s="3264">
        <f t="shared" si="548"/>
        <v>26.380000000000003</v>
      </c>
      <c r="BI56" s="3264">
        <f t="shared" si="549"/>
        <v>0</v>
      </c>
      <c r="BJ56" s="3264">
        <f t="shared" si="550"/>
        <v>4.4274999999999984</v>
      </c>
      <c r="BK56" s="3264">
        <f t="shared" si="551"/>
        <v>4.5559195470686369</v>
      </c>
      <c r="BL56" s="3264">
        <f t="shared" si="552"/>
        <v>-0.12841954706863812</v>
      </c>
      <c r="BM56" s="3208">
        <f t="shared" si="576"/>
        <v>7.3175000000000008</v>
      </c>
      <c r="BN56" s="3208">
        <f t="shared" si="577"/>
        <v>7.2746934843104549</v>
      </c>
      <c r="BO56" s="3208">
        <f t="shared" si="578"/>
        <v>4.2806515689546035E-2</v>
      </c>
      <c r="BP56" s="3136">
        <f t="shared" si="554"/>
        <v>0</v>
      </c>
      <c r="BQ56" s="3137"/>
      <c r="BR56" s="3137"/>
      <c r="BS56" s="3136">
        <f t="shared" si="556"/>
        <v>0</v>
      </c>
      <c r="BT56" s="3137"/>
      <c r="BU56" s="3137"/>
      <c r="BV56" s="3136">
        <f t="shared" si="558"/>
        <v>0</v>
      </c>
      <c r="BW56" s="3137"/>
      <c r="BX56" s="3137"/>
      <c r="BY56" s="3136">
        <f t="shared" si="560"/>
        <v>0</v>
      </c>
      <c r="BZ56" s="3136">
        <f t="shared" si="561"/>
        <v>0</v>
      </c>
      <c r="CA56" s="3136">
        <f t="shared" si="562"/>
        <v>0</v>
      </c>
      <c r="CB56" s="3209">
        <v>29.27</v>
      </c>
      <c r="CC56" s="3209">
        <f>SUM(CB56/CB9*CC9)</f>
        <v>29.09877393724182</v>
      </c>
      <c r="CD56" s="3209">
        <f>SUM(CB56/CB9*CD9)</f>
        <v>0.17122606275818414</v>
      </c>
      <c r="CE56" s="3264">
        <f t="shared" si="579"/>
        <v>26.380000000000003</v>
      </c>
      <c r="CF56" s="3264">
        <f t="shared" si="580"/>
        <v>26.380000000000003</v>
      </c>
      <c r="CG56" s="3264">
        <f t="shared" si="581"/>
        <v>0</v>
      </c>
      <c r="CH56" s="3264">
        <f t="shared" si="564"/>
        <v>-2.889999999999997</v>
      </c>
      <c r="CI56" s="3264">
        <f t="shared" si="565"/>
        <v>-2.7187739372418172</v>
      </c>
      <c r="CJ56" s="3264">
        <f t="shared" si="566"/>
        <v>-0.17122606275818414</v>
      </c>
      <c r="CK56" s="3259"/>
      <c r="CL56" s="3259"/>
      <c r="CM56" s="3259"/>
    </row>
    <row r="57" spans="1:91" ht="18.75" customHeight="1" x14ac:dyDescent="0.3">
      <c r="A57" s="3172" t="s">
        <v>3661</v>
      </c>
      <c r="B57" s="3208">
        <f t="shared" si="567"/>
        <v>66.905000000000001</v>
      </c>
      <c r="C57" s="3208">
        <f t="shared" si="568"/>
        <v>66.51361360680437</v>
      </c>
      <c r="D57" s="3208">
        <f t="shared" si="569"/>
        <v>0.39138639319563751</v>
      </c>
      <c r="E57" s="3136">
        <f t="shared" si="510"/>
        <v>0.35</v>
      </c>
      <c r="F57" s="3137">
        <v>0.35</v>
      </c>
      <c r="G57" s="3137"/>
      <c r="H57" s="3136">
        <f t="shared" si="512"/>
        <v>0.35</v>
      </c>
      <c r="I57" s="3137">
        <v>0.35</v>
      </c>
      <c r="J57" s="3137"/>
      <c r="K57" s="3136">
        <f t="shared" si="515"/>
        <v>62.24</v>
      </c>
      <c r="L57" s="3137">
        <f>0.35+61.89</f>
        <v>62.24</v>
      </c>
      <c r="M57" s="3137"/>
      <c r="N57" s="3136">
        <f t="shared" si="518"/>
        <v>62.940000000000005</v>
      </c>
      <c r="O57" s="3136">
        <f t="shared" si="519"/>
        <v>62.940000000000005</v>
      </c>
      <c r="P57" s="3136">
        <f t="shared" si="520"/>
        <v>0</v>
      </c>
      <c r="Q57" s="3208">
        <f t="shared" si="570"/>
        <v>66.905000000000001</v>
      </c>
      <c r="R57" s="3208">
        <f t="shared" si="571"/>
        <v>66.51361360680437</v>
      </c>
      <c r="S57" s="3208">
        <f t="shared" si="572"/>
        <v>0.39138639319563751</v>
      </c>
      <c r="T57" s="3136">
        <f t="shared" si="522"/>
        <v>0.35</v>
      </c>
      <c r="U57" s="3137">
        <v>0.35</v>
      </c>
      <c r="V57" s="3137"/>
      <c r="W57" s="3136">
        <f t="shared" si="524"/>
        <v>0.35</v>
      </c>
      <c r="X57" s="3137">
        <f>0.35</f>
        <v>0.35</v>
      </c>
      <c r="Y57" s="3137"/>
      <c r="Z57" s="3136">
        <f t="shared" si="526"/>
        <v>22.03</v>
      </c>
      <c r="AA57" s="3137">
        <f>0.35+21.68</f>
        <v>22.03</v>
      </c>
      <c r="AB57" s="3137"/>
      <c r="AC57" s="3136">
        <f t="shared" si="528"/>
        <v>22.73</v>
      </c>
      <c r="AD57" s="3136">
        <f t="shared" si="529"/>
        <v>22.73</v>
      </c>
      <c r="AE57" s="3136">
        <f t="shared" si="530"/>
        <v>0</v>
      </c>
      <c r="AF57" s="3209">
        <f t="shared" si="424"/>
        <v>133.81</v>
      </c>
      <c r="AG57" s="3209">
        <f t="shared" si="425"/>
        <v>133.02722721360874</v>
      </c>
      <c r="AH57" s="3209">
        <f t="shared" si="426"/>
        <v>0.78277278639127501</v>
      </c>
      <c r="AI57" s="3264">
        <f t="shared" si="531"/>
        <v>85.67</v>
      </c>
      <c r="AJ57" s="3264">
        <f t="shared" si="532"/>
        <v>85.67</v>
      </c>
      <c r="AK57" s="3264">
        <f t="shared" si="533"/>
        <v>0</v>
      </c>
      <c r="AL57" s="3264">
        <f t="shared" si="534"/>
        <v>-48.14</v>
      </c>
      <c r="AM57" s="3264">
        <f t="shared" si="535"/>
        <v>-47.357227213608738</v>
      </c>
      <c r="AN57" s="3264">
        <f t="shared" si="536"/>
        <v>-0.78277278639127501</v>
      </c>
      <c r="AO57" s="3208">
        <f t="shared" si="573"/>
        <v>66.905000000000001</v>
      </c>
      <c r="AP57" s="3208">
        <f t="shared" si="574"/>
        <v>66.51361360680437</v>
      </c>
      <c r="AQ57" s="3208">
        <f t="shared" si="575"/>
        <v>0.39138639319563751</v>
      </c>
      <c r="AR57" s="3136">
        <f t="shared" si="538"/>
        <v>0.35</v>
      </c>
      <c r="AS57" s="3137">
        <v>0.35</v>
      </c>
      <c r="AT57" s="3137"/>
      <c r="AU57" s="3136">
        <f t="shared" si="540"/>
        <v>18.899999999999999</v>
      </c>
      <c r="AV57" s="3137">
        <v>18.899999999999999</v>
      </c>
      <c r="AW57" s="3137"/>
      <c r="AX57" s="3136">
        <f t="shared" si="542"/>
        <v>0</v>
      </c>
      <c r="AY57" s="3137"/>
      <c r="AZ57" s="3137"/>
      <c r="BA57" s="3136">
        <f t="shared" si="544"/>
        <v>19.25</v>
      </c>
      <c r="BB57" s="3136">
        <f t="shared" si="545"/>
        <v>19.25</v>
      </c>
      <c r="BC57" s="3136">
        <f t="shared" si="546"/>
        <v>0</v>
      </c>
      <c r="BD57" s="3209">
        <f t="shared" si="257"/>
        <v>200.71500000000003</v>
      </c>
      <c r="BE57" s="3209">
        <f t="shared" si="258"/>
        <v>199.54084082041311</v>
      </c>
      <c r="BF57" s="3209">
        <f t="shared" si="259"/>
        <v>1.1741591795869124</v>
      </c>
      <c r="BG57" s="3264">
        <f t="shared" si="547"/>
        <v>104.92</v>
      </c>
      <c r="BH57" s="3264">
        <f t="shared" si="548"/>
        <v>104.92</v>
      </c>
      <c r="BI57" s="3264">
        <f t="shared" si="549"/>
        <v>0</v>
      </c>
      <c r="BJ57" s="3264">
        <f t="shared" si="550"/>
        <v>-95.79500000000003</v>
      </c>
      <c r="BK57" s="3264">
        <f t="shared" si="551"/>
        <v>-94.620840820413108</v>
      </c>
      <c r="BL57" s="3264">
        <f t="shared" si="552"/>
        <v>-1.1741591795869124</v>
      </c>
      <c r="BM57" s="3208">
        <f t="shared" si="576"/>
        <v>66.905000000000001</v>
      </c>
      <c r="BN57" s="3208">
        <f t="shared" si="577"/>
        <v>66.51361360680437</v>
      </c>
      <c r="BO57" s="3208">
        <f t="shared" si="578"/>
        <v>0.39138639319563751</v>
      </c>
      <c r="BP57" s="3136">
        <f t="shared" si="554"/>
        <v>0</v>
      </c>
      <c r="BQ57" s="3137"/>
      <c r="BR57" s="3137"/>
      <c r="BS57" s="3136">
        <f t="shared" si="556"/>
        <v>0</v>
      </c>
      <c r="BT57" s="3137"/>
      <c r="BU57" s="3137"/>
      <c r="BV57" s="3136">
        <f t="shared" si="558"/>
        <v>0</v>
      </c>
      <c r="BW57" s="3137"/>
      <c r="BX57" s="3137"/>
      <c r="BY57" s="3136">
        <f t="shared" si="560"/>
        <v>0</v>
      </c>
      <c r="BZ57" s="3136">
        <f t="shared" si="561"/>
        <v>0</v>
      </c>
      <c r="CA57" s="3136">
        <f t="shared" si="562"/>
        <v>0</v>
      </c>
      <c r="CB57" s="3209">
        <v>267.62</v>
      </c>
      <c r="CC57" s="3209">
        <f>SUM(CB57/CB9*CC9)</f>
        <v>266.05445442721748</v>
      </c>
      <c r="CD57" s="3209">
        <f>SUM(CB57/CB9*CD9)</f>
        <v>1.56554557278255</v>
      </c>
      <c r="CE57" s="3264">
        <f t="shared" si="579"/>
        <v>104.92</v>
      </c>
      <c r="CF57" s="3264">
        <f t="shared" si="580"/>
        <v>104.92</v>
      </c>
      <c r="CG57" s="3264">
        <f t="shared" si="581"/>
        <v>0</v>
      </c>
      <c r="CH57" s="3264">
        <f t="shared" si="564"/>
        <v>-162.69999999999999</v>
      </c>
      <c r="CI57" s="3264">
        <f t="shared" si="565"/>
        <v>-161.13445442721746</v>
      </c>
      <c r="CJ57" s="3264">
        <f t="shared" si="566"/>
        <v>-1.56554557278255</v>
      </c>
      <c r="CK57" s="3259"/>
      <c r="CL57" s="3259"/>
      <c r="CM57" s="3259"/>
    </row>
    <row r="58" spans="1:91" ht="18.75" customHeight="1" x14ac:dyDescent="0.3">
      <c r="A58" s="3172" t="s">
        <v>611</v>
      </c>
      <c r="B58" s="3208">
        <f t="shared" si="567"/>
        <v>0</v>
      </c>
      <c r="C58" s="3208">
        <f t="shared" si="568"/>
        <v>0</v>
      </c>
      <c r="D58" s="3208">
        <f t="shared" si="569"/>
        <v>0</v>
      </c>
      <c r="E58" s="3136">
        <f t="shared" si="510"/>
        <v>36.56</v>
      </c>
      <c r="F58" s="3137">
        <v>36.56</v>
      </c>
      <c r="G58" s="3137"/>
      <c r="H58" s="3136">
        <f t="shared" si="512"/>
        <v>41.52</v>
      </c>
      <c r="I58" s="3137">
        <v>41.52</v>
      </c>
      <c r="J58" s="3137"/>
      <c r="K58" s="3136">
        <f t="shared" si="515"/>
        <v>39.04</v>
      </c>
      <c r="L58" s="3137">
        <v>39.04</v>
      </c>
      <c r="M58" s="3137"/>
      <c r="N58" s="3136">
        <f t="shared" si="518"/>
        <v>117.12</v>
      </c>
      <c r="O58" s="3136">
        <f t="shared" si="519"/>
        <v>117.12</v>
      </c>
      <c r="P58" s="3136">
        <f t="shared" si="520"/>
        <v>0</v>
      </c>
      <c r="Q58" s="3208">
        <f t="shared" si="570"/>
        <v>0</v>
      </c>
      <c r="R58" s="3208">
        <f t="shared" si="571"/>
        <v>0</v>
      </c>
      <c r="S58" s="3208">
        <f t="shared" si="572"/>
        <v>0</v>
      </c>
      <c r="T58" s="3136">
        <f t="shared" si="522"/>
        <v>37.64</v>
      </c>
      <c r="U58" s="3137">
        <v>37.64</v>
      </c>
      <c r="V58" s="3137"/>
      <c r="W58" s="3136">
        <f t="shared" si="524"/>
        <v>37.72</v>
      </c>
      <c r="X58" s="3137">
        <v>37.72</v>
      </c>
      <c r="Y58" s="3137"/>
      <c r="Z58" s="3136">
        <f t="shared" si="526"/>
        <v>37.24</v>
      </c>
      <c r="AA58" s="3137">
        <v>37.24</v>
      </c>
      <c r="AB58" s="3137"/>
      <c r="AC58" s="3136">
        <f t="shared" si="528"/>
        <v>112.6</v>
      </c>
      <c r="AD58" s="3136">
        <f t="shared" si="529"/>
        <v>112.6</v>
      </c>
      <c r="AE58" s="3136">
        <f t="shared" si="530"/>
        <v>0</v>
      </c>
      <c r="AF58" s="3209">
        <f t="shared" si="424"/>
        <v>0</v>
      </c>
      <c r="AG58" s="3209">
        <f t="shared" si="425"/>
        <v>0</v>
      </c>
      <c r="AH58" s="3209">
        <f t="shared" si="426"/>
        <v>0</v>
      </c>
      <c r="AI58" s="3264">
        <f t="shared" si="531"/>
        <v>229.72</v>
      </c>
      <c r="AJ58" s="3264">
        <f t="shared" si="532"/>
        <v>229.72</v>
      </c>
      <c r="AK58" s="3264">
        <f t="shared" si="533"/>
        <v>0</v>
      </c>
      <c r="AL58" s="3264">
        <f t="shared" si="534"/>
        <v>229.72</v>
      </c>
      <c r="AM58" s="3264">
        <f t="shared" si="535"/>
        <v>229.72</v>
      </c>
      <c r="AN58" s="3264">
        <f t="shared" si="536"/>
        <v>0</v>
      </c>
      <c r="AO58" s="3208">
        <f t="shared" si="573"/>
        <v>0</v>
      </c>
      <c r="AP58" s="3208">
        <f t="shared" si="574"/>
        <v>0</v>
      </c>
      <c r="AQ58" s="3208">
        <f t="shared" si="575"/>
        <v>0</v>
      </c>
      <c r="AR58" s="3136">
        <f t="shared" si="538"/>
        <v>36.54</v>
      </c>
      <c r="AS58" s="3137">
        <v>36.54</v>
      </c>
      <c r="AT58" s="3137"/>
      <c r="AU58" s="3136">
        <f t="shared" si="540"/>
        <v>32.85</v>
      </c>
      <c r="AV58" s="3137">
        <v>32.85</v>
      </c>
      <c r="AW58" s="3137"/>
      <c r="AX58" s="3136">
        <f t="shared" si="542"/>
        <v>36.81</v>
      </c>
      <c r="AY58" s="3137">
        <v>36.81</v>
      </c>
      <c r="AZ58" s="3137"/>
      <c r="BA58" s="3136">
        <f t="shared" si="544"/>
        <v>106.2</v>
      </c>
      <c r="BB58" s="3136">
        <f t="shared" si="545"/>
        <v>106.2</v>
      </c>
      <c r="BC58" s="3136">
        <f t="shared" si="546"/>
        <v>0</v>
      </c>
      <c r="BD58" s="3209">
        <f t="shared" si="257"/>
        <v>0</v>
      </c>
      <c r="BE58" s="3209">
        <f t="shared" si="258"/>
        <v>0</v>
      </c>
      <c r="BF58" s="3209">
        <f t="shared" si="259"/>
        <v>0</v>
      </c>
      <c r="BG58" s="3264">
        <f t="shared" si="547"/>
        <v>335.92</v>
      </c>
      <c r="BH58" s="3264">
        <f t="shared" si="548"/>
        <v>335.92</v>
      </c>
      <c r="BI58" s="3264">
        <f t="shared" si="549"/>
        <v>0</v>
      </c>
      <c r="BJ58" s="3264">
        <f t="shared" si="550"/>
        <v>335.92</v>
      </c>
      <c r="BK58" s="3264">
        <f t="shared" si="551"/>
        <v>335.92</v>
      </c>
      <c r="BL58" s="3264">
        <f t="shared" si="552"/>
        <v>0</v>
      </c>
      <c r="BM58" s="3208">
        <f t="shared" si="576"/>
        <v>0</v>
      </c>
      <c r="BN58" s="3208">
        <f t="shared" si="577"/>
        <v>0</v>
      </c>
      <c r="BO58" s="3208">
        <f t="shared" si="578"/>
        <v>0</v>
      </c>
      <c r="BP58" s="3136">
        <f t="shared" si="554"/>
        <v>0</v>
      </c>
      <c r="BQ58" s="3137"/>
      <c r="BR58" s="3137"/>
      <c r="BS58" s="3136">
        <f t="shared" si="556"/>
        <v>0</v>
      </c>
      <c r="BT58" s="3137"/>
      <c r="BU58" s="3137"/>
      <c r="BV58" s="3136">
        <f t="shared" si="558"/>
        <v>0</v>
      </c>
      <c r="BW58" s="3137"/>
      <c r="BX58" s="3137"/>
      <c r="BY58" s="3136">
        <f t="shared" si="560"/>
        <v>0</v>
      </c>
      <c r="BZ58" s="3136">
        <f t="shared" si="561"/>
        <v>0</v>
      </c>
      <c r="CA58" s="3136">
        <f t="shared" si="562"/>
        <v>0</v>
      </c>
      <c r="CB58" s="3209">
        <v>0</v>
      </c>
      <c r="CC58" s="3209">
        <f>SUM(CB58/CB9*CC9)</f>
        <v>0</v>
      </c>
      <c r="CD58" s="3209">
        <f>SUM(CB58/CB9*CD9)</f>
        <v>0</v>
      </c>
      <c r="CE58" s="3264">
        <f t="shared" si="579"/>
        <v>335.92</v>
      </c>
      <c r="CF58" s="3264">
        <f t="shared" si="580"/>
        <v>335.92</v>
      </c>
      <c r="CG58" s="3264">
        <f t="shared" si="581"/>
        <v>0</v>
      </c>
      <c r="CH58" s="3264">
        <f t="shared" si="564"/>
        <v>335.92</v>
      </c>
      <c r="CI58" s="3264">
        <f t="shared" si="565"/>
        <v>335.92</v>
      </c>
      <c r="CJ58" s="3264">
        <f t="shared" si="566"/>
        <v>0</v>
      </c>
      <c r="CK58" s="3259"/>
      <c r="CL58" s="3259"/>
      <c r="CM58" s="3259"/>
    </row>
    <row r="59" spans="1:91" ht="18.75" customHeight="1" x14ac:dyDescent="0.3">
      <c r="A59" s="3172" t="s">
        <v>608</v>
      </c>
      <c r="B59" s="3208">
        <f t="shared" si="567"/>
        <v>0</v>
      </c>
      <c r="C59" s="3208">
        <f t="shared" si="568"/>
        <v>0</v>
      </c>
      <c r="D59" s="3208">
        <f t="shared" si="569"/>
        <v>0</v>
      </c>
      <c r="E59" s="3136">
        <f t="shared" si="510"/>
        <v>0</v>
      </c>
      <c r="F59" s="3137"/>
      <c r="G59" s="3137"/>
      <c r="H59" s="3136">
        <f t="shared" si="512"/>
        <v>8.92</v>
      </c>
      <c r="I59" s="3137">
        <v>8.92</v>
      </c>
      <c r="J59" s="3137"/>
      <c r="K59" s="3136">
        <f t="shared" si="515"/>
        <v>8.85</v>
      </c>
      <c r="L59" s="3137">
        <v>8.85</v>
      </c>
      <c r="M59" s="3137"/>
      <c r="N59" s="3136">
        <f t="shared" si="518"/>
        <v>17.77</v>
      </c>
      <c r="O59" s="3136">
        <f t="shared" si="519"/>
        <v>17.77</v>
      </c>
      <c r="P59" s="3136">
        <f t="shared" si="520"/>
        <v>0</v>
      </c>
      <c r="Q59" s="3208">
        <f t="shared" si="570"/>
        <v>0</v>
      </c>
      <c r="R59" s="3208">
        <f t="shared" si="571"/>
        <v>0</v>
      </c>
      <c r="S59" s="3208">
        <f t="shared" si="572"/>
        <v>0</v>
      </c>
      <c r="T59" s="3136">
        <f t="shared" si="522"/>
        <v>8.3000000000000007</v>
      </c>
      <c r="U59" s="3137">
        <v>8.3000000000000007</v>
      </c>
      <c r="V59" s="3137"/>
      <c r="W59" s="3136">
        <f t="shared" si="524"/>
        <v>8.34</v>
      </c>
      <c r="X59" s="3137">
        <v>8.34</v>
      </c>
      <c r="Y59" s="3137"/>
      <c r="Z59" s="3136">
        <f t="shared" si="526"/>
        <v>8.11</v>
      </c>
      <c r="AA59" s="3137">
        <v>8.11</v>
      </c>
      <c r="AB59" s="3137"/>
      <c r="AC59" s="3136">
        <f t="shared" si="528"/>
        <v>24.75</v>
      </c>
      <c r="AD59" s="3136">
        <f t="shared" si="529"/>
        <v>24.75</v>
      </c>
      <c r="AE59" s="3136">
        <f t="shared" si="530"/>
        <v>0</v>
      </c>
      <c r="AF59" s="3209">
        <f t="shared" si="424"/>
        <v>0</v>
      </c>
      <c r="AG59" s="3209">
        <f t="shared" si="425"/>
        <v>0</v>
      </c>
      <c r="AH59" s="3209">
        <f t="shared" si="426"/>
        <v>0</v>
      </c>
      <c r="AI59" s="3264">
        <f t="shared" si="531"/>
        <v>42.519999999999996</v>
      </c>
      <c r="AJ59" s="3264">
        <f t="shared" si="532"/>
        <v>42.519999999999996</v>
      </c>
      <c r="AK59" s="3264">
        <f t="shared" si="533"/>
        <v>0</v>
      </c>
      <c r="AL59" s="3264">
        <f t="shared" si="534"/>
        <v>42.519999999999996</v>
      </c>
      <c r="AM59" s="3264">
        <f t="shared" si="535"/>
        <v>42.519999999999996</v>
      </c>
      <c r="AN59" s="3264">
        <f t="shared" si="536"/>
        <v>0</v>
      </c>
      <c r="AO59" s="3208">
        <f t="shared" si="573"/>
        <v>0</v>
      </c>
      <c r="AP59" s="3208">
        <f t="shared" si="574"/>
        <v>0</v>
      </c>
      <c r="AQ59" s="3208">
        <f t="shared" si="575"/>
        <v>0</v>
      </c>
      <c r="AR59" s="3136">
        <f t="shared" si="538"/>
        <v>8.06</v>
      </c>
      <c r="AS59" s="3137">
        <v>8.06</v>
      </c>
      <c r="AT59" s="3137"/>
      <c r="AU59" s="3136">
        <f t="shared" si="540"/>
        <v>7.99</v>
      </c>
      <c r="AV59" s="3137">
        <v>7.99</v>
      </c>
      <c r="AW59" s="3137"/>
      <c r="AX59" s="3136">
        <f t="shared" si="542"/>
        <v>8.19</v>
      </c>
      <c r="AY59" s="3137">
        <v>8.19</v>
      </c>
      <c r="AZ59" s="3137"/>
      <c r="BA59" s="3136">
        <f t="shared" si="544"/>
        <v>24.240000000000002</v>
      </c>
      <c r="BB59" s="3136">
        <f t="shared" si="545"/>
        <v>24.240000000000002</v>
      </c>
      <c r="BC59" s="3136">
        <f t="shared" si="546"/>
        <v>0</v>
      </c>
      <c r="BD59" s="3209">
        <f t="shared" si="257"/>
        <v>0</v>
      </c>
      <c r="BE59" s="3209">
        <f t="shared" si="258"/>
        <v>0</v>
      </c>
      <c r="BF59" s="3209">
        <f t="shared" si="259"/>
        <v>0</v>
      </c>
      <c r="BG59" s="3264">
        <f t="shared" si="547"/>
        <v>66.759999999999991</v>
      </c>
      <c r="BH59" s="3264">
        <f t="shared" si="548"/>
        <v>66.759999999999991</v>
      </c>
      <c r="BI59" s="3264">
        <f t="shared" si="549"/>
        <v>0</v>
      </c>
      <c r="BJ59" s="3264">
        <f t="shared" si="550"/>
        <v>66.759999999999991</v>
      </c>
      <c r="BK59" s="3264">
        <f t="shared" si="551"/>
        <v>66.759999999999991</v>
      </c>
      <c r="BL59" s="3264">
        <f t="shared" si="552"/>
        <v>0</v>
      </c>
      <c r="BM59" s="3208">
        <f t="shared" si="576"/>
        <v>0</v>
      </c>
      <c r="BN59" s="3208">
        <f t="shared" si="577"/>
        <v>0</v>
      </c>
      <c r="BO59" s="3208">
        <f t="shared" si="578"/>
        <v>0</v>
      </c>
      <c r="BP59" s="3136">
        <f t="shared" si="554"/>
        <v>0</v>
      </c>
      <c r="BQ59" s="3137"/>
      <c r="BR59" s="3137"/>
      <c r="BS59" s="3136">
        <f t="shared" si="556"/>
        <v>0</v>
      </c>
      <c r="BT59" s="3137"/>
      <c r="BU59" s="3137"/>
      <c r="BV59" s="3136">
        <f t="shared" si="558"/>
        <v>0</v>
      </c>
      <c r="BW59" s="3137"/>
      <c r="BX59" s="3137"/>
      <c r="BY59" s="3136">
        <f t="shared" si="560"/>
        <v>0</v>
      </c>
      <c r="BZ59" s="3136">
        <f t="shared" si="561"/>
        <v>0</v>
      </c>
      <c r="CA59" s="3136">
        <f t="shared" si="562"/>
        <v>0</v>
      </c>
      <c r="CB59" s="3209">
        <v>0</v>
      </c>
      <c r="CC59" s="3209">
        <f>SUM(CB59/CB9*CC9)</f>
        <v>0</v>
      </c>
      <c r="CD59" s="3209">
        <f>SUM(CB59/CB9*CD9)</f>
        <v>0</v>
      </c>
      <c r="CE59" s="3264">
        <f t="shared" si="579"/>
        <v>66.759999999999991</v>
      </c>
      <c r="CF59" s="3264">
        <f t="shared" si="580"/>
        <v>66.759999999999991</v>
      </c>
      <c r="CG59" s="3264">
        <f t="shared" si="581"/>
        <v>0</v>
      </c>
      <c r="CH59" s="3264">
        <f t="shared" si="564"/>
        <v>66.759999999999991</v>
      </c>
      <c r="CI59" s="3264">
        <f t="shared" si="565"/>
        <v>66.759999999999991</v>
      </c>
      <c r="CJ59" s="3264">
        <f t="shared" si="566"/>
        <v>0</v>
      </c>
      <c r="CK59" s="3259"/>
      <c r="CL59" s="3259"/>
      <c r="CM59" s="3259"/>
    </row>
    <row r="60" spans="1:91" ht="18.75" customHeight="1" x14ac:dyDescent="0.3">
      <c r="A60" s="3172" t="s">
        <v>32</v>
      </c>
      <c r="B60" s="3208">
        <f t="shared" si="567"/>
        <v>0</v>
      </c>
      <c r="C60" s="3208">
        <f t="shared" si="568"/>
        <v>0</v>
      </c>
      <c r="D60" s="3208">
        <f t="shared" si="569"/>
        <v>0</v>
      </c>
      <c r="E60" s="3136">
        <f t="shared" si="510"/>
        <v>0</v>
      </c>
      <c r="F60" s="3137"/>
      <c r="G60" s="3137"/>
      <c r="H60" s="3136">
        <f t="shared" si="512"/>
        <v>0</v>
      </c>
      <c r="I60" s="3137"/>
      <c r="J60" s="3137"/>
      <c r="K60" s="3136">
        <f t="shared" si="515"/>
        <v>0</v>
      </c>
      <c r="L60" s="3137"/>
      <c r="M60" s="3137"/>
      <c r="N60" s="3136">
        <f t="shared" si="518"/>
        <v>0</v>
      </c>
      <c r="O60" s="3136">
        <f t="shared" si="519"/>
        <v>0</v>
      </c>
      <c r="P60" s="3136">
        <f t="shared" si="520"/>
        <v>0</v>
      </c>
      <c r="Q60" s="3208">
        <f t="shared" si="570"/>
        <v>0</v>
      </c>
      <c r="R60" s="3208">
        <f t="shared" si="571"/>
        <v>0</v>
      </c>
      <c r="S60" s="3208">
        <f t="shared" si="572"/>
        <v>0</v>
      </c>
      <c r="T60" s="3136">
        <f t="shared" si="522"/>
        <v>0</v>
      </c>
      <c r="U60" s="3137"/>
      <c r="V60" s="3137"/>
      <c r="W60" s="3136">
        <f t="shared" si="524"/>
        <v>0</v>
      </c>
      <c r="X60" s="3137"/>
      <c r="Y60" s="3137"/>
      <c r="Z60" s="3136">
        <f t="shared" si="526"/>
        <v>0</v>
      </c>
      <c r="AA60" s="3137"/>
      <c r="AB60" s="3137"/>
      <c r="AC60" s="3136">
        <f t="shared" si="528"/>
        <v>0</v>
      </c>
      <c r="AD60" s="3136">
        <f t="shared" si="529"/>
        <v>0</v>
      </c>
      <c r="AE60" s="3136">
        <f t="shared" si="530"/>
        <v>0</v>
      </c>
      <c r="AF60" s="3209">
        <f t="shared" si="424"/>
        <v>0</v>
      </c>
      <c r="AG60" s="3209">
        <f t="shared" si="425"/>
        <v>0</v>
      </c>
      <c r="AH60" s="3209">
        <f t="shared" si="426"/>
        <v>0</v>
      </c>
      <c r="AI60" s="3264">
        <f t="shared" si="531"/>
        <v>0</v>
      </c>
      <c r="AJ60" s="3264">
        <f t="shared" si="532"/>
        <v>0</v>
      </c>
      <c r="AK60" s="3264">
        <f t="shared" si="533"/>
        <v>0</v>
      </c>
      <c r="AL60" s="3264">
        <f t="shared" si="534"/>
        <v>0</v>
      </c>
      <c r="AM60" s="3264">
        <f t="shared" si="535"/>
        <v>0</v>
      </c>
      <c r="AN60" s="3264">
        <f t="shared" si="536"/>
        <v>0</v>
      </c>
      <c r="AO60" s="3208">
        <f t="shared" si="573"/>
        <v>0</v>
      </c>
      <c r="AP60" s="3208">
        <f t="shared" si="574"/>
        <v>0</v>
      </c>
      <c r="AQ60" s="3208">
        <f t="shared" si="575"/>
        <v>0</v>
      </c>
      <c r="AR60" s="3136">
        <f t="shared" si="538"/>
        <v>10.5</v>
      </c>
      <c r="AS60" s="3137">
        <v>10.5</v>
      </c>
      <c r="AT60" s="3137"/>
      <c r="AU60" s="3136">
        <f t="shared" si="540"/>
        <v>4.17</v>
      </c>
      <c r="AV60" s="3137">
        <v>4.17</v>
      </c>
      <c r="AW60" s="3137"/>
      <c r="AX60" s="3136">
        <f t="shared" si="542"/>
        <v>0</v>
      </c>
      <c r="AY60" s="3137"/>
      <c r="AZ60" s="3137"/>
      <c r="BA60" s="3136">
        <f t="shared" si="544"/>
        <v>14.67</v>
      </c>
      <c r="BB60" s="3136">
        <f t="shared" si="545"/>
        <v>14.67</v>
      </c>
      <c r="BC60" s="3136">
        <f t="shared" si="546"/>
        <v>0</v>
      </c>
      <c r="BD60" s="3209">
        <f t="shared" si="257"/>
        <v>0</v>
      </c>
      <c r="BE60" s="3209">
        <f t="shared" si="258"/>
        <v>0</v>
      </c>
      <c r="BF60" s="3209">
        <f t="shared" si="259"/>
        <v>0</v>
      </c>
      <c r="BG60" s="3264">
        <f t="shared" si="547"/>
        <v>14.67</v>
      </c>
      <c r="BH60" s="3264">
        <f t="shared" si="548"/>
        <v>14.67</v>
      </c>
      <c r="BI60" s="3264">
        <f t="shared" si="549"/>
        <v>0</v>
      </c>
      <c r="BJ60" s="3264">
        <f t="shared" si="550"/>
        <v>14.67</v>
      </c>
      <c r="BK60" s="3264">
        <f t="shared" si="551"/>
        <v>14.67</v>
      </c>
      <c r="BL60" s="3264">
        <f t="shared" si="552"/>
        <v>0</v>
      </c>
      <c r="BM60" s="3208">
        <f t="shared" si="576"/>
        <v>0</v>
      </c>
      <c r="BN60" s="3208">
        <f t="shared" si="577"/>
        <v>0</v>
      </c>
      <c r="BO60" s="3208">
        <f t="shared" si="578"/>
        <v>0</v>
      </c>
      <c r="BP60" s="3136">
        <f t="shared" si="554"/>
        <v>0</v>
      </c>
      <c r="BQ60" s="3137"/>
      <c r="BR60" s="3137"/>
      <c r="BS60" s="3136">
        <f t="shared" si="556"/>
        <v>0</v>
      </c>
      <c r="BT60" s="3137"/>
      <c r="BU60" s="3137"/>
      <c r="BV60" s="3136">
        <f t="shared" si="558"/>
        <v>0</v>
      </c>
      <c r="BW60" s="3137"/>
      <c r="BX60" s="3137"/>
      <c r="BY60" s="3136">
        <f t="shared" si="560"/>
        <v>0</v>
      </c>
      <c r="BZ60" s="3136">
        <f t="shared" si="561"/>
        <v>0</v>
      </c>
      <c r="CA60" s="3136">
        <f t="shared" si="562"/>
        <v>0</v>
      </c>
      <c r="CB60" s="3209">
        <v>0</v>
      </c>
      <c r="CC60" s="3209">
        <f>SUM(CB60/CB9*CC9)</f>
        <v>0</v>
      </c>
      <c r="CD60" s="3209">
        <f>SUM(CB60/CB9*CD9)</f>
        <v>0</v>
      </c>
      <c r="CE60" s="3264">
        <f t="shared" si="579"/>
        <v>14.67</v>
      </c>
      <c r="CF60" s="3264">
        <f t="shared" si="580"/>
        <v>14.67</v>
      </c>
      <c r="CG60" s="3264">
        <f t="shared" si="581"/>
        <v>0</v>
      </c>
      <c r="CH60" s="3264">
        <f t="shared" si="564"/>
        <v>14.67</v>
      </c>
      <c r="CI60" s="3264">
        <f t="shared" si="565"/>
        <v>14.67</v>
      </c>
      <c r="CJ60" s="3264">
        <f t="shared" si="566"/>
        <v>0</v>
      </c>
      <c r="CK60" s="3259"/>
      <c r="CL60" s="3259"/>
      <c r="CM60" s="3259"/>
    </row>
    <row r="61" spans="1:91" ht="18.75" customHeight="1" x14ac:dyDescent="0.3">
      <c r="A61" s="3172" t="s">
        <v>602</v>
      </c>
      <c r="B61" s="3208">
        <f t="shared" si="567"/>
        <v>236.34700000000004</v>
      </c>
      <c r="C61" s="3277">
        <f t="shared" ref="C61:D61" si="582">SUM(C62:C65)</f>
        <v>234.96439780475887</v>
      </c>
      <c r="D61" s="3277">
        <f t="shared" si="582"/>
        <v>1.3826021952411529</v>
      </c>
      <c r="E61" s="3136">
        <f>SUM(E62:E65)</f>
        <v>80.150000000000006</v>
      </c>
      <c r="F61" s="3136">
        <f t="shared" ref="F61:G61" si="583">SUM(F62:F65)</f>
        <v>80.150000000000006</v>
      </c>
      <c r="G61" s="3136">
        <f t="shared" si="583"/>
        <v>0</v>
      </c>
      <c r="H61" s="3136">
        <f>SUM(H62:H65)</f>
        <v>70.12</v>
      </c>
      <c r="I61" s="3136">
        <f t="shared" ref="I61" si="584">SUM(I62:I65)</f>
        <v>70.12</v>
      </c>
      <c r="J61" s="3136">
        <f t="shared" ref="J61" si="585">SUM(J62:J65)</f>
        <v>0</v>
      </c>
      <c r="K61" s="3136">
        <f>SUM(K62:K65)</f>
        <v>157.53</v>
      </c>
      <c r="L61" s="3136">
        <f t="shared" ref="L61" si="586">SUM(L62:L65)</f>
        <v>157.53</v>
      </c>
      <c r="M61" s="3136">
        <f t="shared" ref="M61" si="587">SUM(M62:M65)</f>
        <v>0</v>
      </c>
      <c r="N61" s="3136">
        <f t="shared" si="518"/>
        <v>307.8</v>
      </c>
      <c r="O61" s="3136">
        <f t="shared" si="519"/>
        <v>307.8</v>
      </c>
      <c r="P61" s="3136">
        <f t="shared" si="520"/>
        <v>0</v>
      </c>
      <c r="Q61" s="3208">
        <f t="shared" si="570"/>
        <v>236.34700000000004</v>
      </c>
      <c r="R61" s="3277">
        <f t="shared" ref="R61:S61" si="588">SUM(R62:R65)</f>
        <v>234.96439780475887</v>
      </c>
      <c r="S61" s="3277">
        <f t="shared" si="588"/>
        <v>1.3826021952411529</v>
      </c>
      <c r="T61" s="3136">
        <f>SUM(T62:T65)</f>
        <v>50.06</v>
      </c>
      <c r="U61" s="3136">
        <f t="shared" ref="U61:V61" si="589">SUM(U62:U65)</f>
        <v>50.06</v>
      </c>
      <c r="V61" s="3136">
        <f t="shared" si="589"/>
        <v>0</v>
      </c>
      <c r="W61" s="3136">
        <f>SUM(W62:W65)</f>
        <v>64.05</v>
      </c>
      <c r="X61" s="3136">
        <f t="shared" ref="X61:Y61" si="590">SUM(X62:X65)</f>
        <v>64.05</v>
      </c>
      <c r="Y61" s="3136">
        <f t="shared" si="590"/>
        <v>0</v>
      </c>
      <c r="Z61" s="3136">
        <f>SUM(Z62:Z65)</f>
        <v>444.44</v>
      </c>
      <c r="AA61" s="3136">
        <f t="shared" ref="AA61:AB61" si="591">SUM(AA62:AA65)</f>
        <v>444.44</v>
      </c>
      <c r="AB61" s="3136">
        <f t="shared" si="591"/>
        <v>0</v>
      </c>
      <c r="AC61" s="3136">
        <f t="shared" si="528"/>
        <v>558.54999999999995</v>
      </c>
      <c r="AD61" s="3136">
        <f t="shared" si="529"/>
        <v>558.54999999999995</v>
      </c>
      <c r="AE61" s="3136">
        <f t="shared" si="530"/>
        <v>0</v>
      </c>
      <c r="AF61" s="3209">
        <f t="shared" si="424"/>
        <v>472.69400000000007</v>
      </c>
      <c r="AG61" s="3209">
        <f t="shared" si="425"/>
        <v>469.92879560951775</v>
      </c>
      <c r="AH61" s="3209">
        <f t="shared" si="426"/>
        <v>2.7652043904823058</v>
      </c>
      <c r="AI61" s="3264">
        <f t="shared" si="531"/>
        <v>866.34999999999991</v>
      </c>
      <c r="AJ61" s="3264">
        <f t="shared" si="532"/>
        <v>866.34999999999991</v>
      </c>
      <c r="AK61" s="3264">
        <f t="shared" si="533"/>
        <v>0</v>
      </c>
      <c r="AL61" s="3264">
        <f t="shared" si="534"/>
        <v>393.65599999999984</v>
      </c>
      <c r="AM61" s="3264">
        <f t="shared" si="535"/>
        <v>396.42120439048216</v>
      </c>
      <c r="AN61" s="3264">
        <f t="shared" si="536"/>
        <v>-2.7652043904823058</v>
      </c>
      <c r="AO61" s="3208">
        <f t="shared" si="573"/>
        <v>236.34700000000004</v>
      </c>
      <c r="AP61" s="3277">
        <f t="shared" ref="AP61:AQ61" si="592">SUM(AP62:AP65)</f>
        <v>234.96439780475887</v>
      </c>
      <c r="AQ61" s="3277">
        <f t="shared" si="592"/>
        <v>1.3826021952411529</v>
      </c>
      <c r="AR61" s="3136">
        <f>SUM(AR62:AR65)</f>
        <v>-20.309999999999999</v>
      </c>
      <c r="AS61" s="3136">
        <f t="shared" ref="AS61:AT61" si="593">SUM(AS62:AS65)</f>
        <v>-20.309999999999999</v>
      </c>
      <c r="AT61" s="3136">
        <f t="shared" si="593"/>
        <v>0</v>
      </c>
      <c r="AU61" s="3136">
        <f>SUM(AU62:AU65)</f>
        <v>7.23</v>
      </c>
      <c r="AV61" s="3136">
        <f t="shared" ref="AV61:AW61" si="594">SUM(AV62:AV65)</f>
        <v>7.23</v>
      </c>
      <c r="AW61" s="3136">
        <f t="shared" si="594"/>
        <v>0</v>
      </c>
      <c r="AX61" s="3136">
        <f>SUM(AX62:AX65)</f>
        <v>30.060000000000002</v>
      </c>
      <c r="AY61" s="3136">
        <f t="shared" ref="AY61:AZ61" si="595">SUM(AY62:AY65)</f>
        <v>30.060000000000002</v>
      </c>
      <c r="AZ61" s="3136">
        <f t="shared" si="595"/>
        <v>0</v>
      </c>
      <c r="BA61" s="3136">
        <f t="shared" si="544"/>
        <v>16.980000000000004</v>
      </c>
      <c r="BB61" s="3136">
        <f t="shared" si="545"/>
        <v>16.980000000000004</v>
      </c>
      <c r="BC61" s="3136">
        <f t="shared" si="546"/>
        <v>0</v>
      </c>
      <c r="BD61" s="3209">
        <f t="shared" si="257"/>
        <v>709.04100000000017</v>
      </c>
      <c r="BE61" s="3209">
        <f t="shared" si="258"/>
        <v>704.89319341427665</v>
      </c>
      <c r="BF61" s="3209">
        <f t="shared" si="259"/>
        <v>4.1478065857234583</v>
      </c>
      <c r="BG61" s="3264">
        <f t="shared" si="547"/>
        <v>883.32999999999993</v>
      </c>
      <c r="BH61" s="3264">
        <f t="shared" si="548"/>
        <v>883.32999999999993</v>
      </c>
      <c r="BI61" s="3264">
        <f t="shared" si="549"/>
        <v>0</v>
      </c>
      <c r="BJ61" s="3264">
        <f t="shared" si="550"/>
        <v>174.28899999999976</v>
      </c>
      <c r="BK61" s="3264">
        <f t="shared" si="551"/>
        <v>178.43680658572328</v>
      </c>
      <c r="BL61" s="3264">
        <f t="shared" si="552"/>
        <v>-4.1478065857234583</v>
      </c>
      <c r="BM61" s="3208">
        <f t="shared" si="576"/>
        <v>236.34700000000004</v>
      </c>
      <c r="BN61" s="3277">
        <f t="shared" ref="BN61:BO61" si="596">SUM(BN62:BN65)</f>
        <v>234.96439780475887</v>
      </c>
      <c r="BO61" s="3277">
        <f t="shared" si="596"/>
        <v>1.3826021952411529</v>
      </c>
      <c r="BP61" s="3136">
        <f>SUM(BP62:BP65)</f>
        <v>0</v>
      </c>
      <c r="BQ61" s="3136">
        <f t="shared" ref="BQ61:BR61" si="597">SUM(BQ62:BQ65)</f>
        <v>0</v>
      </c>
      <c r="BR61" s="3136">
        <f t="shared" si="597"/>
        <v>0</v>
      </c>
      <c r="BS61" s="3136">
        <f>SUM(BS62:BS65)</f>
        <v>0</v>
      </c>
      <c r="BT61" s="3136">
        <f t="shared" ref="BT61:BU61" si="598">SUM(BT62:BT65)</f>
        <v>0</v>
      </c>
      <c r="BU61" s="3136">
        <f t="shared" si="598"/>
        <v>0</v>
      </c>
      <c r="BV61" s="3136">
        <f>SUM(BV62:BV65)</f>
        <v>0</v>
      </c>
      <c r="BW61" s="3136">
        <f t="shared" ref="BW61:BX61" si="599">SUM(BW62:BW65)</f>
        <v>0</v>
      </c>
      <c r="BX61" s="3136">
        <f t="shared" si="599"/>
        <v>0</v>
      </c>
      <c r="BY61" s="3136">
        <f t="shared" si="560"/>
        <v>0</v>
      </c>
      <c r="BZ61" s="3136">
        <f t="shared" si="561"/>
        <v>0</v>
      </c>
      <c r="CA61" s="3136">
        <f t="shared" si="562"/>
        <v>0</v>
      </c>
      <c r="CB61" s="3209">
        <f t="shared" si="158"/>
        <v>945.38800000000015</v>
      </c>
      <c r="CC61" s="3287">
        <f t="shared" ref="CC61:CD61" si="600">SUM(CC62:CC65)</f>
        <v>939.8575912190355</v>
      </c>
      <c r="CD61" s="3287">
        <f t="shared" si="600"/>
        <v>5.5304087809646116</v>
      </c>
      <c r="CE61" s="3264">
        <f t="shared" si="579"/>
        <v>883.32999999999993</v>
      </c>
      <c r="CF61" s="3264">
        <f t="shared" si="580"/>
        <v>883.32999999999993</v>
      </c>
      <c r="CG61" s="3264">
        <f t="shared" si="581"/>
        <v>0</v>
      </c>
      <c r="CH61" s="3264">
        <f t="shared" si="564"/>
        <v>-62.05800000000022</v>
      </c>
      <c r="CI61" s="3264">
        <f t="shared" si="565"/>
        <v>-56.527591219035571</v>
      </c>
      <c r="CJ61" s="3264">
        <f t="shared" si="566"/>
        <v>-5.5304087809646116</v>
      </c>
      <c r="CK61" s="3259"/>
      <c r="CL61" s="3259"/>
      <c r="CM61" s="3259"/>
    </row>
    <row r="62" spans="1:91" ht="18.75" customHeight="1" x14ac:dyDescent="0.3">
      <c r="A62" s="3079" t="s">
        <v>647</v>
      </c>
      <c r="B62" s="3210">
        <f t="shared" ref="B62:B66" si="601">SUM(C62:D62)</f>
        <v>124.0325</v>
      </c>
      <c r="C62" s="3210">
        <f t="shared" ref="C62:C65" si="602">SUM(CC62/4)</f>
        <v>123.30692444041495</v>
      </c>
      <c r="D62" s="3210">
        <f t="shared" ref="D62:D65" si="603">SUM(CD62/4)</f>
        <v>0.72557555958505204</v>
      </c>
      <c r="E62" s="3145">
        <f t="shared" si="510"/>
        <v>75.84</v>
      </c>
      <c r="F62" s="3149">
        <f>7.14+68.7</f>
        <v>75.84</v>
      </c>
      <c r="G62" s="3149"/>
      <c r="H62" s="3145">
        <f t="shared" ref="H62:H65" si="604">SUM(I62:J62)</f>
        <v>68.08</v>
      </c>
      <c r="I62" s="3149">
        <f>6.97+61.11</f>
        <v>68.08</v>
      </c>
      <c r="J62" s="3149"/>
      <c r="K62" s="3145">
        <f t="shared" ref="K62:K65" si="605">SUM(L62:M62)</f>
        <v>55.900000000000006</v>
      </c>
      <c r="L62" s="3149">
        <f>5.31+50.59</f>
        <v>55.900000000000006</v>
      </c>
      <c r="M62" s="3149"/>
      <c r="N62" s="3145">
        <f t="shared" si="518"/>
        <v>199.82000000000002</v>
      </c>
      <c r="O62" s="3145">
        <f t="shared" si="519"/>
        <v>199.82000000000002</v>
      </c>
      <c r="P62" s="3145">
        <f t="shared" si="520"/>
        <v>0</v>
      </c>
      <c r="Q62" s="3210">
        <f t="shared" ref="Q62:Q65" si="606">SUM(R62:S62)</f>
        <v>124.0325</v>
      </c>
      <c r="R62" s="3210">
        <f t="shared" ref="R62:R65" si="607">SUM(C62)</f>
        <v>123.30692444041495</v>
      </c>
      <c r="S62" s="3210">
        <f t="shared" ref="S62:S65" si="608">SUM(D62)</f>
        <v>0.72557555958505204</v>
      </c>
      <c r="T62" s="3145">
        <f t="shared" ref="T62:T65" si="609">SUM(U62:V62)</f>
        <v>41.67</v>
      </c>
      <c r="U62" s="3149">
        <f>4.91+36.76</f>
        <v>41.67</v>
      </c>
      <c r="V62" s="3149"/>
      <c r="W62" s="3145">
        <f t="shared" ref="W62:W65" si="610">SUM(X62:Y62)</f>
        <v>17.13</v>
      </c>
      <c r="X62" s="3149">
        <f>1.68+15.45</f>
        <v>17.13</v>
      </c>
      <c r="Y62" s="3149"/>
      <c r="Z62" s="3145">
        <f t="shared" ref="Z62:Z65" si="611">SUM(AA62:AB62)</f>
        <v>0.44</v>
      </c>
      <c r="AA62" s="3149">
        <f>0.32+0.12</f>
        <v>0.44</v>
      </c>
      <c r="AB62" s="3149"/>
      <c r="AC62" s="3145">
        <f t="shared" si="528"/>
        <v>59.239999999999995</v>
      </c>
      <c r="AD62" s="3145">
        <f t="shared" si="529"/>
        <v>59.239999999999995</v>
      </c>
      <c r="AE62" s="3145">
        <f t="shared" si="530"/>
        <v>0</v>
      </c>
      <c r="AF62" s="3211">
        <f t="shared" si="424"/>
        <v>248.065</v>
      </c>
      <c r="AG62" s="3211">
        <f t="shared" si="425"/>
        <v>246.61384888082989</v>
      </c>
      <c r="AH62" s="3211">
        <f t="shared" si="426"/>
        <v>1.4511511191701041</v>
      </c>
      <c r="AI62" s="3194">
        <f t="shared" si="531"/>
        <v>259.06</v>
      </c>
      <c r="AJ62" s="3194">
        <f t="shared" si="532"/>
        <v>259.06</v>
      </c>
      <c r="AK62" s="3194">
        <f t="shared" si="533"/>
        <v>0</v>
      </c>
      <c r="AL62" s="3194">
        <f t="shared" si="534"/>
        <v>10.995000000000005</v>
      </c>
      <c r="AM62" s="3194">
        <f t="shared" si="535"/>
        <v>12.446151119170111</v>
      </c>
      <c r="AN62" s="3194">
        <f t="shared" si="536"/>
        <v>-1.4511511191701041</v>
      </c>
      <c r="AO62" s="3210">
        <f t="shared" ref="AO62:AO66" si="612">SUM(AP62:AQ62)</f>
        <v>124.0325</v>
      </c>
      <c r="AP62" s="3210">
        <f t="shared" ref="AP62:AP65" si="613">SUM(CC62-AG62)/2</f>
        <v>123.30692444041495</v>
      </c>
      <c r="AQ62" s="3210">
        <f t="shared" ref="AQ62:AQ65" si="614">SUM(CD62-AH62)/2</f>
        <v>0.72557555958505204</v>
      </c>
      <c r="AR62" s="3145">
        <f t="shared" ref="AR62:AR65" si="615">SUM(AS62:AT62)</f>
        <v>2.14</v>
      </c>
      <c r="AS62" s="3149">
        <f>0.3+1.84</f>
        <v>2.14</v>
      </c>
      <c r="AT62" s="3149"/>
      <c r="AU62" s="3145">
        <f t="shared" ref="AU62:AU65" si="616">SUM(AV62:AW62)</f>
        <v>0.56000000000000005</v>
      </c>
      <c r="AV62" s="3149">
        <f>0.25+0.31</f>
        <v>0.56000000000000005</v>
      </c>
      <c r="AW62" s="3149"/>
      <c r="AX62" s="3145">
        <f t="shared" ref="AX62:AX65" si="617">SUM(AY62:AZ62)</f>
        <v>8.93</v>
      </c>
      <c r="AY62" s="3149">
        <f>1.03+7.9</f>
        <v>8.93</v>
      </c>
      <c r="AZ62" s="3149"/>
      <c r="BA62" s="3145">
        <f t="shared" si="544"/>
        <v>11.629999999999999</v>
      </c>
      <c r="BB62" s="3145">
        <f t="shared" si="545"/>
        <v>11.629999999999999</v>
      </c>
      <c r="BC62" s="3145">
        <f t="shared" si="546"/>
        <v>0</v>
      </c>
      <c r="BD62" s="3211">
        <f t="shared" si="257"/>
        <v>372.09749999999997</v>
      </c>
      <c r="BE62" s="3211">
        <f t="shared" si="258"/>
        <v>369.92077332124484</v>
      </c>
      <c r="BF62" s="3211">
        <f t="shared" si="259"/>
        <v>2.176726678755156</v>
      </c>
      <c r="BG62" s="3194">
        <f t="shared" si="547"/>
        <v>270.69</v>
      </c>
      <c r="BH62" s="3194">
        <f t="shared" si="548"/>
        <v>270.69</v>
      </c>
      <c r="BI62" s="3194">
        <f t="shared" si="549"/>
        <v>0</v>
      </c>
      <c r="BJ62" s="3194">
        <f t="shared" si="550"/>
        <v>-101.40749999999997</v>
      </c>
      <c r="BK62" s="3194">
        <f t="shared" si="551"/>
        <v>-99.23077332124484</v>
      </c>
      <c r="BL62" s="3194">
        <f t="shared" si="552"/>
        <v>-2.176726678755156</v>
      </c>
      <c r="BM62" s="3210">
        <f t="shared" ref="BM62:BM66" si="618">SUM(BN62:BO62)</f>
        <v>124.0325</v>
      </c>
      <c r="BN62" s="3210">
        <f t="shared" ref="BN62:BN65" si="619">SUM(AP62)</f>
        <v>123.30692444041495</v>
      </c>
      <c r="BO62" s="3210">
        <f t="shared" ref="BO62:BO65" si="620">SUM(AQ62)</f>
        <v>0.72557555958505204</v>
      </c>
      <c r="BP62" s="3145">
        <f t="shared" ref="BP62:BP65" si="621">SUM(BQ62:BR62)</f>
        <v>0</v>
      </c>
      <c r="BQ62" s="3149"/>
      <c r="BR62" s="3149"/>
      <c r="BS62" s="3145">
        <f t="shared" ref="BS62:BS65" si="622">SUM(BT62:BU62)</f>
        <v>0</v>
      </c>
      <c r="BT62" s="3149"/>
      <c r="BU62" s="3149"/>
      <c r="BV62" s="3145">
        <f t="shared" ref="BV62:BV65" si="623">SUM(BW62:BX62)</f>
        <v>0</v>
      </c>
      <c r="BW62" s="3149"/>
      <c r="BX62" s="3149"/>
      <c r="BY62" s="3145">
        <f t="shared" si="560"/>
        <v>0</v>
      </c>
      <c r="BZ62" s="3145">
        <f t="shared" si="561"/>
        <v>0</v>
      </c>
      <c r="CA62" s="3145">
        <f t="shared" si="562"/>
        <v>0</v>
      </c>
      <c r="CB62" s="3211">
        <v>496.13</v>
      </c>
      <c r="CC62" s="3211">
        <f>SUM(CB62/CB9*CC9)</f>
        <v>493.22769776165978</v>
      </c>
      <c r="CD62" s="3211">
        <f>SUM(CB62/CB9*CD9)</f>
        <v>2.9023022383402082</v>
      </c>
      <c r="CE62" s="3194">
        <f t="shared" si="579"/>
        <v>270.69</v>
      </c>
      <c r="CF62" s="3194">
        <f t="shared" si="580"/>
        <v>270.69</v>
      </c>
      <c r="CG62" s="3194">
        <f t="shared" si="581"/>
        <v>0</v>
      </c>
      <c r="CH62" s="3194">
        <f t="shared" si="564"/>
        <v>-225.44</v>
      </c>
      <c r="CI62" s="3194">
        <f t="shared" si="565"/>
        <v>-222.53769776165979</v>
      </c>
      <c r="CJ62" s="3194">
        <f t="shared" si="566"/>
        <v>-2.9023022383402082</v>
      </c>
      <c r="CK62" s="3259"/>
      <c r="CL62" s="3259"/>
      <c r="CM62" s="3259"/>
    </row>
    <row r="63" spans="1:91" ht="18.75" customHeight="1" x14ac:dyDescent="0.3">
      <c r="A63" s="3079" t="s">
        <v>557</v>
      </c>
      <c r="B63" s="3210">
        <f t="shared" si="601"/>
        <v>103.68950000000002</v>
      </c>
      <c r="C63" s="3210">
        <f t="shared" si="602"/>
        <v>103.08292860149081</v>
      </c>
      <c r="D63" s="3210">
        <f t="shared" si="603"/>
        <v>0.60657139850921549</v>
      </c>
      <c r="E63" s="3145">
        <f t="shared" si="510"/>
        <v>2.95</v>
      </c>
      <c r="F63" s="3149">
        <v>2.95</v>
      </c>
      <c r="G63" s="3149"/>
      <c r="H63" s="3145">
        <f t="shared" si="604"/>
        <v>2.04</v>
      </c>
      <c r="I63" s="3149">
        <v>2.04</v>
      </c>
      <c r="J63" s="3149"/>
      <c r="K63" s="3145">
        <f t="shared" si="605"/>
        <v>3.03</v>
      </c>
      <c r="L63" s="3149">
        <f>3.07-0.04</f>
        <v>3.03</v>
      </c>
      <c r="M63" s="3149"/>
      <c r="N63" s="3145">
        <f t="shared" si="518"/>
        <v>8.02</v>
      </c>
      <c r="O63" s="3145">
        <f t="shared" si="519"/>
        <v>8.02</v>
      </c>
      <c r="P63" s="3145">
        <f t="shared" si="520"/>
        <v>0</v>
      </c>
      <c r="Q63" s="3210">
        <f t="shared" si="606"/>
        <v>103.68950000000002</v>
      </c>
      <c r="R63" s="3210">
        <f t="shared" si="607"/>
        <v>103.08292860149081</v>
      </c>
      <c r="S63" s="3210">
        <f t="shared" si="608"/>
        <v>0.60657139850921549</v>
      </c>
      <c r="T63" s="3145">
        <f t="shared" si="609"/>
        <v>3.64</v>
      </c>
      <c r="U63" s="3149">
        <v>3.64</v>
      </c>
      <c r="V63" s="3149"/>
      <c r="W63" s="3145">
        <f t="shared" si="610"/>
        <v>8.84</v>
      </c>
      <c r="X63" s="3149">
        <v>8.84</v>
      </c>
      <c r="Y63" s="3149"/>
      <c r="Z63" s="3145">
        <f t="shared" si="611"/>
        <v>429.89</v>
      </c>
      <c r="AA63" s="3149">
        <v>429.89</v>
      </c>
      <c r="AB63" s="3149"/>
      <c r="AC63" s="3145">
        <f t="shared" si="528"/>
        <v>442.37</v>
      </c>
      <c r="AD63" s="3145">
        <f t="shared" si="529"/>
        <v>442.37</v>
      </c>
      <c r="AE63" s="3145">
        <f t="shared" si="530"/>
        <v>0</v>
      </c>
      <c r="AF63" s="3211">
        <f t="shared" si="424"/>
        <v>207.37900000000005</v>
      </c>
      <c r="AG63" s="3211">
        <f t="shared" si="425"/>
        <v>206.16585720298161</v>
      </c>
      <c r="AH63" s="3211">
        <f t="shared" si="426"/>
        <v>1.213142797018431</v>
      </c>
      <c r="AI63" s="3194">
        <f t="shared" si="531"/>
        <v>450.39</v>
      </c>
      <c r="AJ63" s="3194">
        <f t="shared" si="532"/>
        <v>450.39</v>
      </c>
      <c r="AK63" s="3194">
        <f t="shared" si="533"/>
        <v>0</v>
      </c>
      <c r="AL63" s="3194">
        <f t="shared" si="534"/>
        <v>243.01099999999994</v>
      </c>
      <c r="AM63" s="3194">
        <f t="shared" si="535"/>
        <v>244.22414279701837</v>
      </c>
      <c r="AN63" s="3194">
        <f t="shared" si="536"/>
        <v>-1.213142797018431</v>
      </c>
      <c r="AO63" s="3210">
        <f t="shared" si="612"/>
        <v>103.68950000000002</v>
      </c>
      <c r="AP63" s="3210">
        <f t="shared" si="613"/>
        <v>103.08292860149081</v>
      </c>
      <c r="AQ63" s="3210">
        <f t="shared" si="614"/>
        <v>0.60657139850921549</v>
      </c>
      <c r="AR63" s="3145">
        <f t="shared" si="615"/>
        <v>-22.45</v>
      </c>
      <c r="AS63" s="3149">
        <v>-22.45</v>
      </c>
      <c r="AT63" s="3149"/>
      <c r="AU63" s="3145">
        <f t="shared" si="616"/>
        <v>3.16</v>
      </c>
      <c r="AV63" s="3149">
        <v>3.16</v>
      </c>
      <c r="AW63" s="3149"/>
      <c r="AX63" s="3145">
        <f t="shared" si="617"/>
        <v>7.92</v>
      </c>
      <c r="AY63" s="3149">
        <f>1.05+6.87</f>
        <v>7.92</v>
      </c>
      <c r="AZ63" s="3149"/>
      <c r="BA63" s="3145">
        <f t="shared" si="544"/>
        <v>-11.37</v>
      </c>
      <c r="BB63" s="3145">
        <f t="shared" si="545"/>
        <v>-11.37</v>
      </c>
      <c r="BC63" s="3145">
        <f t="shared" si="546"/>
        <v>0</v>
      </c>
      <c r="BD63" s="3211">
        <f t="shared" si="257"/>
        <v>311.06850000000003</v>
      </c>
      <c r="BE63" s="3211">
        <f t="shared" si="258"/>
        <v>309.24878580447239</v>
      </c>
      <c r="BF63" s="3211">
        <f t="shared" si="259"/>
        <v>1.8197141955276463</v>
      </c>
      <c r="BG63" s="3194">
        <f t="shared" si="547"/>
        <v>439.02</v>
      </c>
      <c r="BH63" s="3194">
        <f t="shared" si="548"/>
        <v>439.02</v>
      </c>
      <c r="BI63" s="3194">
        <f t="shared" si="549"/>
        <v>0</v>
      </c>
      <c r="BJ63" s="3194">
        <f t="shared" si="550"/>
        <v>127.95149999999995</v>
      </c>
      <c r="BK63" s="3194">
        <f t="shared" si="551"/>
        <v>129.77121419552759</v>
      </c>
      <c r="BL63" s="3194">
        <f t="shared" si="552"/>
        <v>-1.8197141955276463</v>
      </c>
      <c r="BM63" s="3210">
        <f t="shared" si="618"/>
        <v>103.68950000000002</v>
      </c>
      <c r="BN63" s="3210">
        <f t="shared" si="619"/>
        <v>103.08292860149081</v>
      </c>
      <c r="BO63" s="3210">
        <f t="shared" si="620"/>
        <v>0.60657139850921549</v>
      </c>
      <c r="BP63" s="3145">
        <f t="shared" si="621"/>
        <v>0</v>
      </c>
      <c r="BQ63" s="3149"/>
      <c r="BR63" s="3149"/>
      <c r="BS63" s="3145">
        <f t="shared" si="622"/>
        <v>0</v>
      </c>
      <c r="BT63" s="3149"/>
      <c r="BU63" s="3149"/>
      <c r="BV63" s="3145">
        <f t="shared" si="623"/>
        <v>0</v>
      </c>
      <c r="BW63" s="3149"/>
      <c r="BX63" s="3149"/>
      <c r="BY63" s="3145">
        <f t="shared" si="560"/>
        <v>0</v>
      </c>
      <c r="BZ63" s="3145">
        <f t="shared" si="561"/>
        <v>0</v>
      </c>
      <c r="CA63" s="3145">
        <f t="shared" si="562"/>
        <v>0</v>
      </c>
      <c r="CB63" s="3211">
        <f>386.61+28.148</f>
        <v>414.75800000000004</v>
      </c>
      <c r="CC63" s="3211">
        <f>SUM(CB63/CB9*CC9)</f>
        <v>412.33171440596323</v>
      </c>
      <c r="CD63" s="3211">
        <f>SUM(CB63/CB9*CD9)</f>
        <v>2.4262855940368619</v>
      </c>
      <c r="CE63" s="3194">
        <f t="shared" si="579"/>
        <v>439.02</v>
      </c>
      <c r="CF63" s="3194">
        <f t="shared" si="580"/>
        <v>439.02</v>
      </c>
      <c r="CG63" s="3194">
        <f t="shared" si="581"/>
        <v>0</v>
      </c>
      <c r="CH63" s="3194">
        <f t="shared" si="564"/>
        <v>24.261999999999944</v>
      </c>
      <c r="CI63" s="3194">
        <f t="shared" si="565"/>
        <v>26.688285594036756</v>
      </c>
      <c r="CJ63" s="3194">
        <f t="shared" si="566"/>
        <v>-2.4262855940368619</v>
      </c>
      <c r="CK63" s="3259"/>
      <c r="CL63" s="3259"/>
      <c r="CM63" s="3259"/>
    </row>
    <row r="64" spans="1:91" ht="18.75" customHeight="1" x14ac:dyDescent="0.3">
      <c r="A64" s="3079" t="s">
        <v>556</v>
      </c>
      <c r="B64" s="3210">
        <f t="shared" si="601"/>
        <v>0</v>
      </c>
      <c r="C64" s="3210">
        <f t="shared" si="602"/>
        <v>0</v>
      </c>
      <c r="D64" s="3210">
        <f t="shared" si="603"/>
        <v>0</v>
      </c>
      <c r="E64" s="3145">
        <f t="shared" si="510"/>
        <v>0</v>
      </c>
      <c r="F64" s="3149"/>
      <c r="G64" s="3149"/>
      <c r="H64" s="3145">
        <f t="shared" si="604"/>
        <v>0</v>
      </c>
      <c r="I64" s="3149"/>
      <c r="J64" s="3149"/>
      <c r="K64" s="3145">
        <f t="shared" si="605"/>
        <v>0</v>
      </c>
      <c r="L64" s="3149"/>
      <c r="M64" s="3149"/>
      <c r="N64" s="3145">
        <f t="shared" si="518"/>
        <v>0</v>
      </c>
      <c r="O64" s="3145">
        <f t="shared" si="519"/>
        <v>0</v>
      </c>
      <c r="P64" s="3145">
        <f t="shared" si="520"/>
        <v>0</v>
      </c>
      <c r="Q64" s="3210">
        <f t="shared" si="606"/>
        <v>0</v>
      </c>
      <c r="R64" s="3210">
        <f t="shared" si="607"/>
        <v>0</v>
      </c>
      <c r="S64" s="3210">
        <f t="shared" si="608"/>
        <v>0</v>
      </c>
      <c r="T64" s="3145">
        <f t="shared" si="609"/>
        <v>0</v>
      </c>
      <c r="U64" s="3149"/>
      <c r="V64" s="3149"/>
      <c r="W64" s="3145">
        <f t="shared" si="610"/>
        <v>0</v>
      </c>
      <c r="X64" s="3149"/>
      <c r="Y64" s="3149"/>
      <c r="Z64" s="3145">
        <f t="shared" si="611"/>
        <v>0</v>
      </c>
      <c r="AA64" s="3149"/>
      <c r="AB64" s="3149"/>
      <c r="AC64" s="3145">
        <f t="shared" si="528"/>
        <v>0</v>
      </c>
      <c r="AD64" s="3145">
        <f t="shared" si="529"/>
        <v>0</v>
      </c>
      <c r="AE64" s="3145">
        <f t="shared" si="530"/>
        <v>0</v>
      </c>
      <c r="AF64" s="3211">
        <f t="shared" si="424"/>
        <v>0</v>
      </c>
      <c r="AG64" s="3211">
        <f t="shared" si="425"/>
        <v>0</v>
      </c>
      <c r="AH64" s="3211">
        <f t="shared" si="426"/>
        <v>0</v>
      </c>
      <c r="AI64" s="3194">
        <f t="shared" si="531"/>
        <v>0</v>
      </c>
      <c r="AJ64" s="3194">
        <f t="shared" si="532"/>
        <v>0</v>
      </c>
      <c r="AK64" s="3194">
        <f t="shared" si="533"/>
        <v>0</v>
      </c>
      <c r="AL64" s="3194">
        <f t="shared" si="534"/>
        <v>0</v>
      </c>
      <c r="AM64" s="3194">
        <f t="shared" si="535"/>
        <v>0</v>
      </c>
      <c r="AN64" s="3194">
        <f t="shared" si="536"/>
        <v>0</v>
      </c>
      <c r="AO64" s="3210">
        <f t="shared" si="612"/>
        <v>0</v>
      </c>
      <c r="AP64" s="3210">
        <f t="shared" si="613"/>
        <v>0</v>
      </c>
      <c r="AQ64" s="3210">
        <f t="shared" si="614"/>
        <v>0</v>
      </c>
      <c r="AR64" s="3145">
        <f t="shared" si="615"/>
        <v>0</v>
      </c>
      <c r="AS64" s="3149"/>
      <c r="AT64" s="3149"/>
      <c r="AU64" s="3145">
        <f t="shared" si="616"/>
        <v>0</v>
      </c>
      <c r="AV64" s="3149"/>
      <c r="AW64" s="3149"/>
      <c r="AX64" s="3145">
        <f t="shared" si="617"/>
        <v>0</v>
      </c>
      <c r="AY64" s="3149"/>
      <c r="AZ64" s="3149"/>
      <c r="BA64" s="3145">
        <f t="shared" si="544"/>
        <v>0</v>
      </c>
      <c r="BB64" s="3145">
        <f t="shared" si="545"/>
        <v>0</v>
      </c>
      <c r="BC64" s="3145">
        <f t="shared" si="546"/>
        <v>0</v>
      </c>
      <c r="BD64" s="3211">
        <f t="shared" si="257"/>
        <v>0</v>
      </c>
      <c r="BE64" s="3211">
        <f t="shared" si="258"/>
        <v>0</v>
      </c>
      <c r="BF64" s="3211">
        <f t="shared" si="259"/>
        <v>0</v>
      </c>
      <c r="BG64" s="3194">
        <f t="shared" si="547"/>
        <v>0</v>
      </c>
      <c r="BH64" s="3194">
        <f t="shared" si="548"/>
        <v>0</v>
      </c>
      <c r="BI64" s="3194">
        <f t="shared" si="549"/>
        <v>0</v>
      </c>
      <c r="BJ64" s="3194">
        <f t="shared" si="550"/>
        <v>0</v>
      </c>
      <c r="BK64" s="3194">
        <f t="shared" si="551"/>
        <v>0</v>
      </c>
      <c r="BL64" s="3194">
        <f t="shared" si="552"/>
        <v>0</v>
      </c>
      <c r="BM64" s="3210">
        <f t="shared" si="618"/>
        <v>0</v>
      </c>
      <c r="BN64" s="3210">
        <f t="shared" si="619"/>
        <v>0</v>
      </c>
      <c r="BO64" s="3210">
        <f t="shared" si="620"/>
        <v>0</v>
      </c>
      <c r="BP64" s="3145">
        <f t="shared" si="621"/>
        <v>0</v>
      </c>
      <c r="BQ64" s="3149"/>
      <c r="BR64" s="3149"/>
      <c r="BS64" s="3145">
        <f t="shared" si="622"/>
        <v>0</v>
      </c>
      <c r="BT64" s="3149"/>
      <c r="BU64" s="3149"/>
      <c r="BV64" s="3145">
        <f t="shared" si="623"/>
        <v>0</v>
      </c>
      <c r="BW64" s="3149"/>
      <c r="BX64" s="3149"/>
      <c r="BY64" s="3145">
        <f t="shared" si="560"/>
        <v>0</v>
      </c>
      <c r="BZ64" s="3145">
        <f t="shared" si="561"/>
        <v>0</v>
      </c>
      <c r="CA64" s="3145">
        <f t="shared" si="562"/>
        <v>0</v>
      </c>
      <c r="CB64" s="3211"/>
      <c r="CC64" s="3211">
        <f>SUM(CB64/CB9*CC9)</f>
        <v>0</v>
      </c>
      <c r="CD64" s="3211">
        <f>SUM(CB64/CB9*CD9)</f>
        <v>0</v>
      </c>
      <c r="CE64" s="3194">
        <f t="shared" si="579"/>
        <v>0</v>
      </c>
      <c r="CF64" s="3194">
        <f t="shared" si="580"/>
        <v>0</v>
      </c>
      <c r="CG64" s="3194">
        <f t="shared" si="581"/>
        <v>0</v>
      </c>
      <c r="CH64" s="3194">
        <f t="shared" si="564"/>
        <v>0</v>
      </c>
      <c r="CI64" s="3194">
        <f t="shared" si="565"/>
        <v>0</v>
      </c>
      <c r="CJ64" s="3194">
        <f t="shared" si="566"/>
        <v>0</v>
      </c>
      <c r="CK64" s="3259"/>
      <c r="CL64" s="3259"/>
      <c r="CM64" s="3259"/>
    </row>
    <row r="65" spans="1:91" ht="18.75" customHeight="1" x14ac:dyDescent="0.3">
      <c r="A65" s="3079" t="s">
        <v>558</v>
      </c>
      <c r="B65" s="3210">
        <f t="shared" si="601"/>
        <v>8.6249999999999982</v>
      </c>
      <c r="C65" s="3210">
        <f t="shared" si="602"/>
        <v>8.5745447628531135</v>
      </c>
      <c r="D65" s="3210">
        <f t="shared" si="603"/>
        <v>5.0455237146885483E-2</v>
      </c>
      <c r="E65" s="3145">
        <f t="shared" si="510"/>
        <v>1.36</v>
      </c>
      <c r="F65" s="3149">
        <v>1.36</v>
      </c>
      <c r="G65" s="3149"/>
      <c r="H65" s="3145">
        <f t="shared" si="604"/>
        <v>0</v>
      </c>
      <c r="I65" s="3149"/>
      <c r="J65" s="3149"/>
      <c r="K65" s="3145">
        <f t="shared" si="605"/>
        <v>98.6</v>
      </c>
      <c r="L65" s="3149">
        <v>98.6</v>
      </c>
      <c r="M65" s="3149"/>
      <c r="N65" s="3145">
        <f t="shared" si="518"/>
        <v>99.96</v>
      </c>
      <c r="O65" s="3145">
        <f t="shared" si="519"/>
        <v>99.96</v>
      </c>
      <c r="P65" s="3145">
        <f t="shared" si="520"/>
        <v>0</v>
      </c>
      <c r="Q65" s="3210">
        <f t="shared" si="606"/>
        <v>8.6249999999999982</v>
      </c>
      <c r="R65" s="3210">
        <f t="shared" si="607"/>
        <v>8.5745447628531135</v>
      </c>
      <c r="S65" s="3210">
        <f t="shared" si="608"/>
        <v>5.0455237146885483E-2</v>
      </c>
      <c r="T65" s="3145">
        <f t="shared" si="609"/>
        <v>4.75</v>
      </c>
      <c r="U65" s="3149">
        <v>4.75</v>
      </c>
      <c r="V65" s="3149"/>
      <c r="W65" s="3145">
        <f t="shared" si="610"/>
        <v>38.08</v>
      </c>
      <c r="X65" s="3149">
        <v>38.08</v>
      </c>
      <c r="Y65" s="3149"/>
      <c r="Z65" s="3145">
        <f t="shared" si="611"/>
        <v>14.11</v>
      </c>
      <c r="AA65" s="3149">
        <v>14.11</v>
      </c>
      <c r="AB65" s="3149"/>
      <c r="AC65" s="3145">
        <f t="shared" si="528"/>
        <v>56.94</v>
      </c>
      <c r="AD65" s="3145">
        <f t="shared" si="529"/>
        <v>56.94</v>
      </c>
      <c r="AE65" s="3145">
        <f t="shared" si="530"/>
        <v>0</v>
      </c>
      <c r="AF65" s="3211">
        <f t="shared" si="424"/>
        <v>17.249999999999996</v>
      </c>
      <c r="AG65" s="3211">
        <f t="shared" si="425"/>
        <v>17.149089525706227</v>
      </c>
      <c r="AH65" s="3211">
        <f t="shared" si="426"/>
        <v>0.10091047429377097</v>
      </c>
      <c r="AI65" s="3194">
        <f t="shared" si="531"/>
        <v>156.89999999999998</v>
      </c>
      <c r="AJ65" s="3194">
        <f t="shared" si="532"/>
        <v>156.89999999999998</v>
      </c>
      <c r="AK65" s="3194">
        <f t="shared" si="533"/>
        <v>0</v>
      </c>
      <c r="AL65" s="3194">
        <f t="shared" si="534"/>
        <v>139.64999999999998</v>
      </c>
      <c r="AM65" s="3194">
        <f t="shared" si="535"/>
        <v>139.75091047429376</v>
      </c>
      <c r="AN65" s="3194">
        <f t="shared" si="536"/>
        <v>-0.10091047429377097</v>
      </c>
      <c r="AO65" s="3210">
        <f t="shared" si="612"/>
        <v>8.6249999999999982</v>
      </c>
      <c r="AP65" s="3210">
        <f t="shared" si="613"/>
        <v>8.5745447628531135</v>
      </c>
      <c r="AQ65" s="3210">
        <f t="shared" si="614"/>
        <v>5.0455237146885483E-2</v>
      </c>
      <c r="AR65" s="3145">
        <f t="shared" si="615"/>
        <v>0</v>
      </c>
      <c r="AS65" s="3149"/>
      <c r="AT65" s="3149"/>
      <c r="AU65" s="3145">
        <f t="shared" si="616"/>
        <v>3.51</v>
      </c>
      <c r="AV65" s="3149">
        <f>0.57+2.94</f>
        <v>3.51</v>
      </c>
      <c r="AW65" s="3149"/>
      <c r="AX65" s="3145">
        <f t="shared" si="617"/>
        <v>13.209999999999999</v>
      </c>
      <c r="AY65" s="3149">
        <f>12.27+0.94</f>
        <v>13.209999999999999</v>
      </c>
      <c r="AZ65" s="3149"/>
      <c r="BA65" s="3145">
        <f t="shared" si="544"/>
        <v>16.72</v>
      </c>
      <c r="BB65" s="3145">
        <f t="shared" si="545"/>
        <v>16.72</v>
      </c>
      <c r="BC65" s="3145">
        <f t="shared" si="546"/>
        <v>0</v>
      </c>
      <c r="BD65" s="3211">
        <f t="shared" si="257"/>
        <v>25.874999999999996</v>
      </c>
      <c r="BE65" s="3211">
        <f t="shared" si="258"/>
        <v>25.723634288559339</v>
      </c>
      <c r="BF65" s="3211">
        <f t="shared" si="259"/>
        <v>0.15136571144065644</v>
      </c>
      <c r="BG65" s="3194">
        <f t="shared" si="547"/>
        <v>173.61999999999998</v>
      </c>
      <c r="BH65" s="3194">
        <f t="shared" si="548"/>
        <v>173.61999999999998</v>
      </c>
      <c r="BI65" s="3194">
        <f t="shared" si="549"/>
        <v>0</v>
      </c>
      <c r="BJ65" s="3194">
        <f t="shared" si="550"/>
        <v>147.74499999999998</v>
      </c>
      <c r="BK65" s="3194">
        <f t="shared" si="551"/>
        <v>147.89636571144064</v>
      </c>
      <c r="BL65" s="3194">
        <f t="shared" si="552"/>
        <v>-0.15136571144065644</v>
      </c>
      <c r="BM65" s="3210">
        <f t="shared" si="618"/>
        <v>8.6249999999999982</v>
      </c>
      <c r="BN65" s="3210">
        <f t="shared" si="619"/>
        <v>8.5745447628531135</v>
      </c>
      <c r="BO65" s="3210">
        <f t="shared" si="620"/>
        <v>5.0455237146885483E-2</v>
      </c>
      <c r="BP65" s="3145">
        <f t="shared" si="621"/>
        <v>0</v>
      </c>
      <c r="BQ65" s="3149"/>
      <c r="BR65" s="3149"/>
      <c r="BS65" s="3145">
        <f t="shared" si="622"/>
        <v>0</v>
      </c>
      <c r="BT65" s="3149"/>
      <c r="BU65" s="3149"/>
      <c r="BV65" s="3145">
        <f t="shared" si="623"/>
        <v>0</v>
      </c>
      <c r="BW65" s="3149"/>
      <c r="BX65" s="3149"/>
      <c r="BY65" s="3145">
        <f t="shared" si="560"/>
        <v>0</v>
      </c>
      <c r="BZ65" s="3145">
        <f t="shared" si="561"/>
        <v>0</v>
      </c>
      <c r="CA65" s="3145">
        <f t="shared" si="562"/>
        <v>0</v>
      </c>
      <c r="CB65" s="3211">
        <v>34.5</v>
      </c>
      <c r="CC65" s="3211">
        <f>SUM(CB65/CB9*CC9)</f>
        <v>34.298179051412454</v>
      </c>
      <c r="CD65" s="3211">
        <f>SUM(CB65/CB9*CD9)</f>
        <v>0.20182094858754193</v>
      </c>
      <c r="CE65" s="3194">
        <f t="shared" si="579"/>
        <v>173.61999999999998</v>
      </c>
      <c r="CF65" s="3194">
        <f t="shared" si="580"/>
        <v>173.61999999999998</v>
      </c>
      <c r="CG65" s="3194">
        <f t="shared" si="581"/>
        <v>0</v>
      </c>
      <c r="CH65" s="3194">
        <f t="shared" si="564"/>
        <v>139.11999999999998</v>
      </c>
      <c r="CI65" s="3194">
        <f t="shared" si="565"/>
        <v>139.32182094858751</v>
      </c>
      <c r="CJ65" s="3194">
        <f t="shared" si="566"/>
        <v>-0.20182094858754193</v>
      </c>
      <c r="CK65" s="3259"/>
      <c r="CL65" s="3259"/>
      <c r="CM65" s="3259"/>
    </row>
    <row r="66" spans="1:91" ht="18.75" customHeight="1" x14ac:dyDescent="0.3">
      <c r="A66" s="3172" t="s">
        <v>605</v>
      </c>
      <c r="B66" s="3208">
        <f t="shared" si="601"/>
        <v>386.96500000000003</v>
      </c>
      <c r="C66" s="3277">
        <f t="shared" ref="C66:D66" si="624">SUM(C67:C70)</f>
        <v>384.70130019216879</v>
      </c>
      <c r="D66" s="3277">
        <f t="shared" si="624"/>
        <v>2.2636998078312511</v>
      </c>
      <c r="E66" s="3136">
        <f>SUM(E67:E70)</f>
        <v>0.87000000000000011</v>
      </c>
      <c r="F66" s="3136">
        <f t="shared" ref="F66:G66" si="625">SUM(F67:F70)</f>
        <v>0.87000000000000011</v>
      </c>
      <c r="G66" s="3136">
        <f t="shared" si="625"/>
        <v>0</v>
      </c>
      <c r="H66" s="3136">
        <f>SUM(H67:H70)</f>
        <v>0</v>
      </c>
      <c r="I66" s="3136">
        <f t="shared" ref="I66" si="626">SUM(I67:I70)</f>
        <v>0</v>
      </c>
      <c r="J66" s="3136">
        <f t="shared" ref="J66" si="627">SUM(J67:J70)</f>
        <v>0</v>
      </c>
      <c r="K66" s="3136">
        <f>SUM(K67:K70)</f>
        <v>5.3900000000000006</v>
      </c>
      <c r="L66" s="3136">
        <f t="shared" ref="L66" si="628">SUM(L67:L70)</f>
        <v>5.3900000000000006</v>
      </c>
      <c r="M66" s="3136">
        <f t="shared" ref="M66" si="629">SUM(M67:M70)</f>
        <v>0</v>
      </c>
      <c r="N66" s="3136">
        <f t="shared" si="518"/>
        <v>6.2600000000000007</v>
      </c>
      <c r="O66" s="3136">
        <f t="shared" si="519"/>
        <v>6.2600000000000007</v>
      </c>
      <c r="P66" s="3136">
        <f t="shared" si="520"/>
        <v>0</v>
      </c>
      <c r="Q66" s="3208">
        <f t="shared" ref="Q66:Q71" si="630">SUM(R66:S66)</f>
        <v>386.96500000000003</v>
      </c>
      <c r="R66" s="3277">
        <f t="shared" ref="R66:S66" si="631">SUM(R67:R70)</f>
        <v>384.70130019216879</v>
      </c>
      <c r="S66" s="3277">
        <f t="shared" si="631"/>
        <v>2.2636998078312511</v>
      </c>
      <c r="T66" s="3136">
        <f>SUM(T67:T70)</f>
        <v>41.93</v>
      </c>
      <c r="U66" s="3136">
        <f t="shared" ref="U66:V66" si="632">SUM(U67:U70)</f>
        <v>41.93</v>
      </c>
      <c r="V66" s="3136">
        <f t="shared" si="632"/>
        <v>0</v>
      </c>
      <c r="W66" s="3136">
        <f>SUM(W67:W70)</f>
        <v>1.5</v>
      </c>
      <c r="X66" s="3136">
        <f t="shared" ref="X66:Y66" si="633">SUM(X67:X70)</f>
        <v>1.5</v>
      </c>
      <c r="Y66" s="3136">
        <f t="shared" si="633"/>
        <v>0</v>
      </c>
      <c r="Z66" s="3136">
        <f>SUM(Z67:Z70)</f>
        <v>15.515000000000001</v>
      </c>
      <c r="AA66" s="3136">
        <f t="shared" ref="AA66:AB66" si="634">SUM(AA67:AA70)</f>
        <v>15.515000000000001</v>
      </c>
      <c r="AB66" s="3136">
        <f t="shared" si="634"/>
        <v>0</v>
      </c>
      <c r="AC66" s="3136">
        <f t="shared" si="528"/>
        <v>58.945</v>
      </c>
      <c r="AD66" s="3136">
        <f t="shared" si="529"/>
        <v>58.945</v>
      </c>
      <c r="AE66" s="3136">
        <f t="shared" si="530"/>
        <v>0</v>
      </c>
      <c r="AF66" s="3209">
        <f t="shared" si="424"/>
        <v>773.93000000000006</v>
      </c>
      <c r="AG66" s="3209">
        <f t="shared" si="425"/>
        <v>769.40260038433757</v>
      </c>
      <c r="AH66" s="3209">
        <f t="shared" si="426"/>
        <v>4.5273996156625023</v>
      </c>
      <c r="AI66" s="3264">
        <f t="shared" si="531"/>
        <v>65.204999999999998</v>
      </c>
      <c r="AJ66" s="3264">
        <f t="shared" si="532"/>
        <v>65.204999999999998</v>
      </c>
      <c r="AK66" s="3264">
        <f t="shared" si="533"/>
        <v>0</v>
      </c>
      <c r="AL66" s="3264">
        <f t="shared" si="534"/>
        <v>-708.72500000000002</v>
      </c>
      <c r="AM66" s="3264">
        <f t="shared" si="535"/>
        <v>-704.19760038433753</v>
      </c>
      <c r="AN66" s="3264">
        <f t="shared" si="536"/>
        <v>-4.5273996156625023</v>
      </c>
      <c r="AO66" s="3208">
        <f t="shared" si="612"/>
        <v>386.96500000000003</v>
      </c>
      <c r="AP66" s="3277">
        <f t="shared" ref="AP66:AQ66" si="635">SUM(AP67:AP70)</f>
        <v>384.70130019216879</v>
      </c>
      <c r="AQ66" s="3277">
        <f t="shared" si="635"/>
        <v>2.2636998078312511</v>
      </c>
      <c r="AR66" s="3136">
        <f>SUM(AR67:AR70)</f>
        <v>39.43</v>
      </c>
      <c r="AS66" s="3136">
        <f t="shared" ref="AS66:AT66" si="636">SUM(AS67:AS70)</f>
        <v>39.43</v>
      </c>
      <c r="AT66" s="3136">
        <f t="shared" si="636"/>
        <v>0</v>
      </c>
      <c r="AU66" s="3136">
        <f>SUM(AU67:AU70)</f>
        <v>126.85000000000001</v>
      </c>
      <c r="AV66" s="3136">
        <f t="shared" ref="AV66:AW66" si="637">SUM(AV67:AV70)</f>
        <v>126.85000000000001</v>
      </c>
      <c r="AW66" s="3136">
        <f t="shared" si="637"/>
        <v>0</v>
      </c>
      <c r="AX66" s="3136">
        <f>SUM(AX67:AX70)</f>
        <v>16</v>
      </c>
      <c r="AY66" s="3136">
        <f t="shared" ref="AY66:AZ66" si="638">SUM(AY67:AY70)</f>
        <v>16</v>
      </c>
      <c r="AZ66" s="3136">
        <f t="shared" si="638"/>
        <v>0</v>
      </c>
      <c r="BA66" s="3136">
        <f t="shared" si="544"/>
        <v>182.28</v>
      </c>
      <c r="BB66" s="3136">
        <f t="shared" si="545"/>
        <v>182.28</v>
      </c>
      <c r="BC66" s="3136">
        <f t="shared" si="546"/>
        <v>0</v>
      </c>
      <c r="BD66" s="3209">
        <f t="shared" si="257"/>
        <v>1160.8950000000002</v>
      </c>
      <c r="BE66" s="3209">
        <f t="shared" si="258"/>
        <v>1154.1039005765065</v>
      </c>
      <c r="BF66" s="3209">
        <f t="shared" si="259"/>
        <v>6.791099423493753</v>
      </c>
      <c r="BG66" s="3264">
        <f t="shared" si="547"/>
        <v>247.48500000000001</v>
      </c>
      <c r="BH66" s="3264">
        <f t="shared" si="548"/>
        <v>247.48500000000001</v>
      </c>
      <c r="BI66" s="3264">
        <f t="shared" si="549"/>
        <v>0</v>
      </c>
      <c r="BJ66" s="3264">
        <f t="shared" si="550"/>
        <v>-913.4100000000002</v>
      </c>
      <c r="BK66" s="3264">
        <f t="shared" si="551"/>
        <v>-906.61890057650646</v>
      </c>
      <c r="BL66" s="3264">
        <f t="shared" si="552"/>
        <v>-6.791099423493753</v>
      </c>
      <c r="BM66" s="3208">
        <f t="shared" si="618"/>
        <v>386.96500000000003</v>
      </c>
      <c r="BN66" s="3277">
        <f t="shared" ref="BN66:BO66" si="639">SUM(BN67:BN70)</f>
        <v>384.70130019216879</v>
      </c>
      <c r="BO66" s="3277">
        <f t="shared" si="639"/>
        <v>2.2636998078312511</v>
      </c>
      <c r="BP66" s="3136">
        <f>SUM(BP67:BP70)</f>
        <v>0</v>
      </c>
      <c r="BQ66" s="3136">
        <f t="shared" ref="BQ66:BR66" si="640">SUM(BQ67:BQ70)</f>
        <v>0</v>
      </c>
      <c r="BR66" s="3136">
        <f t="shared" si="640"/>
        <v>0</v>
      </c>
      <c r="BS66" s="3136">
        <f>SUM(BS67:BS70)</f>
        <v>0</v>
      </c>
      <c r="BT66" s="3136">
        <f t="shared" ref="BT66:BU66" si="641">SUM(BT67:BT70)</f>
        <v>0</v>
      </c>
      <c r="BU66" s="3136">
        <f t="shared" si="641"/>
        <v>0</v>
      </c>
      <c r="BV66" s="3136">
        <f>SUM(BV67:BV70)</f>
        <v>0</v>
      </c>
      <c r="BW66" s="3136">
        <f t="shared" ref="BW66:BX66" si="642">SUM(BW67:BW70)</f>
        <v>0</v>
      </c>
      <c r="BX66" s="3136">
        <f t="shared" si="642"/>
        <v>0</v>
      </c>
      <c r="BY66" s="3136">
        <f t="shared" si="560"/>
        <v>0</v>
      </c>
      <c r="BZ66" s="3136">
        <f t="shared" si="561"/>
        <v>0</v>
      </c>
      <c r="CA66" s="3136">
        <f t="shared" si="562"/>
        <v>0</v>
      </c>
      <c r="CB66" s="3209">
        <f t="shared" si="158"/>
        <v>1547.8600000000001</v>
      </c>
      <c r="CC66" s="3287">
        <f t="shared" ref="CC66:CD66" si="643">SUM(CC67:CC70)</f>
        <v>1538.8052007686751</v>
      </c>
      <c r="CD66" s="3287">
        <f t="shared" si="643"/>
        <v>9.0547992313250045</v>
      </c>
      <c r="CE66" s="3264">
        <f t="shared" si="579"/>
        <v>247.48500000000001</v>
      </c>
      <c r="CF66" s="3264">
        <f t="shared" si="580"/>
        <v>247.48500000000001</v>
      </c>
      <c r="CG66" s="3264">
        <f t="shared" si="581"/>
        <v>0</v>
      </c>
      <c r="CH66" s="3264">
        <f t="shared" si="564"/>
        <v>-1300.375</v>
      </c>
      <c r="CI66" s="3264">
        <f t="shared" si="565"/>
        <v>-1291.320200768675</v>
      </c>
      <c r="CJ66" s="3264">
        <f t="shared" si="566"/>
        <v>-9.0547992313250045</v>
      </c>
      <c r="CK66" s="3259"/>
      <c r="CL66" s="3259"/>
      <c r="CM66" s="3259"/>
    </row>
    <row r="67" spans="1:91" ht="18.75" customHeight="1" x14ac:dyDescent="0.3">
      <c r="A67" s="3079" t="s">
        <v>543</v>
      </c>
      <c r="B67" s="3210">
        <f t="shared" ref="B67:B71" si="644">SUM(C67:D67)</f>
        <v>56.354999999999997</v>
      </c>
      <c r="C67" s="3210">
        <f t="shared" ref="C67:C70" si="645">SUM(CC67/4)</f>
        <v>56.025329867894172</v>
      </c>
      <c r="D67" s="3210">
        <f t="shared" ref="D67:D70" si="646">SUM(CD67/4)</f>
        <v>0.32967013210582391</v>
      </c>
      <c r="E67" s="3145">
        <f t="shared" si="510"/>
        <v>0</v>
      </c>
      <c r="F67" s="3149"/>
      <c r="G67" s="3149"/>
      <c r="H67" s="3145">
        <f t="shared" ref="H67:H70" si="647">SUM(I67:J67)</f>
        <v>0</v>
      </c>
      <c r="I67" s="3149"/>
      <c r="J67" s="3149"/>
      <c r="K67" s="3145">
        <f t="shared" ref="K67:K70" si="648">SUM(L67:M67)</f>
        <v>0</v>
      </c>
      <c r="L67" s="3149"/>
      <c r="M67" s="3149"/>
      <c r="N67" s="3145">
        <f t="shared" si="518"/>
        <v>0</v>
      </c>
      <c r="O67" s="3145">
        <f t="shared" si="519"/>
        <v>0</v>
      </c>
      <c r="P67" s="3145">
        <f t="shared" si="520"/>
        <v>0</v>
      </c>
      <c r="Q67" s="3210">
        <f t="shared" si="630"/>
        <v>56.354999999999997</v>
      </c>
      <c r="R67" s="3210">
        <f t="shared" ref="R67:R70" si="649">SUM(C67)</f>
        <v>56.025329867894172</v>
      </c>
      <c r="S67" s="3210">
        <f t="shared" ref="S67:S70" si="650">SUM(D67)</f>
        <v>0.32967013210582391</v>
      </c>
      <c r="T67" s="3145">
        <f t="shared" ref="T67:T74" si="651">SUM(U67:V67)</f>
        <v>0</v>
      </c>
      <c r="U67" s="3149"/>
      <c r="V67" s="3149"/>
      <c r="W67" s="3145">
        <f t="shared" ref="W67:W70" si="652">SUM(X67:Y67)</f>
        <v>0</v>
      </c>
      <c r="X67" s="3149"/>
      <c r="Y67" s="3149"/>
      <c r="Z67" s="3145">
        <f t="shared" ref="Z67:Z70" si="653">SUM(AA67:AB67)</f>
        <v>9.08</v>
      </c>
      <c r="AA67" s="3149">
        <v>9.08</v>
      </c>
      <c r="AB67" s="3149"/>
      <c r="AC67" s="3145">
        <f t="shared" si="528"/>
        <v>9.08</v>
      </c>
      <c r="AD67" s="3145">
        <f t="shared" si="529"/>
        <v>9.08</v>
      </c>
      <c r="AE67" s="3145">
        <f t="shared" si="530"/>
        <v>0</v>
      </c>
      <c r="AF67" s="3211">
        <f t="shared" si="424"/>
        <v>112.71</v>
      </c>
      <c r="AG67" s="3211">
        <f t="shared" si="425"/>
        <v>112.05065973578834</v>
      </c>
      <c r="AH67" s="3211">
        <f t="shared" si="426"/>
        <v>0.65934026421164782</v>
      </c>
      <c r="AI67" s="3194">
        <f t="shared" si="531"/>
        <v>9.08</v>
      </c>
      <c r="AJ67" s="3194">
        <f t="shared" si="532"/>
        <v>9.08</v>
      </c>
      <c r="AK67" s="3194">
        <f t="shared" si="533"/>
        <v>0</v>
      </c>
      <c r="AL67" s="3194">
        <f t="shared" si="534"/>
        <v>-103.63</v>
      </c>
      <c r="AM67" s="3194">
        <f t="shared" si="535"/>
        <v>-102.97065973578835</v>
      </c>
      <c r="AN67" s="3194">
        <f t="shared" si="536"/>
        <v>-0.65934026421164782</v>
      </c>
      <c r="AO67" s="3210">
        <f t="shared" ref="AO67:AO71" si="654">SUM(AP67:AQ67)</f>
        <v>56.354999999999997</v>
      </c>
      <c r="AP67" s="3210">
        <f t="shared" ref="AP67:AP70" si="655">SUM(CC67-AG67)/2</f>
        <v>56.025329867894172</v>
      </c>
      <c r="AQ67" s="3210">
        <f t="shared" ref="AQ67:AQ70" si="656">SUM(CD67-AH67)/2</f>
        <v>0.32967013210582391</v>
      </c>
      <c r="AR67" s="3145">
        <f t="shared" ref="AR67:AR74" si="657">SUM(AS67:AT67)</f>
        <v>38.869999999999997</v>
      </c>
      <c r="AS67" s="3149">
        <v>38.869999999999997</v>
      </c>
      <c r="AT67" s="3149"/>
      <c r="AU67" s="3145">
        <f t="shared" ref="AU67:AU70" si="658">SUM(AV67:AW67)</f>
        <v>121.25</v>
      </c>
      <c r="AV67" s="3149">
        <f>59.05+62.2</f>
        <v>121.25</v>
      </c>
      <c r="AW67" s="3149"/>
      <c r="AX67" s="3145">
        <f t="shared" ref="AX67:AX70" si="659">SUM(AY67:AZ67)</f>
        <v>16</v>
      </c>
      <c r="AY67" s="3149">
        <v>16</v>
      </c>
      <c r="AZ67" s="3149"/>
      <c r="BA67" s="3145">
        <f t="shared" si="544"/>
        <v>176.12</v>
      </c>
      <c r="BB67" s="3145">
        <f t="shared" si="545"/>
        <v>176.12</v>
      </c>
      <c r="BC67" s="3145">
        <f t="shared" si="546"/>
        <v>0</v>
      </c>
      <c r="BD67" s="3211">
        <f t="shared" si="257"/>
        <v>169.06499999999997</v>
      </c>
      <c r="BE67" s="3211">
        <f t="shared" si="258"/>
        <v>168.0759896036825</v>
      </c>
      <c r="BF67" s="3211">
        <f t="shared" si="259"/>
        <v>0.98901039631747167</v>
      </c>
      <c r="BG67" s="3194">
        <f t="shared" si="547"/>
        <v>185.20000000000002</v>
      </c>
      <c r="BH67" s="3194">
        <f t="shared" si="548"/>
        <v>185.20000000000002</v>
      </c>
      <c r="BI67" s="3194">
        <f t="shared" si="549"/>
        <v>0</v>
      </c>
      <c r="BJ67" s="3194">
        <f t="shared" si="550"/>
        <v>16.135000000000048</v>
      </c>
      <c r="BK67" s="3194">
        <f t="shared" si="551"/>
        <v>17.124010396317516</v>
      </c>
      <c r="BL67" s="3194">
        <f t="shared" si="552"/>
        <v>-0.98901039631747167</v>
      </c>
      <c r="BM67" s="3210">
        <f t="shared" ref="BM67:BM71" si="660">SUM(BN67:BO67)</f>
        <v>56.354999999999997</v>
      </c>
      <c r="BN67" s="3210">
        <f t="shared" ref="BN67:BN70" si="661">SUM(AP67)</f>
        <v>56.025329867894172</v>
      </c>
      <c r="BO67" s="3210">
        <f t="shared" ref="BO67:BO70" si="662">SUM(AQ67)</f>
        <v>0.32967013210582391</v>
      </c>
      <c r="BP67" s="3145">
        <f t="shared" ref="BP67:BP74" si="663">SUM(BQ67:BR67)</f>
        <v>0</v>
      </c>
      <c r="BQ67" s="3149"/>
      <c r="BR67" s="3149"/>
      <c r="BS67" s="3145">
        <f t="shared" ref="BS67:BS70" si="664">SUM(BT67:BU67)</f>
        <v>0</v>
      </c>
      <c r="BT67" s="3149"/>
      <c r="BU67" s="3149"/>
      <c r="BV67" s="3145">
        <f t="shared" ref="BV67:BV70" si="665">SUM(BW67:BX67)</f>
        <v>0</v>
      </c>
      <c r="BW67" s="3149"/>
      <c r="BX67" s="3149"/>
      <c r="BY67" s="3145">
        <f t="shared" si="560"/>
        <v>0</v>
      </c>
      <c r="BZ67" s="3145">
        <f t="shared" si="561"/>
        <v>0</v>
      </c>
      <c r="CA67" s="3145">
        <f t="shared" si="562"/>
        <v>0</v>
      </c>
      <c r="CB67" s="3211">
        <v>225.42</v>
      </c>
      <c r="CC67" s="3211">
        <f>SUM(CB67/CB9*CC9)</f>
        <v>224.10131947157669</v>
      </c>
      <c r="CD67" s="3211">
        <f>SUM(CB67/CB9*CD9)</f>
        <v>1.3186805284232956</v>
      </c>
      <c r="CE67" s="3194">
        <f t="shared" si="579"/>
        <v>185.20000000000002</v>
      </c>
      <c r="CF67" s="3194">
        <f t="shared" si="580"/>
        <v>185.20000000000002</v>
      </c>
      <c r="CG67" s="3194">
        <f t="shared" si="581"/>
        <v>0</v>
      </c>
      <c r="CH67" s="3194">
        <f t="shared" si="564"/>
        <v>-40.21999999999997</v>
      </c>
      <c r="CI67" s="3194">
        <f t="shared" si="565"/>
        <v>-38.90131947157667</v>
      </c>
      <c r="CJ67" s="3194">
        <f t="shared" si="566"/>
        <v>-1.3186805284232956</v>
      </c>
      <c r="CK67" s="3259"/>
      <c r="CL67" s="3259"/>
      <c r="CM67" s="3259"/>
    </row>
    <row r="68" spans="1:91" ht="18.75" customHeight="1" x14ac:dyDescent="0.3">
      <c r="A68" s="3079" t="s">
        <v>639</v>
      </c>
      <c r="B68" s="3210">
        <f t="shared" si="644"/>
        <v>328.27000000000004</v>
      </c>
      <c r="C68" s="3210">
        <f t="shared" si="645"/>
        <v>326.34965904948314</v>
      </c>
      <c r="D68" s="3210">
        <f t="shared" si="646"/>
        <v>1.9203409505168809</v>
      </c>
      <c r="E68" s="3145">
        <f t="shared" si="510"/>
        <v>0.87000000000000011</v>
      </c>
      <c r="F68" s="3149">
        <f>0.55+0.32</f>
        <v>0.87000000000000011</v>
      </c>
      <c r="G68" s="3149"/>
      <c r="H68" s="3145">
        <f t="shared" si="647"/>
        <v>0</v>
      </c>
      <c r="I68" s="3149"/>
      <c r="J68" s="3149"/>
      <c r="K68" s="3145">
        <f t="shared" si="648"/>
        <v>5.3900000000000006</v>
      </c>
      <c r="L68" s="3149">
        <f>5.2+0.19</f>
        <v>5.3900000000000006</v>
      </c>
      <c r="M68" s="3149"/>
      <c r="N68" s="3145">
        <f t="shared" si="518"/>
        <v>6.2600000000000007</v>
      </c>
      <c r="O68" s="3145">
        <f t="shared" si="519"/>
        <v>6.2600000000000007</v>
      </c>
      <c r="P68" s="3145">
        <f t="shared" si="520"/>
        <v>0</v>
      </c>
      <c r="Q68" s="3210">
        <f t="shared" si="630"/>
        <v>328.27000000000004</v>
      </c>
      <c r="R68" s="3210">
        <f t="shared" si="649"/>
        <v>326.34965904948314</v>
      </c>
      <c r="S68" s="3210">
        <f t="shared" si="650"/>
        <v>1.9203409505168809</v>
      </c>
      <c r="T68" s="3145">
        <f t="shared" si="651"/>
        <v>21.560000000000002</v>
      </c>
      <c r="U68" s="3149">
        <f>20.8+0.76</f>
        <v>21.560000000000002</v>
      </c>
      <c r="V68" s="3149"/>
      <c r="W68" s="3145">
        <f t="shared" si="652"/>
        <v>1.5</v>
      </c>
      <c r="X68" s="3149">
        <v>1.5</v>
      </c>
      <c r="Y68" s="3149"/>
      <c r="Z68" s="3145">
        <f t="shared" si="653"/>
        <v>6.4350000000000005</v>
      </c>
      <c r="AA68" s="3149">
        <f>0.76+5.4+0.275</f>
        <v>6.4350000000000005</v>
      </c>
      <c r="AB68" s="3149"/>
      <c r="AC68" s="3145">
        <f t="shared" si="528"/>
        <v>29.495000000000005</v>
      </c>
      <c r="AD68" s="3145">
        <f t="shared" si="529"/>
        <v>29.495000000000005</v>
      </c>
      <c r="AE68" s="3145">
        <f t="shared" si="530"/>
        <v>0</v>
      </c>
      <c r="AF68" s="3211">
        <f t="shared" si="424"/>
        <v>656.54000000000008</v>
      </c>
      <c r="AG68" s="3211">
        <f t="shared" si="425"/>
        <v>652.69931809896627</v>
      </c>
      <c r="AH68" s="3211">
        <f t="shared" si="426"/>
        <v>3.8406819010337618</v>
      </c>
      <c r="AI68" s="3194">
        <f t="shared" si="531"/>
        <v>35.755000000000003</v>
      </c>
      <c r="AJ68" s="3194">
        <f t="shared" si="532"/>
        <v>35.755000000000003</v>
      </c>
      <c r="AK68" s="3194">
        <f t="shared" si="533"/>
        <v>0</v>
      </c>
      <c r="AL68" s="3194">
        <f t="shared" si="534"/>
        <v>-620.78500000000008</v>
      </c>
      <c r="AM68" s="3194">
        <f t="shared" si="535"/>
        <v>-616.94431809896628</v>
      </c>
      <c r="AN68" s="3194">
        <f t="shared" si="536"/>
        <v>-3.8406819010337618</v>
      </c>
      <c r="AO68" s="3210">
        <f t="shared" si="654"/>
        <v>328.27000000000004</v>
      </c>
      <c r="AP68" s="3210">
        <f t="shared" si="655"/>
        <v>326.34965904948314</v>
      </c>
      <c r="AQ68" s="3210">
        <f t="shared" si="656"/>
        <v>1.9203409505168809</v>
      </c>
      <c r="AR68" s="3145">
        <f t="shared" si="657"/>
        <v>0.56000000000000005</v>
      </c>
      <c r="AS68" s="3149">
        <v>0.56000000000000005</v>
      </c>
      <c r="AT68" s="3149"/>
      <c r="AU68" s="3145">
        <f t="shared" si="658"/>
        <v>4.9000000000000004</v>
      </c>
      <c r="AV68" s="3149">
        <f>0.74+4.16</f>
        <v>4.9000000000000004</v>
      </c>
      <c r="AW68" s="3149"/>
      <c r="AX68" s="3145">
        <f t="shared" si="659"/>
        <v>0</v>
      </c>
      <c r="AY68" s="3149"/>
      <c r="AZ68" s="3149"/>
      <c r="BA68" s="3145">
        <f t="shared" si="544"/>
        <v>5.4600000000000009</v>
      </c>
      <c r="BB68" s="3145">
        <f t="shared" si="545"/>
        <v>5.4600000000000009</v>
      </c>
      <c r="BC68" s="3145">
        <f t="shared" si="546"/>
        <v>0</v>
      </c>
      <c r="BD68" s="3211">
        <f t="shared" si="257"/>
        <v>984.81000000000006</v>
      </c>
      <c r="BE68" s="3211">
        <f t="shared" si="258"/>
        <v>979.04897714844947</v>
      </c>
      <c r="BF68" s="3211">
        <f t="shared" si="259"/>
        <v>5.761022851550643</v>
      </c>
      <c r="BG68" s="3194">
        <f t="shared" si="547"/>
        <v>41.215000000000003</v>
      </c>
      <c r="BH68" s="3194">
        <f t="shared" si="548"/>
        <v>41.215000000000003</v>
      </c>
      <c r="BI68" s="3194">
        <f t="shared" si="549"/>
        <v>0</v>
      </c>
      <c r="BJ68" s="3194">
        <f t="shared" si="550"/>
        <v>-943.59500000000003</v>
      </c>
      <c r="BK68" s="3194">
        <f t="shared" si="551"/>
        <v>-937.83397714844943</v>
      </c>
      <c r="BL68" s="3194">
        <f t="shared" si="552"/>
        <v>-5.761022851550643</v>
      </c>
      <c r="BM68" s="3210">
        <f t="shared" si="660"/>
        <v>328.27000000000004</v>
      </c>
      <c r="BN68" s="3210">
        <f t="shared" si="661"/>
        <v>326.34965904948314</v>
      </c>
      <c r="BO68" s="3210">
        <f t="shared" si="662"/>
        <v>1.9203409505168809</v>
      </c>
      <c r="BP68" s="3145">
        <f t="shared" si="663"/>
        <v>0</v>
      </c>
      <c r="BQ68" s="3149"/>
      <c r="BR68" s="3149"/>
      <c r="BS68" s="3145">
        <f t="shared" si="664"/>
        <v>0</v>
      </c>
      <c r="BT68" s="3149"/>
      <c r="BU68" s="3149"/>
      <c r="BV68" s="3145">
        <f t="shared" si="665"/>
        <v>0</v>
      </c>
      <c r="BW68" s="3149"/>
      <c r="BX68" s="3149"/>
      <c r="BY68" s="3145">
        <f t="shared" si="560"/>
        <v>0</v>
      </c>
      <c r="BZ68" s="3145">
        <f t="shared" si="561"/>
        <v>0</v>
      </c>
      <c r="CA68" s="3145">
        <f t="shared" si="562"/>
        <v>0</v>
      </c>
      <c r="CB68" s="3211">
        <v>1313.08</v>
      </c>
      <c r="CC68" s="3211">
        <f>SUM(CB68/CB9*CC9)</f>
        <v>1305.3986361979325</v>
      </c>
      <c r="CD68" s="3211">
        <f>SUM(CB68/CB9*CD9)</f>
        <v>7.6813638020675237</v>
      </c>
      <c r="CE68" s="3194">
        <f t="shared" si="579"/>
        <v>41.215000000000003</v>
      </c>
      <c r="CF68" s="3194">
        <f t="shared" si="580"/>
        <v>41.215000000000003</v>
      </c>
      <c r="CG68" s="3194">
        <f t="shared" si="581"/>
        <v>0</v>
      </c>
      <c r="CH68" s="3194">
        <f t="shared" si="564"/>
        <v>-1271.865</v>
      </c>
      <c r="CI68" s="3194">
        <f t="shared" si="565"/>
        <v>-1264.1836361979326</v>
      </c>
      <c r="CJ68" s="3194">
        <f t="shared" si="566"/>
        <v>-7.6813638020675237</v>
      </c>
      <c r="CK68" s="3259"/>
      <c r="CL68" s="3259"/>
      <c r="CM68" s="3259"/>
    </row>
    <row r="69" spans="1:91" ht="18.75" customHeight="1" x14ac:dyDescent="0.3">
      <c r="A69" s="3079" t="s">
        <v>552</v>
      </c>
      <c r="B69" s="3210">
        <f t="shared" si="644"/>
        <v>2.0400000000000005</v>
      </c>
      <c r="C69" s="3210">
        <f t="shared" si="645"/>
        <v>2.0280662395617806</v>
      </c>
      <c r="D69" s="3210">
        <f t="shared" si="646"/>
        <v>1.1933760438219872E-2</v>
      </c>
      <c r="E69" s="3145">
        <f t="shared" si="510"/>
        <v>0</v>
      </c>
      <c r="F69" s="3149"/>
      <c r="G69" s="3149"/>
      <c r="H69" s="3145">
        <f t="shared" si="647"/>
        <v>0</v>
      </c>
      <c r="I69" s="3149"/>
      <c r="J69" s="3149"/>
      <c r="K69" s="3145">
        <f t="shared" si="648"/>
        <v>0</v>
      </c>
      <c r="L69" s="3149"/>
      <c r="M69" s="3149"/>
      <c r="N69" s="3145">
        <f t="shared" si="518"/>
        <v>0</v>
      </c>
      <c r="O69" s="3145">
        <f t="shared" si="519"/>
        <v>0</v>
      </c>
      <c r="P69" s="3145">
        <f t="shared" si="520"/>
        <v>0</v>
      </c>
      <c r="Q69" s="3210">
        <f t="shared" si="630"/>
        <v>2.0400000000000005</v>
      </c>
      <c r="R69" s="3210">
        <f t="shared" si="649"/>
        <v>2.0280662395617806</v>
      </c>
      <c r="S69" s="3210">
        <f t="shared" si="650"/>
        <v>1.1933760438219872E-2</v>
      </c>
      <c r="T69" s="3145">
        <f t="shared" si="651"/>
        <v>20.369999999999997</v>
      </c>
      <c r="U69" s="3149">
        <f>7.77+9.1+3.5</f>
        <v>20.369999999999997</v>
      </c>
      <c r="V69" s="3149"/>
      <c r="W69" s="3145">
        <f t="shared" si="652"/>
        <v>0</v>
      </c>
      <c r="X69" s="3149"/>
      <c r="Y69" s="3149"/>
      <c r="Z69" s="3145">
        <f t="shared" si="653"/>
        <v>0</v>
      </c>
      <c r="AA69" s="3149"/>
      <c r="AB69" s="3149"/>
      <c r="AC69" s="3145">
        <f t="shared" si="528"/>
        <v>20.369999999999997</v>
      </c>
      <c r="AD69" s="3145">
        <f t="shared" si="529"/>
        <v>20.369999999999997</v>
      </c>
      <c r="AE69" s="3145">
        <f t="shared" si="530"/>
        <v>0</v>
      </c>
      <c r="AF69" s="3211">
        <f t="shared" si="424"/>
        <v>4.080000000000001</v>
      </c>
      <c r="AG69" s="3211">
        <f t="shared" si="425"/>
        <v>4.0561324791235611</v>
      </c>
      <c r="AH69" s="3211">
        <f t="shared" si="426"/>
        <v>2.3867520876439743E-2</v>
      </c>
      <c r="AI69" s="3194">
        <f t="shared" si="531"/>
        <v>20.369999999999997</v>
      </c>
      <c r="AJ69" s="3194">
        <f t="shared" si="532"/>
        <v>20.369999999999997</v>
      </c>
      <c r="AK69" s="3194">
        <f t="shared" si="533"/>
        <v>0</v>
      </c>
      <c r="AL69" s="3194">
        <f t="shared" si="534"/>
        <v>16.289999999999996</v>
      </c>
      <c r="AM69" s="3194">
        <f t="shared" si="535"/>
        <v>16.313867520876435</v>
      </c>
      <c r="AN69" s="3194">
        <f t="shared" si="536"/>
        <v>-2.3867520876439743E-2</v>
      </c>
      <c r="AO69" s="3210">
        <f t="shared" si="654"/>
        <v>2.0400000000000005</v>
      </c>
      <c r="AP69" s="3210">
        <f t="shared" si="655"/>
        <v>2.0280662395617806</v>
      </c>
      <c r="AQ69" s="3210">
        <f t="shared" si="656"/>
        <v>1.1933760438219872E-2</v>
      </c>
      <c r="AR69" s="3145">
        <f t="shared" si="657"/>
        <v>0</v>
      </c>
      <c r="AS69" s="3149"/>
      <c r="AT69" s="3149"/>
      <c r="AU69" s="3145">
        <f t="shared" si="658"/>
        <v>0.7</v>
      </c>
      <c r="AV69" s="3149">
        <f>0.35+0.35</f>
        <v>0.7</v>
      </c>
      <c r="AW69" s="3149"/>
      <c r="AX69" s="3145">
        <f t="shared" si="659"/>
        <v>0</v>
      </c>
      <c r="AY69" s="3149"/>
      <c r="AZ69" s="3149"/>
      <c r="BA69" s="3145">
        <f t="shared" si="544"/>
        <v>0.7</v>
      </c>
      <c r="BB69" s="3145">
        <f t="shared" si="545"/>
        <v>0.7</v>
      </c>
      <c r="BC69" s="3145">
        <f t="shared" si="546"/>
        <v>0</v>
      </c>
      <c r="BD69" s="3211">
        <f t="shared" si="257"/>
        <v>6.120000000000001</v>
      </c>
      <c r="BE69" s="3211">
        <f t="shared" si="258"/>
        <v>6.0841987186853412</v>
      </c>
      <c r="BF69" s="3211">
        <f t="shared" si="259"/>
        <v>3.5801281314659615E-2</v>
      </c>
      <c r="BG69" s="3194">
        <f t="shared" si="547"/>
        <v>21.069999999999997</v>
      </c>
      <c r="BH69" s="3194">
        <f t="shared" si="548"/>
        <v>21.069999999999997</v>
      </c>
      <c r="BI69" s="3194">
        <f t="shared" si="549"/>
        <v>0</v>
      </c>
      <c r="BJ69" s="3194">
        <f t="shared" si="550"/>
        <v>14.949999999999996</v>
      </c>
      <c r="BK69" s="3194">
        <f t="shared" si="551"/>
        <v>14.985801281314655</v>
      </c>
      <c r="BL69" s="3194">
        <f t="shared" si="552"/>
        <v>-3.5801281314659615E-2</v>
      </c>
      <c r="BM69" s="3210">
        <f t="shared" si="660"/>
        <v>2.0400000000000005</v>
      </c>
      <c r="BN69" s="3210">
        <f t="shared" si="661"/>
        <v>2.0280662395617806</v>
      </c>
      <c r="BO69" s="3210">
        <f t="shared" si="662"/>
        <v>1.1933760438219872E-2</v>
      </c>
      <c r="BP69" s="3145">
        <f t="shared" si="663"/>
        <v>0</v>
      </c>
      <c r="BQ69" s="3149"/>
      <c r="BR69" s="3149"/>
      <c r="BS69" s="3145">
        <f t="shared" si="664"/>
        <v>0</v>
      </c>
      <c r="BT69" s="3149"/>
      <c r="BU69" s="3149"/>
      <c r="BV69" s="3145">
        <f t="shared" si="665"/>
        <v>0</v>
      </c>
      <c r="BW69" s="3149"/>
      <c r="BX69" s="3149"/>
      <c r="BY69" s="3145">
        <f t="shared" si="560"/>
        <v>0</v>
      </c>
      <c r="BZ69" s="3145">
        <f t="shared" si="561"/>
        <v>0</v>
      </c>
      <c r="CA69" s="3145">
        <f t="shared" si="562"/>
        <v>0</v>
      </c>
      <c r="CB69" s="3211">
        <v>8.16</v>
      </c>
      <c r="CC69" s="3211">
        <f>SUM(CB69/CB9*CC9)</f>
        <v>8.1122649582471222</v>
      </c>
      <c r="CD69" s="3211">
        <f>SUM(CB69/CB9*CD9)</f>
        <v>4.7735041752879487E-2</v>
      </c>
      <c r="CE69" s="3194">
        <f t="shared" si="579"/>
        <v>21.069999999999997</v>
      </c>
      <c r="CF69" s="3194">
        <f t="shared" si="580"/>
        <v>21.069999999999997</v>
      </c>
      <c r="CG69" s="3194">
        <f t="shared" si="581"/>
        <v>0</v>
      </c>
      <c r="CH69" s="3194">
        <f t="shared" si="564"/>
        <v>12.909999999999997</v>
      </c>
      <c r="CI69" s="3194">
        <f t="shared" si="565"/>
        <v>12.957735041752874</v>
      </c>
      <c r="CJ69" s="3194">
        <f t="shared" si="566"/>
        <v>-4.7735041752879487E-2</v>
      </c>
      <c r="CK69" s="3259"/>
      <c r="CL69" s="3259"/>
      <c r="CM69" s="3259"/>
    </row>
    <row r="70" spans="1:91" ht="18.75" customHeight="1" x14ac:dyDescent="0.3">
      <c r="A70" s="3079" t="s">
        <v>609</v>
      </c>
      <c r="B70" s="3210">
        <f t="shared" si="644"/>
        <v>0.3</v>
      </c>
      <c r="C70" s="3210">
        <f t="shared" si="645"/>
        <v>0.29824503522967355</v>
      </c>
      <c r="D70" s="3210">
        <f t="shared" si="646"/>
        <v>1.7549647703264516E-3</v>
      </c>
      <c r="E70" s="3145">
        <f t="shared" si="510"/>
        <v>0</v>
      </c>
      <c r="F70" s="3149"/>
      <c r="G70" s="3149"/>
      <c r="H70" s="3145">
        <f t="shared" si="647"/>
        <v>0</v>
      </c>
      <c r="I70" s="3149"/>
      <c r="J70" s="3149"/>
      <c r="K70" s="3145">
        <f t="shared" si="648"/>
        <v>0</v>
      </c>
      <c r="L70" s="3149"/>
      <c r="M70" s="3149"/>
      <c r="N70" s="3145">
        <f t="shared" si="518"/>
        <v>0</v>
      </c>
      <c r="O70" s="3145">
        <f t="shared" si="519"/>
        <v>0</v>
      </c>
      <c r="P70" s="3145">
        <f t="shared" si="520"/>
        <v>0</v>
      </c>
      <c r="Q70" s="3210">
        <f t="shared" si="630"/>
        <v>0.3</v>
      </c>
      <c r="R70" s="3210">
        <f t="shared" si="649"/>
        <v>0.29824503522967355</v>
      </c>
      <c r="S70" s="3210">
        <f t="shared" si="650"/>
        <v>1.7549647703264516E-3</v>
      </c>
      <c r="T70" s="3145">
        <f t="shared" si="651"/>
        <v>0</v>
      </c>
      <c r="U70" s="3149"/>
      <c r="V70" s="3149"/>
      <c r="W70" s="3145">
        <f t="shared" si="652"/>
        <v>0</v>
      </c>
      <c r="X70" s="3149"/>
      <c r="Y70" s="3149"/>
      <c r="Z70" s="3145">
        <f t="shared" si="653"/>
        <v>0</v>
      </c>
      <c r="AA70" s="3149"/>
      <c r="AB70" s="3149"/>
      <c r="AC70" s="3145">
        <f t="shared" si="528"/>
        <v>0</v>
      </c>
      <c r="AD70" s="3145">
        <f t="shared" si="529"/>
        <v>0</v>
      </c>
      <c r="AE70" s="3145">
        <f t="shared" si="530"/>
        <v>0</v>
      </c>
      <c r="AF70" s="3211">
        <f t="shared" si="424"/>
        <v>0.6</v>
      </c>
      <c r="AG70" s="3211">
        <f t="shared" si="425"/>
        <v>0.5964900704593471</v>
      </c>
      <c r="AH70" s="3211">
        <f t="shared" si="426"/>
        <v>3.5099295406529033E-3</v>
      </c>
      <c r="AI70" s="3194">
        <f t="shared" si="531"/>
        <v>0</v>
      </c>
      <c r="AJ70" s="3194">
        <f t="shared" si="532"/>
        <v>0</v>
      </c>
      <c r="AK70" s="3194">
        <f t="shared" si="533"/>
        <v>0</v>
      </c>
      <c r="AL70" s="3194">
        <f t="shared" si="534"/>
        <v>-0.6</v>
      </c>
      <c r="AM70" s="3194">
        <f t="shared" si="535"/>
        <v>-0.5964900704593471</v>
      </c>
      <c r="AN70" s="3194">
        <f t="shared" si="536"/>
        <v>-3.5099295406529033E-3</v>
      </c>
      <c r="AO70" s="3210">
        <f t="shared" si="654"/>
        <v>0.3</v>
      </c>
      <c r="AP70" s="3210">
        <f t="shared" si="655"/>
        <v>0.29824503522967355</v>
      </c>
      <c r="AQ70" s="3210">
        <f t="shared" si="656"/>
        <v>1.7549647703264516E-3</v>
      </c>
      <c r="AR70" s="3145">
        <f t="shared" si="657"/>
        <v>0</v>
      </c>
      <c r="AS70" s="3149"/>
      <c r="AT70" s="3149"/>
      <c r="AU70" s="3145">
        <f t="shared" si="658"/>
        <v>0</v>
      </c>
      <c r="AV70" s="3149"/>
      <c r="AW70" s="3149"/>
      <c r="AX70" s="3145">
        <f t="shared" si="659"/>
        <v>0</v>
      </c>
      <c r="AY70" s="3149"/>
      <c r="AZ70" s="3149"/>
      <c r="BA70" s="3145">
        <f t="shared" si="544"/>
        <v>0</v>
      </c>
      <c r="BB70" s="3145">
        <f t="shared" si="545"/>
        <v>0</v>
      </c>
      <c r="BC70" s="3145">
        <f t="shared" si="546"/>
        <v>0</v>
      </c>
      <c r="BD70" s="3211">
        <f t="shared" si="257"/>
        <v>0.9</v>
      </c>
      <c r="BE70" s="3211">
        <f t="shared" si="258"/>
        <v>0.8947351056890207</v>
      </c>
      <c r="BF70" s="3211">
        <f t="shared" si="259"/>
        <v>5.2648943109793551E-3</v>
      </c>
      <c r="BG70" s="3194">
        <f t="shared" si="547"/>
        <v>0</v>
      </c>
      <c r="BH70" s="3194">
        <f t="shared" si="548"/>
        <v>0</v>
      </c>
      <c r="BI70" s="3194">
        <f t="shared" si="549"/>
        <v>0</v>
      </c>
      <c r="BJ70" s="3194">
        <f t="shared" si="550"/>
        <v>-0.9</v>
      </c>
      <c r="BK70" s="3194">
        <f t="shared" si="551"/>
        <v>-0.8947351056890207</v>
      </c>
      <c r="BL70" s="3194">
        <f t="shared" si="552"/>
        <v>-5.2648943109793551E-3</v>
      </c>
      <c r="BM70" s="3210">
        <f t="shared" si="660"/>
        <v>0.3</v>
      </c>
      <c r="BN70" s="3210">
        <f t="shared" si="661"/>
        <v>0.29824503522967355</v>
      </c>
      <c r="BO70" s="3210">
        <f t="shared" si="662"/>
        <v>1.7549647703264516E-3</v>
      </c>
      <c r="BP70" s="3145">
        <f t="shared" si="663"/>
        <v>0</v>
      </c>
      <c r="BQ70" s="3149"/>
      <c r="BR70" s="3149"/>
      <c r="BS70" s="3145">
        <f t="shared" si="664"/>
        <v>0</v>
      </c>
      <c r="BT70" s="3149"/>
      <c r="BU70" s="3149"/>
      <c r="BV70" s="3145">
        <f t="shared" si="665"/>
        <v>0</v>
      </c>
      <c r="BW70" s="3149"/>
      <c r="BX70" s="3149"/>
      <c r="BY70" s="3145">
        <f t="shared" si="560"/>
        <v>0</v>
      </c>
      <c r="BZ70" s="3145">
        <f t="shared" si="561"/>
        <v>0</v>
      </c>
      <c r="CA70" s="3145">
        <f t="shared" si="562"/>
        <v>0</v>
      </c>
      <c r="CB70" s="3211">
        <v>1.2</v>
      </c>
      <c r="CC70" s="3211">
        <f>SUM(CB70/CB9*CC9)</f>
        <v>1.1929801409186942</v>
      </c>
      <c r="CD70" s="3211">
        <f>SUM(CB70/CB9*CD9)</f>
        <v>7.0198590813058065E-3</v>
      </c>
      <c r="CE70" s="3194">
        <f t="shared" si="579"/>
        <v>0</v>
      </c>
      <c r="CF70" s="3194">
        <f t="shared" si="580"/>
        <v>0</v>
      </c>
      <c r="CG70" s="3194">
        <f t="shared" si="581"/>
        <v>0</v>
      </c>
      <c r="CH70" s="3194">
        <f t="shared" si="564"/>
        <v>-1.2</v>
      </c>
      <c r="CI70" s="3194">
        <f t="shared" si="565"/>
        <v>-1.1929801409186942</v>
      </c>
      <c r="CJ70" s="3194">
        <f t="shared" si="566"/>
        <v>-7.0198590813058065E-3</v>
      </c>
      <c r="CK70" s="3259"/>
      <c r="CL70" s="3259"/>
      <c r="CM70" s="3259"/>
    </row>
    <row r="71" spans="1:91" ht="18.75" customHeight="1" x14ac:dyDescent="0.3">
      <c r="A71" s="3106" t="s">
        <v>540</v>
      </c>
      <c r="B71" s="3207">
        <f t="shared" si="644"/>
        <v>1127.9328037680079</v>
      </c>
      <c r="C71" s="3251">
        <f t="shared" ref="C71:G71" si="666">SUM(C72+C73+C74+C76+C77)</f>
        <v>1127.9328037680079</v>
      </c>
      <c r="D71" s="3251">
        <f t="shared" si="666"/>
        <v>0</v>
      </c>
      <c r="E71" s="3156">
        <f t="shared" si="510"/>
        <v>269.58</v>
      </c>
      <c r="F71" s="3156">
        <f t="shared" si="666"/>
        <v>269.58</v>
      </c>
      <c r="G71" s="3156">
        <f t="shared" si="666"/>
        <v>0</v>
      </c>
      <c r="H71" s="3156">
        <f t="shared" ref="H71:H74" si="667">SUM(I71:J71)</f>
        <v>369.71000000000004</v>
      </c>
      <c r="I71" s="3156">
        <f t="shared" ref="I71:J71" si="668">SUM(I72+I73+I74+I76+I77)</f>
        <v>369.71000000000004</v>
      </c>
      <c r="J71" s="3156">
        <f t="shared" si="668"/>
        <v>0</v>
      </c>
      <c r="K71" s="3156">
        <f t="shared" ref="K71:K74" si="669">SUM(L71:M71)</f>
        <v>558.16999999999996</v>
      </c>
      <c r="L71" s="3156">
        <f t="shared" ref="L71:M71" si="670">SUM(L72+L73+L74+L76+L77)</f>
        <v>558.16999999999996</v>
      </c>
      <c r="M71" s="3156">
        <f t="shared" si="670"/>
        <v>0</v>
      </c>
      <c r="N71" s="3156">
        <f t="shared" ref="N71:N89" si="671">SUM(O71:P71)</f>
        <v>1197.46</v>
      </c>
      <c r="O71" s="3156">
        <f t="shared" ref="O71:O89" si="672">SUM(F71+I71+L71)</f>
        <v>1197.46</v>
      </c>
      <c r="P71" s="3156">
        <f t="shared" ref="P71:P89" si="673">SUM(G71+J71+M71)</f>
        <v>0</v>
      </c>
      <c r="Q71" s="3207">
        <f t="shared" si="630"/>
        <v>1127.9328037680079</v>
      </c>
      <c r="R71" s="3251">
        <f t="shared" ref="R71:S71" si="674">SUM(R72+R73+R74+R76+R77)</f>
        <v>1127.9328037680079</v>
      </c>
      <c r="S71" s="3251">
        <f t="shared" si="674"/>
        <v>0</v>
      </c>
      <c r="T71" s="3156">
        <f t="shared" si="651"/>
        <v>375.90000000000003</v>
      </c>
      <c r="U71" s="3156">
        <f t="shared" ref="U71:V71" si="675">SUM(U72+U73+U74+U76+U77)</f>
        <v>375.90000000000003</v>
      </c>
      <c r="V71" s="3156">
        <f t="shared" si="675"/>
        <v>0</v>
      </c>
      <c r="W71" s="3156">
        <f t="shared" ref="W71:W74" si="676">SUM(X71:Y71)</f>
        <v>406.10400000000004</v>
      </c>
      <c r="X71" s="3156">
        <f t="shared" ref="X71:Y71" si="677">SUM(X72+X73+X74+X76+X77)</f>
        <v>406.10400000000004</v>
      </c>
      <c r="Y71" s="3156">
        <f t="shared" si="677"/>
        <v>0</v>
      </c>
      <c r="Z71" s="3156">
        <f t="shared" ref="Z71:Z74" si="678">SUM(AA71:AB71)</f>
        <v>283.74299999999999</v>
      </c>
      <c r="AA71" s="3156">
        <f t="shared" ref="AA71:AB71" si="679">SUM(AA72+AA73+AA74+AA76+AA77)</f>
        <v>283.74299999999999</v>
      </c>
      <c r="AB71" s="3156">
        <f t="shared" si="679"/>
        <v>0</v>
      </c>
      <c r="AC71" s="3156">
        <f t="shared" si="528"/>
        <v>1065.7470000000001</v>
      </c>
      <c r="AD71" s="3156">
        <f t="shared" si="529"/>
        <v>1065.7470000000001</v>
      </c>
      <c r="AE71" s="3156">
        <f t="shared" si="530"/>
        <v>0</v>
      </c>
      <c r="AF71" s="3206">
        <f t="shared" si="424"/>
        <v>2255.8656075360159</v>
      </c>
      <c r="AG71" s="3206">
        <f t="shared" si="425"/>
        <v>2255.8656075360159</v>
      </c>
      <c r="AH71" s="3206">
        <f t="shared" si="426"/>
        <v>0</v>
      </c>
      <c r="AI71" s="3193">
        <f t="shared" ref="AI71:AI74" si="680">SUM(AC71+N71)</f>
        <v>2263.2070000000003</v>
      </c>
      <c r="AJ71" s="3193">
        <f t="shared" ref="AJ71:AJ74" si="681">SUM(AD71+O71)</f>
        <v>2263.2070000000003</v>
      </c>
      <c r="AK71" s="3193">
        <f t="shared" ref="AK71:AK74" si="682">SUM(AE71+P71)</f>
        <v>0</v>
      </c>
      <c r="AL71" s="3193">
        <f t="shared" ref="AL71:AL89" si="683">SUM(AI71-AF71)</f>
        <v>7.3413924639844481</v>
      </c>
      <c r="AM71" s="3193">
        <f t="shared" ref="AM71:AM89" si="684">SUM(AJ71-AG71)</f>
        <v>7.3413924639844481</v>
      </c>
      <c r="AN71" s="3193">
        <f t="shared" ref="AN71:AN89" si="685">SUM(AK71-AH71)</f>
        <v>0</v>
      </c>
      <c r="AO71" s="3207">
        <f t="shared" si="654"/>
        <v>1127.9328037680079</v>
      </c>
      <c r="AP71" s="3251">
        <f t="shared" ref="AP71:AQ71" si="686">SUM(AP72+AP73+AP74+AP76+AP77)</f>
        <v>1127.9328037680079</v>
      </c>
      <c r="AQ71" s="3251">
        <f t="shared" si="686"/>
        <v>0</v>
      </c>
      <c r="AR71" s="3156">
        <f t="shared" si="657"/>
        <v>414.13</v>
      </c>
      <c r="AS71" s="3156">
        <f t="shared" ref="AS71:AT71" si="687">SUM(AS72+AS73+AS74+AS76+AS77)</f>
        <v>414.13</v>
      </c>
      <c r="AT71" s="3156">
        <f t="shared" si="687"/>
        <v>0</v>
      </c>
      <c r="AU71" s="3156">
        <f t="shared" ref="AU71:AU74" si="688">SUM(AV71:AW71)</f>
        <v>316.44</v>
      </c>
      <c r="AV71" s="3156">
        <f t="shared" ref="AV71:AW71" si="689">SUM(AV72+AV73+AV74+AV76+AV77)</f>
        <v>316.44</v>
      </c>
      <c r="AW71" s="3156">
        <f t="shared" si="689"/>
        <v>0</v>
      </c>
      <c r="AX71" s="3156">
        <f t="shared" ref="AX71:AX74" si="690">SUM(AY71:AZ71)</f>
        <v>451.05</v>
      </c>
      <c r="AY71" s="3156">
        <f t="shared" ref="AY71:AZ71" si="691">SUM(AY72+AY73+AY74+AY76+AY77)</f>
        <v>451.05</v>
      </c>
      <c r="AZ71" s="3156">
        <f t="shared" si="691"/>
        <v>0</v>
      </c>
      <c r="BA71" s="3156">
        <f t="shared" si="544"/>
        <v>1181.6199999999999</v>
      </c>
      <c r="BB71" s="3156">
        <f t="shared" si="545"/>
        <v>1181.6199999999999</v>
      </c>
      <c r="BC71" s="3156">
        <f t="shared" si="546"/>
        <v>0</v>
      </c>
      <c r="BD71" s="3206">
        <f t="shared" si="257"/>
        <v>3383.7984113040238</v>
      </c>
      <c r="BE71" s="3206">
        <f t="shared" si="258"/>
        <v>3383.7984113040238</v>
      </c>
      <c r="BF71" s="3206">
        <f t="shared" si="259"/>
        <v>0</v>
      </c>
      <c r="BG71" s="3193">
        <f t="shared" ref="BG71:BG89" si="692">SUM(AI71+BA71)</f>
        <v>3444.8270000000002</v>
      </c>
      <c r="BH71" s="3193">
        <f t="shared" ref="BH71:BH89" si="693">SUM(AJ71+BB71)</f>
        <v>3444.8270000000002</v>
      </c>
      <c r="BI71" s="3193">
        <f t="shared" ref="BI71:BI89" si="694">SUM(AK71+BC71)</f>
        <v>0</v>
      </c>
      <c r="BJ71" s="3193">
        <f t="shared" ref="BJ71:BJ89" si="695">SUM(BG71-BD71)</f>
        <v>61.028588695976396</v>
      </c>
      <c r="BK71" s="3193">
        <f t="shared" ref="BK71:BK89" si="696">SUM(BH71-BE71)</f>
        <v>61.028588695976396</v>
      </c>
      <c r="BL71" s="3193">
        <f t="shared" ref="BL71:BL89" si="697">SUM(BI71-BF71)</f>
        <v>0</v>
      </c>
      <c r="BM71" s="3207">
        <f t="shared" si="660"/>
        <v>1127.9328037680079</v>
      </c>
      <c r="BN71" s="3251">
        <f t="shared" ref="BN71:BO71" si="698">SUM(BN72+BN73+BN74+BN76+BN77)</f>
        <v>1127.9328037680079</v>
      </c>
      <c r="BO71" s="3251">
        <f t="shared" si="698"/>
        <v>0</v>
      </c>
      <c r="BP71" s="3156">
        <f t="shared" si="663"/>
        <v>0</v>
      </c>
      <c r="BQ71" s="3156">
        <f t="shared" ref="BQ71:BR71" si="699">SUM(BQ72+BQ73+BQ74+BQ76+BQ77)</f>
        <v>0</v>
      </c>
      <c r="BR71" s="3156">
        <f t="shared" si="699"/>
        <v>0</v>
      </c>
      <c r="BS71" s="3156">
        <f t="shared" ref="BS71:BS74" si="700">SUM(BT71:BU71)</f>
        <v>0</v>
      </c>
      <c r="BT71" s="3156">
        <f t="shared" ref="BT71:BU71" si="701">SUM(BT72+BT73+BT74+BT76+BT77)</f>
        <v>0</v>
      </c>
      <c r="BU71" s="3156">
        <f t="shared" si="701"/>
        <v>0</v>
      </c>
      <c r="BV71" s="3156">
        <f t="shared" ref="BV71:BV74" si="702">SUM(BW71:BX71)</f>
        <v>0</v>
      </c>
      <c r="BW71" s="3156">
        <f t="shared" ref="BW71:BX71" si="703">SUM(BW72+BW73+BW74+BW76+BW77)</f>
        <v>0</v>
      </c>
      <c r="BX71" s="3156">
        <f t="shared" si="703"/>
        <v>0</v>
      </c>
      <c r="BY71" s="3156">
        <f t="shared" si="560"/>
        <v>0</v>
      </c>
      <c r="BZ71" s="3156">
        <f t="shared" si="561"/>
        <v>0</v>
      </c>
      <c r="CA71" s="3156">
        <f t="shared" si="562"/>
        <v>0</v>
      </c>
      <c r="CB71" s="3206">
        <f t="shared" si="158"/>
        <v>4511.7311866989621</v>
      </c>
      <c r="CC71" s="3285">
        <f>SUM(стоки!BN27)</f>
        <v>4511.7311866989621</v>
      </c>
      <c r="CD71" s="3285">
        <f>SUM(стоки!BO27)</f>
        <v>0</v>
      </c>
      <c r="CE71" s="3193">
        <f t="shared" ref="CE71:CE74" si="704">SUM(BY71+BG71)</f>
        <v>3444.8270000000002</v>
      </c>
      <c r="CF71" s="3193">
        <f t="shared" ref="CF71:CF74" si="705">SUM(BZ71+BH71)</f>
        <v>3444.8270000000002</v>
      </c>
      <c r="CG71" s="3193">
        <f t="shared" ref="CG71:CG74" si="706">SUM(CA71+BI71)</f>
        <v>0</v>
      </c>
      <c r="CH71" s="3193">
        <f t="shared" ref="CH71:CH89" si="707">SUM(CE71-CB71)</f>
        <v>-1066.9041866989619</v>
      </c>
      <c r="CI71" s="3193">
        <f t="shared" ref="CI71:CI89" si="708">SUM(CF71-CC71)</f>
        <v>-1066.9041866989619</v>
      </c>
      <c r="CJ71" s="3193">
        <f t="shared" ref="CJ71:CJ89" si="709">SUM(CG71-CD71)</f>
        <v>0</v>
      </c>
      <c r="CK71" s="3261"/>
      <c r="CL71" s="3261"/>
      <c r="CM71" s="3261"/>
    </row>
    <row r="72" spans="1:91" ht="18.75" customHeight="1" x14ac:dyDescent="0.3">
      <c r="A72" s="3111" t="s">
        <v>3</v>
      </c>
      <c r="B72" s="3208">
        <f t="shared" ref="B72:B74" si="710">SUM(C72:D72)</f>
        <v>256.76099749999997</v>
      </c>
      <c r="C72" s="3208">
        <f t="shared" ref="C72:C74" si="711">SUM(CC72/4)</f>
        <v>256.76099749999997</v>
      </c>
      <c r="D72" s="3208">
        <f t="shared" ref="D72:D74" si="712">SUM(CD72/4)</f>
        <v>0</v>
      </c>
      <c r="E72" s="3136">
        <f t="shared" si="510"/>
        <v>5.52</v>
      </c>
      <c r="F72" s="3137">
        <f>1+4.52</f>
        <v>5.52</v>
      </c>
      <c r="G72" s="3137"/>
      <c r="H72" s="3136">
        <f t="shared" si="667"/>
        <v>77.97</v>
      </c>
      <c r="I72" s="3137">
        <f>77.97</f>
        <v>77.97</v>
      </c>
      <c r="J72" s="3137"/>
      <c r="K72" s="3136">
        <f t="shared" si="669"/>
        <v>132.53</v>
      </c>
      <c r="L72" s="3137">
        <v>132.53</v>
      </c>
      <c r="M72" s="3137"/>
      <c r="N72" s="3136">
        <f t="shared" si="671"/>
        <v>216.01999999999998</v>
      </c>
      <c r="O72" s="3136">
        <f t="shared" si="672"/>
        <v>216.01999999999998</v>
      </c>
      <c r="P72" s="3136">
        <f t="shared" si="673"/>
        <v>0</v>
      </c>
      <c r="Q72" s="3208">
        <f t="shared" ref="Q72:Q74" si="713">SUM(R72:S72)</f>
        <v>256.76099749999997</v>
      </c>
      <c r="R72" s="3208">
        <f t="shared" ref="R72:R74" si="714">SUM(C72)</f>
        <v>256.76099749999997</v>
      </c>
      <c r="S72" s="3208">
        <f t="shared" ref="S72:S74" si="715">SUM(D72)</f>
        <v>0</v>
      </c>
      <c r="T72" s="3136">
        <f t="shared" si="651"/>
        <v>102.92</v>
      </c>
      <c r="U72" s="3137">
        <f>87.16+15.76</f>
        <v>102.92</v>
      </c>
      <c r="V72" s="3137"/>
      <c r="W72" s="3136">
        <f t="shared" si="676"/>
        <v>79.88</v>
      </c>
      <c r="X72" s="3137">
        <f>77.88+2</f>
        <v>79.88</v>
      </c>
      <c r="Y72" s="3137"/>
      <c r="Z72" s="3136">
        <f t="shared" si="678"/>
        <v>8.33</v>
      </c>
      <c r="AA72" s="3137">
        <v>8.33</v>
      </c>
      <c r="AB72" s="3137"/>
      <c r="AC72" s="3136">
        <f t="shared" si="528"/>
        <v>191.13000000000002</v>
      </c>
      <c r="AD72" s="3136">
        <f t="shared" si="529"/>
        <v>191.13000000000002</v>
      </c>
      <c r="AE72" s="3136">
        <f t="shared" si="530"/>
        <v>0</v>
      </c>
      <c r="AF72" s="3209">
        <f t="shared" si="424"/>
        <v>513.52199499999995</v>
      </c>
      <c r="AG72" s="3209">
        <f t="shared" si="425"/>
        <v>513.52199499999995</v>
      </c>
      <c r="AH72" s="3209">
        <f t="shared" si="426"/>
        <v>0</v>
      </c>
      <c r="AI72" s="3264">
        <f t="shared" si="680"/>
        <v>407.15</v>
      </c>
      <c r="AJ72" s="3264">
        <f t="shared" si="681"/>
        <v>407.15</v>
      </c>
      <c r="AK72" s="3264">
        <f t="shared" si="682"/>
        <v>0</v>
      </c>
      <c r="AL72" s="3264">
        <f t="shared" si="683"/>
        <v>-106.37199499999997</v>
      </c>
      <c r="AM72" s="3264">
        <f t="shared" si="684"/>
        <v>-106.37199499999997</v>
      </c>
      <c r="AN72" s="3264">
        <f t="shared" si="685"/>
        <v>0</v>
      </c>
      <c r="AO72" s="3208">
        <f t="shared" ref="AO72:AO74" si="716">SUM(AP72:AQ72)</f>
        <v>256.76099749999997</v>
      </c>
      <c r="AP72" s="3208">
        <f t="shared" ref="AP72:AP74" si="717">SUM(CC72-AG72)/2</f>
        <v>256.76099749999997</v>
      </c>
      <c r="AQ72" s="3208">
        <f t="shared" ref="AQ72:AQ74" si="718">SUM(CD72-AH72)/2</f>
        <v>0</v>
      </c>
      <c r="AR72" s="3136">
        <f t="shared" si="657"/>
        <v>138.07</v>
      </c>
      <c r="AS72" s="3137">
        <v>138.07</v>
      </c>
      <c r="AT72" s="3137"/>
      <c r="AU72" s="3136">
        <f t="shared" si="688"/>
        <v>44.98</v>
      </c>
      <c r="AV72" s="3137">
        <v>44.98</v>
      </c>
      <c r="AW72" s="3137"/>
      <c r="AX72" s="3136">
        <f t="shared" si="690"/>
        <v>8.0299999999999994</v>
      </c>
      <c r="AY72" s="3137">
        <v>8.0299999999999994</v>
      </c>
      <c r="AZ72" s="3137"/>
      <c r="BA72" s="3136">
        <f t="shared" si="544"/>
        <v>191.07999999999998</v>
      </c>
      <c r="BB72" s="3136">
        <f t="shared" si="545"/>
        <v>191.07999999999998</v>
      </c>
      <c r="BC72" s="3136">
        <f t="shared" si="546"/>
        <v>0</v>
      </c>
      <c r="BD72" s="3209">
        <f t="shared" si="257"/>
        <v>770.28299249999986</v>
      </c>
      <c r="BE72" s="3209">
        <f t="shared" si="258"/>
        <v>770.28299249999986</v>
      </c>
      <c r="BF72" s="3209">
        <f t="shared" si="259"/>
        <v>0</v>
      </c>
      <c r="BG72" s="3264">
        <f t="shared" si="692"/>
        <v>598.23</v>
      </c>
      <c r="BH72" s="3264">
        <f t="shared" si="693"/>
        <v>598.23</v>
      </c>
      <c r="BI72" s="3264">
        <f t="shared" si="694"/>
        <v>0</v>
      </c>
      <c r="BJ72" s="3264">
        <f t="shared" si="695"/>
        <v>-172.05299249999985</v>
      </c>
      <c r="BK72" s="3264">
        <f t="shared" si="696"/>
        <v>-172.05299249999985</v>
      </c>
      <c r="BL72" s="3264">
        <f t="shared" si="697"/>
        <v>0</v>
      </c>
      <c r="BM72" s="3208">
        <f t="shared" ref="BM72:BM74" si="719">SUM(BN72:BO72)</f>
        <v>256.76099749999997</v>
      </c>
      <c r="BN72" s="3208">
        <f t="shared" ref="BN72:BN74" si="720">SUM(AP72)</f>
        <v>256.76099749999997</v>
      </c>
      <c r="BO72" s="3208">
        <f t="shared" ref="BO72:BO74" si="721">SUM(AQ72)</f>
        <v>0</v>
      </c>
      <c r="BP72" s="3136">
        <f t="shared" si="663"/>
        <v>0</v>
      </c>
      <c r="BQ72" s="3137"/>
      <c r="BR72" s="3137"/>
      <c r="BS72" s="3136">
        <f t="shared" si="700"/>
        <v>0</v>
      </c>
      <c r="BT72" s="3137"/>
      <c r="BU72" s="3137"/>
      <c r="BV72" s="3136">
        <f t="shared" si="702"/>
        <v>0</v>
      </c>
      <c r="BW72" s="3137"/>
      <c r="BX72" s="3137"/>
      <c r="BY72" s="3136">
        <f t="shared" si="560"/>
        <v>0</v>
      </c>
      <c r="BZ72" s="3136">
        <f t="shared" si="561"/>
        <v>0</v>
      </c>
      <c r="CA72" s="3136">
        <f t="shared" si="562"/>
        <v>0</v>
      </c>
      <c r="CB72" s="3209">
        <f t="shared" si="158"/>
        <v>1027.0439899999999</v>
      </c>
      <c r="CC72" s="3286">
        <f>SUM(стоки!BN28)</f>
        <v>1027.0439899999999</v>
      </c>
      <c r="CD72" s="3286">
        <f>SUM(стоки!BO28)</f>
        <v>0</v>
      </c>
      <c r="CE72" s="3264">
        <f t="shared" si="704"/>
        <v>598.23</v>
      </c>
      <c r="CF72" s="3264">
        <f t="shared" si="705"/>
        <v>598.23</v>
      </c>
      <c r="CG72" s="3264">
        <f t="shared" si="706"/>
        <v>0</v>
      </c>
      <c r="CH72" s="3264">
        <f t="shared" si="707"/>
        <v>-428.81398999999988</v>
      </c>
      <c r="CI72" s="3264">
        <f t="shared" si="708"/>
        <v>-428.81398999999988</v>
      </c>
      <c r="CJ72" s="3264">
        <f t="shared" si="709"/>
        <v>0</v>
      </c>
      <c r="CK72" s="3259"/>
      <c r="CL72" s="3259"/>
      <c r="CM72" s="3259"/>
    </row>
    <row r="73" spans="1:91" ht="18.75" customHeight="1" x14ac:dyDescent="0.3">
      <c r="A73" s="3111" t="s">
        <v>4</v>
      </c>
      <c r="B73" s="3208">
        <f t="shared" si="710"/>
        <v>416.15877599999999</v>
      </c>
      <c r="C73" s="3208">
        <f t="shared" si="711"/>
        <v>416.15877599999999</v>
      </c>
      <c r="D73" s="3208">
        <f t="shared" si="712"/>
        <v>0</v>
      </c>
      <c r="E73" s="3136">
        <f t="shared" si="510"/>
        <v>103.24</v>
      </c>
      <c r="F73" s="3137">
        <v>103.24</v>
      </c>
      <c r="G73" s="3137"/>
      <c r="H73" s="3136">
        <f t="shared" si="667"/>
        <v>78.87</v>
      </c>
      <c r="I73" s="3137">
        <v>78.87</v>
      </c>
      <c r="J73" s="3137"/>
      <c r="K73" s="3136">
        <f t="shared" si="669"/>
        <v>153.49</v>
      </c>
      <c r="L73" s="3137">
        <v>153.49</v>
      </c>
      <c r="M73" s="3137"/>
      <c r="N73" s="3136">
        <f t="shared" si="671"/>
        <v>335.6</v>
      </c>
      <c r="O73" s="3136">
        <f t="shared" si="672"/>
        <v>335.6</v>
      </c>
      <c r="P73" s="3136">
        <f t="shared" si="673"/>
        <v>0</v>
      </c>
      <c r="Q73" s="3208">
        <f t="shared" si="713"/>
        <v>416.15877599999999</v>
      </c>
      <c r="R73" s="3208">
        <f t="shared" si="714"/>
        <v>416.15877599999999</v>
      </c>
      <c r="S73" s="3208">
        <f t="shared" si="715"/>
        <v>0</v>
      </c>
      <c r="T73" s="3136">
        <f t="shared" si="651"/>
        <v>93.59</v>
      </c>
      <c r="U73" s="3137">
        <v>93.59</v>
      </c>
      <c r="V73" s="3137"/>
      <c r="W73" s="3136">
        <f t="shared" si="676"/>
        <v>103.67</v>
      </c>
      <c r="X73" s="3137">
        <v>103.67</v>
      </c>
      <c r="Y73" s="3137"/>
      <c r="Z73" s="3136">
        <f t="shared" si="678"/>
        <v>72.84</v>
      </c>
      <c r="AA73" s="3137">
        <v>72.84</v>
      </c>
      <c r="AB73" s="3137"/>
      <c r="AC73" s="3136">
        <f t="shared" si="528"/>
        <v>270.10000000000002</v>
      </c>
      <c r="AD73" s="3136">
        <f t="shared" si="529"/>
        <v>270.10000000000002</v>
      </c>
      <c r="AE73" s="3136">
        <f t="shared" si="530"/>
        <v>0</v>
      </c>
      <c r="AF73" s="3209">
        <f t="shared" si="424"/>
        <v>832.31755199999998</v>
      </c>
      <c r="AG73" s="3209">
        <f t="shared" si="425"/>
        <v>832.31755199999998</v>
      </c>
      <c r="AH73" s="3209">
        <f t="shared" si="426"/>
        <v>0</v>
      </c>
      <c r="AI73" s="3264">
        <f t="shared" si="680"/>
        <v>605.70000000000005</v>
      </c>
      <c r="AJ73" s="3264">
        <f t="shared" si="681"/>
        <v>605.70000000000005</v>
      </c>
      <c r="AK73" s="3264">
        <f t="shared" si="682"/>
        <v>0</v>
      </c>
      <c r="AL73" s="3264">
        <f t="shared" si="683"/>
        <v>-226.61755199999993</v>
      </c>
      <c r="AM73" s="3264">
        <f t="shared" si="684"/>
        <v>-226.61755199999993</v>
      </c>
      <c r="AN73" s="3264">
        <f t="shared" si="685"/>
        <v>0</v>
      </c>
      <c r="AO73" s="3208">
        <f t="shared" si="716"/>
        <v>416.15877599999999</v>
      </c>
      <c r="AP73" s="3208">
        <f t="shared" si="717"/>
        <v>416.15877599999999</v>
      </c>
      <c r="AQ73" s="3208">
        <f t="shared" si="718"/>
        <v>0</v>
      </c>
      <c r="AR73" s="3136">
        <f t="shared" si="657"/>
        <v>90.23</v>
      </c>
      <c r="AS73" s="3137">
        <v>90.23</v>
      </c>
      <c r="AT73" s="3137"/>
      <c r="AU73" s="3136">
        <f t="shared" si="688"/>
        <v>131.94999999999999</v>
      </c>
      <c r="AV73" s="3137">
        <v>131.94999999999999</v>
      </c>
      <c r="AW73" s="3137"/>
      <c r="AX73" s="3136">
        <f t="shared" si="690"/>
        <v>183.09</v>
      </c>
      <c r="AY73" s="3137">
        <v>183.09</v>
      </c>
      <c r="AZ73" s="3137"/>
      <c r="BA73" s="3136">
        <f t="shared" si="544"/>
        <v>405.27</v>
      </c>
      <c r="BB73" s="3136">
        <f t="shared" si="545"/>
        <v>405.27</v>
      </c>
      <c r="BC73" s="3136">
        <f t="shared" si="546"/>
        <v>0</v>
      </c>
      <c r="BD73" s="3209">
        <f t="shared" si="257"/>
        <v>1248.476328</v>
      </c>
      <c r="BE73" s="3209">
        <f t="shared" si="258"/>
        <v>1248.476328</v>
      </c>
      <c r="BF73" s="3209">
        <f t="shared" si="259"/>
        <v>0</v>
      </c>
      <c r="BG73" s="3264">
        <f t="shared" si="692"/>
        <v>1010.97</v>
      </c>
      <c r="BH73" s="3264">
        <f t="shared" si="693"/>
        <v>1010.97</v>
      </c>
      <c r="BI73" s="3264">
        <f t="shared" si="694"/>
        <v>0</v>
      </c>
      <c r="BJ73" s="3264">
        <f t="shared" si="695"/>
        <v>-237.50632799999994</v>
      </c>
      <c r="BK73" s="3264">
        <f t="shared" si="696"/>
        <v>-237.50632799999994</v>
      </c>
      <c r="BL73" s="3264">
        <f t="shared" si="697"/>
        <v>0</v>
      </c>
      <c r="BM73" s="3208">
        <f t="shared" si="719"/>
        <v>416.15877599999999</v>
      </c>
      <c r="BN73" s="3208">
        <f t="shared" si="720"/>
        <v>416.15877599999999</v>
      </c>
      <c r="BO73" s="3208">
        <f t="shared" si="721"/>
        <v>0</v>
      </c>
      <c r="BP73" s="3136">
        <f t="shared" si="663"/>
        <v>0</v>
      </c>
      <c r="BQ73" s="3137"/>
      <c r="BR73" s="3137"/>
      <c r="BS73" s="3136">
        <f t="shared" si="700"/>
        <v>0</v>
      </c>
      <c r="BT73" s="3137"/>
      <c r="BU73" s="3137"/>
      <c r="BV73" s="3136">
        <f t="shared" si="702"/>
        <v>0</v>
      </c>
      <c r="BW73" s="3137"/>
      <c r="BX73" s="3137"/>
      <c r="BY73" s="3136">
        <f t="shared" si="560"/>
        <v>0</v>
      </c>
      <c r="BZ73" s="3136">
        <f t="shared" si="561"/>
        <v>0</v>
      </c>
      <c r="CA73" s="3136">
        <f t="shared" si="562"/>
        <v>0</v>
      </c>
      <c r="CB73" s="3209">
        <f t="shared" si="158"/>
        <v>1664.635104</v>
      </c>
      <c r="CC73" s="3286">
        <f>SUM(стоки!BN29)</f>
        <v>1664.635104</v>
      </c>
      <c r="CD73" s="3286">
        <f>SUM(стоки!BO29)</f>
        <v>0</v>
      </c>
      <c r="CE73" s="3264">
        <f t="shared" si="704"/>
        <v>1010.97</v>
      </c>
      <c r="CF73" s="3264">
        <f t="shared" si="705"/>
        <v>1010.97</v>
      </c>
      <c r="CG73" s="3264">
        <f t="shared" si="706"/>
        <v>0</v>
      </c>
      <c r="CH73" s="3264">
        <f t="shared" si="707"/>
        <v>-653.66510399999993</v>
      </c>
      <c r="CI73" s="3264">
        <f t="shared" si="708"/>
        <v>-653.66510399999993</v>
      </c>
      <c r="CJ73" s="3264">
        <f t="shared" si="709"/>
        <v>0</v>
      </c>
      <c r="CK73" s="3259"/>
      <c r="CL73" s="3259"/>
      <c r="CM73" s="3259"/>
    </row>
    <row r="74" spans="1:91" ht="18.75" customHeight="1" x14ac:dyDescent="0.3">
      <c r="A74" s="3111" t="s">
        <v>117</v>
      </c>
      <c r="B74" s="3208">
        <f t="shared" si="710"/>
        <v>125.42785526800786</v>
      </c>
      <c r="C74" s="3208">
        <f t="shared" si="711"/>
        <v>125.42785526800786</v>
      </c>
      <c r="D74" s="3208">
        <f t="shared" si="712"/>
        <v>0</v>
      </c>
      <c r="E74" s="3136">
        <f t="shared" si="510"/>
        <v>31.18</v>
      </c>
      <c r="F74" s="3137">
        <v>31.18</v>
      </c>
      <c r="G74" s="3137"/>
      <c r="H74" s="3136">
        <f t="shared" si="667"/>
        <v>23.82</v>
      </c>
      <c r="I74" s="3137">
        <v>23.82</v>
      </c>
      <c r="J74" s="3137"/>
      <c r="K74" s="3136">
        <f t="shared" si="669"/>
        <v>45.31</v>
      </c>
      <c r="L74" s="3137">
        <v>45.31</v>
      </c>
      <c r="M74" s="3137"/>
      <c r="N74" s="3136">
        <f t="shared" si="671"/>
        <v>100.31</v>
      </c>
      <c r="O74" s="3136">
        <f t="shared" si="672"/>
        <v>100.31</v>
      </c>
      <c r="P74" s="3136">
        <f t="shared" si="673"/>
        <v>0</v>
      </c>
      <c r="Q74" s="3208">
        <f t="shared" si="713"/>
        <v>125.42785526800786</v>
      </c>
      <c r="R74" s="3208">
        <f t="shared" si="714"/>
        <v>125.42785526800786</v>
      </c>
      <c r="S74" s="3208">
        <f t="shared" si="715"/>
        <v>0</v>
      </c>
      <c r="T74" s="3136">
        <f t="shared" si="651"/>
        <v>33.58</v>
      </c>
      <c r="U74" s="3137">
        <v>33.58</v>
      </c>
      <c r="V74" s="3137"/>
      <c r="W74" s="3136">
        <f t="shared" si="676"/>
        <v>30.27</v>
      </c>
      <c r="X74" s="3137">
        <v>30.27</v>
      </c>
      <c r="Y74" s="3137"/>
      <c r="Z74" s="3136">
        <f t="shared" si="678"/>
        <v>22</v>
      </c>
      <c r="AA74" s="3137">
        <v>22</v>
      </c>
      <c r="AB74" s="3137"/>
      <c r="AC74" s="3136">
        <f t="shared" si="528"/>
        <v>85.85</v>
      </c>
      <c r="AD74" s="3136">
        <f t="shared" si="529"/>
        <v>85.85</v>
      </c>
      <c r="AE74" s="3136">
        <f t="shared" si="530"/>
        <v>0</v>
      </c>
      <c r="AF74" s="3209">
        <f t="shared" si="424"/>
        <v>250.85571053601572</v>
      </c>
      <c r="AG74" s="3209">
        <f t="shared" si="425"/>
        <v>250.85571053601572</v>
      </c>
      <c r="AH74" s="3209">
        <f t="shared" si="426"/>
        <v>0</v>
      </c>
      <c r="AI74" s="3264">
        <f t="shared" si="680"/>
        <v>186.16</v>
      </c>
      <c r="AJ74" s="3264">
        <f t="shared" si="681"/>
        <v>186.16</v>
      </c>
      <c r="AK74" s="3264">
        <f t="shared" si="682"/>
        <v>0</v>
      </c>
      <c r="AL74" s="3264">
        <f t="shared" si="683"/>
        <v>-64.695710536015724</v>
      </c>
      <c r="AM74" s="3264">
        <f t="shared" si="684"/>
        <v>-64.695710536015724</v>
      </c>
      <c r="AN74" s="3264">
        <f t="shared" si="685"/>
        <v>0</v>
      </c>
      <c r="AO74" s="3208">
        <f t="shared" si="716"/>
        <v>125.42785526800786</v>
      </c>
      <c r="AP74" s="3208">
        <f t="shared" si="717"/>
        <v>125.42785526800786</v>
      </c>
      <c r="AQ74" s="3208">
        <f t="shared" si="718"/>
        <v>0</v>
      </c>
      <c r="AR74" s="3136">
        <f t="shared" si="657"/>
        <v>27.25</v>
      </c>
      <c r="AS74" s="3137">
        <v>27.25</v>
      </c>
      <c r="AT74" s="3137"/>
      <c r="AU74" s="3136">
        <f t="shared" si="688"/>
        <v>39.85</v>
      </c>
      <c r="AV74" s="3137">
        <v>39.85</v>
      </c>
      <c r="AW74" s="3137"/>
      <c r="AX74" s="3136">
        <f t="shared" si="690"/>
        <v>55.29</v>
      </c>
      <c r="AY74" s="3137">
        <v>55.29</v>
      </c>
      <c r="AZ74" s="3137"/>
      <c r="BA74" s="3136">
        <f t="shared" si="544"/>
        <v>122.38999999999999</v>
      </c>
      <c r="BB74" s="3136">
        <f t="shared" si="545"/>
        <v>122.38999999999999</v>
      </c>
      <c r="BC74" s="3136">
        <f t="shared" si="546"/>
        <v>0</v>
      </c>
      <c r="BD74" s="3209">
        <f t="shared" si="257"/>
        <v>376.28356580402357</v>
      </c>
      <c r="BE74" s="3209">
        <f t="shared" si="258"/>
        <v>376.28356580402357</v>
      </c>
      <c r="BF74" s="3209">
        <f t="shared" si="259"/>
        <v>0</v>
      </c>
      <c r="BG74" s="3264">
        <f t="shared" si="692"/>
        <v>308.54999999999995</v>
      </c>
      <c r="BH74" s="3264">
        <f t="shared" si="693"/>
        <v>308.54999999999995</v>
      </c>
      <c r="BI74" s="3264">
        <f t="shared" si="694"/>
        <v>0</v>
      </c>
      <c r="BJ74" s="3264">
        <f t="shared" si="695"/>
        <v>-67.733565804023613</v>
      </c>
      <c r="BK74" s="3264">
        <f t="shared" si="696"/>
        <v>-67.733565804023613</v>
      </c>
      <c r="BL74" s="3264">
        <f t="shared" si="697"/>
        <v>0</v>
      </c>
      <c r="BM74" s="3208">
        <f t="shared" si="719"/>
        <v>125.42785526800786</v>
      </c>
      <c r="BN74" s="3208">
        <f t="shared" si="720"/>
        <v>125.42785526800786</v>
      </c>
      <c r="BO74" s="3208">
        <f t="shared" si="721"/>
        <v>0</v>
      </c>
      <c r="BP74" s="3136">
        <f t="shared" si="663"/>
        <v>0</v>
      </c>
      <c r="BQ74" s="3137"/>
      <c r="BR74" s="3137"/>
      <c r="BS74" s="3136">
        <f t="shared" si="700"/>
        <v>0</v>
      </c>
      <c r="BT74" s="3137"/>
      <c r="BU74" s="3137"/>
      <c r="BV74" s="3136">
        <f t="shared" si="702"/>
        <v>0</v>
      </c>
      <c r="BW74" s="3137"/>
      <c r="BX74" s="3137"/>
      <c r="BY74" s="3136">
        <f t="shared" si="560"/>
        <v>0</v>
      </c>
      <c r="BZ74" s="3136">
        <f t="shared" si="561"/>
        <v>0</v>
      </c>
      <c r="CA74" s="3136">
        <f t="shared" si="562"/>
        <v>0</v>
      </c>
      <c r="CB74" s="3209">
        <f t="shared" si="158"/>
        <v>501.71142107203144</v>
      </c>
      <c r="CC74" s="3286">
        <f>SUM(стоки!BN30)</f>
        <v>501.71142107203144</v>
      </c>
      <c r="CD74" s="3286">
        <f>SUM(стоки!BO30)</f>
        <v>0</v>
      </c>
      <c r="CE74" s="3264">
        <f t="shared" si="704"/>
        <v>308.54999999999995</v>
      </c>
      <c r="CF74" s="3264">
        <f t="shared" si="705"/>
        <v>308.54999999999995</v>
      </c>
      <c r="CG74" s="3264">
        <f t="shared" si="706"/>
        <v>0</v>
      </c>
      <c r="CH74" s="3264">
        <f t="shared" si="707"/>
        <v>-193.16142107203149</v>
      </c>
      <c r="CI74" s="3264">
        <f t="shared" si="708"/>
        <v>-193.16142107203149</v>
      </c>
      <c r="CJ74" s="3264">
        <f t="shared" si="709"/>
        <v>0</v>
      </c>
      <c r="CK74" s="3259"/>
      <c r="CL74" s="3259"/>
      <c r="CM74" s="3259"/>
    </row>
    <row r="75" spans="1:91" ht="18.75" customHeight="1" x14ac:dyDescent="0.3">
      <c r="A75" s="3081" t="str">
        <f>A44</f>
        <v>то же в %</v>
      </c>
      <c r="B75" s="3139">
        <f t="shared" ref="B75:D75" si="722">SUM(B74/B73)</f>
        <v>0.30139423340674154</v>
      </c>
      <c r="C75" s="3139">
        <f t="shared" si="722"/>
        <v>0.30139423340674154</v>
      </c>
      <c r="D75" s="3139" t="e">
        <f t="shared" si="722"/>
        <v>#DIV/0!</v>
      </c>
      <c r="E75" s="3139">
        <f>SUM(E74/E73)</f>
        <v>0.30201472297559084</v>
      </c>
      <c r="F75" s="3139">
        <f t="shared" ref="F75:G75" si="723">SUM(F74/F73)</f>
        <v>0.30201472297559084</v>
      </c>
      <c r="G75" s="3139" t="e">
        <f t="shared" si="723"/>
        <v>#DIV/0!</v>
      </c>
      <c r="H75" s="3139">
        <f>SUM(H74/H73)</f>
        <v>0.30201597565614302</v>
      </c>
      <c r="I75" s="3139">
        <f t="shared" ref="I75" si="724">SUM(I74/I73)</f>
        <v>0.30201597565614302</v>
      </c>
      <c r="J75" s="3139" t="e">
        <f t="shared" ref="J75" si="725">SUM(J74/J73)</f>
        <v>#DIV/0!</v>
      </c>
      <c r="K75" s="3139">
        <f>SUM(K74/K73)</f>
        <v>0.29519838425956085</v>
      </c>
      <c r="L75" s="3139">
        <f t="shared" ref="L75" si="726">SUM(L74/L73)</f>
        <v>0.29519838425956085</v>
      </c>
      <c r="M75" s="3139" t="e">
        <f t="shared" ref="M75" si="727">SUM(M74/M73)</f>
        <v>#DIV/0!</v>
      </c>
      <c r="N75" s="3289" t="e">
        <f t="shared" si="671"/>
        <v>#DIV/0!</v>
      </c>
      <c r="O75" s="3289">
        <f t="shared" si="672"/>
        <v>0.89922908289129477</v>
      </c>
      <c r="P75" s="3289" t="e">
        <f t="shared" si="673"/>
        <v>#DIV/0!</v>
      </c>
      <c r="Q75" s="3139">
        <f t="shared" ref="Q75:S75" si="728">SUM(Q74/Q73)</f>
        <v>0.30139423340674154</v>
      </c>
      <c r="R75" s="3139">
        <f t="shared" si="728"/>
        <v>0.30139423340674154</v>
      </c>
      <c r="S75" s="3139" t="e">
        <f t="shared" si="728"/>
        <v>#DIV/0!</v>
      </c>
      <c r="T75" s="3139">
        <f>SUM(T74/T73)</f>
        <v>0.35879901698899452</v>
      </c>
      <c r="U75" s="3139">
        <f t="shared" ref="U75" si="729">SUM(U74/U73)</f>
        <v>0.35879901698899452</v>
      </c>
      <c r="V75" s="3139" t="e">
        <f t="shared" ref="V75" si="730">SUM(V74/V73)</f>
        <v>#DIV/0!</v>
      </c>
      <c r="W75" s="3139">
        <f>SUM(W74/W73)</f>
        <v>0.29198418057297193</v>
      </c>
      <c r="X75" s="3139">
        <f t="shared" ref="X75" si="731">SUM(X74/X73)</f>
        <v>0.29198418057297193</v>
      </c>
      <c r="Y75" s="3139" t="e">
        <f t="shared" ref="Y75" si="732">SUM(Y74/Y73)</f>
        <v>#DIV/0!</v>
      </c>
      <c r="Z75" s="3139">
        <f>SUM(Z74/Z73)</f>
        <v>0.3020318506315211</v>
      </c>
      <c r="AA75" s="3139">
        <f t="shared" ref="AA75" si="733">SUM(AA74/AA73)</f>
        <v>0.3020318506315211</v>
      </c>
      <c r="AB75" s="3139" t="e">
        <f t="shared" ref="AB75" si="734">SUM(AB74/AB73)</f>
        <v>#DIV/0!</v>
      </c>
      <c r="AC75" s="3139" t="e">
        <f t="shared" si="528"/>
        <v>#DIV/0!</v>
      </c>
      <c r="AD75" s="3139">
        <f t="shared" si="529"/>
        <v>0.95281504819348761</v>
      </c>
      <c r="AE75" s="3139" t="e">
        <f t="shared" si="530"/>
        <v>#DIV/0!</v>
      </c>
      <c r="AF75" s="3140">
        <f t="shared" ref="AF75:AK75" si="735">SUM(AF74/AF73)</f>
        <v>0.30139423340674154</v>
      </c>
      <c r="AG75" s="3140">
        <f t="shared" si="735"/>
        <v>0.30139423340674154</v>
      </c>
      <c r="AH75" s="3140" t="e">
        <f t="shared" si="735"/>
        <v>#DIV/0!</v>
      </c>
      <c r="AI75" s="3140">
        <f t="shared" si="735"/>
        <v>0.30734687138847611</v>
      </c>
      <c r="AJ75" s="3140">
        <f t="shared" si="735"/>
        <v>0.30734687138847611</v>
      </c>
      <c r="AK75" s="3140" t="e">
        <f t="shared" si="735"/>
        <v>#DIV/0!</v>
      </c>
      <c r="AL75" s="3194">
        <f t="shared" si="683"/>
        <v>5.9526379817345654E-3</v>
      </c>
      <c r="AM75" s="3194">
        <f t="shared" si="684"/>
        <v>5.9526379817345654E-3</v>
      </c>
      <c r="AN75" s="3194" t="e">
        <f t="shared" si="685"/>
        <v>#DIV/0!</v>
      </c>
      <c r="AO75" s="3139">
        <f t="shared" ref="AO75:AQ75" si="736">SUM(AO74/AO73)</f>
        <v>0.30139423340674154</v>
      </c>
      <c r="AP75" s="3139">
        <f t="shared" si="736"/>
        <v>0.30139423340674154</v>
      </c>
      <c r="AQ75" s="3139" t="e">
        <f t="shared" si="736"/>
        <v>#DIV/0!</v>
      </c>
      <c r="AR75" s="3139">
        <f>SUM(AR74/AR73)</f>
        <v>0.30200598470575196</v>
      </c>
      <c r="AS75" s="3139">
        <f t="shared" ref="AS75" si="737">SUM(AS74/AS73)</f>
        <v>0.30200598470575196</v>
      </c>
      <c r="AT75" s="3139" t="e">
        <f t="shared" ref="AT75" si="738">SUM(AT74/AT73)</f>
        <v>#DIV/0!</v>
      </c>
      <c r="AU75" s="3139">
        <f>SUM(AU74/AU73)</f>
        <v>0.30200833649109515</v>
      </c>
      <c r="AV75" s="3139">
        <f t="shared" ref="AV75" si="739">SUM(AV74/AV73)</f>
        <v>0.30200833649109515</v>
      </c>
      <c r="AW75" s="3139" t="e">
        <f t="shared" ref="AW75" si="740">SUM(AW74/AW73)</f>
        <v>#DIV/0!</v>
      </c>
      <c r="AX75" s="3139">
        <f>SUM(AX74/AX73)</f>
        <v>0.30198263149270849</v>
      </c>
      <c r="AY75" s="3139">
        <f t="shared" ref="AY75" si="741">SUM(AY74/AY73)</f>
        <v>0.30198263149270849</v>
      </c>
      <c r="AZ75" s="3139" t="e">
        <f t="shared" ref="AZ75" si="742">SUM(AZ74/AZ73)</f>
        <v>#DIV/0!</v>
      </c>
      <c r="BA75" s="3289" t="e">
        <f t="shared" si="544"/>
        <v>#DIV/0!</v>
      </c>
      <c r="BB75" s="3289">
        <f t="shared" si="545"/>
        <v>0.90599695268955571</v>
      </c>
      <c r="BC75" s="3289" t="e">
        <f t="shared" si="546"/>
        <v>#DIV/0!</v>
      </c>
      <c r="BD75" s="3140">
        <f t="shared" ref="BD75:BI75" si="743">SUM(BD74/BD73)</f>
        <v>0.30139423340674154</v>
      </c>
      <c r="BE75" s="3140">
        <f t="shared" si="743"/>
        <v>0.30139423340674154</v>
      </c>
      <c r="BF75" s="3140" t="e">
        <f t="shared" si="743"/>
        <v>#DIV/0!</v>
      </c>
      <c r="BG75" s="3140">
        <f t="shared" si="743"/>
        <v>0.30520193477551255</v>
      </c>
      <c r="BH75" s="3140">
        <f t="shared" si="743"/>
        <v>0.30520193477551255</v>
      </c>
      <c r="BI75" s="3140" t="e">
        <f t="shared" si="743"/>
        <v>#DIV/0!</v>
      </c>
      <c r="BJ75" s="3194">
        <f t="shared" si="695"/>
        <v>3.8077013687710104E-3</v>
      </c>
      <c r="BK75" s="3194">
        <f t="shared" si="696"/>
        <v>3.8077013687710104E-3</v>
      </c>
      <c r="BL75" s="3194" t="e">
        <f t="shared" si="697"/>
        <v>#DIV/0!</v>
      </c>
      <c r="BM75" s="3139">
        <f t="shared" ref="BM75:BO75" si="744">SUM(BM74/BM73)</f>
        <v>0.30139423340674154</v>
      </c>
      <c r="BN75" s="3139">
        <f t="shared" si="744"/>
        <v>0.30139423340674154</v>
      </c>
      <c r="BO75" s="3139" t="e">
        <f t="shared" si="744"/>
        <v>#DIV/0!</v>
      </c>
      <c r="BP75" s="3139" t="e">
        <f>SUM(BP74/BP73)</f>
        <v>#DIV/0!</v>
      </c>
      <c r="BQ75" s="3139" t="e">
        <f t="shared" ref="BQ75" si="745">SUM(BQ74/BQ73)</f>
        <v>#DIV/0!</v>
      </c>
      <c r="BR75" s="3139" t="e">
        <f t="shared" ref="BR75" si="746">SUM(BR74/BR73)</f>
        <v>#DIV/0!</v>
      </c>
      <c r="BS75" s="3139" t="e">
        <f>SUM(BS74/BS73)</f>
        <v>#DIV/0!</v>
      </c>
      <c r="BT75" s="3139" t="e">
        <f t="shared" ref="BT75" si="747">SUM(BT74/BT73)</f>
        <v>#DIV/0!</v>
      </c>
      <c r="BU75" s="3139" t="e">
        <f t="shared" ref="BU75" si="748">SUM(BU74/BU73)</f>
        <v>#DIV/0!</v>
      </c>
      <c r="BV75" s="3139" t="e">
        <f>SUM(BV74/BV73)</f>
        <v>#DIV/0!</v>
      </c>
      <c r="BW75" s="3139" t="e">
        <f t="shared" ref="BW75" si="749">SUM(BW74/BW73)</f>
        <v>#DIV/0!</v>
      </c>
      <c r="BX75" s="3139" t="e">
        <f t="shared" ref="BX75" si="750">SUM(BX74/BX73)</f>
        <v>#DIV/0!</v>
      </c>
      <c r="BY75" s="3139" t="e">
        <f t="shared" si="560"/>
        <v>#DIV/0!</v>
      </c>
      <c r="BZ75" s="3139" t="e">
        <f t="shared" si="561"/>
        <v>#DIV/0!</v>
      </c>
      <c r="CA75" s="3139" t="e">
        <f t="shared" si="562"/>
        <v>#DIV/0!</v>
      </c>
      <c r="CB75" s="3140">
        <f t="shared" ref="CB75:CG75" si="751">SUM(CB74/CB73)</f>
        <v>0.30139423340674154</v>
      </c>
      <c r="CC75" s="3140">
        <f t="shared" si="751"/>
        <v>0.30139423340674154</v>
      </c>
      <c r="CD75" s="3140" t="e">
        <f t="shared" si="751"/>
        <v>#DIV/0!</v>
      </c>
      <c r="CE75" s="3140">
        <f t="shared" si="751"/>
        <v>0.30520193477551255</v>
      </c>
      <c r="CF75" s="3140">
        <f t="shared" si="751"/>
        <v>0.30520193477551255</v>
      </c>
      <c r="CG75" s="3140" t="e">
        <f t="shared" si="751"/>
        <v>#DIV/0!</v>
      </c>
      <c r="CH75" s="3194">
        <f t="shared" si="707"/>
        <v>3.8077013687710104E-3</v>
      </c>
      <c r="CI75" s="3264">
        <f t="shared" si="708"/>
        <v>3.8077013687710104E-3</v>
      </c>
      <c r="CJ75" s="3264" t="e">
        <f t="shared" si="709"/>
        <v>#DIV/0!</v>
      </c>
      <c r="CK75" s="3259"/>
      <c r="CL75" s="3259"/>
      <c r="CM75" s="3259"/>
    </row>
    <row r="76" spans="1:91" ht="18.75" customHeight="1" x14ac:dyDescent="0.3">
      <c r="A76" s="3111" t="s">
        <v>2</v>
      </c>
      <c r="B76" s="3208">
        <f t="shared" ref="B76:B77" si="752">SUM(C76:D76)</f>
        <v>17.135000000000002</v>
      </c>
      <c r="C76" s="3208">
        <f t="shared" ref="C76" si="753">SUM(CC76/4)</f>
        <v>17.135000000000002</v>
      </c>
      <c r="D76" s="3208">
        <f t="shared" ref="D76" si="754">SUM(CD76/4)</f>
        <v>0</v>
      </c>
      <c r="E76" s="3136">
        <f t="shared" si="510"/>
        <v>20.57</v>
      </c>
      <c r="F76" s="3137">
        <v>20.57</v>
      </c>
      <c r="G76" s="3137"/>
      <c r="H76" s="3136">
        <f t="shared" ref="H76:H95" si="755">SUM(I76:J76)</f>
        <v>26.4</v>
      </c>
      <c r="I76" s="3137">
        <v>26.4</v>
      </c>
      <c r="J76" s="3137"/>
      <c r="K76" s="3136">
        <f t="shared" ref="K76:K95" si="756">SUM(L76:M76)</f>
        <v>26.4</v>
      </c>
      <c r="L76" s="3137">
        <v>26.4</v>
      </c>
      <c r="M76" s="3137"/>
      <c r="N76" s="3136">
        <f t="shared" si="671"/>
        <v>73.37</v>
      </c>
      <c r="O76" s="3136">
        <f t="shared" si="672"/>
        <v>73.37</v>
      </c>
      <c r="P76" s="3136">
        <f t="shared" si="673"/>
        <v>0</v>
      </c>
      <c r="Q76" s="3208">
        <f t="shared" ref="Q76:Q77" si="757">SUM(R76:S76)</f>
        <v>17.135000000000002</v>
      </c>
      <c r="R76" s="3208">
        <f t="shared" ref="R76" si="758">SUM(C76)</f>
        <v>17.135000000000002</v>
      </c>
      <c r="S76" s="3208">
        <f t="shared" ref="S76" si="759">SUM(D76)</f>
        <v>0</v>
      </c>
      <c r="T76" s="3136">
        <f t="shared" ref="T76" si="760">SUM(U76:V76)</f>
        <v>26.41</v>
      </c>
      <c r="U76" s="3137">
        <v>26.41</v>
      </c>
      <c r="V76" s="3137"/>
      <c r="W76" s="3136">
        <f t="shared" ref="W76" si="761">SUM(X76:Y76)</f>
        <v>26.4</v>
      </c>
      <c r="X76" s="3137">
        <v>26.4</v>
      </c>
      <c r="Y76" s="3137"/>
      <c r="Z76" s="3136">
        <f t="shared" ref="Z76" si="762">SUM(AA76:AB76)</f>
        <v>26.4</v>
      </c>
      <c r="AA76" s="3137">
        <v>26.4</v>
      </c>
      <c r="AB76" s="3137"/>
      <c r="AC76" s="3136">
        <f t="shared" si="528"/>
        <v>79.210000000000008</v>
      </c>
      <c r="AD76" s="3136">
        <f t="shared" si="529"/>
        <v>79.210000000000008</v>
      </c>
      <c r="AE76" s="3136">
        <f t="shared" si="530"/>
        <v>0</v>
      </c>
      <c r="AF76" s="3209">
        <f t="shared" si="424"/>
        <v>34.270000000000003</v>
      </c>
      <c r="AG76" s="3209">
        <f t="shared" si="425"/>
        <v>34.270000000000003</v>
      </c>
      <c r="AH76" s="3209">
        <f t="shared" si="426"/>
        <v>0</v>
      </c>
      <c r="AI76" s="3264">
        <f t="shared" ref="AI76:AI89" si="763">SUM(AC76+N76)</f>
        <v>152.58000000000001</v>
      </c>
      <c r="AJ76" s="3264">
        <f t="shared" ref="AJ76:AJ89" si="764">SUM(AD76+O76)</f>
        <v>152.58000000000001</v>
      </c>
      <c r="AK76" s="3264">
        <f t="shared" ref="AK76:AK89" si="765">SUM(AE76+P76)</f>
        <v>0</v>
      </c>
      <c r="AL76" s="3264">
        <f t="shared" si="683"/>
        <v>118.31</v>
      </c>
      <c r="AM76" s="3264">
        <f t="shared" si="684"/>
        <v>118.31</v>
      </c>
      <c r="AN76" s="3264">
        <f t="shared" si="685"/>
        <v>0</v>
      </c>
      <c r="AO76" s="3208">
        <f t="shared" ref="AO76:AO77" si="766">SUM(AP76:AQ76)</f>
        <v>17.135000000000002</v>
      </c>
      <c r="AP76" s="3208">
        <f t="shared" ref="AP76" si="767">SUM(CC76-AG76)/2</f>
        <v>17.135000000000002</v>
      </c>
      <c r="AQ76" s="3208">
        <f t="shared" ref="AQ76" si="768">SUM(CD76-AH76)/2</f>
        <v>0</v>
      </c>
      <c r="AR76" s="3136">
        <f t="shared" ref="AR76" si="769">SUM(AS76:AT76)</f>
        <v>26.4</v>
      </c>
      <c r="AS76" s="3137">
        <v>26.4</v>
      </c>
      <c r="AT76" s="3137"/>
      <c r="AU76" s="3136">
        <f t="shared" ref="AU76" si="770">SUM(AV76:AW76)</f>
        <v>26.4</v>
      </c>
      <c r="AV76" s="3137">
        <v>26.4</v>
      </c>
      <c r="AW76" s="3137"/>
      <c r="AX76" s="3136">
        <f t="shared" ref="AX76" si="771">SUM(AY76:AZ76)</f>
        <v>26.4</v>
      </c>
      <c r="AY76" s="3137">
        <v>26.4</v>
      </c>
      <c r="AZ76" s="3137"/>
      <c r="BA76" s="3136">
        <f t="shared" si="544"/>
        <v>79.199999999999989</v>
      </c>
      <c r="BB76" s="3136">
        <f t="shared" si="545"/>
        <v>79.199999999999989</v>
      </c>
      <c r="BC76" s="3136">
        <f t="shared" si="546"/>
        <v>0</v>
      </c>
      <c r="BD76" s="3209">
        <f t="shared" si="257"/>
        <v>51.405000000000001</v>
      </c>
      <c r="BE76" s="3209">
        <f t="shared" si="258"/>
        <v>51.405000000000001</v>
      </c>
      <c r="BF76" s="3209">
        <f t="shared" si="259"/>
        <v>0</v>
      </c>
      <c r="BG76" s="3264">
        <f t="shared" si="692"/>
        <v>231.78</v>
      </c>
      <c r="BH76" s="3264">
        <f t="shared" si="693"/>
        <v>231.78</v>
      </c>
      <c r="BI76" s="3264">
        <f t="shared" si="694"/>
        <v>0</v>
      </c>
      <c r="BJ76" s="3264">
        <f t="shared" si="695"/>
        <v>180.375</v>
      </c>
      <c r="BK76" s="3264">
        <f t="shared" si="696"/>
        <v>180.375</v>
      </c>
      <c r="BL76" s="3264">
        <f t="shared" si="697"/>
        <v>0</v>
      </c>
      <c r="BM76" s="3208">
        <f t="shared" ref="BM76:BM86" si="772">SUM(BN76:BO76)</f>
        <v>17.135000000000002</v>
      </c>
      <c r="BN76" s="3208">
        <f t="shared" ref="BN76" si="773">SUM(AP76)</f>
        <v>17.135000000000002</v>
      </c>
      <c r="BO76" s="3208">
        <f t="shared" ref="BO76" si="774">SUM(AQ76)</f>
        <v>0</v>
      </c>
      <c r="BP76" s="3136">
        <f t="shared" ref="BP76" si="775">SUM(BQ76:BR76)</f>
        <v>0</v>
      </c>
      <c r="BQ76" s="3137"/>
      <c r="BR76" s="3137"/>
      <c r="BS76" s="3136">
        <f t="shared" ref="BS76" si="776">SUM(BT76:BU76)</f>
        <v>0</v>
      </c>
      <c r="BT76" s="3137"/>
      <c r="BU76" s="3137"/>
      <c r="BV76" s="3136">
        <f t="shared" ref="BV76" si="777">SUM(BW76:BX76)</f>
        <v>0</v>
      </c>
      <c r="BW76" s="3137"/>
      <c r="BX76" s="3137"/>
      <c r="BY76" s="3136">
        <f t="shared" si="560"/>
        <v>0</v>
      </c>
      <c r="BZ76" s="3136">
        <f t="shared" si="561"/>
        <v>0</v>
      </c>
      <c r="CA76" s="3136">
        <f t="shared" si="562"/>
        <v>0</v>
      </c>
      <c r="CB76" s="3209">
        <f t="shared" si="158"/>
        <v>68.540000000000006</v>
      </c>
      <c r="CC76" s="3286">
        <f>SUM(стоки!BN32)</f>
        <v>68.540000000000006</v>
      </c>
      <c r="CD76" s="3286">
        <f>SUM(стоки!BO32)</f>
        <v>0</v>
      </c>
      <c r="CE76" s="3264">
        <f t="shared" ref="CE76:CE89" si="778">SUM(BY76+BG76)</f>
        <v>231.78</v>
      </c>
      <c r="CF76" s="3264">
        <f t="shared" ref="CF76:CF89" si="779">SUM(BZ76+BH76)</f>
        <v>231.78</v>
      </c>
      <c r="CG76" s="3264">
        <f t="shared" ref="CG76:CG89" si="780">SUM(CA76+BI76)</f>
        <v>0</v>
      </c>
      <c r="CH76" s="3194">
        <f t="shared" si="707"/>
        <v>163.24</v>
      </c>
      <c r="CI76" s="3264">
        <f t="shared" si="708"/>
        <v>163.24</v>
      </c>
      <c r="CJ76" s="3264">
        <f t="shared" si="709"/>
        <v>0</v>
      </c>
      <c r="CK76" s="3259"/>
      <c r="CL76" s="3259"/>
      <c r="CM76" s="3259"/>
    </row>
    <row r="77" spans="1:91" ht="18.75" customHeight="1" x14ac:dyDescent="0.3">
      <c r="A77" s="3158" t="s">
        <v>3590</v>
      </c>
      <c r="B77" s="3207">
        <f t="shared" si="752"/>
        <v>312.450175</v>
      </c>
      <c r="C77" s="3251">
        <f t="shared" ref="C77:D77" si="781">SUM(C78:C86)+C88</f>
        <v>312.450175</v>
      </c>
      <c r="D77" s="3251">
        <f t="shared" si="781"/>
        <v>0</v>
      </c>
      <c r="E77" s="3156">
        <f t="shared" si="510"/>
        <v>109.07</v>
      </c>
      <c r="F77" s="3156">
        <f t="shared" ref="F77:G77" si="782">SUM(F78:F86)+F88</f>
        <v>109.07</v>
      </c>
      <c r="G77" s="3156">
        <f t="shared" si="782"/>
        <v>0</v>
      </c>
      <c r="H77" s="3156">
        <f t="shared" si="755"/>
        <v>162.65</v>
      </c>
      <c r="I77" s="3156">
        <f t="shared" ref="I77" si="783">SUM(I78:I86)+I88</f>
        <v>162.65</v>
      </c>
      <c r="J77" s="3156">
        <f t="shared" ref="J77" si="784">SUM(J78:J86)+J88</f>
        <v>0</v>
      </c>
      <c r="K77" s="3156">
        <f t="shared" si="756"/>
        <v>200.44</v>
      </c>
      <c r="L77" s="3156">
        <f t="shared" ref="L77" si="785">SUM(L78:L86)+L88</f>
        <v>200.44</v>
      </c>
      <c r="M77" s="3156">
        <f t="shared" ref="M77" si="786">SUM(M78:M86)+M88</f>
        <v>0</v>
      </c>
      <c r="N77" s="3156">
        <f t="shared" si="671"/>
        <v>472.16</v>
      </c>
      <c r="O77" s="3156">
        <f t="shared" si="672"/>
        <v>472.16</v>
      </c>
      <c r="P77" s="3156">
        <f t="shared" si="673"/>
        <v>0</v>
      </c>
      <c r="Q77" s="3207">
        <f t="shared" si="757"/>
        <v>312.450175</v>
      </c>
      <c r="R77" s="3251">
        <f t="shared" ref="R77:S77" si="787">SUM(R78:R86)+R88</f>
        <v>312.450175</v>
      </c>
      <c r="S77" s="3251">
        <f t="shared" si="787"/>
        <v>0</v>
      </c>
      <c r="T77" s="3156">
        <f>SUM(T78:T86)+T88</f>
        <v>119.40000000000002</v>
      </c>
      <c r="U77" s="3156">
        <f t="shared" ref="U77" si="788">SUM(U78:U86)+U88</f>
        <v>119.40000000000002</v>
      </c>
      <c r="V77" s="3156">
        <f t="shared" ref="V77" si="789">SUM(V78:V86)+V88</f>
        <v>0</v>
      </c>
      <c r="W77" s="3156">
        <f>SUM(W78:W86)+W88</f>
        <v>165.88400000000001</v>
      </c>
      <c r="X77" s="3156">
        <f t="shared" ref="X77" si="790">SUM(X78:X86)+X88</f>
        <v>165.88400000000001</v>
      </c>
      <c r="Y77" s="3156">
        <f t="shared" ref="Y77" si="791">SUM(Y78:Y86)+Y88</f>
        <v>0</v>
      </c>
      <c r="Z77" s="3156">
        <f>SUM(Z78:Z86)+Z88</f>
        <v>154.173</v>
      </c>
      <c r="AA77" s="3156">
        <f t="shared" ref="AA77" si="792">SUM(AA78:AA86)+AA88</f>
        <v>154.173</v>
      </c>
      <c r="AB77" s="3156">
        <f t="shared" ref="AB77" si="793">SUM(AB78:AB86)+AB88</f>
        <v>0</v>
      </c>
      <c r="AC77" s="3156">
        <f t="shared" si="528"/>
        <v>439.45700000000005</v>
      </c>
      <c r="AD77" s="3156">
        <f t="shared" si="529"/>
        <v>439.45700000000005</v>
      </c>
      <c r="AE77" s="3156">
        <f t="shared" si="530"/>
        <v>0</v>
      </c>
      <c r="AF77" s="3206">
        <f t="shared" si="424"/>
        <v>624.90035</v>
      </c>
      <c r="AG77" s="3206">
        <f t="shared" si="425"/>
        <v>624.90035</v>
      </c>
      <c r="AH77" s="3206">
        <f t="shared" si="426"/>
        <v>0</v>
      </c>
      <c r="AI77" s="3193">
        <f t="shared" si="763"/>
        <v>911.61700000000008</v>
      </c>
      <c r="AJ77" s="3193">
        <f t="shared" si="764"/>
        <v>911.61700000000008</v>
      </c>
      <c r="AK77" s="3193">
        <f t="shared" si="765"/>
        <v>0</v>
      </c>
      <c r="AL77" s="3193">
        <f t="shared" si="683"/>
        <v>286.71665000000007</v>
      </c>
      <c r="AM77" s="3193">
        <f t="shared" si="684"/>
        <v>286.71665000000007</v>
      </c>
      <c r="AN77" s="3193">
        <f t="shared" si="685"/>
        <v>0</v>
      </c>
      <c r="AO77" s="3207">
        <f t="shared" si="766"/>
        <v>312.450175</v>
      </c>
      <c r="AP77" s="3251">
        <f t="shared" ref="AP77:AQ77" si="794">SUM(AP78:AP86)+AP88</f>
        <v>312.450175</v>
      </c>
      <c r="AQ77" s="3251">
        <f t="shared" si="794"/>
        <v>0</v>
      </c>
      <c r="AR77" s="3156">
        <f>SUM(AR78:AR86)+AR88</f>
        <v>132.18</v>
      </c>
      <c r="AS77" s="3156">
        <f t="shared" ref="AS77" si="795">SUM(AS78:AS86)+AS88</f>
        <v>132.18</v>
      </c>
      <c r="AT77" s="3156">
        <f t="shared" ref="AT77" si="796">SUM(AT78:AT86)+AT88</f>
        <v>0</v>
      </c>
      <c r="AU77" s="3156">
        <f>SUM(AU78:AU86)+AU88</f>
        <v>73.260000000000005</v>
      </c>
      <c r="AV77" s="3156">
        <f t="shared" ref="AV77" si="797">SUM(AV78:AV86)+AV88</f>
        <v>73.260000000000005</v>
      </c>
      <c r="AW77" s="3156">
        <f t="shared" ref="AW77" si="798">SUM(AW78:AW86)+AW88</f>
        <v>0</v>
      </c>
      <c r="AX77" s="3156">
        <f>SUM(AX78:AX86)+AX88</f>
        <v>178.24</v>
      </c>
      <c r="AY77" s="3156">
        <f t="shared" ref="AY77" si="799">SUM(AY78:AY86)+AY88</f>
        <v>178.24</v>
      </c>
      <c r="AZ77" s="3156">
        <f t="shared" ref="AZ77" si="800">SUM(AZ78:AZ86)+AZ88</f>
        <v>0</v>
      </c>
      <c r="BA77" s="3156">
        <f t="shared" si="544"/>
        <v>383.68</v>
      </c>
      <c r="BB77" s="3156">
        <f t="shared" si="545"/>
        <v>383.68</v>
      </c>
      <c r="BC77" s="3156">
        <f t="shared" si="546"/>
        <v>0</v>
      </c>
      <c r="BD77" s="3206">
        <f t="shared" si="257"/>
        <v>937.35052500000006</v>
      </c>
      <c r="BE77" s="3206">
        <f t="shared" si="258"/>
        <v>937.35052500000006</v>
      </c>
      <c r="BF77" s="3206">
        <f t="shared" si="259"/>
        <v>0</v>
      </c>
      <c r="BG77" s="3193">
        <f t="shared" si="692"/>
        <v>1295.297</v>
      </c>
      <c r="BH77" s="3193">
        <f t="shared" si="693"/>
        <v>1295.297</v>
      </c>
      <c r="BI77" s="3193">
        <f t="shared" si="694"/>
        <v>0</v>
      </c>
      <c r="BJ77" s="3193">
        <f t="shared" si="695"/>
        <v>357.94647499999996</v>
      </c>
      <c r="BK77" s="3193">
        <f t="shared" si="696"/>
        <v>357.94647499999996</v>
      </c>
      <c r="BL77" s="3193">
        <f t="shared" si="697"/>
        <v>0</v>
      </c>
      <c r="BM77" s="3207">
        <f t="shared" si="772"/>
        <v>312.450175</v>
      </c>
      <c r="BN77" s="3251">
        <f t="shared" ref="BN77:BO77" si="801">SUM(BN78:BN86)+BN88</f>
        <v>312.450175</v>
      </c>
      <c r="BO77" s="3251">
        <f t="shared" si="801"/>
        <v>0</v>
      </c>
      <c r="BP77" s="3156">
        <f>SUM(BP78:BP86)+BP88</f>
        <v>0</v>
      </c>
      <c r="BQ77" s="3156">
        <f t="shared" ref="BQ77" si="802">SUM(BQ78:BQ86)+BQ88</f>
        <v>0</v>
      </c>
      <c r="BR77" s="3156">
        <f t="shared" ref="BR77" si="803">SUM(BR78:BR86)+BR88</f>
        <v>0</v>
      </c>
      <c r="BS77" s="3156">
        <f>SUM(BS78:BS86)+BS88</f>
        <v>0</v>
      </c>
      <c r="BT77" s="3156">
        <f t="shared" ref="BT77" si="804">SUM(BT78:BT86)+BT88</f>
        <v>0</v>
      </c>
      <c r="BU77" s="3156">
        <f t="shared" ref="BU77" si="805">SUM(BU78:BU86)+BU88</f>
        <v>0</v>
      </c>
      <c r="BV77" s="3156">
        <f>SUM(BV78:BV86)+BV88</f>
        <v>0</v>
      </c>
      <c r="BW77" s="3156">
        <f t="shared" ref="BW77" si="806">SUM(BW78:BW86)+BW88</f>
        <v>0</v>
      </c>
      <c r="BX77" s="3156">
        <f t="shared" ref="BX77" si="807">SUM(BX78:BX86)+BX88</f>
        <v>0</v>
      </c>
      <c r="BY77" s="3156">
        <f t="shared" si="560"/>
        <v>0</v>
      </c>
      <c r="BZ77" s="3156">
        <f t="shared" si="561"/>
        <v>0</v>
      </c>
      <c r="CA77" s="3156">
        <f t="shared" si="562"/>
        <v>0</v>
      </c>
      <c r="CB77" s="3206">
        <f t="shared" si="158"/>
        <v>1249.8006716269299</v>
      </c>
      <c r="CC77" s="3285">
        <f>SUM(стоки!BN33)</f>
        <v>1249.8006716269299</v>
      </c>
      <c r="CD77" s="3285">
        <f>SUM(стоки!BO33)</f>
        <v>0</v>
      </c>
      <c r="CE77" s="3193">
        <f t="shared" si="778"/>
        <v>1295.297</v>
      </c>
      <c r="CF77" s="3193">
        <f t="shared" si="779"/>
        <v>1295.297</v>
      </c>
      <c r="CG77" s="3193">
        <f t="shared" si="780"/>
        <v>0</v>
      </c>
      <c r="CH77" s="3193">
        <f t="shared" si="707"/>
        <v>45.496328373070128</v>
      </c>
      <c r="CI77" s="3193">
        <f t="shared" si="708"/>
        <v>45.496328373070128</v>
      </c>
      <c r="CJ77" s="3193">
        <f t="shared" si="709"/>
        <v>0</v>
      </c>
      <c r="CK77" s="3260"/>
      <c r="CL77" s="3260"/>
      <c r="CM77" s="3260"/>
    </row>
    <row r="78" spans="1:91" ht="18.75" customHeight="1" x14ac:dyDescent="0.3">
      <c r="A78" s="3172" t="s">
        <v>72</v>
      </c>
      <c r="B78" s="3208">
        <f t="shared" ref="B78:B86" si="808">SUM(C78:D78)</f>
        <v>0</v>
      </c>
      <c r="C78" s="3208">
        <f t="shared" ref="C78:C85" si="809">SUM(CC78/4)</f>
        <v>0</v>
      </c>
      <c r="D78" s="3208">
        <f t="shared" ref="D78:D85" si="810">SUM(CD78/4)</f>
        <v>0</v>
      </c>
      <c r="E78" s="3136">
        <f t="shared" si="510"/>
        <v>0</v>
      </c>
      <c r="F78" s="3137"/>
      <c r="G78" s="3137"/>
      <c r="H78" s="3136">
        <f t="shared" si="755"/>
        <v>0</v>
      </c>
      <c r="I78" s="3137"/>
      <c r="J78" s="3137"/>
      <c r="K78" s="3136">
        <f t="shared" si="756"/>
        <v>0</v>
      </c>
      <c r="L78" s="3137"/>
      <c r="M78" s="3137"/>
      <c r="N78" s="3136">
        <f t="shared" si="671"/>
        <v>0</v>
      </c>
      <c r="O78" s="3136">
        <f t="shared" si="672"/>
        <v>0</v>
      </c>
      <c r="P78" s="3136">
        <f t="shared" si="673"/>
        <v>0</v>
      </c>
      <c r="Q78" s="3208">
        <f t="shared" ref="Q78:Q86" si="811">SUM(R78:S78)</f>
        <v>0</v>
      </c>
      <c r="R78" s="3208">
        <f t="shared" ref="R78:R85" si="812">SUM(C78)</f>
        <v>0</v>
      </c>
      <c r="S78" s="3208">
        <f t="shared" ref="S78:S85" si="813">SUM(D78)</f>
        <v>0</v>
      </c>
      <c r="T78" s="3136">
        <f t="shared" ref="T78:T85" si="814">SUM(U78:V78)</f>
        <v>0</v>
      </c>
      <c r="U78" s="3137"/>
      <c r="V78" s="3137"/>
      <c r="W78" s="3136">
        <f t="shared" ref="W78:W85" si="815">SUM(X78:Y78)</f>
        <v>0</v>
      </c>
      <c r="X78" s="3137"/>
      <c r="Y78" s="3137"/>
      <c r="Z78" s="3136">
        <f t="shared" ref="Z78:Z85" si="816">SUM(AA78:AB78)</f>
        <v>0</v>
      </c>
      <c r="AA78" s="3137"/>
      <c r="AB78" s="3137"/>
      <c r="AC78" s="3136">
        <f t="shared" si="528"/>
        <v>0</v>
      </c>
      <c r="AD78" s="3136">
        <f t="shared" si="529"/>
        <v>0</v>
      </c>
      <c r="AE78" s="3136">
        <f t="shared" si="530"/>
        <v>0</v>
      </c>
      <c r="AF78" s="3209">
        <f t="shared" si="424"/>
        <v>0</v>
      </c>
      <c r="AG78" s="3209">
        <f t="shared" si="425"/>
        <v>0</v>
      </c>
      <c r="AH78" s="3209">
        <f t="shared" si="426"/>
        <v>0</v>
      </c>
      <c r="AI78" s="3264">
        <f t="shared" si="763"/>
        <v>0</v>
      </c>
      <c r="AJ78" s="3264">
        <f t="shared" si="764"/>
        <v>0</v>
      </c>
      <c r="AK78" s="3264">
        <f t="shared" si="765"/>
        <v>0</v>
      </c>
      <c r="AL78" s="3264">
        <f t="shared" si="683"/>
        <v>0</v>
      </c>
      <c r="AM78" s="3264">
        <f t="shared" si="684"/>
        <v>0</v>
      </c>
      <c r="AN78" s="3264">
        <f t="shared" si="685"/>
        <v>0</v>
      </c>
      <c r="AO78" s="3208">
        <f t="shared" ref="AO78:AO88" si="817">SUM(AP78:AQ78)</f>
        <v>0</v>
      </c>
      <c r="AP78" s="3208">
        <f t="shared" ref="AP78:AP85" si="818">SUM(CC78-AG78)/2</f>
        <v>0</v>
      </c>
      <c r="AQ78" s="3208">
        <f t="shared" ref="AQ78:AQ85" si="819">SUM(CD78-AH78)/2</f>
        <v>0</v>
      </c>
      <c r="AR78" s="3136">
        <f t="shared" ref="AR78:AR85" si="820">SUM(AS78:AT78)</f>
        <v>0</v>
      </c>
      <c r="AS78" s="3137"/>
      <c r="AT78" s="3137"/>
      <c r="AU78" s="3136">
        <f t="shared" ref="AU78:AU85" si="821">SUM(AV78:AW78)</f>
        <v>0</v>
      </c>
      <c r="AV78" s="3137"/>
      <c r="AW78" s="3137"/>
      <c r="AX78" s="3136">
        <f t="shared" ref="AX78:AX85" si="822">SUM(AY78:AZ78)</f>
        <v>0</v>
      </c>
      <c r="AY78" s="3137"/>
      <c r="AZ78" s="3137"/>
      <c r="BA78" s="3136">
        <f t="shared" si="544"/>
        <v>0</v>
      </c>
      <c r="BB78" s="3136">
        <f t="shared" si="545"/>
        <v>0</v>
      </c>
      <c r="BC78" s="3136">
        <f t="shared" si="546"/>
        <v>0</v>
      </c>
      <c r="BD78" s="3209">
        <f t="shared" si="257"/>
        <v>0</v>
      </c>
      <c r="BE78" s="3209">
        <f t="shared" si="258"/>
        <v>0</v>
      </c>
      <c r="BF78" s="3209">
        <f t="shared" si="259"/>
        <v>0</v>
      </c>
      <c r="BG78" s="3264">
        <f t="shared" si="692"/>
        <v>0</v>
      </c>
      <c r="BH78" s="3264">
        <f t="shared" si="693"/>
        <v>0</v>
      </c>
      <c r="BI78" s="3264">
        <f t="shared" si="694"/>
        <v>0</v>
      </c>
      <c r="BJ78" s="3264">
        <f t="shared" si="695"/>
        <v>0</v>
      </c>
      <c r="BK78" s="3264">
        <f t="shared" si="696"/>
        <v>0</v>
      </c>
      <c r="BL78" s="3264">
        <f t="shared" si="697"/>
        <v>0</v>
      </c>
      <c r="BM78" s="3208">
        <f t="shared" si="772"/>
        <v>0</v>
      </c>
      <c r="BN78" s="3208">
        <f t="shared" ref="BN78:BN85" si="823">SUM(AP78)</f>
        <v>0</v>
      </c>
      <c r="BO78" s="3208">
        <f t="shared" ref="BO78:BO85" si="824">SUM(AQ78)</f>
        <v>0</v>
      </c>
      <c r="BP78" s="3136">
        <f t="shared" ref="BP78:BP85" si="825">SUM(BQ78:BR78)</f>
        <v>0</v>
      </c>
      <c r="BQ78" s="3137"/>
      <c r="BR78" s="3137"/>
      <c r="BS78" s="3136">
        <f t="shared" ref="BS78:BS85" si="826">SUM(BT78:BU78)</f>
        <v>0</v>
      </c>
      <c r="BT78" s="3137"/>
      <c r="BU78" s="3137"/>
      <c r="BV78" s="3136">
        <f t="shared" ref="BV78:BV85" si="827">SUM(BW78:BX78)</f>
        <v>0</v>
      </c>
      <c r="BW78" s="3137"/>
      <c r="BX78" s="3137"/>
      <c r="BY78" s="3136">
        <f t="shared" si="560"/>
        <v>0</v>
      </c>
      <c r="BZ78" s="3136">
        <f t="shared" si="561"/>
        <v>0</v>
      </c>
      <c r="CA78" s="3136">
        <f t="shared" si="562"/>
        <v>0</v>
      </c>
      <c r="CB78" s="3209">
        <f t="shared" si="158"/>
        <v>0</v>
      </c>
      <c r="CC78" s="3286">
        <v>0</v>
      </c>
      <c r="CD78" s="3286">
        <v>0</v>
      </c>
      <c r="CE78" s="3264">
        <f t="shared" si="778"/>
        <v>0</v>
      </c>
      <c r="CF78" s="3264">
        <f t="shared" si="779"/>
        <v>0</v>
      </c>
      <c r="CG78" s="3264">
        <f t="shared" si="780"/>
        <v>0</v>
      </c>
      <c r="CH78" s="3264">
        <f t="shared" si="707"/>
        <v>0</v>
      </c>
      <c r="CI78" s="3264">
        <f t="shared" si="708"/>
        <v>0</v>
      </c>
      <c r="CJ78" s="3264">
        <f t="shared" si="709"/>
        <v>0</v>
      </c>
      <c r="CK78" s="3259"/>
      <c r="CL78" s="3259"/>
      <c r="CM78" s="3259"/>
    </row>
    <row r="79" spans="1:91" ht="18.75" customHeight="1" x14ac:dyDescent="0.3">
      <c r="A79" s="3172" t="s">
        <v>117</v>
      </c>
      <c r="B79" s="3208">
        <f t="shared" si="808"/>
        <v>0</v>
      </c>
      <c r="C79" s="3208">
        <f t="shared" si="809"/>
        <v>0</v>
      </c>
      <c r="D79" s="3208">
        <f t="shared" si="810"/>
        <v>0</v>
      </c>
      <c r="E79" s="3136">
        <f t="shared" si="510"/>
        <v>0</v>
      </c>
      <c r="F79" s="3137"/>
      <c r="G79" s="3137"/>
      <c r="H79" s="3136">
        <f t="shared" si="755"/>
        <v>0</v>
      </c>
      <c r="I79" s="3137"/>
      <c r="J79" s="3137"/>
      <c r="K79" s="3136">
        <f t="shared" si="756"/>
        <v>0</v>
      </c>
      <c r="L79" s="3137"/>
      <c r="M79" s="3137"/>
      <c r="N79" s="3136">
        <f t="shared" si="671"/>
        <v>0</v>
      </c>
      <c r="O79" s="3136">
        <f t="shared" si="672"/>
        <v>0</v>
      </c>
      <c r="P79" s="3136">
        <f t="shared" si="673"/>
        <v>0</v>
      </c>
      <c r="Q79" s="3208">
        <f t="shared" si="811"/>
        <v>0</v>
      </c>
      <c r="R79" s="3208">
        <f t="shared" si="812"/>
        <v>0</v>
      </c>
      <c r="S79" s="3208">
        <f t="shared" si="813"/>
        <v>0</v>
      </c>
      <c r="T79" s="3136">
        <f t="shared" si="814"/>
        <v>0</v>
      </c>
      <c r="U79" s="3137"/>
      <c r="V79" s="3137"/>
      <c r="W79" s="3136">
        <f t="shared" si="815"/>
        <v>0</v>
      </c>
      <c r="X79" s="3137"/>
      <c r="Y79" s="3137"/>
      <c r="Z79" s="3136">
        <f t="shared" si="816"/>
        <v>0</v>
      </c>
      <c r="AA79" s="3137"/>
      <c r="AB79" s="3137"/>
      <c r="AC79" s="3136">
        <f t="shared" si="528"/>
        <v>0</v>
      </c>
      <c r="AD79" s="3136">
        <f t="shared" si="529"/>
        <v>0</v>
      </c>
      <c r="AE79" s="3136">
        <f t="shared" si="530"/>
        <v>0</v>
      </c>
      <c r="AF79" s="3209">
        <f t="shared" si="424"/>
        <v>0</v>
      </c>
      <c r="AG79" s="3209">
        <f t="shared" si="425"/>
        <v>0</v>
      </c>
      <c r="AH79" s="3209">
        <f t="shared" si="426"/>
        <v>0</v>
      </c>
      <c r="AI79" s="3264">
        <f t="shared" si="763"/>
        <v>0</v>
      </c>
      <c r="AJ79" s="3264">
        <f t="shared" si="764"/>
        <v>0</v>
      </c>
      <c r="AK79" s="3264">
        <f t="shared" si="765"/>
        <v>0</v>
      </c>
      <c r="AL79" s="3264">
        <f t="shared" si="683"/>
        <v>0</v>
      </c>
      <c r="AM79" s="3264">
        <f t="shared" si="684"/>
        <v>0</v>
      </c>
      <c r="AN79" s="3264">
        <f t="shared" si="685"/>
        <v>0</v>
      </c>
      <c r="AO79" s="3208">
        <f t="shared" si="817"/>
        <v>0</v>
      </c>
      <c r="AP79" s="3208">
        <f t="shared" si="818"/>
        <v>0</v>
      </c>
      <c r="AQ79" s="3208">
        <f t="shared" si="819"/>
        <v>0</v>
      </c>
      <c r="AR79" s="3136">
        <f t="shared" si="820"/>
        <v>0</v>
      </c>
      <c r="AS79" s="3137"/>
      <c r="AT79" s="3137"/>
      <c r="AU79" s="3136">
        <f t="shared" si="821"/>
        <v>0</v>
      </c>
      <c r="AV79" s="3137"/>
      <c r="AW79" s="3137"/>
      <c r="AX79" s="3136">
        <f t="shared" si="822"/>
        <v>0</v>
      </c>
      <c r="AY79" s="3137"/>
      <c r="AZ79" s="3137"/>
      <c r="BA79" s="3136">
        <f t="shared" si="544"/>
        <v>0</v>
      </c>
      <c r="BB79" s="3136">
        <f t="shared" si="545"/>
        <v>0</v>
      </c>
      <c r="BC79" s="3136">
        <f t="shared" si="546"/>
        <v>0</v>
      </c>
      <c r="BD79" s="3209">
        <f t="shared" si="257"/>
        <v>0</v>
      </c>
      <c r="BE79" s="3209">
        <f t="shared" si="258"/>
        <v>0</v>
      </c>
      <c r="BF79" s="3209">
        <f t="shared" si="259"/>
        <v>0</v>
      </c>
      <c r="BG79" s="3264">
        <f t="shared" si="692"/>
        <v>0</v>
      </c>
      <c r="BH79" s="3264">
        <f t="shared" si="693"/>
        <v>0</v>
      </c>
      <c r="BI79" s="3264">
        <f t="shared" si="694"/>
        <v>0</v>
      </c>
      <c r="BJ79" s="3264">
        <f t="shared" si="695"/>
        <v>0</v>
      </c>
      <c r="BK79" s="3264">
        <f t="shared" si="696"/>
        <v>0</v>
      </c>
      <c r="BL79" s="3264">
        <f t="shared" si="697"/>
        <v>0</v>
      </c>
      <c r="BM79" s="3208">
        <f t="shared" si="772"/>
        <v>0</v>
      </c>
      <c r="BN79" s="3208">
        <f t="shared" si="823"/>
        <v>0</v>
      </c>
      <c r="BO79" s="3208">
        <f t="shared" si="824"/>
        <v>0</v>
      </c>
      <c r="BP79" s="3136">
        <f t="shared" si="825"/>
        <v>0</v>
      </c>
      <c r="BQ79" s="3137"/>
      <c r="BR79" s="3137"/>
      <c r="BS79" s="3136">
        <f t="shared" si="826"/>
        <v>0</v>
      </c>
      <c r="BT79" s="3137"/>
      <c r="BU79" s="3137"/>
      <c r="BV79" s="3136">
        <f t="shared" si="827"/>
        <v>0</v>
      </c>
      <c r="BW79" s="3137"/>
      <c r="BX79" s="3137"/>
      <c r="BY79" s="3136">
        <f t="shared" si="560"/>
        <v>0</v>
      </c>
      <c r="BZ79" s="3136">
        <f t="shared" si="561"/>
        <v>0</v>
      </c>
      <c r="CA79" s="3136">
        <f t="shared" si="562"/>
        <v>0</v>
      </c>
      <c r="CB79" s="3209">
        <f t="shared" si="158"/>
        <v>0</v>
      </c>
      <c r="CC79" s="3286">
        <v>0</v>
      </c>
      <c r="CD79" s="3286">
        <v>0</v>
      </c>
      <c r="CE79" s="3264">
        <f t="shared" si="778"/>
        <v>0</v>
      </c>
      <c r="CF79" s="3264">
        <f t="shared" si="779"/>
        <v>0</v>
      </c>
      <c r="CG79" s="3264">
        <f t="shared" si="780"/>
        <v>0</v>
      </c>
      <c r="CH79" s="3264">
        <f t="shared" si="707"/>
        <v>0</v>
      </c>
      <c r="CI79" s="3264">
        <f t="shared" si="708"/>
        <v>0</v>
      </c>
      <c r="CJ79" s="3264">
        <f t="shared" si="709"/>
        <v>0</v>
      </c>
      <c r="CK79" s="3259"/>
      <c r="CL79" s="3259"/>
      <c r="CM79" s="3259"/>
    </row>
    <row r="80" spans="1:91" ht="18.75" customHeight="1" x14ac:dyDescent="0.3">
      <c r="A80" s="3172" t="s">
        <v>52</v>
      </c>
      <c r="B80" s="3208">
        <f t="shared" si="808"/>
        <v>1.0275000000000001</v>
      </c>
      <c r="C80" s="3208">
        <f t="shared" si="809"/>
        <v>1.0275000000000001</v>
      </c>
      <c r="D80" s="3208">
        <f t="shared" si="810"/>
        <v>0</v>
      </c>
      <c r="E80" s="3136">
        <f t="shared" si="510"/>
        <v>0.08</v>
      </c>
      <c r="F80" s="3137">
        <v>0.08</v>
      </c>
      <c r="G80" s="3137"/>
      <c r="H80" s="3136">
        <f t="shared" si="755"/>
        <v>0</v>
      </c>
      <c r="I80" s="3137"/>
      <c r="J80" s="3137"/>
      <c r="K80" s="3136">
        <f t="shared" si="756"/>
        <v>0.09</v>
      </c>
      <c r="L80" s="3137">
        <v>0.09</v>
      </c>
      <c r="M80" s="3137"/>
      <c r="N80" s="3136">
        <f t="shared" si="671"/>
        <v>0.16999999999999998</v>
      </c>
      <c r="O80" s="3136">
        <f t="shared" si="672"/>
        <v>0.16999999999999998</v>
      </c>
      <c r="P80" s="3136">
        <f t="shared" si="673"/>
        <v>0</v>
      </c>
      <c r="Q80" s="3208">
        <f t="shared" si="811"/>
        <v>1.0275000000000001</v>
      </c>
      <c r="R80" s="3208">
        <f t="shared" si="812"/>
        <v>1.0275000000000001</v>
      </c>
      <c r="S80" s="3208">
        <f t="shared" si="813"/>
        <v>0</v>
      </c>
      <c r="T80" s="3136">
        <f t="shared" si="814"/>
        <v>0.18</v>
      </c>
      <c r="U80" s="3137">
        <v>0.18</v>
      </c>
      <c r="V80" s="3137"/>
      <c r="W80" s="3136">
        <f t="shared" si="815"/>
        <v>0</v>
      </c>
      <c r="X80" s="3137"/>
      <c r="Y80" s="3137"/>
      <c r="Z80" s="3136">
        <f t="shared" si="816"/>
        <v>7.8E-2</v>
      </c>
      <c r="AA80" s="3137">
        <v>7.8E-2</v>
      </c>
      <c r="AB80" s="3137"/>
      <c r="AC80" s="3136">
        <f t="shared" si="528"/>
        <v>0.25800000000000001</v>
      </c>
      <c r="AD80" s="3136">
        <f t="shared" si="529"/>
        <v>0.25800000000000001</v>
      </c>
      <c r="AE80" s="3136">
        <f t="shared" si="530"/>
        <v>0</v>
      </c>
      <c r="AF80" s="3209">
        <f t="shared" si="424"/>
        <v>2.0550000000000002</v>
      </c>
      <c r="AG80" s="3209">
        <f t="shared" si="425"/>
        <v>2.0550000000000002</v>
      </c>
      <c r="AH80" s="3209">
        <f t="shared" si="426"/>
        <v>0</v>
      </c>
      <c r="AI80" s="3264">
        <f t="shared" si="763"/>
        <v>0.42799999999999999</v>
      </c>
      <c r="AJ80" s="3264">
        <f t="shared" si="764"/>
        <v>0.42799999999999999</v>
      </c>
      <c r="AK80" s="3264">
        <f t="shared" si="765"/>
        <v>0</v>
      </c>
      <c r="AL80" s="3264">
        <f t="shared" si="683"/>
        <v>-1.6270000000000002</v>
      </c>
      <c r="AM80" s="3264">
        <f t="shared" si="684"/>
        <v>-1.6270000000000002</v>
      </c>
      <c r="AN80" s="3264">
        <f t="shared" si="685"/>
        <v>0</v>
      </c>
      <c r="AO80" s="3208">
        <f t="shared" si="817"/>
        <v>1.0275000000000001</v>
      </c>
      <c r="AP80" s="3208">
        <f t="shared" si="818"/>
        <v>1.0275000000000001</v>
      </c>
      <c r="AQ80" s="3208">
        <f t="shared" si="819"/>
        <v>0</v>
      </c>
      <c r="AR80" s="3136">
        <f t="shared" si="820"/>
        <v>0.06</v>
      </c>
      <c r="AS80" s="3137">
        <v>0.06</v>
      </c>
      <c r="AT80" s="3137"/>
      <c r="AU80" s="3136">
        <f t="shared" si="821"/>
        <v>7.0000000000000007E-2</v>
      </c>
      <c r="AV80" s="3137">
        <v>7.0000000000000007E-2</v>
      </c>
      <c r="AW80" s="3137"/>
      <c r="AX80" s="3136">
        <f t="shared" si="822"/>
        <v>0.15</v>
      </c>
      <c r="AY80" s="3137">
        <v>0.15</v>
      </c>
      <c r="AZ80" s="3137"/>
      <c r="BA80" s="3136">
        <f t="shared" si="544"/>
        <v>0.28000000000000003</v>
      </c>
      <c r="BB80" s="3136">
        <f t="shared" si="545"/>
        <v>0.28000000000000003</v>
      </c>
      <c r="BC80" s="3136">
        <f t="shared" si="546"/>
        <v>0</v>
      </c>
      <c r="BD80" s="3209">
        <f t="shared" si="257"/>
        <v>3.0825000000000005</v>
      </c>
      <c r="BE80" s="3209">
        <f t="shared" si="258"/>
        <v>3.0825000000000005</v>
      </c>
      <c r="BF80" s="3209">
        <f t="shared" si="259"/>
        <v>0</v>
      </c>
      <c r="BG80" s="3264">
        <f t="shared" si="692"/>
        <v>0.70799999999999996</v>
      </c>
      <c r="BH80" s="3264">
        <f t="shared" si="693"/>
        <v>0.70799999999999996</v>
      </c>
      <c r="BI80" s="3264">
        <f t="shared" si="694"/>
        <v>0</v>
      </c>
      <c r="BJ80" s="3264">
        <f t="shared" si="695"/>
        <v>-2.3745000000000003</v>
      </c>
      <c r="BK80" s="3264">
        <f t="shared" si="696"/>
        <v>-2.3745000000000003</v>
      </c>
      <c r="BL80" s="3264">
        <f t="shared" si="697"/>
        <v>0</v>
      </c>
      <c r="BM80" s="3208">
        <f t="shared" si="772"/>
        <v>1.0275000000000001</v>
      </c>
      <c r="BN80" s="3208">
        <f t="shared" si="823"/>
        <v>1.0275000000000001</v>
      </c>
      <c r="BO80" s="3208">
        <f t="shared" si="824"/>
        <v>0</v>
      </c>
      <c r="BP80" s="3136">
        <f t="shared" si="825"/>
        <v>0</v>
      </c>
      <c r="BQ80" s="3137"/>
      <c r="BR80" s="3137"/>
      <c r="BS80" s="3136">
        <f t="shared" si="826"/>
        <v>0</v>
      </c>
      <c r="BT80" s="3137"/>
      <c r="BU80" s="3137"/>
      <c r="BV80" s="3136">
        <f t="shared" si="827"/>
        <v>0</v>
      </c>
      <c r="BW80" s="3137"/>
      <c r="BX80" s="3137"/>
      <c r="BY80" s="3136">
        <f t="shared" si="560"/>
        <v>0</v>
      </c>
      <c r="BZ80" s="3136">
        <f t="shared" si="561"/>
        <v>0</v>
      </c>
      <c r="CA80" s="3136">
        <f t="shared" si="562"/>
        <v>0</v>
      </c>
      <c r="CB80" s="3209">
        <f t="shared" si="158"/>
        <v>4.1100000000000003</v>
      </c>
      <c r="CC80" s="3286">
        <v>4.1100000000000003</v>
      </c>
      <c r="CD80" s="3286">
        <v>0</v>
      </c>
      <c r="CE80" s="3264">
        <f t="shared" si="778"/>
        <v>0.70799999999999996</v>
      </c>
      <c r="CF80" s="3264">
        <f t="shared" si="779"/>
        <v>0.70799999999999996</v>
      </c>
      <c r="CG80" s="3264">
        <f t="shared" si="780"/>
        <v>0</v>
      </c>
      <c r="CH80" s="3264">
        <f t="shared" si="707"/>
        <v>-3.4020000000000001</v>
      </c>
      <c r="CI80" s="3264">
        <f t="shared" si="708"/>
        <v>-3.4020000000000001</v>
      </c>
      <c r="CJ80" s="3264">
        <f t="shared" si="709"/>
        <v>0</v>
      </c>
      <c r="CK80" s="3259"/>
      <c r="CL80" s="3259"/>
      <c r="CM80" s="3259"/>
    </row>
    <row r="81" spans="1:91" ht="18.75" customHeight="1" x14ac:dyDescent="0.3">
      <c r="A81" s="3172" t="s">
        <v>599</v>
      </c>
      <c r="B81" s="3208">
        <f t="shared" si="808"/>
        <v>262.20767499999999</v>
      </c>
      <c r="C81" s="3208">
        <f t="shared" si="809"/>
        <v>262.20767499999999</v>
      </c>
      <c r="D81" s="3208">
        <f t="shared" si="810"/>
        <v>0</v>
      </c>
      <c r="E81" s="3136">
        <f t="shared" si="510"/>
        <v>100.1</v>
      </c>
      <c r="F81" s="3137">
        <f>0.69-33.26+132.67</f>
        <v>100.1</v>
      </c>
      <c r="G81" s="3137"/>
      <c r="H81" s="3136">
        <f t="shared" si="755"/>
        <v>146.36000000000001</v>
      </c>
      <c r="I81" s="3137">
        <f>-18+164.36</f>
        <v>146.36000000000001</v>
      </c>
      <c r="J81" s="3137"/>
      <c r="K81" s="3136">
        <f t="shared" si="756"/>
        <v>182.01999999999998</v>
      </c>
      <c r="L81" s="3137">
        <f>1.37-19.33+199.98</f>
        <v>182.01999999999998</v>
      </c>
      <c r="M81" s="3137"/>
      <c r="N81" s="3136">
        <f t="shared" si="671"/>
        <v>428.48</v>
      </c>
      <c r="O81" s="3136">
        <f t="shared" si="672"/>
        <v>428.48</v>
      </c>
      <c r="P81" s="3136">
        <f t="shared" si="673"/>
        <v>0</v>
      </c>
      <c r="Q81" s="3208">
        <f t="shared" si="811"/>
        <v>262.20767499999999</v>
      </c>
      <c r="R81" s="3208">
        <f t="shared" si="812"/>
        <v>262.20767499999999</v>
      </c>
      <c r="S81" s="3208">
        <f t="shared" si="813"/>
        <v>0</v>
      </c>
      <c r="T81" s="3136">
        <f t="shared" si="814"/>
        <v>108.65</v>
      </c>
      <c r="U81" s="3137">
        <f>0.98-37.69+145.36</f>
        <v>108.65</v>
      </c>
      <c r="V81" s="3137"/>
      <c r="W81" s="3136">
        <f t="shared" si="815"/>
        <v>148.64000000000001</v>
      </c>
      <c r="X81" s="3137">
        <f>-36.1+184.74</f>
        <v>148.64000000000001</v>
      </c>
      <c r="Y81" s="3137"/>
      <c r="Z81" s="3136">
        <f t="shared" si="816"/>
        <v>137.64000000000001</v>
      </c>
      <c r="AA81" s="3137">
        <f>-48.47+186.11</f>
        <v>137.64000000000001</v>
      </c>
      <c r="AB81" s="3137"/>
      <c r="AC81" s="3136">
        <f t="shared" si="528"/>
        <v>394.93000000000006</v>
      </c>
      <c r="AD81" s="3136">
        <f t="shared" si="529"/>
        <v>394.93000000000006</v>
      </c>
      <c r="AE81" s="3136">
        <f t="shared" si="530"/>
        <v>0</v>
      </c>
      <c r="AF81" s="3209">
        <f t="shared" si="424"/>
        <v>524.41534999999999</v>
      </c>
      <c r="AG81" s="3209">
        <f t="shared" si="425"/>
        <v>524.41534999999999</v>
      </c>
      <c r="AH81" s="3209">
        <f t="shared" si="426"/>
        <v>0</v>
      </c>
      <c r="AI81" s="3264">
        <f t="shared" si="763"/>
        <v>823.41000000000008</v>
      </c>
      <c r="AJ81" s="3264">
        <f t="shared" si="764"/>
        <v>823.41000000000008</v>
      </c>
      <c r="AK81" s="3264">
        <f t="shared" si="765"/>
        <v>0</v>
      </c>
      <c r="AL81" s="3264">
        <f t="shared" si="683"/>
        <v>298.99465000000009</v>
      </c>
      <c r="AM81" s="3264">
        <f t="shared" si="684"/>
        <v>298.99465000000009</v>
      </c>
      <c r="AN81" s="3264">
        <f t="shared" si="685"/>
        <v>0</v>
      </c>
      <c r="AO81" s="3208">
        <f t="shared" si="817"/>
        <v>262.20767499999999</v>
      </c>
      <c r="AP81" s="3208">
        <f t="shared" si="818"/>
        <v>262.20767499999999</v>
      </c>
      <c r="AQ81" s="3208">
        <f t="shared" si="819"/>
        <v>0</v>
      </c>
      <c r="AR81" s="3136">
        <f t="shared" si="820"/>
        <v>113.63</v>
      </c>
      <c r="AS81" s="3137">
        <f>0.7-46.8+159.73</f>
        <v>113.63</v>
      </c>
      <c r="AT81" s="3137"/>
      <c r="AU81" s="3136">
        <f t="shared" si="821"/>
        <v>57.570000000000007</v>
      </c>
      <c r="AV81" s="3137">
        <f>1.22-82.42+138.77</f>
        <v>57.570000000000007</v>
      </c>
      <c r="AW81" s="3137"/>
      <c r="AX81" s="3136">
        <f t="shared" si="822"/>
        <v>166.1</v>
      </c>
      <c r="AY81" s="3137">
        <f>0.52-58.56+224.14</f>
        <v>166.1</v>
      </c>
      <c r="AZ81" s="3137"/>
      <c r="BA81" s="3136">
        <f t="shared" si="544"/>
        <v>337.29999999999995</v>
      </c>
      <c r="BB81" s="3136">
        <f t="shared" si="545"/>
        <v>337.29999999999995</v>
      </c>
      <c r="BC81" s="3136">
        <f t="shared" si="546"/>
        <v>0</v>
      </c>
      <c r="BD81" s="3209">
        <f t="shared" si="257"/>
        <v>786.62302499999998</v>
      </c>
      <c r="BE81" s="3209">
        <f t="shared" si="258"/>
        <v>786.62302499999998</v>
      </c>
      <c r="BF81" s="3209">
        <f t="shared" si="259"/>
        <v>0</v>
      </c>
      <c r="BG81" s="3264">
        <f t="shared" si="692"/>
        <v>1160.71</v>
      </c>
      <c r="BH81" s="3264">
        <f t="shared" si="693"/>
        <v>1160.71</v>
      </c>
      <c r="BI81" s="3264">
        <f t="shared" si="694"/>
        <v>0</v>
      </c>
      <c r="BJ81" s="3264">
        <f t="shared" si="695"/>
        <v>374.08697500000005</v>
      </c>
      <c r="BK81" s="3264">
        <f t="shared" si="696"/>
        <v>374.08697500000005</v>
      </c>
      <c r="BL81" s="3264">
        <f t="shared" si="697"/>
        <v>0</v>
      </c>
      <c r="BM81" s="3208">
        <f t="shared" si="772"/>
        <v>262.20767499999999</v>
      </c>
      <c r="BN81" s="3208">
        <f t="shared" si="823"/>
        <v>262.20767499999999</v>
      </c>
      <c r="BO81" s="3208">
        <f t="shared" si="824"/>
        <v>0</v>
      </c>
      <c r="BP81" s="3136">
        <f t="shared" si="825"/>
        <v>0</v>
      </c>
      <c r="BQ81" s="3137"/>
      <c r="BR81" s="3137"/>
      <c r="BS81" s="3136">
        <f t="shared" si="826"/>
        <v>0</v>
      </c>
      <c r="BT81" s="3137"/>
      <c r="BU81" s="3137"/>
      <c r="BV81" s="3136">
        <f t="shared" si="827"/>
        <v>0</v>
      </c>
      <c r="BW81" s="3137"/>
      <c r="BX81" s="3137"/>
      <c r="BY81" s="3136">
        <f t="shared" si="560"/>
        <v>0</v>
      </c>
      <c r="BZ81" s="3136">
        <f t="shared" si="561"/>
        <v>0</v>
      </c>
      <c r="CA81" s="3136">
        <f t="shared" si="562"/>
        <v>0</v>
      </c>
      <c r="CB81" s="3209">
        <f t="shared" si="158"/>
        <v>1048.8307</v>
      </c>
      <c r="CC81" s="3286">
        <f>1526.31-477.4793</f>
        <v>1048.8307</v>
      </c>
      <c r="CD81" s="3286">
        <v>0</v>
      </c>
      <c r="CE81" s="3264">
        <f t="shared" si="778"/>
        <v>1160.71</v>
      </c>
      <c r="CF81" s="3264">
        <f t="shared" si="779"/>
        <v>1160.71</v>
      </c>
      <c r="CG81" s="3264">
        <f t="shared" si="780"/>
        <v>0</v>
      </c>
      <c r="CH81" s="3264">
        <f t="shared" si="707"/>
        <v>111.87930000000006</v>
      </c>
      <c r="CI81" s="3264">
        <f t="shared" si="708"/>
        <v>111.87930000000006</v>
      </c>
      <c r="CJ81" s="3264">
        <f t="shared" si="709"/>
        <v>0</v>
      </c>
      <c r="CK81" s="3259"/>
      <c r="CL81" s="3259"/>
      <c r="CM81" s="3259"/>
    </row>
    <row r="82" spans="1:91" ht="18.75" customHeight="1" x14ac:dyDescent="0.3">
      <c r="A82" s="3172" t="s">
        <v>601</v>
      </c>
      <c r="B82" s="3208">
        <f t="shared" si="808"/>
        <v>19.6675</v>
      </c>
      <c r="C82" s="3208">
        <f t="shared" si="809"/>
        <v>19.6675</v>
      </c>
      <c r="D82" s="3208">
        <f t="shared" si="810"/>
        <v>0</v>
      </c>
      <c r="E82" s="3136">
        <f t="shared" si="510"/>
        <v>2.38</v>
      </c>
      <c r="F82" s="3137">
        <v>2.38</v>
      </c>
      <c r="G82" s="3137"/>
      <c r="H82" s="3136">
        <f t="shared" si="755"/>
        <v>5.69</v>
      </c>
      <c r="I82" s="3137">
        <v>5.69</v>
      </c>
      <c r="J82" s="3137"/>
      <c r="K82" s="3136">
        <f t="shared" si="756"/>
        <v>11.89</v>
      </c>
      <c r="L82" s="3137">
        <v>11.89</v>
      </c>
      <c r="M82" s="3137"/>
      <c r="N82" s="3136">
        <f t="shared" si="671"/>
        <v>19.96</v>
      </c>
      <c r="O82" s="3136">
        <f t="shared" si="672"/>
        <v>19.96</v>
      </c>
      <c r="P82" s="3136">
        <f t="shared" si="673"/>
        <v>0</v>
      </c>
      <c r="Q82" s="3208">
        <f t="shared" si="811"/>
        <v>19.6675</v>
      </c>
      <c r="R82" s="3208">
        <f t="shared" si="812"/>
        <v>19.6675</v>
      </c>
      <c r="S82" s="3208">
        <f t="shared" si="813"/>
        <v>0</v>
      </c>
      <c r="T82" s="3136">
        <f t="shared" si="814"/>
        <v>2.81</v>
      </c>
      <c r="U82" s="3137">
        <v>2.81</v>
      </c>
      <c r="V82" s="3137"/>
      <c r="W82" s="3136">
        <f t="shared" si="815"/>
        <v>11.064</v>
      </c>
      <c r="X82" s="3137">
        <v>11.064</v>
      </c>
      <c r="Y82" s="3137"/>
      <c r="Z82" s="3136">
        <f t="shared" si="816"/>
        <v>8.5</v>
      </c>
      <c r="AA82" s="3137">
        <v>8.5</v>
      </c>
      <c r="AB82" s="3137"/>
      <c r="AC82" s="3136">
        <f t="shared" si="528"/>
        <v>22.374000000000002</v>
      </c>
      <c r="AD82" s="3136">
        <f t="shared" si="529"/>
        <v>22.374000000000002</v>
      </c>
      <c r="AE82" s="3136">
        <f t="shared" si="530"/>
        <v>0</v>
      </c>
      <c r="AF82" s="3209">
        <f t="shared" si="424"/>
        <v>39.335000000000001</v>
      </c>
      <c r="AG82" s="3209">
        <f t="shared" si="425"/>
        <v>39.335000000000001</v>
      </c>
      <c r="AH82" s="3209">
        <f t="shared" si="426"/>
        <v>0</v>
      </c>
      <c r="AI82" s="3264">
        <f t="shared" si="763"/>
        <v>42.334000000000003</v>
      </c>
      <c r="AJ82" s="3264">
        <f t="shared" si="764"/>
        <v>42.334000000000003</v>
      </c>
      <c r="AK82" s="3264">
        <f t="shared" si="765"/>
        <v>0</v>
      </c>
      <c r="AL82" s="3264">
        <f t="shared" si="683"/>
        <v>2.9990000000000023</v>
      </c>
      <c r="AM82" s="3264">
        <f t="shared" si="684"/>
        <v>2.9990000000000023</v>
      </c>
      <c r="AN82" s="3264">
        <f t="shared" si="685"/>
        <v>0</v>
      </c>
      <c r="AO82" s="3208">
        <f t="shared" si="817"/>
        <v>19.6675</v>
      </c>
      <c r="AP82" s="3208">
        <f t="shared" si="818"/>
        <v>19.6675</v>
      </c>
      <c r="AQ82" s="3208">
        <f t="shared" si="819"/>
        <v>0</v>
      </c>
      <c r="AR82" s="3136">
        <f t="shared" si="820"/>
        <v>13.65</v>
      </c>
      <c r="AS82" s="3137">
        <v>13.65</v>
      </c>
      <c r="AT82" s="3137"/>
      <c r="AU82" s="3136">
        <f t="shared" si="821"/>
        <v>9.6999999999999993</v>
      </c>
      <c r="AV82" s="3137">
        <v>9.6999999999999993</v>
      </c>
      <c r="AW82" s="3137"/>
      <c r="AX82" s="3136">
        <f t="shared" si="822"/>
        <v>2.73</v>
      </c>
      <c r="AY82" s="3137">
        <v>2.73</v>
      </c>
      <c r="AZ82" s="3137"/>
      <c r="BA82" s="3136">
        <f t="shared" si="544"/>
        <v>26.080000000000002</v>
      </c>
      <c r="BB82" s="3136">
        <f t="shared" si="545"/>
        <v>26.080000000000002</v>
      </c>
      <c r="BC82" s="3136">
        <f t="shared" si="546"/>
        <v>0</v>
      </c>
      <c r="BD82" s="3209">
        <f t="shared" si="257"/>
        <v>59.002499999999998</v>
      </c>
      <c r="BE82" s="3209">
        <f t="shared" si="258"/>
        <v>59.002499999999998</v>
      </c>
      <c r="BF82" s="3209">
        <f t="shared" si="259"/>
        <v>0</v>
      </c>
      <c r="BG82" s="3264">
        <f t="shared" si="692"/>
        <v>68.414000000000001</v>
      </c>
      <c r="BH82" s="3264">
        <f t="shared" si="693"/>
        <v>68.414000000000001</v>
      </c>
      <c r="BI82" s="3264">
        <f t="shared" si="694"/>
        <v>0</v>
      </c>
      <c r="BJ82" s="3264">
        <f t="shared" si="695"/>
        <v>9.4115000000000038</v>
      </c>
      <c r="BK82" s="3264">
        <f t="shared" si="696"/>
        <v>9.4115000000000038</v>
      </c>
      <c r="BL82" s="3264">
        <f t="shared" si="697"/>
        <v>0</v>
      </c>
      <c r="BM82" s="3208">
        <f t="shared" si="772"/>
        <v>19.6675</v>
      </c>
      <c r="BN82" s="3208">
        <f t="shared" si="823"/>
        <v>19.6675</v>
      </c>
      <c r="BO82" s="3208">
        <f t="shared" si="824"/>
        <v>0</v>
      </c>
      <c r="BP82" s="3136">
        <f t="shared" si="825"/>
        <v>0</v>
      </c>
      <c r="BQ82" s="3137"/>
      <c r="BR82" s="3137"/>
      <c r="BS82" s="3136">
        <f t="shared" si="826"/>
        <v>0</v>
      </c>
      <c r="BT82" s="3137"/>
      <c r="BU82" s="3137"/>
      <c r="BV82" s="3136">
        <f t="shared" si="827"/>
        <v>0</v>
      </c>
      <c r="BW82" s="3137"/>
      <c r="BX82" s="3137"/>
      <c r="BY82" s="3136">
        <f t="shared" si="560"/>
        <v>0</v>
      </c>
      <c r="BZ82" s="3136">
        <f t="shared" si="561"/>
        <v>0</v>
      </c>
      <c r="CA82" s="3136">
        <f t="shared" si="562"/>
        <v>0</v>
      </c>
      <c r="CB82" s="3209">
        <f t="shared" ref="CB82:CB121" si="828">SUM(CC82:CD82)</f>
        <v>78.67</v>
      </c>
      <c r="CC82" s="3286">
        <v>78.67</v>
      </c>
      <c r="CD82" s="3286">
        <v>0</v>
      </c>
      <c r="CE82" s="3264">
        <f t="shared" si="778"/>
        <v>68.414000000000001</v>
      </c>
      <c r="CF82" s="3264">
        <f t="shared" si="779"/>
        <v>68.414000000000001</v>
      </c>
      <c r="CG82" s="3264">
        <f t="shared" si="780"/>
        <v>0</v>
      </c>
      <c r="CH82" s="3264">
        <f t="shared" si="707"/>
        <v>-10.256</v>
      </c>
      <c r="CI82" s="3264">
        <f t="shared" si="708"/>
        <v>-10.256</v>
      </c>
      <c r="CJ82" s="3264">
        <f t="shared" si="709"/>
        <v>0</v>
      </c>
      <c r="CK82" s="3260"/>
      <c r="CL82" s="3260"/>
      <c r="CM82" s="3260"/>
    </row>
    <row r="83" spans="1:91" ht="18.75" customHeight="1" x14ac:dyDescent="0.3">
      <c r="A83" s="3172" t="s">
        <v>600</v>
      </c>
      <c r="B83" s="3208">
        <f t="shared" si="808"/>
        <v>16.0425</v>
      </c>
      <c r="C83" s="3208">
        <f t="shared" si="809"/>
        <v>16.0425</v>
      </c>
      <c r="D83" s="3208">
        <f t="shared" si="810"/>
        <v>0</v>
      </c>
      <c r="E83" s="3136">
        <f t="shared" si="510"/>
        <v>4.1100000000000003</v>
      </c>
      <c r="F83" s="3137">
        <v>4.1100000000000003</v>
      </c>
      <c r="G83" s="3137"/>
      <c r="H83" s="3136">
        <f t="shared" si="755"/>
        <v>4.79</v>
      </c>
      <c r="I83" s="3137">
        <v>4.79</v>
      </c>
      <c r="J83" s="3137"/>
      <c r="K83" s="3136">
        <f t="shared" si="756"/>
        <v>4.79</v>
      </c>
      <c r="L83" s="3137">
        <v>4.79</v>
      </c>
      <c r="M83" s="3137"/>
      <c r="N83" s="3136">
        <f t="shared" si="671"/>
        <v>13.690000000000001</v>
      </c>
      <c r="O83" s="3136">
        <f t="shared" si="672"/>
        <v>13.690000000000001</v>
      </c>
      <c r="P83" s="3136">
        <f t="shared" si="673"/>
        <v>0</v>
      </c>
      <c r="Q83" s="3208">
        <f t="shared" si="811"/>
        <v>16.0425</v>
      </c>
      <c r="R83" s="3208">
        <f t="shared" si="812"/>
        <v>16.0425</v>
      </c>
      <c r="S83" s="3208">
        <f t="shared" si="813"/>
        <v>0</v>
      </c>
      <c r="T83" s="3136">
        <f t="shared" si="814"/>
        <v>4.79</v>
      </c>
      <c r="U83" s="3137">
        <v>4.79</v>
      </c>
      <c r="V83" s="3137"/>
      <c r="W83" s="3136">
        <f t="shared" si="815"/>
        <v>6.18</v>
      </c>
      <c r="X83" s="3137">
        <v>6.18</v>
      </c>
      <c r="Y83" s="3137"/>
      <c r="Z83" s="3136">
        <f t="shared" si="816"/>
        <v>5.51</v>
      </c>
      <c r="AA83" s="3137">
        <v>5.51</v>
      </c>
      <c r="AB83" s="3137"/>
      <c r="AC83" s="3136">
        <f t="shared" si="528"/>
        <v>16.479999999999997</v>
      </c>
      <c r="AD83" s="3136">
        <f t="shared" si="529"/>
        <v>16.479999999999997</v>
      </c>
      <c r="AE83" s="3136">
        <f t="shared" si="530"/>
        <v>0</v>
      </c>
      <c r="AF83" s="3209">
        <f t="shared" si="424"/>
        <v>32.085000000000001</v>
      </c>
      <c r="AG83" s="3209">
        <f t="shared" si="425"/>
        <v>32.085000000000001</v>
      </c>
      <c r="AH83" s="3209">
        <f t="shared" si="426"/>
        <v>0</v>
      </c>
      <c r="AI83" s="3264">
        <f t="shared" si="763"/>
        <v>30.169999999999998</v>
      </c>
      <c r="AJ83" s="3264">
        <f t="shared" si="764"/>
        <v>30.169999999999998</v>
      </c>
      <c r="AK83" s="3264">
        <f t="shared" si="765"/>
        <v>0</v>
      </c>
      <c r="AL83" s="3264">
        <f t="shared" si="683"/>
        <v>-1.9150000000000027</v>
      </c>
      <c r="AM83" s="3264">
        <f t="shared" si="684"/>
        <v>-1.9150000000000027</v>
      </c>
      <c r="AN83" s="3264">
        <f t="shared" si="685"/>
        <v>0</v>
      </c>
      <c r="AO83" s="3208">
        <f t="shared" si="817"/>
        <v>16.0425</v>
      </c>
      <c r="AP83" s="3208">
        <f t="shared" si="818"/>
        <v>16.0425</v>
      </c>
      <c r="AQ83" s="3208">
        <f t="shared" si="819"/>
        <v>0</v>
      </c>
      <c r="AR83" s="3136">
        <f t="shared" si="820"/>
        <v>4.82</v>
      </c>
      <c r="AS83" s="3137">
        <v>4.82</v>
      </c>
      <c r="AT83" s="3137"/>
      <c r="AU83" s="3136">
        <f t="shared" si="821"/>
        <v>4.66</v>
      </c>
      <c r="AV83" s="3137">
        <v>4.66</v>
      </c>
      <c r="AW83" s="3137"/>
      <c r="AX83" s="3136">
        <f t="shared" si="822"/>
        <v>4.66</v>
      </c>
      <c r="AY83" s="3137">
        <v>4.66</v>
      </c>
      <c r="AZ83" s="3137"/>
      <c r="BA83" s="3136">
        <f t="shared" si="544"/>
        <v>14.14</v>
      </c>
      <c r="BB83" s="3136">
        <f t="shared" si="545"/>
        <v>14.14</v>
      </c>
      <c r="BC83" s="3136">
        <f t="shared" si="546"/>
        <v>0</v>
      </c>
      <c r="BD83" s="3209">
        <f t="shared" si="257"/>
        <v>48.127499999999998</v>
      </c>
      <c r="BE83" s="3209">
        <f t="shared" si="258"/>
        <v>48.127499999999998</v>
      </c>
      <c r="BF83" s="3209">
        <f t="shared" si="259"/>
        <v>0</v>
      </c>
      <c r="BG83" s="3264">
        <f t="shared" si="692"/>
        <v>44.31</v>
      </c>
      <c r="BH83" s="3264">
        <f t="shared" si="693"/>
        <v>44.31</v>
      </c>
      <c r="BI83" s="3264">
        <f t="shared" si="694"/>
        <v>0</v>
      </c>
      <c r="BJ83" s="3264">
        <f t="shared" si="695"/>
        <v>-3.8174999999999955</v>
      </c>
      <c r="BK83" s="3264">
        <f t="shared" si="696"/>
        <v>-3.8174999999999955</v>
      </c>
      <c r="BL83" s="3264">
        <f t="shared" si="697"/>
        <v>0</v>
      </c>
      <c r="BM83" s="3208">
        <f t="shared" si="772"/>
        <v>16.0425</v>
      </c>
      <c r="BN83" s="3208">
        <f t="shared" si="823"/>
        <v>16.0425</v>
      </c>
      <c r="BO83" s="3208">
        <f t="shared" si="824"/>
        <v>0</v>
      </c>
      <c r="BP83" s="3136">
        <f t="shared" si="825"/>
        <v>0</v>
      </c>
      <c r="BQ83" s="3137"/>
      <c r="BR83" s="3137"/>
      <c r="BS83" s="3136">
        <f t="shared" si="826"/>
        <v>0</v>
      </c>
      <c r="BT83" s="3137"/>
      <c r="BU83" s="3137"/>
      <c r="BV83" s="3136">
        <f t="shared" si="827"/>
        <v>0</v>
      </c>
      <c r="BW83" s="3137"/>
      <c r="BX83" s="3137"/>
      <c r="BY83" s="3136">
        <f t="shared" si="560"/>
        <v>0</v>
      </c>
      <c r="BZ83" s="3136">
        <f t="shared" si="561"/>
        <v>0</v>
      </c>
      <c r="CA83" s="3136">
        <f t="shared" si="562"/>
        <v>0</v>
      </c>
      <c r="CB83" s="3209">
        <f t="shared" si="828"/>
        <v>64.17</v>
      </c>
      <c r="CC83" s="3286">
        <v>64.17</v>
      </c>
      <c r="CD83" s="3286">
        <v>0</v>
      </c>
      <c r="CE83" s="3264">
        <f t="shared" si="778"/>
        <v>44.31</v>
      </c>
      <c r="CF83" s="3264">
        <f t="shared" si="779"/>
        <v>44.31</v>
      </c>
      <c r="CG83" s="3264">
        <f t="shared" si="780"/>
        <v>0</v>
      </c>
      <c r="CH83" s="3264">
        <f t="shared" si="707"/>
        <v>-19.86</v>
      </c>
      <c r="CI83" s="3264">
        <f t="shared" si="708"/>
        <v>-19.86</v>
      </c>
      <c r="CJ83" s="3264">
        <f t="shared" si="709"/>
        <v>0</v>
      </c>
      <c r="CK83" s="3259"/>
      <c r="CL83" s="3259"/>
      <c r="CM83" s="3259"/>
    </row>
    <row r="84" spans="1:91" ht="18.75" customHeight="1" x14ac:dyDescent="0.3">
      <c r="A84" s="3172" t="s">
        <v>610</v>
      </c>
      <c r="B84" s="3208">
        <f t="shared" si="808"/>
        <v>1.825</v>
      </c>
      <c r="C84" s="3208">
        <f t="shared" si="809"/>
        <v>1.825</v>
      </c>
      <c r="D84" s="3208">
        <f t="shared" si="810"/>
        <v>0</v>
      </c>
      <c r="E84" s="3136">
        <f t="shared" si="510"/>
        <v>0</v>
      </c>
      <c r="F84" s="3137"/>
      <c r="G84" s="3137"/>
      <c r="H84" s="3136">
        <f t="shared" si="755"/>
        <v>0</v>
      </c>
      <c r="I84" s="3137"/>
      <c r="J84" s="3137"/>
      <c r="K84" s="3136">
        <f t="shared" si="756"/>
        <v>1.36</v>
      </c>
      <c r="L84" s="3137">
        <v>1.36</v>
      </c>
      <c r="M84" s="3137"/>
      <c r="N84" s="3136">
        <f t="shared" si="671"/>
        <v>1.36</v>
      </c>
      <c r="O84" s="3136">
        <f t="shared" si="672"/>
        <v>1.36</v>
      </c>
      <c r="P84" s="3136">
        <f t="shared" si="673"/>
        <v>0</v>
      </c>
      <c r="Q84" s="3208">
        <f t="shared" si="811"/>
        <v>1.825</v>
      </c>
      <c r="R84" s="3208">
        <f t="shared" si="812"/>
        <v>1.825</v>
      </c>
      <c r="S84" s="3208">
        <f t="shared" si="813"/>
        <v>0</v>
      </c>
      <c r="T84" s="3136">
        <f t="shared" si="814"/>
        <v>0</v>
      </c>
      <c r="U84" s="3137"/>
      <c r="V84" s="3137"/>
      <c r="W84" s="3136">
        <f t="shared" si="815"/>
        <v>0</v>
      </c>
      <c r="X84" s="3137"/>
      <c r="Y84" s="3137"/>
      <c r="Z84" s="3136">
        <f t="shared" si="816"/>
        <v>0</v>
      </c>
      <c r="AA84" s="3137"/>
      <c r="AB84" s="3137"/>
      <c r="AC84" s="3136">
        <f t="shared" si="528"/>
        <v>0</v>
      </c>
      <c r="AD84" s="3136">
        <f t="shared" si="529"/>
        <v>0</v>
      </c>
      <c r="AE84" s="3136">
        <f t="shared" si="530"/>
        <v>0</v>
      </c>
      <c r="AF84" s="3209">
        <f t="shared" si="424"/>
        <v>3.65</v>
      </c>
      <c r="AG84" s="3209">
        <f t="shared" si="425"/>
        <v>3.65</v>
      </c>
      <c r="AH84" s="3209">
        <f t="shared" si="426"/>
        <v>0</v>
      </c>
      <c r="AI84" s="3264">
        <f t="shared" si="763"/>
        <v>1.36</v>
      </c>
      <c r="AJ84" s="3264">
        <f t="shared" si="764"/>
        <v>1.36</v>
      </c>
      <c r="AK84" s="3264">
        <f t="shared" si="765"/>
        <v>0</v>
      </c>
      <c r="AL84" s="3264">
        <f t="shared" si="683"/>
        <v>-2.29</v>
      </c>
      <c r="AM84" s="3264">
        <f t="shared" si="684"/>
        <v>-2.29</v>
      </c>
      <c r="AN84" s="3264">
        <f t="shared" si="685"/>
        <v>0</v>
      </c>
      <c r="AO84" s="3208">
        <f t="shared" si="817"/>
        <v>1.825</v>
      </c>
      <c r="AP84" s="3208">
        <f t="shared" si="818"/>
        <v>1.825</v>
      </c>
      <c r="AQ84" s="3208">
        <f t="shared" si="819"/>
        <v>0</v>
      </c>
      <c r="AR84" s="3136">
        <f t="shared" si="820"/>
        <v>0</v>
      </c>
      <c r="AS84" s="3137"/>
      <c r="AT84" s="3137"/>
      <c r="AU84" s="3136">
        <f t="shared" si="821"/>
        <v>1.26</v>
      </c>
      <c r="AV84" s="3137">
        <v>1.26</v>
      </c>
      <c r="AW84" s="3137"/>
      <c r="AX84" s="3136">
        <f t="shared" si="822"/>
        <v>4.58</v>
      </c>
      <c r="AY84" s="3137">
        <v>4.58</v>
      </c>
      <c r="AZ84" s="3137"/>
      <c r="BA84" s="3136">
        <f t="shared" si="544"/>
        <v>5.84</v>
      </c>
      <c r="BB84" s="3136">
        <f t="shared" si="545"/>
        <v>5.84</v>
      </c>
      <c r="BC84" s="3136">
        <f t="shared" si="546"/>
        <v>0</v>
      </c>
      <c r="BD84" s="3209">
        <f t="shared" si="257"/>
        <v>5.4749999999999996</v>
      </c>
      <c r="BE84" s="3209">
        <f t="shared" si="258"/>
        <v>5.4749999999999996</v>
      </c>
      <c r="BF84" s="3209">
        <f t="shared" si="259"/>
        <v>0</v>
      </c>
      <c r="BG84" s="3264">
        <f t="shared" si="692"/>
        <v>7.2</v>
      </c>
      <c r="BH84" s="3264">
        <f t="shared" si="693"/>
        <v>7.2</v>
      </c>
      <c r="BI84" s="3264">
        <f t="shared" si="694"/>
        <v>0</v>
      </c>
      <c r="BJ84" s="3264">
        <f t="shared" si="695"/>
        <v>1.7250000000000005</v>
      </c>
      <c r="BK84" s="3264">
        <f t="shared" si="696"/>
        <v>1.7250000000000005</v>
      </c>
      <c r="BL84" s="3264">
        <f t="shared" si="697"/>
        <v>0</v>
      </c>
      <c r="BM84" s="3208">
        <f t="shared" si="772"/>
        <v>1.825</v>
      </c>
      <c r="BN84" s="3208">
        <f t="shared" si="823"/>
        <v>1.825</v>
      </c>
      <c r="BO84" s="3208">
        <f t="shared" si="824"/>
        <v>0</v>
      </c>
      <c r="BP84" s="3136">
        <f t="shared" si="825"/>
        <v>0</v>
      </c>
      <c r="BQ84" s="3137"/>
      <c r="BR84" s="3137"/>
      <c r="BS84" s="3136">
        <f t="shared" si="826"/>
        <v>0</v>
      </c>
      <c r="BT84" s="3137"/>
      <c r="BU84" s="3137"/>
      <c r="BV84" s="3136">
        <f t="shared" si="827"/>
        <v>0</v>
      </c>
      <c r="BW84" s="3137"/>
      <c r="BX84" s="3137"/>
      <c r="BY84" s="3136">
        <f t="shared" si="560"/>
        <v>0</v>
      </c>
      <c r="BZ84" s="3136">
        <f t="shared" si="561"/>
        <v>0</v>
      </c>
      <c r="CA84" s="3136">
        <f t="shared" si="562"/>
        <v>0</v>
      </c>
      <c r="CB84" s="3209">
        <f t="shared" si="828"/>
        <v>7.3</v>
      </c>
      <c r="CC84" s="3286">
        <v>7.3</v>
      </c>
      <c r="CD84" s="3286">
        <v>0</v>
      </c>
      <c r="CE84" s="3264">
        <f t="shared" si="778"/>
        <v>7.2</v>
      </c>
      <c r="CF84" s="3264">
        <f t="shared" si="779"/>
        <v>7.2</v>
      </c>
      <c r="CG84" s="3264">
        <f t="shared" si="780"/>
        <v>0</v>
      </c>
      <c r="CH84" s="3264">
        <f t="shared" si="707"/>
        <v>-9.9999999999999645E-2</v>
      </c>
      <c r="CI84" s="3264">
        <f t="shared" si="708"/>
        <v>-9.9999999999999645E-2</v>
      </c>
      <c r="CJ84" s="3264">
        <f t="shared" si="709"/>
        <v>0</v>
      </c>
      <c r="CK84" s="3259"/>
      <c r="CL84" s="3259"/>
      <c r="CM84" s="3259"/>
    </row>
    <row r="85" spans="1:91" ht="18.75" customHeight="1" x14ac:dyDescent="0.3">
      <c r="A85" s="3172" t="s">
        <v>32</v>
      </c>
      <c r="B85" s="3208">
        <f t="shared" si="808"/>
        <v>3.1150000000000002</v>
      </c>
      <c r="C85" s="3208">
        <f t="shared" si="809"/>
        <v>3.1150000000000002</v>
      </c>
      <c r="D85" s="3208">
        <f t="shared" si="810"/>
        <v>0</v>
      </c>
      <c r="E85" s="3136">
        <f t="shared" si="510"/>
        <v>2.4</v>
      </c>
      <c r="F85" s="3137">
        <v>2.4</v>
      </c>
      <c r="G85" s="3137"/>
      <c r="H85" s="3136">
        <f t="shared" si="755"/>
        <v>0</v>
      </c>
      <c r="I85" s="3137"/>
      <c r="J85" s="3137"/>
      <c r="K85" s="3136">
        <f t="shared" si="756"/>
        <v>0</v>
      </c>
      <c r="L85" s="3137"/>
      <c r="M85" s="3137"/>
      <c r="N85" s="3136">
        <f t="shared" si="671"/>
        <v>2.4</v>
      </c>
      <c r="O85" s="3136">
        <f t="shared" si="672"/>
        <v>2.4</v>
      </c>
      <c r="P85" s="3136">
        <f t="shared" si="673"/>
        <v>0</v>
      </c>
      <c r="Q85" s="3208">
        <f t="shared" si="811"/>
        <v>3.1150000000000002</v>
      </c>
      <c r="R85" s="3208">
        <f t="shared" si="812"/>
        <v>3.1150000000000002</v>
      </c>
      <c r="S85" s="3208">
        <f t="shared" si="813"/>
        <v>0</v>
      </c>
      <c r="T85" s="3136">
        <f t="shared" si="814"/>
        <v>2.4</v>
      </c>
      <c r="U85" s="3137">
        <v>2.4</v>
      </c>
      <c r="V85" s="3137"/>
      <c r="W85" s="3136">
        <f t="shared" si="815"/>
        <v>0</v>
      </c>
      <c r="X85" s="3137"/>
      <c r="Y85" s="3137"/>
      <c r="Z85" s="3136">
        <f t="shared" si="816"/>
        <v>2.4</v>
      </c>
      <c r="AA85" s="3137">
        <v>2.4</v>
      </c>
      <c r="AB85" s="3137"/>
      <c r="AC85" s="3136">
        <f t="shared" si="528"/>
        <v>4.8</v>
      </c>
      <c r="AD85" s="3136">
        <f t="shared" si="529"/>
        <v>4.8</v>
      </c>
      <c r="AE85" s="3136">
        <f t="shared" si="530"/>
        <v>0</v>
      </c>
      <c r="AF85" s="3209">
        <f t="shared" si="424"/>
        <v>6.23</v>
      </c>
      <c r="AG85" s="3209">
        <f t="shared" si="425"/>
        <v>6.23</v>
      </c>
      <c r="AH85" s="3209">
        <f t="shared" si="426"/>
        <v>0</v>
      </c>
      <c r="AI85" s="3264">
        <f t="shared" si="763"/>
        <v>7.1999999999999993</v>
      </c>
      <c r="AJ85" s="3264">
        <f t="shared" si="764"/>
        <v>7.1999999999999993</v>
      </c>
      <c r="AK85" s="3264">
        <f t="shared" si="765"/>
        <v>0</v>
      </c>
      <c r="AL85" s="3264">
        <f t="shared" si="683"/>
        <v>0.96999999999999886</v>
      </c>
      <c r="AM85" s="3264">
        <f t="shared" si="684"/>
        <v>0.96999999999999886</v>
      </c>
      <c r="AN85" s="3264">
        <f t="shared" si="685"/>
        <v>0</v>
      </c>
      <c r="AO85" s="3208">
        <f t="shared" si="817"/>
        <v>3.1150000000000002</v>
      </c>
      <c r="AP85" s="3208">
        <f t="shared" si="818"/>
        <v>3.1150000000000002</v>
      </c>
      <c r="AQ85" s="3208">
        <f t="shared" si="819"/>
        <v>0</v>
      </c>
      <c r="AR85" s="3136">
        <f t="shared" si="820"/>
        <v>0</v>
      </c>
      <c r="AS85" s="3137"/>
      <c r="AT85" s="3137"/>
      <c r="AU85" s="3136">
        <f t="shared" si="821"/>
        <v>0</v>
      </c>
      <c r="AV85" s="3137"/>
      <c r="AW85" s="3137"/>
      <c r="AX85" s="3136">
        <f t="shared" si="822"/>
        <v>0</v>
      </c>
      <c r="AY85" s="3137"/>
      <c r="AZ85" s="3137"/>
      <c r="BA85" s="3136">
        <f t="shared" si="544"/>
        <v>0</v>
      </c>
      <c r="BB85" s="3136">
        <f t="shared" si="545"/>
        <v>0</v>
      </c>
      <c r="BC85" s="3136">
        <f t="shared" si="546"/>
        <v>0</v>
      </c>
      <c r="BD85" s="3209">
        <f t="shared" si="257"/>
        <v>9.3450000000000006</v>
      </c>
      <c r="BE85" s="3209">
        <f t="shared" si="258"/>
        <v>9.3450000000000006</v>
      </c>
      <c r="BF85" s="3209">
        <f t="shared" si="259"/>
        <v>0</v>
      </c>
      <c r="BG85" s="3264">
        <f t="shared" si="692"/>
        <v>7.1999999999999993</v>
      </c>
      <c r="BH85" s="3264">
        <f t="shared" si="693"/>
        <v>7.1999999999999993</v>
      </c>
      <c r="BI85" s="3264">
        <f t="shared" si="694"/>
        <v>0</v>
      </c>
      <c r="BJ85" s="3264">
        <f t="shared" si="695"/>
        <v>-2.1450000000000014</v>
      </c>
      <c r="BK85" s="3264">
        <f t="shared" si="696"/>
        <v>-2.1450000000000014</v>
      </c>
      <c r="BL85" s="3264">
        <f t="shared" si="697"/>
        <v>0</v>
      </c>
      <c r="BM85" s="3208">
        <f t="shared" si="772"/>
        <v>3.1150000000000002</v>
      </c>
      <c r="BN85" s="3208">
        <f t="shared" si="823"/>
        <v>3.1150000000000002</v>
      </c>
      <c r="BO85" s="3208">
        <f t="shared" si="824"/>
        <v>0</v>
      </c>
      <c r="BP85" s="3136">
        <f t="shared" si="825"/>
        <v>0</v>
      </c>
      <c r="BQ85" s="3137"/>
      <c r="BR85" s="3137"/>
      <c r="BS85" s="3136">
        <f t="shared" si="826"/>
        <v>0</v>
      </c>
      <c r="BT85" s="3137"/>
      <c r="BU85" s="3137"/>
      <c r="BV85" s="3136">
        <f t="shared" si="827"/>
        <v>0</v>
      </c>
      <c r="BW85" s="3137"/>
      <c r="BX85" s="3137"/>
      <c r="BY85" s="3136">
        <f t="shared" si="560"/>
        <v>0</v>
      </c>
      <c r="BZ85" s="3136">
        <f t="shared" si="561"/>
        <v>0</v>
      </c>
      <c r="CA85" s="3136">
        <f t="shared" si="562"/>
        <v>0</v>
      </c>
      <c r="CB85" s="3209">
        <f t="shared" si="828"/>
        <v>12.46</v>
      </c>
      <c r="CC85" s="3286">
        <v>12.46</v>
      </c>
      <c r="CD85" s="3286">
        <v>0</v>
      </c>
      <c r="CE85" s="3264">
        <f t="shared" si="778"/>
        <v>7.1999999999999993</v>
      </c>
      <c r="CF85" s="3264">
        <f t="shared" si="779"/>
        <v>7.1999999999999993</v>
      </c>
      <c r="CG85" s="3264">
        <f t="shared" si="780"/>
        <v>0</v>
      </c>
      <c r="CH85" s="3264">
        <f t="shared" si="707"/>
        <v>-5.2600000000000016</v>
      </c>
      <c r="CI85" s="3264">
        <f t="shared" si="708"/>
        <v>-5.2600000000000016</v>
      </c>
      <c r="CJ85" s="3264">
        <f t="shared" si="709"/>
        <v>0</v>
      </c>
      <c r="CK85" s="3259"/>
      <c r="CL85" s="3259"/>
      <c r="CM85" s="3259"/>
    </row>
    <row r="86" spans="1:91" ht="18.75" customHeight="1" x14ac:dyDescent="0.3">
      <c r="A86" s="3172" t="s">
        <v>602</v>
      </c>
      <c r="B86" s="3208">
        <f t="shared" si="808"/>
        <v>8.2149999999999999</v>
      </c>
      <c r="C86" s="3277">
        <f t="shared" ref="C86:D86" si="829">SUM(C87)</f>
        <v>8.2149999999999999</v>
      </c>
      <c r="D86" s="3277">
        <f t="shared" si="829"/>
        <v>0</v>
      </c>
      <c r="E86" s="3136">
        <f t="shared" si="510"/>
        <v>0</v>
      </c>
      <c r="F86" s="3136">
        <f t="shared" ref="F86:G86" si="830">SUM(F87)</f>
        <v>0</v>
      </c>
      <c r="G86" s="3136">
        <f t="shared" si="830"/>
        <v>0</v>
      </c>
      <c r="H86" s="3136">
        <f t="shared" si="755"/>
        <v>5.81</v>
      </c>
      <c r="I86" s="3136">
        <f t="shared" ref="I86" si="831">SUM(I87)</f>
        <v>5.81</v>
      </c>
      <c r="J86" s="3136">
        <f t="shared" ref="J86" si="832">SUM(J87)</f>
        <v>0</v>
      </c>
      <c r="K86" s="3136">
        <f t="shared" si="756"/>
        <v>0.28999999999999998</v>
      </c>
      <c r="L86" s="3136">
        <f t="shared" ref="L86" si="833">SUM(L87)</f>
        <v>0.28999999999999998</v>
      </c>
      <c r="M86" s="3136">
        <f t="shared" ref="M86" si="834">SUM(M87)</f>
        <v>0</v>
      </c>
      <c r="N86" s="3136">
        <f t="shared" si="671"/>
        <v>6.1</v>
      </c>
      <c r="O86" s="3136">
        <f t="shared" si="672"/>
        <v>6.1</v>
      </c>
      <c r="P86" s="3136">
        <f t="shared" si="673"/>
        <v>0</v>
      </c>
      <c r="Q86" s="3208">
        <f t="shared" si="811"/>
        <v>8.2149999999999999</v>
      </c>
      <c r="R86" s="3277">
        <f t="shared" ref="R86:S86" si="835">SUM(R87)</f>
        <v>8.2149999999999999</v>
      </c>
      <c r="S86" s="3277">
        <f t="shared" si="835"/>
        <v>0</v>
      </c>
      <c r="T86" s="3136">
        <f>SUM(T87)</f>
        <v>0.56999999999999995</v>
      </c>
      <c r="U86" s="3136">
        <f t="shared" ref="U86" si="836">SUM(U87)</f>
        <v>0.56999999999999995</v>
      </c>
      <c r="V86" s="3136">
        <f t="shared" ref="V86" si="837">SUM(V87)</f>
        <v>0</v>
      </c>
      <c r="W86" s="3136">
        <f>SUM(W87)</f>
        <v>0</v>
      </c>
      <c r="X86" s="3136">
        <f t="shared" ref="X86" si="838">SUM(X87)</f>
        <v>0</v>
      </c>
      <c r="Y86" s="3136">
        <f t="shared" ref="Y86" si="839">SUM(Y87)</f>
        <v>0</v>
      </c>
      <c r="Z86" s="3136">
        <f>SUM(Z87)</f>
        <v>4.4999999999999998E-2</v>
      </c>
      <c r="AA86" s="3136">
        <f t="shared" ref="AA86" si="840">SUM(AA87)</f>
        <v>4.4999999999999998E-2</v>
      </c>
      <c r="AB86" s="3136">
        <f t="shared" ref="AB86" si="841">SUM(AB87)</f>
        <v>0</v>
      </c>
      <c r="AC86" s="3136">
        <f t="shared" si="528"/>
        <v>0.61499999999999999</v>
      </c>
      <c r="AD86" s="3136">
        <f t="shared" si="529"/>
        <v>0.61499999999999999</v>
      </c>
      <c r="AE86" s="3136">
        <f t="shared" si="530"/>
        <v>0</v>
      </c>
      <c r="AF86" s="3209">
        <f t="shared" si="424"/>
        <v>16.43</v>
      </c>
      <c r="AG86" s="3209">
        <f t="shared" si="425"/>
        <v>16.43</v>
      </c>
      <c r="AH86" s="3209">
        <f t="shared" si="426"/>
        <v>0</v>
      </c>
      <c r="AI86" s="3264">
        <f t="shared" si="763"/>
        <v>6.7149999999999999</v>
      </c>
      <c r="AJ86" s="3264">
        <f t="shared" si="764"/>
        <v>6.7149999999999999</v>
      </c>
      <c r="AK86" s="3264">
        <f t="shared" si="765"/>
        <v>0</v>
      </c>
      <c r="AL86" s="3264">
        <f t="shared" si="683"/>
        <v>-9.7149999999999999</v>
      </c>
      <c r="AM86" s="3264">
        <f t="shared" si="684"/>
        <v>-9.7149999999999999</v>
      </c>
      <c r="AN86" s="3264">
        <f t="shared" si="685"/>
        <v>0</v>
      </c>
      <c r="AO86" s="3208">
        <f t="shared" si="817"/>
        <v>8.2149999999999999</v>
      </c>
      <c r="AP86" s="3277">
        <f t="shared" ref="AP86:AQ86" si="842">SUM(AP87)</f>
        <v>8.2149999999999999</v>
      </c>
      <c r="AQ86" s="3277">
        <f t="shared" si="842"/>
        <v>0</v>
      </c>
      <c r="AR86" s="3136">
        <f>SUM(AR87)</f>
        <v>0.02</v>
      </c>
      <c r="AS86" s="3136">
        <f t="shared" ref="AS86" si="843">SUM(AS87)</f>
        <v>0.02</v>
      </c>
      <c r="AT86" s="3136">
        <f t="shared" ref="AT86" si="844">SUM(AT87)</f>
        <v>0</v>
      </c>
      <c r="AU86" s="3136">
        <f>SUM(AU87)</f>
        <v>0</v>
      </c>
      <c r="AV86" s="3136">
        <f t="shared" ref="AV86" si="845">SUM(AV87)</f>
        <v>0</v>
      </c>
      <c r="AW86" s="3136">
        <f t="shared" ref="AW86" si="846">SUM(AW87)</f>
        <v>0</v>
      </c>
      <c r="AX86" s="3136">
        <f>SUM(AX87)</f>
        <v>0.02</v>
      </c>
      <c r="AY86" s="3136">
        <f t="shared" ref="AY86" si="847">SUM(AY87)</f>
        <v>0.02</v>
      </c>
      <c r="AZ86" s="3136">
        <f t="shared" ref="AZ86" si="848">SUM(AZ87)</f>
        <v>0</v>
      </c>
      <c r="BA86" s="3136">
        <f t="shared" si="544"/>
        <v>0.04</v>
      </c>
      <c r="BB86" s="3136">
        <f t="shared" si="545"/>
        <v>0.04</v>
      </c>
      <c r="BC86" s="3136">
        <f t="shared" si="546"/>
        <v>0</v>
      </c>
      <c r="BD86" s="3209">
        <f t="shared" si="257"/>
        <v>24.645</v>
      </c>
      <c r="BE86" s="3209">
        <f t="shared" si="258"/>
        <v>24.645</v>
      </c>
      <c r="BF86" s="3209">
        <f t="shared" si="259"/>
        <v>0</v>
      </c>
      <c r="BG86" s="3264">
        <f t="shared" si="692"/>
        <v>6.7549999999999999</v>
      </c>
      <c r="BH86" s="3264">
        <f t="shared" si="693"/>
        <v>6.7549999999999999</v>
      </c>
      <c r="BI86" s="3264">
        <f t="shared" si="694"/>
        <v>0</v>
      </c>
      <c r="BJ86" s="3264">
        <f t="shared" si="695"/>
        <v>-17.89</v>
      </c>
      <c r="BK86" s="3264">
        <f t="shared" si="696"/>
        <v>-17.89</v>
      </c>
      <c r="BL86" s="3264">
        <f t="shared" si="697"/>
        <v>0</v>
      </c>
      <c r="BM86" s="3208">
        <f t="shared" si="772"/>
        <v>8.2149999999999999</v>
      </c>
      <c r="BN86" s="3277">
        <f t="shared" ref="BN86:BO86" si="849">SUM(BN87)</f>
        <v>8.2149999999999999</v>
      </c>
      <c r="BO86" s="3277">
        <f t="shared" si="849"/>
        <v>0</v>
      </c>
      <c r="BP86" s="3136">
        <f>SUM(BP87)</f>
        <v>0</v>
      </c>
      <c r="BQ86" s="3136">
        <f t="shared" ref="BQ86" si="850">SUM(BQ87)</f>
        <v>0</v>
      </c>
      <c r="BR86" s="3136">
        <f t="shared" ref="BR86" si="851">SUM(BR87)</f>
        <v>0</v>
      </c>
      <c r="BS86" s="3136">
        <f>SUM(BS87)</f>
        <v>0</v>
      </c>
      <c r="BT86" s="3136">
        <f t="shared" ref="BT86" si="852">SUM(BT87)</f>
        <v>0</v>
      </c>
      <c r="BU86" s="3136">
        <f t="shared" ref="BU86" si="853">SUM(BU87)</f>
        <v>0</v>
      </c>
      <c r="BV86" s="3136">
        <f>SUM(BV87)</f>
        <v>0</v>
      </c>
      <c r="BW86" s="3136">
        <f t="shared" ref="BW86" si="854">SUM(BW87)</f>
        <v>0</v>
      </c>
      <c r="BX86" s="3136">
        <f t="shared" ref="BX86" si="855">SUM(BX87)</f>
        <v>0</v>
      </c>
      <c r="BY86" s="3136">
        <f t="shared" si="560"/>
        <v>0</v>
      </c>
      <c r="BZ86" s="3136">
        <f t="shared" si="561"/>
        <v>0</v>
      </c>
      <c r="CA86" s="3136">
        <f t="shared" si="562"/>
        <v>0</v>
      </c>
      <c r="CB86" s="3209">
        <f t="shared" si="828"/>
        <v>32.86</v>
      </c>
      <c r="CC86" s="3287">
        <f t="shared" ref="CC86:CD86" si="856">SUM(CC87)</f>
        <v>32.86</v>
      </c>
      <c r="CD86" s="3287">
        <f t="shared" si="856"/>
        <v>0</v>
      </c>
      <c r="CE86" s="3264">
        <f t="shared" si="778"/>
        <v>6.7549999999999999</v>
      </c>
      <c r="CF86" s="3264">
        <f t="shared" si="779"/>
        <v>6.7549999999999999</v>
      </c>
      <c r="CG86" s="3264">
        <f t="shared" si="780"/>
        <v>0</v>
      </c>
      <c r="CH86" s="3264">
        <f t="shared" si="707"/>
        <v>-26.105</v>
      </c>
      <c r="CI86" s="3264">
        <f t="shared" si="708"/>
        <v>-26.105</v>
      </c>
      <c r="CJ86" s="3264">
        <f t="shared" si="709"/>
        <v>0</v>
      </c>
      <c r="CK86" s="3259"/>
      <c r="CL86" s="3259"/>
      <c r="CM86" s="3259"/>
    </row>
    <row r="87" spans="1:91" ht="18.75" customHeight="1" x14ac:dyDescent="0.3">
      <c r="A87" s="3079" t="s">
        <v>557</v>
      </c>
      <c r="B87" s="3210">
        <f t="shared" ref="B87:B88" si="857">SUM(C87:D87)</f>
        <v>8.2149999999999999</v>
      </c>
      <c r="C87" s="3210">
        <f t="shared" ref="C87" si="858">SUM(CC87/4)</f>
        <v>8.2149999999999999</v>
      </c>
      <c r="D87" s="3210">
        <f t="shared" ref="D87" si="859">SUM(CD87/4)</f>
        <v>0</v>
      </c>
      <c r="E87" s="3145">
        <f t="shared" si="510"/>
        <v>0</v>
      </c>
      <c r="F87" s="3149"/>
      <c r="G87" s="3149"/>
      <c r="H87" s="3145">
        <f t="shared" si="755"/>
        <v>5.81</v>
      </c>
      <c r="I87" s="3149">
        <v>5.81</v>
      </c>
      <c r="J87" s="3149"/>
      <c r="K87" s="3145">
        <f t="shared" si="756"/>
        <v>0.28999999999999998</v>
      </c>
      <c r="L87" s="3149">
        <v>0.28999999999999998</v>
      </c>
      <c r="M87" s="3149"/>
      <c r="N87" s="3145">
        <f t="shared" si="671"/>
        <v>6.1</v>
      </c>
      <c r="O87" s="3145">
        <f t="shared" si="672"/>
        <v>6.1</v>
      </c>
      <c r="P87" s="3145">
        <f t="shared" si="673"/>
        <v>0</v>
      </c>
      <c r="Q87" s="3210">
        <f t="shared" ref="Q87:Q97" si="860">SUM(R87:S87)</f>
        <v>8.2149999999999999</v>
      </c>
      <c r="R87" s="3210">
        <f t="shared" ref="R87" si="861">SUM(C87)</f>
        <v>8.2149999999999999</v>
      </c>
      <c r="S87" s="3210">
        <f t="shared" ref="S87" si="862">SUM(D87)</f>
        <v>0</v>
      </c>
      <c r="T87" s="3145">
        <f t="shared" ref="T87" si="863">SUM(U87:V87)</f>
        <v>0.56999999999999995</v>
      </c>
      <c r="U87" s="3149">
        <v>0.56999999999999995</v>
      </c>
      <c r="V87" s="3149"/>
      <c r="W87" s="3145">
        <f t="shared" ref="W87" si="864">SUM(X87:Y87)</f>
        <v>0</v>
      </c>
      <c r="X87" s="3149"/>
      <c r="Y87" s="3149"/>
      <c r="Z87" s="3145">
        <f t="shared" ref="Z87" si="865">SUM(AA87:AB87)</f>
        <v>4.4999999999999998E-2</v>
      </c>
      <c r="AA87" s="3149">
        <v>4.4999999999999998E-2</v>
      </c>
      <c r="AB87" s="3149"/>
      <c r="AC87" s="3145">
        <f t="shared" si="528"/>
        <v>0.61499999999999999</v>
      </c>
      <c r="AD87" s="3145">
        <f t="shared" si="529"/>
        <v>0.61499999999999999</v>
      </c>
      <c r="AE87" s="3145">
        <f t="shared" si="530"/>
        <v>0</v>
      </c>
      <c r="AF87" s="3211">
        <f t="shared" si="424"/>
        <v>16.43</v>
      </c>
      <c r="AG87" s="3211">
        <f t="shared" si="425"/>
        <v>16.43</v>
      </c>
      <c r="AH87" s="3211">
        <f t="shared" si="426"/>
        <v>0</v>
      </c>
      <c r="AI87" s="3194">
        <f t="shared" si="763"/>
        <v>6.7149999999999999</v>
      </c>
      <c r="AJ87" s="3194">
        <f t="shared" si="764"/>
        <v>6.7149999999999999</v>
      </c>
      <c r="AK87" s="3194">
        <f t="shared" si="765"/>
        <v>0</v>
      </c>
      <c r="AL87" s="3194">
        <f t="shared" si="683"/>
        <v>-9.7149999999999999</v>
      </c>
      <c r="AM87" s="3194">
        <f t="shared" si="684"/>
        <v>-9.7149999999999999</v>
      </c>
      <c r="AN87" s="3194">
        <f t="shared" si="685"/>
        <v>0</v>
      </c>
      <c r="AO87" s="3210">
        <f t="shared" ref="AO87" si="866">SUM(AP87:AQ87)</f>
        <v>8.2149999999999999</v>
      </c>
      <c r="AP87" s="3210">
        <f t="shared" ref="AP87" si="867">SUM(CC87-AG87)/2</f>
        <v>8.2149999999999999</v>
      </c>
      <c r="AQ87" s="3210">
        <f t="shared" ref="AQ87" si="868">SUM(CD87-AH87)/2</f>
        <v>0</v>
      </c>
      <c r="AR87" s="3145">
        <f t="shared" ref="AR87" si="869">SUM(AS87:AT87)</f>
        <v>0.02</v>
      </c>
      <c r="AS87" s="3149">
        <v>0.02</v>
      </c>
      <c r="AT87" s="3149"/>
      <c r="AU87" s="3145">
        <f t="shared" ref="AU87" si="870">SUM(AV87:AW87)</f>
        <v>0</v>
      </c>
      <c r="AV87" s="3149"/>
      <c r="AW87" s="3149"/>
      <c r="AX87" s="3145">
        <f t="shared" ref="AX87" si="871">SUM(AY87:AZ87)</f>
        <v>0.02</v>
      </c>
      <c r="AY87" s="3149">
        <v>0.02</v>
      </c>
      <c r="AZ87" s="3149"/>
      <c r="BA87" s="3145">
        <f t="shared" si="544"/>
        <v>0.04</v>
      </c>
      <c r="BB87" s="3145">
        <f t="shared" si="545"/>
        <v>0.04</v>
      </c>
      <c r="BC87" s="3145">
        <f t="shared" si="546"/>
        <v>0</v>
      </c>
      <c r="BD87" s="3211">
        <f t="shared" si="257"/>
        <v>24.645</v>
      </c>
      <c r="BE87" s="3211">
        <f t="shared" si="258"/>
        <v>24.645</v>
      </c>
      <c r="BF87" s="3211">
        <f t="shared" si="259"/>
        <v>0</v>
      </c>
      <c r="BG87" s="3194">
        <f t="shared" si="692"/>
        <v>6.7549999999999999</v>
      </c>
      <c r="BH87" s="3194">
        <f t="shared" si="693"/>
        <v>6.7549999999999999</v>
      </c>
      <c r="BI87" s="3194">
        <f t="shared" si="694"/>
        <v>0</v>
      </c>
      <c r="BJ87" s="3194">
        <f t="shared" si="695"/>
        <v>-17.89</v>
      </c>
      <c r="BK87" s="3194">
        <f t="shared" si="696"/>
        <v>-17.89</v>
      </c>
      <c r="BL87" s="3194">
        <f t="shared" si="697"/>
        <v>0</v>
      </c>
      <c r="BM87" s="3210">
        <f t="shared" ref="BM87:BM90" si="872">SUM(BN87:BO87)</f>
        <v>8.2149999999999999</v>
      </c>
      <c r="BN87" s="3210">
        <f t="shared" ref="BN87" si="873">SUM(AP87)</f>
        <v>8.2149999999999999</v>
      </c>
      <c r="BO87" s="3210">
        <f t="shared" ref="BO87" si="874">SUM(AQ87)</f>
        <v>0</v>
      </c>
      <c r="BP87" s="3145">
        <f t="shared" ref="BP87" si="875">SUM(BQ87:BR87)</f>
        <v>0</v>
      </c>
      <c r="BQ87" s="3149"/>
      <c r="BR87" s="3149"/>
      <c r="BS87" s="3145">
        <f t="shared" ref="BS87" si="876">SUM(BT87:BU87)</f>
        <v>0</v>
      </c>
      <c r="BT87" s="3149"/>
      <c r="BU87" s="3149"/>
      <c r="BV87" s="3145">
        <f t="shared" ref="BV87" si="877">SUM(BW87:BX87)</f>
        <v>0</v>
      </c>
      <c r="BW87" s="3149"/>
      <c r="BX87" s="3149"/>
      <c r="BY87" s="3145">
        <f t="shared" si="560"/>
        <v>0</v>
      </c>
      <c r="BZ87" s="3145">
        <f t="shared" si="561"/>
        <v>0</v>
      </c>
      <c r="CA87" s="3145">
        <f t="shared" si="562"/>
        <v>0</v>
      </c>
      <c r="CB87" s="3211">
        <f t="shared" si="828"/>
        <v>32.86</v>
      </c>
      <c r="CC87" s="3288">
        <v>32.86</v>
      </c>
      <c r="CD87" s="3288">
        <v>0</v>
      </c>
      <c r="CE87" s="3194">
        <f t="shared" si="778"/>
        <v>6.7549999999999999</v>
      </c>
      <c r="CF87" s="3194">
        <f t="shared" si="779"/>
        <v>6.7549999999999999</v>
      </c>
      <c r="CG87" s="3194">
        <f t="shared" si="780"/>
        <v>0</v>
      </c>
      <c r="CH87" s="3194">
        <f t="shared" si="707"/>
        <v>-26.105</v>
      </c>
      <c r="CI87" s="3194">
        <f t="shared" si="708"/>
        <v>-26.105</v>
      </c>
      <c r="CJ87" s="3194">
        <f t="shared" si="709"/>
        <v>0</v>
      </c>
      <c r="CK87" s="3259"/>
      <c r="CL87" s="3259"/>
      <c r="CM87" s="3259"/>
    </row>
    <row r="88" spans="1:91" ht="18.75" customHeight="1" x14ac:dyDescent="0.3">
      <c r="A88" s="3172" t="s">
        <v>605</v>
      </c>
      <c r="B88" s="3208">
        <f t="shared" si="857"/>
        <v>0.35</v>
      </c>
      <c r="C88" s="3277">
        <f t="shared" ref="C88:D88" si="878">SUM(C89)</f>
        <v>0.35</v>
      </c>
      <c r="D88" s="3277">
        <f t="shared" si="878"/>
        <v>0</v>
      </c>
      <c r="E88" s="3136">
        <f t="shared" si="510"/>
        <v>0</v>
      </c>
      <c r="F88" s="3136">
        <f t="shared" ref="F88:G88" si="879">SUM(F89)</f>
        <v>0</v>
      </c>
      <c r="G88" s="3136">
        <f t="shared" si="879"/>
        <v>0</v>
      </c>
      <c r="H88" s="3136">
        <f t="shared" si="755"/>
        <v>0</v>
      </c>
      <c r="I88" s="3136">
        <f t="shared" ref="I88" si="880">SUM(I89)</f>
        <v>0</v>
      </c>
      <c r="J88" s="3136">
        <f t="shared" ref="J88" si="881">SUM(J89)</f>
        <v>0</v>
      </c>
      <c r="K88" s="3136">
        <f t="shared" si="756"/>
        <v>0</v>
      </c>
      <c r="L88" s="3136">
        <f t="shared" ref="L88" si="882">SUM(L89)</f>
        <v>0</v>
      </c>
      <c r="M88" s="3136">
        <f t="shared" ref="M88" si="883">SUM(M89)</f>
        <v>0</v>
      </c>
      <c r="N88" s="3136">
        <f t="shared" si="671"/>
        <v>0</v>
      </c>
      <c r="O88" s="3136">
        <f t="shared" si="672"/>
        <v>0</v>
      </c>
      <c r="P88" s="3136">
        <f t="shared" si="673"/>
        <v>0</v>
      </c>
      <c r="Q88" s="3208">
        <f t="shared" si="860"/>
        <v>0.35</v>
      </c>
      <c r="R88" s="3277">
        <f t="shared" ref="R88:S88" si="884">SUM(R89)</f>
        <v>0.35</v>
      </c>
      <c r="S88" s="3277">
        <f t="shared" si="884"/>
        <v>0</v>
      </c>
      <c r="T88" s="3136">
        <f>SUM(T89)</f>
        <v>0</v>
      </c>
      <c r="U88" s="3136">
        <f t="shared" ref="U88" si="885">SUM(U89)</f>
        <v>0</v>
      </c>
      <c r="V88" s="3136">
        <f t="shared" ref="V88" si="886">SUM(V89)</f>
        <v>0</v>
      </c>
      <c r="W88" s="3136">
        <f>SUM(W89)</f>
        <v>0</v>
      </c>
      <c r="X88" s="3136">
        <f t="shared" ref="X88" si="887">SUM(X89)</f>
        <v>0</v>
      </c>
      <c r="Y88" s="3136">
        <f t="shared" ref="Y88" si="888">SUM(Y89)</f>
        <v>0</v>
      </c>
      <c r="Z88" s="3136">
        <f>SUM(Z89)</f>
        <v>0</v>
      </c>
      <c r="AA88" s="3136">
        <f t="shared" ref="AA88" si="889">SUM(AA89)</f>
        <v>0</v>
      </c>
      <c r="AB88" s="3136">
        <f t="shared" ref="AB88" si="890">SUM(AB89)</f>
        <v>0</v>
      </c>
      <c r="AC88" s="3136">
        <f t="shared" si="528"/>
        <v>0</v>
      </c>
      <c r="AD88" s="3136">
        <f t="shared" si="529"/>
        <v>0</v>
      </c>
      <c r="AE88" s="3136">
        <f t="shared" si="530"/>
        <v>0</v>
      </c>
      <c r="AF88" s="3209">
        <f t="shared" si="424"/>
        <v>0.7</v>
      </c>
      <c r="AG88" s="3209">
        <f t="shared" si="425"/>
        <v>0.7</v>
      </c>
      <c r="AH88" s="3209">
        <f t="shared" si="426"/>
        <v>0</v>
      </c>
      <c r="AI88" s="3264">
        <f t="shared" si="763"/>
        <v>0</v>
      </c>
      <c r="AJ88" s="3264">
        <f t="shared" si="764"/>
        <v>0</v>
      </c>
      <c r="AK88" s="3264">
        <f t="shared" si="765"/>
        <v>0</v>
      </c>
      <c r="AL88" s="3264">
        <f t="shared" si="683"/>
        <v>-0.7</v>
      </c>
      <c r="AM88" s="3264">
        <f t="shared" si="684"/>
        <v>-0.7</v>
      </c>
      <c r="AN88" s="3264">
        <f t="shared" si="685"/>
        <v>0</v>
      </c>
      <c r="AO88" s="3208">
        <f t="shared" si="817"/>
        <v>0.35</v>
      </c>
      <c r="AP88" s="3277">
        <f t="shared" ref="AP88:AQ88" si="891">SUM(AP89)</f>
        <v>0.35</v>
      </c>
      <c r="AQ88" s="3277">
        <f t="shared" si="891"/>
        <v>0</v>
      </c>
      <c r="AR88" s="3136">
        <f>SUM(AR89)</f>
        <v>0</v>
      </c>
      <c r="AS88" s="3136">
        <f t="shared" ref="AS88" si="892">SUM(AS89)</f>
        <v>0</v>
      </c>
      <c r="AT88" s="3136">
        <f t="shared" ref="AT88" si="893">SUM(AT89)</f>
        <v>0</v>
      </c>
      <c r="AU88" s="3136">
        <f>SUM(AU89)</f>
        <v>0</v>
      </c>
      <c r="AV88" s="3136">
        <f t="shared" ref="AV88" si="894">SUM(AV89)</f>
        <v>0</v>
      </c>
      <c r="AW88" s="3136">
        <f t="shared" ref="AW88" si="895">SUM(AW89)</f>
        <v>0</v>
      </c>
      <c r="AX88" s="3136">
        <f>SUM(AX89)</f>
        <v>0</v>
      </c>
      <c r="AY88" s="3136">
        <f t="shared" ref="AY88" si="896">SUM(AY89)</f>
        <v>0</v>
      </c>
      <c r="AZ88" s="3136">
        <f t="shared" ref="AZ88" si="897">SUM(AZ89)</f>
        <v>0</v>
      </c>
      <c r="BA88" s="3136">
        <f t="shared" si="544"/>
        <v>0</v>
      </c>
      <c r="BB88" s="3136">
        <f t="shared" si="545"/>
        <v>0</v>
      </c>
      <c r="BC88" s="3136">
        <f t="shared" si="546"/>
        <v>0</v>
      </c>
      <c r="BD88" s="3209">
        <f t="shared" si="257"/>
        <v>1.0499999999999998</v>
      </c>
      <c r="BE88" s="3209">
        <f t="shared" si="258"/>
        <v>1.0499999999999998</v>
      </c>
      <c r="BF88" s="3209">
        <f t="shared" si="259"/>
        <v>0</v>
      </c>
      <c r="BG88" s="3264">
        <f t="shared" si="692"/>
        <v>0</v>
      </c>
      <c r="BH88" s="3264">
        <f t="shared" si="693"/>
        <v>0</v>
      </c>
      <c r="BI88" s="3264">
        <f t="shared" si="694"/>
        <v>0</v>
      </c>
      <c r="BJ88" s="3264">
        <f t="shared" si="695"/>
        <v>-1.0499999999999998</v>
      </c>
      <c r="BK88" s="3264">
        <f t="shared" si="696"/>
        <v>-1.0499999999999998</v>
      </c>
      <c r="BL88" s="3264">
        <f t="shared" si="697"/>
        <v>0</v>
      </c>
      <c r="BM88" s="3208">
        <f t="shared" si="872"/>
        <v>0.35</v>
      </c>
      <c r="BN88" s="3277">
        <f t="shared" ref="BN88:BO88" si="898">SUM(BN89)</f>
        <v>0.35</v>
      </c>
      <c r="BO88" s="3277">
        <f t="shared" si="898"/>
        <v>0</v>
      </c>
      <c r="BP88" s="3136">
        <f>SUM(BP89)</f>
        <v>0</v>
      </c>
      <c r="BQ88" s="3136">
        <f t="shared" ref="BQ88" si="899">SUM(BQ89)</f>
        <v>0</v>
      </c>
      <c r="BR88" s="3136">
        <f t="shared" ref="BR88" si="900">SUM(BR89)</f>
        <v>0</v>
      </c>
      <c r="BS88" s="3136">
        <f>SUM(BS89)</f>
        <v>0</v>
      </c>
      <c r="BT88" s="3136">
        <f t="shared" ref="BT88" si="901">SUM(BT89)</f>
        <v>0</v>
      </c>
      <c r="BU88" s="3136">
        <f t="shared" ref="BU88" si="902">SUM(BU89)</f>
        <v>0</v>
      </c>
      <c r="BV88" s="3136">
        <f>SUM(BV89)</f>
        <v>0</v>
      </c>
      <c r="BW88" s="3136">
        <f t="shared" ref="BW88" si="903">SUM(BW89)</f>
        <v>0</v>
      </c>
      <c r="BX88" s="3136">
        <f t="shared" ref="BX88" si="904">SUM(BX89)</f>
        <v>0</v>
      </c>
      <c r="BY88" s="3136">
        <f t="shared" si="560"/>
        <v>0</v>
      </c>
      <c r="BZ88" s="3136">
        <f t="shared" si="561"/>
        <v>0</v>
      </c>
      <c r="CA88" s="3136">
        <f t="shared" si="562"/>
        <v>0</v>
      </c>
      <c r="CB88" s="3209">
        <f t="shared" si="828"/>
        <v>1.4</v>
      </c>
      <c r="CC88" s="3287">
        <f t="shared" ref="CC88:CD88" si="905">SUM(CC89)</f>
        <v>1.4</v>
      </c>
      <c r="CD88" s="3287">
        <f t="shared" si="905"/>
        <v>0</v>
      </c>
      <c r="CE88" s="3264">
        <f t="shared" si="778"/>
        <v>0</v>
      </c>
      <c r="CF88" s="3264">
        <f t="shared" si="779"/>
        <v>0</v>
      </c>
      <c r="CG88" s="3264">
        <f t="shared" si="780"/>
        <v>0</v>
      </c>
      <c r="CH88" s="3264">
        <f t="shared" si="707"/>
        <v>-1.4</v>
      </c>
      <c r="CI88" s="3264">
        <f t="shared" si="708"/>
        <v>-1.4</v>
      </c>
      <c r="CJ88" s="3264">
        <f t="shared" si="709"/>
        <v>0</v>
      </c>
      <c r="CK88" s="3259"/>
      <c r="CL88" s="3259"/>
      <c r="CM88" s="3259"/>
    </row>
    <row r="89" spans="1:91" ht="18.75" customHeight="1" x14ac:dyDescent="0.3">
      <c r="A89" s="3079" t="s">
        <v>609</v>
      </c>
      <c r="B89" s="3210">
        <f t="shared" ref="B89:B90" si="906">SUM(C89:D89)</f>
        <v>0.35</v>
      </c>
      <c r="C89" s="3210">
        <f t="shared" ref="C89" si="907">SUM(CC89/4)</f>
        <v>0.35</v>
      </c>
      <c r="D89" s="3210">
        <f t="shared" ref="D89" si="908">SUM(CD89/4)</f>
        <v>0</v>
      </c>
      <c r="E89" s="3145">
        <f t="shared" si="510"/>
        <v>0</v>
      </c>
      <c r="F89" s="3149"/>
      <c r="G89" s="3149"/>
      <c r="H89" s="3145">
        <f t="shared" si="755"/>
        <v>0</v>
      </c>
      <c r="I89" s="3149"/>
      <c r="J89" s="3149"/>
      <c r="K89" s="3145">
        <f t="shared" si="756"/>
        <v>0</v>
      </c>
      <c r="L89" s="3149"/>
      <c r="M89" s="3149"/>
      <c r="N89" s="3145">
        <f t="shared" si="671"/>
        <v>0</v>
      </c>
      <c r="O89" s="3145">
        <f t="shared" si="672"/>
        <v>0</v>
      </c>
      <c r="P89" s="3145">
        <f t="shared" si="673"/>
        <v>0</v>
      </c>
      <c r="Q89" s="3210">
        <f t="shared" si="860"/>
        <v>0.35</v>
      </c>
      <c r="R89" s="3210">
        <f t="shared" ref="R89" si="909">SUM(C89)</f>
        <v>0.35</v>
      </c>
      <c r="S89" s="3210">
        <f t="shared" ref="S89" si="910">SUM(D89)</f>
        <v>0</v>
      </c>
      <c r="T89" s="3145">
        <f t="shared" ref="T89:T95" si="911">SUM(U89:V89)</f>
        <v>0</v>
      </c>
      <c r="U89" s="3149"/>
      <c r="V89" s="3149"/>
      <c r="W89" s="3145">
        <f t="shared" ref="W89:W95" si="912">SUM(X89:Y89)</f>
        <v>0</v>
      </c>
      <c r="X89" s="3149"/>
      <c r="Y89" s="3149"/>
      <c r="Z89" s="3145">
        <f t="shared" ref="Z89:Z95" si="913">SUM(AA89:AB89)</f>
        <v>0</v>
      </c>
      <c r="AA89" s="3149"/>
      <c r="AB89" s="3149"/>
      <c r="AC89" s="3145">
        <f t="shared" si="528"/>
        <v>0</v>
      </c>
      <c r="AD89" s="3145">
        <f t="shared" si="529"/>
        <v>0</v>
      </c>
      <c r="AE89" s="3145">
        <f t="shared" si="530"/>
        <v>0</v>
      </c>
      <c r="AF89" s="3211">
        <f t="shared" si="424"/>
        <v>0.7</v>
      </c>
      <c r="AG89" s="3211">
        <f t="shared" si="425"/>
        <v>0.7</v>
      </c>
      <c r="AH89" s="3211">
        <f t="shared" si="426"/>
        <v>0</v>
      </c>
      <c r="AI89" s="3194">
        <f t="shared" si="763"/>
        <v>0</v>
      </c>
      <c r="AJ89" s="3194">
        <f t="shared" si="764"/>
        <v>0</v>
      </c>
      <c r="AK89" s="3194">
        <f t="shared" si="765"/>
        <v>0</v>
      </c>
      <c r="AL89" s="3194">
        <f t="shared" si="683"/>
        <v>-0.7</v>
      </c>
      <c r="AM89" s="3194">
        <f t="shared" si="684"/>
        <v>-0.7</v>
      </c>
      <c r="AN89" s="3194">
        <f t="shared" si="685"/>
        <v>0</v>
      </c>
      <c r="AO89" s="3210">
        <f t="shared" ref="AO89:AO90" si="914">SUM(AP89:AQ89)</f>
        <v>0.35</v>
      </c>
      <c r="AP89" s="3210">
        <f t="shared" ref="AP89" si="915">SUM(CC89-AG89)/2</f>
        <v>0.35</v>
      </c>
      <c r="AQ89" s="3210">
        <f t="shared" ref="AQ89" si="916">SUM(CD89-AH89)/2</f>
        <v>0</v>
      </c>
      <c r="AR89" s="3145">
        <f t="shared" ref="AR89:AR95" si="917">SUM(AS89:AT89)</f>
        <v>0</v>
      </c>
      <c r="AS89" s="3149"/>
      <c r="AT89" s="3149"/>
      <c r="AU89" s="3145">
        <f t="shared" ref="AU89:AU95" si="918">SUM(AV89:AW89)</f>
        <v>0</v>
      </c>
      <c r="AV89" s="3149"/>
      <c r="AW89" s="3149"/>
      <c r="AX89" s="3145">
        <f t="shared" ref="AX89:AX95" si="919">SUM(AY89:AZ89)</f>
        <v>0</v>
      </c>
      <c r="AY89" s="3149"/>
      <c r="AZ89" s="3149"/>
      <c r="BA89" s="3145">
        <f t="shared" si="544"/>
        <v>0</v>
      </c>
      <c r="BB89" s="3145">
        <f t="shared" si="545"/>
        <v>0</v>
      </c>
      <c r="BC89" s="3145">
        <f t="shared" si="546"/>
        <v>0</v>
      </c>
      <c r="BD89" s="3211">
        <f t="shared" ref="BD89:BD121" si="920">SUM(BE89:BF89)</f>
        <v>1.0499999999999998</v>
      </c>
      <c r="BE89" s="3211">
        <f t="shared" ref="BE89:BE121" si="921">SUM(AG89+AP89)</f>
        <v>1.0499999999999998</v>
      </c>
      <c r="BF89" s="3211">
        <f t="shared" ref="BF89:BF121" si="922">SUM(AH89+AQ89)</f>
        <v>0</v>
      </c>
      <c r="BG89" s="3194">
        <f t="shared" si="692"/>
        <v>0</v>
      </c>
      <c r="BH89" s="3194">
        <f t="shared" si="693"/>
        <v>0</v>
      </c>
      <c r="BI89" s="3194">
        <f t="shared" si="694"/>
        <v>0</v>
      </c>
      <c r="BJ89" s="3194">
        <f t="shared" si="695"/>
        <v>-1.0499999999999998</v>
      </c>
      <c r="BK89" s="3194">
        <f t="shared" si="696"/>
        <v>-1.0499999999999998</v>
      </c>
      <c r="BL89" s="3194">
        <f t="shared" si="697"/>
        <v>0</v>
      </c>
      <c r="BM89" s="3210">
        <f t="shared" si="872"/>
        <v>0.35</v>
      </c>
      <c r="BN89" s="3210">
        <f t="shared" ref="BN89" si="923">SUM(AP89)</f>
        <v>0.35</v>
      </c>
      <c r="BO89" s="3210">
        <f t="shared" ref="BO89" si="924">SUM(AQ89)</f>
        <v>0</v>
      </c>
      <c r="BP89" s="3145">
        <f t="shared" ref="BP89:BP95" si="925">SUM(BQ89:BR89)</f>
        <v>0</v>
      </c>
      <c r="BQ89" s="3149"/>
      <c r="BR89" s="3149"/>
      <c r="BS89" s="3145">
        <f t="shared" ref="BS89:BS95" si="926">SUM(BT89:BU89)</f>
        <v>0</v>
      </c>
      <c r="BT89" s="3149"/>
      <c r="BU89" s="3149"/>
      <c r="BV89" s="3145">
        <f t="shared" ref="BV89:BV95" si="927">SUM(BW89:BX89)</f>
        <v>0</v>
      </c>
      <c r="BW89" s="3149"/>
      <c r="BX89" s="3149"/>
      <c r="BY89" s="3145">
        <f t="shared" si="560"/>
        <v>0</v>
      </c>
      <c r="BZ89" s="3145">
        <f t="shared" si="561"/>
        <v>0</v>
      </c>
      <c r="CA89" s="3145">
        <f t="shared" si="562"/>
        <v>0</v>
      </c>
      <c r="CB89" s="3211">
        <f t="shared" si="828"/>
        <v>1.4</v>
      </c>
      <c r="CC89" s="3288">
        <v>1.4</v>
      </c>
      <c r="CD89" s="3288">
        <v>0</v>
      </c>
      <c r="CE89" s="3194">
        <f t="shared" si="778"/>
        <v>0</v>
      </c>
      <c r="CF89" s="3194">
        <f t="shared" si="779"/>
        <v>0</v>
      </c>
      <c r="CG89" s="3194">
        <f t="shared" si="780"/>
        <v>0</v>
      </c>
      <c r="CH89" s="3194">
        <f t="shared" si="707"/>
        <v>-1.4</v>
      </c>
      <c r="CI89" s="3194">
        <f t="shared" si="708"/>
        <v>-1.4</v>
      </c>
      <c r="CJ89" s="3194">
        <f t="shared" si="709"/>
        <v>0</v>
      </c>
      <c r="CK89" s="3259"/>
      <c r="CL89" s="3259"/>
      <c r="CM89" s="3259"/>
    </row>
    <row r="90" spans="1:91" ht="18.75" customHeight="1" x14ac:dyDescent="0.3">
      <c r="A90" s="3106" t="s">
        <v>532</v>
      </c>
      <c r="B90" s="3207">
        <f t="shared" si="906"/>
        <v>3764.8739127288804</v>
      </c>
      <c r="C90" s="3251">
        <f t="shared" ref="C90:D90" si="928">SUM(C91:C95)+C97</f>
        <v>3764.8739127288804</v>
      </c>
      <c r="D90" s="3251">
        <f t="shared" si="928"/>
        <v>0</v>
      </c>
      <c r="E90" s="3156">
        <f t="shared" si="510"/>
        <v>942.79000000000019</v>
      </c>
      <c r="F90" s="3156">
        <f t="shared" ref="F90:G90" si="929">SUM(F91:F95)+F97</f>
        <v>942.79000000000019</v>
      </c>
      <c r="G90" s="3156">
        <f t="shared" si="929"/>
        <v>0</v>
      </c>
      <c r="H90" s="3156">
        <f t="shared" si="755"/>
        <v>972.64</v>
      </c>
      <c r="I90" s="3156">
        <f t="shared" ref="I90" si="930">SUM(I91:I95)+I97</f>
        <v>972.64</v>
      </c>
      <c r="J90" s="3156">
        <f t="shared" ref="J90" si="931">SUM(J91:J95)+J97</f>
        <v>0</v>
      </c>
      <c r="K90" s="3156">
        <f t="shared" si="756"/>
        <v>1062.52</v>
      </c>
      <c r="L90" s="3156">
        <f t="shared" ref="L90" si="932">SUM(L91:L95)+L97</f>
        <v>1062.52</v>
      </c>
      <c r="M90" s="3156">
        <f t="shared" ref="M90" si="933">SUM(M91:M95)+M97</f>
        <v>0</v>
      </c>
      <c r="N90" s="3156">
        <f t="shared" ref="N90:N95" si="934">SUM(O90:P90)</f>
        <v>2977.9500000000003</v>
      </c>
      <c r="O90" s="3156">
        <f t="shared" ref="O90:O95" si="935">SUM(F90+I90+L90)</f>
        <v>2977.9500000000003</v>
      </c>
      <c r="P90" s="3156">
        <f t="shared" ref="P90:P95" si="936">SUM(G90+J90+M90)</f>
        <v>0</v>
      </c>
      <c r="Q90" s="3207">
        <f t="shared" si="860"/>
        <v>3764.8739127288804</v>
      </c>
      <c r="R90" s="3251">
        <f t="shared" ref="R90:S90" si="937">SUM(R91:R95)+R97</f>
        <v>3764.8739127288804</v>
      </c>
      <c r="S90" s="3251">
        <f t="shared" si="937"/>
        <v>0</v>
      </c>
      <c r="T90" s="3156">
        <f t="shared" si="911"/>
        <v>931.16000000000008</v>
      </c>
      <c r="U90" s="3156">
        <f t="shared" ref="U90" si="938">SUM(U91:U95)+U97</f>
        <v>931.16000000000008</v>
      </c>
      <c r="V90" s="3156">
        <f t="shared" ref="V90" si="939">SUM(V91:V95)+V97</f>
        <v>0</v>
      </c>
      <c r="W90" s="3156">
        <f t="shared" si="912"/>
        <v>1130.72</v>
      </c>
      <c r="X90" s="3156">
        <f t="shared" ref="X90" si="940">SUM(X91:X95)+X97</f>
        <v>1130.72</v>
      </c>
      <c r="Y90" s="3156">
        <f t="shared" ref="Y90" si="941">SUM(Y91:Y95)+Y97</f>
        <v>0</v>
      </c>
      <c r="Z90" s="3156">
        <f t="shared" si="913"/>
        <v>1070.81</v>
      </c>
      <c r="AA90" s="3156">
        <f t="shared" ref="AA90" si="942">SUM(AA91:AA95)+AA97</f>
        <v>1070.81</v>
      </c>
      <c r="AB90" s="3156">
        <f t="shared" ref="AB90" si="943">SUM(AB91:AB95)+AB97</f>
        <v>0</v>
      </c>
      <c r="AC90" s="3156">
        <f t="shared" ref="AC90:AC107" si="944">SUM(AD90:AE90)</f>
        <v>3132.69</v>
      </c>
      <c r="AD90" s="3156">
        <f t="shared" ref="AD90:AD107" si="945">SUM(U90+X90+AA90)</f>
        <v>3132.69</v>
      </c>
      <c r="AE90" s="3156">
        <f t="shared" ref="AE90:AE107" si="946">SUM(V90+Y90+AB90)</f>
        <v>0</v>
      </c>
      <c r="AF90" s="3206">
        <f t="shared" si="424"/>
        <v>7529.7478254577609</v>
      </c>
      <c r="AG90" s="3206">
        <f t="shared" si="425"/>
        <v>7529.7478254577609</v>
      </c>
      <c r="AH90" s="3206">
        <f t="shared" si="426"/>
        <v>0</v>
      </c>
      <c r="AI90" s="3193">
        <f t="shared" ref="AI90:AI95" si="947">SUM(AC90+N90)</f>
        <v>6110.64</v>
      </c>
      <c r="AJ90" s="3193">
        <f t="shared" ref="AJ90:AJ95" si="948">SUM(AD90+O90)</f>
        <v>6110.64</v>
      </c>
      <c r="AK90" s="3193">
        <f t="shared" ref="AK90:AK95" si="949">SUM(AE90+P90)</f>
        <v>0</v>
      </c>
      <c r="AL90" s="3193">
        <f t="shared" ref="AL90:AL106" si="950">SUM(AI90-AF90)</f>
        <v>-1419.1078254577606</v>
      </c>
      <c r="AM90" s="3193">
        <f t="shared" ref="AM90:AM106" si="951">SUM(AJ90-AG90)</f>
        <v>-1419.1078254577606</v>
      </c>
      <c r="AN90" s="3193">
        <f t="shared" ref="AN90:AN106" si="952">SUM(AK90-AH90)</f>
        <v>0</v>
      </c>
      <c r="AO90" s="3207">
        <f t="shared" si="914"/>
        <v>3764.8739127288804</v>
      </c>
      <c r="AP90" s="3251">
        <f t="shared" ref="AP90:AQ90" si="953">SUM(AP91:AP95)+AP97</f>
        <v>3764.8739127288804</v>
      </c>
      <c r="AQ90" s="3251">
        <f t="shared" si="953"/>
        <v>0</v>
      </c>
      <c r="AR90" s="3156">
        <f t="shared" si="917"/>
        <v>1151.94</v>
      </c>
      <c r="AS90" s="3156">
        <f t="shared" ref="AS90" si="954">SUM(AS91:AS95)+AS97</f>
        <v>1151.94</v>
      </c>
      <c r="AT90" s="3156">
        <f t="shared" ref="AT90" si="955">SUM(AT91:AT95)+AT97</f>
        <v>0</v>
      </c>
      <c r="AU90" s="3156">
        <f t="shared" si="918"/>
        <v>1064.8400000000001</v>
      </c>
      <c r="AV90" s="3156">
        <f t="shared" ref="AV90" si="956">SUM(AV91:AV95)+AV97</f>
        <v>1064.8400000000001</v>
      </c>
      <c r="AW90" s="3156">
        <f t="shared" ref="AW90" si="957">SUM(AW91:AW95)+AW97</f>
        <v>0</v>
      </c>
      <c r="AX90" s="3156">
        <f t="shared" si="919"/>
        <v>1453.0900000000001</v>
      </c>
      <c r="AY90" s="3156">
        <f t="shared" ref="AY90" si="958">SUM(AY91:AY95)+AY97</f>
        <v>1453.0900000000001</v>
      </c>
      <c r="AZ90" s="3156">
        <f t="shared" ref="AZ90" si="959">SUM(AZ91:AZ95)+AZ97</f>
        <v>0</v>
      </c>
      <c r="BA90" s="3156">
        <f t="shared" ref="BA90:BA106" si="960">SUM(BB90:BC90)</f>
        <v>3669.8700000000003</v>
      </c>
      <c r="BB90" s="3156">
        <f t="shared" ref="BB90:BB106" si="961">SUM(AS90+AV90+AY90)</f>
        <v>3669.8700000000003</v>
      </c>
      <c r="BC90" s="3156">
        <f t="shared" ref="BC90:BC106" si="962">SUM(AT90+AW90+AZ90)</f>
        <v>0</v>
      </c>
      <c r="BD90" s="3206">
        <f t="shared" si="920"/>
        <v>11294.621738186641</v>
      </c>
      <c r="BE90" s="3206">
        <f t="shared" si="921"/>
        <v>11294.621738186641</v>
      </c>
      <c r="BF90" s="3206">
        <f t="shared" si="922"/>
        <v>0</v>
      </c>
      <c r="BG90" s="3193">
        <f t="shared" ref="BG90:BG95" si="963">SUM(AI90+BA90)</f>
        <v>9780.51</v>
      </c>
      <c r="BH90" s="3193">
        <f t="shared" ref="BH90:BH95" si="964">SUM(AJ90+BB90)</f>
        <v>9780.51</v>
      </c>
      <c r="BI90" s="3193">
        <f t="shared" ref="BI90:BI95" si="965">SUM(AK90+BC90)</f>
        <v>0</v>
      </c>
      <c r="BJ90" s="3193">
        <f t="shared" ref="BJ90:BJ106" si="966">SUM(BG90-BD90)</f>
        <v>-1514.1117381866407</v>
      </c>
      <c r="BK90" s="3193">
        <f t="shared" ref="BK90:BK106" si="967">SUM(BH90-BE90)</f>
        <v>-1514.1117381866407</v>
      </c>
      <c r="BL90" s="3193">
        <f t="shared" ref="BL90:BL106" si="968">SUM(BI90-BF90)</f>
        <v>0</v>
      </c>
      <c r="BM90" s="3207">
        <f t="shared" si="872"/>
        <v>3764.8739127288804</v>
      </c>
      <c r="BN90" s="3251">
        <f t="shared" ref="BN90:BO90" si="969">SUM(BN91:BN95)+BN97</f>
        <v>3764.8739127288804</v>
      </c>
      <c r="BO90" s="3251">
        <f t="shared" si="969"/>
        <v>0</v>
      </c>
      <c r="BP90" s="3156">
        <f t="shared" si="925"/>
        <v>0</v>
      </c>
      <c r="BQ90" s="3156">
        <f t="shared" ref="BQ90" si="970">SUM(BQ91:BQ95)+BQ97</f>
        <v>0</v>
      </c>
      <c r="BR90" s="3156">
        <f t="shared" ref="BR90" si="971">SUM(BR91:BR95)+BR97</f>
        <v>0</v>
      </c>
      <c r="BS90" s="3156">
        <f t="shared" si="926"/>
        <v>0</v>
      </c>
      <c r="BT90" s="3156">
        <f t="shared" ref="BT90" si="972">SUM(BT91:BT95)+BT97</f>
        <v>0</v>
      </c>
      <c r="BU90" s="3156">
        <f t="shared" ref="BU90" si="973">SUM(BU91:BU95)+BU97</f>
        <v>0</v>
      </c>
      <c r="BV90" s="3156">
        <f t="shared" si="927"/>
        <v>0</v>
      </c>
      <c r="BW90" s="3156">
        <f t="shared" ref="BW90" si="974">SUM(BW91:BW95)+BW97</f>
        <v>0</v>
      </c>
      <c r="BX90" s="3156">
        <f t="shared" ref="BX90" si="975">SUM(BX91:BX95)+BX97</f>
        <v>0</v>
      </c>
      <c r="BY90" s="3156">
        <f t="shared" ref="BY90:BY106" si="976">SUM(BZ90:CA90)</f>
        <v>0</v>
      </c>
      <c r="BZ90" s="3156">
        <f t="shared" ref="BZ90:BZ106" si="977">SUM(BQ90+BT90+BW90)</f>
        <v>0</v>
      </c>
      <c r="CA90" s="3156">
        <f t="shared" ref="CA90:CA106" si="978">SUM(BR90+BU90+BX90)</f>
        <v>0</v>
      </c>
      <c r="CB90" s="3206">
        <f t="shared" si="828"/>
        <v>15059.4956506622</v>
      </c>
      <c r="CC90" s="3285">
        <f>SUM(стоки!BN34)</f>
        <v>15059.4956506622</v>
      </c>
      <c r="CD90" s="3285">
        <f>SUM(стоки!BO34)</f>
        <v>0</v>
      </c>
      <c r="CE90" s="3193">
        <f t="shared" ref="CE90:CE95" si="979">SUM(BY90+BG90)</f>
        <v>9780.51</v>
      </c>
      <c r="CF90" s="3193">
        <f t="shared" ref="CF90:CF95" si="980">SUM(BZ90+BH90)</f>
        <v>9780.51</v>
      </c>
      <c r="CG90" s="3193">
        <f t="shared" ref="CG90:CG95" si="981">SUM(CA90+BI90)</f>
        <v>0</v>
      </c>
      <c r="CH90" s="3193">
        <f t="shared" ref="CH90:CH106" si="982">SUM(CE90-CB90)</f>
        <v>-5278.9856506622</v>
      </c>
      <c r="CI90" s="3193">
        <f t="shared" ref="CI90:CI106" si="983">SUM(CF90-CC90)</f>
        <v>-5278.9856506622</v>
      </c>
      <c r="CJ90" s="3193">
        <f t="shared" ref="CJ90:CJ106" si="984">SUM(CG90-CD90)</f>
        <v>0</v>
      </c>
      <c r="CK90" s="3261"/>
      <c r="CL90" s="3261"/>
      <c r="CM90" s="3261"/>
    </row>
    <row r="91" spans="1:91" ht="18.75" customHeight="1" x14ac:dyDescent="0.3">
      <c r="A91" s="3111" t="s">
        <v>2</v>
      </c>
      <c r="B91" s="3208">
        <f t="shared" ref="B91:B97" si="985">SUM(C91:D91)</f>
        <v>981.36249999999995</v>
      </c>
      <c r="C91" s="3208">
        <f t="shared" ref="C91:C95" si="986">SUM(CC91/4)</f>
        <v>981.36249999999995</v>
      </c>
      <c r="D91" s="3208">
        <f t="shared" ref="D91:D95" si="987">SUM(CD91/4)</f>
        <v>0</v>
      </c>
      <c r="E91" s="3136">
        <f t="shared" si="510"/>
        <v>328.12</v>
      </c>
      <c r="F91" s="3137">
        <v>328.12</v>
      </c>
      <c r="G91" s="3137"/>
      <c r="H91" s="3136">
        <f t="shared" si="755"/>
        <v>328.12</v>
      </c>
      <c r="I91" s="3137">
        <v>328.12</v>
      </c>
      <c r="J91" s="3137"/>
      <c r="K91" s="3136">
        <f t="shared" si="756"/>
        <v>328.12</v>
      </c>
      <c r="L91" s="3137">
        <v>328.12</v>
      </c>
      <c r="M91" s="3137"/>
      <c r="N91" s="3136">
        <f t="shared" si="934"/>
        <v>984.36</v>
      </c>
      <c r="O91" s="3136">
        <f t="shared" si="935"/>
        <v>984.36</v>
      </c>
      <c r="P91" s="3136">
        <f t="shared" si="936"/>
        <v>0</v>
      </c>
      <c r="Q91" s="3208">
        <f t="shared" si="860"/>
        <v>981.36249999999995</v>
      </c>
      <c r="R91" s="3208">
        <f t="shared" ref="R91:R95" si="988">SUM(C91)</f>
        <v>981.36249999999995</v>
      </c>
      <c r="S91" s="3208">
        <f t="shared" ref="S91:S95" si="989">SUM(D91)</f>
        <v>0</v>
      </c>
      <c r="T91" s="3136">
        <f t="shared" si="911"/>
        <v>328.12</v>
      </c>
      <c r="U91" s="3137">
        <v>328.12</v>
      </c>
      <c r="V91" s="3137"/>
      <c r="W91" s="3136">
        <f t="shared" si="912"/>
        <v>328.12</v>
      </c>
      <c r="X91" s="3137">
        <v>328.12</v>
      </c>
      <c r="Y91" s="3137"/>
      <c r="Z91" s="3136">
        <f t="shared" si="913"/>
        <v>333.29</v>
      </c>
      <c r="AA91" s="3137">
        <v>333.29</v>
      </c>
      <c r="AB91" s="3137"/>
      <c r="AC91" s="3136">
        <f t="shared" si="944"/>
        <v>989.53</v>
      </c>
      <c r="AD91" s="3136">
        <f t="shared" si="945"/>
        <v>989.53</v>
      </c>
      <c r="AE91" s="3136">
        <f t="shared" si="946"/>
        <v>0</v>
      </c>
      <c r="AF91" s="3209">
        <f t="shared" si="424"/>
        <v>1962.7249999999999</v>
      </c>
      <c r="AG91" s="3209">
        <f t="shared" si="425"/>
        <v>1962.7249999999999</v>
      </c>
      <c r="AH91" s="3209">
        <f t="shared" si="426"/>
        <v>0</v>
      </c>
      <c r="AI91" s="3264">
        <f t="shared" si="947"/>
        <v>1973.8899999999999</v>
      </c>
      <c r="AJ91" s="3264">
        <f t="shared" si="948"/>
        <v>1973.8899999999999</v>
      </c>
      <c r="AK91" s="3264">
        <f t="shared" si="949"/>
        <v>0</v>
      </c>
      <c r="AL91" s="3264">
        <f t="shared" si="950"/>
        <v>11.164999999999964</v>
      </c>
      <c r="AM91" s="3264">
        <f t="shared" si="951"/>
        <v>11.164999999999964</v>
      </c>
      <c r="AN91" s="3264">
        <f t="shared" si="952"/>
        <v>0</v>
      </c>
      <c r="AO91" s="3208">
        <f t="shared" ref="AO91:AO97" si="990">SUM(AP91:AQ91)</f>
        <v>981.36249999999995</v>
      </c>
      <c r="AP91" s="3208">
        <f t="shared" ref="AP91:AP95" si="991">SUM(CC91-AG91)/2</f>
        <v>981.36249999999995</v>
      </c>
      <c r="AQ91" s="3208">
        <f t="shared" ref="AQ91:AQ95" si="992">SUM(CD91-AH91)/2</f>
        <v>0</v>
      </c>
      <c r="AR91" s="3136">
        <f t="shared" si="917"/>
        <v>333.29</v>
      </c>
      <c r="AS91" s="3137">
        <v>333.29</v>
      </c>
      <c r="AT91" s="3137"/>
      <c r="AU91" s="3136">
        <f t="shared" si="918"/>
        <v>333.29</v>
      </c>
      <c r="AV91" s="3137">
        <v>333.29</v>
      </c>
      <c r="AW91" s="3137"/>
      <c r="AX91" s="3136">
        <f t="shared" si="919"/>
        <v>341.72</v>
      </c>
      <c r="AY91" s="3137">
        <v>341.72</v>
      </c>
      <c r="AZ91" s="3137"/>
      <c r="BA91" s="3136">
        <f t="shared" si="960"/>
        <v>1008.3000000000001</v>
      </c>
      <c r="BB91" s="3136">
        <f t="shared" si="961"/>
        <v>1008.3000000000001</v>
      </c>
      <c r="BC91" s="3136">
        <f t="shared" si="962"/>
        <v>0</v>
      </c>
      <c r="BD91" s="3209">
        <f t="shared" si="920"/>
        <v>2944.0874999999996</v>
      </c>
      <c r="BE91" s="3209">
        <f t="shared" si="921"/>
        <v>2944.0874999999996</v>
      </c>
      <c r="BF91" s="3209">
        <f t="shared" si="922"/>
        <v>0</v>
      </c>
      <c r="BG91" s="3264">
        <f t="shared" si="963"/>
        <v>2982.19</v>
      </c>
      <c r="BH91" s="3264">
        <f t="shared" si="964"/>
        <v>2982.19</v>
      </c>
      <c r="BI91" s="3264">
        <f t="shared" si="965"/>
        <v>0</v>
      </c>
      <c r="BJ91" s="3264">
        <f t="shared" si="966"/>
        <v>38.102500000000418</v>
      </c>
      <c r="BK91" s="3264">
        <f t="shared" si="967"/>
        <v>38.102500000000418</v>
      </c>
      <c r="BL91" s="3264">
        <f t="shared" si="968"/>
        <v>0</v>
      </c>
      <c r="BM91" s="3208">
        <f t="shared" ref="BM91" si="993">SUM(BN91:BO91)</f>
        <v>981.36249999999995</v>
      </c>
      <c r="BN91" s="3208">
        <f t="shared" ref="BN91" si="994">SUM(AP91)</f>
        <v>981.36249999999995</v>
      </c>
      <c r="BO91" s="3208">
        <f t="shared" ref="BO91" si="995">SUM(AQ91)</f>
        <v>0</v>
      </c>
      <c r="BP91" s="3136">
        <f t="shared" si="925"/>
        <v>0</v>
      </c>
      <c r="BQ91" s="3137"/>
      <c r="BR91" s="3137"/>
      <c r="BS91" s="3136">
        <f t="shared" si="926"/>
        <v>0</v>
      </c>
      <c r="BT91" s="3137"/>
      <c r="BU91" s="3137"/>
      <c r="BV91" s="3136">
        <f t="shared" si="927"/>
        <v>0</v>
      </c>
      <c r="BW91" s="3137"/>
      <c r="BX91" s="3137"/>
      <c r="BY91" s="3136">
        <f t="shared" si="976"/>
        <v>0</v>
      </c>
      <c r="BZ91" s="3136">
        <f t="shared" si="977"/>
        <v>0</v>
      </c>
      <c r="CA91" s="3136">
        <f t="shared" si="978"/>
        <v>0</v>
      </c>
      <c r="CB91" s="3209">
        <f t="shared" si="828"/>
        <v>3925.45</v>
      </c>
      <c r="CC91" s="3286">
        <f>SUM(стоки!BN35)</f>
        <v>3925.45</v>
      </c>
      <c r="CD91" s="3286">
        <f>SUM(стоки!BO35)</f>
        <v>0</v>
      </c>
      <c r="CE91" s="3264">
        <f t="shared" si="979"/>
        <v>2982.19</v>
      </c>
      <c r="CF91" s="3264">
        <f t="shared" si="980"/>
        <v>2982.19</v>
      </c>
      <c r="CG91" s="3264">
        <f t="shared" si="981"/>
        <v>0</v>
      </c>
      <c r="CH91" s="3264">
        <f t="shared" si="982"/>
        <v>-943.25999999999976</v>
      </c>
      <c r="CI91" s="3264">
        <f t="shared" si="983"/>
        <v>-943.25999999999976</v>
      </c>
      <c r="CJ91" s="3264">
        <f t="shared" si="984"/>
        <v>0</v>
      </c>
      <c r="CK91" s="3259"/>
      <c r="CL91" s="3259"/>
      <c r="CM91" s="3259"/>
    </row>
    <row r="92" spans="1:91" ht="18.75" customHeight="1" x14ac:dyDescent="0.3">
      <c r="A92" s="3072" t="s">
        <v>3589</v>
      </c>
      <c r="B92" s="3208">
        <f t="shared" si="985"/>
        <v>0</v>
      </c>
      <c r="C92" s="3208">
        <f t="shared" si="986"/>
        <v>0</v>
      </c>
      <c r="D92" s="3208">
        <f t="shared" si="987"/>
        <v>0</v>
      </c>
      <c r="E92" s="3136">
        <f t="shared" si="510"/>
        <v>0</v>
      </c>
      <c r="F92" s="3137"/>
      <c r="G92" s="3137"/>
      <c r="H92" s="3136">
        <f t="shared" si="755"/>
        <v>0</v>
      </c>
      <c r="I92" s="3137"/>
      <c r="J92" s="3137"/>
      <c r="K92" s="3136">
        <f t="shared" si="756"/>
        <v>0</v>
      </c>
      <c r="L92" s="3137"/>
      <c r="M92" s="3137"/>
      <c r="N92" s="3136">
        <f t="shared" si="934"/>
        <v>0</v>
      </c>
      <c r="O92" s="3136">
        <f t="shared" si="935"/>
        <v>0</v>
      </c>
      <c r="P92" s="3136">
        <f t="shared" si="936"/>
        <v>0</v>
      </c>
      <c r="Q92" s="3208">
        <f t="shared" si="860"/>
        <v>0</v>
      </c>
      <c r="R92" s="3208">
        <f t="shared" si="988"/>
        <v>0</v>
      </c>
      <c r="S92" s="3208">
        <f t="shared" si="989"/>
        <v>0</v>
      </c>
      <c r="T92" s="3136">
        <f t="shared" si="911"/>
        <v>0</v>
      </c>
      <c r="U92" s="3137"/>
      <c r="V92" s="3137"/>
      <c r="W92" s="3136">
        <f t="shared" si="912"/>
        <v>0</v>
      </c>
      <c r="X92" s="3137"/>
      <c r="Y92" s="3137"/>
      <c r="Z92" s="3136">
        <f t="shared" si="913"/>
        <v>0</v>
      </c>
      <c r="AA92" s="3137"/>
      <c r="AB92" s="3137"/>
      <c r="AC92" s="3136">
        <f t="shared" si="944"/>
        <v>0</v>
      </c>
      <c r="AD92" s="3136">
        <f t="shared" si="945"/>
        <v>0</v>
      </c>
      <c r="AE92" s="3136">
        <f t="shared" si="946"/>
        <v>0</v>
      </c>
      <c r="AF92" s="3209">
        <f t="shared" si="424"/>
        <v>0</v>
      </c>
      <c r="AG92" s="3209">
        <f t="shared" si="425"/>
        <v>0</v>
      </c>
      <c r="AH92" s="3209">
        <f t="shared" si="426"/>
        <v>0</v>
      </c>
      <c r="AI92" s="3264">
        <f t="shared" si="947"/>
        <v>0</v>
      </c>
      <c r="AJ92" s="3264">
        <f t="shared" si="948"/>
        <v>0</v>
      </c>
      <c r="AK92" s="3264">
        <f t="shared" si="949"/>
        <v>0</v>
      </c>
      <c r="AL92" s="3264">
        <f t="shared" si="950"/>
        <v>0</v>
      </c>
      <c r="AM92" s="3264">
        <f t="shared" si="951"/>
        <v>0</v>
      </c>
      <c r="AN92" s="3264">
        <f t="shared" si="952"/>
        <v>0</v>
      </c>
      <c r="AO92" s="3208">
        <f t="shared" si="990"/>
        <v>0</v>
      </c>
      <c r="AP92" s="3208">
        <f t="shared" si="991"/>
        <v>0</v>
      </c>
      <c r="AQ92" s="3208">
        <f t="shared" si="992"/>
        <v>0</v>
      </c>
      <c r="AR92" s="3136">
        <f t="shared" si="917"/>
        <v>0</v>
      </c>
      <c r="AS92" s="3137"/>
      <c r="AT92" s="3137"/>
      <c r="AU92" s="3136">
        <f t="shared" si="918"/>
        <v>0</v>
      </c>
      <c r="AV92" s="3137"/>
      <c r="AW92" s="3137"/>
      <c r="AX92" s="3136">
        <f t="shared" si="919"/>
        <v>0</v>
      </c>
      <c r="AY92" s="3137"/>
      <c r="AZ92" s="3137"/>
      <c r="BA92" s="3136">
        <f t="shared" si="960"/>
        <v>0</v>
      </c>
      <c r="BB92" s="3136">
        <f t="shared" si="961"/>
        <v>0</v>
      </c>
      <c r="BC92" s="3136">
        <f t="shared" si="962"/>
        <v>0</v>
      </c>
      <c r="BD92" s="3209">
        <f t="shared" si="920"/>
        <v>0</v>
      </c>
      <c r="BE92" s="3209">
        <f t="shared" si="921"/>
        <v>0</v>
      </c>
      <c r="BF92" s="3209">
        <f t="shared" si="922"/>
        <v>0</v>
      </c>
      <c r="BG92" s="3264">
        <f t="shared" si="963"/>
        <v>0</v>
      </c>
      <c r="BH92" s="3264">
        <f t="shared" si="964"/>
        <v>0</v>
      </c>
      <c r="BI92" s="3264">
        <f t="shared" si="965"/>
        <v>0</v>
      </c>
      <c r="BJ92" s="3264">
        <f t="shared" si="966"/>
        <v>0</v>
      </c>
      <c r="BK92" s="3264">
        <f t="shared" si="967"/>
        <v>0</v>
      </c>
      <c r="BL92" s="3264">
        <f t="shared" si="968"/>
        <v>0</v>
      </c>
      <c r="BM92" s="3208">
        <f t="shared" ref="BM92:BM97" si="996">SUM(BN92:BO92)</f>
        <v>0</v>
      </c>
      <c r="BN92" s="3208">
        <f t="shared" ref="BN92:BN95" si="997">SUM(AP92)</f>
        <v>0</v>
      </c>
      <c r="BO92" s="3208">
        <f t="shared" ref="BO92:BO95" si="998">SUM(AQ92)</f>
        <v>0</v>
      </c>
      <c r="BP92" s="3136">
        <f t="shared" si="925"/>
        <v>0</v>
      </c>
      <c r="BQ92" s="3137"/>
      <c r="BR92" s="3137"/>
      <c r="BS92" s="3136">
        <f t="shared" si="926"/>
        <v>0</v>
      </c>
      <c r="BT92" s="3137"/>
      <c r="BU92" s="3137"/>
      <c r="BV92" s="3136">
        <f t="shared" si="927"/>
        <v>0</v>
      </c>
      <c r="BW92" s="3137"/>
      <c r="BX92" s="3137"/>
      <c r="BY92" s="3136">
        <f t="shared" si="976"/>
        <v>0</v>
      </c>
      <c r="BZ92" s="3136">
        <f t="shared" si="977"/>
        <v>0</v>
      </c>
      <c r="CA92" s="3136">
        <f t="shared" si="978"/>
        <v>0</v>
      </c>
      <c r="CB92" s="3209">
        <f t="shared" si="828"/>
        <v>0</v>
      </c>
      <c r="CC92" s="3286">
        <f>SUM(стоки!BN36)</f>
        <v>0</v>
      </c>
      <c r="CD92" s="3286">
        <f>SUM(стоки!BO36)</f>
        <v>0</v>
      </c>
      <c r="CE92" s="3264">
        <f t="shared" si="979"/>
        <v>0</v>
      </c>
      <c r="CF92" s="3264">
        <f t="shared" si="980"/>
        <v>0</v>
      </c>
      <c r="CG92" s="3264">
        <f t="shared" si="981"/>
        <v>0</v>
      </c>
      <c r="CH92" s="3264">
        <f t="shared" si="982"/>
        <v>0</v>
      </c>
      <c r="CI92" s="3264">
        <f t="shared" si="983"/>
        <v>0</v>
      </c>
      <c r="CJ92" s="3264">
        <f t="shared" si="984"/>
        <v>0</v>
      </c>
      <c r="CK92" s="3259"/>
      <c r="CL92" s="3259"/>
      <c r="CM92" s="3259"/>
    </row>
    <row r="93" spans="1:91" ht="18.75" customHeight="1" x14ac:dyDescent="0.3">
      <c r="A93" s="3111" t="s">
        <v>3</v>
      </c>
      <c r="B93" s="3208">
        <f t="shared" si="985"/>
        <v>188.21158250000002</v>
      </c>
      <c r="C93" s="3208">
        <f t="shared" si="986"/>
        <v>188.21158250000002</v>
      </c>
      <c r="D93" s="3208">
        <f t="shared" si="987"/>
        <v>0</v>
      </c>
      <c r="E93" s="3136">
        <f t="shared" si="510"/>
        <v>14.47</v>
      </c>
      <c r="F93" s="3137">
        <v>14.47</v>
      </c>
      <c r="G93" s="3137"/>
      <c r="H93" s="3136">
        <f t="shared" si="755"/>
        <v>0</v>
      </c>
      <c r="I93" s="3137"/>
      <c r="J93" s="3137"/>
      <c r="K93" s="3136">
        <f t="shared" si="756"/>
        <v>98.82</v>
      </c>
      <c r="L93" s="3137">
        <f>84+14.82</f>
        <v>98.82</v>
      </c>
      <c r="M93" s="3137"/>
      <c r="N93" s="3136">
        <f t="shared" si="934"/>
        <v>113.28999999999999</v>
      </c>
      <c r="O93" s="3136">
        <f t="shared" si="935"/>
        <v>113.28999999999999</v>
      </c>
      <c r="P93" s="3136">
        <f t="shared" si="936"/>
        <v>0</v>
      </c>
      <c r="Q93" s="3208">
        <f t="shared" si="860"/>
        <v>188.21158250000002</v>
      </c>
      <c r="R93" s="3208">
        <f t="shared" si="988"/>
        <v>188.21158250000002</v>
      </c>
      <c r="S93" s="3208">
        <f t="shared" si="989"/>
        <v>0</v>
      </c>
      <c r="T93" s="3136">
        <f t="shared" si="911"/>
        <v>5.92</v>
      </c>
      <c r="U93" s="3137">
        <v>5.92</v>
      </c>
      <c r="V93" s="3137"/>
      <c r="W93" s="3136">
        <f t="shared" si="912"/>
        <v>118.78</v>
      </c>
      <c r="X93" s="3137">
        <f>118.78</f>
        <v>118.78</v>
      </c>
      <c r="Y93" s="3137"/>
      <c r="Z93" s="3136">
        <f t="shared" si="913"/>
        <v>29.87</v>
      </c>
      <c r="AA93" s="3137">
        <v>29.87</v>
      </c>
      <c r="AB93" s="3137"/>
      <c r="AC93" s="3136">
        <f t="shared" si="944"/>
        <v>154.57</v>
      </c>
      <c r="AD93" s="3136">
        <f t="shared" si="945"/>
        <v>154.57</v>
      </c>
      <c r="AE93" s="3136">
        <f t="shared" si="946"/>
        <v>0</v>
      </c>
      <c r="AF93" s="3209">
        <f t="shared" si="424"/>
        <v>376.42316500000004</v>
      </c>
      <c r="AG93" s="3209">
        <f t="shared" si="425"/>
        <v>376.42316500000004</v>
      </c>
      <c r="AH93" s="3209">
        <f t="shared" si="426"/>
        <v>0</v>
      </c>
      <c r="AI93" s="3264">
        <f t="shared" si="947"/>
        <v>267.86</v>
      </c>
      <c r="AJ93" s="3264">
        <f t="shared" si="948"/>
        <v>267.86</v>
      </c>
      <c r="AK93" s="3264">
        <f t="shared" si="949"/>
        <v>0</v>
      </c>
      <c r="AL93" s="3264">
        <f t="shared" si="950"/>
        <v>-108.56316500000003</v>
      </c>
      <c r="AM93" s="3264">
        <f t="shared" si="951"/>
        <v>-108.56316500000003</v>
      </c>
      <c r="AN93" s="3264">
        <f t="shared" si="952"/>
        <v>0</v>
      </c>
      <c r="AO93" s="3208">
        <f t="shared" si="990"/>
        <v>188.21158250000002</v>
      </c>
      <c r="AP93" s="3208">
        <f t="shared" si="991"/>
        <v>188.21158250000002</v>
      </c>
      <c r="AQ93" s="3208">
        <f t="shared" si="992"/>
        <v>0</v>
      </c>
      <c r="AR93" s="3136">
        <f t="shared" si="917"/>
        <v>84.55</v>
      </c>
      <c r="AS93" s="3137">
        <f>0.98+83.57</f>
        <v>84.55</v>
      </c>
      <c r="AT93" s="3137"/>
      <c r="AU93" s="3136">
        <f t="shared" si="918"/>
        <v>59.41</v>
      </c>
      <c r="AV93" s="3137">
        <v>59.41</v>
      </c>
      <c r="AW93" s="3137"/>
      <c r="AX93" s="3136">
        <f t="shared" si="919"/>
        <v>68.92</v>
      </c>
      <c r="AY93" s="3137">
        <v>68.92</v>
      </c>
      <c r="AZ93" s="3137"/>
      <c r="BA93" s="3136">
        <f t="shared" si="960"/>
        <v>212.88</v>
      </c>
      <c r="BB93" s="3136">
        <f t="shared" si="961"/>
        <v>212.88</v>
      </c>
      <c r="BC93" s="3136">
        <f t="shared" si="962"/>
        <v>0</v>
      </c>
      <c r="BD93" s="3209">
        <f t="shared" si="920"/>
        <v>564.6347475</v>
      </c>
      <c r="BE93" s="3209">
        <f t="shared" si="921"/>
        <v>564.6347475</v>
      </c>
      <c r="BF93" s="3209">
        <f t="shared" si="922"/>
        <v>0</v>
      </c>
      <c r="BG93" s="3264">
        <f t="shared" si="963"/>
        <v>480.74</v>
      </c>
      <c r="BH93" s="3264">
        <f t="shared" si="964"/>
        <v>480.74</v>
      </c>
      <c r="BI93" s="3264">
        <f t="shared" si="965"/>
        <v>0</v>
      </c>
      <c r="BJ93" s="3264">
        <f t="shared" si="966"/>
        <v>-83.894747499999994</v>
      </c>
      <c r="BK93" s="3264">
        <f t="shared" si="967"/>
        <v>-83.894747499999994</v>
      </c>
      <c r="BL93" s="3264">
        <f t="shared" si="968"/>
        <v>0</v>
      </c>
      <c r="BM93" s="3208">
        <f t="shared" si="996"/>
        <v>188.21158250000002</v>
      </c>
      <c r="BN93" s="3208">
        <f t="shared" si="997"/>
        <v>188.21158250000002</v>
      </c>
      <c r="BO93" s="3208">
        <f t="shared" si="998"/>
        <v>0</v>
      </c>
      <c r="BP93" s="3136">
        <f t="shared" si="925"/>
        <v>0</v>
      </c>
      <c r="BQ93" s="3137"/>
      <c r="BR93" s="3137"/>
      <c r="BS93" s="3136">
        <f t="shared" si="926"/>
        <v>0</v>
      </c>
      <c r="BT93" s="3137"/>
      <c r="BU93" s="3137"/>
      <c r="BV93" s="3136">
        <f t="shared" si="927"/>
        <v>0</v>
      </c>
      <c r="BW93" s="3137"/>
      <c r="BX93" s="3137"/>
      <c r="BY93" s="3136">
        <f t="shared" si="976"/>
        <v>0</v>
      </c>
      <c r="BZ93" s="3136">
        <f t="shared" si="977"/>
        <v>0</v>
      </c>
      <c r="CA93" s="3136">
        <f t="shared" si="978"/>
        <v>0</v>
      </c>
      <c r="CB93" s="3209">
        <f t="shared" si="828"/>
        <v>752.84633000000008</v>
      </c>
      <c r="CC93" s="3286">
        <f>SUM(стоки!BN37)</f>
        <v>752.84633000000008</v>
      </c>
      <c r="CD93" s="3286">
        <f>SUM(стоки!BO37)</f>
        <v>0</v>
      </c>
      <c r="CE93" s="3264">
        <f t="shared" si="979"/>
        <v>480.74</v>
      </c>
      <c r="CF93" s="3264">
        <f t="shared" si="980"/>
        <v>480.74</v>
      </c>
      <c r="CG93" s="3264">
        <f t="shared" si="981"/>
        <v>0</v>
      </c>
      <c r="CH93" s="3264">
        <f t="shared" si="982"/>
        <v>-272.10633000000007</v>
      </c>
      <c r="CI93" s="3264">
        <f t="shared" si="983"/>
        <v>-272.10633000000007</v>
      </c>
      <c r="CJ93" s="3264">
        <f t="shared" si="984"/>
        <v>0</v>
      </c>
      <c r="CK93" s="3259"/>
      <c r="CL93" s="3259"/>
      <c r="CM93" s="3259"/>
    </row>
    <row r="94" spans="1:91" ht="18.75" customHeight="1" x14ac:dyDescent="0.3">
      <c r="A94" s="3111" t="s">
        <v>4</v>
      </c>
      <c r="B94" s="3208">
        <f t="shared" si="985"/>
        <v>1387.1959199999999</v>
      </c>
      <c r="C94" s="3208">
        <f t="shared" si="986"/>
        <v>1387.1959199999999</v>
      </c>
      <c r="D94" s="3208">
        <f t="shared" si="987"/>
        <v>0</v>
      </c>
      <c r="E94" s="3136">
        <f t="shared" si="510"/>
        <v>273.04000000000002</v>
      </c>
      <c r="F94" s="3137">
        <v>273.04000000000002</v>
      </c>
      <c r="G94" s="3137"/>
      <c r="H94" s="3136">
        <f t="shared" si="755"/>
        <v>347.45</v>
      </c>
      <c r="I94" s="3137">
        <v>347.45</v>
      </c>
      <c r="J94" s="3137"/>
      <c r="K94" s="3136">
        <f t="shared" si="756"/>
        <v>274.14</v>
      </c>
      <c r="L94" s="3137">
        <v>274.14</v>
      </c>
      <c r="M94" s="3137"/>
      <c r="N94" s="3136">
        <f t="shared" si="934"/>
        <v>894.63</v>
      </c>
      <c r="O94" s="3136">
        <f t="shared" si="935"/>
        <v>894.63</v>
      </c>
      <c r="P94" s="3136">
        <f t="shared" si="936"/>
        <v>0</v>
      </c>
      <c r="Q94" s="3208">
        <f t="shared" si="860"/>
        <v>1387.1959199999999</v>
      </c>
      <c r="R94" s="3208">
        <f t="shared" si="988"/>
        <v>1387.1959199999999</v>
      </c>
      <c r="S94" s="3208">
        <f t="shared" si="989"/>
        <v>0</v>
      </c>
      <c r="T94" s="3136">
        <f t="shared" si="911"/>
        <v>285.54000000000002</v>
      </c>
      <c r="U94" s="3137">
        <v>285.54000000000002</v>
      </c>
      <c r="V94" s="3137"/>
      <c r="W94" s="3136">
        <f t="shared" si="912"/>
        <v>369.14</v>
      </c>
      <c r="X94" s="3137">
        <v>369.14</v>
      </c>
      <c r="Y94" s="3137"/>
      <c r="Z94" s="3136">
        <f t="shared" si="913"/>
        <v>411.95</v>
      </c>
      <c r="AA94" s="3137">
        <v>411.95</v>
      </c>
      <c r="AB94" s="3137"/>
      <c r="AC94" s="3136">
        <f t="shared" si="944"/>
        <v>1066.6300000000001</v>
      </c>
      <c r="AD94" s="3136">
        <f t="shared" si="945"/>
        <v>1066.6300000000001</v>
      </c>
      <c r="AE94" s="3136">
        <f t="shared" si="946"/>
        <v>0</v>
      </c>
      <c r="AF94" s="3209">
        <f t="shared" si="424"/>
        <v>2774.3918399999998</v>
      </c>
      <c r="AG94" s="3209">
        <f t="shared" si="425"/>
        <v>2774.3918399999998</v>
      </c>
      <c r="AH94" s="3209">
        <f t="shared" si="426"/>
        <v>0</v>
      </c>
      <c r="AI94" s="3264">
        <f t="shared" si="947"/>
        <v>1961.2600000000002</v>
      </c>
      <c r="AJ94" s="3264">
        <f t="shared" si="948"/>
        <v>1961.2600000000002</v>
      </c>
      <c r="AK94" s="3264">
        <f t="shared" si="949"/>
        <v>0</v>
      </c>
      <c r="AL94" s="3264">
        <f t="shared" si="950"/>
        <v>-813.13183999999956</v>
      </c>
      <c r="AM94" s="3264">
        <f t="shared" si="951"/>
        <v>-813.13183999999956</v>
      </c>
      <c r="AN94" s="3264">
        <f t="shared" si="952"/>
        <v>0</v>
      </c>
      <c r="AO94" s="3208">
        <f t="shared" si="990"/>
        <v>1387.1959199999999</v>
      </c>
      <c r="AP94" s="3208">
        <f t="shared" si="991"/>
        <v>1387.1959199999999</v>
      </c>
      <c r="AQ94" s="3208">
        <f t="shared" si="992"/>
        <v>0</v>
      </c>
      <c r="AR94" s="3136">
        <f t="shared" si="917"/>
        <v>369.17</v>
      </c>
      <c r="AS94" s="3137">
        <v>369.17</v>
      </c>
      <c r="AT94" s="3137"/>
      <c r="AU94" s="3136">
        <f t="shared" si="918"/>
        <v>347.44</v>
      </c>
      <c r="AV94" s="3137">
        <v>347.44</v>
      </c>
      <c r="AW94" s="3137"/>
      <c r="AX94" s="3136">
        <f t="shared" si="919"/>
        <v>591.54</v>
      </c>
      <c r="AY94" s="3137">
        <v>591.54</v>
      </c>
      <c r="AZ94" s="3137"/>
      <c r="BA94" s="3136">
        <f t="shared" si="960"/>
        <v>1308.1500000000001</v>
      </c>
      <c r="BB94" s="3136">
        <f t="shared" si="961"/>
        <v>1308.1500000000001</v>
      </c>
      <c r="BC94" s="3136">
        <f t="shared" si="962"/>
        <v>0</v>
      </c>
      <c r="BD94" s="3209">
        <f t="shared" si="920"/>
        <v>4161.5877599999994</v>
      </c>
      <c r="BE94" s="3209">
        <f t="shared" si="921"/>
        <v>4161.5877599999994</v>
      </c>
      <c r="BF94" s="3209">
        <f t="shared" si="922"/>
        <v>0</v>
      </c>
      <c r="BG94" s="3264">
        <f t="shared" si="963"/>
        <v>3269.4100000000003</v>
      </c>
      <c r="BH94" s="3264">
        <f t="shared" si="964"/>
        <v>3269.4100000000003</v>
      </c>
      <c r="BI94" s="3264">
        <f t="shared" si="965"/>
        <v>0</v>
      </c>
      <c r="BJ94" s="3264">
        <f t="shared" si="966"/>
        <v>-892.17775999999913</v>
      </c>
      <c r="BK94" s="3264">
        <f t="shared" si="967"/>
        <v>-892.17775999999913</v>
      </c>
      <c r="BL94" s="3264">
        <f t="shared" si="968"/>
        <v>0</v>
      </c>
      <c r="BM94" s="3208">
        <f t="shared" si="996"/>
        <v>1387.1959199999999</v>
      </c>
      <c r="BN94" s="3208">
        <f t="shared" si="997"/>
        <v>1387.1959199999999</v>
      </c>
      <c r="BO94" s="3208">
        <f t="shared" si="998"/>
        <v>0</v>
      </c>
      <c r="BP94" s="3136">
        <f t="shared" si="925"/>
        <v>0</v>
      </c>
      <c r="BQ94" s="3137"/>
      <c r="BR94" s="3137"/>
      <c r="BS94" s="3136">
        <f t="shared" si="926"/>
        <v>0</v>
      </c>
      <c r="BT94" s="3137"/>
      <c r="BU94" s="3137"/>
      <c r="BV94" s="3136">
        <f t="shared" si="927"/>
        <v>0</v>
      </c>
      <c r="BW94" s="3137"/>
      <c r="BX94" s="3137"/>
      <c r="BY94" s="3136">
        <f t="shared" si="976"/>
        <v>0</v>
      </c>
      <c r="BZ94" s="3136">
        <f t="shared" si="977"/>
        <v>0</v>
      </c>
      <c r="CA94" s="3136">
        <f t="shared" si="978"/>
        <v>0</v>
      </c>
      <c r="CB94" s="3209">
        <f t="shared" si="828"/>
        <v>5548.7836799999995</v>
      </c>
      <c r="CC94" s="3286">
        <f>SUM(стоки!BN38)</f>
        <v>5548.7836799999995</v>
      </c>
      <c r="CD94" s="3286">
        <f>SUM(стоки!BO38)</f>
        <v>0</v>
      </c>
      <c r="CE94" s="3264">
        <f t="shared" si="979"/>
        <v>3269.4100000000003</v>
      </c>
      <c r="CF94" s="3264">
        <f t="shared" si="980"/>
        <v>3269.4100000000003</v>
      </c>
      <c r="CG94" s="3264">
        <f t="shared" si="981"/>
        <v>0</v>
      </c>
      <c r="CH94" s="3264">
        <f t="shared" si="982"/>
        <v>-2279.3736799999992</v>
      </c>
      <c r="CI94" s="3264">
        <f t="shared" si="983"/>
        <v>-2279.3736799999992</v>
      </c>
      <c r="CJ94" s="3264">
        <f t="shared" si="984"/>
        <v>0</v>
      </c>
      <c r="CK94" s="3259"/>
      <c r="CL94" s="3259"/>
      <c r="CM94" s="3259"/>
    </row>
    <row r="95" spans="1:91" ht="18.75" customHeight="1" x14ac:dyDescent="0.3">
      <c r="A95" s="3111" t="s">
        <v>117</v>
      </c>
      <c r="B95" s="3208">
        <f t="shared" si="985"/>
        <v>422.26576022888031</v>
      </c>
      <c r="C95" s="3208">
        <f t="shared" si="986"/>
        <v>422.26576022888031</v>
      </c>
      <c r="D95" s="3208">
        <f t="shared" si="987"/>
        <v>0</v>
      </c>
      <c r="E95" s="3136">
        <f t="shared" si="510"/>
        <v>83.11</v>
      </c>
      <c r="F95" s="3137">
        <v>83.11</v>
      </c>
      <c r="G95" s="3137"/>
      <c r="H95" s="3136">
        <f t="shared" si="755"/>
        <v>104.37</v>
      </c>
      <c r="I95" s="3137">
        <v>104.37</v>
      </c>
      <c r="J95" s="3137"/>
      <c r="K95" s="3136">
        <f t="shared" si="756"/>
        <v>84.48</v>
      </c>
      <c r="L95" s="3137">
        <v>84.48</v>
      </c>
      <c r="M95" s="3137"/>
      <c r="N95" s="3136">
        <f t="shared" si="934"/>
        <v>271.96000000000004</v>
      </c>
      <c r="O95" s="3136">
        <f t="shared" si="935"/>
        <v>271.96000000000004</v>
      </c>
      <c r="P95" s="3136">
        <f t="shared" si="936"/>
        <v>0</v>
      </c>
      <c r="Q95" s="3208">
        <f t="shared" si="860"/>
        <v>422.26576022888031</v>
      </c>
      <c r="R95" s="3208">
        <f t="shared" si="988"/>
        <v>422.26576022888031</v>
      </c>
      <c r="S95" s="3208">
        <f t="shared" si="989"/>
        <v>0</v>
      </c>
      <c r="T95" s="3136">
        <f t="shared" si="911"/>
        <v>87.77</v>
      </c>
      <c r="U95" s="3137">
        <v>87.77</v>
      </c>
      <c r="V95" s="3137"/>
      <c r="W95" s="3136">
        <f t="shared" si="912"/>
        <v>113.49</v>
      </c>
      <c r="X95" s="3137">
        <v>113.49</v>
      </c>
      <c r="Y95" s="3137"/>
      <c r="Z95" s="3136">
        <f t="shared" si="913"/>
        <v>120.61</v>
      </c>
      <c r="AA95" s="3137">
        <v>120.61</v>
      </c>
      <c r="AB95" s="3137"/>
      <c r="AC95" s="3136">
        <f t="shared" si="944"/>
        <v>321.87</v>
      </c>
      <c r="AD95" s="3136">
        <f t="shared" si="945"/>
        <v>321.87</v>
      </c>
      <c r="AE95" s="3136">
        <f t="shared" si="946"/>
        <v>0</v>
      </c>
      <c r="AF95" s="3209">
        <f t="shared" si="424"/>
        <v>844.53152045776062</v>
      </c>
      <c r="AG95" s="3209">
        <f t="shared" si="425"/>
        <v>844.53152045776062</v>
      </c>
      <c r="AH95" s="3209">
        <f t="shared" si="426"/>
        <v>0</v>
      </c>
      <c r="AI95" s="3264">
        <f t="shared" si="947"/>
        <v>593.83000000000004</v>
      </c>
      <c r="AJ95" s="3264">
        <f t="shared" si="948"/>
        <v>593.83000000000004</v>
      </c>
      <c r="AK95" s="3264">
        <f t="shared" si="949"/>
        <v>0</v>
      </c>
      <c r="AL95" s="3264">
        <f t="shared" si="950"/>
        <v>-250.70152045776058</v>
      </c>
      <c r="AM95" s="3264">
        <f t="shared" si="951"/>
        <v>-250.70152045776058</v>
      </c>
      <c r="AN95" s="3264">
        <f t="shared" si="952"/>
        <v>0</v>
      </c>
      <c r="AO95" s="3208">
        <f t="shared" si="990"/>
        <v>422.26576022888031</v>
      </c>
      <c r="AP95" s="3208">
        <f t="shared" si="991"/>
        <v>422.26576022888031</v>
      </c>
      <c r="AQ95" s="3208">
        <f t="shared" si="992"/>
        <v>0</v>
      </c>
      <c r="AR95" s="3136">
        <f t="shared" si="917"/>
        <v>113.37</v>
      </c>
      <c r="AS95" s="3137">
        <v>113.37</v>
      </c>
      <c r="AT95" s="3137"/>
      <c r="AU95" s="3136">
        <f t="shared" si="918"/>
        <v>106.64</v>
      </c>
      <c r="AV95" s="3137">
        <v>106.64</v>
      </c>
      <c r="AW95" s="3137"/>
      <c r="AX95" s="3136">
        <f t="shared" si="919"/>
        <v>181.77</v>
      </c>
      <c r="AY95" s="3137">
        <v>181.77</v>
      </c>
      <c r="AZ95" s="3137"/>
      <c r="BA95" s="3136">
        <f t="shared" si="960"/>
        <v>401.78</v>
      </c>
      <c r="BB95" s="3136">
        <f t="shared" si="961"/>
        <v>401.78</v>
      </c>
      <c r="BC95" s="3136">
        <f t="shared" si="962"/>
        <v>0</v>
      </c>
      <c r="BD95" s="3209">
        <f t="shared" si="920"/>
        <v>1266.797280686641</v>
      </c>
      <c r="BE95" s="3209">
        <f t="shared" si="921"/>
        <v>1266.797280686641</v>
      </c>
      <c r="BF95" s="3209">
        <f t="shared" si="922"/>
        <v>0</v>
      </c>
      <c r="BG95" s="3264">
        <f t="shared" si="963"/>
        <v>995.61</v>
      </c>
      <c r="BH95" s="3264">
        <f t="shared" si="964"/>
        <v>995.61</v>
      </c>
      <c r="BI95" s="3264">
        <f t="shared" si="965"/>
        <v>0</v>
      </c>
      <c r="BJ95" s="3264">
        <f t="shared" si="966"/>
        <v>-271.18728068664097</v>
      </c>
      <c r="BK95" s="3264">
        <f t="shared" si="967"/>
        <v>-271.18728068664097</v>
      </c>
      <c r="BL95" s="3264">
        <f t="shared" si="968"/>
        <v>0</v>
      </c>
      <c r="BM95" s="3208">
        <f t="shared" si="996"/>
        <v>422.26576022888031</v>
      </c>
      <c r="BN95" s="3208">
        <f t="shared" si="997"/>
        <v>422.26576022888031</v>
      </c>
      <c r="BO95" s="3208">
        <f t="shared" si="998"/>
        <v>0</v>
      </c>
      <c r="BP95" s="3136">
        <f t="shared" si="925"/>
        <v>0</v>
      </c>
      <c r="BQ95" s="3137"/>
      <c r="BR95" s="3137"/>
      <c r="BS95" s="3136">
        <f t="shared" si="926"/>
        <v>0</v>
      </c>
      <c r="BT95" s="3137"/>
      <c r="BU95" s="3137"/>
      <c r="BV95" s="3136">
        <f t="shared" si="927"/>
        <v>0</v>
      </c>
      <c r="BW95" s="3137"/>
      <c r="BX95" s="3137"/>
      <c r="BY95" s="3136">
        <f t="shared" si="976"/>
        <v>0</v>
      </c>
      <c r="BZ95" s="3136">
        <f t="shared" si="977"/>
        <v>0</v>
      </c>
      <c r="CA95" s="3136">
        <f t="shared" si="978"/>
        <v>0</v>
      </c>
      <c r="CB95" s="3209">
        <f t="shared" si="828"/>
        <v>1689.0630409155212</v>
      </c>
      <c r="CC95" s="3286">
        <f>SUM(стоки!BN39)</f>
        <v>1689.0630409155212</v>
      </c>
      <c r="CD95" s="3286">
        <f>SUM(стоки!BO39)</f>
        <v>0</v>
      </c>
      <c r="CE95" s="3264">
        <f t="shared" si="979"/>
        <v>995.61</v>
      </c>
      <c r="CF95" s="3264">
        <f t="shared" si="980"/>
        <v>995.61</v>
      </c>
      <c r="CG95" s="3264">
        <f t="shared" si="981"/>
        <v>0</v>
      </c>
      <c r="CH95" s="3264">
        <f t="shared" si="982"/>
        <v>-693.45304091552123</v>
      </c>
      <c r="CI95" s="3264">
        <f t="shared" si="983"/>
        <v>-693.45304091552123</v>
      </c>
      <c r="CJ95" s="3264">
        <f t="shared" si="984"/>
        <v>0</v>
      </c>
      <c r="CK95" s="3259"/>
      <c r="CL95" s="3259"/>
      <c r="CM95" s="3259"/>
    </row>
    <row r="96" spans="1:91" ht="18.75" customHeight="1" x14ac:dyDescent="0.3">
      <c r="A96" s="3081" t="str">
        <f>A75</f>
        <v>то же в %</v>
      </c>
      <c r="B96" s="3139">
        <f t="shared" ref="B96:D96" si="999">SUM(B95/B94)</f>
        <v>0.30440239488945464</v>
      </c>
      <c r="C96" s="3139">
        <f t="shared" si="999"/>
        <v>0.30440239488945464</v>
      </c>
      <c r="D96" s="3139" t="e">
        <f t="shared" si="999"/>
        <v>#DIV/0!</v>
      </c>
      <c r="E96" s="3139">
        <f>SUM(E95/E94)</f>
        <v>0.3043876355112804</v>
      </c>
      <c r="F96" s="3139">
        <f t="shared" ref="F96:P96" si="1000">SUM(F95/F94)</f>
        <v>0.3043876355112804</v>
      </c>
      <c r="G96" s="3139" t="e">
        <f t="shared" si="1000"/>
        <v>#DIV/0!</v>
      </c>
      <c r="H96" s="3139">
        <f>SUM(H95/H94)</f>
        <v>0.30038854511440499</v>
      </c>
      <c r="I96" s="3139">
        <f t="shared" ref="I96" si="1001">SUM(I95/I94)</f>
        <v>0.30038854511440499</v>
      </c>
      <c r="J96" s="3139" t="e">
        <f t="shared" ref="J96" si="1002">SUM(J95/J94)</f>
        <v>#DIV/0!</v>
      </c>
      <c r="K96" s="3139">
        <f>SUM(K95/K94)</f>
        <v>0.30816371197198517</v>
      </c>
      <c r="L96" s="3139">
        <f t="shared" ref="L96" si="1003">SUM(L95/L94)</f>
        <v>0.30816371197198517</v>
      </c>
      <c r="M96" s="3139" t="e">
        <f t="shared" ref="M96" si="1004">SUM(M95/M94)</f>
        <v>#DIV/0!</v>
      </c>
      <c r="N96" s="3139">
        <f t="shared" si="1000"/>
        <v>0.30399159429037709</v>
      </c>
      <c r="O96" s="3139">
        <f t="shared" si="1000"/>
        <v>0.30399159429037709</v>
      </c>
      <c r="P96" s="3139" t="e">
        <f t="shared" si="1000"/>
        <v>#DIV/0!</v>
      </c>
      <c r="Q96" s="3139">
        <f t="shared" ref="Q96:S96" si="1005">SUM(Q95/Q94)</f>
        <v>0.30440239488945464</v>
      </c>
      <c r="R96" s="3139">
        <f t="shared" si="1005"/>
        <v>0.30440239488945464</v>
      </c>
      <c r="S96" s="3139" t="e">
        <f t="shared" si="1005"/>
        <v>#DIV/0!</v>
      </c>
      <c r="T96" s="3139">
        <f>SUM(T95/T94)</f>
        <v>0.30738250332702943</v>
      </c>
      <c r="U96" s="3139">
        <f t="shared" ref="U96" si="1006">SUM(U95/U94)</f>
        <v>0.30738250332702943</v>
      </c>
      <c r="V96" s="3139" t="e">
        <f t="shared" ref="V96" si="1007">SUM(V95/V94)</f>
        <v>#DIV/0!</v>
      </c>
      <c r="W96" s="3139">
        <f>SUM(W95/W94)</f>
        <v>0.30744433006447419</v>
      </c>
      <c r="X96" s="3139">
        <f t="shared" ref="X96" si="1008">SUM(X95/X94)</f>
        <v>0.30744433006447419</v>
      </c>
      <c r="Y96" s="3139" t="e">
        <f t="shared" ref="Y96" si="1009">SUM(Y95/Y94)</f>
        <v>#DIV/0!</v>
      </c>
      <c r="Z96" s="3139">
        <f>SUM(Z95/Z94)</f>
        <v>0.29277824978759559</v>
      </c>
      <c r="AA96" s="3139">
        <f t="shared" ref="AA96" si="1010">SUM(AA95/AA94)</f>
        <v>0.29277824978759559</v>
      </c>
      <c r="AB96" s="3139" t="e">
        <f t="shared" ref="AB96" si="1011">SUM(AB95/AB94)</f>
        <v>#DIV/0!</v>
      </c>
      <c r="AC96" s="3139" t="e">
        <f t="shared" si="944"/>
        <v>#DIV/0!</v>
      </c>
      <c r="AD96" s="3139">
        <f t="shared" si="945"/>
        <v>0.90760508317909927</v>
      </c>
      <c r="AE96" s="3139" t="e">
        <f t="shared" si="946"/>
        <v>#DIV/0!</v>
      </c>
      <c r="AF96" s="3140">
        <f t="shared" ref="AF96:AK96" si="1012">SUM(AF95/AF94)</f>
        <v>0.30440239488945464</v>
      </c>
      <c r="AG96" s="3140">
        <f t="shared" si="1012"/>
        <v>0.30440239488945464</v>
      </c>
      <c r="AH96" s="3140" t="e">
        <f t="shared" si="1012"/>
        <v>#DIV/0!</v>
      </c>
      <c r="AI96" s="3140">
        <f t="shared" si="1012"/>
        <v>0.30277984560945514</v>
      </c>
      <c r="AJ96" s="3140">
        <f t="shared" si="1012"/>
        <v>0.30277984560945514</v>
      </c>
      <c r="AK96" s="3140" t="e">
        <f t="shared" si="1012"/>
        <v>#DIV/0!</v>
      </c>
      <c r="AL96" s="3194">
        <f t="shared" si="950"/>
        <v>-1.6225492799994967E-3</v>
      </c>
      <c r="AM96" s="3194">
        <f t="shared" si="951"/>
        <v>-1.6225492799994967E-3</v>
      </c>
      <c r="AN96" s="3194" t="e">
        <f t="shared" si="952"/>
        <v>#DIV/0!</v>
      </c>
      <c r="AO96" s="3139">
        <f t="shared" ref="AO96:AQ96" si="1013">SUM(AO95/AO94)</f>
        <v>0.30440239488945464</v>
      </c>
      <c r="AP96" s="3139">
        <f t="shared" si="1013"/>
        <v>0.30440239488945464</v>
      </c>
      <c r="AQ96" s="3139" t="e">
        <f t="shared" si="1013"/>
        <v>#DIV/0!</v>
      </c>
      <c r="AR96" s="3139">
        <f>SUM(AR95/AR94)</f>
        <v>0.30709429260232413</v>
      </c>
      <c r="AS96" s="3139">
        <f t="shared" ref="AS96" si="1014">SUM(AS95/AS94)</f>
        <v>0.30709429260232413</v>
      </c>
      <c r="AT96" s="3139" t="e">
        <f t="shared" ref="AT96" si="1015">SUM(AT95/AT94)</f>
        <v>#DIV/0!</v>
      </c>
      <c r="AU96" s="3139">
        <f>SUM(AU95/AU94)</f>
        <v>0.30693069306930693</v>
      </c>
      <c r="AV96" s="3139">
        <f t="shared" ref="AV96" si="1016">SUM(AV95/AV94)</f>
        <v>0.30693069306930693</v>
      </c>
      <c r="AW96" s="3139" t="e">
        <f t="shared" ref="AW96" si="1017">SUM(AW95/AW94)</f>
        <v>#DIV/0!</v>
      </c>
      <c r="AX96" s="3139">
        <f>SUM(AX95/AX94)</f>
        <v>0.30728268587077801</v>
      </c>
      <c r="AY96" s="3139">
        <f t="shared" ref="AY96" si="1018">SUM(AY95/AY94)</f>
        <v>0.30728268587077801</v>
      </c>
      <c r="AZ96" s="3139" t="e">
        <f t="shared" ref="AZ96" si="1019">SUM(AZ95/AZ94)</f>
        <v>#DIV/0!</v>
      </c>
      <c r="BA96" s="3139" t="e">
        <f t="shared" si="960"/>
        <v>#DIV/0!</v>
      </c>
      <c r="BB96" s="3139">
        <f t="shared" si="961"/>
        <v>0.92130767154240911</v>
      </c>
      <c r="BC96" s="3139" t="e">
        <f t="shared" si="962"/>
        <v>#DIV/0!</v>
      </c>
      <c r="BD96" s="3140">
        <f t="shared" ref="BD96:BF96" si="1020">SUM(BD95/BD94)</f>
        <v>0.3044023948894547</v>
      </c>
      <c r="BE96" s="3140">
        <f t="shared" si="1020"/>
        <v>0.3044023948894547</v>
      </c>
      <c r="BF96" s="3140" t="e">
        <f t="shared" si="1020"/>
        <v>#DIV/0!</v>
      </c>
      <c r="BG96" s="3140">
        <f>SUM(BG95/BG94)</f>
        <v>0.30452283439519667</v>
      </c>
      <c r="BH96" s="3140">
        <f t="shared" ref="BH96:BI96" si="1021">SUM(BH95/BH94)</f>
        <v>0.30452283439519667</v>
      </c>
      <c r="BI96" s="3140" t="e">
        <f t="shared" si="1021"/>
        <v>#DIV/0!</v>
      </c>
      <c r="BJ96" s="3194">
        <f t="shared" si="966"/>
        <v>1.2043950574197604E-4</v>
      </c>
      <c r="BK96" s="3194">
        <f t="shared" si="967"/>
        <v>1.2043950574197604E-4</v>
      </c>
      <c r="BL96" s="3194" t="e">
        <f t="shared" si="968"/>
        <v>#DIV/0!</v>
      </c>
      <c r="BM96" s="3139">
        <f t="shared" ref="BM96:BO96" si="1022">SUM(BM95/BM94)</f>
        <v>0.30440239488945464</v>
      </c>
      <c r="BN96" s="3139">
        <f t="shared" si="1022"/>
        <v>0.30440239488945464</v>
      </c>
      <c r="BO96" s="3139" t="e">
        <f t="shared" si="1022"/>
        <v>#DIV/0!</v>
      </c>
      <c r="BP96" s="3139" t="e">
        <f>SUM(BP95/BP94)</f>
        <v>#DIV/0!</v>
      </c>
      <c r="BQ96" s="3139" t="e">
        <f t="shared" ref="BQ96" si="1023">SUM(BQ95/BQ94)</f>
        <v>#DIV/0!</v>
      </c>
      <c r="BR96" s="3139" t="e">
        <f t="shared" ref="BR96" si="1024">SUM(BR95/BR94)</f>
        <v>#DIV/0!</v>
      </c>
      <c r="BS96" s="3139" t="e">
        <f>SUM(BS95/BS94)</f>
        <v>#DIV/0!</v>
      </c>
      <c r="BT96" s="3139" t="e">
        <f t="shared" ref="BT96" si="1025">SUM(BT95/BT94)</f>
        <v>#DIV/0!</v>
      </c>
      <c r="BU96" s="3139" t="e">
        <f t="shared" ref="BU96" si="1026">SUM(BU95/BU94)</f>
        <v>#DIV/0!</v>
      </c>
      <c r="BV96" s="3139" t="e">
        <f>SUM(BV95/BV94)</f>
        <v>#DIV/0!</v>
      </c>
      <c r="BW96" s="3139" t="e">
        <f t="shared" ref="BW96" si="1027">SUM(BW95/BW94)</f>
        <v>#DIV/0!</v>
      </c>
      <c r="BX96" s="3139" t="e">
        <f t="shared" ref="BX96" si="1028">SUM(BX95/BX94)</f>
        <v>#DIV/0!</v>
      </c>
      <c r="BY96" s="3139" t="e">
        <f t="shared" si="976"/>
        <v>#DIV/0!</v>
      </c>
      <c r="BZ96" s="3139" t="e">
        <f t="shared" si="977"/>
        <v>#DIV/0!</v>
      </c>
      <c r="CA96" s="3139" t="e">
        <f t="shared" si="978"/>
        <v>#DIV/0!</v>
      </c>
      <c r="CB96" s="3140">
        <f t="shared" ref="CB96:CG96" si="1029">SUM(CB95/CB94)</f>
        <v>0.30440239488945464</v>
      </c>
      <c r="CC96" s="3140">
        <f t="shared" si="1029"/>
        <v>0.30440239488945464</v>
      </c>
      <c r="CD96" s="3140" t="e">
        <f t="shared" si="1029"/>
        <v>#DIV/0!</v>
      </c>
      <c r="CE96" s="3140">
        <f t="shared" si="1029"/>
        <v>0.30452283439519667</v>
      </c>
      <c r="CF96" s="3140">
        <f t="shared" si="1029"/>
        <v>0.30452283439519667</v>
      </c>
      <c r="CG96" s="3140" t="e">
        <f t="shared" si="1029"/>
        <v>#DIV/0!</v>
      </c>
      <c r="CH96" s="3194">
        <f t="shared" si="982"/>
        <v>1.2043950574203155E-4</v>
      </c>
      <c r="CI96" s="3194">
        <f t="shared" si="983"/>
        <v>1.2043950574203155E-4</v>
      </c>
      <c r="CJ96" s="3194" t="e">
        <f t="shared" si="984"/>
        <v>#DIV/0!</v>
      </c>
      <c r="CK96" s="3259"/>
      <c r="CL96" s="3259"/>
      <c r="CM96" s="3259"/>
    </row>
    <row r="97" spans="1:91" ht="18.75" customHeight="1" x14ac:dyDescent="0.3">
      <c r="A97" s="3158" t="s">
        <v>3590</v>
      </c>
      <c r="B97" s="3207">
        <f t="shared" si="985"/>
        <v>785.83815000000004</v>
      </c>
      <c r="C97" s="3251">
        <f t="shared" ref="C97:D97" si="1030">SUM(C98:C102)+C104</f>
        <v>785.83815000000004</v>
      </c>
      <c r="D97" s="3251">
        <f t="shared" si="1030"/>
        <v>0</v>
      </c>
      <c r="E97" s="3156">
        <f t="shared" si="510"/>
        <v>244.05</v>
      </c>
      <c r="F97" s="3156">
        <f t="shared" ref="F97:G97" si="1031">SUM(F98:F102)+F104</f>
        <v>244.05</v>
      </c>
      <c r="G97" s="3156">
        <f t="shared" si="1031"/>
        <v>0</v>
      </c>
      <c r="H97" s="3156">
        <f t="shared" ref="H97:H120" si="1032">SUM(I97:J97)</f>
        <v>192.70000000000002</v>
      </c>
      <c r="I97" s="3156">
        <f t="shared" ref="I97" si="1033">SUM(I98:I102)+I104</f>
        <v>192.70000000000002</v>
      </c>
      <c r="J97" s="3156">
        <f t="shared" ref="J97" si="1034">SUM(J98:J102)+J104</f>
        <v>0</v>
      </c>
      <c r="K97" s="3156">
        <f t="shared" ref="K97:K120" si="1035">SUM(L97:M97)</f>
        <v>276.96000000000004</v>
      </c>
      <c r="L97" s="3156">
        <f t="shared" ref="L97" si="1036">SUM(L98:L102)+L104</f>
        <v>276.96000000000004</v>
      </c>
      <c r="M97" s="3156">
        <f t="shared" ref="M97" si="1037">SUM(M98:M102)+M104</f>
        <v>0</v>
      </c>
      <c r="N97" s="3156">
        <f t="shared" ref="N97:N106" si="1038">SUM(O97:P97)</f>
        <v>713.71</v>
      </c>
      <c r="O97" s="3156">
        <f t="shared" ref="O97:O106" si="1039">SUM(F97+I97+L97)</f>
        <v>713.71</v>
      </c>
      <c r="P97" s="3156">
        <f t="shared" ref="P97:P106" si="1040">SUM(G97+J97+M97)</f>
        <v>0</v>
      </c>
      <c r="Q97" s="3207">
        <f t="shared" si="860"/>
        <v>785.83815000000004</v>
      </c>
      <c r="R97" s="3251">
        <f t="shared" ref="R97:S97" si="1041">SUM(R98:R102)+R104</f>
        <v>785.83815000000004</v>
      </c>
      <c r="S97" s="3251">
        <f t="shared" si="1041"/>
        <v>0</v>
      </c>
      <c r="T97" s="3156">
        <f t="shared" ref="T97:T120" si="1042">SUM(U97:V97)</f>
        <v>223.81</v>
      </c>
      <c r="U97" s="3156">
        <f t="shared" ref="U97" si="1043">SUM(U98:U102)+U104</f>
        <v>223.81</v>
      </c>
      <c r="V97" s="3156">
        <f t="shared" ref="V97" si="1044">SUM(V98:V102)+V104</f>
        <v>0</v>
      </c>
      <c r="W97" s="3156">
        <f t="shared" ref="W97:W120" si="1045">SUM(X97:Y97)</f>
        <v>201.19</v>
      </c>
      <c r="X97" s="3156">
        <f t="shared" ref="X97" si="1046">SUM(X98:X102)+X104</f>
        <v>201.19</v>
      </c>
      <c r="Y97" s="3156">
        <f t="shared" ref="Y97" si="1047">SUM(Y98:Y102)+Y104</f>
        <v>0</v>
      </c>
      <c r="Z97" s="3156">
        <f t="shared" ref="Z97:Z120" si="1048">SUM(AA97:AB97)</f>
        <v>175.09</v>
      </c>
      <c r="AA97" s="3156">
        <f t="shared" ref="AA97" si="1049">SUM(AA98:AA102)+AA104</f>
        <v>175.09</v>
      </c>
      <c r="AB97" s="3156">
        <f t="shared" ref="AB97" si="1050">SUM(AB98:AB102)+AB104</f>
        <v>0</v>
      </c>
      <c r="AC97" s="3156">
        <f t="shared" si="944"/>
        <v>600.09</v>
      </c>
      <c r="AD97" s="3156">
        <f t="shared" si="945"/>
        <v>600.09</v>
      </c>
      <c r="AE97" s="3156">
        <f t="shared" si="946"/>
        <v>0</v>
      </c>
      <c r="AF97" s="3206">
        <f t="shared" si="424"/>
        <v>1571.6763000000001</v>
      </c>
      <c r="AG97" s="3206">
        <f t="shared" si="425"/>
        <v>1571.6763000000001</v>
      </c>
      <c r="AH97" s="3206">
        <f t="shared" si="426"/>
        <v>0</v>
      </c>
      <c r="AI97" s="3193">
        <f t="shared" ref="AI97:AI106" si="1051">SUM(AC97+N97)</f>
        <v>1313.8000000000002</v>
      </c>
      <c r="AJ97" s="3193">
        <f t="shared" ref="AJ97:AJ106" si="1052">SUM(AD97+O97)</f>
        <v>1313.8000000000002</v>
      </c>
      <c r="AK97" s="3193">
        <f t="shared" ref="AK97:AK106" si="1053">SUM(AE97+P97)</f>
        <v>0</v>
      </c>
      <c r="AL97" s="3193">
        <f t="shared" si="950"/>
        <v>-257.8762999999999</v>
      </c>
      <c r="AM97" s="3193">
        <f t="shared" si="951"/>
        <v>-257.8762999999999</v>
      </c>
      <c r="AN97" s="3193">
        <f t="shared" si="952"/>
        <v>0</v>
      </c>
      <c r="AO97" s="3207">
        <f t="shared" si="990"/>
        <v>785.83815000000004</v>
      </c>
      <c r="AP97" s="3251">
        <f t="shared" ref="AP97:AQ97" si="1054">SUM(AP98:AP102)+AP104</f>
        <v>785.83815000000004</v>
      </c>
      <c r="AQ97" s="3251">
        <f t="shared" si="1054"/>
        <v>0</v>
      </c>
      <c r="AR97" s="3156">
        <f t="shared" ref="AR97:AR120" si="1055">SUM(AS97:AT97)</f>
        <v>251.56000000000006</v>
      </c>
      <c r="AS97" s="3156">
        <f t="shared" ref="AS97" si="1056">SUM(AS98:AS102)+AS104</f>
        <v>251.56000000000006</v>
      </c>
      <c r="AT97" s="3156">
        <f t="shared" ref="AT97" si="1057">SUM(AT98:AT102)+AT104</f>
        <v>0</v>
      </c>
      <c r="AU97" s="3156">
        <f t="shared" ref="AU97:AU120" si="1058">SUM(AV97:AW97)</f>
        <v>218.05999999999997</v>
      </c>
      <c r="AV97" s="3156">
        <f t="shared" ref="AV97" si="1059">SUM(AV98:AV102)+AV104</f>
        <v>218.05999999999997</v>
      </c>
      <c r="AW97" s="3156">
        <f t="shared" ref="AW97" si="1060">SUM(AW98:AW102)+AW104</f>
        <v>0</v>
      </c>
      <c r="AX97" s="3156">
        <f t="shared" ref="AX97:AX120" si="1061">SUM(AY97:AZ97)</f>
        <v>269.14000000000004</v>
      </c>
      <c r="AY97" s="3156">
        <f t="shared" ref="AY97" si="1062">SUM(AY98:AY102)+AY104</f>
        <v>269.14000000000004</v>
      </c>
      <c r="AZ97" s="3156">
        <f t="shared" ref="AZ97" si="1063">SUM(AZ98:AZ102)+AZ104</f>
        <v>0</v>
      </c>
      <c r="BA97" s="3156">
        <f t="shared" si="960"/>
        <v>738.76</v>
      </c>
      <c r="BB97" s="3156">
        <f t="shared" si="961"/>
        <v>738.76</v>
      </c>
      <c r="BC97" s="3156">
        <f t="shared" si="962"/>
        <v>0</v>
      </c>
      <c r="BD97" s="3206">
        <f t="shared" si="920"/>
        <v>2357.5144500000001</v>
      </c>
      <c r="BE97" s="3206">
        <f t="shared" si="921"/>
        <v>2357.5144500000001</v>
      </c>
      <c r="BF97" s="3206">
        <f t="shared" si="922"/>
        <v>0</v>
      </c>
      <c r="BG97" s="3193">
        <f t="shared" ref="BG97:BG106" si="1064">SUM(AI97+BA97)</f>
        <v>2052.5600000000004</v>
      </c>
      <c r="BH97" s="3193">
        <f t="shared" ref="BH97:BH106" si="1065">SUM(AJ97+BB97)</f>
        <v>2052.5600000000004</v>
      </c>
      <c r="BI97" s="3193">
        <f t="shared" ref="BI97:BI106" si="1066">SUM(AK97+BC97)</f>
        <v>0</v>
      </c>
      <c r="BJ97" s="3193">
        <f t="shared" si="966"/>
        <v>-304.95444999999972</v>
      </c>
      <c r="BK97" s="3193">
        <f t="shared" si="967"/>
        <v>-304.95444999999972</v>
      </c>
      <c r="BL97" s="3193">
        <f t="shared" si="968"/>
        <v>0</v>
      </c>
      <c r="BM97" s="3207">
        <f t="shared" si="996"/>
        <v>785.83815000000004</v>
      </c>
      <c r="BN97" s="3251">
        <f t="shared" ref="BN97:BO97" si="1067">SUM(BN98:BN102)+BN104</f>
        <v>785.83815000000004</v>
      </c>
      <c r="BO97" s="3251">
        <f t="shared" si="1067"/>
        <v>0</v>
      </c>
      <c r="BP97" s="3156">
        <f t="shared" ref="BP97:BP120" si="1068">SUM(BQ97:BR97)</f>
        <v>0</v>
      </c>
      <c r="BQ97" s="3156">
        <f t="shared" ref="BQ97" si="1069">SUM(BQ98:BQ102)+BQ104</f>
        <v>0</v>
      </c>
      <c r="BR97" s="3156">
        <f t="shared" ref="BR97" si="1070">SUM(BR98:BR102)+BR104</f>
        <v>0</v>
      </c>
      <c r="BS97" s="3156">
        <f t="shared" ref="BS97:BS120" si="1071">SUM(BT97:BU97)</f>
        <v>0</v>
      </c>
      <c r="BT97" s="3156">
        <f t="shared" ref="BT97" si="1072">SUM(BT98:BT102)+BT104</f>
        <v>0</v>
      </c>
      <c r="BU97" s="3156">
        <f t="shared" ref="BU97" si="1073">SUM(BU98:BU102)+BU104</f>
        <v>0</v>
      </c>
      <c r="BV97" s="3156">
        <f t="shared" ref="BV97:BV120" si="1074">SUM(BW97:BX97)</f>
        <v>0</v>
      </c>
      <c r="BW97" s="3156">
        <f t="shared" ref="BW97" si="1075">SUM(BW98:BW102)+BW104</f>
        <v>0</v>
      </c>
      <c r="BX97" s="3156">
        <f t="shared" ref="BX97" si="1076">SUM(BX98:BX102)+BX104</f>
        <v>0</v>
      </c>
      <c r="BY97" s="3156">
        <f t="shared" si="976"/>
        <v>0</v>
      </c>
      <c r="BZ97" s="3156">
        <f t="shared" si="977"/>
        <v>0</v>
      </c>
      <c r="CA97" s="3156">
        <f t="shared" si="978"/>
        <v>0</v>
      </c>
      <c r="CB97" s="3206">
        <f t="shared" si="828"/>
        <v>3143.3525997466791</v>
      </c>
      <c r="CC97" s="3285">
        <f>SUM(стоки!BN41)</f>
        <v>3143.3525997466791</v>
      </c>
      <c r="CD97" s="3285">
        <f>SUM(стоки!BO41)</f>
        <v>0</v>
      </c>
      <c r="CE97" s="3193">
        <f t="shared" ref="CE97:CE106" si="1077">SUM(BY97+BG97)</f>
        <v>2052.5600000000004</v>
      </c>
      <c r="CF97" s="3193">
        <f t="shared" ref="CF97:CF106" si="1078">SUM(BZ97+BH97)</f>
        <v>2052.5600000000004</v>
      </c>
      <c r="CG97" s="3193">
        <f t="shared" ref="CG97:CG106" si="1079">SUM(CA97+BI97)</f>
        <v>0</v>
      </c>
      <c r="CH97" s="3193">
        <f t="shared" si="982"/>
        <v>-1090.7925997466787</v>
      </c>
      <c r="CI97" s="3193">
        <f t="shared" si="983"/>
        <v>-1090.7925997466787</v>
      </c>
      <c r="CJ97" s="3193">
        <f t="shared" si="984"/>
        <v>0</v>
      </c>
      <c r="CK97" s="3261"/>
      <c r="CL97" s="3261"/>
      <c r="CM97" s="3261"/>
    </row>
    <row r="98" spans="1:91" ht="18.75" customHeight="1" x14ac:dyDescent="0.3">
      <c r="A98" s="3172" t="s">
        <v>72</v>
      </c>
      <c r="B98" s="3208">
        <f t="shared" ref="B98:B102" si="1080">SUM(C98:D98)</f>
        <v>523.74249999999995</v>
      </c>
      <c r="C98" s="3208">
        <f t="shared" ref="C98:C101" si="1081">SUM(CC98/4)</f>
        <v>523.74249999999995</v>
      </c>
      <c r="D98" s="3208">
        <f t="shared" ref="D98:D101" si="1082">SUM(CD98/4)</f>
        <v>0</v>
      </c>
      <c r="E98" s="3136">
        <f t="shared" si="510"/>
        <v>167.27</v>
      </c>
      <c r="F98" s="3137">
        <v>167.27</v>
      </c>
      <c r="G98" s="3137"/>
      <c r="H98" s="3136">
        <f t="shared" si="1032"/>
        <v>126.97</v>
      </c>
      <c r="I98" s="3137">
        <v>126.97</v>
      </c>
      <c r="J98" s="3137"/>
      <c r="K98" s="3136">
        <f t="shared" si="1035"/>
        <v>178.88</v>
      </c>
      <c r="L98" s="3137">
        <v>178.88</v>
      </c>
      <c r="M98" s="3137"/>
      <c r="N98" s="3136">
        <f t="shared" si="1038"/>
        <v>473.12</v>
      </c>
      <c r="O98" s="3136">
        <f t="shared" si="1039"/>
        <v>473.12</v>
      </c>
      <c r="P98" s="3136">
        <f t="shared" si="1040"/>
        <v>0</v>
      </c>
      <c r="Q98" s="3208">
        <f t="shared" ref="Q98:Q107" si="1083">SUM(R98:S98)</f>
        <v>523.74249999999995</v>
      </c>
      <c r="R98" s="3208">
        <f t="shared" ref="R98:R101" si="1084">SUM(C98)</f>
        <v>523.74249999999995</v>
      </c>
      <c r="S98" s="3208">
        <f t="shared" ref="S98:S101" si="1085">SUM(D98)</f>
        <v>0</v>
      </c>
      <c r="T98" s="3136">
        <f t="shared" si="1042"/>
        <v>131.81</v>
      </c>
      <c r="U98" s="3137">
        <v>131.81</v>
      </c>
      <c r="V98" s="3137"/>
      <c r="W98" s="3136">
        <f t="shared" si="1045"/>
        <v>132.66</v>
      </c>
      <c r="X98" s="3137">
        <v>132.66</v>
      </c>
      <c r="Y98" s="3137"/>
      <c r="Z98" s="3136">
        <f t="shared" si="1048"/>
        <v>111.33</v>
      </c>
      <c r="AA98" s="3137">
        <v>111.33</v>
      </c>
      <c r="AB98" s="3137"/>
      <c r="AC98" s="3136">
        <f t="shared" si="944"/>
        <v>375.8</v>
      </c>
      <c r="AD98" s="3136">
        <f t="shared" si="945"/>
        <v>375.8</v>
      </c>
      <c r="AE98" s="3136">
        <f t="shared" si="946"/>
        <v>0</v>
      </c>
      <c r="AF98" s="3209">
        <f t="shared" si="424"/>
        <v>1047.4849999999999</v>
      </c>
      <c r="AG98" s="3209">
        <f t="shared" si="425"/>
        <v>1047.4849999999999</v>
      </c>
      <c r="AH98" s="3209">
        <f t="shared" si="426"/>
        <v>0</v>
      </c>
      <c r="AI98" s="3264">
        <f t="shared" si="1051"/>
        <v>848.92000000000007</v>
      </c>
      <c r="AJ98" s="3264">
        <f t="shared" si="1052"/>
        <v>848.92000000000007</v>
      </c>
      <c r="AK98" s="3264">
        <f t="shared" si="1053"/>
        <v>0</v>
      </c>
      <c r="AL98" s="3264">
        <f t="shared" si="950"/>
        <v>-198.56499999999983</v>
      </c>
      <c r="AM98" s="3264">
        <f t="shared" si="951"/>
        <v>-198.56499999999983</v>
      </c>
      <c r="AN98" s="3264">
        <f t="shared" si="952"/>
        <v>0</v>
      </c>
      <c r="AO98" s="3208">
        <f t="shared" ref="AO98:AO105" si="1086">SUM(AP98:AQ98)</f>
        <v>523.74249999999995</v>
      </c>
      <c r="AP98" s="3208">
        <f t="shared" ref="AP98:AP101" si="1087">SUM(CC98-AG98)/2</f>
        <v>523.74249999999995</v>
      </c>
      <c r="AQ98" s="3208">
        <f t="shared" ref="AQ98:AQ101" si="1088">SUM(CD98-AH98)/2</f>
        <v>0</v>
      </c>
      <c r="AR98" s="3136">
        <f t="shared" si="1055"/>
        <v>112.89</v>
      </c>
      <c r="AS98" s="3137">
        <v>112.89</v>
      </c>
      <c r="AT98" s="3137"/>
      <c r="AU98" s="3136">
        <f t="shared" si="1058"/>
        <v>96.53</v>
      </c>
      <c r="AV98" s="3137">
        <v>96.53</v>
      </c>
      <c r="AW98" s="3137"/>
      <c r="AX98" s="3136">
        <f t="shared" si="1061"/>
        <v>155.01</v>
      </c>
      <c r="AY98" s="3137">
        <v>155.01</v>
      </c>
      <c r="AZ98" s="3137"/>
      <c r="BA98" s="3136">
        <f t="shared" si="960"/>
        <v>364.43</v>
      </c>
      <c r="BB98" s="3136">
        <f t="shared" si="961"/>
        <v>364.43</v>
      </c>
      <c r="BC98" s="3136">
        <f t="shared" si="962"/>
        <v>0</v>
      </c>
      <c r="BD98" s="3209">
        <f t="shared" si="920"/>
        <v>1571.2275</v>
      </c>
      <c r="BE98" s="3209">
        <f t="shared" si="921"/>
        <v>1571.2275</v>
      </c>
      <c r="BF98" s="3209">
        <f t="shared" si="922"/>
        <v>0</v>
      </c>
      <c r="BG98" s="3264">
        <f t="shared" si="1064"/>
        <v>1213.3500000000001</v>
      </c>
      <c r="BH98" s="3264">
        <f t="shared" si="1065"/>
        <v>1213.3500000000001</v>
      </c>
      <c r="BI98" s="3264">
        <f t="shared" si="1066"/>
        <v>0</v>
      </c>
      <c r="BJ98" s="3264">
        <f t="shared" si="966"/>
        <v>-357.87749999999983</v>
      </c>
      <c r="BK98" s="3264">
        <f t="shared" si="967"/>
        <v>-357.87749999999983</v>
      </c>
      <c r="BL98" s="3264">
        <f t="shared" si="968"/>
        <v>0</v>
      </c>
      <c r="BM98" s="3208">
        <f t="shared" ref="BM98:BM102" si="1089">SUM(BN98:BO98)</f>
        <v>523.74249999999995</v>
      </c>
      <c r="BN98" s="3208">
        <f t="shared" ref="BN98:BN101" si="1090">SUM(AP98)</f>
        <v>523.74249999999995</v>
      </c>
      <c r="BO98" s="3208">
        <f t="shared" ref="BO98:BO101" si="1091">SUM(AQ98)</f>
        <v>0</v>
      </c>
      <c r="BP98" s="3136">
        <f t="shared" si="1068"/>
        <v>0</v>
      </c>
      <c r="BQ98" s="3137"/>
      <c r="BR98" s="3137"/>
      <c r="BS98" s="3136">
        <f t="shared" si="1071"/>
        <v>0</v>
      </c>
      <c r="BT98" s="3137"/>
      <c r="BU98" s="3137"/>
      <c r="BV98" s="3136">
        <f t="shared" si="1074"/>
        <v>0</v>
      </c>
      <c r="BW98" s="3137"/>
      <c r="BX98" s="3137"/>
      <c r="BY98" s="3136">
        <f t="shared" si="976"/>
        <v>0</v>
      </c>
      <c r="BZ98" s="3136">
        <f t="shared" si="977"/>
        <v>0</v>
      </c>
      <c r="CA98" s="3136">
        <f t="shared" si="978"/>
        <v>0</v>
      </c>
      <c r="CB98" s="3209">
        <f t="shared" si="828"/>
        <v>2094.9699999999998</v>
      </c>
      <c r="CC98" s="3286">
        <v>2094.9699999999998</v>
      </c>
      <c r="CD98" s="3286">
        <v>0</v>
      </c>
      <c r="CE98" s="3264">
        <f t="shared" si="1077"/>
        <v>1213.3500000000001</v>
      </c>
      <c r="CF98" s="3264">
        <f t="shared" si="1078"/>
        <v>1213.3500000000001</v>
      </c>
      <c r="CG98" s="3264">
        <f t="shared" si="1079"/>
        <v>0</v>
      </c>
      <c r="CH98" s="3264">
        <f t="shared" si="982"/>
        <v>-881.61999999999966</v>
      </c>
      <c r="CI98" s="3264">
        <f t="shared" si="983"/>
        <v>-881.61999999999966</v>
      </c>
      <c r="CJ98" s="3264">
        <f t="shared" si="984"/>
        <v>0</v>
      </c>
      <c r="CK98" s="3259"/>
      <c r="CL98" s="3259"/>
      <c r="CM98" s="3259"/>
    </row>
    <row r="99" spans="1:91" ht="18.75" customHeight="1" x14ac:dyDescent="0.3">
      <c r="A99" s="3172" t="s">
        <v>117</v>
      </c>
      <c r="B99" s="3208">
        <f t="shared" si="1080"/>
        <v>157.1225</v>
      </c>
      <c r="C99" s="3208">
        <f t="shared" si="1081"/>
        <v>157.1225</v>
      </c>
      <c r="D99" s="3208">
        <f t="shared" si="1082"/>
        <v>0</v>
      </c>
      <c r="E99" s="3136">
        <f t="shared" si="510"/>
        <v>50.51</v>
      </c>
      <c r="F99" s="3137">
        <v>50.51</v>
      </c>
      <c r="G99" s="3137"/>
      <c r="H99" s="3136">
        <f t="shared" si="1032"/>
        <v>37.25</v>
      </c>
      <c r="I99" s="3137">
        <v>37.25</v>
      </c>
      <c r="J99" s="3137"/>
      <c r="K99" s="3136">
        <f t="shared" si="1035"/>
        <v>54.02</v>
      </c>
      <c r="L99" s="3137">
        <v>54.02</v>
      </c>
      <c r="M99" s="3137"/>
      <c r="N99" s="3136">
        <f t="shared" si="1038"/>
        <v>141.78</v>
      </c>
      <c r="O99" s="3136">
        <f t="shared" si="1039"/>
        <v>141.78</v>
      </c>
      <c r="P99" s="3136">
        <f t="shared" si="1040"/>
        <v>0</v>
      </c>
      <c r="Q99" s="3208">
        <f t="shared" si="1083"/>
        <v>157.1225</v>
      </c>
      <c r="R99" s="3208">
        <f t="shared" si="1084"/>
        <v>157.1225</v>
      </c>
      <c r="S99" s="3208">
        <f t="shared" si="1085"/>
        <v>0</v>
      </c>
      <c r="T99" s="3136">
        <f t="shared" si="1042"/>
        <v>46.87</v>
      </c>
      <c r="U99" s="3137">
        <v>46.87</v>
      </c>
      <c r="V99" s="3137"/>
      <c r="W99" s="3136">
        <f t="shared" si="1045"/>
        <v>40.06</v>
      </c>
      <c r="X99" s="3137">
        <v>40.06</v>
      </c>
      <c r="Y99" s="3137"/>
      <c r="Z99" s="3136">
        <f t="shared" si="1048"/>
        <v>33.619999999999997</v>
      </c>
      <c r="AA99" s="3137">
        <v>33.619999999999997</v>
      </c>
      <c r="AB99" s="3137"/>
      <c r="AC99" s="3136">
        <f t="shared" si="944"/>
        <v>120.55000000000001</v>
      </c>
      <c r="AD99" s="3136">
        <f t="shared" si="945"/>
        <v>120.55000000000001</v>
      </c>
      <c r="AE99" s="3136">
        <f t="shared" si="946"/>
        <v>0</v>
      </c>
      <c r="AF99" s="3209">
        <f t="shared" si="424"/>
        <v>314.245</v>
      </c>
      <c r="AG99" s="3209">
        <f t="shared" si="425"/>
        <v>314.245</v>
      </c>
      <c r="AH99" s="3209">
        <f t="shared" si="426"/>
        <v>0</v>
      </c>
      <c r="AI99" s="3264">
        <f t="shared" si="1051"/>
        <v>262.33000000000004</v>
      </c>
      <c r="AJ99" s="3264">
        <f t="shared" si="1052"/>
        <v>262.33000000000004</v>
      </c>
      <c r="AK99" s="3264">
        <f t="shared" si="1053"/>
        <v>0</v>
      </c>
      <c r="AL99" s="3264">
        <f t="shared" si="950"/>
        <v>-51.914999999999964</v>
      </c>
      <c r="AM99" s="3264">
        <f t="shared" si="951"/>
        <v>-51.914999999999964</v>
      </c>
      <c r="AN99" s="3264">
        <f t="shared" si="952"/>
        <v>0</v>
      </c>
      <c r="AO99" s="3208">
        <f t="shared" si="1086"/>
        <v>157.1225</v>
      </c>
      <c r="AP99" s="3208">
        <f t="shared" si="1087"/>
        <v>157.1225</v>
      </c>
      <c r="AQ99" s="3208">
        <f t="shared" si="1088"/>
        <v>0</v>
      </c>
      <c r="AR99" s="3136">
        <f t="shared" si="1055"/>
        <v>34.090000000000003</v>
      </c>
      <c r="AS99" s="3137">
        <v>34.090000000000003</v>
      </c>
      <c r="AT99" s="3137"/>
      <c r="AU99" s="3136">
        <f t="shared" si="1058"/>
        <v>29.15</v>
      </c>
      <c r="AV99" s="3137">
        <v>29.15</v>
      </c>
      <c r="AW99" s="3137"/>
      <c r="AX99" s="3136">
        <f t="shared" si="1061"/>
        <v>45.74</v>
      </c>
      <c r="AY99" s="3137">
        <v>45.74</v>
      </c>
      <c r="AZ99" s="3137"/>
      <c r="BA99" s="3136">
        <f t="shared" si="960"/>
        <v>108.98</v>
      </c>
      <c r="BB99" s="3136">
        <f t="shared" si="961"/>
        <v>108.98</v>
      </c>
      <c r="BC99" s="3136">
        <f t="shared" si="962"/>
        <v>0</v>
      </c>
      <c r="BD99" s="3209">
        <f t="shared" si="920"/>
        <v>471.36750000000001</v>
      </c>
      <c r="BE99" s="3209">
        <f t="shared" si="921"/>
        <v>471.36750000000001</v>
      </c>
      <c r="BF99" s="3209">
        <f t="shared" si="922"/>
        <v>0</v>
      </c>
      <c r="BG99" s="3264">
        <f t="shared" si="1064"/>
        <v>371.31000000000006</v>
      </c>
      <c r="BH99" s="3264">
        <f t="shared" si="1065"/>
        <v>371.31000000000006</v>
      </c>
      <c r="BI99" s="3264">
        <f t="shared" si="1066"/>
        <v>0</v>
      </c>
      <c r="BJ99" s="3264">
        <f t="shared" si="966"/>
        <v>-100.05749999999995</v>
      </c>
      <c r="BK99" s="3264">
        <f t="shared" si="967"/>
        <v>-100.05749999999995</v>
      </c>
      <c r="BL99" s="3264">
        <f t="shared" si="968"/>
        <v>0</v>
      </c>
      <c r="BM99" s="3208">
        <f t="shared" si="1089"/>
        <v>157.1225</v>
      </c>
      <c r="BN99" s="3208">
        <f t="shared" si="1090"/>
        <v>157.1225</v>
      </c>
      <c r="BO99" s="3208">
        <f t="shared" si="1091"/>
        <v>0</v>
      </c>
      <c r="BP99" s="3136">
        <f t="shared" si="1068"/>
        <v>0</v>
      </c>
      <c r="BQ99" s="3137"/>
      <c r="BR99" s="3137"/>
      <c r="BS99" s="3136">
        <f t="shared" si="1071"/>
        <v>0</v>
      </c>
      <c r="BT99" s="3137"/>
      <c r="BU99" s="3137"/>
      <c r="BV99" s="3136">
        <f t="shared" si="1074"/>
        <v>0</v>
      </c>
      <c r="BW99" s="3137"/>
      <c r="BX99" s="3137"/>
      <c r="BY99" s="3136">
        <f t="shared" si="976"/>
        <v>0</v>
      </c>
      <c r="BZ99" s="3136">
        <f t="shared" si="977"/>
        <v>0</v>
      </c>
      <c r="CA99" s="3136">
        <f t="shared" si="978"/>
        <v>0</v>
      </c>
      <c r="CB99" s="3209">
        <f t="shared" si="828"/>
        <v>628.49</v>
      </c>
      <c r="CC99" s="3286">
        <v>628.49</v>
      </c>
      <c r="CD99" s="3286">
        <v>0</v>
      </c>
      <c r="CE99" s="3264">
        <f t="shared" si="1077"/>
        <v>371.31000000000006</v>
      </c>
      <c r="CF99" s="3264">
        <f t="shared" si="1078"/>
        <v>371.31000000000006</v>
      </c>
      <c r="CG99" s="3264">
        <f t="shared" si="1079"/>
        <v>0</v>
      </c>
      <c r="CH99" s="3264">
        <f t="shared" si="982"/>
        <v>-257.17999999999995</v>
      </c>
      <c r="CI99" s="3264">
        <f t="shared" si="983"/>
        <v>-257.17999999999995</v>
      </c>
      <c r="CJ99" s="3264">
        <f t="shared" si="984"/>
        <v>0</v>
      </c>
      <c r="CK99" s="3259"/>
      <c r="CL99" s="3259"/>
      <c r="CM99" s="3259"/>
    </row>
    <row r="100" spans="1:91" ht="18.75" customHeight="1" x14ac:dyDescent="0.3">
      <c r="A100" s="3172" t="s">
        <v>52</v>
      </c>
      <c r="B100" s="3208">
        <f t="shared" si="1080"/>
        <v>7.6050000000000004</v>
      </c>
      <c r="C100" s="3208">
        <f t="shared" si="1081"/>
        <v>7.6050000000000004</v>
      </c>
      <c r="D100" s="3208">
        <f t="shared" si="1082"/>
        <v>0</v>
      </c>
      <c r="E100" s="3136">
        <f t="shared" si="510"/>
        <v>0.35</v>
      </c>
      <c r="F100" s="3137">
        <v>0.35</v>
      </c>
      <c r="G100" s="3137"/>
      <c r="H100" s="3136">
        <f t="shared" si="1032"/>
        <v>0</v>
      </c>
      <c r="I100" s="3137"/>
      <c r="J100" s="3137"/>
      <c r="K100" s="3136">
        <f t="shared" si="1035"/>
        <v>0.37</v>
      </c>
      <c r="L100" s="3137">
        <v>0.37</v>
      </c>
      <c r="M100" s="3137"/>
      <c r="N100" s="3136">
        <f t="shared" si="1038"/>
        <v>0.72</v>
      </c>
      <c r="O100" s="3136">
        <f t="shared" si="1039"/>
        <v>0.72</v>
      </c>
      <c r="P100" s="3136">
        <f t="shared" si="1040"/>
        <v>0</v>
      </c>
      <c r="Q100" s="3208">
        <f t="shared" si="1083"/>
        <v>7.6050000000000004</v>
      </c>
      <c r="R100" s="3208">
        <f t="shared" si="1084"/>
        <v>7.6050000000000004</v>
      </c>
      <c r="S100" s="3208">
        <f t="shared" si="1085"/>
        <v>0</v>
      </c>
      <c r="T100" s="3136">
        <f t="shared" si="1042"/>
        <v>0.86</v>
      </c>
      <c r="U100" s="3137">
        <v>0.86</v>
      </c>
      <c r="V100" s="3137"/>
      <c r="W100" s="3136">
        <f t="shared" si="1045"/>
        <v>0</v>
      </c>
      <c r="X100" s="3137"/>
      <c r="Y100" s="3137"/>
      <c r="Z100" s="3136">
        <f t="shared" si="1048"/>
        <v>0.56999999999999995</v>
      </c>
      <c r="AA100" s="3137">
        <v>0.56999999999999995</v>
      </c>
      <c r="AB100" s="3137"/>
      <c r="AC100" s="3136">
        <f t="shared" si="944"/>
        <v>1.43</v>
      </c>
      <c r="AD100" s="3136">
        <f t="shared" si="945"/>
        <v>1.43</v>
      </c>
      <c r="AE100" s="3136">
        <f t="shared" si="946"/>
        <v>0</v>
      </c>
      <c r="AF100" s="3209">
        <f t="shared" ref="AF100:AF121" si="1092">SUM(AG100:AH100)</f>
        <v>15.21</v>
      </c>
      <c r="AG100" s="3209">
        <f t="shared" ref="AG100:AG121" si="1093">SUM(C100+R100)</f>
        <v>15.21</v>
      </c>
      <c r="AH100" s="3209">
        <f t="shared" ref="AH100:AH121" si="1094">SUM(D100+S100)</f>
        <v>0</v>
      </c>
      <c r="AI100" s="3264">
        <f t="shared" si="1051"/>
        <v>2.15</v>
      </c>
      <c r="AJ100" s="3264">
        <f t="shared" si="1052"/>
        <v>2.15</v>
      </c>
      <c r="AK100" s="3264">
        <f t="shared" si="1053"/>
        <v>0</v>
      </c>
      <c r="AL100" s="3264">
        <f t="shared" si="950"/>
        <v>-13.06</v>
      </c>
      <c r="AM100" s="3264">
        <f t="shared" si="951"/>
        <v>-13.06</v>
      </c>
      <c r="AN100" s="3264">
        <f t="shared" si="952"/>
        <v>0</v>
      </c>
      <c r="AO100" s="3208">
        <f t="shared" si="1086"/>
        <v>7.6050000000000004</v>
      </c>
      <c r="AP100" s="3208">
        <f t="shared" si="1087"/>
        <v>7.6050000000000004</v>
      </c>
      <c r="AQ100" s="3208">
        <f t="shared" si="1088"/>
        <v>0</v>
      </c>
      <c r="AR100" s="3136">
        <f t="shared" si="1055"/>
        <v>0.56000000000000005</v>
      </c>
      <c r="AS100" s="3137">
        <v>0.56000000000000005</v>
      </c>
      <c r="AT100" s="3137"/>
      <c r="AU100" s="3136">
        <f t="shared" si="1058"/>
        <v>0.57999999999999996</v>
      </c>
      <c r="AV100" s="3137">
        <v>0.57999999999999996</v>
      </c>
      <c r="AW100" s="3137"/>
      <c r="AX100" s="3136">
        <f t="shared" si="1061"/>
        <v>1.0900000000000001</v>
      </c>
      <c r="AY100" s="3137">
        <v>1.0900000000000001</v>
      </c>
      <c r="AZ100" s="3137"/>
      <c r="BA100" s="3136">
        <f t="shared" si="960"/>
        <v>2.2300000000000004</v>
      </c>
      <c r="BB100" s="3136">
        <f t="shared" si="961"/>
        <v>2.2300000000000004</v>
      </c>
      <c r="BC100" s="3136">
        <f t="shared" si="962"/>
        <v>0</v>
      </c>
      <c r="BD100" s="3209">
        <f t="shared" si="920"/>
        <v>22.815000000000001</v>
      </c>
      <c r="BE100" s="3209">
        <f t="shared" si="921"/>
        <v>22.815000000000001</v>
      </c>
      <c r="BF100" s="3209">
        <f t="shared" si="922"/>
        <v>0</v>
      </c>
      <c r="BG100" s="3264">
        <f t="shared" si="1064"/>
        <v>4.3800000000000008</v>
      </c>
      <c r="BH100" s="3264">
        <f t="shared" si="1065"/>
        <v>4.3800000000000008</v>
      </c>
      <c r="BI100" s="3264">
        <f t="shared" si="1066"/>
        <v>0</v>
      </c>
      <c r="BJ100" s="3264">
        <f t="shared" si="966"/>
        <v>-18.435000000000002</v>
      </c>
      <c r="BK100" s="3264">
        <f t="shared" si="967"/>
        <v>-18.435000000000002</v>
      </c>
      <c r="BL100" s="3264">
        <f t="shared" si="968"/>
        <v>0</v>
      </c>
      <c r="BM100" s="3208">
        <f t="shared" si="1089"/>
        <v>7.6050000000000004</v>
      </c>
      <c r="BN100" s="3208">
        <f t="shared" si="1090"/>
        <v>7.6050000000000004</v>
      </c>
      <c r="BO100" s="3208">
        <f t="shared" si="1091"/>
        <v>0</v>
      </c>
      <c r="BP100" s="3136">
        <f t="shared" si="1068"/>
        <v>0</v>
      </c>
      <c r="BQ100" s="3137"/>
      <c r="BR100" s="3137"/>
      <c r="BS100" s="3136">
        <f t="shared" si="1071"/>
        <v>0</v>
      </c>
      <c r="BT100" s="3137"/>
      <c r="BU100" s="3137"/>
      <c r="BV100" s="3136">
        <f t="shared" si="1074"/>
        <v>0</v>
      </c>
      <c r="BW100" s="3137"/>
      <c r="BX100" s="3137"/>
      <c r="BY100" s="3136">
        <f t="shared" si="976"/>
        <v>0</v>
      </c>
      <c r="BZ100" s="3136">
        <f t="shared" si="977"/>
        <v>0</v>
      </c>
      <c r="CA100" s="3136">
        <f t="shared" si="978"/>
        <v>0</v>
      </c>
      <c r="CB100" s="3209">
        <f t="shared" si="828"/>
        <v>30.42</v>
      </c>
      <c r="CC100" s="3286">
        <v>30.42</v>
      </c>
      <c r="CD100" s="3286">
        <v>0</v>
      </c>
      <c r="CE100" s="3264">
        <f t="shared" si="1077"/>
        <v>4.3800000000000008</v>
      </c>
      <c r="CF100" s="3264">
        <f t="shared" si="1078"/>
        <v>4.3800000000000008</v>
      </c>
      <c r="CG100" s="3264">
        <f t="shared" si="1079"/>
        <v>0</v>
      </c>
      <c r="CH100" s="3264">
        <f t="shared" si="982"/>
        <v>-26.04</v>
      </c>
      <c r="CI100" s="3264">
        <f t="shared" si="983"/>
        <v>-26.04</v>
      </c>
      <c r="CJ100" s="3264">
        <f t="shared" si="984"/>
        <v>0</v>
      </c>
      <c r="CK100" s="3259"/>
      <c r="CL100" s="3259"/>
      <c r="CM100" s="3259"/>
    </row>
    <row r="101" spans="1:91" ht="18.75" customHeight="1" x14ac:dyDescent="0.3">
      <c r="A101" s="3172" t="s">
        <v>601</v>
      </c>
      <c r="B101" s="3208">
        <f t="shared" si="1080"/>
        <v>73.532499999999999</v>
      </c>
      <c r="C101" s="3208">
        <f t="shared" si="1081"/>
        <v>73.532499999999999</v>
      </c>
      <c r="D101" s="3208">
        <f t="shared" si="1082"/>
        <v>0</v>
      </c>
      <c r="E101" s="3136">
        <f t="shared" si="510"/>
        <v>23.44</v>
      </c>
      <c r="F101" s="3137">
        <v>23.44</v>
      </c>
      <c r="G101" s="3137"/>
      <c r="H101" s="3136">
        <f t="shared" si="1032"/>
        <v>24.37</v>
      </c>
      <c r="I101" s="3137">
        <v>24.37</v>
      </c>
      <c r="J101" s="3137"/>
      <c r="K101" s="3136">
        <f t="shared" si="1035"/>
        <v>38.96</v>
      </c>
      <c r="L101" s="3137">
        <v>38.96</v>
      </c>
      <c r="M101" s="3137"/>
      <c r="N101" s="3136">
        <f t="shared" si="1038"/>
        <v>86.77000000000001</v>
      </c>
      <c r="O101" s="3136">
        <f t="shared" si="1039"/>
        <v>86.77000000000001</v>
      </c>
      <c r="P101" s="3136">
        <f t="shared" si="1040"/>
        <v>0</v>
      </c>
      <c r="Q101" s="3208">
        <f t="shared" si="1083"/>
        <v>73.532499999999999</v>
      </c>
      <c r="R101" s="3208">
        <f t="shared" si="1084"/>
        <v>73.532499999999999</v>
      </c>
      <c r="S101" s="3208">
        <f t="shared" si="1085"/>
        <v>0</v>
      </c>
      <c r="T101" s="3136">
        <f t="shared" si="1042"/>
        <v>43.29</v>
      </c>
      <c r="U101" s="3137">
        <v>43.29</v>
      </c>
      <c r="V101" s="3137"/>
      <c r="W101" s="3136">
        <f t="shared" si="1045"/>
        <v>25.52</v>
      </c>
      <c r="X101" s="3137">
        <v>25.52</v>
      </c>
      <c r="Y101" s="3137"/>
      <c r="Z101" s="3136">
        <f t="shared" si="1048"/>
        <v>26.21</v>
      </c>
      <c r="AA101" s="3137">
        <v>26.21</v>
      </c>
      <c r="AB101" s="3137"/>
      <c r="AC101" s="3136">
        <f t="shared" si="944"/>
        <v>95.02000000000001</v>
      </c>
      <c r="AD101" s="3136">
        <f t="shared" si="945"/>
        <v>95.02000000000001</v>
      </c>
      <c r="AE101" s="3136">
        <f t="shared" si="946"/>
        <v>0</v>
      </c>
      <c r="AF101" s="3209">
        <f t="shared" si="1092"/>
        <v>147.065</v>
      </c>
      <c r="AG101" s="3209">
        <f t="shared" si="1093"/>
        <v>147.065</v>
      </c>
      <c r="AH101" s="3209">
        <f t="shared" si="1094"/>
        <v>0</v>
      </c>
      <c r="AI101" s="3264">
        <f t="shared" si="1051"/>
        <v>181.79000000000002</v>
      </c>
      <c r="AJ101" s="3264">
        <f t="shared" si="1052"/>
        <v>181.79000000000002</v>
      </c>
      <c r="AK101" s="3264">
        <f t="shared" si="1053"/>
        <v>0</v>
      </c>
      <c r="AL101" s="3264">
        <f t="shared" si="950"/>
        <v>34.725000000000023</v>
      </c>
      <c r="AM101" s="3264">
        <f t="shared" si="951"/>
        <v>34.725000000000023</v>
      </c>
      <c r="AN101" s="3264">
        <f t="shared" si="952"/>
        <v>0</v>
      </c>
      <c r="AO101" s="3208">
        <f t="shared" si="1086"/>
        <v>73.532499999999999</v>
      </c>
      <c r="AP101" s="3208">
        <f t="shared" si="1087"/>
        <v>73.532499999999999</v>
      </c>
      <c r="AQ101" s="3208">
        <f t="shared" si="1088"/>
        <v>0</v>
      </c>
      <c r="AR101" s="3136">
        <f t="shared" si="1055"/>
        <v>39.92</v>
      </c>
      <c r="AS101" s="3137">
        <v>39.92</v>
      </c>
      <c r="AT101" s="3137"/>
      <c r="AU101" s="3136">
        <f t="shared" si="1058"/>
        <v>34.69</v>
      </c>
      <c r="AV101" s="3137">
        <v>34.69</v>
      </c>
      <c r="AW101" s="3137"/>
      <c r="AX101" s="3136">
        <f t="shared" si="1061"/>
        <v>34.49</v>
      </c>
      <c r="AY101" s="3137">
        <v>34.49</v>
      </c>
      <c r="AZ101" s="3137"/>
      <c r="BA101" s="3136">
        <f t="shared" si="960"/>
        <v>109.1</v>
      </c>
      <c r="BB101" s="3136">
        <f t="shared" si="961"/>
        <v>109.1</v>
      </c>
      <c r="BC101" s="3136">
        <f t="shared" si="962"/>
        <v>0</v>
      </c>
      <c r="BD101" s="3209">
        <f t="shared" si="920"/>
        <v>220.5975</v>
      </c>
      <c r="BE101" s="3209">
        <f t="shared" si="921"/>
        <v>220.5975</v>
      </c>
      <c r="BF101" s="3209">
        <f t="shared" si="922"/>
        <v>0</v>
      </c>
      <c r="BG101" s="3264">
        <f t="shared" si="1064"/>
        <v>290.89</v>
      </c>
      <c r="BH101" s="3264">
        <f t="shared" si="1065"/>
        <v>290.89</v>
      </c>
      <c r="BI101" s="3264">
        <f t="shared" si="1066"/>
        <v>0</v>
      </c>
      <c r="BJ101" s="3264">
        <f t="shared" si="966"/>
        <v>70.29249999999999</v>
      </c>
      <c r="BK101" s="3264">
        <f t="shared" si="967"/>
        <v>70.29249999999999</v>
      </c>
      <c r="BL101" s="3264">
        <f t="shared" si="968"/>
        <v>0</v>
      </c>
      <c r="BM101" s="3208">
        <f t="shared" si="1089"/>
        <v>73.532499999999999</v>
      </c>
      <c r="BN101" s="3208">
        <f t="shared" si="1090"/>
        <v>73.532499999999999</v>
      </c>
      <c r="BO101" s="3208">
        <f t="shared" si="1091"/>
        <v>0</v>
      </c>
      <c r="BP101" s="3136">
        <f t="shared" si="1068"/>
        <v>0</v>
      </c>
      <c r="BQ101" s="3137"/>
      <c r="BR101" s="3137"/>
      <c r="BS101" s="3136">
        <f t="shared" si="1071"/>
        <v>0</v>
      </c>
      <c r="BT101" s="3137"/>
      <c r="BU101" s="3137"/>
      <c r="BV101" s="3136">
        <f t="shared" si="1074"/>
        <v>0</v>
      </c>
      <c r="BW101" s="3137"/>
      <c r="BX101" s="3137"/>
      <c r="BY101" s="3136">
        <f t="shared" si="976"/>
        <v>0</v>
      </c>
      <c r="BZ101" s="3136">
        <f t="shared" si="977"/>
        <v>0</v>
      </c>
      <c r="CA101" s="3136">
        <f t="shared" si="978"/>
        <v>0</v>
      </c>
      <c r="CB101" s="3209">
        <f t="shared" si="828"/>
        <v>294.13</v>
      </c>
      <c r="CC101" s="3286">
        <v>294.13</v>
      </c>
      <c r="CD101" s="3286">
        <v>0</v>
      </c>
      <c r="CE101" s="3264">
        <f t="shared" si="1077"/>
        <v>290.89</v>
      </c>
      <c r="CF101" s="3264">
        <f t="shared" si="1078"/>
        <v>290.89</v>
      </c>
      <c r="CG101" s="3264">
        <f t="shared" si="1079"/>
        <v>0</v>
      </c>
      <c r="CH101" s="3264">
        <f t="shared" si="982"/>
        <v>-3.2400000000000091</v>
      </c>
      <c r="CI101" s="3264">
        <f t="shared" si="983"/>
        <v>-3.2400000000000091</v>
      </c>
      <c r="CJ101" s="3264">
        <f t="shared" si="984"/>
        <v>0</v>
      </c>
      <c r="CK101" s="3259"/>
      <c r="CL101" s="3259"/>
      <c r="CM101" s="3259"/>
    </row>
    <row r="102" spans="1:91" ht="18.75" customHeight="1" x14ac:dyDescent="0.3">
      <c r="A102" s="3172" t="s">
        <v>602</v>
      </c>
      <c r="B102" s="3208">
        <f t="shared" si="1080"/>
        <v>12.253150000000002</v>
      </c>
      <c r="C102" s="3277">
        <f t="shared" ref="C102:D102" si="1095">SUM(C103)</f>
        <v>12.253150000000002</v>
      </c>
      <c r="D102" s="3277">
        <f t="shared" si="1095"/>
        <v>0</v>
      </c>
      <c r="E102" s="3136">
        <f t="shared" si="510"/>
        <v>1.62</v>
      </c>
      <c r="F102" s="3136">
        <f t="shared" ref="F102:G102" si="1096">SUM(F103)</f>
        <v>1.62</v>
      </c>
      <c r="G102" s="3136">
        <f t="shared" si="1096"/>
        <v>0</v>
      </c>
      <c r="H102" s="3136">
        <f t="shared" si="1032"/>
        <v>4.1100000000000003</v>
      </c>
      <c r="I102" s="3136">
        <f t="shared" ref="I102" si="1097">SUM(I103)</f>
        <v>4.1100000000000003</v>
      </c>
      <c r="J102" s="3136">
        <f t="shared" ref="J102" si="1098">SUM(J103)</f>
        <v>0</v>
      </c>
      <c r="K102" s="3136">
        <f t="shared" si="1035"/>
        <v>4.7300000000000004</v>
      </c>
      <c r="L102" s="3136">
        <f t="shared" ref="L102" si="1099">SUM(L103)</f>
        <v>4.7300000000000004</v>
      </c>
      <c r="M102" s="3136">
        <f t="shared" ref="M102" si="1100">SUM(M103)</f>
        <v>0</v>
      </c>
      <c r="N102" s="3136">
        <f t="shared" si="1038"/>
        <v>10.46</v>
      </c>
      <c r="O102" s="3136">
        <f t="shared" si="1039"/>
        <v>10.46</v>
      </c>
      <c r="P102" s="3136">
        <f t="shared" si="1040"/>
        <v>0</v>
      </c>
      <c r="Q102" s="3208">
        <f t="shared" si="1083"/>
        <v>12.253150000000002</v>
      </c>
      <c r="R102" s="3277">
        <f t="shared" ref="R102:S102" si="1101">SUM(R103)</f>
        <v>12.253150000000002</v>
      </c>
      <c r="S102" s="3277">
        <f t="shared" si="1101"/>
        <v>0</v>
      </c>
      <c r="T102" s="3136">
        <f t="shared" si="1042"/>
        <v>0.98</v>
      </c>
      <c r="U102" s="3136">
        <f t="shared" ref="U102" si="1102">SUM(U103)</f>
        <v>0.98</v>
      </c>
      <c r="V102" s="3136">
        <f t="shared" ref="V102" si="1103">SUM(V103)</f>
        <v>0</v>
      </c>
      <c r="W102" s="3136">
        <f t="shared" si="1045"/>
        <v>2.95</v>
      </c>
      <c r="X102" s="3136">
        <f t="shared" ref="X102" si="1104">SUM(X103)</f>
        <v>2.95</v>
      </c>
      <c r="Y102" s="3136">
        <f t="shared" ref="Y102" si="1105">SUM(Y103)</f>
        <v>0</v>
      </c>
      <c r="Z102" s="3136">
        <f t="shared" si="1048"/>
        <v>3.36</v>
      </c>
      <c r="AA102" s="3136">
        <f t="shared" ref="AA102" si="1106">SUM(AA103)</f>
        <v>3.36</v>
      </c>
      <c r="AB102" s="3136">
        <f t="shared" ref="AB102" si="1107">SUM(AB103)</f>
        <v>0</v>
      </c>
      <c r="AC102" s="3136">
        <f t="shared" si="944"/>
        <v>7.29</v>
      </c>
      <c r="AD102" s="3136">
        <f t="shared" si="945"/>
        <v>7.29</v>
      </c>
      <c r="AE102" s="3136">
        <f t="shared" si="946"/>
        <v>0</v>
      </c>
      <c r="AF102" s="3209">
        <f t="shared" si="1092"/>
        <v>24.506300000000003</v>
      </c>
      <c r="AG102" s="3209">
        <f t="shared" si="1093"/>
        <v>24.506300000000003</v>
      </c>
      <c r="AH102" s="3209">
        <f t="shared" si="1094"/>
        <v>0</v>
      </c>
      <c r="AI102" s="3264">
        <f t="shared" si="1051"/>
        <v>17.75</v>
      </c>
      <c r="AJ102" s="3264">
        <f t="shared" si="1052"/>
        <v>17.75</v>
      </c>
      <c r="AK102" s="3264">
        <f t="shared" si="1053"/>
        <v>0</v>
      </c>
      <c r="AL102" s="3264">
        <f t="shared" si="950"/>
        <v>-6.7563000000000031</v>
      </c>
      <c r="AM102" s="3264">
        <f t="shared" si="951"/>
        <v>-6.7563000000000031</v>
      </c>
      <c r="AN102" s="3264">
        <f t="shared" si="952"/>
        <v>0</v>
      </c>
      <c r="AO102" s="3208">
        <f t="shared" si="1086"/>
        <v>12.253150000000002</v>
      </c>
      <c r="AP102" s="3277">
        <f t="shared" ref="AP102:AQ102" si="1108">SUM(AP103)</f>
        <v>12.253150000000002</v>
      </c>
      <c r="AQ102" s="3277">
        <f t="shared" si="1108"/>
        <v>0</v>
      </c>
      <c r="AR102" s="3136">
        <f t="shared" si="1055"/>
        <v>18.649999999999999</v>
      </c>
      <c r="AS102" s="3136">
        <f t="shared" ref="AS102" si="1109">SUM(AS103)</f>
        <v>18.649999999999999</v>
      </c>
      <c r="AT102" s="3136">
        <f t="shared" ref="AT102" si="1110">SUM(AT103)</f>
        <v>0</v>
      </c>
      <c r="AU102" s="3136">
        <f t="shared" si="1058"/>
        <v>2.14</v>
      </c>
      <c r="AV102" s="3136">
        <f t="shared" ref="AV102" si="1111">SUM(AV103)</f>
        <v>2.14</v>
      </c>
      <c r="AW102" s="3136">
        <f t="shared" ref="AW102" si="1112">SUM(AW103)</f>
        <v>0</v>
      </c>
      <c r="AX102" s="3136">
        <f t="shared" si="1061"/>
        <v>0.71</v>
      </c>
      <c r="AY102" s="3136">
        <f t="shared" ref="AY102" si="1113">SUM(AY103)</f>
        <v>0.71</v>
      </c>
      <c r="AZ102" s="3136">
        <f t="shared" ref="AZ102" si="1114">SUM(AZ103)</f>
        <v>0</v>
      </c>
      <c r="BA102" s="3136">
        <f t="shared" si="960"/>
        <v>21.5</v>
      </c>
      <c r="BB102" s="3136">
        <f t="shared" si="961"/>
        <v>21.5</v>
      </c>
      <c r="BC102" s="3136">
        <f t="shared" si="962"/>
        <v>0</v>
      </c>
      <c r="BD102" s="3209">
        <f t="shared" si="920"/>
        <v>36.759450000000001</v>
      </c>
      <c r="BE102" s="3209">
        <f t="shared" si="921"/>
        <v>36.759450000000001</v>
      </c>
      <c r="BF102" s="3209">
        <f t="shared" si="922"/>
        <v>0</v>
      </c>
      <c r="BG102" s="3264">
        <f t="shared" si="1064"/>
        <v>39.25</v>
      </c>
      <c r="BH102" s="3264">
        <f t="shared" si="1065"/>
        <v>39.25</v>
      </c>
      <c r="BI102" s="3264">
        <f t="shared" si="1066"/>
        <v>0</v>
      </c>
      <c r="BJ102" s="3264">
        <f t="shared" si="966"/>
        <v>2.4905499999999989</v>
      </c>
      <c r="BK102" s="3264">
        <f t="shared" si="967"/>
        <v>2.4905499999999989</v>
      </c>
      <c r="BL102" s="3264">
        <f t="shared" si="968"/>
        <v>0</v>
      </c>
      <c r="BM102" s="3208">
        <f t="shared" si="1089"/>
        <v>12.253150000000002</v>
      </c>
      <c r="BN102" s="3277">
        <f t="shared" ref="BN102:BO102" si="1115">SUM(BN103)</f>
        <v>12.253150000000002</v>
      </c>
      <c r="BO102" s="3277">
        <f t="shared" si="1115"/>
        <v>0</v>
      </c>
      <c r="BP102" s="3136">
        <f t="shared" si="1068"/>
        <v>0</v>
      </c>
      <c r="BQ102" s="3136">
        <f t="shared" ref="BQ102" si="1116">SUM(BQ103)</f>
        <v>0</v>
      </c>
      <c r="BR102" s="3136">
        <f t="shared" ref="BR102" si="1117">SUM(BR103)</f>
        <v>0</v>
      </c>
      <c r="BS102" s="3136">
        <f t="shared" si="1071"/>
        <v>0</v>
      </c>
      <c r="BT102" s="3136">
        <f t="shared" ref="BT102" si="1118">SUM(BT103)</f>
        <v>0</v>
      </c>
      <c r="BU102" s="3136">
        <f t="shared" ref="BU102" si="1119">SUM(BU103)</f>
        <v>0</v>
      </c>
      <c r="BV102" s="3136">
        <f t="shared" si="1074"/>
        <v>0</v>
      </c>
      <c r="BW102" s="3136">
        <f t="shared" ref="BW102" si="1120">SUM(BW103)</f>
        <v>0</v>
      </c>
      <c r="BX102" s="3136">
        <f t="shared" ref="BX102" si="1121">SUM(BX103)</f>
        <v>0</v>
      </c>
      <c r="BY102" s="3136">
        <f t="shared" si="976"/>
        <v>0</v>
      </c>
      <c r="BZ102" s="3136">
        <f t="shared" si="977"/>
        <v>0</v>
      </c>
      <c r="CA102" s="3136">
        <f t="shared" si="978"/>
        <v>0</v>
      </c>
      <c r="CB102" s="3209">
        <f t="shared" si="828"/>
        <v>49.012600000000006</v>
      </c>
      <c r="CC102" s="3287">
        <f t="shared" ref="CC102:CD102" si="1122">SUM(CC103)</f>
        <v>49.012600000000006</v>
      </c>
      <c r="CD102" s="3287">
        <f t="shared" si="1122"/>
        <v>0</v>
      </c>
      <c r="CE102" s="3264">
        <f t="shared" si="1077"/>
        <v>39.25</v>
      </c>
      <c r="CF102" s="3264">
        <f t="shared" si="1078"/>
        <v>39.25</v>
      </c>
      <c r="CG102" s="3264">
        <f t="shared" si="1079"/>
        <v>0</v>
      </c>
      <c r="CH102" s="3264">
        <f t="shared" si="982"/>
        <v>-9.7626000000000062</v>
      </c>
      <c r="CI102" s="3264">
        <f t="shared" si="983"/>
        <v>-9.7626000000000062</v>
      </c>
      <c r="CJ102" s="3264">
        <f t="shared" si="984"/>
        <v>0</v>
      </c>
      <c r="CK102" s="3259"/>
      <c r="CL102" s="3259"/>
      <c r="CM102" s="3259"/>
    </row>
    <row r="103" spans="1:91" ht="18.75" customHeight="1" x14ac:dyDescent="0.3">
      <c r="A103" s="3079" t="s">
        <v>557</v>
      </c>
      <c r="B103" s="3210">
        <f t="shared" ref="B103:B104" si="1123">SUM(C103:D103)</f>
        <v>12.253150000000002</v>
      </c>
      <c r="C103" s="3210">
        <f t="shared" ref="C103" si="1124">SUM(CC103/4)</f>
        <v>12.253150000000002</v>
      </c>
      <c r="D103" s="3210">
        <f t="shared" ref="D103" si="1125">SUM(CD103/4)</f>
        <v>0</v>
      </c>
      <c r="E103" s="3145">
        <f t="shared" si="510"/>
        <v>1.62</v>
      </c>
      <c r="F103" s="3149">
        <v>1.62</v>
      </c>
      <c r="G103" s="3149"/>
      <c r="H103" s="3145">
        <f t="shared" si="1032"/>
        <v>4.1100000000000003</v>
      </c>
      <c r="I103" s="3149">
        <v>4.1100000000000003</v>
      </c>
      <c r="J103" s="3149"/>
      <c r="K103" s="3145">
        <f t="shared" si="1035"/>
        <v>4.7300000000000004</v>
      </c>
      <c r="L103" s="3149">
        <v>4.7300000000000004</v>
      </c>
      <c r="M103" s="3149"/>
      <c r="N103" s="3145">
        <f t="shared" si="1038"/>
        <v>10.46</v>
      </c>
      <c r="O103" s="3145">
        <f t="shared" si="1039"/>
        <v>10.46</v>
      </c>
      <c r="P103" s="3145">
        <f t="shared" si="1040"/>
        <v>0</v>
      </c>
      <c r="Q103" s="3210">
        <f t="shared" ref="Q103" si="1126">SUM(R103:S103)</f>
        <v>12.253150000000002</v>
      </c>
      <c r="R103" s="3210">
        <f t="shared" ref="R103" si="1127">SUM(C103)</f>
        <v>12.253150000000002</v>
      </c>
      <c r="S103" s="3210">
        <f t="shared" ref="S103" si="1128">SUM(D103)</f>
        <v>0</v>
      </c>
      <c r="T103" s="3145">
        <f t="shared" si="1042"/>
        <v>0.98</v>
      </c>
      <c r="U103" s="3149">
        <v>0.98</v>
      </c>
      <c r="V103" s="3149"/>
      <c r="W103" s="3145">
        <f t="shared" si="1045"/>
        <v>2.95</v>
      </c>
      <c r="X103" s="3149">
        <v>2.95</v>
      </c>
      <c r="Y103" s="3149"/>
      <c r="Z103" s="3145">
        <f t="shared" si="1048"/>
        <v>3.36</v>
      </c>
      <c r="AA103" s="3149">
        <v>3.36</v>
      </c>
      <c r="AB103" s="3149"/>
      <c r="AC103" s="3145">
        <f t="shared" si="944"/>
        <v>7.29</v>
      </c>
      <c r="AD103" s="3145">
        <f t="shared" si="945"/>
        <v>7.29</v>
      </c>
      <c r="AE103" s="3145">
        <f t="shared" si="946"/>
        <v>0</v>
      </c>
      <c r="AF103" s="3211">
        <f t="shared" si="1092"/>
        <v>24.506300000000003</v>
      </c>
      <c r="AG103" s="3211">
        <f t="shared" si="1093"/>
        <v>24.506300000000003</v>
      </c>
      <c r="AH103" s="3211">
        <f t="shared" si="1094"/>
        <v>0</v>
      </c>
      <c r="AI103" s="3194">
        <f t="shared" si="1051"/>
        <v>17.75</v>
      </c>
      <c r="AJ103" s="3194">
        <f t="shared" si="1052"/>
        <v>17.75</v>
      </c>
      <c r="AK103" s="3194">
        <f t="shared" si="1053"/>
        <v>0</v>
      </c>
      <c r="AL103" s="3194">
        <f t="shared" si="950"/>
        <v>-6.7563000000000031</v>
      </c>
      <c r="AM103" s="3194">
        <f t="shared" si="951"/>
        <v>-6.7563000000000031</v>
      </c>
      <c r="AN103" s="3194">
        <f t="shared" si="952"/>
        <v>0</v>
      </c>
      <c r="AO103" s="3210">
        <f t="shared" ref="AO103" si="1129">SUM(AP103:AQ103)</f>
        <v>12.253150000000002</v>
      </c>
      <c r="AP103" s="3210">
        <f t="shared" ref="AP103" si="1130">SUM(CC103-AG103)/2</f>
        <v>12.253150000000002</v>
      </c>
      <c r="AQ103" s="3210">
        <f t="shared" ref="AQ103" si="1131">SUM(CD103-AH103)/2</f>
        <v>0</v>
      </c>
      <c r="AR103" s="3145">
        <f t="shared" si="1055"/>
        <v>18.649999999999999</v>
      </c>
      <c r="AS103" s="3149">
        <v>18.649999999999999</v>
      </c>
      <c r="AT103" s="3149"/>
      <c r="AU103" s="3145">
        <f t="shared" si="1058"/>
        <v>2.14</v>
      </c>
      <c r="AV103" s="3149">
        <v>2.14</v>
      </c>
      <c r="AW103" s="3149"/>
      <c r="AX103" s="3145">
        <f t="shared" si="1061"/>
        <v>0.71</v>
      </c>
      <c r="AY103" s="3149">
        <v>0.71</v>
      </c>
      <c r="AZ103" s="3149"/>
      <c r="BA103" s="3145">
        <f t="shared" si="960"/>
        <v>21.5</v>
      </c>
      <c r="BB103" s="3145">
        <f t="shared" si="961"/>
        <v>21.5</v>
      </c>
      <c r="BC103" s="3145">
        <f t="shared" si="962"/>
        <v>0</v>
      </c>
      <c r="BD103" s="3211">
        <f t="shared" si="920"/>
        <v>36.759450000000001</v>
      </c>
      <c r="BE103" s="3211">
        <f t="shared" si="921"/>
        <v>36.759450000000001</v>
      </c>
      <c r="BF103" s="3211">
        <f t="shared" si="922"/>
        <v>0</v>
      </c>
      <c r="BG103" s="3194">
        <f t="shared" si="1064"/>
        <v>39.25</v>
      </c>
      <c r="BH103" s="3194">
        <f t="shared" si="1065"/>
        <v>39.25</v>
      </c>
      <c r="BI103" s="3194">
        <f t="shared" si="1066"/>
        <v>0</v>
      </c>
      <c r="BJ103" s="3194">
        <f t="shared" si="966"/>
        <v>2.4905499999999989</v>
      </c>
      <c r="BK103" s="3194">
        <f t="shared" si="967"/>
        <v>2.4905499999999989</v>
      </c>
      <c r="BL103" s="3194">
        <f t="shared" si="968"/>
        <v>0</v>
      </c>
      <c r="BM103" s="3210">
        <f t="shared" ref="BM103:BM107" si="1132">SUM(BN103:BO103)</f>
        <v>12.253150000000002</v>
      </c>
      <c r="BN103" s="3210">
        <f t="shared" ref="BN103" si="1133">SUM(AP103)</f>
        <v>12.253150000000002</v>
      </c>
      <c r="BO103" s="3210">
        <f t="shared" ref="BO103" si="1134">SUM(AQ103)</f>
        <v>0</v>
      </c>
      <c r="BP103" s="3145">
        <f t="shared" si="1068"/>
        <v>0</v>
      </c>
      <c r="BQ103" s="3149"/>
      <c r="BR103" s="3149"/>
      <c r="BS103" s="3145">
        <f t="shared" si="1071"/>
        <v>0</v>
      </c>
      <c r="BT103" s="3149"/>
      <c r="BU103" s="3149"/>
      <c r="BV103" s="3145">
        <f t="shared" si="1074"/>
        <v>0</v>
      </c>
      <c r="BW103" s="3149"/>
      <c r="BX103" s="3149"/>
      <c r="BY103" s="3145">
        <f t="shared" si="976"/>
        <v>0</v>
      </c>
      <c r="BZ103" s="3145">
        <f t="shared" si="977"/>
        <v>0</v>
      </c>
      <c r="CA103" s="3145">
        <f t="shared" si="978"/>
        <v>0</v>
      </c>
      <c r="CB103" s="3211">
        <f t="shared" si="828"/>
        <v>49.012600000000006</v>
      </c>
      <c r="CC103" s="3288">
        <f>102.26-53.2474</f>
        <v>49.012600000000006</v>
      </c>
      <c r="CD103" s="3288">
        <v>0</v>
      </c>
      <c r="CE103" s="3194">
        <f t="shared" si="1077"/>
        <v>39.25</v>
      </c>
      <c r="CF103" s="3194">
        <f t="shared" si="1078"/>
        <v>39.25</v>
      </c>
      <c r="CG103" s="3194">
        <f t="shared" si="1079"/>
        <v>0</v>
      </c>
      <c r="CH103" s="3194">
        <f t="shared" si="982"/>
        <v>-9.7626000000000062</v>
      </c>
      <c r="CI103" s="3194">
        <f t="shared" si="983"/>
        <v>-9.7626000000000062</v>
      </c>
      <c r="CJ103" s="3194">
        <f t="shared" si="984"/>
        <v>0</v>
      </c>
      <c r="CK103" s="3259"/>
      <c r="CL103" s="3259"/>
      <c r="CM103" s="3259"/>
    </row>
    <row r="104" spans="1:91" ht="18.75" customHeight="1" x14ac:dyDescent="0.3">
      <c r="A104" s="3172" t="s">
        <v>605</v>
      </c>
      <c r="B104" s="3208">
        <f t="shared" si="1123"/>
        <v>11.5825</v>
      </c>
      <c r="C104" s="3277">
        <f t="shared" ref="C104:D104" si="1135">SUM(C105:C106)</f>
        <v>11.5825</v>
      </c>
      <c r="D104" s="3277">
        <f t="shared" si="1135"/>
        <v>0</v>
      </c>
      <c r="E104" s="3136">
        <f t="shared" si="510"/>
        <v>0.86</v>
      </c>
      <c r="F104" s="3136">
        <f t="shared" ref="F104:G104" si="1136">SUM(F105:F106)</f>
        <v>0.86</v>
      </c>
      <c r="G104" s="3136">
        <f t="shared" si="1136"/>
        <v>0</v>
      </c>
      <c r="H104" s="3136">
        <f t="shared" si="1032"/>
        <v>0</v>
      </c>
      <c r="I104" s="3136">
        <f t="shared" ref="I104" si="1137">SUM(I105:I106)</f>
        <v>0</v>
      </c>
      <c r="J104" s="3136">
        <f t="shared" ref="J104" si="1138">SUM(J105:J106)</f>
        <v>0</v>
      </c>
      <c r="K104" s="3136">
        <f t="shared" si="1035"/>
        <v>0</v>
      </c>
      <c r="L104" s="3136">
        <f t="shared" ref="L104" si="1139">SUM(L105:L106)</f>
        <v>0</v>
      </c>
      <c r="M104" s="3136">
        <f t="shared" ref="M104" si="1140">SUM(M105:M106)</f>
        <v>0</v>
      </c>
      <c r="N104" s="3136">
        <f t="shared" si="1038"/>
        <v>0.86</v>
      </c>
      <c r="O104" s="3136">
        <f t="shared" si="1039"/>
        <v>0.86</v>
      </c>
      <c r="P104" s="3136">
        <f t="shared" si="1040"/>
        <v>0</v>
      </c>
      <c r="Q104" s="3208">
        <f t="shared" si="1083"/>
        <v>11.5825</v>
      </c>
      <c r="R104" s="3277">
        <f t="shared" ref="R104:S104" si="1141">SUM(R105:R106)</f>
        <v>11.5825</v>
      </c>
      <c r="S104" s="3277">
        <f t="shared" si="1141"/>
        <v>0</v>
      </c>
      <c r="T104" s="3136">
        <f t="shared" si="1042"/>
        <v>0</v>
      </c>
      <c r="U104" s="3136">
        <f t="shared" ref="U104" si="1142">SUM(U105:U106)</f>
        <v>0</v>
      </c>
      <c r="V104" s="3136">
        <f t="shared" ref="V104" si="1143">SUM(V105:V106)</f>
        <v>0</v>
      </c>
      <c r="W104" s="3136">
        <f t="shared" si="1045"/>
        <v>0</v>
      </c>
      <c r="X104" s="3136">
        <f t="shared" ref="X104" si="1144">SUM(X105:X106)</f>
        <v>0</v>
      </c>
      <c r="Y104" s="3136">
        <f t="shared" ref="Y104" si="1145">SUM(Y105:Y106)</f>
        <v>0</v>
      </c>
      <c r="Z104" s="3136">
        <f t="shared" si="1048"/>
        <v>0</v>
      </c>
      <c r="AA104" s="3136">
        <f t="shared" ref="AA104" si="1146">SUM(AA105:AA106)</f>
        <v>0</v>
      </c>
      <c r="AB104" s="3136">
        <f t="shared" ref="AB104" si="1147">SUM(AB105:AB106)</f>
        <v>0</v>
      </c>
      <c r="AC104" s="3136">
        <f t="shared" si="944"/>
        <v>0</v>
      </c>
      <c r="AD104" s="3136">
        <f t="shared" si="945"/>
        <v>0</v>
      </c>
      <c r="AE104" s="3136">
        <f t="shared" si="946"/>
        <v>0</v>
      </c>
      <c r="AF104" s="3209">
        <f t="shared" si="1092"/>
        <v>23.164999999999999</v>
      </c>
      <c r="AG104" s="3209">
        <f t="shared" si="1093"/>
        <v>23.164999999999999</v>
      </c>
      <c r="AH104" s="3209">
        <f t="shared" si="1094"/>
        <v>0</v>
      </c>
      <c r="AI104" s="3264">
        <f t="shared" si="1051"/>
        <v>0.86</v>
      </c>
      <c r="AJ104" s="3264">
        <f t="shared" si="1052"/>
        <v>0.86</v>
      </c>
      <c r="AK104" s="3264">
        <f t="shared" si="1053"/>
        <v>0</v>
      </c>
      <c r="AL104" s="3264">
        <f t="shared" si="950"/>
        <v>-22.305</v>
      </c>
      <c r="AM104" s="3264">
        <f t="shared" si="951"/>
        <v>-22.305</v>
      </c>
      <c r="AN104" s="3264">
        <f t="shared" si="952"/>
        <v>0</v>
      </c>
      <c r="AO104" s="3208">
        <f t="shared" si="1086"/>
        <v>11.5825</v>
      </c>
      <c r="AP104" s="3277">
        <f t="shared" ref="AP104:AQ104" si="1148">SUM(AP105:AP106)</f>
        <v>11.5825</v>
      </c>
      <c r="AQ104" s="3277">
        <f t="shared" si="1148"/>
        <v>0</v>
      </c>
      <c r="AR104" s="3136">
        <f t="shared" si="1055"/>
        <v>45.45</v>
      </c>
      <c r="AS104" s="3136">
        <f t="shared" ref="AS104" si="1149">SUM(AS105:AS106)</f>
        <v>45.45</v>
      </c>
      <c r="AT104" s="3136">
        <f t="shared" ref="AT104" si="1150">SUM(AT105:AT106)</f>
        <v>0</v>
      </c>
      <c r="AU104" s="3136">
        <f t="shared" si="1058"/>
        <v>54.97</v>
      </c>
      <c r="AV104" s="3136">
        <f t="shared" ref="AV104" si="1151">SUM(AV105:AV106)</f>
        <v>54.97</v>
      </c>
      <c r="AW104" s="3136">
        <f t="shared" ref="AW104" si="1152">SUM(AW105:AW106)</f>
        <v>0</v>
      </c>
      <c r="AX104" s="3136">
        <f t="shared" si="1061"/>
        <v>32.1</v>
      </c>
      <c r="AY104" s="3136">
        <f t="shared" ref="AY104" si="1153">SUM(AY105:AY106)</f>
        <v>32.1</v>
      </c>
      <c r="AZ104" s="3136">
        <f t="shared" ref="AZ104" si="1154">SUM(AZ105:AZ106)</f>
        <v>0</v>
      </c>
      <c r="BA104" s="3136">
        <f t="shared" si="960"/>
        <v>132.52000000000001</v>
      </c>
      <c r="BB104" s="3136">
        <f t="shared" si="961"/>
        <v>132.52000000000001</v>
      </c>
      <c r="BC104" s="3136">
        <f t="shared" si="962"/>
        <v>0</v>
      </c>
      <c r="BD104" s="3209">
        <f t="shared" si="920"/>
        <v>34.747500000000002</v>
      </c>
      <c r="BE104" s="3209">
        <f t="shared" si="921"/>
        <v>34.747500000000002</v>
      </c>
      <c r="BF104" s="3209">
        <f t="shared" si="922"/>
        <v>0</v>
      </c>
      <c r="BG104" s="3264">
        <f t="shared" si="1064"/>
        <v>133.38000000000002</v>
      </c>
      <c r="BH104" s="3264">
        <f t="shared" si="1065"/>
        <v>133.38000000000002</v>
      </c>
      <c r="BI104" s="3264">
        <f t="shared" si="1066"/>
        <v>0</v>
      </c>
      <c r="BJ104" s="3264">
        <f t="shared" si="966"/>
        <v>98.632500000000022</v>
      </c>
      <c r="BK104" s="3264">
        <f t="shared" si="967"/>
        <v>98.632500000000022</v>
      </c>
      <c r="BL104" s="3264">
        <f t="shared" si="968"/>
        <v>0</v>
      </c>
      <c r="BM104" s="3208">
        <f t="shared" si="1132"/>
        <v>11.5825</v>
      </c>
      <c r="BN104" s="3277">
        <f t="shared" ref="BN104:BO104" si="1155">SUM(BN105:BN106)</f>
        <v>11.5825</v>
      </c>
      <c r="BO104" s="3277">
        <f t="shared" si="1155"/>
        <v>0</v>
      </c>
      <c r="BP104" s="3136">
        <f t="shared" si="1068"/>
        <v>0</v>
      </c>
      <c r="BQ104" s="3136">
        <f t="shared" ref="BQ104" si="1156">SUM(BQ105:BQ106)</f>
        <v>0</v>
      </c>
      <c r="BR104" s="3136">
        <f t="shared" ref="BR104" si="1157">SUM(BR105:BR106)</f>
        <v>0</v>
      </c>
      <c r="BS104" s="3136">
        <f t="shared" si="1071"/>
        <v>0</v>
      </c>
      <c r="BT104" s="3136">
        <f t="shared" ref="BT104" si="1158">SUM(BT105:BT106)</f>
        <v>0</v>
      </c>
      <c r="BU104" s="3136">
        <f t="shared" ref="BU104" si="1159">SUM(BU105:BU106)</f>
        <v>0</v>
      </c>
      <c r="BV104" s="3136">
        <f t="shared" si="1074"/>
        <v>0</v>
      </c>
      <c r="BW104" s="3136">
        <f t="shared" ref="BW104" si="1160">SUM(BW105:BW106)</f>
        <v>0</v>
      </c>
      <c r="BX104" s="3136">
        <f t="shared" ref="BX104" si="1161">SUM(BX105:BX106)</f>
        <v>0</v>
      </c>
      <c r="BY104" s="3136">
        <f t="shared" si="976"/>
        <v>0</v>
      </c>
      <c r="BZ104" s="3136">
        <f t="shared" si="977"/>
        <v>0</v>
      </c>
      <c r="CA104" s="3136">
        <f t="shared" si="978"/>
        <v>0</v>
      </c>
      <c r="CB104" s="3209">
        <f t="shared" si="828"/>
        <v>46.33</v>
      </c>
      <c r="CC104" s="3287">
        <f t="shared" ref="CC104:CD104" si="1162">SUM(CC105:CC106)</f>
        <v>46.33</v>
      </c>
      <c r="CD104" s="3287">
        <f t="shared" si="1162"/>
        <v>0</v>
      </c>
      <c r="CE104" s="3264">
        <f t="shared" si="1077"/>
        <v>133.38000000000002</v>
      </c>
      <c r="CF104" s="3264">
        <f t="shared" si="1078"/>
        <v>133.38000000000002</v>
      </c>
      <c r="CG104" s="3264">
        <f t="shared" si="1079"/>
        <v>0</v>
      </c>
      <c r="CH104" s="3264">
        <f t="shared" si="982"/>
        <v>87.050000000000026</v>
      </c>
      <c r="CI104" s="3264">
        <f t="shared" si="983"/>
        <v>87.050000000000026</v>
      </c>
      <c r="CJ104" s="3264">
        <f t="shared" si="984"/>
        <v>0</v>
      </c>
      <c r="CK104" s="3259"/>
      <c r="CL104" s="3259"/>
      <c r="CM104" s="3259"/>
    </row>
    <row r="105" spans="1:91" ht="18.75" customHeight="1" x14ac:dyDescent="0.3">
      <c r="A105" s="3079" t="s">
        <v>543</v>
      </c>
      <c r="B105" s="3210">
        <f t="shared" ref="B105:B107" si="1163">SUM(C105:D105)</f>
        <v>10.9825</v>
      </c>
      <c r="C105" s="3210">
        <f t="shared" ref="C105:C106" si="1164">SUM(CC105/4)</f>
        <v>10.9825</v>
      </c>
      <c r="D105" s="3210">
        <f t="shared" ref="D105:D106" si="1165">SUM(CD105/4)</f>
        <v>0</v>
      </c>
      <c r="E105" s="3145">
        <f t="shared" si="510"/>
        <v>0</v>
      </c>
      <c r="F105" s="3149"/>
      <c r="G105" s="3149"/>
      <c r="H105" s="3145">
        <f t="shared" si="1032"/>
        <v>0</v>
      </c>
      <c r="I105" s="3149"/>
      <c r="J105" s="3149"/>
      <c r="K105" s="3145">
        <f t="shared" si="1035"/>
        <v>0</v>
      </c>
      <c r="L105" s="3149"/>
      <c r="M105" s="3149"/>
      <c r="N105" s="3145">
        <f t="shared" si="1038"/>
        <v>0</v>
      </c>
      <c r="O105" s="3145">
        <f t="shared" si="1039"/>
        <v>0</v>
      </c>
      <c r="P105" s="3145">
        <f t="shared" si="1040"/>
        <v>0</v>
      </c>
      <c r="Q105" s="3210">
        <f t="shared" si="1083"/>
        <v>10.9825</v>
      </c>
      <c r="R105" s="3210">
        <f t="shared" ref="R105:R106" si="1166">SUM(C105)</f>
        <v>10.9825</v>
      </c>
      <c r="S105" s="3210">
        <f t="shared" ref="S105:S106" si="1167">SUM(D105)</f>
        <v>0</v>
      </c>
      <c r="T105" s="3145">
        <f t="shared" si="1042"/>
        <v>0</v>
      </c>
      <c r="U105" s="3149"/>
      <c r="V105" s="3149"/>
      <c r="W105" s="3145">
        <f t="shared" si="1045"/>
        <v>0</v>
      </c>
      <c r="X105" s="3149"/>
      <c r="Y105" s="3149"/>
      <c r="Z105" s="3145">
        <f t="shared" si="1048"/>
        <v>0</v>
      </c>
      <c r="AA105" s="3149"/>
      <c r="AB105" s="3149"/>
      <c r="AC105" s="3145">
        <f t="shared" si="944"/>
        <v>0</v>
      </c>
      <c r="AD105" s="3145">
        <f t="shared" si="945"/>
        <v>0</v>
      </c>
      <c r="AE105" s="3145">
        <f t="shared" si="946"/>
        <v>0</v>
      </c>
      <c r="AF105" s="3211">
        <f t="shared" si="1092"/>
        <v>21.965</v>
      </c>
      <c r="AG105" s="3211">
        <f t="shared" si="1093"/>
        <v>21.965</v>
      </c>
      <c r="AH105" s="3211">
        <f t="shared" si="1094"/>
        <v>0</v>
      </c>
      <c r="AI105" s="3194">
        <f t="shared" si="1051"/>
        <v>0</v>
      </c>
      <c r="AJ105" s="3194">
        <f t="shared" si="1052"/>
        <v>0</v>
      </c>
      <c r="AK105" s="3194">
        <f t="shared" si="1053"/>
        <v>0</v>
      </c>
      <c r="AL105" s="3194">
        <f t="shared" si="950"/>
        <v>-21.965</v>
      </c>
      <c r="AM105" s="3194">
        <f t="shared" si="951"/>
        <v>-21.965</v>
      </c>
      <c r="AN105" s="3194">
        <f t="shared" si="952"/>
        <v>0</v>
      </c>
      <c r="AO105" s="3210">
        <f t="shared" si="1086"/>
        <v>10.9825</v>
      </c>
      <c r="AP105" s="3210">
        <f t="shared" ref="AP105" si="1168">SUM(CC105-AG105)/2</f>
        <v>10.9825</v>
      </c>
      <c r="AQ105" s="3210">
        <f t="shared" ref="AQ105" si="1169">SUM(CD105-AH105)/2</f>
        <v>0</v>
      </c>
      <c r="AR105" s="3145">
        <f t="shared" si="1055"/>
        <v>45.45</v>
      </c>
      <c r="AS105" s="3149">
        <v>45.45</v>
      </c>
      <c r="AT105" s="3149"/>
      <c r="AU105" s="3145">
        <f t="shared" si="1058"/>
        <v>54.97</v>
      </c>
      <c r="AV105" s="3149">
        <f>23.91+31.06</f>
        <v>54.97</v>
      </c>
      <c r="AW105" s="3149"/>
      <c r="AX105" s="3145">
        <f t="shared" si="1061"/>
        <v>32.1</v>
      </c>
      <c r="AY105" s="3149">
        <v>32.1</v>
      </c>
      <c r="AZ105" s="3149"/>
      <c r="BA105" s="3145">
        <f t="shared" si="960"/>
        <v>132.52000000000001</v>
      </c>
      <c r="BB105" s="3145">
        <f t="shared" si="961"/>
        <v>132.52000000000001</v>
      </c>
      <c r="BC105" s="3145">
        <f t="shared" si="962"/>
        <v>0</v>
      </c>
      <c r="BD105" s="3211">
        <f t="shared" si="920"/>
        <v>32.947499999999998</v>
      </c>
      <c r="BE105" s="3211">
        <f t="shared" si="921"/>
        <v>32.947499999999998</v>
      </c>
      <c r="BF105" s="3211">
        <f t="shared" si="922"/>
        <v>0</v>
      </c>
      <c r="BG105" s="3194">
        <f t="shared" si="1064"/>
        <v>132.52000000000001</v>
      </c>
      <c r="BH105" s="3194">
        <f t="shared" si="1065"/>
        <v>132.52000000000001</v>
      </c>
      <c r="BI105" s="3194">
        <f t="shared" si="1066"/>
        <v>0</v>
      </c>
      <c r="BJ105" s="3194">
        <f t="shared" si="966"/>
        <v>99.572500000000019</v>
      </c>
      <c r="BK105" s="3194">
        <f t="shared" si="967"/>
        <v>99.572500000000019</v>
      </c>
      <c r="BL105" s="3194">
        <f t="shared" si="968"/>
        <v>0</v>
      </c>
      <c r="BM105" s="3210">
        <f t="shared" si="1132"/>
        <v>10.9825</v>
      </c>
      <c r="BN105" s="3210">
        <f t="shared" ref="BN105:BN106" si="1170">SUM(AP105)</f>
        <v>10.9825</v>
      </c>
      <c r="BO105" s="3210">
        <f t="shared" ref="BO105:BO106" si="1171">SUM(AQ105)</f>
        <v>0</v>
      </c>
      <c r="BP105" s="3145">
        <f t="shared" si="1068"/>
        <v>0</v>
      </c>
      <c r="BQ105" s="3149"/>
      <c r="BR105" s="3149"/>
      <c r="BS105" s="3145">
        <f t="shared" si="1071"/>
        <v>0</v>
      </c>
      <c r="BT105" s="3149"/>
      <c r="BU105" s="3149"/>
      <c r="BV105" s="3145">
        <f t="shared" si="1074"/>
        <v>0</v>
      </c>
      <c r="BW105" s="3149"/>
      <c r="BX105" s="3149"/>
      <c r="BY105" s="3145">
        <f t="shared" si="976"/>
        <v>0</v>
      </c>
      <c r="BZ105" s="3145">
        <f t="shared" si="977"/>
        <v>0</v>
      </c>
      <c r="CA105" s="3145">
        <f t="shared" si="978"/>
        <v>0</v>
      </c>
      <c r="CB105" s="3211">
        <f t="shared" si="828"/>
        <v>43.93</v>
      </c>
      <c r="CC105" s="3288">
        <v>43.93</v>
      </c>
      <c r="CD105" s="3288">
        <v>0</v>
      </c>
      <c r="CE105" s="3194">
        <f t="shared" si="1077"/>
        <v>132.52000000000001</v>
      </c>
      <c r="CF105" s="3194">
        <f t="shared" si="1078"/>
        <v>132.52000000000001</v>
      </c>
      <c r="CG105" s="3194">
        <f t="shared" si="1079"/>
        <v>0</v>
      </c>
      <c r="CH105" s="3194">
        <f t="shared" si="982"/>
        <v>88.59</v>
      </c>
      <c r="CI105" s="3194">
        <f t="shared" si="983"/>
        <v>88.59</v>
      </c>
      <c r="CJ105" s="3194">
        <f t="shared" si="984"/>
        <v>0</v>
      </c>
      <c r="CK105" s="3259"/>
      <c r="CL105" s="3259"/>
      <c r="CM105" s="3259"/>
    </row>
    <row r="106" spans="1:91" ht="18.75" customHeight="1" x14ac:dyDescent="0.3">
      <c r="A106" s="3079" t="s">
        <v>609</v>
      </c>
      <c r="B106" s="3210">
        <f t="shared" si="1163"/>
        <v>0.6</v>
      </c>
      <c r="C106" s="3210">
        <f t="shared" si="1164"/>
        <v>0.6</v>
      </c>
      <c r="D106" s="3210">
        <f t="shared" si="1165"/>
        <v>0</v>
      </c>
      <c r="E106" s="3145">
        <f t="shared" si="510"/>
        <v>0.86</v>
      </c>
      <c r="F106" s="3149">
        <v>0.86</v>
      </c>
      <c r="G106" s="3149"/>
      <c r="H106" s="3145">
        <f t="shared" si="1032"/>
        <v>0</v>
      </c>
      <c r="I106" s="3149"/>
      <c r="J106" s="3149"/>
      <c r="K106" s="3145">
        <f t="shared" si="1035"/>
        <v>0</v>
      </c>
      <c r="L106" s="3149"/>
      <c r="M106" s="3149"/>
      <c r="N106" s="3145">
        <f t="shared" si="1038"/>
        <v>0.86</v>
      </c>
      <c r="O106" s="3145">
        <f t="shared" si="1039"/>
        <v>0.86</v>
      </c>
      <c r="P106" s="3145">
        <f t="shared" si="1040"/>
        <v>0</v>
      </c>
      <c r="Q106" s="3210">
        <f t="shared" si="1083"/>
        <v>0.6</v>
      </c>
      <c r="R106" s="3210">
        <f t="shared" si="1166"/>
        <v>0.6</v>
      </c>
      <c r="S106" s="3210">
        <f t="shared" si="1167"/>
        <v>0</v>
      </c>
      <c r="T106" s="3145">
        <f t="shared" si="1042"/>
        <v>0</v>
      </c>
      <c r="U106" s="3149"/>
      <c r="V106" s="3149"/>
      <c r="W106" s="3145">
        <f t="shared" si="1045"/>
        <v>0</v>
      </c>
      <c r="X106" s="3149"/>
      <c r="Y106" s="3149"/>
      <c r="Z106" s="3145">
        <f t="shared" si="1048"/>
        <v>0</v>
      </c>
      <c r="AA106" s="3149"/>
      <c r="AB106" s="3149"/>
      <c r="AC106" s="3145">
        <f t="shared" si="944"/>
        <v>0</v>
      </c>
      <c r="AD106" s="3145">
        <f t="shared" si="945"/>
        <v>0</v>
      </c>
      <c r="AE106" s="3145">
        <f t="shared" si="946"/>
        <v>0</v>
      </c>
      <c r="AF106" s="3211">
        <f t="shared" si="1092"/>
        <v>1.2</v>
      </c>
      <c r="AG106" s="3211">
        <f t="shared" si="1093"/>
        <v>1.2</v>
      </c>
      <c r="AH106" s="3211">
        <f t="shared" si="1094"/>
        <v>0</v>
      </c>
      <c r="AI106" s="3194">
        <f t="shared" si="1051"/>
        <v>0.86</v>
      </c>
      <c r="AJ106" s="3194">
        <f t="shared" si="1052"/>
        <v>0.86</v>
      </c>
      <c r="AK106" s="3194">
        <f t="shared" si="1053"/>
        <v>0</v>
      </c>
      <c r="AL106" s="3194">
        <f t="shared" si="950"/>
        <v>-0.33999999999999997</v>
      </c>
      <c r="AM106" s="3194">
        <f t="shared" si="951"/>
        <v>-0.33999999999999997</v>
      </c>
      <c r="AN106" s="3194">
        <f t="shared" si="952"/>
        <v>0</v>
      </c>
      <c r="AO106" s="3210">
        <f t="shared" ref="AO106:AO107" si="1172">SUM(AP106:AQ106)</f>
        <v>0.6</v>
      </c>
      <c r="AP106" s="3210">
        <f t="shared" ref="AP106" si="1173">SUM(CC106-AG106)/2</f>
        <v>0.6</v>
      </c>
      <c r="AQ106" s="3210">
        <f t="shared" ref="AQ106" si="1174">SUM(CD106-AH106)/2</f>
        <v>0</v>
      </c>
      <c r="AR106" s="3145">
        <f t="shared" si="1055"/>
        <v>0</v>
      </c>
      <c r="AS106" s="3149"/>
      <c r="AT106" s="3149"/>
      <c r="AU106" s="3145">
        <f t="shared" si="1058"/>
        <v>0</v>
      </c>
      <c r="AV106" s="3149"/>
      <c r="AW106" s="3149"/>
      <c r="AX106" s="3145">
        <f t="shared" si="1061"/>
        <v>0</v>
      </c>
      <c r="AY106" s="3149"/>
      <c r="AZ106" s="3149"/>
      <c r="BA106" s="3145">
        <f t="shared" si="960"/>
        <v>0</v>
      </c>
      <c r="BB106" s="3145">
        <f t="shared" si="961"/>
        <v>0</v>
      </c>
      <c r="BC106" s="3145">
        <f t="shared" si="962"/>
        <v>0</v>
      </c>
      <c r="BD106" s="3211">
        <f t="shared" si="920"/>
        <v>1.7999999999999998</v>
      </c>
      <c r="BE106" s="3211">
        <f t="shared" si="921"/>
        <v>1.7999999999999998</v>
      </c>
      <c r="BF106" s="3211">
        <f t="shared" si="922"/>
        <v>0</v>
      </c>
      <c r="BG106" s="3194">
        <f t="shared" si="1064"/>
        <v>0.86</v>
      </c>
      <c r="BH106" s="3194">
        <f t="shared" si="1065"/>
        <v>0.86</v>
      </c>
      <c r="BI106" s="3194">
        <f t="shared" si="1066"/>
        <v>0</v>
      </c>
      <c r="BJ106" s="3194">
        <f t="shared" si="966"/>
        <v>-0.93999999999999984</v>
      </c>
      <c r="BK106" s="3194">
        <f t="shared" si="967"/>
        <v>-0.93999999999999984</v>
      </c>
      <c r="BL106" s="3194">
        <f t="shared" si="968"/>
        <v>0</v>
      </c>
      <c r="BM106" s="3210">
        <f t="shared" si="1132"/>
        <v>0.6</v>
      </c>
      <c r="BN106" s="3210">
        <f t="shared" si="1170"/>
        <v>0.6</v>
      </c>
      <c r="BO106" s="3210">
        <f t="shared" si="1171"/>
        <v>0</v>
      </c>
      <c r="BP106" s="3145">
        <f t="shared" si="1068"/>
        <v>0</v>
      </c>
      <c r="BQ106" s="3149"/>
      <c r="BR106" s="3149"/>
      <c r="BS106" s="3145">
        <f t="shared" si="1071"/>
        <v>0</v>
      </c>
      <c r="BT106" s="3149"/>
      <c r="BU106" s="3149"/>
      <c r="BV106" s="3145">
        <f t="shared" si="1074"/>
        <v>0</v>
      </c>
      <c r="BW106" s="3149"/>
      <c r="BX106" s="3149"/>
      <c r="BY106" s="3145">
        <f t="shared" si="976"/>
        <v>0</v>
      </c>
      <c r="BZ106" s="3145">
        <f t="shared" si="977"/>
        <v>0</v>
      </c>
      <c r="CA106" s="3145">
        <f t="shared" si="978"/>
        <v>0</v>
      </c>
      <c r="CB106" s="3211">
        <v>0</v>
      </c>
      <c r="CC106" s="3288">
        <v>2.4</v>
      </c>
      <c r="CD106" s="3288">
        <v>0</v>
      </c>
      <c r="CE106" s="3194">
        <f t="shared" si="1077"/>
        <v>0.86</v>
      </c>
      <c r="CF106" s="3194">
        <f t="shared" si="1078"/>
        <v>0.86</v>
      </c>
      <c r="CG106" s="3194">
        <f t="shared" si="1079"/>
        <v>0</v>
      </c>
      <c r="CH106" s="3194">
        <f t="shared" si="982"/>
        <v>0.86</v>
      </c>
      <c r="CI106" s="3194">
        <f t="shared" si="983"/>
        <v>-1.54</v>
      </c>
      <c r="CJ106" s="3194">
        <f t="shared" si="984"/>
        <v>0</v>
      </c>
      <c r="CK106" s="3259"/>
      <c r="CL106" s="3259"/>
      <c r="CM106" s="3259"/>
    </row>
    <row r="107" spans="1:91" ht="18.75" customHeight="1" x14ac:dyDescent="0.3">
      <c r="A107" s="3158" t="s">
        <v>3602</v>
      </c>
      <c r="B107" s="3207">
        <f t="shared" si="1163"/>
        <v>252.41615507494686</v>
      </c>
      <c r="C107" s="3251">
        <f t="shared" ref="C107:D107" si="1175">SUM(C108:C110)</f>
        <v>250.93761194363461</v>
      </c>
      <c r="D107" s="3251">
        <f t="shared" si="1175"/>
        <v>1.4785431313122359</v>
      </c>
      <c r="E107" s="3156">
        <f t="shared" si="510"/>
        <v>0</v>
      </c>
      <c r="F107" s="3156">
        <f t="shared" ref="F107:G107" si="1176">SUM(F108:F110)</f>
        <v>0</v>
      </c>
      <c r="G107" s="3156">
        <f t="shared" si="1176"/>
        <v>0</v>
      </c>
      <c r="H107" s="3156">
        <f t="shared" si="1032"/>
        <v>0</v>
      </c>
      <c r="I107" s="3156">
        <f t="shared" ref="I107" si="1177">SUM(I108:I110)</f>
        <v>0</v>
      </c>
      <c r="J107" s="3156">
        <f t="shared" ref="J107" si="1178">SUM(J108:J110)</f>
        <v>0</v>
      </c>
      <c r="K107" s="3156">
        <f t="shared" si="1035"/>
        <v>25.380000000000003</v>
      </c>
      <c r="L107" s="3156">
        <f t="shared" ref="L107" si="1179">SUM(L108:L110)</f>
        <v>25.380000000000003</v>
      </c>
      <c r="M107" s="3156">
        <f t="shared" ref="M107" si="1180">SUM(M108:M110)</f>
        <v>0</v>
      </c>
      <c r="N107" s="3156">
        <f t="shared" ref="N107:N119" si="1181">SUM(O107:P107)</f>
        <v>25.380000000000003</v>
      </c>
      <c r="O107" s="3156">
        <f t="shared" ref="O107:O119" si="1182">SUM(F107+I107+L107)</f>
        <v>25.380000000000003</v>
      </c>
      <c r="P107" s="3156">
        <f t="shared" ref="P107:P119" si="1183">SUM(G107+J107+M107)</f>
        <v>0</v>
      </c>
      <c r="Q107" s="3207">
        <f t="shared" si="1083"/>
        <v>252.41615507494686</v>
      </c>
      <c r="R107" s="3251">
        <f t="shared" ref="R107:S107" si="1184">SUM(R108:R110)</f>
        <v>250.93761194363461</v>
      </c>
      <c r="S107" s="3251">
        <f t="shared" si="1184"/>
        <v>1.4785431313122359</v>
      </c>
      <c r="T107" s="3156">
        <f t="shared" si="1042"/>
        <v>0</v>
      </c>
      <c r="U107" s="3156">
        <f t="shared" ref="U107" si="1185">SUM(U108:U110)</f>
        <v>0</v>
      </c>
      <c r="V107" s="3156">
        <f t="shared" ref="V107" si="1186">SUM(V108:V110)</f>
        <v>0</v>
      </c>
      <c r="W107" s="3156">
        <f t="shared" si="1045"/>
        <v>0</v>
      </c>
      <c r="X107" s="3156">
        <f t="shared" ref="X107" si="1187">SUM(X108:X110)</f>
        <v>0</v>
      </c>
      <c r="Y107" s="3156">
        <f t="shared" ref="Y107" si="1188">SUM(Y108:Y110)</f>
        <v>0</v>
      </c>
      <c r="Z107" s="3156">
        <f t="shared" si="1048"/>
        <v>27.72</v>
      </c>
      <c r="AA107" s="3156">
        <f t="shared" ref="AA107" si="1189">SUM(AA108:AA110)</f>
        <v>27.72</v>
      </c>
      <c r="AB107" s="3156">
        <f t="shared" ref="AB107" si="1190">SUM(AB108:AB110)</f>
        <v>0</v>
      </c>
      <c r="AC107" s="3156">
        <f t="shared" si="944"/>
        <v>27.72</v>
      </c>
      <c r="AD107" s="3156">
        <f t="shared" si="945"/>
        <v>27.72</v>
      </c>
      <c r="AE107" s="3156">
        <f t="shared" si="946"/>
        <v>0</v>
      </c>
      <c r="AF107" s="3206">
        <f t="shared" si="1092"/>
        <v>504.83231014989371</v>
      </c>
      <c r="AG107" s="3206">
        <f t="shared" si="1093"/>
        <v>501.87522388726921</v>
      </c>
      <c r="AH107" s="3206">
        <f t="shared" si="1094"/>
        <v>2.9570862626244718</v>
      </c>
      <c r="AI107" s="3193">
        <f t="shared" ref="AI107:AI121" si="1191">SUM(AC107+N107)</f>
        <v>53.1</v>
      </c>
      <c r="AJ107" s="3193">
        <f t="shared" ref="AJ107:AJ121" si="1192">SUM(AD107+O107)</f>
        <v>53.1</v>
      </c>
      <c r="AK107" s="3193">
        <f t="shared" ref="AK107:AK121" si="1193">SUM(AE107+P107)</f>
        <v>0</v>
      </c>
      <c r="AL107" s="3193">
        <f t="shared" ref="AL107:AL122" si="1194">SUM(AI107-AF107)</f>
        <v>-451.73231014989369</v>
      </c>
      <c r="AM107" s="3193">
        <f t="shared" ref="AM107:AM122" si="1195">SUM(AJ107-AG107)</f>
        <v>-448.77522388726919</v>
      </c>
      <c r="AN107" s="3193">
        <f t="shared" ref="AN107:AN122" si="1196">SUM(AK107-AH107)</f>
        <v>-2.9570862626244718</v>
      </c>
      <c r="AO107" s="3207">
        <f t="shared" si="1172"/>
        <v>252.41615507494686</v>
      </c>
      <c r="AP107" s="3251">
        <f t="shared" ref="AP107:AQ107" si="1197">SUM(AP108:AP110)</f>
        <v>250.93761194363461</v>
      </c>
      <c r="AQ107" s="3251">
        <f t="shared" si="1197"/>
        <v>1.4785431313122359</v>
      </c>
      <c r="AR107" s="3156">
        <f t="shared" si="1055"/>
        <v>0</v>
      </c>
      <c r="AS107" s="3156">
        <f t="shared" ref="AS107" si="1198">SUM(AS108:AS110)</f>
        <v>0</v>
      </c>
      <c r="AT107" s="3156">
        <f t="shared" ref="AT107" si="1199">SUM(AT108:AT110)</f>
        <v>0</v>
      </c>
      <c r="AU107" s="3156">
        <f t="shared" si="1058"/>
        <v>0</v>
      </c>
      <c r="AV107" s="3156">
        <f t="shared" ref="AV107" si="1200">SUM(AV108:AV110)</f>
        <v>0</v>
      </c>
      <c r="AW107" s="3156">
        <f t="shared" ref="AW107" si="1201">SUM(AW108:AW110)</f>
        <v>0</v>
      </c>
      <c r="AX107" s="3156">
        <f t="shared" si="1061"/>
        <v>27.71</v>
      </c>
      <c r="AY107" s="3156">
        <f t="shared" ref="AY107" si="1202">SUM(AY108:AY110)</f>
        <v>27.71</v>
      </c>
      <c r="AZ107" s="3156">
        <f t="shared" ref="AZ107" si="1203">SUM(AZ108:AZ110)</f>
        <v>0</v>
      </c>
      <c r="BA107" s="3156">
        <f t="shared" ref="BA107:BA121" si="1204">SUM(BB107:BC107)</f>
        <v>27.71</v>
      </c>
      <c r="BB107" s="3156">
        <f t="shared" ref="BB107:BB121" si="1205">SUM(AS107+AV107+AY107)</f>
        <v>27.71</v>
      </c>
      <c r="BC107" s="3156">
        <f t="shared" ref="BC107:BC121" si="1206">SUM(AT107+AW107+AZ107)</f>
        <v>0</v>
      </c>
      <c r="BD107" s="3206">
        <f t="shared" si="920"/>
        <v>757.24846522484052</v>
      </c>
      <c r="BE107" s="3206">
        <f t="shared" si="921"/>
        <v>752.81283583090385</v>
      </c>
      <c r="BF107" s="3206">
        <f t="shared" si="922"/>
        <v>4.4356293939367077</v>
      </c>
      <c r="BG107" s="3193">
        <f t="shared" ref="BG107:BG121" si="1207">SUM(AI107+BA107)</f>
        <v>80.81</v>
      </c>
      <c r="BH107" s="3193">
        <f t="shared" ref="BH107:BH121" si="1208">SUM(AJ107+BB107)</f>
        <v>80.81</v>
      </c>
      <c r="BI107" s="3193">
        <f t="shared" ref="BI107:BI121" si="1209">SUM(AK107+BC107)</f>
        <v>0</v>
      </c>
      <c r="BJ107" s="3193">
        <f t="shared" ref="BJ107:BJ122" si="1210">SUM(BG107-BD107)</f>
        <v>-676.43846522484046</v>
      </c>
      <c r="BK107" s="3193">
        <f t="shared" ref="BK107:BK122" si="1211">SUM(BH107-BE107)</f>
        <v>-672.0028358309039</v>
      </c>
      <c r="BL107" s="3193">
        <f t="shared" ref="BL107:BL122" si="1212">SUM(BI107-BF107)</f>
        <v>-4.4356293939367077</v>
      </c>
      <c r="BM107" s="3207">
        <f t="shared" si="1132"/>
        <v>252.41615507494686</v>
      </c>
      <c r="BN107" s="3251">
        <f t="shared" ref="BN107:BO107" si="1213">SUM(BN108:BN110)</f>
        <v>250.93761194363461</v>
      </c>
      <c r="BO107" s="3251">
        <f t="shared" si="1213"/>
        <v>1.4785431313122359</v>
      </c>
      <c r="BP107" s="3156">
        <f t="shared" si="1068"/>
        <v>0</v>
      </c>
      <c r="BQ107" s="3156">
        <f t="shared" ref="BQ107" si="1214">SUM(BQ108:BQ110)</f>
        <v>0</v>
      </c>
      <c r="BR107" s="3156">
        <f t="shared" ref="BR107" si="1215">SUM(BR108:BR110)</f>
        <v>0</v>
      </c>
      <c r="BS107" s="3156">
        <f t="shared" si="1071"/>
        <v>0</v>
      </c>
      <c r="BT107" s="3156">
        <f t="shared" ref="BT107" si="1216">SUM(BT108:BT110)</f>
        <v>0</v>
      </c>
      <c r="BU107" s="3156">
        <f t="shared" ref="BU107" si="1217">SUM(BU108:BU110)</f>
        <v>0</v>
      </c>
      <c r="BV107" s="3156">
        <f t="shared" si="1074"/>
        <v>0</v>
      </c>
      <c r="BW107" s="3156">
        <f t="shared" ref="BW107" si="1218">SUM(BW108:BW110)</f>
        <v>0</v>
      </c>
      <c r="BX107" s="3156">
        <f t="shared" ref="BX107" si="1219">SUM(BX108:BX110)</f>
        <v>0</v>
      </c>
      <c r="BY107" s="3156">
        <f t="shared" ref="BY107:BY121" si="1220">SUM(BZ107:CA107)</f>
        <v>0</v>
      </c>
      <c r="BZ107" s="3156">
        <f t="shared" ref="BZ107:BZ121" si="1221">SUM(BQ107+BT107+BW107)</f>
        <v>0</v>
      </c>
      <c r="CA107" s="3156">
        <f t="shared" ref="CA107:CA121" si="1222">SUM(BR107+BU107+BX107)</f>
        <v>0</v>
      </c>
      <c r="CB107" s="3206">
        <f t="shared" si="828"/>
        <v>1009.6646202997874</v>
      </c>
      <c r="CC107" s="3285">
        <f>SUM(стоки!BN42)</f>
        <v>1003.7504477745384</v>
      </c>
      <c r="CD107" s="3285">
        <f>SUM(стоки!BO42)</f>
        <v>5.9141725252489437</v>
      </c>
      <c r="CE107" s="3193">
        <f t="shared" ref="CE107:CE121" si="1223">SUM(BY107+BG107)</f>
        <v>80.81</v>
      </c>
      <c r="CF107" s="3193">
        <f t="shared" ref="CF107:CF121" si="1224">SUM(BZ107+BH107)</f>
        <v>80.81</v>
      </c>
      <c r="CG107" s="3193">
        <f t="shared" ref="CG107:CG121" si="1225">SUM(CA107+BI107)</f>
        <v>0</v>
      </c>
      <c r="CH107" s="3193">
        <f t="shared" ref="CH107:CH122" si="1226">SUM(CE107-CB107)</f>
        <v>-928.85462029978748</v>
      </c>
      <c r="CI107" s="3193">
        <f t="shared" ref="CI107:CI122" si="1227">SUM(CF107-CC107)</f>
        <v>-922.94044777453837</v>
      </c>
      <c r="CJ107" s="3193">
        <f t="shared" ref="CJ107:CJ122" si="1228">SUM(CG107-CD107)</f>
        <v>-5.9141725252489437</v>
      </c>
      <c r="CK107" s="3261"/>
      <c r="CL107" s="3261"/>
      <c r="CM107" s="3261"/>
    </row>
    <row r="108" spans="1:91" ht="43.5" customHeight="1" x14ac:dyDescent="0.3">
      <c r="A108" s="3081" t="s">
        <v>3662</v>
      </c>
      <c r="B108" s="3210">
        <f t="shared" ref="B108:B117" si="1229">SUM(C108:D108)</f>
        <v>4.6096781699468004</v>
      </c>
      <c r="C108" s="3210">
        <f t="shared" ref="C108:C110" si="1230">SUM(CC108/4)</f>
        <v>4.5827120939774684</v>
      </c>
      <c r="D108" s="3210">
        <f t="shared" ref="D108:D110" si="1231">SUM(CD108/4)</f>
        <v>2.6966075969331808E-2</v>
      </c>
      <c r="E108" s="3145">
        <f t="shared" si="510"/>
        <v>0</v>
      </c>
      <c r="F108" s="3066"/>
      <c r="G108" s="3066"/>
      <c r="H108" s="3145">
        <f t="shared" si="1032"/>
        <v>0</v>
      </c>
      <c r="I108" s="3066"/>
      <c r="J108" s="3066"/>
      <c r="K108" s="3145">
        <f t="shared" si="1035"/>
        <v>8.56</v>
      </c>
      <c r="L108" s="3066">
        <v>8.56</v>
      </c>
      <c r="M108" s="3066"/>
      <c r="N108" s="3145">
        <f t="shared" si="1181"/>
        <v>8.56</v>
      </c>
      <c r="O108" s="3145">
        <f t="shared" si="1182"/>
        <v>8.56</v>
      </c>
      <c r="P108" s="3145">
        <f t="shared" si="1183"/>
        <v>0</v>
      </c>
      <c r="Q108" s="3210">
        <f t="shared" ref="Q108:Q111" si="1232">SUM(R108:S108)</f>
        <v>4.6096781699468004</v>
      </c>
      <c r="R108" s="3210">
        <f t="shared" ref="R108:R110" si="1233">SUM(C108)</f>
        <v>4.5827120939774684</v>
      </c>
      <c r="S108" s="3210">
        <f t="shared" ref="S108:S110" si="1234">SUM(D108)</f>
        <v>2.6966075969331808E-2</v>
      </c>
      <c r="T108" s="3145">
        <f t="shared" si="1042"/>
        <v>0</v>
      </c>
      <c r="U108" s="3066"/>
      <c r="V108" s="3066"/>
      <c r="W108" s="3145">
        <f t="shared" si="1045"/>
        <v>0</v>
      </c>
      <c r="X108" s="3066"/>
      <c r="Y108" s="3066"/>
      <c r="Z108" s="3145">
        <f t="shared" si="1048"/>
        <v>8.56</v>
      </c>
      <c r="AA108" s="3066">
        <v>8.56</v>
      </c>
      <c r="AB108" s="3066"/>
      <c r="AC108" s="3145">
        <f t="shared" ref="AC108:AC121" si="1235">SUM(AD108:AE108)</f>
        <v>8.56</v>
      </c>
      <c r="AD108" s="3145">
        <f t="shared" ref="AD108:AD121" si="1236">SUM(U108+X108+AA108)</f>
        <v>8.56</v>
      </c>
      <c r="AE108" s="3145">
        <f t="shared" ref="AE108:AE121" si="1237">SUM(V108+Y108+AB108)</f>
        <v>0</v>
      </c>
      <c r="AF108" s="3211">
        <f t="shared" si="1092"/>
        <v>9.2193563398936007</v>
      </c>
      <c r="AG108" s="3211">
        <f t="shared" si="1093"/>
        <v>9.1654241879549367</v>
      </c>
      <c r="AH108" s="3211">
        <f t="shared" si="1094"/>
        <v>5.3932151938663617E-2</v>
      </c>
      <c r="AI108" s="3194">
        <f t="shared" si="1191"/>
        <v>17.12</v>
      </c>
      <c r="AJ108" s="3194">
        <f t="shared" si="1192"/>
        <v>17.12</v>
      </c>
      <c r="AK108" s="3194">
        <f t="shared" si="1193"/>
        <v>0</v>
      </c>
      <c r="AL108" s="3194">
        <f t="shared" si="1194"/>
        <v>7.9006436601064003</v>
      </c>
      <c r="AM108" s="3194">
        <f t="shared" si="1195"/>
        <v>7.9545758120450643</v>
      </c>
      <c r="AN108" s="3194">
        <f t="shared" si="1196"/>
        <v>-5.3932151938663617E-2</v>
      </c>
      <c r="AO108" s="3210">
        <f t="shared" ref="AO108:AO111" si="1238">SUM(AP108:AQ108)</f>
        <v>4.6096781699468004</v>
      </c>
      <c r="AP108" s="3210">
        <f t="shared" ref="AP108:AP110" si="1239">SUM(CC108-AG108)/2</f>
        <v>4.5827120939774684</v>
      </c>
      <c r="AQ108" s="3210">
        <f t="shared" ref="AQ108:AQ110" si="1240">SUM(CD108-AH108)/2</f>
        <v>2.6966075969331808E-2</v>
      </c>
      <c r="AR108" s="3145">
        <f t="shared" si="1055"/>
        <v>0</v>
      </c>
      <c r="AS108" s="3066"/>
      <c r="AT108" s="3066"/>
      <c r="AU108" s="3145">
        <f t="shared" si="1058"/>
        <v>0</v>
      </c>
      <c r="AV108" s="3066"/>
      <c r="AW108" s="3066"/>
      <c r="AX108" s="3145">
        <f t="shared" si="1061"/>
        <v>8.5500000000000007</v>
      </c>
      <c r="AY108" s="3066">
        <v>8.5500000000000007</v>
      </c>
      <c r="AZ108" s="3066"/>
      <c r="BA108" s="3145">
        <f t="shared" si="1204"/>
        <v>8.5500000000000007</v>
      </c>
      <c r="BB108" s="3145">
        <f t="shared" si="1205"/>
        <v>8.5500000000000007</v>
      </c>
      <c r="BC108" s="3145">
        <f t="shared" si="1206"/>
        <v>0</v>
      </c>
      <c r="BD108" s="3211">
        <f t="shared" si="920"/>
        <v>13.829034509840401</v>
      </c>
      <c r="BE108" s="3211">
        <f t="shared" si="921"/>
        <v>13.748136281932405</v>
      </c>
      <c r="BF108" s="3211">
        <f t="shared" si="922"/>
        <v>8.0898227907995418E-2</v>
      </c>
      <c r="BG108" s="3194">
        <f t="shared" si="1207"/>
        <v>25.67</v>
      </c>
      <c r="BH108" s="3194">
        <f t="shared" si="1208"/>
        <v>25.67</v>
      </c>
      <c r="BI108" s="3194">
        <f t="shared" si="1209"/>
        <v>0</v>
      </c>
      <c r="BJ108" s="3194">
        <f t="shared" si="1210"/>
        <v>11.840965490159601</v>
      </c>
      <c r="BK108" s="3194">
        <f t="shared" si="1211"/>
        <v>11.921863718067597</v>
      </c>
      <c r="BL108" s="3194">
        <f t="shared" si="1212"/>
        <v>-8.0898227907995418E-2</v>
      </c>
      <c r="BM108" s="3210">
        <f t="shared" ref="BM108:BM111" si="1241">SUM(BN108:BO108)</f>
        <v>4.6096781699468004</v>
      </c>
      <c r="BN108" s="3210">
        <f t="shared" ref="BN108:BN110" si="1242">SUM(AP108)</f>
        <v>4.5827120939774684</v>
      </c>
      <c r="BO108" s="3210">
        <f t="shared" ref="BO108:BO110" si="1243">SUM(AQ108)</f>
        <v>2.6966075969331808E-2</v>
      </c>
      <c r="BP108" s="3145">
        <f t="shared" si="1068"/>
        <v>0</v>
      </c>
      <c r="BQ108" s="3066"/>
      <c r="BR108" s="3066"/>
      <c r="BS108" s="3145">
        <f t="shared" si="1071"/>
        <v>0</v>
      </c>
      <c r="BT108" s="3066"/>
      <c r="BU108" s="3066"/>
      <c r="BV108" s="3145">
        <f t="shared" si="1074"/>
        <v>0</v>
      </c>
      <c r="BW108" s="3066"/>
      <c r="BX108" s="3066"/>
      <c r="BY108" s="3145">
        <f t="shared" si="1220"/>
        <v>0</v>
      </c>
      <c r="BZ108" s="3145">
        <f t="shared" si="1221"/>
        <v>0</v>
      </c>
      <c r="CA108" s="3145">
        <f t="shared" si="1222"/>
        <v>0</v>
      </c>
      <c r="CB108" s="3211">
        <f t="shared" si="828"/>
        <v>18.438712679787201</v>
      </c>
      <c r="CC108" s="3288">
        <f>SUM(стоки!BN43)</f>
        <v>18.330848375909873</v>
      </c>
      <c r="CD108" s="3288">
        <f>SUM(стоки!BO43)</f>
        <v>0.10786430387732723</v>
      </c>
      <c r="CE108" s="3194">
        <f t="shared" si="1223"/>
        <v>25.67</v>
      </c>
      <c r="CF108" s="3194">
        <f t="shared" si="1224"/>
        <v>25.67</v>
      </c>
      <c r="CG108" s="3194">
        <f t="shared" si="1225"/>
        <v>0</v>
      </c>
      <c r="CH108" s="3194">
        <f t="shared" si="1226"/>
        <v>7.2312873202128003</v>
      </c>
      <c r="CI108" s="3194">
        <f t="shared" si="1227"/>
        <v>7.3391516240901282</v>
      </c>
      <c r="CJ108" s="3194">
        <f t="shared" si="1228"/>
        <v>-0.10786430387732723</v>
      </c>
      <c r="CK108" s="3259"/>
      <c r="CL108" s="3259"/>
      <c r="CM108" s="3259"/>
    </row>
    <row r="109" spans="1:91" ht="18.75" customHeight="1" x14ac:dyDescent="0.3">
      <c r="A109" s="3081" t="s">
        <v>533</v>
      </c>
      <c r="B109" s="3210">
        <f t="shared" si="1229"/>
        <v>10.78</v>
      </c>
      <c r="C109" s="3210">
        <f t="shared" si="1230"/>
        <v>10.715</v>
      </c>
      <c r="D109" s="3210">
        <f t="shared" si="1231"/>
        <v>6.5000000000000002E-2</v>
      </c>
      <c r="E109" s="3145">
        <f t="shared" ref="E109:E120" si="1244">SUM(F109:G109)</f>
        <v>0</v>
      </c>
      <c r="F109" s="3066"/>
      <c r="G109" s="3066"/>
      <c r="H109" s="3145">
        <f t="shared" si="1032"/>
        <v>0</v>
      </c>
      <c r="I109" s="3066"/>
      <c r="J109" s="3066"/>
      <c r="K109" s="3145">
        <f t="shared" si="1035"/>
        <v>16.82</v>
      </c>
      <c r="L109" s="3066">
        <v>16.82</v>
      </c>
      <c r="M109" s="3066"/>
      <c r="N109" s="3145">
        <f t="shared" si="1181"/>
        <v>16.82</v>
      </c>
      <c r="O109" s="3145">
        <f t="shared" si="1182"/>
        <v>16.82</v>
      </c>
      <c r="P109" s="3145">
        <f t="shared" si="1183"/>
        <v>0</v>
      </c>
      <c r="Q109" s="3210">
        <f t="shared" si="1232"/>
        <v>10.78</v>
      </c>
      <c r="R109" s="3210">
        <f t="shared" si="1233"/>
        <v>10.715</v>
      </c>
      <c r="S109" s="3210">
        <f t="shared" si="1234"/>
        <v>6.5000000000000002E-2</v>
      </c>
      <c r="T109" s="3145">
        <f t="shared" si="1042"/>
        <v>0</v>
      </c>
      <c r="U109" s="3066"/>
      <c r="V109" s="3066"/>
      <c r="W109" s="3145">
        <f t="shared" si="1045"/>
        <v>0</v>
      </c>
      <c r="X109" s="3066"/>
      <c r="Y109" s="3066"/>
      <c r="Z109" s="3145">
        <f t="shared" si="1048"/>
        <v>19.16</v>
      </c>
      <c r="AA109" s="3066">
        <v>19.16</v>
      </c>
      <c r="AB109" s="3066"/>
      <c r="AC109" s="3145">
        <f t="shared" si="1235"/>
        <v>19.16</v>
      </c>
      <c r="AD109" s="3145">
        <f t="shared" si="1236"/>
        <v>19.16</v>
      </c>
      <c r="AE109" s="3145">
        <f t="shared" si="1237"/>
        <v>0</v>
      </c>
      <c r="AF109" s="3211">
        <f t="shared" si="1092"/>
        <v>21.56</v>
      </c>
      <c r="AG109" s="3211">
        <f t="shared" si="1093"/>
        <v>21.43</v>
      </c>
      <c r="AH109" s="3211">
        <f t="shared" si="1094"/>
        <v>0.13</v>
      </c>
      <c r="AI109" s="3194">
        <f t="shared" si="1191"/>
        <v>35.980000000000004</v>
      </c>
      <c r="AJ109" s="3194">
        <f t="shared" si="1192"/>
        <v>35.980000000000004</v>
      </c>
      <c r="AK109" s="3194">
        <f t="shared" si="1193"/>
        <v>0</v>
      </c>
      <c r="AL109" s="3194">
        <f t="shared" si="1194"/>
        <v>14.420000000000005</v>
      </c>
      <c r="AM109" s="3194">
        <f t="shared" si="1195"/>
        <v>14.550000000000004</v>
      </c>
      <c r="AN109" s="3194">
        <f t="shared" si="1196"/>
        <v>-0.13</v>
      </c>
      <c r="AO109" s="3210">
        <f t="shared" si="1238"/>
        <v>10.78</v>
      </c>
      <c r="AP109" s="3210">
        <f t="shared" si="1239"/>
        <v>10.715</v>
      </c>
      <c r="AQ109" s="3210">
        <f t="shared" si="1240"/>
        <v>6.5000000000000002E-2</v>
      </c>
      <c r="AR109" s="3145">
        <f t="shared" si="1055"/>
        <v>0</v>
      </c>
      <c r="AS109" s="3066"/>
      <c r="AT109" s="3066"/>
      <c r="AU109" s="3145">
        <f t="shared" si="1058"/>
        <v>0</v>
      </c>
      <c r="AV109" s="3066"/>
      <c r="AW109" s="3066"/>
      <c r="AX109" s="3145">
        <f t="shared" si="1061"/>
        <v>19.16</v>
      </c>
      <c r="AY109" s="3066">
        <v>19.16</v>
      </c>
      <c r="AZ109" s="3066"/>
      <c r="BA109" s="3145">
        <f t="shared" si="1204"/>
        <v>19.16</v>
      </c>
      <c r="BB109" s="3145">
        <f t="shared" si="1205"/>
        <v>19.16</v>
      </c>
      <c r="BC109" s="3145">
        <f t="shared" si="1206"/>
        <v>0</v>
      </c>
      <c r="BD109" s="3211">
        <f t="shared" si="920"/>
        <v>32.339999999999996</v>
      </c>
      <c r="BE109" s="3211">
        <f t="shared" si="921"/>
        <v>32.144999999999996</v>
      </c>
      <c r="BF109" s="3211">
        <f t="shared" si="922"/>
        <v>0.19500000000000001</v>
      </c>
      <c r="BG109" s="3194">
        <f t="shared" si="1207"/>
        <v>55.14</v>
      </c>
      <c r="BH109" s="3194">
        <f t="shared" si="1208"/>
        <v>55.14</v>
      </c>
      <c r="BI109" s="3194">
        <f t="shared" si="1209"/>
        <v>0</v>
      </c>
      <c r="BJ109" s="3194">
        <f t="shared" si="1210"/>
        <v>22.800000000000004</v>
      </c>
      <c r="BK109" s="3194">
        <f t="shared" si="1211"/>
        <v>22.995000000000005</v>
      </c>
      <c r="BL109" s="3194">
        <f t="shared" si="1212"/>
        <v>-0.19500000000000001</v>
      </c>
      <c r="BM109" s="3210">
        <f t="shared" si="1241"/>
        <v>10.78</v>
      </c>
      <c r="BN109" s="3210">
        <f t="shared" si="1242"/>
        <v>10.715</v>
      </c>
      <c r="BO109" s="3210">
        <f t="shared" si="1243"/>
        <v>6.5000000000000002E-2</v>
      </c>
      <c r="BP109" s="3145">
        <f t="shared" si="1068"/>
        <v>0</v>
      </c>
      <c r="BQ109" s="3066"/>
      <c r="BR109" s="3066"/>
      <c r="BS109" s="3145">
        <f t="shared" si="1071"/>
        <v>0</v>
      </c>
      <c r="BT109" s="3066"/>
      <c r="BU109" s="3066"/>
      <c r="BV109" s="3145">
        <f t="shared" si="1074"/>
        <v>0</v>
      </c>
      <c r="BW109" s="3066"/>
      <c r="BX109" s="3066"/>
      <c r="BY109" s="3145">
        <f t="shared" si="1220"/>
        <v>0</v>
      </c>
      <c r="BZ109" s="3145">
        <f t="shared" si="1221"/>
        <v>0</v>
      </c>
      <c r="CA109" s="3145">
        <f t="shared" si="1222"/>
        <v>0</v>
      </c>
      <c r="CB109" s="3211">
        <f t="shared" si="828"/>
        <v>43.12</v>
      </c>
      <c r="CC109" s="3288">
        <f>SUM(стоки!BN44)</f>
        <v>42.86</v>
      </c>
      <c r="CD109" s="3288">
        <f>SUM(стоки!BO44)</f>
        <v>0.26</v>
      </c>
      <c r="CE109" s="3194">
        <f t="shared" si="1223"/>
        <v>55.14</v>
      </c>
      <c r="CF109" s="3194">
        <f t="shared" si="1224"/>
        <v>55.14</v>
      </c>
      <c r="CG109" s="3194">
        <f t="shared" si="1225"/>
        <v>0</v>
      </c>
      <c r="CH109" s="3194">
        <f t="shared" si="1226"/>
        <v>12.020000000000003</v>
      </c>
      <c r="CI109" s="3194">
        <f t="shared" si="1227"/>
        <v>12.280000000000001</v>
      </c>
      <c r="CJ109" s="3194">
        <f t="shared" si="1228"/>
        <v>-0.26</v>
      </c>
      <c r="CK109" s="3259"/>
      <c r="CL109" s="3259"/>
      <c r="CM109" s="3259"/>
    </row>
    <row r="110" spans="1:91" ht="18.75" customHeight="1" x14ac:dyDescent="0.3">
      <c r="A110" s="3081" t="s">
        <v>535</v>
      </c>
      <c r="B110" s="3210">
        <f t="shared" si="1229"/>
        <v>237.02647690500004</v>
      </c>
      <c r="C110" s="3210">
        <f t="shared" si="1230"/>
        <v>235.63989984965713</v>
      </c>
      <c r="D110" s="3210">
        <f t="shared" si="1231"/>
        <v>1.3865770553429042</v>
      </c>
      <c r="E110" s="3145">
        <f t="shared" si="1244"/>
        <v>0</v>
      </c>
      <c r="F110" s="3066"/>
      <c r="G110" s="3066"/>
      <c r="H110" s="3145">
        <f t="shared" si="1032"/>
        <v>0</v>
      </c>
      <c r="I110" s="3066"/>
      <c r="J110" s="3066"/>
      <c r="K110" s="3145">
        <f t="shared" si="1035"/>
        <v>0</v>
      </c>
      <c r="L110" s="3066"/>
      <c r="M110" s="3066"/>
      <c r="N110" s="3145">
        <f t="shared" si="1181"/>
        <v>0</v>
      </c>
      <c r="O110" s="3145">
        <f t="shared" si="1182"/>
        <v>0</v>
      </c>
      <c r="P110" s="3145">
        <f t="shared" si="1183"/>
        <v>0</v>
      </c>
      <c r="Q110" s="3210">
        <f t="shared" si="1232"/>
        <v>237.02647690500004</v>
      </c>
      <c r="R110" s="3210">
        <f t="shared" si="1233"/>
        <v>235.63989984965713</v>
      </c>
      <c r="S110" s="3210">
        <f t="shared" si="1234"/>
        <v>1.3865770553429042</v>
      </c>
      <c r="T110" s="3145">
        <f t="shared" si="1042"/>
        <v>0</v>
      </c>
      <c r="U110" s="3066"/>
      <c r="V110" s="3066"/>
      <c r="W110" s="3145">
        <f t="shared" si="1045"/>
        <v>0</v>
      </c>
      <c r="X110" s="3066"/>
      <c r="Y110" s="3066"/>
      <c r="Z110" s="3145">
        <f t="shared" si="1048"/>
        <v>0</v>
      </c>
      <c r="AA110" s="3066"/>
      <c r="AB110" s="3066"/>
      <c r="AC110" s="3145">
        <f t="shared" si="1235"/>
        <v>0</v>
      </c>
      <c r="AD110" s="3145">
        <f t="shared" si="1236"/>
        <v>0</v>
      </c>
      <c r="AE110" s="3145">
        <f t="shared" si="1237"/>
        <v>0</v>
      </c>
      <c r="AF110" s="3211">
        <f t="shared" si="1092"/>
        <v>474.05295381000008</v>
      </c>
      <c r="AG110" s="3211">
        <f t="shared" si="1093"/>
        <v>471.27979969931425</v>
      </c>
      <c r="AH110" s="3211">
        <f t="shared" si="1094"/>
        <v>2.7731541106858084</v>
      </c>
      <c r="AI110" s="3194">
        <f t="shared" si="1191"/>
        <v>0</v>
      </c>
      <c r="AJ110" s="3194">
        <f t="shared" si="1192"/>
        <v>0</v>
      </c>
      <c r="AK110" s="3194">
        <f t="shared" si="1193"/>
        <v>0</v>
      </c>
      <c r="AL110" s="3194">
        <f t="shared" si="1194"/>
        <v>-474.05295381000008</v>
      </c>
      <c r="AM110" s="3194">
        <f t="shared" si="1195"/>
        <v>-471.27979969931425</v>
      </c>
      <c r="AN110" s="3194">
        <f t="shared" si="1196"/>
        <v>-2.7731541106858084</v>
      </c>
      <c r="AO110" s="3210">
        <f t="shared" si="1238"/>
        <v>237.02647690500004</v>
      </c>
      <c r="AP110" s="3210">
        <f t="shared" si="1239"/>
        <v>235.63989984965713</v>
      </c>
      <c r="AQ110" s="3210">
        <f t="shared" si="1240"/>
        <v>1.3865770553429042</v>
      </c>
      <c r="AR110" s="3145">
        <f t="shared" si="1055"/>
        <v>0</v>
      </c>
      <c r="AS110" s="3066"/>
      <c r="AT110" s="3066"/>
      <c r="AU110" s="3145">
        <f t="shared" si="1058"/>
        <v>0</v>
      </c>
      <c r="AV110" s="3066"/>
      <c r="AW110" s="3066"/>
      <c r="AX110" s="3145">
        <f t="shared" si="1061"/>
        <v>0</v>
      </c>
      <c r="AY110" s="3066"/>
      <c r="AZ110" s="3066"/>
      <c r="BA110" s="3145">
        <f t="shared" si="1204"/>
        <v>0</v>
      </c>
      <c r="BB110" s="3145">
        <f t="shared" si="1205"/>
        <v>0</v>
      </c>
      <c r="BC110" s="3145">
        <f t="shared" si="1206"/>
        <v>0</v>
      </c>
      <c r="BD110" s="3211">
        <f t="shared" si="920"/>
        <v>711.07943071500006</v>
      </c>
      <c r="BE110" s="3211">
        <f t="shared" si="921"/>
        <v>706.91969954897138</v>
      </c>
      <c r="BF110" s="3211">
        <f t="shared" si="922"/>
        <v>4.1597311660287124</v>
      </c>
      <c r="BG110" s="3194">
        <f t="shared" si="1207"/>
        <v>0</v>
      </c>
      <c r="BH110" s="3194">
        <f t="shared" si="1208"/>
        <v>0</v>
      </c>
      <c r="BI110" s="3194">
        <f t="shared" si="1209"/>
        <v>0</v>
      </c>
      <c r="BJ110" s="3194">
        <f t="shared" si="1210"/>
        <v>-711.07943071500006</v>
      </c>
      <c r="BK110" s="3194">
        <f t="shared" si="1211"/>
        <v>-706.91969954897138</v>
      </c>
      <c r="BL110" s="3194">
        <f t="shared" si="1212"/>
        <v>-4.1597311660287124</v>
      </c>
      <c r="BM110" s="3210">
        <f t="shared" si="1241"/>
        <v>237.02647690500004</v>
      </c>
      <c r="BN110" s="3210">
        <f t="shared" si="1242"/>
        <v>235.63989984965713</v>
      </c>
      <c r="BO110" s="3210">
        <f t="shared" si="1243"/>
        <v>1.3865770553429042</v>
      </c>
      <c r="BP110" s="3145">
        <f t="shared" si="1068"/>
        <v>0</v>
      </c>
      <c r="BQ110" s="3066"/>
      <c r="BR110" s="3066"/>
      <c r="BS110" s="3145">
        <f t="shared" si="1071"/>
        <v>0</v>
      </c>
      <c r="BT110" s="3066"/>
      <c r="BU110" s="3066"/>
      <c r="BV110" s="3145">
        <f t="shared" si="1074"/>
        <v>0</v>
      </c>
      <c r="BW110" s="3066"/>
      <c r="BX110" s="3066"/>
      <c r="BY110" s="3145">
        <f t="shared" si="1220"/>
        <v>0</v>
      </c>
      <c r="BZ110" s="3145">
        <f t="shared" si="1221"/>
        <v>0</v>
      </c>
      <c r="CA110" s="3145">
        <f t="shared" si="1222"/>
        <v>0</v>
      </c>
      <c r="CB110" s="3211">
        <f t="shared" si="828"/>
        <v>948.10590762000015</v>
      </c>
      <c r="CC110" s="3288">
        <f>SUM(стоки!BN45)</f>
        <v>942.55959939862851</v>
      </c>
      <c r="CD110" s="3288">
        <f>SUM(стоки!BO45)</f>
        <v>5.5463082213716168</v>
      </c>
      <c r="CE110" s="3194">
        <f t="shared" si="1223"/>
        <v>0</v>
      </c>
      <c r="CF110" s="3194">
        <f t="shared" si="1224"/>
        <v>0</v>
      </c>
      <c r="CG110" s="3194">
        <f t="shared" si="1225"/>
        <v>0</v>
      </c>
      <c r="CH110" s="3194">
        <f t="shared" si="1226"/>
        <v>-948.10590762000015</v>
      </c>
      <c r="CI110" s="3194">
        <f t="shared" si="1227"/>
        <v>-942.55959939862851</v>
      </c>
      <c r="CJ110" s="3194">
        <f t="shared" si="1228"/>
        <v>-5.5463082213716168</v>
      </c>
      <c r="CK110" s="3259"/>
      <c r="CL110" s="3259"/>
      <c r="CM110" s="3259"/>
    </row>
    <row r="111" spans="1:91" ht="18.75" customHeight="1" x14ac:dyDescent="0.3">
      <c r="A111" s="3158" t="s">
        <v>3604</v>
      </c>
      <c r="B111" s="3207">
        <f t="shared" si="1229"/>
        <v>3635.6810500000001</v>
      </c>
      <c r="C111" s="3251">
        <f>SUM(C112:C117)</f>
        <v>3635.333992850482</v>
      </c>
      <c r="D111" s="3251">
        <f>SUM(D112:D117)</f>
        <v>0.34705714951827904</v>
      </c>
      <c r="E111" s="3156">
        <f t="shared" si="1244"/>
        <v>884.22900000000004</v>
      </c>
      <c r="F111" s="3156">
        <f t="shared" ref="F111:G111" si="1245">SUM(F112:F117)</f>
        <v>881.76</v>
      </c>
      <c r="G111" s="3251">
        <f t="shared" si="1245"/>
        <v>2.4689999999999994</v>
      </c>
      <c r="H111" s="3156">
        <f t="shared" si="1032"/>
        <v>795.31700000000001</v>
      </c>
      <c r="I111" s="3156">
        <f t="shared" ref="I111" si="1246">SUM(I112:I117)</f>
        <v>793.01</v>
      </c>
      <c r="J111" s="3251">
        <f t="shared" ref="J111" si="1247">SUM(J112:J117)</f>
        <v>2.3069999999999995</v>
      </c>
      <c r="K111" s="3156">
        <f t="shared" si="1035"/>
        <v>823.30099999999993</v>
      </c>
      <c r="L111" s="3156">
        <f t="shared" ref="L111" si="1248">SUM(L112:L117)</f>
        <v>821.18</v>
      </c>
      <c r="M111" s="3156">
        <f t="shared" ref="M111" si="1249">SUM(M112:M117)</f>
        <v>2.121</v>
      </c>
      <c r="N111" s="3156">
        <f t="shared" si="1181"/>
        <v>2502.8469999999998</v>
      </c>
      <c r="O111" s="3156">
        <f t="shared" si="1182"/>
        <v>2495.9499999999998</v>
      </c>
      <c r="P111" s="3156">
        <f t="shared" si="1183"/>
        <v>6.8969999999999985</v>
      </c>
      <c r="Q111" s="3207">
        <f t="shared" si="1232"/>
        <v>3635.6810500000001</v>
      </c>
      <c r="R111" s="3251">
        <f t="shared" ref="R111:S111" si="1250">SUM(R112:R117)</f>
        <v>3635.333992850482</v>
      </c>
      <c r="S111" s="3251">
        <f t="shared" si="1250"/>
        <v>0.34705714951827904</v>
      </c>
      <c r="T111" s="3156">
        <f t="shared" si="1042"/>
        <v>946.29200000000003</v>
      </c>
      <c r="U111" s="3156">
        <f>SUM(U112:U117)</f>
        <v>944</v>
      </c>
      <c r="V111" s="3251">
        <f t="shared" ref="V111" si="1251">SUM(V112:V117)</f>
        <v>2.2919999999999998</v>
      </c>
      <c r="W111" s="3156">
        <f t="shared" si="1045"/>
        <v>895.27300000000002</v>
      </c>
      <c r="X111" s="3156">
        <f t="shared" ref="X111" si="1252">SUM(X112:X117)</f>
        <v>892.73</v>
      </c>
      <c r="Y111" s="3251">
        <f t="shared" ref="Y111" si="1253">SUM(Y112:Y117)</f>
        <v>2.5429999999999997</v>
      </c>
      <c r="Z111" s="3156">
        <f t="shared" si="1048"/>
        <v>867.40499999999997</v>
      </c>
      <c r="AA111" s="3156">
        <f t="shared" ref="AA111" si="1254">SUM(AA112:AA117)</f>
        <v>862.54</v>
      </c>
      <c r="AB111" s="3156">
        <f t="shared" ref="AB111" si="1255">SUM(AB112:AB117)</f>
        <v>4.8650000000000002</v>
      </c>
      <c r="AC111" s="3156">
        <f t="shared" si="1235"/>
        <v>2708.97</v>
      </c>
      <c r="AD111" s="3156">
        <f t="shared" si="1236"/>
        <v>2699.27</v>
      </c>
      <c r="AE111" s="3156">
        <f t="shared" si="1237"/>
        <v>9.6999999999999993</v>
      </c>
      <c r="AF111" s="3206">
        <f t="shared" si="1092"/>
        <v>7271.3621000000003</v>
      </c>
      <c r="AG111" s="3206">
        <f t="shared" si="1093"/>
        <v>7270.667985700964</v>
      </c>
      <c r="AH111" s="3206">
        <f t="shared" si="1094"/>
        <v>0.69411429903655808</v>
      </c>
      <c r="AI111" s="3193">
        <f t="shared" si="1191"/>
        <v>5211.8169999999991</v>
      </c>
      <c r="AJ111" s="3193">
        <f t="shared" si="1192"/>
        <v>5195.2199999999993</v>
      </c>
      <c r="AK111" s="3193">
        <f t="shared" si="1193"/>
        <v>16.596999999999998</v>
      </c>
      <c r="AL111" s="3193">
        <f t="shared" si="1194"/>
        <v>-2059.5451000000012</v>
      </c>
      <c r="AM111" s="3193">
        <f t="shared" si="1195"/>
        <v>-2075.4479857009646</v>
      </c>
      <c r="AN111" s="3193">
        <f t="shared" si="1196"/>
        <v>15.90288570096344</v>
      </c>
      <c r="AO111" s="3207">
        <f t="shared" si="1238"/>
        <v>3635.6810500000001</v>
      </c>
      <c r="AP111" s="3251">
        <f t="shared" ref="AP111:AQ111" si="1256">SUM(AP112:AP117)</f>
        <v>3635.333992850482</v>
      </c>
      <c r="AQ111" s="3251">
        <f t="shared" si="1256"/>
        <v>0.34705714951827904</v>
      </c>
      <c r="AR111" s="3156">
        <f t="shared" si="1055"/>
        <v>876.82700000000011</v>
      </c>
      <c r="AS111" s="3156">
        <f t="shared" ref="AS111" si="1257">SUM(AS112:AS117)</f>
        <v>876.43000000000006</v>
      </c>
      <c r="AT111" s="3251">
        <f t="shared" ref="AT111" si="1258">SUM(AT112:AT117)</f>
        <v>0.39700000000000002</v>
      </c>
      <c r="AU111" s="3156">
        <f t="shared" si="1058"/>
        <v>815.60299999999995</v>
      </c>
      <c r="AV111" s="3156">
        <f t="shared" ref="AV111" si="1259">SUM(AV112:AV117)</f>
        <v>813.33999999999992</v>
      </c>
      <c r="AW111" s="3470">
        <f t="shared" ref="AW111" si="1260">SUM(AW112:AW117)</f>
        <v>2.2629999999999999</v>
      </c>
      <c r="AX111" s="3156">
        <f t="shared" si="1061"/>
        <v>802.7829999999999</v>
      </c>
      <c r="AY111" s="3156">
        <f t="shared" ref="AY111" si="1261">SUM(AY112:AY117)</f>
        <v>800.57999999999993</v>
      </c>
      <c r="AZ111" s="3156">
        <f t="shared" ref="AZ111" si="1262">SUM(AZ112:AZ117)</f>
        <v>2.2029999999999998</v>
      </c>
      <c r="BA111" s="3156">
        <f t="shared" si="1204"/>
        <v>2495.2129999999997</v>
      </c>
      <c r="BB111" s="3156">
        <f t="shared" si="1205"/>
        <v>2490.35</v>
      </c>
      <c r="BC111" s="3156">
        <f t="shared" si="1206"/>
        <v>4.8629999999999995</v>
      </c>
      <c r="BD111" s="3206">
        <f t="shared" si="920"/>
        <v>10907.04315</v>
      </c>
      <c r="BE111" s="3206">
        <f t="shared" si="921"/>
        <v>10906.001978551445</v>
      </c>
      <c r="BF111" s="3206">
        <f t="shared" si="922"/>
        <v>1.0411714485548371</v>
      </c>
      <c r="BG111" s="3193">
        <f t="shared" si="1207"/>
        <v>7707.0299999999988</v>
      </c>
      <c r="BH111" s="3193">
        <f t="shared" si="1208"/>
        <v>7685.57</v>
      </c>
      <c r="BI111" s="3193">
        <f t="shared" si="1209"/>
        <v>21.459999999999997</v>
      </c>
      <c r="BJ111" s="3193">
        <f t="shared" si="1210"/>
        <v>-3200.0131500000007</v>
      </c>
      <c r="BK111" s="3193">
        <f t="shared" si="1211"/>
        <v>-3220.4319785514454</v>
      </c>
      <c r="BL111" s="3193">
        <f t="shared" si="1212"/>
        <v>20.418828551445159</v>
      </c>
      <c r="BM111" s="3207">
        <f t="shared" si="1241"/>
        <v>3635.6810500000001</v>
      </c>
      <c r="BN111" s="3251">
        <f t="shared" ref="BN111:BO111" si="1263">SUM(BN112:BN117)</f>
        <v>3635.333992850482</v>
      </c>
      <c r="BO111" s="3251">
        <f t="shared" si="1263"/>
        <v>0.34705714951827904</v>
      </c>
      <c r="BP111" s="3156">
        <f t="shared" si="1068"/>
        <v>0</v>
      </c>
      <c r="BQ111" s="3156">
        <f t="shared" ref="BQ111" si="1264">SUM(BQ112:BQ117)</f>
        <v>0</v>
      </c>
      <c r="BR111" s="3156">
        <f t="shared" ref="BR111" si="1265">SUM(BR112:BR117)</f>
        <v>0</v>
      </c>
      <c r="BS111" s="3156">
        <f t="shared" si="1071"/>
        <v>0</v>
      </c>
      <c r="BT111" s="3156">
        <f t="shared" ref="BT111" si="1266">SUM(BT112:BT117)</f>
        <v>0</v>
      </c>
      <c r="BU111" s="3156">
        <f t="shared" ref="BU111" si="1267">SUM(BU112:BU117)</f>
        <v>0</v>
      </c>
      <c r="BV111" s="3156">
        <f t="shared" si="1074"/>
        <v>0</v>
      </c>
      <c r="BW111" s="3156">
        <f t="shared" ref="BW111" si="1268">SUM(BW112:BW117)</f>
        <v>0</v>
      </c>
      <c r="BX111" s="3156">
        <f t="shared" ref="BX111" si="1269">SUM(BX112:BX117)</f>
        <v>0</v>
      </c>
      <c r="BY111" s="3156">
        <f t="shared" si="1220"/>
        <v>0</v>
      </c>
      <c r="BZ111" s="3156">
        <f t="shared" si="1221"/>
        <v>0</v>
      </c>
      <c r="CA111" s="3156">
        <f t="shared" si="1222"/>
        <v>0</v>
      </c>
      <c r="CB111" s="3206">
        <f t="shared" si="828"/>
        <v>14542.724168003919</v>
      </c>
      <c r="CC111" s="3285">
        <f>SUM(стоки!BN46)</f>
        <v>14541.335939405846</v>
      </c>
      <c r="CD111" s="3285">
        <f>SUM(стоки!BO46)</f>
        <v>1.3882285980731162</v>
      </c>
      <c r="CE111" s="3193">
        <f t="shared" si="1223"/>
        <v>7707.0299999999988</v>
      </c>
      <c r="CF111" s="3193">
        <f t="shared" si="1224"/>
        <v>7685.57</v>
      </c>
      <c r="CG111" s="3193">
        <f t="shared" si="1225"/>
        <v>21.459999999999997</v>
      </c>
      <c r="CH111" s="3193">
        <f t="shared" si="1226"/>
        <v>-6835.6941680039199</v>
      </c>
      <c r="CI111" s="3193">
        <f t="shared" si="1227"/>
        <v>-6855.7659394058464</v>
      </c>
      <c r="CJ111" s="3193">
        <f t="shared" si="1228"/>
        <v>20.071771401926881</v>
      </c>
      <c r="CK111" s="3260"/>
      <c r="CL111" s="3260"/>
      <c r="CM111" s="3260"/>
    </row>
    <row r="112" spans="1:91" ht="18.75" customHeight="1" x14ac:dyDescent="0.3">
      <c r="A112" s="3079" t="s">
        <v>3605</v>
      </c>
      <c r="B112" s="3210">
        <f t="shared" si="1229"/>
        <v>2196.5475000000001</v>
      </c>
      <c r="C112" s="3210">
        <f t="shared" ref="C112:C117" si="1270">SUM(CC112/4)</f>
        <v>2196.5475000000001</v>
      </c>
      <c r="D112" s="3210">
        <f t="shared" ref="D112:D117" si="1271">SUM(CD112/4)</f>
        <v>0</v>
      </c>
      <c r="E112" s="3145">
        <f t="shared" si="1244"/>
        <v>563.61399999999992</v>
      </c>
      <c r="F112" s="3149">
        <v>562.04</v>
      </c>
      <c r="G112" s="3461">
        <v>1.5740000000000001</v>
      </c>
      <c r="H112" s="3145">
        <f t="shared" si="1032"/>
        <v>499.077</v>
      </c>
      <c r="I112" s="3149">
        <v>497.63</v>
      </c>
      <c r="J112" s="3461">
        <v>1.4470000000000001</v>
      </c>
      <c r="K112" s="3145">
        <f t="shared" si="1035"/>
        <v>485.15</v>
      </c>
      <c r="L112" s="3149">
        <v>483.9</v>
      </c>
      <c r="M112" s="3461">
        <v>1.25</v>
      </c>
      <c r="N112" s="3145">
        <f t="shared" si="1181"/>
        <v>1547.8410000000001</v>
      </c>
      <c r="O112" s="3145">
        <f t="shared" si="1182"/>
        <v>1543.5700000000002</v>
      </c>
      <c r="P112" s="3145">
        <f t="shared" si="1183"/>
        <v>4.2709999999999999</v>
      </c>
      <c r="Q112" s="3210">
        <f t="shared" ref="Q112:Q117" si="1272">SUM(R112:S112)</f>
        <v>2196.5475000000001</v>
      </c>
      <c r="R112" s="3210">
        <f t="shared" ref="R112:R117" si="1273">SUM(C112)</f>
        <v>2196.5475000000001</v>
      </c>
      <c r="S112" s="3210">
        <f t="shared" ref="S112:S117" si="1274">SUM(D112)</f>
        <v>0</v>
      </c>
      <c r="T112" s="3145">
        <f t="shared" si="1042"/>
        <v>543.92700000000002</v>
      </c>
      <c r="U112" s="3149">
        <v>542.61</v>
      </c>
      <c r="V112" s="3461">
        <v>1.3169999999999999</v>
      </c>
      <c r="W112" s="3145">
        <f t="shared" si="1045"/>
        <v>578.774</v>
      </c>
      <c r="X112" s="3149">
        <v>577.13</v>
      </c>
      <c r="Y112" s="3461">
        <v>1.6439999999999999</v>
      </c>
      <c r="Z112" s="3145">
        <f t="shared" si="1048"/>
        <v>539.64</v>
      </c>
      <c r="AA112" s="3149">
        <v>536.61</v>
      </c>
      <c r="AB112" s="3461">
        <v>3.03</v>
      </c>
      <c r="AC112" s="3145">
        <f t="shared" si="1235"/>
        <v>1662.3409999999999</v>
      </c>
      <c r="AD112" s="3145">
        <f t="shared" si="1236"/>
        <v>1656.35</v>
      </c>
      <c r="AE112" s="3145">
        <f t="shared" si="1237"/>
        <v>5.9909999999999997</v>
      </c>
      <c r="AF112" s="3211">
        <f t="shared" si="1092"/>
        <v>4393.0950000000003</v>
      </c>
      <c r="AG112" s="3211">
        <f t="shared" si="1093"/>
        <v>4393.0950000000003</v>
      </c>
      <c r="AH112" s="3211">
        <f t="shared" si="1094"/>
        <v>0</v>
      </c>
      <c r="AI112" s="3194">
        <f t="shared" si="1191"/>
        <v>3210.1819999999998</v>
      </c>
      <c r="AJ112" s="3194">
        <f t="shared" si="1192"/>
        <v>3199.92</v>
      </c>
      <c r="AK112" s="3194">
        <f t="shared" si="1193"/>
        <v>10.262</v>
      </c>
      <c r="AL112" s="3194">
        <f t="shared" si="1194"/>
        <v>-1182.9130000000005</v>
      </c>
      <c r="AM112" s="3194">
        <f t="shared" si="1195"/>
        <v>-1193.1750000000002</v>
      </c>
      <c r="AN112" s="3194">
        <f t="shared" si="1196"/>
        <v>10.262</v>
      </c>
      <c r="AO112" s="3210">
        <f t="shared" ref="AO112:AO116" si="1275">SUM(AP112:AQ112)</f>
        <v>2196.5475000000001</v>
      </c>
      <c r="AP112" s="3210">
        <f t="shared" ref="AP112:AP116" si="1276">SUM(CC112-AG112)/2</f>
        <v>2196.5475000000001</v>
      </c>
      <c r="AQ112" s="3210">
        <f t="shared" ref="AQ112:AQ116" si="1277">SUM(CD112-AH112)/2</f>
        <v>0</v>
      </c>
      <c r="AR112" s="3145">
        <f t="shared" si="1055"/>
        <v>558.00300000000004</v>
      </c>
      <c r="AS112" s="3149">
        <v>557.75</v>
      </c>
      <c r="AT112" s="3149">
        <v>0.253</v>
      </c>
      <c r="AU112" s="3145">
        <f t="shared" si="1058"/>
        <v>486.54</v>
      </c>
      <c r="AV112" s="3149">
        <v>485.19</v>
      </c>
      <c r="AW112" s="3149">
        <v>1.35</v>
      </c>
      <c r="AX112" s="3145">
        <f t="shared" si="1061"/>
        <v>503.71</v>
      </c>
      <c r="AY112" s="3149">
        <v>502.33</v>
      </c>
      <c r="AZ112" s="3149">
        <v>1.38</v>
      </c>
      <c r="BA112" s="3145">
        <f t="shared" si="1204"/>
        <v>1548.2529999999999</v>
      </c>
      <c r="BB112" s="3145">
        <f t="shared" si="1205"/>
        <v>1545.27</v>
      </c>
      <c r="BC112" s="3145">
        <f t="shared" si="1206"/>
        <v>2.9830000000000001</v>
      </c>
      <c r="BD112" s="3211">
        <f t="shared" si="920"/>
        <v>6589.6424999999999</v>
      </c>
      <c r="BE112" s="3211">
        <f t="shared" si="921"/>
        <v>6589.6424999999999</v>
      </c>
      <c r="BF112" s="3211">
        <f t="shared" si="922"/>
        <v>0</v>
      </c>
      <c r="BG112" s="3194">
        <f t="shared" si="1207"/>
        <v>4758.4349999999995</v>
      </c>
      <c r="BH112" s="3194">
        <f t="shared" si="1208"/>
        <v>4745.1900000000005</v>
      </c>
      <c r="BI112" s="3194">
        <f t="shared" si="1209"/>
        <v>13.245000000000001</v>
      </c>
      <c r="BJ112" s="3194">
        <f t="shared" si="1210"/>
        <v>-1831.2075000000004</v>
      </c>
      <c r="BK112" s="3194">
        <f t="shared" si="1211"/>
        <v>-1844.4524999999994</v>
      </c>
      <c r="BL112" s="3194">
        <f t="shared" si="1212"/>
        <v>13.245000000000001</v>
      </c>
      <c r="BM112" s="3210">
        <f t="shared" ref="BM112:BM117" si="1278">SUM(BN112:BO112)</f>
        <v>2196.5475000000001</v>
      </c>
      <c r="BN112" s="3210">
        <f t="shared" ref="BN112:BN117" si="1279">SUM(AP112)</f>
        <v>2196.5475000000001</v>
      </c>
      <c r="BO112" s="3210">
        <f t="shared" ref="BO112:BO117" si="1280">SUM(AQ112)</f>
        <v>0</v>
      </c>
      <c r="BP112" s="3145">
        <f t="shared" si="1068"/>
        <v>0</v>
      </c>
      <c r="BQ112" s="3149"/>
      <c r="BR112" s="3149"/>
      <c r="BS112" s="3145">
        <f t="shared" si="1071"/>
        <v>0</v>
      </c>
      <c r="BT112" s="3149"/>
      <c r="BU112" s="3149"/>
      <c r="BV112" s="3145">
        <f t="shared" si="1074"/>
        <v>0</v>
      </c>
      <c r="BW112" s="3149"/>
      <c r="BX112" s="3149"/>
      <c r="BY112" s="3145">
        <f t="shared" si="1220"/>
        <v>0</v>
      </c>
      <c r="BZ112" s="3145">
        <f t="shared" si="1221"/>
        <v>0</v>
      </c>
      <c r="CA112" s="3145">
        <f t="shared" si="1222"/>
        <v>0</v>
      </c>
      <c r="CB112" s="3211">
        <v>8786.19</v>
      </c>
      <c r="CC112" s="3211">
        <f t="shared" ref="CC112:CC116" si="1281">SUM(CB112-CD112)</f>
        <v>8786.19</v>
      </c>
      <c r="CD112" s="3211">
        <v>0</v>
      </c>
      <c r="CE112" s="3194">
        <f t="shared" si="1223"/>
        <v>4758.4349999999995</v>
      </c>
      <c r="CF112" s="3194">
        <f t="shared" si="1224"/>
        <v>4745.1900000000005</v>
      </c>
      <c r="CG112" s="3194">
        <f t="shared" si="1225"/>
        <v>13.245000000000001</v>
      </c>
      <c r="CH112" s="3194">
        <f t="shared" si="1226"/>
        <v>-4027.755000000001</v>
      </c>
      <c r="CI112" s="3194">
        <f t="shared" si="1227"/>
        <v>-4041</v>
      </c>
      <c r="CJ112" s="3194">
        <f t="shared" si="1228"/>
        <v>13.245000000000001</v>
      </c>
      <c r="CK112" s="3259"/>
      <c r="CL112" s="3259"/>
      <c r="CM112" s="3259"/>
    </row>
    <row r="113" spans="1:91" ht="18.75" customHeight="1" x14ac:dyDescent="0.3">
      <c r="A113" s="3079" t="s">
        <v>3606</v>
      </c>
      <c r="B113" s="3210">
        <f t="shared" si="1229"/>
        <v>658.96500000000003</v>
      </c>
      <c r="C113" s="3210">
        <f t="shared" si="1270"/>
        <v>658.96500000000003</v>
      </c>
      <c r="D113" s="3210">
        <f t="shared" si="1271"/>
        <v>0</v>
      </c>
      <c r="E113" s="3145">
        <f t="shared" si="1244"/>
        <v>165.76300000000001</v>
      </c>
      <c r="F113" s="3149">
        <v>165.3</v>
      </c>
      <c r="G113" s="3461">
        <v>0.46300000000000002</v>
      </c>
      <c r="H113" s="3145">
        <f t="shared" si="1032"/>
        <v>150.386</v>
      </c>
      <c r="I113" s="3149">
        <v>149.94999999999999</v>
      </c>
      <c r="J113" s="3461">
        <v>0.436</v>
      </c>
      <c r="K113" s="3145">
        <f t="shared" si="1035"/>
        <v>143.65</v>
      </c>
      <c r="L113" s="3149">
        <v>143.28</v>
      </c>
      <c r="M113" s="3149">
        <v>0.37</v>
      </c>
      <c r="N113" s="3145">
        <f t="shared" si="1181"/>
        <v>459.79899999999998</v>
      </c>
      <c r="O113" s="3145">
        <f t="shared" si="1182"/>
        <v>458.53</v>
      </c>
      <c r="P113" s="3145">
        <f t="shared" si="1183"/>
        <v>1.2690000000000001</v>
      </c>
      <c r="Q113" s="3210">
        <f t="shared" si="1272"/>
        <v>658.96500000000003</v>
      </c>
      <c r="R113" s="3210">
        <f t="shared" si="1273"/>
        <v>658.96500000000003</v>
      </c>
      <c r="S113" s="3210">
        <f t="shared" si="1274"/>
        <v>0</v>
      </c>
      <c r="T113" s="3145">
        <f t="shared" si="1042"/>
        <v>176.267</v>
      </c>
      <c r="U113" s="3149">
        <v>175.84</v>
      </c>
      <c r="V113" s="3461">
        <v>0.42699999999999999</v>
      </c>
      <c r="W113" s="3145">
        <f t="shared" si="1045"/>
        <v>173.62299999999999</v>
      </c>
      <c r="X113" s="3149">
        <v>173.13</v>
      </c>
      <c r="Y113" s="3461">
        <v>0.49299999999999999</v>
      </c>
      <c r="Z113" s="3145">
        <f t="shared" si="1048"/>
        <v>162.00899999999999</v>
      </c>
      <c r="AA113" s="3149">
        <v>161.1</v>
      </c>
      <c r="AB113" s="3461">
        <v>0.90900000000000003</v>
      </c>
      <c r="AC113" s="3145">
        <f t="shared" si="1235"/>
        <v>511.89900000000006</v>
      </c>
      <c r="AD113" s="3145">
        <f t="shared" si="1236"/>
        <v>510.07000000000005</v>
      </c>
      <c r="AE113" s="3145">
        <f t="shared" si="1237"/>
        <v>1.829</v>
      </c>
      <c r="AF113" s="3211">
        <f t="shared" si="1092"/>
        <v>1317.93</v>
      </c>
      <c r="AG113" s="3211">
        <f t="shared" si="1093"/>
        <v>1317.93</v>
      </c>
      <c r="AH113" s="3211">
        <f t="shared" si="1094"/>
        <v>0</v>
      </c>
      <c r="AI113" s="3194">
        <f t="shared" si="1191"/>
        <v>971.69800000000009</v>
      </c>
      <c r="AJ113" s="3194">
        <f t="shared" si="1192"/>
        <v>968.6</v>
      </c>
      <c r="AK113" s="3194">
        <f t="shared" si="1193"/>
        <v>3.0979999999999999</v>
      </c>
      <c r="AL113" s="3194">
        <f t="shared" si="1194"/>
        <v>-346.23199999999997</v>
      </c>
      <c r="AM113" s="3194">
        <f t="shared" si="1195"/>
        <v>-349.33000000000004</v>
      </c>
      <c r="AN113" s="3194">
        <f t="shared" si="1196"/>
        <v>3.0979999999999999</v>
      </c>
      <c r="AO113" s="3210">
        <f t="shared" si="1275"/>
        <v>658.96500000000003</v>
      </c>
      <c r="AP113" s="3210">
        <f t="shared" si="1276"/>
        <v>658.96500000000003</v>
      </c>
      <c r="AQ113" s="3210">
        <f t="shared" si="1277"/>
        <v>0</v>
      </c>
      <c r="AR113" s="3145">
        <f t="shared" si="1055"/>
        <v>167.90600000000001</v>
      </c>
      <c r="AS113" s="3149">
        <v>167.83</v>
      </c>
      <c r="AT113" s="3149">
        <v>7.5999999999999998E-2</v>
      </c>
      <c r="AU113" s="3145">
        <f t="shared" si="1058"/>
        <v>145.07299999999998</v>
      </c>
      <c r="AV113" s="3149">
        <v>144.66999999999999</v>
      </c>
      <c r="AW113" s="3149">
        <v>0.40300000000000002</v>
      </c>
      <c r="AX113" s="3145">
        <f t="shared" si="1061"/>
        <v>150.47999999999999</v>
      </c>
      <c r="AY113" s="3149">
        <v>150.07</v>
      </c>
      <c r="AZ113" s="3149">
        <v>0.41</v>
      </c>
      <c r="BA113" s="3145">
        <f t="shared" si="1204"/>
        <v>463.459</v>
      </c>
      <c r="BB113" s="3145">
        <f t="shared" si="1205"/>
        <v>462.57</v>
      </c>
      <c r="BC113" s="3145">
        <f t="shared" si="1206"/>
        <v>0.88900000000000001</v>
      </c>
      <c r="BD113" s="3211">
        <f t="shared" si="920"/>
        <v>1976.895</v>
      </c>
      <c r="BE113" s="3211">
        <f t="shared" si="921"/>
        <v>1976.895</v>
      </c>
      <c r="BF113" s="3211">
        <f t="shared" si="922"/>
        <v>0</v>
      </c>
      <c r="BG113" s="3194">
        <f t="shared" si="1207"/>
        <v>1435.1570000000002</v>
      </c>
      <c r="BH113" s="3194">
        <f t="shared" si="1208"/>
        <v>1431.17</v>
      </c>
      <c r="BI113" s="3194">
        <f t="shared" si="1209"/>
        <v>3.9870000000000001</v>
      </c>
      <c r="BJ113" s="3194">
        <f t="shared" si="1210"/>
        <v>-541.73799999999983</v>
      </c>
      <c r="BK113" s="3194">
        <f t="shared" si="1211"/>
        <v>-545.72499999999991</v>
      </c>
      <c r="BL113" s="3194">
        <f t="shared" si="1212"/>
        <v>3.9870000000000001</v>
      </c>
      <c r="BM113" s="3210">
        <f t="shared" si="1278"/>
        <v>658.96500000000003</v>
      </c>
      <c r="BN113" s="3210">
        <f t="shared" si="1279"/>
        <v>658.96500000000003</v>
      </c>
      <c r="BO113" s="3210">
        <f t="shared" si="1280"/>
        <v>0</v>
      </c>
      <c r="BP113" s="3145">
        <f t="shared" si="1068"/>
        <v>0</v>
      </c>
      <c r="BQ113" s="3149"/>
      <c r="BR113" s="3149"/>
      <c r="BS113" s="3145">
        <f t="shared" si="1071"/>
        <v>0</v>
      </c>
      <c r="BT113" s="3149"/>
      <c r="BU113" s="3149"/>
      <c r="BV113" s="3145">
        <f t="shared" si="1074"/>
        <v>0</v>
      </c>
      <c r="BW113" s="3149"/>
      <c r="BX113" s="3149"/>
      <c r="BY113" s="3145">
        <f t="shared" si="1220"/>
        <v>0</v>
      </c>
      <c r="BZ113" s="3145">
        <f t="shared" si="1221"/>
        <v>0</v>
      </c>
      <c r="CA113" s="3145">
        <f t="shared" si="1222"/>
        <v>0</v>
      </c>
      <c r="CB113" s="3211">
        <v>2635.86</v>
      </c>
      <c r="CC113" s="3211">
        <f t="shared" si="1281"/>
        <v>2635.86</v>
      </c>
      <c r="CD113" s="3211">
        <v>0</v>
      </c>
      <c r="CE113" s="3194">
        <f t="shared" si="1223"/>
        <v>1435.1570000000002</v>
      </c>
      <c r="CF113" s="3194">
        <f t="shared" si="1224"/>
        <v>1431.17</v>
      </c>
      <c r="CG113" s="3194">
        <f t="shared" si="1225"/>
        <v>3.9870000000000001</v>
      </c>
      <c r="CH113" s="3194">
        <f t="shared" si="1226"/>
        <v>-1200.703</v>
      </c>
      <c r="CI113" s="3194">
        <f t="shared" si="1227"/>
        <v>-1204.69</v>
      </c>
      <c r="CJ113" s="3194">
        <f t="shared" si="1228"/>
        <v>3.9870000000000001</v>
      </c>
      <c r="CK113" s="3259"/>
      <c r="CL113" s="3259"/>
      <c r="CM113" s="3259"/>
    </row>
    <row r="114" spans="1:91" ht="18.75" customHeight="1" x14ac:dyDescent="0.3">
      <c r="A114" s="3079" t="s">
        <v>280</v>
      </c>
      <c r="B114" s="3210">
        <f t="shared" si="1229"/>
        <v>17.392499999999998</v>
      </c>
      <c r="C114" s="3210">
        <f t="shared" si="1270"/>
        <v>17.392499999999998</v>
      </c>
      <c r="D114" s="3210">
        <f t="shared" si="1271"/>
        <v>0</v>
      </c>
      <c r="E114" s="3145">
        <f t="shared" si="1244"/>
        <v>4.7430000000000003</v>
      </c>
      <c r="F114" s="3149">
        <v>4.7300000000000004</v>
      </c>
      <c r="G114" s="3461">
        <v>1.2999999999999999E-2</v>
      </c>
      <c r="H114" s="3145">
        <f t="shared" si="1032"/>
        <v>4.3129999999999997</v>
      </c>
      <c r="I114" s="3149">
        <v>4.3</v>
      </c>
      <c r="J114" s="3461">
        <v>1.2999999999999999E-2</v>
      </c>
      <c r="K114" s="3145">
        <f t="shared" si="1035"/>
        <v>3.9899999999999998</v>
      </c>
      <c r="L114" s="3149">
        <v>3.98</v>
      </c>
      <c r="M114" s="3461">
        <v>0.01</v>
      </c>
      <c r="N114" s="3145">
        <f t="shared" si="1181"/>
        <v>13.046000000000001</v>
      </c>
      <c r="O114" s="3145">
        <f t="shared" si="1182"/>
        <v>13.010000000000002</v>
      </c>
      <c r="P114" s="3145">
        <f t="shared" si="1183"/>
        <v>3.5999999999999997E-2</v>
      </c>
      <c r="Q114" s="3210">
        <f t="shared" si="1272"/>
        <v>17.392499999999998</v>
      </c>
      <c r="R114" s="3210">
        <f t="shared" si="1273"/>
        <v>17.392499999999998</v>
      </c>
      <c r="S114" s="3210">
        <f t="shared" si="1274"/>
        <v>0</v>
      </c>
      <c r="T114" s="3145">
        <f t="shared" si="1042"/>
        <v>4.4510000000000005</v>
      </c>
      <c r="U114" s="3149">
        <v>4.4400000000000004</v>
      </c>
      <c r="V114" s="3461">
        <v>1.0999999999999999E-2</v>
      </c>
      <c r="W114" s="3145">
        <f t="shared" si="1045"/>
        <v>4.0010000000000003</v>
      </c>
      <c r="X114" s="3149">
        <v>3.99</v>
      </c>
      <c r="Y114" s="3461">
        <v>1.0999999999999999E-2</v>
      </c>
      <c r="Z114" s="3145">
        <f t="shared" si="1048"/>
        <v>3.0469999999999997</v>
      </c>
      <c r="AA114" s="3149">
        <v>3.03</v>
      </c>
      <c r="AB114" s="3461">
        <v>1.7000000000000001E-2</v>
      </c>
      <c r="AC114" s="3145">
        <f t="shared" si="1235"/>
        <v>11.498999999999999</v>
      </c>
      <c r="AD114" s="3145">
        <f t="shared" si="1236"/>
        <v>11.459999999999999</v>
      </c>
      <c r="AE114" s="3145">
        <f t="shared" si="1237"/>
        <v>3.9E-2</v>
      </c>
      <c r="AF114" s="3211">
        <f t="shared" si="1092"/>
        <v>34.784999999999997</v>
      </c>
      <c r="AG114" s="3211">
        <f t="shared" si="1093"/>
        <v>34.784999999999997</v>
      </c>
      <c r="AH114" s="3211">
        <f t="shared" si="1094"/>
        <v>0</v>
      </c>
      <c r="AI114" s="3194">
        <f t="shared" si="1191"/>
        <v>24.545000000000002</v>
      </c>
      <c r="AJ114" s="3194">
        <f t="shared" si="1192"/>
        <v>24.47</v>
      </c>
      <c r="AK114" s="3194">
        <f t="shared" si="1193"/>
        <v>7.4999999999999997E-2</v>
      </c>
      <c r="AL114" s="3194">
        <f t="shared" si="1194"/>
        <v>-10.239999999999995</v>
      </c>
      <c r="AM114" s="3194">
        <f t="shared" si="1195"/>
        <v>-10.314999999999998</v>
      </c>
      <c r="AN114" s="3194">
        <f t="shared" si="1196"/>
        <v>7.4999999999999997E-2</v>
      </c>
      <c r="AO114" s="3210">
        <f t="shared" si="1275"/>
        <v>17.392499999999998</v>
      </c>
      <c r="AP114" s="3210">
        <f t="shared" si="1276"/>
        <v>17.392499999999998</v>
      </c>
      <c r="AQ114" s="3210">
        <f t="shared" si="1277"/>
        <v>0</v>
      </c>
      <c r="AR114" s="3145">
        <f t="shared" si="1055"/>
        <v>3.6519999999999997</v>
      </c>
      <c r="AS114" s="3149">
        <v>3.65</v>
      </c>
      <c r="AT114" s="3149">
        <v>2E-3</v>
      </c>
      <c r="AU114" s="3145">
        <f t="shared" si="1058"/>
        <v>5.0339999999999998</v>
      </c>
      <c r="AV114" s="3149">
        <v>5.0199999999999996</v>
      </c>
      <c r="AW114" s="3149">
        <v>1.4E-2</v>
      </c>
      <c r="AX114" s="3145">
        <f t="shared" si="1061"/>
        <v>4.74</v>
      </c>
      <c r="AY114" s="3149">
        <v>4.7300000000000004</v>
      </c>
      <c r="AZ114" s="3149">
        <v>0.01</v>
      </c>
      <c r="BA114" s="3145">
        <f t="shared" si="1204"/>
        <v>13.426</v>
      </c>
      <c r="BB114" s="3145">
        <f t="shared" si="1205"/>
        <v>13.4</v>
      </c>
      <c r="BC114" s="3145">
        <f t="shared" si="1206"/>
        <v>2.6000000000000002E-2</v>
      </c>
      <c r="BD114" s="3211">
        <f t="shared" si="920"/>
        <v>52.177499999999995</v>
      </c>
      <c r="BE114" s="3211">
        <f t="shared" si="921"/>
        <v>52.177499999999995</v>
      </c>
      <c r="BF114" s="3211">
        <f t="shared" si="922"/>
        <v>0</v>
      </c>
      <c r="BG114" s="3194">
        <f t="shared" si="1207"/>
        <v>37.971000000000004</v>
      </c>
      <c r="BH114" s="3194">
        <f t="shared" si="1208"/>
        <v>37.869999999999997</v>
      </c>
      <c r="BI114" s="3194">
        <f t="shared" si="1209"/>
        <v>0.10100000000000001</v>
      </c>
      <c r="BJ114" s="3194">
        <f t="shared" si="1210"/>
        <v>-14.206499999999991</v>
      </c>
      <c r="BK114" s="3194">
        <f t="shared" si="1211"/>
        <v>-14.307499999999997</v>
      </c>
      <c r="BL114" s="3194">
        <f t="shared" si="1212"/>
        <v>0.10100000000000001</v>
      </c>
      <c r="BM114" s="3210">
        <f t="shared" si="1278"/>
        <v>17.392499999999998</v>
      </c>
      <c r="BN114" s="3210">
        <f t="shared" si="1279"/>
        <v>17.392499999999998</v>
      </c>
      <c r="BO114" s="3210">
        <f t="shared" si="1280"/>
        <v>0</v>
      </c>
      <c r="BP114" s="3145">
        <f t="shared" si="1068"/>
        <v>0</v>
      </c>
      <c r="BQ114" s="3149"/>
      <c r="BR114" s="3149"/>
      <c r="BS114" s="3145">
        <f t="shared" si="1071"/>
        <v>0</v>
      </c>
      <c r="BT114" s="3149"/>
      <c r="BU114" s="3149"/>
      <c r="BV114" s="3145">
        <f t="shared" si="1074"/>
        <v>0</v>
      </c>
      <c r="BW114" s="3149"/>
      <c r="BX114" s="3149"/>
      <c r="BY114" s="3145">
        <f t="shared" si="1220"/>
        <v>0</v>
      </c>
      <c r="BZ114" s="3145">
        <f t="shared" si="1221"/>
        <v>0</v>
      </c>
      <c r="CA114" s="3145">
        <f t="shared" si="1222"/>
        <v>0</v>
      </c>
      <c r="CB114" s="3211">
        <v>69.569999999999993</v>
      </c>
      <c r="CC114" s="3211">
        <f t="shared" si="1281"/>
        <v>69.569999999999993</v>
      </c>
      <c r="CD114" s="3211">
        <v>0</v>
      </c>
      <c r="CE114" s="3194">
        <f t="shared" si="1223"/>
        <v>37.971000000000004</v>
      </c>
      <c r="CF114" s="3194">
        <f t="shared" si="1224"/>
        <v>37.869999999999997</v>
      </c>
      <c r="CG114" s="3194">
        <f t="shared" si="1225"/>
        <v>0.10100000000000001</v>
      </c>
      <c r="CH114" s="3194">
        <f t="shared" si="1226"/>
        <v>-31.59899999999999</v>
      </c>
      <c r="CI114" s="3194">
        <f t="shared" si="1227"/>
        <v>-31.699999999999996</v>
      </c>
      <c r="CJ114" s="3194">
        <f t="shared" si="1228"/>
        <v>0.10100000000000001</v>
      </c>
      <c r="CK114" s="3259"/>
      <c r="CL114" s="3259"/>
      <c r="CM114" s="3259"/>
    </row>
    <row r="115" spans="1:91" ht="18.75" customHeight="1" x14ac:dyDescent="0.3">
      <c r="A115" s="3079" t="s">
        <v>1560</v>
      </c>
      <c r="B115" s="3210">
        <f t="shared" si="1229"/>
        <v>12.445</v>
      </c>
      <c r="C115" s="3210">
        <f t="shared" si="1270"/>
        <v>12.445</v>
      </c>
      <c r="D115" s="3210">
        <f t="shared" si="1271"/>
        <v>0</v>
      </c>
      <c r="E115" s="3145">
        <f t="shared" si="1244"/>
        <v>7.8820000000000006</v>
      </c>
      <c r="F115" s="3149">
        <v>7.86</v>
      </c>
      <c r="G115" s="3461">
        <v>2.1999999999999999E-2</v>
      </c>
      <c r="H115" s="3145">
        <f t="shared" si="1032"/>
        <v>7.3609999999999998</v>
      </c>
      <c r="I115" s="3149">
        <v>7.34</v>
      </c>
      <c r="J115" s="3461">
        <v>2.1000000000000001E-2</v>
      </c>
      <c r="K115" s="3145">
        <f t="shared" si="1035"/>
        <v>5.6040000000000001</v>
      </c>
      <c r="L115" s="3149">
        <v>5.59</v>
      </c>
      <c r="M115" s="3461">
        <v>1.4E-2</v>
      </c>
      <c r="N115" s="3145">
        <f t="shared" si="1181"/>
        <v>20.846999999999998</v>
      </c>
      <c r="O115" s="3145">
        <f t="shared" si="1182"/>
        <v>20.79</v>
      </c>
      <c r="P115" s="3145">
        <f t="shared" si="1183"/>
        <v>5.6999999999999995E-2</v>
      </c>
      <c r="Q115" s="3210">
        <f t="shared" si="1272"/>
        <v>12.445</v>
      </c>
      <c r="R115" s="3210">
        <f t="shared" si="1273"/>
        <v>12.445</v>
      </c>
      <c r="S115" s="3210">
        <f t="shared" si="1274"/>
        <v>0</v>
      </c>
      <c r="T115" s="3145">
        <f t="shared" si="1042"/>
        <v>4.6909999999999998</v>
      </c>
      <c r="U115" s="3149">
        <v>4.68</v>
      </c>
      <c r="V115" s="3461">
        <v>1.0999999999999999E-2</v>
      </c>
      <c r="W115" s="3145">
        <f t="shared" si="1045"/>
        <v>1.6349999999999998</v>
      </c>
      <c r="X115" s="3149">
        <v>1.63</v>
      </c>
      <c r="Y115" s="3461">
        <v>5.0000000000000001E-3</v>
      </c>
      <c r="Z115" s="3145">
        <f t="shared" si="1048"/>
        <v>0</v>
      </c>
      <c r="AA115" s="3149">
        <v>0</v>
      </c>
      <c r="AB115" s="3461">
        <v>0</v>
      </c>
      <c r="AC115" s="3145">
        <f t="shared" si="1235"/>
        <v>6.3259999999999996</v>
      </c>
      <c r="AD115" s="3145">
        <f t="shared" si="1236"/>
        <v>6.31</v>
      </c>
      <c r="AE115" s="3145">
        <f t="shared" si="1237"/>
        <v>1.6E-2</v>
      </c>
      <c r="AF115" s="3211">
        <f t="shared" si="1092"/>
        <v>24.89</v>
      </c>
      <c r="AG115" s="3211">
        <f t="shared" si="1093"/>
        <v>24.89</v>
      </c>
      <c r="AH115" s="3211">
        <f t="shared" si="1094"/>
        <v>0</v>
      </c>
      <c r="AI115" s="3194">
        <f t="shared" si="1191"/>
        <v>27.172999999999998</v>
      </c>
      <c r="AJ115" s="3194">
        <f t="shared" si="1192"/>
        <v>27.099999999999998</v>
      </c>
      <c r="AK115" s="3194">
        <f t="shared" si="1193"/>
        <v>7.2999999999999995E-2</v>
      </c>
      <c r="AL115" s="3194">
        <f t="shared" si="1194"/>
        <v>2.2829999999999977</v>
      </c>
      <c r="AM115" s="3194">
        <f t="shared" si="1195"/>
        <v>2.2099999999999973</v>
      </c>
      <c r="AN115" s="3194">
        <f t="shared" si="1196"/>
        <v>7.2999999999999995E-2</v>
      </c>
      <c r="AO115" s="3210">
        <f t="shared" si="1275"/>
        <v>12.445</v>
      </c>
      <c r="AP115" s="3210">
        <f t="shared" si="1276"/>
        <v>12.445</v>
      </c>
      <c r="AQ115" s="3210">
        <f t="shared" si="1277"/>
        <v>0</v>
      </c>
      <c r="AR115" s="3145">
        <f t="shared" si="1055"/>
        <v>0</v>
      </c>
      <c r="AS115" s="3149">
        <v>0</v>
      </c>
      <c r="AT115" s="3149">
        <v>0</v>
      </c>
      <c r="AU115" s="3145">
        <f t="shared" si="1058"/>
        <v>0</v>
      </c>
      <c r="AV115" s="3149">
        <v>0</v>
      </c>
      <c r="AW115" s="3149">
        <v>0</v>
      </c>
      <c r="AX115" s="3145">
        <f t="shared" si="1061"/>
        <v>1.123</v>
      </c>
      <c r="AY115" s="3149">
        <v>1.1200000000000001</v>
      </c>
      <c r="AZ115" s="3461">
        <v>3.0000000000000001E-3</v>
      </c>
      <c r="BA115" s="3145">
        <f t="shared" si="1204"/>
        <v>1.123</v>
      </c>
      <c r="BB115" s="3145">
        <f t="shared" si="1205"/>
        <v>1.1200000000000001</v>
      </c>
      <c r="BC115" s="3145">
        <f t="shared" si="1206"/>
        <v>3.0000000000000001E-3</v>
      </c>
      <c r="BD115" s="3211">
        <f t="shared" si="920"/>
        <v>37.335000000000001</v>
      </c>
      <c r="BE115" s="3211">
        <f t="shared" si="921"/>
        <v>37.335000000000001</v>
      </c>
      <c r="BF115" s="3211">
        <f t="shared" si="922"/>
        <v>0</v>
      </c>
      <c r="BG115" s="3194">
        <f t="shared" si="1207"/>
        <v>28.295999999999999</v>
      </c>
      <c r="BH115" s="3194">
        <f t="shared" si="1208"/>
        <v>28.22</v>
      </c>
      <c r="BI115" s="3194">
        <f t="shared" si="1209"/>
        <v>7.5999999999999998E-2</v>
      </c>
      <c r="BJ115" s="3194">
        <f t="shared" si="1210"/>
        <v>-9.0390000000000015</v>
      </c>
      <c r="BK115" s="3194">
        <f t="shared" si="1211"/>
        <v>-9.115000000000002</v>
      </c>
      <c r="BL115" s="3194">
        <f t="shared" si="1212"/>
        <v>7.5999999999999998E-2</v>
      </c>
      <c r="BM115" s="3210">
        <f t="shared" si="1278"/>
        <v>12.445</v>
      </c>
      <c r="BN115" s="3210">
        <f t="shared" si="1279"/>
        <v>12.445</v>
      </c>
      <c r="BO115" s="3210">
        <f t="shared" si="1280"/>
        <v>0</v>
      </c>
      <c r="BP115" s="3145">
        <f t="shared" si="1068"/>
        <v>0</v>
      </c>
      <c r="BQ115" s="3149"/>
      <c r="BR115" s="3149"/>
      <c r="BS115" s="3145">
        <f t="shared" si="1071"/>
        <v>0</v>
      </c>
      <c r="BT115" s="3149"/>
      <c r="BU115" s="3149"/>
      <c r="BV115" s="3145">
        <f t="shared" si="1074"/>
        <v>0</v>
      </c>
      <c r="BW115" s="3149"/>
      <c r="BX115" s="3149"/>
      <c r="BY115" s="3145">
        <f t="shared" si="1220"/>
        <v>0</v>
      </c>
      <c r="BZ115" s="3145">
        <f t="shared" si="1221"/>
        <v>0</v>
      </c>
      <c r="CA115" s="3145">
        <f t="shared" si="1222"/>
        <v>0</v>
      </c>
      <c r="CB115" s="3211">
        <v>49.78</v>
      </c>
      <c r="CC115" s="3211">
        <f t="shared" si="1281"/>
        <v>49.78</v>
      </c>
      <c r="CD115" s="3211">
        <v>0</v>
      </c>
      <c r="CE115" s="3194">
        <f t="shared" si="1223"/>
        <v>28.295999999999999</v>
      </c>
      <c r="CF115" s="3194">
        <f t="shared" si="1224"/>
        <v>28.22</v>
      </c>
      <c r="CG115" s="3194">
        <f t="shared" si="1225"/>
        <v>7.5999999999999998E-2</v>
      </c>
      <c r="CH115" s="3194">
        <f t="shared" si="1226"/>
        <v>-21.484000000000002</v>
      </c>
      <c r="CI115" s="3194">
        <f t="shared" si="1227"/>
        <v>-21.560000000000002</v>
      </c>
      <c r="CJ115" s="3194">
        <f t="shared" si="1228"/>
        <v>7.5999999999999998E-2</v>
      </c>
      <c r="CK115" s="3259"/>
      <c r="CL115" s="3259"/>
      <c r="CM115" s="3259"/>
    </row>
    <row r="116" spans="1:91" ht="18.75" customHeight="1" x14ac:dyDescent="0.3">
      <c r="A116" s="3079" t="s">
        <v>281</v>
      </c>
      <c r="B116" s="3210">
        <f t="shared" si="1229"/>
        <v>32.157499999999999</v>
      </c>
      <c r="C116" s="3210">
        <f t="shared" si="1270"/>
        <v>32.157499999999999</v>
      </c>
      <c r="D116" s="3210">
        <f t="shared" si="1271"/>
        <v>0</v>
      </c>
      <c r="E116" s="3145">
        <f t="shared" si="1244"/>
        <v>4.2819999999999991</v>
      </c>
      <c r="F116" s="3149">
        <v>4.2699999999999996</v>
      </c>
      <c r="G116" s="3461">
        <v>1.2E-2</v>
      </c>
      <c r="H116" s="3145">
        <f t="shared" si="1032"/>
        <v>6.3790000000000004</v>
      </c>
      <c r="I116" s="3149">
        <v>6.36</v>
      </c>
      <c r="J116" s="3461">
        <v>1.9E-2</v>
      </c>
      <c r="K116" s="3145">
        <f t="shared" si="1035"/>
        <v>6.1559999999999997</v>
      </c>
      <c r="L116" s="3149">
        <v>6.14</v>
      </c>
      <c r="M116" s="3461">
        <v>1.6E-2</v>
      </c>
      <c r="N116" s="3145">
        <f t="shared" si="1181"/>
        <v>16.817</v>
      </c>
      <c r="O116" s="3145">
        <f t="shared" si="1182"/>
        <v>16.77</v>
      </c>
      <c r="P116" s="3145">
        <f t="shared" si="1183"/>
        <v>4.7E-2</v>
      </c>
      <c r="Q116" s="3210">
        <f t="shared" si="1272"/>
        <v>32.157499999999999</v>
      </c>
      <c r="R116" s="3210">
        <f t="shared" si="1273"/>
        <v>32.157499999999999</v>
      </c>
      <c r="S116" s="3210">
        <f t="shared" si="1274"/>
        <v>0</v>
      </c>
      <c r="T116" s="3145">
        <f t="shared" si="1042"/>
        <v>6.4960000000000004</v>
      </c>
      <c r="U116" s="3149">
        <v>6.48</v>
      </c>
      <c r="V116" s="3461">
        <v>1.6E-2</v>
      </c>
      <c r="W116" s="3145">
        <f t="shared" si="1045"/>
        <v>6.258</v>
      </c>
      <c r="X116" s="3149">
        <v>6.24</v>
      </c>
      <c r="Y116" s="3461">
        <v>1.7999999999999999E-2</v>
      </c>
      <c r="Z116" s="3145">
        <f t="shared" si="1048"/>
        <v>6.0439999999999996</v>
      </c>
      <c r="AA116" s="3149">
        <v>6.01</v>
      </c>
      <c r="AB116" s="3461">
        <v>3.4000000000000002E-2</v>
      </c>
      <c r="AC116" s="3145">
        <f t="shared" si="1235"/>
        <v>18.798000000000002</v>
      </c>
      <c r="AD116" s="3145">
        <f t="shared" si="1236"/>
        <v>18.73</v>
      </c>
      <c r="AE116" s="3145">
        <f t="shared" si="1237"/>
        <v>6.8000000000000005E-2</v>
      </c>
      <c r="AF116" s="3211">
        <f t="shared" si="1092"/>
        <v>64.314999999999998</v>
      </c>
      <c r="AG116" s="3211">
        <f t="shared" si="1093"/>
        <v>64.314999999999998</v>
      </c>
      <c r="AH116" s="3211">
        <f t="shared" si="1094"/>
        <v>0</v>
      </c>
      <c r="AI116" s="3194">
        <f t="shared" si="1191"/>
        <v>35.615000000000002</v>
      </c>
      <c r="AJ116" s="3194">
        <f t="shared" si="1192"/>
        <v>35.5</v>
      </c>
      <c r="AK116" s="3194">
        <f t="shared" si="1193"/>
        <v>0.115</v>
      </c>
      <c r="AL116" s="3194">
        <f t="shared" si="1194"/>
        <v>-28.699999999999996</v>
      </c>
      <c r="AM116" s="3194">
        <f t="shared" si="1195"/>
        <v>-28.814999999999998</v>
      </c>
      <c r="AN116" s="3194">
        <f t="shared" si="1196"/>
        <v>0.115</v>
      </c>
      <c r="AO116" s="3210">
        <f t="shared" si="1275"/>
        <v>32.157499999999999</v>
      </c>
      <c r="AP116" s="3210">
        <f t="shared" si="1276"/>
        <v>32.157499999999999</v>
      </c>
      <c r="AQ116" s="3210">
        <f t="shared" si="1277"/>
        <v>0</v>
      </c>
      <c r="AR116" s="3145">
        <f t="shared" si="1055"/>
        <v>5.7530000000000001</v>
      </c>
      <c r="AS116" s="3149">
        <v>5.75</v>
      </c>
      <c r="AT116" s="3149">
        <v>3.0000000000000001E-3</v>
      </c>
      <c r="AU116" s="3145">
        <f t="shared" si="1058"/>
        <v>5.9359999999999999</v>
      </c>
      <c r="AV116" s="3149">
        <v>5.92</v>
      </c>
      <c r="AW116" s="3149">
        <v>1.6E-2</v>
      </c>
      <c r="AX116" s="3145">
        <f t="shared" si="1061"/>
        <v>6.1899999999999995</v>
      </c>
      <c r="AY116" s="3149">
        <v>6.17</v>
      </c>
      <c r="AZ116" s="3149">
        <v>0.02</v>
      </c>
      <c r="BA116" s="3145">
        <f t="shared" si="1204"/>
        <v>17.879000000000001</v>
      </c>
      <c r="BB116" s="3145">
        <f t="shared" si="1205"/>
        <v>17.84</v>
      </c>
      <c r="BC116" s="3145">
        <f t="shared" si="1206"/>
        <v>3.9E-2</v>
      </c>
      <c r="BD116" s="3211">
        <f t="shared" si="920"/>
        <v>96.472499999999997</v>
      </c>
      <c r="BE116" s="3211">
        <f t="shared" si="921"/>
        <v>96.472499999999997</v>
      </c>
      <c r="BF116" s="3211">
        <f t="shared" si="922"/>
        <v>0</v>
      </c>
      <c r="BG116" s="3194">
        <f t="shared" si="1207"/>
        <v>53.494</v>
      </c>
      <c r="BH116" s="3194">
        <f t="shared" si="1208"/>
        <v>53.34</v>
      </c>
      <c r="BI116" s="3194">
        <f t="shared" si="1209"/>
        <v>0.154</v>
      </c>
      <c r="BJ116" s="3194">
        <f t="shared" si="1210"/>
        <v>-42.978499999999997</v>
      </c>
      <c r="BK116" s="3194">
        <f t="shared" si="1211"/>
        <v>-43.132499999999993</v>
      </c>
      <c r="BL116" s="3194">
        <f t="shared" si="1212"/>
        <v>0.154</v>
      </c>
      <c r="BM116" s="3210">
        <f t="shared" si="1278"/>
        <v>32.157499999999999</v>
      </c>
      <c r="BN116" s="3210">
        <f t="shared" si="1279"/>
        <v>32.157499999999999</v>
      </c>
      <c r="BO116" s="3210">
        <f t="shared" si="1280"/>
        <v>0</v>
      </c>
      <c r="BP116" s="3145">
        <f t="shared" si="1068"/>
        <v>0</v>
      </c>
      <c r="BQ116" s="3149"/>
      <c r="BR116" s="3149"/>
      <c r="BS116" s="3145">
        <f t="shared" si="1071"/>
        <v>0</v>
      </c>
      <c r="BT116" s="3149"/>
      <c r="BU116" s="3149"/>
      <c r="BV116" s="3145">
        <f t="shared" si="1074"/>
        <v>0</v>
      </c>
      <c r="BW116" s="3149"/>
      <c r="BX116" s="3149"/>
      <c r="BY116" s="3145">
        <f t="shared" si="1220"/>
        <v>0</v>
      </c>
      <c r="BZ116" s="3145">
        <f t="shared" si="1221"/>
        <v>0</v>
      </c>
      <c r="CA116" s="3145">
        <f t="shared" si="1222"/>
        <v>0</v>
      </c>
      <c r="CB116" s="3211">
        <v>128.63</v>
      </c>
      <c r="CC116" s="3211">
        <f t="shared" si="1281"/>
        <v>128.63</v>
      </c>
      <c r="CD116" s="3211">
        <v>0</v>
      </c>
      <c r="CE116" s="3194">
        <f t="shared" si="1223"/>
        <v>53.494</v>
      </c>
      <c r="CF116" s="3194">
        <f t="shared" si="1224"/>
        <v>53.34</v>
      </c>
      <c r="CG116" s="3194">
        <f t="shared" si="1225"/>
        <v>0.154</v>
      </c>
      <c r="CH116" s="3194">
        <f t="shared" si="1226"/>
        <v>-75.135999999999996</v>
      </c>
      <c r="CI116" s="3194">
        <f t="shared" si="1227"/>
        <v>-75.289999999999992</v>
      </c>
      <c r="CJ116" s="3194">
        <f t="shared" si="1228"/>
        <v>0.154</v>
      </c>
      <c r="CK116" s="3259"/>
      <c r="CL116" s="3259"/>
      <c r="CM116" s="3259"/>
    </row>
    <row r="117" spans="1:91" ht="18.75" customHeight="1" x14ac:dyDescent="0.3">
      <c r="A117" s="3079" t="s">
        <v>3607</v>
      </c>
      <c r="B117" s="3210">
        <f t="shared" si="1229"/>
        <v>718.17354999999998</v>
      </c>
      <c r="C117" s="3210">
        <f t="shared" si="1270"/>
        <v>717.82649285048171</v>
      </c>
      <c r="D117" s="3210">
        <f t="shared" si="1271"/>
        <v>0.34705714951827904</v>
      </c>
      <c r="E117" s="3145">
        <f t="shared" si="1244"/>
        <v>137.94499999999999</v>
      </c>
      <c r="F117" s="3149">
        <v>137.56</v>
      </c>
      <c r="G117" s="3461">
        <v>0.38500000000000001</v>
      </c>
      <c r="H117" s="3145">
        <f t="shared" si="1032"/>
        <v>127.801</v>
      </c>
      <c r="I117" s="3149">
        <v>127.43</v>
      </c>
      <c r="J117" s="3461">
        <v>0.371</v>
      </c>
      <c r="K117" s="3145">
        <f t="shared" si="1035"/>
        <v>178.751</v>
      </c>
      <c r="L117" s="3149">
        <v>178.29</v>
      </c>
      <c r="M117" s="3149">
        <v>0.46100000000000002</v>
      </c>
      <c r="N117" s="3145">
        <f t="shared" si="1181"/>
        <v>444.49699999999996</v>
      </c>
      <c r="O117" s="3145">
        <f t="shared" si="1182"/>
        <v>443.28</v>
      </c>
      <c r="P117" s="3145">
        <f t="shared" si="1183"/>
        <v>1.2170000000000001</v>
      </c>
      <c r="Q117" s="3210">
        <f t="shared" si="1272"/>
        <v>718.17354999999998</v>
      </c>
      <c r="R117" s="3210">
        <f t="shared" si="1273"/>
        <v>717.82649285048171</v>
      </c>
      <c r="S117" s="3210">
        <f t="shared" si="1274"/>
        <v>0.34705714951827904</v>
      </c>
      <c r="T117" s="3145">
        <f t="shared" si="1042"/>
        <v>210.45999999999998</v>
      </c>
      <c r="U117" s="3149">
        <v>209.95</v>
      </c>
      <c r="V117" s="3461">
        <v>0.51</v>
      </c>
      <c r="W117" s="3145">
        <f t="shared" si="1045"/>
        <v>130.98200000000003</v>
      </c>
      <c r="X117" s="3149">
        <v>130.61000000000001</v>
      </c>
      <c r="Y117" s="3461">
        <v>0.372</v>
      </c>
      <c r="Z117" s="3145">
        <f t="shared" si="1048"/>
        <v>156.66499999999999</v>
      </c>
      <c r="AA117" s="3149">
        <v>155.79</v>
      </c>
      <c r="AB117" s="3461">
        <v>0.875</v>
      </c>
      <c r="AC117" s="3145">
        <f t="shared" si="1235"/>
        <v>498.10700000000003</v>
      </c>
      <c r="AD117" s="3145">
        <f t="shared" si="1236"/>
        <v>496.35</v>
      </c>
      <c r="AE117" s="3145">
        <f t="shared" si="1237"/>
        <v>1.7570000000000001</v>
      </c>
      <c r="AF117" s="3211">
        <f t="shared" si="1092"/>
        <v>1436.3471</v>
      </c>
      <c r="AG117" s="3211">
        <f t="shared" si="1093"/>
        <v>1435.6529857009634</v>
      </c>
      <c r="AH117" s="3211">
        <f t="shared" si="1094"/>
        <v>0.69411429903655808</v>
      </c>
      <c r="AI117" s="3194">
        <f t="shared" si="1191"/>
        <v>942.60400000000004</v>
      </c>
      <c r="AJ117" s="3194">
        <f t="shared" si="1192"/>
        <v>939.63</v>
      </c>
      <c r="AK117" s="3194">
        <f t="shared" si="1193"/>
        <v>2.9740000000000002</v>
      </c>
      <c r="AL117" s="3194">
        <f t="shared" si="1194"/>
        <v>-493.74309999999991</v>
      </c>
      <c r="AM117" s="3194">
        <f t="shared" si="1195"/>
        <v>-496.02298570096343</v>
      </c>
      <c r="AN117" s="3194">
        <f t="shared" si="1196"/>
        <v>2.2798857009634421</v>
      </c>
      <c r="AO117" s="3210">
        <f t="shared" ref="AO117" si="1282">SUM(AP117:AQ117)</f>
        <v>718.17354999999998</v>
      </c>
      <c r="AP117" s="3210">
        <f t="shared" ref="AP117" si="1283">SUM(CC117-AG117)/2</f>
        <v>717.82649285048171</v>
      </c>
      <c r="AQ117" s="3210">
        <f t="shared" ref="AQ117" si="1284">SUM(CD117-AH117)/2</f>
        <v>0.34705714951827904</v>
      </c>
      <c r="AR117" s="3145">
        <f t="shared" si="1055"/>
        <v>141.51299999999998</v>
      </c>
      <c r="AS117" s="3149">
        <v>141.44999999999999</v>
      </c>
      <c r="AT117" s="3149">
        <v>6.3E-2</v>
      </c>
      <c r="AU117" s="3145">
        <f t="shared" si="1058"/>
        <v>173.01999999999998</v>
      </c>
      <c r="AV117" s="3149">
        <v>172.54</v>
      </c>
      <c r="AW117" s="3149">
        <v>0.48</v>
      </c>
      <c r="AX117" s="3145">
        <f t="shared" si="1061"/>
        <v>136.54</v>
      </c>
      <c r="AY117" s="3149">
        <v>136.16</v>
      </c>
      <c r="AZ117" s="3149">
        <v>0.38</v>
      </c>
      <c r="BA117" s="3145">
        <f t="shared" si="1204"/>
        <v>451.07299999999998</v>
      </c>
      <c r="BB117" s="3145">
        <f t="shared" si="1205"/>
        <v>450.15</v>
      </c>
      <c r="BC117" s="3145">
        <f t="shared" si="1206"/>
        <v>0.92299999999999993</v>
      </c>
      <c r="BD117" s="3211">
        <f t="shared" si="920"/>
        <v>2154.5206499999999</v>
      </c>
      <c r="BE117" s="3211">
        <f t="shared" si="921"/>
        <v>2153.479478551445</v>
      </c>
      <c r="BF117" s="3211">
        <f t="shared" si="922"/>
        <v>1.0411714485548371</v>
      </c>
      <c r="BG117" s="3194">
        <f t="shared" si="1207"/>
        <v>1393.6770000000001</v>
      </c>
      <c r="BH117" s="3194">
        <f t="shared" si="1208"/>
        <v>1389.78</v>
      </c>
      <c r="BI117" s="3194">
        <f t="shared" si="1209"/>
        <v>3.8970000000000002</v>
      </c>
      <c r="BJ117" s="3194">
        <f t="shared" si="1210"/>
        <v>-760.8436499999998</v>
      </c>
      <c r="BK117" s="3194">
        <f t="shared" si="1211"/>
        <v>-763.69947855144505</v>
      </c>
      <c r="BL117" s="3194">
        <f t="shared" si="1212"/>
        <v>2.8558285514451631</v>
      </c>
      <c r="BM117" s="3210">
        <f t="shared" si="1278"/>
        <v>718.17354999999998</v>
      </c>
      <c r="BN117" s="3210">
        <f t="shared" si="1279"/>
        <v>717.82649285048171</v>
      </c>
      <c r="BO117" s="3210">
        <f t="shared" si="1280"/>
        <v>0.34705714951827904</v>
      </c>
      <c r="BP117" s="3145">
        <f t="shared" si="1068"/>
        <v>0</v>
      </c>
      <c r="BQ117" s="3149"/>
      <c r="BR117" s="3149"/>
      <c r="BS117" s="3145">
        <f t="shared" si="1071"/>
        <v>0</v>
      </c>
      <c r="BT117" s="3149"/>
      <c r="BU117" s="3149"/>
      <c r="BV117" s="3145">
        <f t="shared" si="1074"/>
        <v>0</v>
      </c>
      <c r="BW117" s="3149"/>
      <c r="BX117" s="3149"/>
      <c r="BY117" s="3145">
        <f t="shared" si="1220"/>
        <v>0</v>
      </c>
      <c r="BZ117" s="3145">
        <f t="shared" si="1221"/>
        <v>0</v>
      </c>
      <c r="CA117" s="3145">
        <f t="shared" si="1222"/>
        <v>0</v>
      </c>
      <c r="CB117" s="3211">
        <f>3001.3242-128.63</f>
        <v>2872.6941999999999</v>
      </c>
      <c r="CC117" s="3211">
        <f>SUM(CB117-CD117)</f>
        <v>2871.3059714019269</v>
      </c>
      <c r="CD117" s="3211">
        <f>SUM(CD111)</f>
        <v>1.3882285980731162</v>
      </c>
      <c r="CE117" s="3194">
        <f t="shared" si="1223"/>
        <v>1393.6770000000001</v>
      </c>
      <c r="CF117" s="3194">
        <f t="shared" si="1224"/>
        <v>1389.78</v>
      </c>
      <c r="CG117" s="3194">
        <f t="shared" si="1225"/>
        <v>3.8970000000000002</v>
      </c>
      <c r="CH117" s="3194">
        <f t="shared" si="1226"/>
        <v>-1479.0171999999998</v>
      </c>
      <c r="CI117" s="3194">
        <f t="shared" si="1227"/>
        <v>-1481.5259714019269</v>
      </c>
      <c r="CJ117" s="3194">
        <f t="shared" si="1228"/>
        <v>2.5087714019268841</v>
      </c>
      <c r="CK117" s="3259"/>
      <c r="CL117" s="3259"/>
      <c r="CM117" s="3259"/>
    </row>
    <row r="118" spans="1:91" ht="18.75" customHeight="1" x14ac:dyDescent="0.3">
      <c r="A118" s="3111" t="s">
        <v>3677</v>
      </c>
      <c r="B118" s="3208">
        <f t="shared" ref="B118" si="1285">SUM(C118:D118)</f>
        <v>0</v>
      </c>
      <c r="C118" s="3208">
        <f t="shared" ref="C118" si="1286">SUM(CC118/4)</f>
        <v>0</v>
      </c>
      <c r="D118" s="3208">
        <f t="shared" ref="D118" si="1287">SUM(CD118/4)</f>
        <v>0</v>
      </c>
      <c r="E118" s="3136">
        <f t="shared" si="1244"/>
        <v>0</v>
      </c>
      <c r="F118" s="3122"/>
      <c r="G118" s="3122"/>
      <c r="H118" s="3136">
        <f t="shared" si="1032"/>
        <v>0</v>
      </c>
      <c r="I118" s="3122"/>
      <c r="J118" s="3122"/>
      <c r="K118" s="3136">
        <f t="shared" si="1035"/>
        <v>0</v>
      </c>
      <c r="L118" s="3122"/>
      <c r="M118" s="3122"/>
      <c r="N118" s="3136">
        <f t="shared" si="1181"/>
        <v>0</v>
      </c>
      <c r="O118" s="3136">
        <f t="shared" si="1182"/>
        <v>0</v>
      </c>
      <c r="P118" s="3136">
        <f t="shared" si="1183"/>
        <v>0</v>
      </c>
      <c r="Q118" s="3208">
        <f t="shared" ref="Q118" si="1288">SUM(R118:S118)</f>
        <v>0</v>
      </c>
      <c r="R118" s="3208">
        <f t="shared" ref="R118" si="1289">SUM(C118)</f>
        <v>0</v>
      </c>
      <c r="S118" s="3208">
        <f t="shared" ref="S118" si="1290">SUM(D118)</f>
        <v>0</v>
      </c>
      <c r="T118" s="3136">
        <f t="shared" si="1042"/>
        <v>0</v>
      </c>
      <c r="U118" s="3122"/>
      <c r="V118" s="3112"/>
      <c r="W118" s="3136">
        <f t="shared" si="1045"/>
        <v>0</v>
      </c>
      <c r="X118" s="3122"/>
      <c r="Y118" s="3122"/>
      <c r="Z118" s="3136">
        <f t="shared" si="1048"/>
        <v>0</v>
      </c>
      <c r="AA118" s="3122"/>
      <c r="AB118" s="3122"/>
      <c r="AC118" s="3136">
        <f t="shared" si="1235"/>
        <v>0</v>
      </c>
      <c r="AD118" s="3136">
        <f t="shared" si="1236"/>
        <v>0</v>
      </c>
      <c r="AE118" s="3136">
        <f t="shared" si="1237"/>
        <v>0</v>
      </c>
      <c r="AF118" s="3209">
        <f t="shared" si="1092"/>
        <v>0</v>
      </c>
      <c r="AG118" s="3209">
        <f t="shared" si="1093"/>
        <v>0</v>
      </c>
      <c r="AH118" s="3209">
        <f t="shared" si="1094"/>
        <v>0</v>
      </c>
      <c r="AI118" s="3264">
        <f t="shared" si="1191"/>
        <v>0</v>
      </c>
      <c r="AJ118" s="3264">
        <f t="shared" si="1192"/>
        <v>0</v>
      </c>
      <c r="AK118" s="3264">
        <f t="shared" si="1193"/>
        <v>0</v>
      </c>
      <c r="AL118" s="3264">
        <f t="shared" si="1194"/>
        <v>0</v>
      </c>
      <c r="AM118" s="3264">
        <f t="shared" si="1195"/>
        <v>0</v>
      </c>
      <c r="AN118" s="3264">
        <f t="shared" si="1196"/>
        <v>0</v>
      </c>
      <c r="AO118" s="3208">
        <f t="shared" ref="AO118:AO119" si="1291">SUM(AP118:AQ118)</f>
        <v>0</v>
      </c>
      <c r="AP118" s="3208">
        <f t="shared" ref="AP118:AP119" si="1292">SUM(CC118-AG118)/2</f>
        <v>0</v>
      </c>
      <c r="AQ118" s="3208">
        <f t="shared" ref="AQ118:AQ119" si="1293">SUM(CD118-AH118)/2</f>
        <v>0</v>
      </c>
      <c r="AR118" s="3136">
        <f t="shared" si="1055"/>
        <v>0</v>
      </c>
      <c r="AS118" s="3122"/>
      <c r="AT118" s="3122"/>
      <c r="AU118" s="3136">
        <f t="shared" si="1058"/>
        <v>0</v>
      </c>
      <c r="AV118" s="3122"/>
      <c r="AW118" s="3122"/>
      <c r="AX118" s="3136">
        <f t="shared" si="1061"/>
        <v>0</v>
      </c>
      <c r="AY118" s="3122"/>
      <c r="AZ118" s="3122"/>
      <c r="BA118" s="3136">
        <f t="shared" si="1204"/>
        <v>0</v>
      </c>
      <c r="BB118" s="3136">
        <f t="shared" si="1205"/>
        <v>0</v>
      </c>
      <c r="BC118" s="3136">
        <f t="shared" si="1206"/>
        <v>0</v>
      </c>
      <c r="BD118" s="3209">
        <f t="shared" si="920"/>
        <v>0</v>
      </c>
      <c r="BE118" s="3209">
        <f t="shared" si="921"/>
        <v>0</v>
      </c>
      <c r="BF118" s="3209">
        <f t="shared" si="922"/>
        <v>0</v>
      </c>
      <c r="BG118" s="3264">
        <f t="shared" si="1207"/>
        <v>0</v>
      </c>
      <c r="BH118" s="3264">
        <f t="shared" si="1208"/>
        <v>0</v>
      </c>
      <c r="BI118" s="3264">
        <f t="shared" si="1209"/>
        <v>0</v>
      </c>
      <c r="BJ118" s="3264">
        <f t="shared" si="1210"/>
        <v>0</v>
      </c>
      <c r="BK118" s="3264">
        <f t="shared" si="1211"/>
        <v>0</v>
      </c>
      <c r="BL118" s="3264">
        <f t="shared" si="1212"/>
        <v>0</v>
      </c>
      <c r="BM118" s="3208">
        <f t="shared" ref="BM118:BM119" si="1294">SUM(BN118:BO118)</f>
        <v>0</v>
      </c>
      <c r="BN118" s="3208">
        <f t="shared" ref="BN118:BN119" si="1295">SUM(AP118)</f>
        <v>0</v>
      </c>
      <c r="BO118" s="3208">
        <f t="shared" ref="BO118:BO119" si="1296">SUM(AQ118)</f>
        <v>0</v>
      </c>
      <c r="BP118" s="3136">
        <f t="shared" si="1068"/>
        <v>0</v>
      </c>
      <c r="BQ118" s="3122"/>
      <c r="BR118" s="3122"/>
      <c r="BS118" s="3136">
        <f t="shared" si="1071"/>
        <v>0</v>
      </c>
      <c r="BT118" s="3122"/>
      <c r="BU118" s="3122"/>
      <c r="BV118" s="3136">
        <f t="shared" si="1074"/>
        <v>0</v>
      </c>
      <c r="BW118" s="3122"/>
      <c r="BX118" s="3122"/>
      <c r="BY118" s="3136">
        <f t="shared" si="1220"/>
        <v>0</v>
      </c>
      <c r="BZ118" s="3136">
        <f t="shared" si="1221"/>
        <v>0</v>
      </c>
      <c r="CA118" s="3136">
        <f t="shared" si="1222"/>
        <v>0</v>
      </c>
      <c r="CB118" s="3209">
        <f t="shared" si="828"/>
        <v>0</v>
      </c>
      <c r="CC118" s="3286">
        <v>0</v>
      </c>
      <c r="CD118" s="3286">
        <v>0</v>
      </c>
      <c r="CE118" s="3264">
        <f t="shared" si="1223"/>
        <v>0</v>
      </c>
      <c r="CF118" s="3264">
        <f t="shared" si="1224"/>
        <v>0</v>
      </c>
      <c r="CG118" s="3264">
        <f t="shared" si="1225"/>
        <v>0</v>
      </c>
      <c r="CH118" s="3264">
        <f t="shared" si="1226"/>
        <v>0</v>
      </c>
      <c r="CI118" s="3264">
        <f t="shared" si="1227"/>
        <v>0</v>
      </c>
      <c r="CJ118" s="3264">
        <f t="shared" si="1228"/>
        <v>0</v>
      </c>
      <c r="CK118" s="3259"/>
      <c r="CL118" s="3259"/>
      <c r="CM118" s="3259"/>
    </row>
    <row r="119" spans="1:91" ht="18.75" customHeight="1" x14ac:dyDescent="0.3">
      <c r="A119" s="3111" t="s">
        <v>3609</v>
      </c>
      <c r="B119" s="3208">
        <f t="shared" ref="B119:B120" si="1297">SUM(C119:D119)</f>
        <v>60.252499999999998</v>
      </c>
      <c r="C119" s="3208">
        <f t="shared" ref="C119" si="1298">SUM(CC119/4)</f>
        <v>60.252499999999998</v>
      </c>
      <c r="D119" s="3208">
        <f t="shared" ref="D119" si="1299">SUM(CD119/4)</f>
        <v>0</v>
      </c>
      <c r="E119" s="3136">
        <f t="shared" si="1244"/>
        <v>0</v>
      </c>
      <c r="F119" s="3137"/>
      <c r="G119" s="3137"/>
      <c r="H119" s="3136">
        <f t="shared" si="1032"/>
        <v>0</v>
      </c>
      <c r="I119" s="3137"/>
      <c r="J119" s="3137"/>
      <c r="K119" s="3136">
        <f t="shared" si="1035"/>
        <v>0</v>
      </c>
      <c r="L119" s="3137"/>
      <c r="M119" s="3137"/>
      <c r="N119" s="3136">
        <f t="shared" si="1181"/>
        <v>0</v>
      </c>
      <c r="O119" s="3136">
        <f t="shared" si="1182"/>
        <v>0</v>
      </c>
      <c r="P119" s="3136">
        <f t="shared" si="1183"/>
        <v>0</v>
      </c>
      <c r="Q119" s="3208">
        <f t="shared" ref="Q119" si="1300">SUM(R119:S119)</f>
        <v>60.252499999999998</v>
      </c>
      <c r="R119" s="3208">
        <f t="shared" ref="R119" si="1301">SUM(C119)</f>
        <v>60.252499999999998</v>
      </c>
      <c r="S119" s="3208">
        <f t="shared" ref="S119" si="1302">SUM(D119)</f>
        <v>0</v>
      </c>
      <c r="T119" s="3136">
        <f t="shared" si="1042"/>
        <v>0</v>
      </c>
      <c r="U119" s="3137"/>
      <c r="V119" s="3464"/>
      <c r="W119" s="3136">
        <f t="shared" si="1045"/>
        <v>0</v>
      </c>
      <c r="X119" s="3137"/>
      <c r="Y119" s="3137"/>
      <c r="Z119" s="3136">
        <f t="shared" si="1048"/>
        <v>0</v>
      </c>
      <c r="AA119" s="3137"/>
      <c r="AB119" s="3137"/>
      <c r="AC119" s="3136">
        <f t="shared" si="1235"/>
        <v>0</v>
      </c>
      <c r="AD119" s="3136">
        <f t="shared" si="1236"/>
        <v>0</v>
      </c>
      <c r="AE119" s="3136">
        <f t="shared" si="1237"/>
        <v>0</v>
      </c>
      <c r="AF119" s="3209">
        <f t="shared" si="1092"/>
        <v>120.505</v>
      </c>
      <c r="AG119" s="3209">
        <f t="shared" si="1093"/>
        <v>120.505</v>
      </c>
      <c r="AH119" s="3209">
        <f t="shared" si="1094"/>
        <v>0</v>
      </c>
      <c r="AI119" s="3264">
        <f t="shared" si="1191"/>
        <v>0</v>
      </c>
      <c r="AJ119" s="3264">
        <f t="shared" si="1192"/>
        <v>0</v>
      </c>
      <c r="AK119" s="3264">
        <f t="shared" si="1193"/>
        <v>0</v>
      </c>
      <c r="AL119" s="3264">
        <f t="shared" si="1194"/>
        <v>-120.505</v>
      </c>
      <c r="AM119" s="3264">
        <f t="shared" si="1195"/>
        <v>-120.505</v>
      </c>
      <c r="AN119" s="3264">
        <f t="shared" si="1196"/>
        <v>0</v>
      </c>
      <c r="AO119" s="3208">
        <f t="shared" si="1291"/>
        <v>60.252499999999998</v>
      </c>
      <c r="AP119" s="3208">
        <f t="shared" si="1292"/>
        <v>60.252499999999998</v>
      </c>
      <c r="AQ119" s="3208">
        <f t="shared" si="1293"/>
        <v>0</v>
      </c>
      <c r="AR119" s="3136">
        <f t="shared" si="1055"/>
        <v>0</v>
      </c>
      <c r="AS119" s="3137"/>
      <c r="AT119" s="3137"/>
      <c r="AU119" s="3136">
        <f t="shared" si="1058"/>
        <v>0</v>
      </c>
      <c r="AV119" s="3137"/>
      <c r="AW119" s="3137"/>
      <c r="AX119" s="3136">
        <f t="shared" si="1061"/>
        <v>0</v>
      </c>
      <c r="AY119" s="3137"/>
      <c r="AZ119" s="3137"/>
      <c r="BA119" s="3136">
        <f t="shared" si="1204"/>
        <v>0</v>
      </c>
      <c r="BB119" s="3136">
        <f t="shared" si="1205"/>
        <v>0</v>
      </c>
      <c r="BC119" s="3136">
        <f t="shared" si="1206"/>
        <v>0</v>
      </c>
      <c r="BD119" s="3209">
        <f t="shared" si="920"/>
        <v>180.75749999999999</v>
      </c>
      <c r="BE119" s="3209">
        <f t="shared" si="921"/>
        <v>180.75749999999999</v>
      </c>
      <c r="BF119" s="3209">
        <f t="shared" si="922"/>
        <v>0</v>
      </c>
      <c r="BG119" s="3264">
        <f t="shared" si="1207"/>
        <v>0</v>
      </c>
      <c r="BH119" s="3264">
        <f t="shared" si="1208"/>
        <v>0</v>
      </c>
      <c r="BI119" s="3264">
        <f t="shared" si="1209"/>
        <v>0</v>
      </c>
      <c r="BJ119" s="3264">
        <f t="shared" si="1210"/>
        <v>-180.75749999999999</v>
      </c>
      <c r="BK119" s="3264">
        <f t="shared" si="1211"/>
        <v>-180.75749999999999</v>
      </c>
      <c r="BL119" s="3264">
        <f t="shared" si="1212"/>
        <v>0</v>
      </c>
      <c r="BM119" s="3208">
        <f t="shared" si="1294"/>
        <v>60.252499999999998</v>
      </c>
      <c r="BN119" s="3208">
        <f t="shared" si="1295"/>
        <v>60.252499999999998</v>
      </c>
      <c r="BO119" s="3208">
        <f t="shared" si="1296"/>
        <v>0</v>
      </c>
      <c r="BP119" s="3136">
        <f t="shared" si="1068"/>
        <v>0</v>
      </c>
      <c r="BQ119" s="3137"/>
      <c r="BR119" s="3137"/>
      <c r="BS119" s="3136">
        <f t="shared" si="1071"/>
        <v>0</v>
      </c>
      <c r="BT119" s="3137"/>
      <c r="BU119" s="3137"/>
      <c r="BV119" s="3136">
        <f t="shared" si="1074"/>
        <v>0</v>
      </c>
      <c r="BW119" s="3137"/>
      <c r="BX119" s="3137"/>
      <c r="BY119" s="3136">
        <f t="shared" si="1220"/>
        <v>0</v>
      </c>
      <c r="BZ119" s="3136">
        <f t="shared" si="1221"/>
        <v>0</v>
      </c>
      <c r="CA119" s="3136">
        <f t="shared" si="1222"/>
        <v>0</v>
      </c>
      <c r="CB119" s="3209">
        <f t="shared" si="828"/>
        <v>241.01</v>
      </c>
      <c r="CC119" s="3286">
        <f>SUM(стоки!BN47)</f>
        <v>241.01</v>
      </c>
      <c r="CD119" s="3286">
        <v>0</v>
      </c>
      <c r="CE119" s="3264">
        <f t="shared" si="1223"/>
        <v>0</v>
      </c>
      <c r="CF119" s="3264">
        <f t="shared" si="1224"/>
        <v>0</v>
      </c>
      <c r="CG119" s="3264">
        <f t="shared" si="1225"/>
        <v>0</v>
      </c>
      <c r="CH119" s="3264">
        <f t="shared" si="1226"/>
        <v>-241.01</v>
      </c>
      <c r="CI119" s="3264">
        <f t="shared" si="1227"/>
        <v>-241.01</v>
      </c>
      <c r="CJ119" s="3264">
        <f t="shared" si="1228"/>
        <v>0</v>
      </c>
      <c r="CK119" s="3259"/>
      <c r="CL119" s="3259"/>
      <c r="CM119" s="3259"/>
    </row>
    <row r="120" spans="1:91" ht="18.75" customHeight="1" x14ac:dyDescent="0.3">
      <c r="A120" s="3106" t="s">
        <v>12</v>
      </c>
      <c r="B120" s="3207">
        <f t="shared" si="1297"/>
        <v>24068.209201802725</v>
      </c>
      <c r="C120" s="3251">
        <f>SUM(C17+C36+C71+C90+C107+C111+C118+C119)</f>
        <v>24002.457404368852</v>
      </c>
      <c r="D120" s="3251">
        <f>SUM(D17+D36+D71+D90+D107+D111+D118+D119)</f>
        <v>65.751797433874046</v>
      </c>
      <c r="E120" s="3156">
        <f t="shared" si="1244"/>
        <v>6362.152000000001</v>
      </c>
      <c r="F120" s="3156">
        <f t="shared" ref="F120:G120" si="1303">SUM(F17+F36+F71+F90+F107+F111+F118+F119)</f>
        <v>6348.8300000000008</v>
      </c>
      <c r="G120" s="3156">
        <f t="shared" si="1303"/>
        <v>13.321999999999999</v>
      </c>
      <c r="H120" s="3156">
        <f t="shared" si="1032"/>
        <v>6022.0870000000004</v>
      </c>
      <c r="I120" s="3156">
        <f t="shared" ref="I120" si="1304">SUM(I17+I36+I71+I90+I107+I111+I118+I119)</f>
        <v>6009.5800000000008</v>
      </c>
      <c r="J120" s="3156">
        <f t="shared" ref="J120" si="1305">SUM(J17+J36+J71+J90+J107+J111+J118+J119)</f>
        <v>12.506999999999998</v>
      </c>
      <c r="K120" s="3156">
        <f t="shared" si="1035"/>
        <v>6881.201</v>
      </c>
      <c r="L120" s="3156">
        <f t="shared" ref="L120" si="1306">SUM(L17+L36+L71+L90+L107+L111+L118+L119)</f>
        <v>6869.13</v>
      </c>
      <c r="M120" s="3156">
        <f t="shared" ref="M120" si="1307">SUM(M17+M36+M71+M90+M107+M111+M118+M119)</f>
        <v>12.071</v>
      </c>
      <c r="N120" s="3156">
        <f t="shared" ref="N120" si="1308">SUM(O120:P120)</f>
        <v>19265.440000000002</v>
      </c>
      <c r="O120" s="3156">
        <f t="shared" ref="O120" si="1309">SUM(F120+I120+L120)</f>
        <v>19227.54</v>
      </c>
      <c r="P120" s="3156">
        <f t="shared" ref="P120" si="1310">SUM(G120+J120+M120)</f>
        <v>37.9</v>
      </c>
      <c r="Q120" s="3251">
        <f>SUM(Q17+Q36+Q71+Q90+Q107+Q111+Q118+Q119)</f>
        <v>24068.209201802725</v>
      </c>
      <c r="R120" s="3251">
        <f>SUM(R17+R36+R71+R90+R107+R111+R118+R119)</f>
        <v>24002.457404368852</v>
      </c>
      <c r="S120" s="3251">
        <f>SUM(S17+S36+S71+S90+S107+S111+S118+S119)</f>
        <v>65.751797433874046</v>
      </c>
      <c r="T120" s="3156">
        <f t="shared" si="1042"/>
        <v>7088.74</v>
      </c>
      <c r="U120" s="3156">
        <f t="shared" ref="U120" si="1311">SUM(U17+U36+U71+U90+U107+U111+U118+U119)</f>
        <v>7076.17</v>
      </c>
      <c r="V120" s="3156">
        <f t="shared" ref="V120" si="1312">SUM(V17+V36+V71+V90+V107+V111+V118+V119)</f>
        <v>12.57</v>
      </c>
      <c r="W120" s="3156">
        <f t="shared" si="1045"/>
        <v>7141.197000000001</v>
      </c>
      <c r="X120" s="3156">
        <f t="shared" ref="X120" si="1313">SUM(X17+X36+X71+X90+X107+X111+X118+X119)</f>
        <v>7126.1840000000011</v>
      </c>
      <c r="Y120" s="3156">
        <f t="shared" ref="Y120" si="1314">SUM(Y17+Y36+Y71+Y90+Y107+Y111+Y118+Y119)</f>
        <v>15.012999999999998</v>
      </c>
      <c r="Z120" s="3156">
        <f t="shared" si="1048"/>
        <v>6860.5530000000008</v>
      </c>
      <c r="AA120" s="3156">
        <f t="shared" ref="AA120" si="1315">SUM(AA17+AA36+AA71+AA90+AA107+AA111+AA118+AA119)</f>
        <v>6827.6180000000004</v>
      </c>
      <c r="AB120" s="3156">
        <f t="shared" ref="AB120" si="1316">SUM(AB17+AB36+AB71+AB90+AB107+AB111+AB118+AB119)</f>
        <v>32.935000000000002</v>
      </c>
      <c r="AC120" s="3156">
        <f t="shared" si="1235"/>
        <v>21090.49</v>
      </c>
      <c r="AD120" s="3156">
        <f t="shared" si="1236"/>
        <v>21029.972000000002</v>
      </c>
      <c r="AE120" s="3156">
        <f t="shared" si="1237"/>
        <v>60.518000000000001</v>
      </c>
      <c r="AF120" s="3206">
        <f t="shared" si="1092"/>
        <v>48136.41840360545</v>
      </c>
      <c r="AG120" s="3206">
        <f t="shared" si="1093"/>
        <v>48004.914808737703</v>
      </c>
      <c r="AH120" s="3206">
        <f t="shared" si="1094"/>
        <v>131.50359486774809</v>
      </c>
      <c r="AI120" s="3193">
        <f t="shared" si="1191"/>
        <v>40355.930000000008</v>
      </c>
      <c r="AJ120" s="3193">
        <f t="shared" si="1192"/>
        <v>40257.512000000002</v>
      </c>
      <c r="AK120" s="3193">
        <f t="shared" si="1193"/>
        <v>98.418000000000006</v>
      </c>
      <c r="AL120" s="3193">
        <f t="shared" si="1194"/>
        <v>-7780.4884036054427</v>
      </c>
      <c r="AM120" s="3193">
        <f t="shared" si="1195"/>
        <v>-7747.402808737701</v>
      </c>
      <c r="AN120" s="3193">
        <f t="shared" si="1196"/>
        <v>-33.085594867748085</v>
      </c>
      <c r="AO120" s="3251">
        <f>SUM(AO17+AO36+AO71+AO90+AO107+AO111+AO118+AO119)</f>
        <v>24196.070279560827</v>
      </c>
      <c r="AP120" s="3251">
        <f>SUM(AP17+AP36+AP71+AP90+AP107+AP111+AP118+AP119)</f>
        <v>24129.713958780027</v>
      </c>
      <c r="AQ120" s="3251">
        <f>SUM(AQ17+AQ36+AQ71+AQ90+AQ107+AQ111+AQ118+AQ119)</f>
        <v>66.356320780799294</v>
      </c>
      <c r="AR120" s="3156">
        <f t="shared" si="1055"/>
        <v>6476.1949999999997</v>
      </c>
      <c r="AS120" s="3156">
        <f t="shared" ref="AS120" si="1317">SUM(AS17+AS36+AS71+AS90+AS107+AS111+AS118+AS119)</f>
        <v>6473.5599999999995</v>
      </c>
      <c r="AT120" s="3251">
        <f t="shared" ref="AT120" si="1318">SUM(AT17+AT36+AT71+AT90+AT107+AT111+AT118+AT119)</f>
        <v>2.6349999999999998</v>
      </c>
      <c r="AU120" s="3156">
        <f t="shared" si="1058"/>
        <v>6722.7979999999998</v>
      </c>
      <c r="AV120" s="3156">
        <f t="shared" ref="AV120" si="1319">SUM(AV17+AV36+AV71+AV90+AV107+AV111+AV118+AV119)</f>
        <v>6709.11</v>
      </c>
      <c r="AW120" s="3156">
        <f t="shared" ref="AW120" si="1320">SUM(AW17+AW36+AW71+AW90+AW107+AW111+AW118+AW119)</f>
        <v>13.687999999999999</v>
      </c>
      <c r="AX120" s="3156">
        <f t="shared" si="1061"/>
        <v>7246.4230000000007</v>
      </c>
      <c r="AY120" s="3156">
        <f t="shared" ref="AY120" si="1321">SUM(AY17+AY36+AY71+AY90+AY107+AY111+AY118+AY119)</f>
        <v>7225.8300000000008</v>
      </c>
      <c r="AZ120" s="3156">
        <f t="shared" ref="AZ120" si="1322">SUM(AZ17+AZ36+AZ71+AZ90+AZ107+AZ111+AZ118+AZ119)</f>
        <v>20.593</v>
      </c>
      <c r="BA120" s="3156">
        <f t="shared" si="1204"/>
        <v>20445.416000000001</v>
      </c>
      <c r="BB120" s="3156">
        <f t="shared" si="1205"/>
        <v>20408.5</v>
      </c>
      <c r="BC120" s="3156">
        <f t="shared" si="1206"/>
        <v>36.915999999999997</v>
      </c>
      <c r="BD120" s="3206">
        <f t="shared" si="920"/>
        <v>72332.488683166273</v>
      </c>
      <c r="BE120" s="3206">
        <f t="shared" si="921"/>
        <v>72134.62876751773</v>
      </c>
      <c r="BF120" s="3206">
        <f t="shared" si="922"/>
        <v>197.85991564854737</v>
      </c>
      <c r="BG120" s="3193">
        <f t="shared" si="1207"/>
        <v>60801.346000000005</v>
      </c>
      <c r="BH120" s="3193">
        <f t="shared" si="1208"/>
        <v>60666.012000000002</v>
      </c>
      <c r="BI120" s="3193">
        <f t="shared" si="1209"/>
        <v>135.334</v>
      </c>
      <c r="BJ120" s="3193">
        <f t="shared" si="1210"/>
        <v>-11531.142683166268</v>
      </c>
      <c r="BK120" s="3193">
        <f t="shared" si="1211"/>
        <v>-11468.616767517728</v>
      </c>
      <c r="BL120" s="3193">
        <f t="shared" si="1212"/>
        <v>-62.525915648547368</v>
      </c>
      <c r="BM120" s="3251">
        <f>SUM(BM17+BM36+BM71+BM90+BM107+BM111+BM118+BM119)</f>
        <v>24196.070279560827</v>
      </c>
      <c r="BN120" s="3251">
        <f>SUM(BN17+BN36+BN71+BN90+BN107+BN111+BN118+BN119)</f>
        <v>24129.713958780027</v>
      </c>
      <c r="BO120" s="3251">
        <f>SUM(BO17+BO36+BO71+BO90+BO107+BO111+BO118+BO119)</f>
        <v>66.356320780799294</v>
      </c>
      <c r="BP120" s="3156">
        <f t="shared" si="1068"/>
        <v>0</v>
      </c>
      <c r="BQ120" s="3156">
        <f t="shared" ref="BQ120" si="1323">SUM(BQ17+BQ36+BQ71+BQ90+BQ107+BQ111+BQ118+BQ119)</f>
        <v>0</v>
      </c>
      <c r="BR120" s="3156">
        <f t="shared" ref="BR120" si="1324">SUM(BR17+BR36+BR71+BR90+BR107+BR111+BR118+BR119)</f>
        <v>0</v>
      </c>
      <c r="BS120" s="3156">
        <f t="shared" si="1071"/>
        <v>0</v>
      </c>
      <c r="BT120" s="3156">
        <f t="shared" ref="BT120" si="1325">SUM(BT17+BT36+BT71+BT90+BT107+BT111+BT118+BT119)</f>
        <v>0</v>
      </c>
      <c r="BU120" s="3156">
        <f t="shared" ref="BU120" si="1326">SUM(BU17+BU36+BU71+BU90+BU107+BU111+BU118+BU119)</f>
        <v>0</v>
      </c>
      <c r="BV120" s="3156">
        <f t="shared" si="1074"/>
        <v>0</v>
      </c>
      <c r="BW120" s="3156">
        <f t="shared" ref="BW120" si="1327">SUM(BW17+BW36+BW71+BW90+BW107+BW111+BW118+BW119)</f>
        <v>0</v>
      </c>
      <c r="BX120" s="3156">
        <f t="shared" ref="BX120" si="1328">SUM(BX17+BX36+BX71+BX90+BX107+BX111+BX118+BX119)</f>
        <v>0</v>
      </c>
      <c r="BY120" s="3156">
        <f t="shared" si="1220"/>
        <v>0</v>
      </c>
      <c r="BZ120" s="3156">
        <f t="shared" si="1221"/>
        <v>0</v>
      </c>
      <c r="CA120" s="3156">
        <f t="shared" si="1222"/>
        <v>0</v>
      </c>
      <c r="CB120" s="3284">
        <f>SUM(CB17+CB36+CB71+CB90+CB107+CB111+CB118+CB119)</f>
        <v>96528.558904823643</v>
      </c>
      <c r="CC120" s="3284">
        <f>SUM(CC17+CC36+CC71+CC90+CC107+CC111+CC118+CC119)</f>
        <v>96264.342668392695</v>
      </c>
      <c r="CD120" s="3284">
        <f>SUM(CD17+CD36+CD71+CD90+CD107+CD111+CD118+CD119)</f>
        <v>264.21623643095785</v>
      </c>
      <c r="CE120" s="3193">
        <f t="shared" si="1223"/>
        <v>60801.346000000005</v>
      </c>
      <c r="CF120" s="3193">
        <f t="shared" si="1224"/>
        <v>60666.012000000002</v>
      </c>
      <c r="CG120" s="3193">
        <f t="shared" si="1225"/>
        <v>135.334</v>
      </c>
      <c r="CH120" s="3193">
        <f t="shared" si="1226"/>
        <v>-35727.212904823638</v>
      </c>
      <c r="CI120" s="3193">
        <f t="shared" si="1227"/>
        <v>-35598.330668392693</v>
      </c>
      <c r="CJ120" s="3193">
        <f t="shared" si="1228"/>
        <v>-128.88223643095785</v>
      </c>
      <c r="CK120" s="3259"/>
      <c r="CL120" s="3259"/>
      <c r="CM120" s="3259"/>
    </row>
    <row r="121" spans="1:91" ht="18.75" customHeight="1" x14ac:dyDescent="0.3">
      <c r="A121" s="3106" t="s">
        <v>13</v>
      </c>
      <c r="B121" s="3251">
        <f>SUM(B9)</f>
        <v>755.00091078952471</v>
      </c>
      <c r="C121" s="3251">
        <f t="shared" ref="C121:D121" si="1329">SUM(C9)</f>
        <v>750.58424412285808</v>
      </c>
      <c r="D121" s="3251">
        <f t="shared" si="1329"/>
        <v>4.416666666666667</v>
      </c>
      <c r="E121" s="3156">
        <f>SUM(E9)</f>
        <v>266.49549999999999</v>
      </c>
      <c r="F121" s="3156">
        <f t="shared" ref="F121:G121" si="1330">SUM(F9)</f>
        <v>266.29300000000001</v>
      </c>
      <c r="G121" s="3156">
        <f t="shared" si="1330"/>
        <v>0.20250000000000001</v>
      </c>
      <c r="H121" s="3156">
        <f>SUM(H9)</f>
        <v>256.30599999999998</v>
      </c>
      <c r="I121" s="3156">
        <f t="shared" ref="I121:J121" si="1331">SUM(I9)</f>
        <v>256.13299999999998</v>
      </c>
      <c r="J121" s="3156">
        <f t="shared" si="1331"/>
        <v>0.17299999999999999</v>
      </c>
      <c r="K121" s="3156">
        <f>SUM(K9)</f>
        <v>252.04300000000001</v>
      </c>
      <c r="L121" s="3156">
        <f t="shared" ref="L121:M121" si="1332">SUM(L9)</f>
        <v>248.363</v>
      </c>
      <c r="M121" s="3156">
        <f t="shared" si="1332"/>
        <v>3.68</v>
      </c>
      <c r="N121" s="3156">
        <f t="shared" ref="N121" si="1333">SUM(O121:P121)</f>
        <v>774.84450000000004</v>
      </c>
      <c r="O121" s="3156">
        <f t="shared" ref="O121" si="1334">SUM(F121+I121+L121)</f>
        <v>770.78899999999999</v>
      </c>
      <c r="P121" s="3156">
        <f t="shared" ref="P121" si="1335">SUM(G121+J121+M121)</f>
        <v>4.0555000000000003</v>
      </c>
      <c r="Q121" s="3251">
        <f>SUM(Q9)</f>
        <v>755.00091078952471</v>
      </c>
      <c r="R121" s="3251">
        <f t="shared" ref="R121:S121" si="1336">SUM(R9)</f>
        <v>750.58424412285808</v>
      </c>
      <c r="S121" s="3251">
        <f t="shared" si="1336"/>
        <v>4.416666666666667</v>
      </c>
      <c r="T121" s="3156">
        <f>SUM(T9)</f>
        <v>260.08700000000005</v>
      </c>
      <c r="U121" s="3156">
        <f t="shared" ref="U121:V121" si="1337">SUM(U9)</f>
        <v>259.78700000000003</v>
      </c>
      <c r="V121" s="3156">
        <f t="shared" si="1337"/>
        <v>0.3</v>
      </c>
      <c r="W121" s="3156">
        <f>SUM(W9)</f>
        <v>254.17200000000003</v>
      </c>
      <c r="X121" s="3156">
        <f t="shared" ref="X121:Y121" si="1338">SUM(X9)</f>
        <v>253.66200000000003</v>
      </c>
      <c r="Y121" s="3156">
        <f t="shared" si="1338"/>
        <v>0.51</v>
      </c>
      <c r="Z121" s="3156">
        <f>SUM(Z9)</f>
        <v>258.279</v>
      </c>
      <c r="AA121" s="3156">
        <f t="shared" ref="AA121:AB121" si="1339">SUM(AA9)</f>
        <v>254.41299999999998</v>
      </c>
      <c r="AB121" s="3156">
        <f t="shared" si="1339"/>
        <v>3.8660000000000001</v>
      </c>
      <c r="AC121" s="3156">
        <f t="shared" si="1235"/>
        <v>772.53800000000012</v>
      </c>
      <c r="AD121" s="3156">
        <f t="shared" si="1236"/>
        <v>767.86200000000008</v>
      </c>
      <c r="AE121" s="3156">
        <f t="shared" si="1237"/>
        <v>4.6760000000000002</v>
      </c>
      <c r="AF121" s="3206">
        <f t="shared" si="1092"/>
        <v>1510.0018215790494</v>
      </c>
      <c r="AG121" s="3206">
        <f t="shared" si="1093"/>
        <v>1501.1684882457162</v>
      </c>
      <c r="AH121" s="3206">
        <f t="shared" si="1094"/>
        <v>8.8333333333333339</v>
      </c>
      <c r="AI121" s="3193">
        <f t="shared" si="1191"/>
        <v>1547.3825000000002</v>
      </c>
      <c r="AJ121" s="3193">
        <f t="shared" si="1192"/>
        <v>1538.6510000000001</v>
      </c>
      <c r="AK121" s="3193">
        <f t="shared" si="1193"/>
        <v>8.7315000000000005</v>
      </c>
      <c r="AL121" s="3193">
        <f t="shared" si="1194"/>
        <v>37.380678420950744</v>
      </c>
      <c r="AM121" s="3193">
        <f t="shared" si="1195"/>
        <v>37.482511754283905</v>
      </c>
      <c r="AN121" s="3193">
        <f t="shared" si="1196"/>
        <v>-0.10183333333333344</v>
      </c>
      <c r="AO121" s="3251">
        <f>SUM(AO9)</f>
        <v>755.00091078952471</v>
      </c>
      <c r="AP121" s="3251">
        <f t="shared" ref="AP121:AQ121" si="1340">SUM(AP9)</f>
        <v>750.58424412285808</v>
      </c>
      <c r="AQ121" s="3251">
        <f t="shared" si="1340"/>
        <v>4.416666666666667</v>
      </c>
      <c r="AR121" s="3156">
        <f>SUM(AR9)</f>
        <v>242.05600000000001</v>
      </c>
      <c r="AS121" s="3156">
        <f t="shared" ref="AS121:AT121" si="1341">SUM(AS9)</f>
        <v>241.745</v>
      </c>
      <c r="AT121" s="3156">
        <f t="shared" si="1341"/>
        <v>0.311</v>
      </c>
      <c r="AU121" s="3156">
        <f>SUM(AU9)</f>
        <v>275.63300000000004</v>
      </c>
      <c r="AV121" s="3156">
        <f t="shared" ref="AV121:AW121" si="1342">SUM(AV9)</f>
        <v>275.25400000000002</v>
      </c>
      <c r="AW121" s="3156">
        <f t="shared" si="1342"/>
        <v>0.379</v>
      </c>
      <c r="AX121" s="3156">
        <f>SUM(AX9)</f>
        <v>257.37900000000002</v>
      </c>
      <c r="AY121" s="3156">
        <f t="shared" ref="AY121:AZ121" si="1343">SUM(AY9)</f>
        <v>253.471</v>
      </c>
      <c r="AZ121" s="3156">
        <f t="shared" si="1343"/>
        <v>3.9079999999999999</v>
      </c>
      <c r="BA121" s="3156">
        <f t="shared" si="1204"/>
        <v>775.06799999999998</v>
      </c>
      <c r="BB121" s="3156">
        <f t="shared" si="1205"/>
        <v>770.47</v>
      </c>
      <c r="BC121" s="3156">
        <f t="shared" si="1206"/>
        <v>4.5979999999999999</v>
      </c>
      <c r="BD121" s="3206">
        <f t="shared" si="920"/>
        <v>2265.0027323685745</v>
      </c>
      <c r="BE121" s="3206">
        <f t="shared" si="921"/>
        <v>2251.7527323685745</v>
      </c>
      <c r="BF121" s="3206">
        <f t="shared" si="922"/>
        <v>13.25</v>
      </c>
      <c r="BG121" s="3193">
        <f t="shared" si="1207"/>
        <v>2322.4504999999999</v>
      </c>
      <c r="BH121" s="3193">
        <f t="shared" si="1208"/>
        <v>2309.1210000000001</v>
      </c>
      <c r="BI121" s="3193">
        <f t="shared" si="1209"/>
        <v>13.329499999999999</v>
      </c>
      <c r="BJ121" s="3193">
        <f t="shared" si="1210"/>
        <v>57.44776763142545</v>
      </c>
      <c r="BK121" s="3193">
        <f t="shared" si="1211"/>
        <v>57.368267631425624</v>
      </c>
      <c r="BL121" s="3193">
        <f t="shared" si="1212"/>
        <v>7.949999999999946E-2</v>
      </c>
      <c r="BM121" s="3251">
        <f>SUM(BM9)</f>
        <v>755.00091078952471</v>
      </c>
      <c r="BN121" s="3251">
        <f t="shared" ref="BN121:BO121" si="1344">SUM(BN9)</f>
        <v>750.58424412285808</v>
      </c>
      <c r="BO121" s="3251">
        <f t="shared" si="1344"/>
        <v>4.416666666666667</v>
      </c>
      <c r="BP121" s="3156">
        <f>SUM(BP9)</f>
        <v>0</v>
      </c>
      <c r="BQ121" s="3156">
        <f t="shared" ref="BQ121:BR121" si="1345">SUM(BQ9)</f>
        <v>0</v>
      </c>
      <c r="BR121" s="3156">
        <f t="shared" si="1345"/>
        <v>0</v>
      </c>
      <c r="BS121" s="3156">
        <f>SUM(BS9)</f>
        <v>0</v>
      </c>
      <c r="BT121" s="3156">
        <f t="shared" ref="BT121:BU121" si="1346">SUM(BT9)</f>
        <v>0</v>
      </c>
      <c r="BU121" s="3156">
        <f t="shared" si="1346"/>
        <v>0</v>
      </c>
      <c r="BV121" s="3156">
        <f>SUM(BV9)</f>
        <v>0</v>
      </c>
      <c r="BW121" s="3156">
        <f t="shared" ref="BW121:BX121" si="1347">SUM(BW9)</f>
        <v>0</v>
      </c>
      <c r="BX121" s="3156">
        <f t="shared" si="1347"/>
        <v>0</v>
      </c>
      <c r="BY121" s="3156">
        <f t="shared" si="1220"/>
        <v>0</v>
      </c>
      <c r="BZ121" s="3156">
        <f t="shared" si="1221"/>
        <v>0</v>
      </c>
      <c r="CA121" s="3156">
        <f t="shared" si="1222"/>
        <v>0</v>
      </c>
      <c r="CB121" s="3206">
        <f t="shared" si="828"/>
        <v>3020.0036431580988</v>
      </c>
      <c r="CC121" s="3284">
        <f t="shared" ref="CC121:CD121" si="1348">SUM(CC9)</f>
        <v>3002.3369764914323</v>
      </c>
      <c r="CD121" s="3284">
        <f t="shared" si="1348"/>
        <v>17.666666666666668</v>
      </c>
      <c r="CE121" s="3193">
        <f t="shared" si="1223"/>
        <v>2322.4504999999999</v>
      </c>
      <c r="CF121" s="3193">
        <f t="shared" si="1224"/>
        <v>2309.1210000000001</v>
      </c>
      <c r="CG121" s="3193">
        <f t="shared" si="1225"/>
        <v>13.329499999999999</v>
      </c>
      <c r="CH121" s="3193">
        <f t="shared" si="1226"/>
        <v>-697.55314315809892</v>
      </c>
      <c r="CI121" s="3193">
        <f t="shared" si="1227"/>
        <v>-693.21597649143223</v>
      </c>
      <c r="CJ121" s="3193">
        <f t="shared" si="1228"/>
        <v>-4.3371666666666684</v>
      </c>
      <c r="CK121" s="3259"/>
      <c r="CL121" s="3259"/>
      <c r="CM121" s="3259"/>
    </row>
    <row r="122" spans="1:91" ht="18.75" customHeight="1" x14ac:dyDescent="0.3">
      <c r="A122" s="3106" t="s">
        <v>14</v>
      </c>
      <c r="B122" s="3251">
        <f t="shared" ref="B122:AK122" si="1349">SUM(B120/B121)</f>
        <v>31.878384327555253</v>
      </c>
      <c r="C122" s="3251">
        <f t="shared" si="1349"/>
        <v>31.978365642911164</v>
      </c>
      <c r="D122" s="3251">
        <f t="shared" si="1349"/>
        <v>14.887199418990349</v>
      </c>
      <c r="E122" s="3156">
        <f t="shared" si="1349"/>
        <v>23.873393734603404</v>
      </c>
      <c r="F122" s="3156">
        <f t="shared" si="1349"/>
        <v>23.841520430503245</v>
      </c>
      <c r="G122" s="3156">
        <f t="shared" si="1349"/>
        <v>65.787654320987642</v>
      </c>
      <c r="H122" s="3156">
        <f t="shared" ref="H122:J122" si="1350">SUM(H120/H121)</f>
        <v>23.495692648630936</v>
      </c>
      <c r="I122" s="3156">
        <f t="shared" si="1350"/>
        <v>23.462732252384509</v>
      </c>
      <c r="J122" s="3156">
        <f t="shared" si="1350"/>
        <v>72.294797687861262</v>
      </c>
      <c r="K122" s="3156">
        <f t="shared" ref="K122:P122" si="1351">SUM(K120/K121)</f>
        <v>27.301694552120075</v>
      </c>
      <c r="L122" s="3156">
        <f t="shared" si="1351"/>
        <v>27.657622109573488</v>
      </c>
      <c r="M122" s="3156">
        <f t="shared" si="1351"/>
        <v>3.2801630434782605</v>
      </c>
      <c r="N122" s="3156">
        <f t="shared" si="1351"/>
        <v>24.863621023315002</v>
      </c>
      <c r="O122" s="3156">
        <f t="shared" si="1351"/>
        <v>24.945270365819962</v>
      </c>
      <c r="P122" s="3156">
        <f t="shared" si="1351"/>
        <v>9.345333497719146</v>
      </c>
      <c r="Q122" s="3251">
        <f t="shared" si="1349"/>
        <v>31.878384327555253</v>
      </c>
      <c r="R122" s="3251">
        <f t="shared" si="1349"/>
        <v>31.978365642911164</v>
      </c>
      <c r="S122" s="3251">
        <f t="shared" si="1349"/>
        <v>14.887199418990349</v>
      </c>
      <c r="T122" s="3156">
        <f t="shared" ref="T122:AE122" si="1352">SUM(T120/T121)</f>
        <v>27.255264584542857</v>
      </c>
      <c r="U122" s="3156">
        <f t="shared" si="1352"/>
        <v>27.238352958385136</v>
      </c>
      <c r="V122" s="3156">
        <f t="shared" si="1352"/>
        <v>41.900000000000006</v>
      </c>
      <c r="W122" s="3156">
        <f t="shared" si="1352"/>
        <v>28.095923233086257</v>
      </c>
      <c r="X122" s="3156">
        <f t="shared" si="1352"/>
        <v>28.093226419408506</v>
      </c>
      <c r="Y122" s="3156">
        <f t="shared" si="1352"/>
        <v>29.437254901960781</v>
      </c>
      <c r="Z122" s="3156">
        <f t="shared" si="1352"/>
        <v>26.562566062281491</v>
      </c>
      <c r="AA122" s="3156">
        <f t="shared" si="1352"/>
        <v>26.836749694394552</v>
      </c>
      <c r="AB122" s="3156">
        <f t="shared" si="1352"/>
        <v>8.5191412312467669</v>
      </c>
      <c r="AC122" s="3156">
        <f t="shared" si="1352"/>
        <v>27.300262252471722</v>
      </c>
      <c r="AD122" s="3156">
        <f t="shared" si="1352"/>
        <v>27.387697268519602</v>
      </c>
      <c r="AE122" s="3156">
        <f t="shared" si="1352"/>
        <v>12.942258340461933</v>
      </c>
      <c r="AF122" s="3284">
        <f t="shared" si="1349"/>
        <v>31.878384327555253</v>
      </c>
      <c r="AG122" s="3284">
        <f t="shared" si="1349"/>
        <v>31.978365642911164</v>
      </c>
      <c r="AH122" s="3284">
        <f t="shared" si="1349"/>
        <v>14.887199418990349</v>
      </c>
      <c r="AI122" s="3157">
        <f t="shared" si="1349"/>
        <v>26.080125631509986</v>
      </c>
      <c r="AJ122" s="3157">
        <f t="shared" si="1349"/>
        <v>26.164160683611815</v>
      </c>
      <c r="AK122" s="3157">
        <f t="shared" si="1349"/>
        <v>11.271602817385329</v>
      </c>
      <c r="AL122" s="3193">
        <f t="shared" si="1194"/>
        <v>-5.7982586960452664</v>
      </c>
      <c r="AM122" s="3193">
        <f t="shared" si="1195"/>
        <v>-5.8142049592993494</v>
      </c>
      <c r="AN122" s="3193">
        <f t="shared" si="1196"/>
        <v>-3.6155966016050201</v>
      </c>
      <c r="AO122" s="3251">
        <f t="shared" ref="AO122:BI122" si="1353">SUM(AO120/AO121)</f>
        <v>32.047736544129926</v>
      </c>
      <c r="AP122" s="3251">
        <f t="shared" si="1353"/>
        <v>32.147908975864937</v>
      </c>
      <c r="AQ122" s="3251">
        <f t="shared" si="1353"/>
        <v>15.024072629614933</v>
      </c>
      <c r="AR122" s="3156">
        <f t="shared" si="1353"/>
        <v>26.754945136662588</v>
      </c>
      <c r="AS122" s="3156">
        <f t="shared" si="1353"/>
        <v>26.77846491137355</v>
      </c>
      <c r="AT122" s="3156">
        <f t="shared" si="1353"/>
        <v>8.4726688102893881</v>
      </c>
      <c r="AU122" s="3156">
        <f t="shared" si="1353"/>
        <v>24.390395925016232</v>
      </c>
      <c r="AV122" s="3156">
        <f t="shared" si="1353"/>
        <v>24.374250692088033</v>
      </c>
      <c r="AW122" s="3156">
        <f t="shared" si="1353"/>
        <v>36.116094986807383</v>
      </c>
      <c r="AX122" s="3156">
        <f t="shared" si="1353"/>
        <v>28.154678509124675</v>
      </c>
      <c r="AY122" s="3156">
        <f t="shared" si="1353"/>
        <v>28.507521570514974</v>
      </c>
      <c r="AZ122" s="3156">
        <f t="shared" si="1353"/>
        <v>5.2694472876151481</v>
      </c>
      <c r="BA122" s="3156">
        <f t="shared" si="1353"/>
        <v>26.378867402602097</v>
      </c>
      <c r="BB122" s="3156">
        <f t="shared" si="1353"/>
        <v>26.488377224291664</v>
      </c>
      <c r="BC122" s="3156">
        <f t="shared" si="1353"/>
        <v>8.0287081339712909</v>
      </c>
      <c r="BD122" s="3284">
        <f t="shared" si="1353"/>
        <v>31.93483506641347</v>
      </c>
      <c r="BE122" s="3284">
        <f t="shared" si="1353"/>
        <v>32.034880087229084</v>
      </c>
      <c r="BF122" s="3284">
        <f t="shared" si="1353"/>
        <v>14.932823822531876</v>
      </c>
      <c r="BG122" s="3157">
        <f t="shared" si="1353"/>
        <v>26.17982428473718</v>
      </c>
      <c r="BH122" s="3157">
        <f t="shared" si="1353"/>
        <v>26.272339994309522</v>
      </c>
      <c r="BI122" s="3157">
        <f t="shared" si="1353"/>
        <v>10.152968978581344</v>
      </c>
      <c r="BJ122" s="3193">
        <f t="shared" si="1210"/>
        <v>-5.7550107816762903</v>
      </c>
      <c r="BK122" s="3193">
        <f t="shared" si="1211"/>
        <v>-5.7625400929195614</v>
      </c>
      <c r="BL122" s="3193">
        <f t="shared" si="1212"/>
        <v>-4.7798548439505328</v>
      </c>
      <c r="BM122" s="3251">
        <f t="shared" ref="BM122:CG122" si="1354">SUM(BM120/BM121)</f>
        <v>32.047736544129926</v>
      </c>
      <c r="BN122" s="3251">
        <f t="shared" si="1354"/>
        <v>32.147908975864937</v>
      </c>
      <c r="BO122" s="3251">
        <f t="shared" si="1354"/>
        <v>15.024072629614933</v>
      </c>
      <c r="BP122" s="3156" t="e">
        <f t="shared" si="1354"/>
        <v>#DIV/0!</v>
      </c>
      <c r="BQ122" s="3156" t="e">
        <f t="shared" si="1354"/>
        <v>#DIV/0!</v>
      </c>
      <c r="BR122" s="3156" t="e">
        <f t="shared" si="1354"/>
        <v>#DIV/0!</v>
      </c>
      <c r="BS122" s="3156" t="e">
        <f t="shared" si="1354"/>
        <v>#DIV/0!</v>
      </c>
      <c r="BT122" s="3156" t="e">
        <f t="shared" si="1354"/>
        <v>#DIV/0!</v>
      </c>
      <c r="BU122" s="3156" t="e">
        <f t="shared" si="1354"/>
        <v>#DIV/0!</v>
      </c>
      <c r="BV122" s="3156" t="e">
        <f t="shared" si="1354"/>
        <v>#DIV/0!</v>
      </c>
      <c r="BW122" s="3156" t="e">
        <f t="shared" si="1354"/>
        <v>#DIV/0!</v>
      </c>
      <c r="BX122" s="3156" t="e">
        <f t="shared" si="1354"/>
        <v>#DIV/0!</v>
      </c>
      <c r="BY122" s="3156" t="e">
        <f t="shared" si="1354"/>
        <v>#DIV/0!</v>
      </c>
      <c r="BZ122" s="3156" t="e">
        <f t="shared" si="1354"/>
        <v>#DIV/0!</v>
      </c>
      <c r="CA122" s="3156" t="e">
        <f t="shared" si="1354"/>
        <v>#DIV/0!</v>
      </c>
      <c r="CB122" s="3284">
        <f t="shared" si="1354"/>
        <v>31.963060416669279</v>
      </c>
      <c r="CC122" s="3284">
        <f t="shared" si="1354"/>
        <v>32.063137290101388</v>
      </c>
      <c r="CD122" s="3284">
        <f t="shared" si="1354"/>
        <v>14.95563602439384</v>
      </c>
      <c r="CE122" s="3157">
        <f t="shared" si="1354"/>
        <v>26.17982428473718</v>
      </c>
      <c r="CF122" s="3157">
        <f t="shared" si="1354"/>
        <v>26.272339994309522</v>
      </c>
      <c r="CG122" s="3157">
        <f t="shared" si="1354"/>
        <v>10.152968978581344</v>
      </c>
      <c r="CH122" s="3193">
        <f t="shared" si="1226"/>
        <v>-5.7832361319320995</v>
      </c>
      <c r="CI122" s="3193">
        <f t="shared" si="1227"/>
        <v>-5.7907972957918652</v>
      </c>
      <c r="CJ122" s="3193">
        <f t="shared" si="1228"/>
        <v>-4.8026670458124965</v>
      </c>
      <c r="CK122" s="3259"/>
      <c r="CL122" s="3259"/>
      <c r="CM122" s="3259"/>
    </row>
    <row r="123" spans="1:91" ht="18.75" customHeight="1" x14ac:dyDescent="0.3">
      <c r="A123" s="3106" t="s">
        <v>3663</v>
      </c>
      <c r="B123" s="3735">
        <f>SUM(B124:B126)</f>
        <v>0</v>
      </c>
      <c r="C123" s="3736"/>
      <c r="D123" s="3737"/>
      <c r="E123" s="3668">
        <f>SUM(E124:E126)</f>
        <v>185.43</v>
      </c>
      <c r="F123" s="3669"/>
      <c r="G123" s="3670"/>
      <c r="H123" s="3668">
        <f>SUM(H124:H126)</f>
        <v>100.23</v>
      </c>
      <c r="I123" s="3669"/>
      <c r="J123" s="3670"/>
      <c r="K123" s="3668">
        <f>SUM(K124:K126)</f>
        <v>106.33</v>
      </c>
      <c r="L123" s="3669"/>
      <c r="M123" s="3670"/>
      <c r="N123" s="3668">
        <f>SUM(N124:N126)</f>
        <v>391.99</v>
      </c>
      <c r="O123" s="3669"/>
      <c r="P123" s="3670"/>
      <c r="Q123" s="3735">
        <f>SUM(Q124:Q126)</f>
        <v>0</v>
      </c>
      <c r="R123" s="3736"/>
      <c r="S123" s="3737"/>
      <c r="T123" s="3668">
        <f>SUM(T124:T126)</f>
        <v>210.13</v>
      </c>
      <c r="U123" s="3669"/>
      <c r="V123" s="3670"/>
      <c r="W123" s="3668">
        <f>SUM(W124:W126)</f>
        <v>201.22</v>
      </c>
      <c r="X123" s="3669"/>
      <c r="Y123" s="3670"/>
      <c r="Z123" s="3668">
        <f>SUM(Z124:Z126)</f>
        <v>297.42</v>
      </c>
      <c r="AA123" s="3669"/>
      <c r="AB123" s="3670"/>
      <c r="AC123" s="3668">
        <f>SUM(AC124:AC126)</f>
        <v>708.77</v>
      </c>
      <c r="AD123" s="3669"/>
      <c r="AE123" s="3670"/>
      <c r="AF123" s="3732">
        <f>SUM(B123+Q123)</f>
        <v>0</v>
      </c>
      <c r="AG123" s="3733"/>
      <c r="AH123" s="3734"/>
      <c r="AI123" s="3680">
        <f>SUM(N123+AC123)</f>
        <v>1100.76</v>
      </c>
      <c r="AJ123" s="3681"/>
      <c r="AK123" s="3682"/>
      <c r="AL123" s="3680">
        <f>SUM(AI123-AF123)</f>
        <v>1100.76</v>
      </c>
      <c r="AM123" s="3681"/>
      <c r="AN123" s="3682"/>
      <c r="AO123" s="3735">
        <f>SUM(AO124:AO126)</f>
        <v>0</v>
      </c>
      <c r="AP123" s="3736"/>
      <c r="AQ123" s="3737"/>
      <c r="AR123" s="3668">
        <f>SUM(AR124:AR126)</f>
        <v>261.83999999999997</v>
      </c>
      <c r="AS123" s="3669"/>
      <c r="AT123" s="3670"/>
      <c r="AU123" s="3668">
        <f>SUM(AU124:AU126)</f>
        <v>454.46</v>
      </c>
      <c r="AV123" s="3669"/>
      <c r="AW123" s="3670"/>
      <c r="AX123" s="3668">
        <f>SUM(AX124:AX126)</f>
        <v>319.98</v>
      </c>
      <c r="AY123" s="3669"/>
      <c r="AZ123" s="3670"/>
      <c r="BA123" s="3668">
        <f>SUM(BA124:BA126)</f>
        <v>1036.28</v>
      </c>
      <c r="BB123" s="3669"/>
      <c r="BC123" s="3670"/>
      <c r="BD123" s="3732">
        <f t="shared" ref="BD123:BD127" si="1355">SUM(AF123+AO123)</f>
        <v>0</v>
      </c>
      <c r="BE123" s="3733"/>
      <c r="BF123" s="3734"/>
      <c r="BG123" s="3680">
        <f>SUM(BA123+AI123)</f>
        <v>2137.04</v>
      </c>
      <c r="BH123" s="3681"/>
      <c r="BI123" s="3682"/>
      <c r="BJ123" s="3680">
        <f>SUM(BG123-BD123)</f>
        <v>2137.04</v>
      </c>
      <c r="BK123" s="3681"/>
      <c r="BL123" s="3682"/>
      <c r="BM123" s="3735">
        <f>SUM(BM124:BM126)</f>
        <v>797.74599999999998</v>
      </c>
      <c r="BN123" s="3736"/>
      <c r="BO123" s="3737"/>
      <c r="BP123" s="3668">
        <f>SUM(BP124:BP126)</f>
        <v>0</v>
      </c>
      <c r="BQ123" s="3669"/>
      <c r="BR123" s="3670"/>
      <c r="BS123" s="3668">
        <f>SUM(BS124:BS126)</f>
        <v>0</v>
      </c>
      <c r="BT123" s="3669"/>
      <c r="BU123" s="3670"/>
      <c r="BV123" s="3668">
        <f>SUM(BV124:BV126)</f>
        <v>0</v>
      </c>
      <c r="BW123" s="3669"/>
      <c r="BX123" s="3670"/>
      <c r="BY123" s="3668">
        <f>SUM(BY124:BY126)</f>
        <v>0</v>
      </c>
      <c r="BZ123" s="3669"/>
      <c r="CA123" s="3670"/>
      <c r="CB123" s="3732">
        <f t="shared" ref="CB123:CB124" si="1356">SUM(BM123+BD123)</f>
        <v>797.74599999999998</v>
      </c>
      <c r="CC123" s="3733"/>
      <c r="CD123" s="3734"/>
      <c r="CE123" s="3680">
        <f>SUM(BY123+BG123)</f>
        <v>2137.04</v>
      </c>
      <c r="CF123" s="3681"/>
      <c r="CG123" s="3682"/>
      <c r="CH123" s="3680">
        <f>SUM(CE123-CB123)</f>
        <v>1339.2939999999999</v>
      </c>
      <c r="CI123" s="3681"/>
      <c r="CJ123" s="3682"/>
      <c r="CK123" s="3259"/>
      <c r="CL123" s="3259"/>
      <c r="CM123" s="3259"/>
    </row>
    <row r="124" spans="1:91" ht="36" customHeight="1" x14ac:dyDescent="0.2">
      <c r="A124" s="3471" t="s">
        <v>3748</v>
      </c>
      <c r="B124" s="3689">
        <v>0</v>
      </c>
      <c r="C124" s="3690"/>
      <c r="D124" s="3691"/>
      <c r="E124" s="3634">
        <v>0</v>
      </c>
      <c r="F124" s="3635"/>
      <c r="G124" s="3636"/>
      <c r="H124" s="3634">
        <v>0</v>
      </c>
      <c r="I124" s="3635"/>
      <c r="J124" s="3636"/>
      <c r="K124" s="3634">
        <v>0</v>
      </c>
      <c r="L124" s="3635"/>
      <c r="M124" s="3636"/>
      <c r="N124" s="3634">
        <f>SUM(E124+H124+K124)</f>
        <v>0</v>
      </c>
      <c r="O124" s="3635"/>
      <c r="P124" s="3636"/>
      <c r="Q124" s="3689">
        <v>0</v>
      </c>
      <c r="R124" s="3690"/>
      <c r="S124" s="3691"/>
      <c r="T124" s="3634">
        <v>0</v>
      </c>
      <c r="U124" s="3635"/>
      <c r="V124" s="3636"/>
      <c r="W124" s="3634">
        <v>0</v>
      </c>
      <c r="X124" s="3635"/>
      <c r="Y124" s="3636"/>
      <c r="Z124" s="3634">
        <v>0</v>
      </c>
      <c r="AA124" s="3635"/>
      <c r="AB124" s="3636"/>
      <c r="AC124" s="3634">
        <f>SUM(T124+W124+Z124)</f>
        <v>0</v>
      </c>
      <c r="AD124" s="3635"/>
      <c r="AE124" s="3636"/>
      <c r="AF124" s="3686">
        <f>SUM(B124+Q124)</f>
        <v>0</v>
      </c>
      <c r="AG124" s="3687"/>
      <c r="AH124" s="3688"/>
      <c r="AI124" s="3631">
        <f t="shared" ref="AI124" si="1357">SUM(N124+AC124)</f>
        <v>0</v>
      </c>
      <c r="AJ124" s="3632"/>
      <c r="AK124" s="3633"/>
      <c r="AL124" s="3631">
        <f t="shared" ref="AL124" si="1358">SUM(AI124-AF124)</f>
        <v>0</v>
      </c>
      <c r="AM124" s="3632"/>
      <c r="AN124" s="3633"/>
      <c r="AO124" s="3689">
        <v>0</v>
      </c>
      <c r="AP124" s="3690"/>
      <c r="AQ124" s="3691"/>
      <c r="AR124" s="3634">
        <v>0</v>
      </c>
      <c r="AS124" s="3635"/>
      <c r="AT124" s="3636"/>
      <c r="AU124" s="3634">
        <v>0</v>
      </c>
      <c r="AV124" s="3635"/>
      <c r="AW124" s="3636"/>
      <c r="AX124" s="3634">
        <v>0</v>
      </c>
      <c r="AY124" s="3635"/>
      <c r="AZ124" s="3636"/>
      <c r="BA124" s="3634">
        <f>SUM(AR124+AU124+AX124)</f>
        <v>0</v>
      </c>
      <c r="BB124" s="3635"/>
      <c r="BC124" s="3636"/>
      <c r="BD124" s="3686">
        <f>SUM(AF124+AO124)</f>
        <v>0</v>
      </c>
      <c r="BE124" s="3687"/>
      <c r="BF124" s="3688"/>
      <c r="BG124" s="3631">
        <f t="shared" ref="BG124" si="1359">SUM(BA124+AI124)</f>
        <v>0</v>
      </c>
      <c r="BH124" s="3632"/>
      <c r="BI124" s="3633"/>
      <c r="BJ124" s="3631">
        <f>SUM(BG124-BD124)</f>
        <v>0</v>
      </c>
      <c r="BK124" s="3632"/>
      <c r="BL124" s="3633"/>
      <c r="BM124" s="3689">
        <v>797.74599999999998</v>
      </c>
      <c r="BN124" s="3690"/>
      <c r="BO124" s="3691"/>
      <c r="BP124" s="3634"/>
      <c r="BQ124" s="3635"/>
      <c r="BR124" s="3636"/>
      <c r="BS124" s="3634"/>
      <c r="BT124" s="3635"/>
      <c r="BU124" s="3636"/>
      <c r="BV124" s="3634"/>
      <c r="BW124" s="3635"/>
      <c r="BX124" s="3636"/>
      <c r="BY124" s="3634">
        <f>SUM(BP124+BS124+BV124)</f>
        <v>0</v>
      </c>
      <c r="BZ124" s="3635"/>
      <c r="CA124" s="3636"/>
      <c r="CB124" s="3686">
        <f t="shared" si="1356"/>
        <v>797.74599999999998</v>
      </c>
      <c r="CC124" s="3687"/>
      <c r="CD124" s="3688"/>
      <c r="CE124" s="3631">
        <f t="shared" ref="CE124" si="1360">SUM(BY124+BG124)</f>
        <v>0</v>
      </c>
      <c r="CF124" s="3632"/>
      <c r="CG124" s="3633"/>
      <c r="CH124" s="3631">
        <f>SUM(CE124-CB124)</f>
        <v>-797.74599999999998</v>
      </c>
      <c r="CI124" s="3632"/>
      <c r="CJ124" s="3633"/>
      <c r="CK124" s="3259"/>
      <c r="CL124" s="3259"/>
      <c r="CM124" s="3259"/>
    </row>
    <row r="125" spans="1:91" ht="40.5" customHeight="1" x14ac:dyDescent="0.2">
      <c r="A125" s="3081" t="s">
        <v>3664</v>
      </c>
      <c r="B125" s="3689">
        <v>0</v>
      </c>
      <c r="C125" s="3690"/>
      <c r="D125" s="3691"/>
      <c r="E125" s="3634">
        <v>0</v>
      </c>
      <c r="F125" s="3635"/>
      <c r="G125" s="3636"/>
      <c r="H125" s="3634">
        <v>0</v>
      </c>
      <c r="I125" s="3635"/>
      <c r="J125" s="3636"/>
      <c r="K125" s="3634">
        <v>0</v>
      </c>
      <c r="L125" s="3635"/>
      <c r="M125" s="3636"/>
      <c r="N125" s="3634">
        <f>SUM(E125+H125+K125)</f>
        <v>0</v>
      </c>
      <c r="O125" s="3635"/>
      <c r="P125" s="3636"/>
      <c r="Q125" s="3689">
        <v>0</v>
      </c>
      <c r="R125" s="3690"/>
      <c r="S125" s="3691"/>
      <c r="T125" s="3634">
        <v>0</v>
      </c>
      <c r="U125" s="3635"/>
      <c r="V125" s="3636"/>
      <c r="W125" s="3634">
        <v>0</v>
      </c>
      <c r="X125" s="3635"/>
      <c r="Y125" s="3636"/>
      <c r="Z125" s="3634">
        <v>0</v>
      </c>
      <c r="AA125" s="3635"/>
      <c r="AB125" s="3636"/>
      <c r="AC125" s="3634">
        <f>SUM(T125+W125+Z125)</f>
        <v>0</v>
      </c>
      <c r="AD125" s="3635"/>
      <c r="AE125" s="3636"/>
      <c r="AF125" s="3686">
        <f>SUM(B125+Q125)</f>
        <v>0</v>
      </c>
      <c r="AG125" s="3687"/>
      <c r="AH125" s="3688"/>
      <c r="AI125" s="3631">
        <f t="shared" ref="AI125:AI127" si="1361">SUM(N125+AC125)</f>
        <v>0</v>
      </c>
      <c r="AJ125" s="3632"/>
      <c r="AK125" s="3633"/>
      <c r="AL125" s="3631">
        <f t="shared" ref="AL125:AL127" si="1362">SUM(AI125-AF125)</f>
        <v>0</v>
      </c>
      <c r="AM125" s="3632"/>
      <c r="AN125" s="3633"/>
      <c r="AO125" s="3689">
        <v>0</v>
      </c>
      <c r="AP125" s="3690"/>
      <c r="AQ125" s="3691"/>
      <c r="AR125" s="3634">
        <v>0</v>
      </c>
      <c r="AS125" s="3635"/>
      <c r="AT125" s="3636"/>
      <c r="AU125" s="3634">
        <v>0</v>
      </c>
      <c r="AV125" s="3635"/>
      <c r="AW125" s="3636"/>
      <c r="AX125" s="3634"/>
      <c r="AY125" s="3635"/>
      <c r="AZ125" s="3636"/>
      <c r="BA125" s="3634">
        <f>SUM(AR125+AU125+AX125)</f>
        <v>0</v>
      </c>
      <c r="BB125" s="3635"/>
      <c r="BC125" s="3636"/>
      <c r="BD125" s="3686">
        <f>SUM(AF125+AO125)</f>
        <v>0</v>
      </c>
      <c r="BE125" s="3687"/>
      <c r="BF125" s="3688"/>
      <c r="BG125" s="3631">
        <f t="shared" ref="BG125:BG127" si="1363">SUM(BA125+AI125)</f>
        <v>0</v>
      </c>
      <c r="BH125" s="3632"/>
      <c r="BI125" s="3633"/>
      <c r="BJ125" s="3631">
        <f>SUM(BG125-BD125)</f>
        <v>0</v>
      </c>
      <c r="BK125" s="3632"/>
      <c r="BL125" s="3633"/>
      <c r="BM125" s="3689">
        <v>0</v>
      </c>
      <c r="BN125" s="3690"/>
      <c r="BO125" s="3691"/>
      <c r="BP125" s="3634"/>
      <c r="BQ125" s="3635"/>
      <c r="BR125" s="3636"/>
      <c r="BS125" s="3634"/>
      <c r="BT125" s="3635"/>
      <c r="BU125" s="3636"/>
      <c r="BV125" s="3634"/>
      <c r="BW125" s="3635"/>
      <c r="BX125" s="3636"/>
      <c r="BY125" s="3634">
        <f>SUM(BP125+BS125+BV125)</f>
        <v>0</v>
      </c>
      <c r="BZ125" s="3635"/>
      <c r="CA125" s="3636"/>
      <c r="CB125" s="3686">
        <f t="shared" ref="CB125:CB127" si="1364">SUM(BM125+BD125)</f>
        <v>0</v>
      </c>
      <c r="CC125" s="3687"/>
      <c r="CD125" s="3688"/>
      <c r="CE125" s="3631">
        <f t="shared" ref="CE125:CE127" si="1365">SUM(BY125+BG125)</f>
        <v>0</v>
      </c>
      <c r="CF125" s="3632"/>
      <c r="CG125" s="3633"/>
      <c r="CH125" s="3631">
        <f>SUM(CE125-CB125)</f>
        <v>0</v>
      </c>
      <c r="CI125" s="3632"/>
      <c r="CJ125" s="3633"/>
      <c r="CK125" s="3259"/>
      <c r="CL125" s="3259"/>
      <c r="CM125" s="3259"/>
    </row>
    <row r="126" spans="1:91" ht="36" customHeight="1" x14ac:dyDescent="0.2">
      <c r="A126" s="3081" t="s">
        <v>3612</v>
      </c>
      <c r="B126" s="3689">
        <v>0</v>
      </c>
      <c r="C126" s="3690"/>
      <c r="D126" s="3691"/>
      <c r="E126" s="3634">
        <v>185.43</v>
      </c>
      <c r="F126" s="3635"/>
      <c r="G126" s="3636"/>
      <c r="H126" s="3634">
        <v>100.23</v>
      </c>
      <c r="I126" s="3635"/>
      <c r="J126" s="3636"/>
      <c r="K126" s="3634">
        <v>106.33</v>
      </c>
      <c r="L126" s="3635"/>
      <c r="M126" s="3636"/>
      <c r="N126" s="3634">
        <f>SUM(E126+H126+K126)</f>
        <v>391.99</v>
      </c>
      <c r="O126" s="3635"/>
      <c r="P126" s="3636"/>
      <c r="Q126" s="3689">
        <v>0</v>
      </c>
      <c r="R126" s="3690"/>
      <c r="S126" s="3691"/>
      <c r="T126" s="3634">
        <v>210.13</v>
      </c>
      <c r="U126" s="3635"/>
      <c r="V126" s="3636"/>
      <c r="W126" s="3634">
        <v>201.22</v>
      </c>
      <c r="X126" s="3635"/>
      <c r="Y126" s="3636"/>
      <c r="Z126" s="3634">
        <v>297.42</v>
      </c>
      <c r="AA126" s="3635"/>
      <c r="AB126" s="3636"/>
      <c r="AC126" s="3634">
        <f>SUM(T126+W126+Z126)</f>
        <v>708.77</v>
      </c>
      <c r="AD126" s="3635"/>
      <c r="AE126" s="3636"/>
      <c r="AF126" s="3686">
        <f>SUM(B126+Q126)</f>
        <v>0</v>
      </c>
      <c r="AG126" s="3687"/>
      <c r="AH126" s="3688"/>
      <c r="AI126" s="3631">
        <f t="shared" si="1361"/>
        <v>1100.76</v>
      </c>
      <c r="AJ126" s="3632"/>
      <c r="AK126" s="3633"/>
      <c r="AL126" s="3631">
        <f t="shared" si="1362"/>
        <v>1100.76</v>
      </c>
      <c r="AM126" s="3632"/>
      <c r="AN126" s="3633"/>
      <c r="AO126" s="3689">
        <v>0</v>
      </c>
      <c r="AP126" s="3690"/>
      <c r="AQ126" s="3691"/>
      <c r="AR126" s="3634">
        <v>261.83999999999997</v>
      </c>
      <c r="AS126" s="3635"/>
      <c r="AT126" s="3636"/>
      <c r="AU126" s="3634">
        <v>454.46</v>
      </c>
      <c r="AV126" s="3635"/>
      <c r="AW126" s="3636"/>
      <c r="AX126" s="3634">
        <v>319.98</v>
      </c>
      <c r="AY126" s="3635"/>
      <c r="AZ126" s="3636"/>
      <c r="BA126" s="3634">
        <f>SUM(AR126+AU126+AX126)</f>
        <v>1036.28</v>
      </c>
      <c r="BB126" s="3635"/>
      <c r="BC126" s="3636"/>
      <c r="BD126" s="3686">
        <f>SUM(AF126+AO126)</f>
        <v>0</v>
      </c>
      <c r="BE126" s="3687"/>
      <c r="BF126" s="3688"/>
      <c r="BG126" s="3631">
        <f t="shared" si="1363"/>
        <v>2137.04</v>
      </c>
      <c r="BH126" s="3632"/>
      <c r="BI126" s="3633"/>
      <c r="BJ126" s="3631">
        <f>SUM(BG126-BD126)</f>
        <v>2137.04</v>
      </c>
      <c r="BK126" s="3632"/>
      <c r="BL126" s="3633"/>
      <c r="BM126" s="3689">
        <v>0</v>
      </c>
      <c r="BN126" s="3690"/>
      <c r="BO126" s="3691"/>
      <c r="BP126" s="3634"/>
      <c r="BQ126" s="3635"/>
      <c r="BR126" s="3636"/>
      <c r="BS126" s="3634"/>
      <c r="BT126" s="3635"/>
      <c r="BU126" s="3636"/>
      <c r="BV126" s="3634"/>
      <c r="BW126" s="3635"/>
      <c r="BX126" s="3636"/>
      <c r="BY126" s="3634">
        <f>SUM(BP126+BS126+BV126)</f>
        <v>0</v>
      </c>
      <c r="BZ126" s="3635"/>
      <c r="CA126" s="3636"/>
      <c r="CB126" s="3686">
        <f t="shared" si="1364"/>
        <v>0</v>
      </c>
      <c r="CC126" s="3687"/>
      <c r="CD126" s="3688"/>
      <c r="CE126" s="3631">
        <f t="shared" si="1365"/>
        <v>2137.04</v>
      </c>
      <c r="CF126" s="3632"/>
      <c r="CG126" s="3633"/>
      <c r="CH126" s="3631">
        <f>SUM(CE126-CB126)</f>
        <v>2137.04</v>
      </c>
      <c r="CI126" s="3632"/>
      <c r="CJ126" s="3633"/>
      <c r="CK126" s="3259"/>
      <c r="CL126" s="3259"/>
      <c r="CM126" s="3259"/>
    </row>
    <row r="127" spans="1:91" ht="18.75" customHeight="1" x14ac:dyDescent="0.3">
      <c r="A127" s="3106" t="s">
        <v>3613</v>
      </c>
      <c r="B127" s="3735">
        <f>SUM(B120+B123)</f>
        <v>24068.209201802725</v>
      </c>
      <c r="C127" s="3736"/>
      <c r="D127" s="3737"/>
      <c r="E127" s="3668">
        <f>SUM(E120+E123)</f>
        <v>6547.5820000000012</v>
      </c>
      <c r="F127" s="3669"/>
      <c r="G127" s="3670"/>
      <c r="H127" s="3668">
        <f t="shared" ref="H127" si="1366">SUM(H120+H123)</f>
        <v>6122.317</v>
      </c>
      <c r="I127" s="3669"/>
      <c r="J127" s="3670"/>
      <c r="K127" s="3668">
        <f t="shared" ref="K127" si="1367">SUM(K120+K123)</f>
        <v>6987.5309999999999</v>
      </c>
      <c r="L127" s="3669"/>
      <c r="M127" s="3670"/>
      <c r="N127" s="3668">
        <f t="shared" ref="N127" si="1368">SUM(N120+N123)</f>
        <v>19657.430000000004</v>
      </c>
      <c r="O127" s="3669"/>
      <c r="P127" s="3670"/>
      <c r="Q127" s="3735">
        <f>SUM(Q120+Q123)</f>
        <v>24068.209201802725</v>
      </c>
      <c r="R127" s="3736"/>
      <c r="S127" s="3737"/>
      <c r="T127" s="3668">
        <f>SUM(T120+T123)</f>
        <v>7298.87</v>
      </c>
      <c r="U127" s="3669"/>
      <c r="V127" s="3670"/>
      <c r="W127" s="3668">
        <f t="shared" ref="W127" si="1369">SUM(W120+W123)</f>
        <v>7342.4170000000013</v>
      </c>
      <c r="X127" s="3669"/>
      <c r="Y127" s="3670"/>
      <c r="Z127" s="3668">
        <f t="shared" ref="Z127" si="1370">SUM(Z120+Z123)</f>
        <v>7157.9730000000009</v>
      </c>
      <c r="AA127" s="3669"/>
      <c r="AB127" s="3670"/>
      <c r="AC127" s="3668">
        <f t="shared" ref="AC127" si="1371">SUM(AC120+AC123)</f>
        <v>21799.260000000002</v>
      </c>
      <c r="AD127" s="3669"/>
      <c r="AE127" s="3670"/>
      <c r="AF127" s="3732">
        <f>SUM(B127+Q127)</f>
        <v>48136.41840360545</v>
      </c>
      <c r="AG127" s="3733"/>
      <c r="AH127" s="3734"/>
      <c r="AI127" s="3680">
        <f t="shared" si="1361"/>
        <v>41456.69</v>
      </c>
      <c r="AJ127" s="3681"/>
      <c r="AK127" s="3682"/>
      <c r="AL127" s="3680">
        <f t="shared" si="1362"/>
        <v>-6679.728403605448</v>
      </c>
      <c r="AM127" s="3681"/>
      <c r="AN127" s="3682"/>
      <c r="AO127" s="3735">
        <f>SUM(AO120+AO123)</f>
        <v>24196.070279560827</v>
      </c>
      <c r="AP127" s="3736"/>
      <c r="AQ127" s="3737"/>
      <c r="AR127" s="3668">
        <f>SUM(AR120+AR123)</f>
        <v>6738.0349999999999</v>
      </c>
      <c r="AS127" s="3669"/>
      <c r="AT127" s="3670"/>
      <c r="AU127" s="3668">
        <f t="shared" ref="AU127" si="1372">SUM(AU120+AU123)</f>
        <v>7177.2579999999998</v>
      </c>
      <c r="AV127" s="3669"/>
      <c r="AW127" s="3670"/>
      <c r="AX127" s="3668">
        <f t="shared" ref="AX127" si="1373">SUM(AX120+AX123)</f>
        <v>7566.4030000000002</v>
      </c>
      <c r="AY127" s="3669"/>
      <c r="AZ127" s="3670"/>
      <c r="BA127" s="3668">
        <f t="shared" ref="BA127" si="1374">SUM(BA120+BA123)</f>
        <v>21481.696</v>
      </c>
      <c r="BB127" s="3669"/>
      <c r="BC127" s="3670"/>
      <c r="BD127" s="3732">
        <f t="shared" si="1355"/>
        <v>72332.488683166273</v>
      </c>
      <c r="BE127" s="3733"/>
      <c r="BF127" s="3734"/>
      <c r="BG127" s="3680">
        <f t="shared" si="1363"/>
        <v>62938.385999999999</v>
      </c>
      <c r="BH127" s="3681"/>
      <c r="BI127" s="3682"/>
      <c r="BJ127" s="3680">
        <f>SUM(BG127-BD127)</f>
        <v>-9394.1026831662748</v>
      </c>
      <c r="BK127" s="3681"/>
      <c r="BL127" s="3682"/>
      <c r="BM127" s="3735">
        <f>SUM(BM120+BM123)</f>
        <v>24993.816279560826</v>
      </c>
      <c r="BN127" s="3736"/>
      <c r="BO127" s="3737"/>
      <c r="BP127" s="3668">
        <f>SUM(BP120+BP123)</f>
        <v>0</v>
      </c>
      <c r="BQ127" s="3669"/>
      <c r="BR127" s="3670"/>
      <c r="BS127" s="3668">
        <f t="shared" ref="BS127" si="1375">SUM(BS120+BS123)</f>
        <v>0</v>
      </c>
      <c r="BT127" s="3669"/>
      <c r="BU127" s="3670"/>
      <c r="BV127" s="3668">
        <f t="shared" ref="BV127" si="1376">SUM(BV120+BV123)</f>
        <v>0</v>
      </c>
      <c r="BW127" s="3669"/>
      <c r="BX127" s="3670"/>
      <c r="BY127" s="3668">
        <f t="shared" ref="BY127" si="1377">SUM(BY120+BY123)</f>
        <v>0</v>
      </c>
      <c r="BZ127" s="3669"/>
      <c r="CA127" s="3670"/>
      <c r="CB127" s="3732">
        <f t="shared" si="1364"/>
        <v>97326.304962727096</v>
      </c>
      <c r="CC127" s="3733"/>
      <c r="CD127" s="3734"/>
      <c r="CE127" s="3680">
        <f t="shared" si="1365"/>
        <v>62938.385999999999</v>
      </c>
      <c r="CF127" s="3681"/>
      <c r="CG127" s="3682"/>
      <c r="CH127" s="3680">
        <f>SUM(CE127-CB127)</f>
        <v>-34387.918962727097</v>
      </c>
      <c r="CI127" s="3681"/>
      <c r="CJ127" s="3682"/>
      <c r="CK127" s="3259"/>
      <c r="CL127" s="3259"/>
      <c r="CM127" s="3259"/>
    </row>
    <row r="128" spans="1:91" ht="18.75" customHeight="1" x14ac:dyDescent="0.2">
      <c r="A128" s="3175"/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K128" s="3259"/>
      <c r="CL128" s="3259"/>
      <c r="CM128" s="3259"/>
    </row>
    <row r="129" spans="1:91" ht="18.75" customHeight="1" x14ac:dyDescent="0.2">
      <c r="A129" s="3176"/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K129" s="3259"/>
      <c r="CL129" s="3259"/>
      <c r="CM129" s="3259"/>
    </row>
    <row r="130" spans="1:91" ht="18.75" customHeight="1" x14ac:dyDescent="0.2">
      <c r="A130" s="3176"/>
      <c r="B130" s="585"/>
      <c r="C130" s="585"/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  <c r="AO130" s="585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K130" s="3259"/>
      <c r="CL130" s="3259"/>
      <c r="CM130" s="3259"/>
    </row>
    <row r="131" spans="1:91" ht="18.75" customHeight="1" x14ac:dyDescent="0.2">
      <c r="CK131" s="3259"/>
      <c r="CL131" s="3259"/>
      <c r="CM131" s="3259"/>
    </row>
    <row r="132" spans="1:91" ht="18.75" customHeight="1" x14ac:dyDescent="0.3">
      <c r="A132" s="3103" t="s">
        <v>3667</v>
      </c>
      <c r="CK132" s="3259"/>
      <c r="CL132" s="3259"/>
      <c r="CM132" s="3259"/>
    </row>
    <row r="133" spans="1:91" ht="18.75" customHeight="1" x14ac:dyDescent="0.3">
      <c r="A133" s="3103" t="s">
        <v>3614</v>
      </c>
      <c r="CK133" s="3259"/>
      <c r="CL133" s="3259"/>
      <c r="CM133" s="3259"/>
    </row>
    <row r="134" spans="1:91" ht="18.75" customHeight="1" x14ac:dyDescent="0.2">
      <c r="CK134" s="3259"/>
      <c r="CL134" s="3259"/>
      <c r="CM134" s="3259"/>
    </row>
    <row r="135" spans="1:91" ht="18.75" customHeight="1" x14ac:dyDescent="0.2">
      <c r="A135" s="3164" t="s">
        <v>3655</v>
      </c>
      <c r="B135" s="3165"/>
      <c r="C135" s="3165"/>
      <c r="D135" s="3165"/>
      <c r="E135" s="3165"/>
      <c r="F135" s="3165"/>
      <c r="G135" s="3165"/>
      <c r="H135" s="3165"/>
      <c r="I135" s="3165"/>
      <c r="J135" s="3165"/>
      <c r="K135" s="3166"/>
      <c r="L135" s="3166"/>
      <c r="M135" s="3166"/>
      <c r="N135" s="3166"/>
      <c r="O135" s="3166"/>
      <c r="P135" s="3166"/>
      <c r="Q135" s="3166"/>
      <c r="R135" s="3166"/>
      <c r="S135" s="3166"/>
      <c r="T135" s="3166"/>
      <c r="U135" s="3166"/>
      <c r="V135" s="3166"/>
      <c r="W135" s="3166"/>
      <c r="X135" s="3166"/>
      <c r="Y135" s="3166"/>
      <c r="Z135" s="3166"/>
      <c r="AA135" s="3166"/>
      <c r="AB135" s="3166"/>
      <c r="AC135" s="3166"/>
      <c r="AD135" s="3166"/>
      <c r="AE135" s="3166"/>
      <c r="AF135" s="3166"/>
      <c r="AG135" s="3166"/>
      <c r="AH135" s="3166"/>
      <c r="AI135" s="3166"/>
      <c r="AJ135" s="3166"/>
      <c r="AK135" s="3166"/>
      <c r="AL135" s="3166"/>
      <c r="AM135" s="3166"/>
      <c r="AN135" s="3166"/>
      <c r="AO135" s="3166"/>
      <c r="AP135" s="3166"/>
      <c r="AQ135" s="3166"/>
      <c r="AR135" s="3166"/>
      <c r="AS135" s="3166"/>
      <c r="AT135" s="3166"/>
      <c r="AU135" s="3166"/>
      <c r="AV135" s="3166"/>
      <c r="AW135" s="3166"/>
      <c r="AX135" s="3166"/>
      <c r="AY135" s="3166"/>
      <c r="AZ135" s="3166"/>
      <c r="BA135" s="3166"/>
      <c r="BB135" s="3166"/>
      <c r="BC135" s="3166"/>
      <c r="BD135" s="3166"/>
      <c r="BE135" s="3166"/>
      <c r="BF135" s="3166"/>
      <c r="BG135" s="3166"/>
      <c r="BH135" s="3166"/>
      <c r="BI135" s="3166"/>
      <c r="BJ135" s="3166"/>
      <c r="BK135" s="3166"/>
      <c r="BL135" s="3166"/>
      <c r="BM135" s="3166"/>
      <c r="BN135" s="3166"/>
      <c r="BO135" s="3166"/>
      <c r="BP135" s="3166"/>
      <c r="BQ135" s="3166"/>
      <c r="BR135" s="3166"/>
      <c r="BS135" s="3166"/>
      <c r="BT135" s="3166"/>
      <c r="BU135" s="3166"/>
      <c r="BV135" s="3167"/>
      <c r="BW135" s="3167"/>
      <c r="BX135" s="3167"/>
      <c r="BY135" s="3167"/>
      <c r="BZ135" s="3167"/>
      <c r="CA135" s="3167"/>
      <c r="CB135" s="3167"/>
      <c r="CC135" s="3167"/>
      <c r="CD135" s="3167"/>
      <c r="CE135" s="3167"/>
      <c r="CF135" s="3167"/>
      <c r="CG135" s="3167"/>
      <c r="CH135" s="3167"/>
      <c r="CI135" s="3167"/>
      <c r="CJ135" s="3168"/>
      <c r="CK135" s="3259"/>
      <c r="CL135" s="3259"/>
      <c r="CM135" s="3259"/>
    </row>
    <row r="136" spans="1:91" ht="18.75" customHeight="1" x14ac:dyDescent="0.2">
      <c r="A136" s="3723" t="s">
        <v>536</v>
      </c>
      <c r="B136" s="3707" t="s">
        <v>3575</v>
      </c>
      <c r="C136" s="3708"/>
      <c r="D136" s="3708"/>
      <c r="E136" s="3708"/>
      <c r="F136" s="3708"/>
      <c r="G136" s="3708"/>
      <c r="H136" s="3708"/>
      <c r="I136" s="3708"/>
      <c r="J136" s="3708"/>
      <c r="K136" s="3708"/>
      <c r="L136" s="3708"/>
      <c r="M136" s="3708"/>
      <c r="N136" s="3708"/>
      <c r="O136" s="3708"/>
      <c r="P136" s="3725"/>
      <c r="Q136" s="3696" t="s">
        <v>3576</v>
      </c>
      <c r="R136" s="3697"/>
      <c r="S136" s="3697"/>
      <c r="T136" s="3697"/>
      <c r="U136" s="3697"/>
      <c r="V136" s="3697"/>
      <c r="W136" s="3697"/>
      <c r="X136" s="3697"/>
      <c r="Y136" s="3697"/>
      <c r="Z136" s="3697"/>
      <c r="AA136" s="3697"/>
      <c r="AB136" s="3697"/>
      <c r="AC136" s="3697"/>
      <c r="AD136" s="3655"/>
      <c r="AE136" s="3656"/>
      <c r="AF136" s="3692" t="s">
        <v>3577</v>
      </c>
      <c r="AG136" s="3693"/>
      <c r="AH136" s="3693"/>
      <c r="AI136" s="3693"/>
      <c r="AJ136" s="3693"/>
      <c r="AK136" s="3693"/>
      <c r="AL136" s="3693"/>
      <c r="AM136" s="3705"/>
      <c r="AN136" s="3706"/>
      <c r="AO136" s="3707" t="s">
        <v>3578</v>
      </c>
      <c r="AP136" s="3708"/>
      <c r="AQ136" s="3708"/>
      <c r="AR136" s="3708"/>
      <c r="AS136" s="3708"/>
      <c r="AT136" s="3708"/>
      <c r="AU136" s="3708"/>
      <c r="AV136" s="3708"/>
      <c r="AW136" s="3708"/>
      <c r="AX136" s="3708"/>
      <c r="AY136" s="3708"/>
      <c r="AZ136" s="3708"/>
      <c r="BA136" s="3708"/>
      <c r="BB136" s="3705"/>
      <c r="BC136" s="3706"/>
      <c r="BD136" s="3692" t="s">
        <v>3579</v>
      </c>
      <c r="BE136" s="3693"/>
      <c r="BF136" s="3693"/>
      <c r="BG136" s="3693"/>
      <c r="BH136" s="3693"/>
      <c r="BI136" s="3693"/>
      <c r="BJ136" s="3693"/>
      <c r="BK136" s="3705"/>
      <c r="BL136" s="3706"/>
      <c r="BM136" s="3707" t="s">
        <v>3580</v>
      </c>
      <c r="BN136" s="3708"/>
      <c r="BO136" s="3708"/>
      <c r="BP136" s="3708"/>
      <c r="BQ136" s="3708"/>
      <c r="BR136" s="3708"/>
      <c r="BS136" s="3708"/>
      <c r="BT136" s="3708"/>
      <c r="BU136" s="3708"/>
      <c r="BV136" s="3708"/>
      <c r="BW136" s="3708"/>
      <c r="BX136" s="3708"/>
      <c r="BY136" s="3708"/>
      <c r="BZ136" s="3705"/>
      <c r="CA136" s="3705"/>
      <c r="CB136" s="3692" t="s">
        <v>2019</v>
      </c>
      <c r="CC136" s="3693"/>
      <c r="CD136" s="3693"/>
      <c r="CE136" s="3693"/>
      <c r="CF136" s="3693"/>
      <c r="CG136" s="3693"/>
      <c r="CH136" s="3693"/>
      <c r="CI136" s="3694"/>
      <c r="CJ136" s="3695"/>
      <c r="CK136" s="3259"/>
      <c r="CL136" s="3259"/>
      <c r="CM136" s="3259"/>
    </row>
    <row r="137" spans="1:91" ht="25.5" customHeight="1" x14ac:dyDescent="0.2">
      <c r="A137" s="3724"/>
      <c r="B137" s="3696" t="s">
        <v>3581</v>
      </c>
      <c r="C137" s="3697"/>
      <c r="D137" s="3698"/>
      <c r="E137" s="3726" t="s">
        <v>582</v>
      </c>
      <c r="F137" s="3727"/>
      <c r="G137" s="3728"/>
      <c r="H137" s="3726" t="s">
        <v>583</v>
      </c>
      <c r="I137" s="3727"/>
      <c r="J137" s="3728"/>
      <c r="K137" s="3726" t="s">
        <v>584</v>
      </c>
      <c r="L137" s="3727"/>
      <c r="M137" s="3728"/>
      <c r="N137" s="3696" t="s">
        <v>1692</v>
      </c>
      <c r="O137" s="3697"/>
      <c r="P137" s="3698"/>
      <c r="Q137" s="3696" t="s">
        <v>3581</v>
      </c>
      <c r="R137" s="3697"/>
      <c r="S137" s="3698"/>
      <c r="T137" s="3729" t="s">
        <v>3582</v>
      </c>
      <c r="U137" s="3730"/>
      <c r="V137" s="3731"/>
      <c r="W137" s="3729" t="s">
        <v>586</v>
      </c>
      <c r="X137" s="3730"/>
      <c r="Y137" s="3731"/>
      <c r="Z137" s="3729" t="s">
        <v>587</v>
      </c>
      <c r="AA137" s="3730"/>
      <c r="AB137" s="3731"/>
      <c r="AC137" s="3696" t="s">
        <v>1692</v>
      </c>
      <c r="AD137" s="3697"/>
      <c r="AE137" s="3698"/>
      <c r="AF137" s="3699" t="s">
        <v>3581</v>
      </c>
      <c r="AG137" s="3700"/>
      <c r="AH137" s="3701"/>
      <c r="AI137" s="3699" t="s">
        <v>1692</v>
      </c>
      <c r="AJ137" s="3700"/>
      <c r="AK137" s="3701"/>
      <c r="AL137" s="3699" t="s">
        <v>3583</v>
      </c>
      <c r="AM137" s="3700"/>
      <c r="AN137" s="3701"/>
      <c r="AO137" s="3712" t="s">
        <v>3581</v>
      </c>
      <c r="AP137" s="3713"/>
      <c r="AQ137" s="3714"/>
      <c r="AR137" s="3702" t="s">
        <v>588</v>
      </c>
      <c r="AS137" s="3703"/>
      <c r="AT137" s="3704"/>
      <c r="AU137" s="3702" t="s">
        <v>589</v>
      </c>
      <c r="AV137" s="3703"/>
      <c r="AW137" s="3704"/>
      <c r="AX137" s="3702" t="s">
        <v>590</v>
      </c>
      <c r="AY137" s="3703"/>
      <c r="AZ137" s="3704"/>
      <c r="BA137" s="3712" t="s">
        <v>1692</v>
      </c>
      <c r="BB137" s="3713"/>
      <c r="BC137" s="3714"/>
      <c r="BD137" s="3715" t="s">
        <v>3581</v>
      </c>
      <c r="BE137" s="3716"/>
      <c r="BF137" s="3717"/>
      <c r="BG137" s="3715" t="s">
        <v>1692</v>
      </c>
      <c r="BH137" s="3716"/>
      <c r="BI137" s="3717"/>
      <c r="BJ137" s="3715" t="s">
        <v>3583</v>
      </c>
      <c r="BK137" s="3716"/>
      <c r="BL137" s="3717"/>
      <c r="BM137" s="3709" t="s">
        <v>3581</v>
      </c>
      <c r="BN137" s="3710"/>
      <c r="BO137" s="3711"/>
      <c r="BP137" s="3709" t="s">
        <v>591</v>
      </c>
      <c r="BQ137" s="3710"/>
      <c r="BR137" s="3711"/>
      <c r="BS137" s="3709" t="s">
        <v>592</v>
      </c>
      <c r="BT137" s="3710"/>
      <c r="BU137" s="3711"/>
      <c r="BV137" s="3709" t="s">
        <v>593</v>
      </c>
      <c r="BW137" s="3710"/>
      <c r="BX137" s="3711"/>
      <c r="BY137" s="3709" t="s">
        <v>1692</v>
      </c>
      <c r="BZ137" s="3710"/>
      <c r="CA137" s="3710"/>
      <c r="CB137" s="3718" t="s">
        <v>3581</v>
      </c>
      <c r="CC137" s="3721"/>
      <c r="CD137" s="3722"/>
      <c r="CE137" s="3718" t="s">
        <v>1692</v>
      </c>
      <c r="CF137" s="3721"/>
      <c r="CG137" s="3722"/>
      <c r="CH137" s="3718" t="s">
        <v>3583</v>
      </c>
      <c r="CI137" s="3719"/>
      <c r="CJ137" s="3720"/>
      <c r="CK137" s="3259"/>
      <c r="CL137" s="3259"/>
      <c r="CM137" s="3259"/>
    </row>
    <row r="138" spans="1:91" ht="25.5" customHeight="1" x14ac:dyDescent="0.2">
      <c r="A138" s="3724"/>
      <c r="B138" s="3095" t="s">
        <v>627</v>
      </c>
      <c r="C138" s="3095" t="s">
        <v>3668</v>
      </c>
      <c r="D138" s="3095" t="s">
        <v>3669</v>
      </c>
      <c r="E138" s="3095" t="s">
        <v>627</v>
      </c>
      <c r="F138" s="3095" t="s">
        <v>3668</v>
      </c>
      <c r="G138" s="3095" t="s">
        <v>3669</v>
      </c>
      <c r="H138" s="3095" t="s">
        <v>627</v>
      </c>
      <c r="I138" s="3095" t="s">
        <v>3668</v>
      </c>
      <c r="J138" s="3095" t="s">
        <v>3669</v>
      </c>
      <c r="K138" s="3095" t="s">
        <v>627</v>
      </c>
      <c r="L138" s="3095" t="s">
        <v>3668</v>
      </c>
      <c r="M138" s="3095" t="s">
        <v>3669</v>
      </c>
      <c r="N138" s="3095" t="s">
        <v>627</v>
      </c>
      <c r="O138" s="3095" t="s">
        <v>3668</v>
      </c>
      <c r="P138" s="3095" t="s">
        <v>3669</v>
      </c>
      <c r="Q138" s="3095" t="s">
        <v>627</v>
      </c>
      <c r="R138" s="3095" t="s">
        <v>3668</v>
      </c>
      <c r="S138" s="3095" t="s">
        <v>3669</v>
      </c>
      <c r="T138" s="3095" t="s">
        <v>627</v>
      </c>
      <c r="U138" s="3095" t="s">
        <v>3668</v>
      </c>
      <c r="V138" s="3095" t="s">
        <v>3669</v>
      </c>
      <c r="W138" s="3095" t="s">
        <v>627</v>
      </c>
      <c r="X138" s="3095" t="s">
        <v>3668</v>
      </c>
      <c r="Y138" s="3095" t="s">
        <v>3669</v>
      </c>
      <c r="Z138" s="3095" t="s">
        <v>627</v>
      </c>
      <c r="AA138" s="3095" t="s">
        <v>3668</v>
      </c>
      <c r="AB138" s="3095" t="s">
        <v>3669</v>
      </c>
      <c r="AC138" s="3095" t="s">
        <v>627</v>
      </c>
      <c r="AD138" s="3095" t="s">
        <v>3668</v>
      </c>
      <c r="AE138" s="3095" t="s">
        <v>3669</v>
      </c>
      <c r="AF138" s="3096" t="s">
        <v>627</v>
      </c>
      <c r="AG138" s="3096" t="s">
        <v>3668</v>
      </c>
      <c r="AH138" s="3096" t="s">
        <v>3669</v>
      </c>
      <c r="AI138" s="3096" t="s">
        <v>627</v>
      </c>
      <c r="AJ138" s="3096" t="s">
        <v>3668</v>
      </c>
      <c r="AK138" s="3096" t="s">
        <v>3669</v>
      </c>
      <c r="AL138" s="3096" t="s">
        <v>627</v>
      </c>
      <c r="AM138" s="3096" t="s">
        <v>3668</v>
      </c>
      <c r="AN138" s="3096" t="s">
        <v>3669</v>
      </c>
      <c r="AO138" s="3095" t="s">
        <v>627</v>
      </c>
      <c r="AP138" s="3095" t="s">
        <v>3668</v>
      </c>
      <c r="AQ138" s="3095" t="s">
        <v>3669</v>
      </c>
      <c r="AR138" s="3095" t="s">
        <v>627</v>
      </c>
      <c r="AS138" s="3095" t="s">
        <v>3668</v>
      </c>
      <c r="AT138" s="3095" t="s">
        <v>3669</v>
      </c>
      <c r="AU138" s="3095" t="s">
        <v>627</v>
      </c>
      <c r="AV138" s="3095" t="s">
        <v>3668</v>
      </c>
      <c r="AW138" s="3095" t="s">
        <v>3669</v>
      </c>
      <c r="AX138" s="3095" t="s">
        <v>627</v>
      </c>
      <c r="AY138" s="3095" t="s">
        <v>3668</v>
      </c>
      <c r="AZ138" s="3095" t="s">
        <v>3669</v>
      </c>
      <c r="BA138" s="3095" t="s">
        <v>627</v>
      </c>
      <c r="BB138" s="3095" t="s">
        <v>3668</v>
      </c>
      <c r="BC138" s="3095" t="s">
        <v>3669</v>
      </c>
      <c r="BD138" s="3096" t="s">
        <v>627</v>
      </c>
      <c r="BE138" s="3096" t="s">
        <v>3668</v>
      </c>
      <c r="BF138" s="3096" t="s">
        <v>3669</v>
      </c>
      <c r="BG138" s="3096" t="s">
        <v>627</v>
      </c>
      <c r="BH138" s="3096" t="s">
        <v>3668</v>
      </c>
      <c r="BI138" s="3096" t="s">
        <v>3669</v>
      </c>
      <c r="BJ138" s="3096" t="s">
        <v>627</v>
      </c>
      <c r="BK138" s="3096" t="s">
        <v>3668</v>
      </c>
      <c r="BL138" s="3096" t="s">
        <v>3669</v>
      </c>
      <c r="BM138" s="3095" t="s">
        <v>627</v>
      </c>
      <c r="BN138" s="3095" t="s">
        <v>3668</v>
      </c>
      <c r="BO138" s="3095" t="s">
        <v>3669</v>
      </c>
      <c r="BP138" s="3095" t="s">
        <v>627</v>
      </c>
      <c r="BQ138" s="3095" t="s">
        <v>3668</v>
      </c>
      <c r="BR138" s="3095" t="s">
        <v>3669</v>
      </c>
      <c r="BS138" s="3095" t="s">
        <v>627</v>
      </c>
      <c r="BT138" s="3095" t="s">
        <v>3668</v>
      </c>
      <c r="BU138" s="3095" t="s">
        <v>3669</v>
      </c>
      <c r="BV138" s="3095" t="s">
        <v>627</v>
      </c>
      <c r="BW138" s="3095" t="s">
        <v>3668</v>
      </c>
      <c r="BX138" s="3095" t="s">
        <v>3669</v>
      </c>
      <c r="BY138" s="3095" t="s">
        <v>627</v>
      </c>
      <c r="BZ138" s="3095" t="s">
        <v>3668</v>
      </c>
      <c r="CA138" s="3095" t="s">
        <v>3669</v>
      </c>
      <c r="CB138" s="3096" t="s">
        <v>627</v>
      </c>
      <c r="CC138" s="3096" t="s">
        <v>3668</v>
      </c>
      <c r="CD138" s="3096" t="s">
        <v>3669</v>
      </c>
      <c r="CE138" s="3096" t="s">
        <v>627</v>
      </c>
      <c r="CF138" s="3096" t="s">
        <v>3668</v>
      </c>
      <c r="CG138" s="3096" t="s">
        <v>3669</v>
      </c>
      <c r="CH138" s="3096" t="s">
        <v>627</v>
      </c>
      <c r="CI138" s="3096" t="s">
        <v>3668</v>
      </c>
      <c r="CJ138" s="3096" t="s">
        <v>3669</v>
      </c>
      <c r="CK138" s="3259"/>
      <c r="CL138" s="3259"/>
      <c r="CM138" s="3259"/>
    </row>
    <row r="139" spans="1:91" ht="18.75" customHeight="1" x14ac:dyDescent="0.2">
      <c r="A139" s="3127" t="s">
        <v>3665</v>
      </c>
      <c r="B139" s="3278">
        <f>SUM(B9)</f>
        <v>755.00091078952471</v>
      </c>
      <c r="C139" s="3278">
        <f t="shared" ref="C139:D139" si="1378">SUM(C9)</f>
        <v>750.58424412285808</v>
      </c>
      <c r="D139" s="3278">
        <f t="shared" si="1378"/>
        <v>4.416666666666667</v>
      </c>
      <c r="E139" s="3177">
        <f t="shared" ref="E139:K139" si="1379">SUM(E9)</f>
        <v>266.49549999999999</v>
      </c>
      <c r="F139" s="3177">
        <f t="shared" ref="F139:G139" si="1380">SUM(F9)</f>
        <v>266.29300000000001</v>
      </c>
      <c r="G139" s="3177">
        <f t="shared" si="1380"/>
        <v>0.20250000000000001</v>
      </c>
      <c r="H139" s="3177">
        <f t="shared" ref="H139" si="1381">SUM(H9)</f>
        <v>256.30599999999998</v>
      </c>
      <c r="I139" s="3177">
        <f t="shared" ref="I139:J139" si="1382">SUM(I9)</f>
        <v>256.13299999999998</v>
      </c>
      <c r="J139" s="3177">
        <f t="shared" si="1382"/>
        <v>0.17299999999999999</v>
      </c>
      <c r="K139" s="3177">
        <f t="shared" si="1379"/>
        <v>252.04300000000001</v>
      </c>
      <c r="L139" s="3177">
        <f t="shared" ref="L139:N139" si="1383">SUM(L9)</f>
        <v>248.363</v>
      </c>
      <c r="M139" s="3177">
        <f t="shared" si="1383"/>
        <v>3.68</v>
      </c>
      <c r="N139" s="3177">
        <f t="shared" si="1383"/>
        <v>774.84450000000004</v>
      </c>
      <c r="O139" s="3177">
        <f t="shared" ref="O139:AE139" si="1384">SUM(O9)</f>
        <v>770.78899999999999</v>
      </c>
      <c r="P139" s="3177">
        <f t="shared" si="1384"/>
        <v>4.0555000000000003</v>
      </c>
      <c r="Q139" s="3278">
        <f t="shared" si="1384"/>
        <v>755.00091078952471</v>
      </c>
      <c r="R139" s="3278">
        <f t="shared" si="1384"/>
        <v>750.58424412285808</v>
      </c>
      <c r="S139" s="3278">
        <f t="shared" si="1384"/>
        <v>4.416666666666667</v>
      </c>
      <c r="T139" s="3177">
        <f t="shared" si="1384"/>
        <v>260.08700000000005</v>
      </c>
      <c r="U139" s="3177">
        <f t="shared" si="1384"/>
        <v>259.78700000000003</v>
      </c>
      <c r="V139" s="3177">
        <f t="shared" si="1384"/>
        <v>0.3</v>
      </c>
      <c r="W139" s="3177">
        <f t="shared" si="1384"/>
        <v>254.17200000000003</v>
      </c>
      <c r="X139" s="3177">
        <f t="shared" si="1384"/>
        <v>253.66200000000003</v>
      </c>
      <c r="Y139" s="3177">
        <f t="shared" si="1384"/>
        <v>0.51</v>
      </c>
      <c r="Z139" s="3177">
        <f t="shared" si="1384"/>
        <v>258.279</v>
      </c>
      <c r="AA139" s="3177">
        <f t="shared" si="1384"/>
        <v>254.41299999999998</v>
      </c>
      <c r="AB139" s="3177">
        <f t="shared" si="1384"/>
        <v>3.8660000000000001</v>
      </c>
      <c r="AC139" s="3177">
        <f t="shared" si="1384"/>
        <v>772.53800000000012</v>
      </c>
      <c r="AD139" s="3177">
        <f t="shared" si="1384"/>
        <v>767.86200000000008</v>
      </c>
      <c r="AE139" s="3177">
        <f t="shared" si="1384"/>
        <v>4.6760000000000002</v>
      </c>
      <c r="AF139" s="3285">
        <f t="shared" ref="AF139:AF142" si="1385">SUM(Q139+B139)</f>
        <v>1510.0018215790494</v>
      </c>
      <c r="AG139" s="3285">
        <f t="shared" ref="AG139:AG142" si="1386">SUM(R139+C139)</f>
        <v>1501.1684882457162</v>
      </c>
      <c r="AH139" s="3285">
        <f t="shared" ref="AH139:AH142" si="1387">SUM(S139+D139)</f>
        <v>8.8333333333333339</v>
      </c>
      <c r="AI139" s="3206">
        <f t="shared" ref="AI139:AI142" si="1388">SUM(AJ139:AK139)</f>
        <v>1547.3825000000002</v>
      </c>
      <c r="AJ139" s="3206">
        <f t="shared" ref="AJ139:AJ142" si="1389">SUM(O139+AD139)</f>
        <v>1538.6510000000001</v>
      </c>
      <c r="AK139" s="3206">
        <f t="shared" ref="AK139:AK142" si="1390">SUM(P139+AE139)</f>
        <v>8.7315000000000005</v>
      </c>
      <c r="AL139" s="3193">
        <f t="shared" ref="AL139:AL142" si="1391">SUM(AI139-AF139)</f>
        <v>37.380678420950744</v>
      </c>
      <c r="AM139" s="3193">
        <f t="shared" ref="AM139:AM142" si="1392">SUM(AJ139-AG139)</f>
        <v>37.482511754283905</v>
      </c>
      <c r="AN139" s="3193">
        <f t="shared" ref="AN139:AN142" si="1393">SUM(AK139-AH139)</f>
        <v>-0.10183333333333344</v>
      </c>
      <c r="AO139" s="3278">
        <f>SUM(AO9)</f>
        <v>755.00091078952471</v>
      </c>
      <c r="AP139" s="3278">
        <f t="shared" ref="AP139:BC139" si="1394">SUM(AP9)</f>
        <v>750.58424412285808</v>
      </c>
      <c r="AQ139" s="3278">
        <f t="shared" si="1394"/>
        <v>4.416666666666667</v>
      </c>
      <c r="AR139" s="3177">
        <f t="shared" si="1394"/>
        <v>242.05600000000001</v>
      </c>
      <c r="AS139" s="3177">
        <f t="shared" si="1394"/>
        <v>241.745</v>
      </c>
      <c r="AT139" s="3177">
        <f t="shared" si="1394"/>
        <v>0.311</v>
      </c>
      <c r="AU139" s="3177">
        <f t="shared" si="1394"/>
        <v>275.63300000000004</v>
      </c>
      <c r="AV139" s="3177">
        <f t="shared" si="1394"/>
        <v>275.25400000000002</v>
      </c>
      <c r="AW139" s="3177">
        <f t="shared" si="1394"/>
        <v>0.379</v>
      </c>
      <c r="AX139" s="3177">
        <f t="shared" si="1394"/>
        <v>257.37900000000002</v>
      </c>
      <c r="AY139" s="3177">
        <f t="shared" si="1394"/>
        <v>253.471</v>
      </c>
      <c r="AZ139" s="3177">
        <f t="shared" si="1394"/>
        <v>3.9079999999999999</v>
      </c>
      <c r="BA139" s="3177">
        <f t="shared" si="1394"/>
        <v>775.06799999999998</v>
      </c>
      <c r="BB139" s="3177">
        <f t="shared" si="1394"/>
        <v>770.47</v>
      </c>
      <c r="BC139" s="3177">
        <f t="shared" si="1394"/>
        <v>4.5979999999999999</v>
      </c>
      <c r="BD139" s="3285">
        <f t="shared" ref="BD139:BD142" si="1395">SUM(AF139+AO139)</f>
        <v>2265.002732368574</v>
      </c>
      <c r="BE139" s="3285">
        <f t="shared" ref="BE139:BE142" si="1396">SUM(AG139+AP139)</f>
        <v>2251.7527323685745</v>
      </c>
      <c r="BF139" s="3285">
        <f t="shared" ref="BF139:BF142" si="1397">SUM(AH139+AQ139)</f>
        <v>13.25</v>
      </c>
      <c r="BG139" s="3058">
        <f t="shared" ref="BG139:BG142" si="1398">SUM(BH139:BI139)</f>
        <v>2322.4504999999999</v>
      </c>
      <c r="BH139" s="3058">
        <f t="shared" ref="BH139:BH142" si="1399">SUM(AJ139+BB139)</f>
        <v>2309.1210000000001</v>
      </c>
      <c r="BI139" s="3058">
        <f t="shared" ref="BI139:BI142" si="1400">SUM(AK139+BC139)</f>
        <v>13.329499999999999</v>
      </c>
      <c r="BJ139" s="3193">
        <f t="shared" ref="BJ139:BJ142" si="1401">SUM(BG139-BD139)</f>
        <v>57.447767631425904</v>
      </c>
      <c r="BK139" s="3193">
        <f t="shared" ref="BK139:BK142" si="1402">SUM(BH139-BE139)</f>
        <v>57.368267631425624</v>
      </c>
      <c r="BL139" s="3193">
        <f t="shared" ref="BL139:BL142" si="1403">SUM(BI139-BF139)</f>
        <v>7.949999999999946E-2</v>
      </c>
      <c r="BM139" s="3278">
        <f>SUM(BM9)</f>
        <v>755.00091078952471</v>
      </c>
      <c r="BN139" s="3278">
        <f t="shared" ref="BN139:CA139" si="1404">SUM(BN9)</f>
        <v>750.58424412285808</v>
      </c>
      <c r="BO139" s="3278">
        <f t="shared" si="1404"/>
        <v>4.416666666666667</v>
      </c>
      <c r="BP139" s="3177">
        <f t="shared" si="1404"/>
        <v>0</v>
      </c>
      <c r="BQ139" s="3177">
        <f t="shared" si="1404"/>
        <v>0</v>
      </c>
      <c r="BR139" s="3177">
        <f t="shared" si="1404"/>
        <v>0</v>
      </c>
      <c r="BS139" s="3177">
        <f t="shared" si="1404"/>
        <v>0</v>
      </c>
      <c r="BT139" s="3177">
        <f t="shared" si="1404"/>
        <v>0</v>
      </c>
      <c r="BU139" s="3177">
        <f t="shared" si="1404"/>
        <v>0</v>
      </c>
      <c r="BV139" s="3177">
        <f t="shared" si="1404"/>
        <v>0</v>
      </c>
      <c r="BW139" s="3177">
        <f t="shared" si="1404"/>
        <v>0</v>
      </c>
      <c r="BX139" s="3177">
        <f t="shared" si="1404"/>
        <v>0</v>
      </c>
      <c r="BY139" s="3177">
        <f t="shared" si="1404"/>
        <v>0</v>
      </c>
      <c r="BZ139" s="3177">
        <f t="shared" si="1404"/>
        <v>0</v>
      </c>
      <c r="CA139" s="3177">
        <f t="shared" si="1404"/>
        <v>0</v>
      </c>
      <c r="CB139" s="3285">
        <f t="shared" ref="CB139:CB142" si="1405">SUM(BM139+BD139)</f>
        <v>3020.0036431580988</v>
      </c>
      <c r="CC139" s="3285">
        <f t="shared" ref="CC139:CC142" si="1406">SUM(BN139+BE139)</f>
        <v>3002.3369764914323</v>
      </c>
      <c r="CD139" s="3285">
        <f t="shared" ref="CD139:CD142" si="1407">SUM(BO139+BF139)</f>
        <v>17.666666666666668</v>
      </c>
      <c r="CE139" s="3058">
        <f t="shared" ref="CE139:CE142" si="1408">SUM(CF139:CG139)</f>
        <v>2322.4504999999999</v>
      </c>
      <c r="CF139" s="3058">
        <f t="shared" ref="CF139:CF142" si="1409">SUM(BH139+BZ139)</f>
        <v>2309.1210000000001</v>
      </c>
      <c r="CG139" s="3058">
        <f t="shared" ref="CG139:CG142" si="1410">SUM(BI139+CA139)</f>
        <v>13.329499999999999</v>
      </c>
      <c r="CH139" s="3193">
        <f t="shared" ref="CH139:CH142" si="1411">SUM(CE139-CB139)</f>
        <v>-697.55314315809892</v>
      </c>
      <c r="CI139" s="3193">
        <f t="shared" ref="CI139:CI142" si="1412">SUM(CF139-CC139)</f>
        <v>-693.21597649143223</v>
      </c>
      <c r="CJ139" s="3193">
        <f t="shared" ref="CJ139:CJ142" si="1413">SUM(CG139-CD139)</f>
        <v>-4.3371666666666684</v>
      </c>
      <c r="CK139" s="3259"/>
      <c r="CL139" s="3259"/>
      <c r="CM139" s="3259"/>
    </row>
    <row r="140" spans="1:91" ht="18.75" customHeight="1" x14ac:dyDescent="0.2">
      <c r="A140" s="3072" t="s">
        <v>261</v>
      </c>
      <c r="B140" s="3279">
        <f>SUM(B10)</f>
        <v>570</v>
      </c>
      <c r="C140" s="3279">
        <f t="shared" ref="C140:D140" si="1414">SUM(C10)</f>
        <v>570</v>
      </c>
      <c r="D140" s="3279">
        <f t="shared" si="1414"/>
        <v>0</v>
      </c>
      <c r="E140" s="3178">
        <f>SUM(E10)</f>
        <v>208.13900000000001</v>
      </c>
      <c r="F140" s="3178">
        <f t="shared" ref="F140:G140" si="1415">SUM(F10)</f>
        <v>208.13900000000001</v>
      </c>
      <c r="G140" s="3178">
        <f t="shared" si="1415"/>
        <v>0</v>
      </c>
      <c r="H140" s="3178">
        <f t="shared" ref="H140" si="1416">SUM(H10)</f>
        <v>194.65</v>
      </c>
      <c r="I140" s="3178">
        <f t="shared" ref="I140:J140" si="1417">SUM(I10)</f>
        <v>194.65</v>
      </c>
      <c r="J140" s="3178">
        <f t="shared" si="1417"/>
        <v>0</v>
      </c>
      <c r="K140" s="3178">
        <f>SUM(K10)</f>
        <v>188.65</v>
      </c>
      <c r="L140" s="3178">
        <f t="shared" ref="L140:N140" si="1418">SUM(L10)</f>
        <v>188.65</v>
      </c>
      <c r="M140" s="3178">
        <f t="shared" si="1418"/>
        <v>0</v>
      </c>
      <c r="N140" s="3178">
        <f t="shared" si="1418"/>
        <v>591.43899999999996</v>
      </c>
      <c r="O140" s="3178">
        <f t="shared" ref="O140:AE140" si="1419">SUM(O10)</f>
        <v>591.43899999999996</v>
      </c>
      <c r="P140" s="3178">
        <f t="shared" si="1419"/>
        <v>0</v>
      </c>
      <c r="Q140" s="3279">
        <f t="shared" si="1419"/>
        <v>570</v>
      </c>
      <c r="R140" s="3279">
        <f t="shared" si="1419"/>
        <v>570</v>
      </c>
      <c r="S140" s="3279">
        <f t="shared" si="1419"/>
        <v>0</v>
      </c>
      <c r="T140" s="3178">
        <f t="shared" si="1419"/>
        <v>194.28100000000001</v>
      </c>
      <c r="U140" s="3178">
        <f t="shared" si="1419"/>
        <v>194.28100000000001</v>
      </c>
      <c r="V140" s="3178">
        <f t="shared" si="1419"/>
        <v>0</v>
      </c>
      <c r="W140" s="3178">
        <f t="shared" si="1419"/>
        <v>196.55900000000003</v>
      </c>
      <c r="X140" s="3178">
        <f t="shared" si="1419"/>
        <v>196.55900000000003</v>
      </c>
      <c r="Y140" s="3178">
        <f t="shared" si="1419"/>
        <v>0</v>
      </c>
      <c r="Z140" s="3178">
        <f t="shared" si="1419"/>
        <v>190.40799999999999</v>
      </c>
      <c r="AA140" s="3178">
        <f t="shared" si="1419"/>
        <v>190.40799999999999</v>
      </c>
      <c r="AB140" s="3178">
        <f t="shared" si="1419"/>
        <v>0</v>
      </c>
      <c r="AC140" s="3178">
        <f t="shared" si="1419"/>
        <v>581.24800000000005</v>
      </c>
      <c r="AD140" s="3178">
        <f t="shared" si="1419"/>
        <v>581.24800000000005</v>
      </c>
      <c r="AE140" s="3178">
        <f t="shared" si="1419"/>
        <v>0</v>
      </c>
      <c r="AF140" s="3286">
        <f t="shared" si="1385"/>
        <v>1140</v>
      </c>
      <c r="AG140" s="3286">
        <f t="shared" si="1386"/>
        <v>1140</v>
      </c>
      <c r="AH140" s="3286">
        <f t="shared" si="1387"/>
        <v>0</v>
      </c>
      <c r="AI140" s="3209">
        <f t="shared" si="1388"/>
        <v>1172.6869999999999</v>
      </c>
      <c r="AJ140" s="3209">
        <f t="shared" si="1389"/>
        <v>1172.6869999999999</v>
      </c>
      <c r="AK140" s="3209">
        <f t="shared" si="1390"/>
        <v>0</v>
      </c>
      <c r="AL140" s="3264">
        <f t="shared" si="1391"/>
        <v>32.686999999999898</v>
      </c>
      <c r="AM140" s="3264">
        <f t="shared" si="1392"/>
        <v>32.686999999999898</v>
      </c>
      <c r="AN140" s="3264">
        <f t="shared" si="1393"/>
        <v>0</v>
      </c>
      <c r="AO140" s="3279">
        <f>SUM(AO10)</f>
        <v>570</v>
      </c>
      <c r="AP140" s="3279">
        <f t="shared" ref="AP140:BC140" si="1420">SUM(AP10)</f>
        <v>570</v>
      </c>
      <c r="AQ140" s="3279">
        <f t="shared" si="1420"/>
        <v>0</v>
      </c>
      <c r="AR140" s="3178">
        <f t="shared" si="1420"/>
        <v>186.721</v>
      </c>
      <c r="AS140" s="3178">
        <f t="shared" si="1420"/>
        <v>186.721</v>
      </c>
      <c r="AT140" s="3178">
        <f t="shared" si="1420"/>
        <v>0</v>
      </c>
      <c r="AU140" s="3178">
        <f t="shared" si="1420"/>
        <v>217.06299999999999</v>
      </c>
      <c r="AV140" s="3178">
        <f t="shared" si="1420"/>
        <v>217.06299999999999</v>
      </c>
      <c r="AW140" s="3178">
        <f t="shared" si="1420"/>
        <v>0</v>
      </c>
      <c r="AX140" s="3178">
        <f t="shared" si="1420"/>
        <v>173.76599999999999</v>
      </c>
      <c r="AY140" s="3178">
        <f t="shared" si="1420"/>
        <v>173.76599999999999</v>
      </c>
      <c r="AZ140" s="3178">
        <f t="shared" si="1420"/>
        <v>0</v>
      </c>
      <c r="BA140" s="3178">
        <f t="shared" si="1420"/>
        <v>577.54999999999995</v>
      </c>
      <c r="BB140" s="3178">
        <f t="shared" si="1420"/>
        <v>577.54999999999995</v>
      </c>
      <c r="BC140" s="3178">
        <f t="shared" si="1420"/>
        <v>0</v>
      </c>
      <c r="BD140" s="3286">
        <f t="shared" si="1395"/>
        <v>1710</v>
      </c>
      <c r="BE140" s="3286">
        <f t="shared" si="1396"/>
        <v>1710</v>
      </c>
      <c r="BF140" s="3286">
        <f t="shared" si="1397"/>
        <v>0</v>
      </c>
      <c r="BG140" s="3062">
        <f t="shared" si="1398"/>
        <v>1750.2369999999999</v>
      </c>
      <c r="BH140" s="3062">
        <f t="shared" si="1399"/>
        <v>1750.2369999999999</v>
      </c>
      <c r="BI140" s="3062">
        <f t="shared" si="1400"/>
        <v>0</v>
      </c>
      <c r="BJ140" s="3264">
        <f t="shared" si="1401"/>
        <v>40.236999999999853</v>
      </c>
      <c r="BK140" s="3264">
        <f t="shared" si="1402"/>
        <v>40.236999999999853</v>
      </c>
      <c r="BL140" s="3264">
        <f t="shared" si="1403"/>
        <v>0</v>
      </c>
      <c r="BM140" s="3279">
        <f>SUM(BM10)</f>
        <v>570</v>
      </c>
      <c r="BN140" s="3279">
        <f t="shared" ref="BN140:CA140" si="1421">SUM(BN10)</f>
        <v>570</v>
      </c>
      <c r="BO140" s="3279">
        <f t="shared" si="1421"/>
        <v>0</v>
      </c>
      <c r="BP140" s="3178">
        <f t="shared" si="1421"/>
        <v>0</v>
      </c>
      <c r="BQ140" s="3178">
        <f t="shared" si="1421"/>
        <v>0</v>
      </c>
      <c r="BR140" s="3178">
        <f t="shared" si="1421"/>
        <v>0</v>
      </c>
      <c r="BS140" s="3178">
        <f t="shared" si="1421"/>
        <v>0</v>
      </c>
      <c r="BT140" s="3178">
        <f t="shared" si="1421"/>
        <v>0</v>
      </c>
      <c r="BU140" s="3178">
        <f t="shared" si="1421"/>
        <v>0</v>
      </c>
      <c r="BV140" s="3178">
        <f t="shared" si="1421"/>
        <v>0</v>
      </c>
      <c r="BW140" s="3178">
        <f t="shared" si="1421"/>
        <v>0</v>
      </c>
      <c r="BX140" s="3178">
        <f t="shared" si="1421"/>
        <v>0</v>
      </c>
      <c r="BY140" s="3178">
        <f t="shared" si="1421"/>
        <v>0</v>
      </c>
      <c r="BZ140" s="3178">
        <f t="shared" si="1421"/>
        <v>0</v>
      </c>
      <c r="CA140" s="3178">
        <f t="shared" si="1421"/>
        <v>0</v>
      </c>
      <c r="CB140" s="3286">
        <f t="shared" si="1405"/>
        <v>2280</v>
      </c>
      <c r="CC140" s="3286">
        <f t="shared" si="1406"/>
        <v>2280</v>
      </c>
      <c r="CD140" s="3286">
        <f t="shared" si="1407"/>
        <v>0</v>
      </c>
      <c r="CE140" s="3062">
        <f t="shared" si="1408"/>
        <v>1750.2369999999999</v>
      </c>
      <c r="CF140" s="3062">
        <f t="shared" si="1409"/>
        <v>1750.2369999999999</v>
      </c>
      <c r="CG140" s="3062">
        <f t="shared" si="1410"/>
        <v>0</v>
      </c>
      <c r="CH140" s="3264">
        <f t="shared" si="1411"/>
        <v>-529.76300000000015</v>
      </c>
      <c r="CI140" s="3264">
        <f t="shared" si="1412"/>
        <v>-529.76300000000015</v>
      </c>
      <c r="CJ140" s="3264">
        <f t="shared" si="1413"/>
        <v>0</v>
      </c>
      <c r="CK140" s="3259"/>
      <c r="CL140" s="3259"/>
      <c r="CM140" s="3259"/>
    </row>
    <row r="141" spans="1:91" ht="18.75" customHeight="1" x14ac:dyDescent="0.2">
      <c r="A141" s="3072" t="s">
        <v>3658</v>
      </c>
      <c r="B141" s="3279">
        <f>SUM(B11)</f>
        <v>4.416666666666667</v>
      </c>
      <c r="C141" s="3279">
        <f t="shared" ref="C141:D141" si="1422">SUM(C11)</f>
        <v>0</v>
      </c>
      <c r="D141" s="3279">
        <f t="shared" si="1422"/>
        <v>4.416666666666667</v>
      </c>
      <c r="E141" s="3178">
        <f>SUM(E11)</f>
        <v>0.20250000000000001</v>
      </c>
      <c r="F141" s="3178">
        <f t="shared" ref="F141:G141" si="1423">SUM(F11)</f>
        <v>0</v>
      </c>
      <c r="G141" s="3178">
        <f t="shared" si="1423"/>
        <v>0.20250000000000001</v>
      </c>
      <c r="H141" s="3178">
        <f t="shared" ref="H141" si="1424">SUM(H11)</f>
        <v>0.17299999999999999</v>
      </c>
      <c r="I141" s="3178">
        <f t="shared" ref="I141:J141" si="1425">SUM(I11)</f>
        <v>0</v>
      </c>
      <c r="J141" s="3178">
        <f t="shared" si="1425"/>
        <v>0.17299999999999999</v>
      </c>
      <c r="K141" s="3178">
        <f>SUM(K11)</f>
        <v>3.68</v>
      </c>
      <c r="L141" s="3178">
        <f t="shared" ref="L141:N141" si="1426">SUM(L11)</f>
        <v>0</v>
      </c>
      <c r="M141" s="3178">
        <f t="shared" si="1426"/>
        <v>3.68</v>
      </c>
      <c r="N141" s="3178">
        <f t="shared" si="1426"/>
        <v>4.0555000000000003</v>
      </c>
      <c r="O141" s="3178">
        <f t="shared" ref="O141:AE141" si="1427">SUM(O11)</f>
        <v>0</v>
      </c>
      <c r="P141" s="3178">
        <f t="shared" si="1427"/>
        <v>4.0555000000000003</v>
      </c>
      <c r="Q141" s="3279">
        <f t="shared" si="1427"/>
        <v>4.416666666666667</v>
      </c>
      <c r="R141" s="3279">
        <f t="shared" si="1427"/>
        <v>0</v>
      </c>
      <c r="S141" s="3279">
        <f t="shared" si="1427"/>
        <v>4.416666666666667</v>
      </c>
      <c r="T141" s="3178">
        <f t="shared" si="1427"/>
        <v>0.3</v>
      </c>
      <c r="U141" s="3178">
        <f t="shared" si="1427"/>
        <v>0</v>
      </c>
      <c r="V141" s="3178">
        <f t="shared" si="1427"/>
        <v>0.3</v>
      </c>
      <c r="W141" s="3178">
        <f t="shared" si="1427"/>
        <v>0.51</v>
      </c>
      <c r="X141" s="3178">
        <f t="shared" si="1427"/>
        <v>0</v>
      </c>
      <c r="Y141" s="3178">
        <f t="shared" si="1427"/>
        <v>0.51</v>
      </c>
      <c r="Z141" s="3178">
        <f t="shared" si="1427"/>
        <v>3.8660000000000001</v>
      </c>
      <c r="AA141" s="3178">
        <f t="shared" si="1427"/>
        <v>0</v>
      </c>
      <c r="AB141" s="3178">
        <f t="shared" si="1427"/>
        <v>3.8660000000000001</v>
      </c>
      <c r="AC141" s="3178">
        <f t="shared" si="1427"/>
        <v>4.6760000000000002</v>
      </c>
      <c r="AD141" s="3178">
        <f t="shared" si="1427"/>
        <v>0</v>
      </c>
      <c r="AE141" s="3178">
        <f t="shared" si="1427"/>
        <v>4.6760000000000002</v>
      </c>
      <c r="AF141" s="3286">
        <f t="shared" si="1385"/>
        <v>8.8333333333333339</v>
      </c>
      <c r="AG141" s="3286">
        <f t="shared" si="1386"/>
        <v>0</v>
      </c>
      <c r="AH141" s="3286">
        <f t="shared" si="1387"/>
        <v>8.8333333333333339</v>
      </c>
      <c r="AI141" s="3209">
        <f t="shared" si="1388"/>
        <v>8.7315000000000005</v>
      </c>
      <c r="AJ141" s="3209">
        <f t="shared" si="1389"/>
        <v>0</v>
      </c>
      <c r="AK141" s="3209">
        <f t="shared" si="1390"/>
        <v>8.7315000000000005</v>
      </c>
      <c r="AL141" s="3264">
        <f t="shared" si="1391"/>
        <v>-0.10183333333333344</v>
      </c>
      <c r="AM141" s="3264">
        <f t="shared" si="1392"/>
        <v>0</v>
      </c>
      <c r="AN141" s="3264">
        <f t="shared" si="1393"/>
        <v>-0.10183333333333344</v>
      </c>
      <c r="AO141" s="3279">
        <f>SUM(AO11)</f>
        <v>4.416666666666667</v>
      </c>
      <c r="AP141" s="3279">
        <f t="shared" ref="AP141:BC141" si="1428">SUM(AP11)</f>
        <v>0</v>
      </c>
      <c r="AQ141" s="3279">
        <f t="shared" si="1428"/>
        <v>4.416666666666667</v>
      </c>
      <c r="AR141" s="3178">
        <f t="shared" si="1428"/>
        <v>0.311</v>
      </c>
      <c r="AS141" s="3178">
        <f t="shared" si="1428"/>
        <v>0</v>
      </c>
      <c r="AT141" s="3178">
        <f t="shared" si="1428"/>
        <v>0.311</v>
      </c>
      <c r="AU141" s="3178">
        <f t="shared" si="1428"/>
        <v>0.379</v>
      </c>
      <c r="AV141" s="3178">
        <f t="shared" si="1428"/>
        <v>0</v>
      </c>
      <c r="AW141" s="3178">
        <f t="shared" si="1428"/>
        <v>0.379</v>
      </c>
      <c r="AX141" s="3178">
        <f t="shared" si="1428"/>
        <v>3.9079999999999999</v>
      </c>
      <c r="AY141" s="3178">
        <f t="shared" si="1428"/>
        <v>0</v>
      </c>
      <c r="AZ141" s="3178">
        <f t="shared" si="1428"/>
        <v>3.9079999999999999</v>
      </c>
      <c r="BA141" s="3178">
        <f t="shared" si="1428"/>
        <v>4.5979999999999999</v>
      </c>
      <c r="BB141" s="3178">
        <f t="shared" si="1428"/>
        <v>0</v>
      </c>
      <c r="BC141" s="3178">
        <f t="shared" si="1428"/>
        <v>4.5979999999999999</v>
      </c>
      <c r="BD141" s="3286">
        <f t="shared" si="1395"/>
        <v>13.25</v>
      </c>
      <c r="BE141" s="3286">
        <f t="shared" si="1396"/>
        <v>0</v>
      </c>
      <c r="BF141" s="3286">
        <f t="shared" si="1397"/>
        <v>13.25</v>
      </c>
      <c r="BG141" s="3062">
        <f t="shared" si="1398"/>
        <v>13.329499999999999</v>
      </c>
      <c r="BH141" s="3062">
        <f t="shared" si="1399"/>
        <v>0</v>
      </c>
      <c r="BI141" s="3062">
        <f t="shared" si="1400"/>
        <v>13.329499999999999</v>
      </c>
      <c r="BJ141" s="3264">
        <f t="shared" si="1401"/>
        <v>7.949999999999946E-2</v>
      </c>
      <c r="BK141" s="3264">
        <f t="shared" si="1402"/>
        <v>0</v>
      </c>
      <c r="BL141" s="3264">
        <f t="shared" si="1403"/>
        <v>7.949999999999946E-2</v>
      </c>
      <c r="BM141" s="3279">
        <f>SUM(BM11)</f>
        <v>4.416666666666667</v>
      </c>
      <c r="BN141" s="3279">
        <f t="shared" ref="BN141:CA141" si="1429">SUM(BN11)</f>
        <v>0</v>
      </c>
      <c r="BO141" s="3279">
        <f t="shared" si="1429"/>
        <v>4.416666666666667</v>
      </c>
      <c r="BP141" s="3178">
        <f t="shared" si="1429"/>
        <v>0</v>
      </c>
      <c r="BQ141" s="3178">
        <f t="shared" si="1429"/>
        <v>0</v>
      </c>
      <c r="BR141" s="3178">
        <f t="shared" si="1429"/>
        <v>0</v>
      </c>
      <c r="BS141" s="3178">
        <f t="shared" si="1429"/>
        <v>0</v>
      </c>
      <c r="BT141" s="3178">
        <f t="shared" si="1429"/>
        <v>0</v>
      </c>
      <c r="BU141" s="3178">
        <f t="shared" si="1429"/>
        <v>0</v>
      </c>
      <c r="BV141" s="3178">
        <f t="shared" si="1429"/>
        <v>0</v>
      </c>
      <c r="BW141" s="3178">
        <f t="shared" si="1429"/>
        <v>0</v>
      </c>
      <c r="BX141" s="3178">
        <f t="shared" si="1429"/>
        <v>0</v>
      </c>
      <c r="BY141" s="3178">
        <f t="shared" si="1429"/>
        <v>0</v>
      </c>
      <c r="BZ141" s="3178">
        <f t="shared" si="1429"/>
        <v>0</v>
      </c>
      <c r="CA141" s="3178">
        <f t="shared" si="1429"/>
        <v>0</v>
      </c>
      <c r="CB141" s="3286">
        <f t="shared" si="1405"/>
        <v>17.666666666666668</v>
      </c>
      <c r="CC141" s="3286">
        <f t="shared" si="1406"/>
        <v>0</v>
      </c>
      <c r="CD141" s="3286">
        <f t="shared" si="1407"/>
        <v>17.666666666666668</v>
      </c>
      <c r="CE141" s="3062">
        <f t="shared" si="1408"/>
        <v>13.329499999999999</v>
      </c>
      <c r="CF141" s="3062">
        <f t="shared" si="1409"/>
        <v>0</v>
      </c>
      <c r="CG141" s="3062">
        <f t="shared" si="1410"/>
        <v>13.329499999999999</v>
      </c>
      <c r="CH141" s="3264">
        <f t="shared" si="1411"/>
        <v>-4.3371666666666684</v>
      </c>
      <c r="CI141" s="3264">
        <f t="shared" si="1412"/>
        <v>0</v>
      </c>
      <c r="CJ141" s="3264">
        <f t="shared" si="1413"/>
        <v>-4.3371666666666684</v>
      </c>
      <c r="CK141" s="3259"/>
      <c r="CL141" s="3259"/>
      <c r="CM141" s="3259"/>
    </row>
    <row r="142" spans="1:91" ht="18.75" customHeight="1" x14ac:dyDescent="0.2">
      <c r="A142" s="3072" t="s">
        <v>3659</v>
      </c>
      <c r="B142" s="3279">
        <f>SUM(B12)</f>
        <v>180.58424412285808</v>
      </c>
      <c r="C142" s="3279">
        <f t="shared" ref="C142:D142" si="1430">SUM(C12)</f>
        <v>180.58424412285808</v>
      </c>
      <c r="D142" s="3279">
        <f t="shared" si="1430"/>
        <v>0</v>
      </c>
      <c r="E142" s="3178">
        <f>SUM(E12)</f>
        <v>58.154000000000003</v>
      </c>
      <c r="F142" s="3178">
        <f t="shared" ref="F142:G142" si="1431">SUM(F12)</f>
        <v>58.154000000000003</v>
      </c>
      <c r="G142" s="3178">
        <f t="shared" si="1431"/>
        <v>0</v>
      </c>
      <c r="H142" s="3178">
        <f t="shared" ref="H142" si="1432">SUM(H12)</f>
        <v>61.482999999999997</v>
      </c>
      <c r="I142" s="3178">
        <f t="shared" ref="I142:J142" si="1433">SUM(I12)</f>
        <v>61.482999999999997</v>
      </c>
      <c r="J142" s="3178">
        <f t="shared" si="1433"/>
        <v>0</v>
      </c>
      <c r="K142" s="3178">
        <f>SUM(K12)</f>
        <v>59.713000000000001</v>
      </c>
      <c r="L142" s="3178">
        <f t="shared" ref="L142:N142" si="1434">SUM(L12)</f>
        <v>59.713000000000001</v>
      </c>
      <c r="M142" s="3178">
        <f t="shared" si="1434"/>
        <v>0</v>
      </c>
      <c r="N142" s="3178">
        <f t="shared" si="1434"/>
        <v>179.35</v>
      </c>
      <c r="O142" s="3178">
        <f t="shared" ref="O142:AE142" si="1435">SUM(O12)</f>
        <v>179.35</v>
      </c>
      <c r="P142" s="3178">
        <f t="shared" si="1435"/>
        <v>0</v>
      </c>
      <c r="Q142" s="3279">
        <f t="shared" si="1435"/>
        <v>180.58424412285808</v>
      </c>
      <c r="R142" s="3279">
        <f t="shared" si="1435"/>
        <v>180.58424412285808</v>
      </c>
      <c r="S142" s="3279">
        <f t="shared" si="1435"/>
        <v>0</v>
      </c>
      <c r="T142" s="3178">
        <f t="shared" si="1435"/>
        <v>65.506</v>
      </c>
      <c r="U142" s="3178">
        <f t="shared" si="1435"/>
        <v>65.506</v>
      </c>
      <c r="V142" s="3178">
        <f t="shared" si="1435"/>
        <v>0</v>
      </c>
      <c r="W142" s="3178">
        <f t="shared" si="1435"/>
        <v>57.103000000000002</v>
      </c>
      <c r="X142" s="3178">
        <f t="shared" si="1435"/>
        <v>57.103000000000002</v>
      </c>
      <c r="Y142" s="3178">
        <f t="shared" si="1435"/>
        <v>0</v>
      </c>
      <c r="Z142" s="3178">
        <f t="shared" si="1435"/>
        <v>64.004999999999995</v>
      </c>
      <c r="AA142" s="3178">
        <f t="shared" si="1435"/>
        <v>64.004999999999995</v>
      </c>
      <c r="AB142" s="3178">
        <f t="shared" si="1435"/>
        <v>0</v>
      </c>
      <c r="AC142" s="3178">
        <f t="shared" si="1435"/>
        <v>186.614</v>
      </c>
      <c r="AD142" s="3178">
        <f t="shared" si="1435"/>
        <v>186.614</v>
      </c>
      <c r="AE142" s="3178">
        <f t="shared" si="1435"/>
        <v>0</v>
      </c>
      <c r="AF142" s="3286">
        <f t="shared" si="1385"/>
        <v>361.16848824571616</v>
      </c>
      <c r="AG142" s="3286">
        <f t="shared" si="1386"/>
        <v>361.16848824571616</v>
      </c>
      <c r="AH142" s="3286">
        <f t="shared" si="1387"/>
        <v>0</v>
      </c>
      <c r="AI142" s="3209">
        <f t="shared" si="1388"/>
        <v>365.964</v>
      </c>
      <c r="AJ142" s="3209">
        <f t="shared" si="1389"/>
        <v>365.964</v>
      </c>
      <c r="AK142" s="3209">
        <f t="shared" si="1390"/>
        <v>0</v>
      </c>
      <c r="AL142" s="3264">
        <f t="shared" si="1391"/>
        <v>4.7955117542838366</v>
      </c>
      <c r="AM142" s="3264">
        <f t="shared" si="1392"/>
        <v>4.7955117542838366</v>
      </c>
      <c r="AN142" s="3264">
        <f t="shared" si="1393"/>
        <v>0</v>
      </c>
      <c r="AO142" s="3279">
        <f>SUM(AO12)</f>
        <v>180.58424412285808</v>
      </c>
      <c r="AP142" s="3279">
        <f t="shared" ref="AP142:BC142" si="1436">SUM(AP12)</f>
        <v>180.58424412285808</v>
      </c>
      <c r="AQ142" s="3279">
        <f t="shared" si="1436"/>
        <v>0</v>
      </c>
      <c r="AR142" s="3178">
        <f t="shared" si="1436"/>
        <v>55.024000000000001</v>
      </c>
      <c r="AS142" s="3178">
        <f t="shared" si="1436"/>
        <v>55.024000000000001</v>
      </c>
      <c r="AT142" s="3178">
        <f t="shared" si="1436"/>
        <v>0</v>
      </c>
      <c r="AU142" s="3178">
        <f t="shared" si="1436"/>
        <v>58.191000000000003</v>
      </c>
      <c r="AV142" s="3178">
        <f t="shared" si="1436"/>
        <v>58.191000000000003</v>
      </c>
      <c r="AW142" s="3178">
        <f t="shared" si="1436"/>
        <v>0</v>
      </c>
      <c r="AX142" s="3178">
        <f t="shared" si="1436"/>
        <v>79.704999999999998</v>
      </c>
      <c r="AY142" s="3178">
        <f t="shared" si="1436"/>
        <v>79.704999999999998</v>
      </c>
      <c r="AZ142" s="3178">
        <f t="shared" si="1436"/>
        <v>0</v>
      </c>
      <c r="BA142" s="3178">
        <f t="shared" si="1436"/>
        <v>192.92000000000002</v>
      </c>
      <c r="BB142" s="3178">
        <f t="shared" si="1436"/>
        <v>192.92000000000002</v>
      </c>
      <c r="BC142" s="3178">
        <f t="shared" si="1436"/>
        <v>0</v>
      </c>
      <c r="BD142" s="3286">
        <f t="shared" si="1395"/>
        <v>541.75273236857424</v>
      </c>
      <c r="BE142" s="3286">
        <f t="shared" si="1396"/>
        <v>541.75273236857424</v>
      </c>
      <c r="BF142" s="3286">
        <f t="shared" si="1397"/>
        <v>0</v>
      </c>
      <c r="BG142" s="3062">
        <f t="shared" si="1398"/>
        <v>558.88400000000001</v>
      </c>
      <c r="BH142" s="3062">
        <f t="shared" si="1399"/>
        <v>558.88400000000001</v>
      </c>
      <c r="BI142" s="3062">
        <f t="shared" si="1400"/>
        <v>0</v>
      </c>
      <c r="BJ142" s="3264">
        <f t="shared" si="1401"/>
        <v>17.131267631425771</v>
      </c>
      <c r="BK142" s="3264">
        <f t="shared" si="1402"/>
        <v>17.131267631425771</v>
      </c>
      <c r="BL142" s="3264">
        <f t="shared" si="1403"/>
        <v>0</v>
      </c>
      <c r="BM142" s="3279">
        <f>SUM(BM12)</f>
        <v>180.58424412285808</v>
      </c>
      <c r="BN142" s="3279">
        <f t="shared" ref="BN142:CA142" si="1437">SUM(BN12)</f>
        <v>180.58424412285808</v>
      </c>
      <c r="BO142" s="3279">
        <f t="shared" si="1437"/>
        <v>0</v>
      </c>
      <c r="BP142" s="3178">
        <f t="shared" si="1437"/>
        <v>0</v>
      </c>
      <c r="BQ142" s="3178">
        <f t="shared" si="1437"/>
        <v>0</v>
      </c>
      <c r="BR142" s="3178">
        <f t="shared" si="1437"/>
        <v>0</v>
      </c>
      <c r="BS142" s="3178">
        <f t="shared" si="1437"/>
        <v>0</v>
      </c>
      <c r="BT142" s="3178">
        <f t="shared" si="1437"/>
        <v>0</v>
      </c>
      <c r="BU142" s="3178">
        <f t="shared" si="1437"/>
        <v>0</v>
      </c>
      <c r="BV142" s="3178">
        <f t="shared" si="1437"/>
        <v>0</v>
      </c>
      <c r="BW142" s="3178">
        <f t="shared" si="1437"/>
        <v>0</v>
      </c>
      <c r="BX142" s="3178">
        <f t="shared" si="1437"/>
        <v>0</v>
      </c>
      <c r="BY142" s="3178">
        <f t="shared" si="1437"/>
        <v>0</v>
      </c>
      <c r="BZ142" s="3178">
        <f t="shared" si="1437"/>
        <v>0</v>
      </c>
      <c r="CA142" s="3178">
        <f t="shared" si="1437"/>
        <v>0</v>
      </c>
      <c r="CB142" s="3286">
        <f t="shared" si="1405"/>
        <v>722.33697649143232</v>
      </c>
      <c r="CC142" s="3286">
        <f t="shared" si="1406"/>
        <v>722.33697649143232</v>
      </c>
      <c r="CD142" s="3286">
        <f t="shared" si="1407"/>
        <v>0</v>
      </c>
      <c r="CE142" s="3062">
        <f t="shared" si="1408"/>
        <v>558.88400000000001</v>
      </c>
      <c r="CF142" s="3062">
        <f t="shared" si="1409"/>
        <v>558.88400000000001</v>
      </c>
      <c r="CG142" s="3062">
        <f t="shared" si="1410"/>
        <v>0</v>
      </c>
      <c r="CH142" s="3265">
        <f t="shared" si="1411"/>
        <v>-163.45297649143231</v>
      </c>
      <c r="CI142" s="3265">
        <f t="shared" si="1412"/>
        <v>-163.45297649143231</v>
      </c>
      <c r="CJ142" s="3265">
        <f t="shared" si="1413"/>
        <v>0</v>
      </c>
      <c r="CK142" s="3259"/>
      <c r="CL142" s="3259"/>
      <c r="CM142" s="3259"/>
    </row>
    <row r="143" spans="1:91" ht="18.75" customHeight="1" x14ac:dyDescent="0.2">
      <c r="A143" s="3164" t="s">
        <v>3588</v>
      </c>
      <c r="B143" s="3165"/>
      <c r="C143" s="3165"/>
      <c r="D143" s="3165"/>
      <c r="E143" s="3165"/>
      <c r="F143" s="3165"/>
      <c r="G143" s="3165"/>
      <c r="H143" s="3165"/>
      <c r="I143" s="3165"/>
      <c r="J143" s="3165"/>
      <c r="K143" s="3166"/>
      <c r="L143" s="3166"/>
      <c r="M143" s="3166"/>
      <c r="N143" s="3166"/>
      <c r="O143" s="3166"/>
      <c r="P143" s="3166"/>
      <c r="Q143" s="3166"/>
      <c r="R143" s="3166"/>
      <c r="S143" s="3166"/>
      <c r="T143" s="3166"/>
      <c r="U143" s="3166"/>
      <c r="V143" s="3166"/>
      <c r="W143" s="3166"/>
      <c r="X143" s="3166"/>
      <c r="Y143" s="3166"/>
      <c r="Z143" s="3166"/>
      <c r="AA143" s="3166"/>
      <c r="AB143" s="3166"/>
      <c r="AC143" s="3166"/>
      <c r="AD143" s="3166"/>
      <c r="AE143" s="3166"/>
      <c r="AF143" s="3166"/>
      <c r="AG143" s="3166"/>
      <c r="AH143" s="3166"/>
      <c r="AI143" s="3166"/>
      <c r="AJ143" s="3166"/>
      <c r="AK143" s="3166"/>
      <c r="AL143" s="3166"/>
      <c r="AM143" s="3166"/>
      <c r="AN143" s="3166"/>
      <c r="AO143" s="3166"/>
      <c r="AP143" s="3166"/>
      <c r="AQ143" s="3166"/>
      <c r="AR143" s="3166"/>
      <c r="AS143" s="3166"/>
      <c r="AT143" s="3166"/>
      <c r="AU143" s="3166"/>
      <c r="AV143" s="3166"/>
      <c r="AW143" s="3166"/>
      <c r="AX143" s="3166"/>
      <c r="AY143" s="3166"/>
      <c r="AZ143" s="3166"/>
      <c r="BA143" s="3166"/>
      <c r="BB143" s="3166"/>
      <c r="BC143" s="3166"/>
      <c r="BD143" s="3166"/>
      <c r="BE143" s="3166"/>
      <c r="BF143" s="3166"/>
      <c r="BG143" s="3166"/>
      <c r="BH143" s="3166"/>
      <c r="BI143" s="3166"/>
      <c r="BJ143" s="3166"/>
      <c r="BK143" s="3166"/>
      <c r="BL143" s="3166"/>
      <c r="BM143" s="3166"/>
      <c r="BN143" s="3166"/>
      <c r="BO143" s="3166"/>
      <c r="BP143" s="3166"/>
      <c r="BQ143" s="3166"/>
      <c r="BR143" s="3166"/>
      <c r="BS143" s="3166"/>
      <c r="BT143" s="3166"/>
      <c r="BU143" s="3166"/>
      <c r="BV143" s="3167"/>
      <c r="BW143" s="3167"/>
      <c r="BX143" s="3167"/>
      <c r="BY143" s="3167"/>
      <c r="BZ143" s="3167"/>
      <c r="CA143" s="3167"/>
      <c r="CB143" s="3167"/>
      <c r="CC143" s="3167"/>
      <c r="CD143" s="3167"/>
      <c r="CE143" s="3167"/>
      <c r="CF143" s="3167"/>
      <c r="CG143" s="3167"/>
      <c r="CH143" s="3167"/>
      <c r="CI143" s="3167"/>
      <c r="CJ143" s="3168"/>
      <c r="CK143" s="3259"/>
      <c r="CL143" s="3259"/>
      <c r="CM143" s="3259"/>
    </row>
    <row r="144" spans="1:91" ht="18.75" customHeight="1" x14ac:dyDescent="0.2">
      <c r="A144" s="3723" t="s">
        <v>536</v>
      </c>
      <c r="B144" s="3707" t="s">
        <v>3575</v>
      </c>
      <c r="C144" s="3708"/>
      <c r="D144" s="3708"/>
      <c r="E144" s="3708"/>
      <c r="F144" s="3708"/>
      <c r="G144" s="3708"/>
      <c r="H144" s="3708"/>
      <c r="I144" s="3708"/>
      <c r="J144" s="3708"/>
      <c r="K144" s="3708"/>
      <c r="L144" s="3708"/>
      <c r="M144" s="3708"/>
      <c r="N144" s="3708"/>
      <c r="O144" s="3708"/>
      <c r="P144" s="3725"/>
      <c r="Q144" s="3696" t="s">
        <v>3576</v>
      </c>
      <c r="R144" s="3697"/>
      <c r="S144" s="3697"/>
      <c r="T144" s="3697"/>
      <c r="U144" s="3697"/>
      <c r="V144" s="3697"/>
      <c r="W144" s="3697"/>
      <c r="X144" s="3697"/>
      <c r="Y144" s="3697"/>
      <c r="Z144" s="3697"/>
      <c r="AA144" s="3697"/>
      <c r="AB144" s="3697"/>
      <c r="AC144" s="3697"/>
      <c r="AD144" s="3655"/>
      <c r="AE144" s="3656"/>
      <c r="AF144" s="3692" t="s">
        <v>3577</v>
      </c>
      <c r="AG144" s="3693"/>
      <c r="AH144" s="3693"/>
      <c r="AI144" s="3693"/>
      <c r="AJ144" s="3693"/>
      <c r="AK144" s="3693"/>
      <c r="AL144" s="3693"/>
      <c r="AM144" s="3705"/>
      <c r="AN144" s="3706"/>
      <c r="AO144" s="3707" t="s">
        <v>3578</v>
      </c>
      <c r="AP144" s="3708"/>
      <c r="AQ144" s="3708"/>
      <c r="AR144" s="3708"/>
      <c r="AS144" s="3708"/>
      <c r="AT144" s="3708"/>
      <c r="AU144" s="3708"/>
      <c r="AV144" s="3708"/>
      <c r="AW144" s="3708"/>
      <c r="AX144" s="3708"/>
      <c r="AY144" s="3708"/>
      <c r="AZ144" s="3708"/>
      <c r="BA144" s="3708"/>
      <c r="BB144" s="3705"/>
      <c r="BC144" s="3706"/>
      <c r="BD144" s="3692" t="s">
        <v>3579</v>
      </c>
      <c r="BE144" s="3693"/>
      <c r="BF144" s="3693"/>
      <c r="BG144" s="3693"/>
      <c r="BH144" s="3693"/>
      <c r="BI144" s="3693"/>
      <c r="BJ144" s="3693"/>
      <c r="BK144" s="3705"/>
      <c r="BL144" s="3706"/>
      <c r="BM144" s="3707" t="s">
        <v>3580</v>
      </c>
      <c r="BN144" s="3708"/>
      <c r="BO144" s="3708"/>
      <c r="BP144" s="3708"/>
      <c r="BQ144" s="3708"/>
      <c r="BR144" s="3708"/>
      <c r="BS144" s="3708"/>
      <c r="BT144" s="3708"/>
      <c r="BU144" s="3708"/>
      <c r="BV144" s="3708"/>
      <c r="BW144" s="3708"/>
      <c r="BX144" s="3708"/>
      <c r="BY144" s="3708"/>
      <c r="BZ144" s="3705"/>
      <c r="CA144" s="3705"/>
      <c r="CB144" s="3692" t="s">
        <v>2019</v>
      </c>
      <c r="CC144" s="3693"/>
      <c r="CD144" s="3693"/>
      <c r="CE144" s="3693"/>
      <c r="CF144" s="3693"/>
      <c r="CG144" s="3693"/>
      <c r="CH144" s="3693"/>
      <c r="CI144" s="3694"/>
      <c r="CJ144" s="3695"/>
      <c r="CK144" s="3259"/>
      <c r="CL144" s="3259"/>
      <c r="CM144" s="3259"/>
    </row>
    <row r="145" spans="1:91" ht="25.5" customHeight="1" x14ac:dyDescent="0.2">
      <c r="A145" s="3724"/>
      <c r="B145" s="3696" t="s">
        <v>3581</v>
      </c>
      <c r="C145" s="3697"/>
      <c r="D145" s="3698"/>
      <c r="E145" s="3726" t="s">
        <v>582</v>
      </c>
      <c r="F145" s="3727"/>
      <c r="G145" s="3728"/>
      <c r="H145" s="3726" t="s">
        <v>583</v>
      </c>
      <c r="I145" s="3727"/>
      <c r="J145" s="3728"/>
      <c r="K145" s="3726" t="s">
        <v>584</v>
      </c>
      <c r="L145" s="3727"/>
      <c r="M145" s="3728"/>
      <c r="N145" s="3696" t="s">
        <v>1692</v>
      </c>
      <c r="O145" s="3697"/>
      <c r="P145" s="3698"/>
      <c r="Q145" s="3696" t="s">
        <v>3581</v>
      </c>
      <c r="R145" s="3697"/>
      <c r="S145" s="3698"/>
      <c r="T145" s="3729" t="s">
        <v>3582</v>
      </c>
      <c r="U145" s="3730"/>
      <c r="V145" s="3731"/>
      <c r="W145" s="3729" t="s">
        <v>586</v>
      </c>
      <c r="X145" s="3730"/>
      <c r="Y145" s="3731"/>
      <c r="Z145" s="3729" t="s">
        <v>587</v>
      </c>
      <c r="AA145" s="3730"/>
      <c r="AB145" s="3731"/>
      <c r="AC145" s="3696" t="s">
        <v>1692</v>
      </c>
      <c r="AD145" s="3697"/>
      <c r="AE145" s="3698"/>
      <c r="AF145" s="3699" t="s">
        <v>3581</v>
      </c>
      <c r="AG145" s="3700"/>
      <c r="AH145" s="3701"/>
      <c r="AI145" s="3699" t="s">
        <v>1692</v>
      </c>
      <c r="AJ145" s="3700"/>
      <c r="AK145" s="3701"/>
      <c r="AL145" s="3699" t="s">
        <v>3583</v>
      </c>
      <c r="AM145" s="3700"/>
      <c r="AN145" s="3701"/>
      <c r="AO145" s="3712" t="s">
        <v>3581</v>
      </c>
      <c r="AP145" s="3713"/>
      <c r="AQ145" s="3714"/>
      <c r="AR145" s="3702" t="s">
        <v>588</v>
      </c>
      <c r="AS145" s="3703"/>
      <c r="AT145" s="3704"/>
      <c r="AU145" s="3702" t="s">
        <v>589</v>
      </c>
      <c r="AV145" s="3703"/>
      <c r="AW145" s="3704"/>
      <c r="AX145" s="3702" t="s">
        <v>590</v>
      </c>
      <c r="AY145" s="3703"/>
      <c r="AZ145" s="3704"/>
      <c r="BA145" s="3712" t="s">
        <v>1692</v>
      </c>
      <c r="BB145" s="3713"/>
      <c r="BC145" s="3714"/>
      <c r="BD145" s="3715" t="s">
        <v>3581</v>
      </c>
      <c r="BE145" s="3716"/>
      <c r="BF145" s="3717"/>
      <c r="BG145" s="3715" t="s">
        <v>1692</v>
      </c>
      <c r="BH145" s="3716"/>
      <c r="BI145" s="3717"/>
      <c r="BJ145" s="3715" t="s">
        <v>3583</v>
      </c>
      <c r="BK145" s="3716"/>
      <c r="BL145" s="3717"/>
      <c r="BM145" s="3709" t="s">
        <v>3581</v>
      </c>
      <c r="BN145" s="3710"/>
      <c r="BO145" s="3711"/>
      <c r="BP145" s="3709" t="s">
        <v>591</v>
      </c>
      <c r="BQ145" s="3710"/>
      <c r="BR145" s="3711"/>
      <c r="BS145" s="3709" t="s">
        <v>592</v>
      </c>
      <c r="BT145" s="3710"/>
      <c r="BU145" s="3711"/>
      <c r="BV145" s="3709" t="s">
        <v>593</v>
      </c>
      <c r="BW145" s="3710"/>
      <c r="BX145" s="3711"/>
      <c r="BY145" s="3709" t="s">
        <v>1692</v>
      </c>
      <c r="BZ145" s="3710"/>
      <c r="CA145" s="3710"/>
      <c r="CB145" s="3718" t="s">
        <v>3581</v>
      </c>
      <c r="CC145" s="3721"/>
      <c r="CD145" s="3722"/>
      <c r="CE145" s="3718" t="s">
        <v>1692</v>
      </c>
      <c r="CF145" s="3721"/>
      <c r="CG145" s="3722"/>
      <c r="CH145" s="3718" t="s">
        <v>3583</v>
      </c>
      <c r="CI145" s="3719"/>
      <c r="CJ145" s="3720"/>
      <c r="CK145" s="3259"/>
      <c r="CL145" s="3259"/>
      <c r="CM145" s="3259"/>
    </row>
    <row r="146" spans="1:91" ht="25.5" customHeight="1" x14ac:dyDescent="0.2">
      <c r="A146" s="3724"/>
      <c r="B146" s="3095" t="s">
        <v>627</v>
      </c>
      <c r="C146" s="3095" t="s">
        <v>3668</v>
      </c>
      <c r="D146" s="3095" t="s">
        <v>3669</v>
      </c>
      <c r="E146" s="3095" t="s">
        <v>627</v>
      </c>
      <c r="F146" s="3095" t="s">
        <v>3668</v>
      </c>
      <c r="G146" s="3095" t="s">
        <v>3669</v>
      </c>
      <c r="H146" s="3095" t="s">
        <v>627</v>
      </c>
      <c r="I146" s="3095" t="s">
        <v>3668</v>
      </c>
      <c r="J146" s="3095" t="s">
        <v>3669</v>
      </c>
      <c r="K146" s="3095" t="s">
        <v>627</v>
      </c>
      <c r="L146" s="3095" t="s">
        <v>3668</v>
      </c>
      <c r="M146" s="3095" t="s">
        <v>3669</v>
      </c>
      <c r="N146" s="3095" t="s">
        <v>627</v>
      </c>
      <c r="O146" s="3095" t="s">
        <v>3668</v>
      </c>
      <c r="P146" s="3095" t="s">
        <v>3669</v>
      </c>
      <c r="Q146" s="3095" t="s">
        <v>627</v>
      </c>
      <c r="R146" s="3095" t="s">
        <v>3668</v>
      </c>
      <c r="S146" s="3095" t="s">
        <v>3669</v>
      </c>
      <c r="T146" s="3095" t="s">
        <v>627</v>
      </c>
      <c r="U146" s="3095" t="s">
        <v>3668</v>
      </c>
      <c r="V146" s="3095" t="s">
        <v>3669</v>
      </c>
      <c r="W146" s="3095" t="s">
        <v>627</v>
      </c>
      <c r="X146" s="3095" t="s">
        <v>3668</v>
      </c>
      <c r="Y146" s="3095" t="s">
        <v>3669</v>
      </c>
      <c r="Z146" s="3095" t="s">
        <v>627</v>
      </c>
      <c r="AA146" s="3095" t="s">
        <v>3668</v>
      </c>
      <c r="AB146" s="3095" t="s">
        <v>3669</v>
      </c>
      <c r="AC146" s="3095" t="s">
        <v>627</v>
      </c>
      <c r="AD146" s="3095" t="s">
        <v>3668</v>
      </c>
      <c r="AE146" s="3095" t="s">
        <v>3669</v>
      </c>
      <c r="AF146" s="3096" t="s">
        <v>627</v>
      </c>
      <c r="AG146" s="3096" t="s">
        <v>3668</v>
      </c>
      <c r="AH146" s="3096" t="s">
        <v>3669</v>
      </c>
      <c r="AI146" s="3096" t="s">
        <v>627</v>
      </c>
      <c r="AJ146" s="3096" t="s">
        <v>3668</v>
      </c>
      <c r="AK146" s="3096" t="s">
        <v>3669</v>
      </c>
      <c r="AL146" s="3096" t="s">
        <v>627</v>
      </c>
      <c r="AM146" s="3096" t="s">
        <v>3668</v>
      </c>
      <c r="AN146" s="3096" t="s">
        <v>3669</v>
      </c>
      <c r="AO146" s="3095" t="s">
        <v>627</v>
      </c>
      <c r="AP146" s="3095" t="s">
        <v>3668</v>
      </c>
      <c r="AQ146" s="3095" t="s">
        <v>3669</v>
      </c>
      <c r="AR146" s="3095" t="s">
        <v>627</v>
      </c>
      <c r="AS146" s="3095" t="s">
        <v>3668</v>
      </c>
      <c r="AT146" s="3095" t="s">
        <v>3669</v>
      </c>
      <c r="AU146" s="3095" t="s">
        <v>627</v>
      </c>
      <c r="AV146" s="3095" t="s">
        <v>3668</v>
      </c>
      <c r="AW146" s="3095" t="s">
        <v>3669</v>
      </c>
      <c r="AX146" s="3095" t="s">
        <v>627</v>
      </c>
      <c r="AY146" s="3095" t="s">
        <v>3668</v>
      </c>
      <c r="AZ146" s="3095" t="s">
        <v>3669</v>
      </c>
      <c r="BA146" s="3095" t="s">
        <v>627</v>
      </c>
      <c r="BB146" s="3095" t="s">
        <v>3668</v>
      </c>
      <c r="BC146" s="3095" t="s">
        <v>3669</v>
      </c>
      <c r="BD146" s="3096" t="s">
        <v>627</v>
      </c>
      <c r="BE146" s="3096" t="s">
        <v>3668</v>
      </c>
      <c r="BF146" s="3096" t="s">
        <v>3669</v>
      </c>
      <c r="BG146" s="3096" t="s">
        <v>627</v>
      </c>
      <c r="BH146" s="3096" t="s">
        <v>3668</v>
      </c>
      <c r="BI146" s="3096" t="s">
        <v>3669</v>
      </c>
      <c r="BJ146" s="3096" t="s">
        <v>627</v>
      </c>
      <c r="BK146" s="3096" t="s">
        <v>3668</v>
      </c>
      <c r="BL146" s="3096" t="s">
        <v>3669</v>
      </c>
      <c r="BM146" s="3095" t="s">
        <v>627</v>
      </c>
      <c r="BN146" s="3095" t="s">
        <v>3668</v>
      </c>
      <c r="BO146" s="3095" t="s">
        <v>3669</v>
      </c>
      <c r="BP146" s="3095" t="s">
        <v>627</v>
      </c>
      <c r="BQ146" s="3095" t="s">
        <v>3668</v>
      </c>
      <c r="BR146" s="3095" t="s">
        <v>3669</v>
      </c>
      <c r="BS146" s="3095" t="s">
        <v>627</v>
      </c>
      <c r="BT146" s="3095" t="s">
        <v>3668</v>
      </c>
      <c r="BU146" s="3095" t="s">
        <v>3669</v>
      </c>
      <c r="BV146" s="3095" t="s">
        <v>627</v>
      </c>
      <c r="BW146" s="3095" t="s">
        <v>3668</v>
      </c>
      <c r="BX146" s="3095" t="s">
        <v>3669</v>
      </c>
      <c r="BY146" s="3095" t="s">
        <v>627</v>
      </c>
      <c r="BZ146" s="3095" t="s">
        <v>3668</v>
      </c>
      <c r="CA146" s="3095" t="s">
        <v>3669</v>
      </c>
      <c r="CB146" s="3096" t="s">
        <v>627</v>
      </c>
      <c r="CC146" s="3096" t="s">
        <v>3668</v>
      </c>
      <c r="CD146" s="3096" t="s">
        <v>3669</v>
      </c>
      <c r="CE146" s="3096" t="s">
        <v>627</v>
      </c>
      <c r="CF146" s="3096" t="s">
        <v>3668</v>
      </c>
      <c r="CG146" s="3096" t="s">
        <v>3669</v>
      </c>
      <c r="CH146" s="3096" t="s">
        <v>627</v>
      </c>
      <c r="CI146" s="3096" t="s">
        <v>3668</v>
      </c>
      <c r="CJ146" s="3096" t="s">
        <v>3669</v>
      </c>
    </row>
    <row r="147" spans="1:91" ht="18.75" customHeight="1" x14ac:dyDescent="0.3">
      <c r="A147" s="3072" t="s">
        <v>1</v>
      </c>
      <c r="B147" s="3277">
        <f t="shared" ref="B147:CB147" si="1438">SUM(B18+B37)</f>
        <v>2167.1369111543095</v>
      </c>
      <c r="C147" s="3277">
        <f t="shared" ref="C147:AE147" si="1439">SUM(C18+C37)</f>
        <v>2156.8907527318474</v>
      </c>
      <c r="D147" s="3277">
        <f t="shared" si="1439"/>
        <v>10.246158422461928</v>
      </c>
      <c r="E147" s="3136">
        <f t="shared" si="1439"/>
        <v>945.50099999999998</v>
      </c>
      <c r="F147" s="3136">
        <f t="shared" si="1439"/>
        <v>945.12</v>
      </c>
      <c r="G147" s="3136">
        <f t="shared" si="1439"/>
        <v>0.38100000000000001</v>
      </c>
      <c r="H147" s="3136">
        <f t="shared" si="1439"/>
        <v>790.80000000000007</v>
      </c>
      <c r="I147" s="3136">
        <f t="shared" si="1439"/>
        <v>790.48</v>
      </c>
      <c r="J147" s="3136">
        <f t="shared" si="1439"/>
        <v>0.32</v>
      </c>
      <c r="K147" s="3136">
        <f t="shared" si="1439"/>
        <v>861.81</v>
      </c>
      <c r="L147" s="3136">
        <f t="shared" si="1439"/>
        <v>861.73</v>
      </c>
      <c r="M147" s="3136">
        <f t="shared" si="1439"/>
        <v>0.08</v>
      </c>
      <c r="N147" s="3136">
        <f t="shared" si="1439"/>
        <v>2598.1109999999999</v>
      </c>
      <c r="O147" s="3136">
        <f t="shared" si="1439"/>
        <v>2597.33</v>
      </c>
      <c r="P147" s="3136">
        <f t="shared" si="1439"/>
        <v>0.78100000000000003</v>
      </c>
      <c r="Q147" s="3277">
        <f t="shared" si="1439"/>
        <v>2167.1369111543095</v>
      </c>
      <c r="R147" s="3277">
        <f t="shared" si="1439"/>
        <v>2156.8907527318474</v>
      </c>
      <c r="S147" s="3277">
        <f t="shared" si="1439"/>
        <v>10.246158422461928</v>
      </c>
      <c r="T147" s="3136">
        <f t="shared" si="1439"/>
        <v>981.61400000000003</v>
      </c>
      <c r="U147" s="3136">
        <f t="shared" si="1439"/>
        <v>981.05</v>
      </c>
      <c r="V147" s="3136">
        <f t="shared" si="1439"/>
        <v>0.56399999999999995</v>
      </c>
      <c r="W147" s="3136">
        <f t="shared" si="1439"/>
        <v>800.70999999999992</v>
      </c>
      <c r="X147" s="3136">
        <f t="shared" si="1439"/>
        <v>799.78</v>
      </c>
      <c r="Y147" s="3136">
        <f t="shared" si="1439"/>
        <v>0.93</v>
      </c>
      <c r="Z147" s="3136">
        <f t="shared" si="1439"/>
        <v>679.85</v>
      </c>
      <c r="AA147" s="3136">
        <f t="shared" si="1439"/>
        <v>672.73</v>
      </c>
      <c r="AB147" s="3136">
        <f t="shared" si="1439"/>
        <v>7.12</v>
      </c>
      <c r="AC147" s="3136">
        <f t="shared" si="1439"/>
        <v>2462.174</v>
      </c>
      <c r="AD147" s="3136">
        <f t="shared" si="1439"/>
        <v>2453.56</v>
      </c>
      <c r="AE147" s="3136">
        <f t="shared" si="1439"/>
        <v>8.6140000000000008</v>
      </c>
      <c r="AF147" s="3287">
        <f t="shared" si="1438"/>
        <v>4334.2738223086189</v>
      </c>
      <c r="AG147" s="3287">
        <f t="shared" ref="AG147:AK147" si="1440">SUM(AG18+AG37)</f>
        <v>4313.7815054636949</v>
      </c>
      <c r="AH147" s="3287">
        <f t="shared" si="1440"/>
        <v>20.492316844923856</v>
      </c>
      <c r="AI147" s="3180">
        <f t="shared" si="1440"/>
        <v>5060.2849999999999</v>
      </c>
      <c r="AJ147" s="3180">
        <f t="shared" si="1440"/>
        <v>5050.8900000000003</v>
      </c>
      <c r="AK147" s="3180">
        <f t="shared" si="1440"/>
        <v>9.3950000000000014</v>
      </c>
      <c r="AL147" s="3062">
        <f t="shared" ref="AL147:AN147" si="1441">SUM(AI147-AF147)</f>
        <v>726.01117769138091</v>
      </c>
      <c r="AM147" s="3062">
        <f t="shared" si="1441"/>
        <v>737.10849453630544</v>
      </c>
      <c r="AN147" s="3062">
        <f t="shared" si="1441"/>
        <v>-11.097316844923855</v>
      </c>
      <c r="AO147" s="3277">
        <f t="shared" si="1438"/>
        <v>2294.9979889124138</v>
      </c>
      <c r="AP147" s="3277">
        <f t="shared" ref="AP147:BC147" si="1442">SUM(AP18+AP37)</f>
        <v>2284.1473071430264</v>
      </c>
      <c r="AQ147" s="3277">
        <f t="shared" si="1442"/>
        <v>10.850681769387183</v>
      </c>
      <c r="AR147" s="3136">
        <f t="shared" si="1442"/>
        <v>839.07199999999989</v>
      </c>
      <c r="AS147" s="3136">
        <f t="shared" si="1442"/>
        <v>838.48</v>
      </c>
      <c r="AT147" s="3136">
        <f t="shared" si="1442"/>
        <v>0.59199999999999997</v>
      </c>
      <c r="AU147" s="3136">
        <f t="shared" si="1442"/>
        <v>930.60799999999995</v>
      </c>
      <c r="AV147" s="3136">
        <f t="shared" si="1442"/>
        <v>929.88</v>
      </c>
      <c r="AW147" s="3136">
        <f t="shared" si="1442"/>
        <v>0.72799999999999998</v>
      </c>
      <c r="AX147" s="3136">
        <f t="shared" si="1442"/>
        <v>807.31000000000006</v>
      </c>
      <c r="AY147" s="3136">
        <f t="shared" si="1442"/>
        <v>799.7700000000001</v>
      </c>
      <c r="AZ147" s="3136">
        <f t="shared" si="1442"/>
        <v>7.54</v>
      </c>
      <c r="BA147" s="3136">
        <f t="shared" si="1442"/>
        <v>2576.9899999999998</v>
      </c>
      <c r="BB147" s="3136">
        <f t="shared" si="1442"/>
        <v>2568.13</v>
      </c>
      <c r="BC147" s="3136">
        <f t="shared" si="1442"/>
        <v>8.86</v>
      </c>
      <c r="BD147" s="3287">
        <f t="shared" si="1438"/>
        <v>6629.2718112210332</v>
      </c>
      <c r="BE147" s="3287">
        <f t="shared" ref="BE147:BI147" si="1443">SUM(BE18+BE37)</f>
        <v>6597.9288126067222</v>
      </c>
      <c r="BF147" s="3287">
        <f t="shared" si="1443"/>
        <v>31.342998614311039</v>
      </c>
      <c r="BG147" s="3180">
        <f t="shared" si="1443"/>
        <v>7637.2749999999996</v>
      </c>
      <c r="BH147" s="3180">
        <f t="shared" si="1443"/>
        <v>7619.02</v>
      </c>
      <c r="BI147" s="3180">
        <f t="shared" si="1443"/>
        <v>18.255000000000003</v>
      </c>
      <c r="BJ147" s="3062">
        <f t="shared" ref="BJ147:BJ175" si="1444">SUM(BG147-BD147)</f>
        <v>1008.0031887789664</v>
      </c>
      <c r="BK147" s="3062">
        <f t="shared" ref="BK147:BK175" si="1445">SUM(BH147-BE147)</f>
        <v>1021.0911873932782</v>
      </c>
      <c r="BL147" s="3062">
        <f t="shared" ref="BL147:BL175" si="1446">SUM(BI147-BF147)</f>
        <v>-13.087998614311037</v>
      </c>
      <c r="BM147" s="3277">
        <f t="shared" si="1438"/>
        <v>2294.9979889124138</v>
      </c>
      <c r="BN147" s="3277">
        <f t="shared" ref="BN147:CA147" si="1447">SUM(BN18+BN37)</f>
        <v>2284.1473071430264</v>
      </c>
      <c r="BO147" s="3277">
        <f t="shared" si="1447"/>
        <v>10.850681769387183</v>
      </c>
      <c r="BP147" s="3136">
        <f t="shared" si="1447"/>
        <v>0</v>
      </c>
      <c r="BQ147" s="3136">
        <f t="shared" si="1447"/>
        <v>0</v>
      </c>
      <c r="BR147" s="3136">
        <f t="shared" si="1447"/>
        <v>0</v>
      </c>
      <c r="BS147" s="3136">
        <f t="shared" si="1447"/>
        <v>0</v>
      </c>
      <c r="BT147" s="3136">
        <f t="shared" si="1447"/>
        <v>0</v>
      </c>
      <c r="BU147" s="3136">
        <f t="shared" si="1447"/>
        <v>0</v>
      </c>
      <c r="BV147" s="3136">
        <f t="shared" si="1447"/>
        <v>0</v>
      </c>
      <c r="BW147" s="3136">
        <f t="shared" si="1447"/>
        <v>0</v>
      </c>
      <c r="BX147" s="3136">
        <f t="shared" si="1447"/>
        <v>0</v>
      </c>
      <c r="BY147" s="3136">
        <f t="shared" si="1447"/>
        <v>0</v>
      </c>
      <c r="BZ147" s="3136">
        <f t="shared" si="1447"/>
        <v>0</v>
      </c>
      <c r="CA147" s="3136">
        <f t="shared" si="1447"/>
        <v>0</v>
      </c>
      <c r="CB147" s="3287">
        <f t="shared" si="1438"/>
        <v>8924.2698001334466</v>
      </c>
      <c r="CC147" s="3287">
        <f t="shared" ref="CC147:CG147" si="1448">SUM(CC18+CC37)</f>
        <v>8882.0761197497486</v>
      </c>
      <c r="CD147" s="3287">
        <f t="shared" si="1448"/>
        <v>42.193680383698222</v>
      </c>
      <c r="CE147" s="3180">
        <f t="shared" si="1448"/>
        <v>7637.2749999999996</v>
      </c>
      <c r="CF147" s="3180">
        <f t="shared" si="1448"/>
        <v>7619.02</v>
      </c>
      <c r="CG147" s="3180">
        <f t="shared" si="1448"/>
        <v>18.255000000000003</v>
      </c>
      <c r="CH147" s="3062">
        <f t="shared" ref="CH147:CH175" si="1449">SUM(CE147-CB147)</f>
        <v>-1286.9948001334469</v>
      </c>
      <c r="CI147" s="3062">
        <f t="shared" ref="CI147:CI175" si="1450">SUM(CF147-CC147)</f>
        <v>-1263.0561197497482</v>
      </c>
      <c r="CJ147" s="3062">
        <f t="shared" ref="CJ147:CJ175" si="1451">SUM(CG147-CD147)</f>
        <v>-23.93868038369822</v>
      </c>
    </row>
    <row r="148" spans="1:91" ht="18.75" customHeight="1" x14ac:dyDescent="0.3">
      <c r="A148" s="3072" t="s">
        <v>2</v>
      </c>
      <c r="B148" s="3277">
        <f t="shared" ref="B148:CB148" si="1452">SUM(B19+B39+B76+B91)</f>
        <v>1251.5725</v>
      </c>
      <c r="C148" s="3277">
        <f t="shared" ref="C148:AE148" si="1453">SUM(C19+C39+C76+C91)</f>
        <v>1250.8216529477222</v>
      </c>
      <c r="D148" s="3277">
        <f t="shared" si="1453"/>
        <v>0.75084705227775295</v>
      </c>
      <c r="E148" s="3136">
        <f t="shared" si="1453"/>
        <v>421.52</v>
      </c>
      <c r="F148" s="3136">
        <f t="shared" si="1453"/>
        <v>421.52</v>
      </c>
      <c r="G148" s="3136">
        <f t="shared" si="1453"/>
        <v>0</v>
      </c>
      <c r="H148" s="3136">
        <f t="shared" si="1453"/>
        <v>428.88</v>
      </c>
      <c r="I148" s="3136">
        <f t="shared" si="1453"/>
        <v>428.88</v>
      </c>
      <c r="J148" s="3136">
        <f t="shared" si="1453"/>
        <v>0</v>
      </c>
      <c r="K148" s="3136">
        <f t="shared" si="1453"/>
        <v>428.75</v>
      </c>
      <c r="L148" s="3136">
        <f t="shared" si="1453"/>
        <v>428.75</v>
      </c>
      <c r="M148" s="3136">
        <f t="shared" si="1453"/>
        <v>0</v>
      </c>
      <c r="N148" s="3136">
        <f t="shared" si="1453"/>
        <v>1279.1500000000001</v>
      </c>
      <c r="O148" s="3136">
        <f t="shared" si="1453"/>
        <v>1279.1500000000001</v>
      </c>
      <c r="P148" s="3136">
        <f t="shared" si="1453"/>
        <v>0</v>
      </c>
      <c r="Q148" s="3277">
        <f t="shared" si="1453"/>
        <v>1251.5725</v>
      </c>
      <c r="R148" s="3277">
        <f t="shared" si="1453"/>
        <v>1250.8216529477222</v>
      </c>
      <c r="S148" s="3277">
        <f t="shared" si="1453"/>
        <v>0.75084705227775295</v>
      </c>
      <c r="T148" s="3136">
        <f t="shared" si="1453"/>
        <v>423.53</v>
      </c>
      <c r="U148" s="3136">
        <f t="shared" si="1453"/>
        <v>423.53</v>
      </c>
      <c r="V148" s="3136">
        <f t="shared" si="1453"/>
        <v>0</v>
      </c>
      <c r="W148" s="3136">
        <f t="shared" si="1453"/>
        <v>424.56</v>
      </c>
      <c r="X148" s="3136">
        <f t="shared" si="1453"/>
        <v>424.56</v>
      </c>
      <c r="Y148" s="3136">
        <f t="shared" si="1453"/>
        <v>0</v>
      </c>
      <c r="Z148" s="3136">
        <f t="shared" si="1453"/>
        <v>428.02</v>
      </c>
      <c r="AA148" s="3136">
        <f t="shared" si="1453"/>
        <v>428.02</v>
      </c>
      <c r="AB148" s="3136">
        <f t="shared" si="1453"/>
        <v>0</v>
      </c>
      <c r="AC148" s="3136">
        <f t="shared" si="1453"/>
        <v>1276.1100000000001</v>
      </c>
      <c r="AD148" s="3136">
        <f t="shared" si="1453"/>
        <v>1276.1100000000001</v>
      </c>
      <c r="AE148" s="3136">
        <f t="shared" si="1453"/>
        <v>0</v>
      </c>
      <c r="AF148" s="3287">
        <f t="shared" si="1452"/>
        <v>2503.145</v>
      </c>
      <c r="AG148" s="3287">
        <f t="shared" ref="AG148:AK148" si="1454">SUM(AG19+AG39+AG76+AG91)</f>
        <v>2501.6433058954444</v>
      </c>
      <c r="AH148" s="3287">
        <f t="shared" si="1454"/>
        <v>1.5016941045555059</v>
      </c>
      <c r="AI148" s="3180">
        <f t="shared" si="1454"/>
        <v>2555.2599999999998</v>
      </c>
      <c r="AJ148" s="3180">
        <f t="shared" si="1454"/>
        <v>2555.2599999999998</v>
      </c>
      <c r="AK148" s="3180">
        <f t="shared" si="1454"/>
        <v>0</v>
      </c>
      <c r="AL148" s="3062">
        <f t="shared" ref="AL148:AL172" si="1455">SUM(AI148-AF148)</f>
        <v>52.114999999999782</v>
      </c>
      <c r="AM148" s="3062">
        <f t="shared" ref="AM148:AM172" si="1456">SUM(AJ148-AG148)</f>
        <v>53.616694104555336</v>
      </c>
      <c r="AN148" s="3062">
        <f t="shared" ref="AN148:AN172" si="1457">SUM(AK148-AH148)</f>
        <v>-1.5016941045555059</v>
      </c>
      <c r="AO148" s="3277">
        <f t="shared" si="1452"/>
        <v>1251.5725</v>
      </c>
      <c r="AP148" s="3277">
        <f t="shared" ref="AP148:BC148" si="1458">SUM(AP19+AP39+AP76+AP91)</f>
        <v>1250.8216529477222</v>
      </c>
      <c r="AQ148" s="3277">
        <f t="shared" si="1458"/>
        <v>0.75084705227775295</v>
      </c>
      <c r="AR148" s="3136">
        <f t="shared" si="1458"/>
        <v>428.19000000000005</v>
      </c>
      <c r="AS148" s="3136">
        <f t="shared" si="1458"/>
        <v>428.19000000000005</v>
      </c>
      <c r="AT148" s="3136">
        <f t="shared" si="1458"/>
        <v>0</v>
      </c>
      <c r="AU148" s="3136">
        <f t="shared" si="1458"/>
        <v>424.87</v>
      </c>
      <c r="AV148" s="3136">
        <f t="shared" si="1458"/>
        <v>424.87</v>
      </c>
      <c r="AW148" s="3136">
        <f t="shared" si="1458"/>
        <v>0</v>
      </c>
      <c r="AX148" s="3136">
        <f t="shared" si="1458"/>
        <v>435.71000000000004</v>
      </c>
      <c r="AY148" s="3136">
        <f t="shared" si="1458"/>
        <v>435.71000000000004</v>
      </c>
      <c r="AZ148" s="3136">
        <f t="shared" si="1458"/>
        <v>0</v>
      </c>
      <c r="BA148" s="3136">
        <f t="shared" si="1458"/>
        <v>1288.77</v>
      </c>
      <c r="BB148" s="3136">
        <f t="shared" si="1458"/>
        <v>1288.77</v>
      </c>
      <c r="BC148" s="3136">
        <f t="shared" si="1458"/>
        <v>0</v>
      </c>
      <c r="BD148" s="3287">
        <f t="shared" si="1452"/>
        <v>3754.7174999999997</v>
      </c>
      <c r="BE148" s="3287">
        <f t="shared" ref="BE148:BI148" si="1459">SUM(BE19+BE39+BE76+BE91)</f>
        <v>3752.4649588431666</v>
      </c>
      <c r="BF148" s="3287">
        <f t="shared" si="1459"/>
        <v>2.2525411568332587</v>
      </c>
      <c r="BG148" s="3180">
        <f t="shared" si="1459"/>
        <v>3844.03</v>
      </c>
      <c r="BH148" s="3180">
        <f t="shared" si="1459"/>
        <v>3844.03</v>
      </c>
      <c r="BI148" s="3180">
        <f t="shared" si="1459"/>
        <v>0</v>
      </c>
      <c r="BJ148" s="3062">
        <f t="shared" si="1444"/>
        <v>89.312500000000455</v>
      </c>
      <c r="BK148" s="3062">
        <f t="shared" si="1445"/>
        <v>91.565041156833558</v>
      </c>
      <c r="BL148" s="3062">
        <f t="shared" si="1446"/>
        <v>-2.2525411568332587</v>
      </c>
      <c r="BM148" s="3277">
        <f t="shared" si="1452"/>
        <v>1251.5725</v>
      </c>
      <c r="BN148" s="3277">
        <f t="shared" ref="BN148:CA148" si="1460">SUM(BN19+BN39+BN76+BN91)</f>
        <v>1250.8216529477222</v>
      </c>
      <c r="BO148" s="3277">
        <f t="shared" si="1460"/>
        <v>0.75084705227775295</v>
      </c>
      <c r="BP148" s="3136">
        <f t="shared" si="1460"/>
        <v>0</v>
      </c>
      <c r="BQ148" s="3136">
        <f t="shared" si="1460"/>
        <v>0</v>
      </c>
      <c r="BR148" s="3136">
        <f t="shared" si="1460"/>
        <v>0</v>
      </c>
      <c r="BS148" s="3136">
        <f t="shared" si="1460"/>
        <v>0</v>
      </c>
      <c r="BT148" s="3136">
        <f t="shared" si="1460"/>
        <v>0</v>
      </c>
      <c r="BU148" s="3136">
        <f t="shared" si="1460"/>
        <v>0</v>
      </c>
      <c r="BV148" s="3136">
        <f t="shared" si="1460"/>
        <v>0</v>
      </c>
      <c r="BW148" s="3136">
        <f t="shared" si="1460"/>
        <v>0</v>
      </c>
      <c r="BX148" s="3136">
        <f t="shared" si="1460"/>
        <v>0</v>
      </c>
      <c r="BY148" s="3136">
        <f t="shared" si="1460"/>
        <v>0</v>
      </c>
      <c r="BZ148" s="3136">
        <f t="shared" si="1460"/>
        <v>0</v>
      </c>
      <c r="CA148" s="3136">
        <f t="shared" si="1460"/>
        <v>0</v>
      </c>
      <c r="CB148" s="3287">
        <f t="shared" si="1452"/>
        <v>5006.29</v>
      </c>
      <c r="CC148" s="3287">
        <f t="shared" ref="CC148:CG148" si="1461">SUM(CC19+CC39+CC76+CC91)</f>
        <v>5003.2866117908889</v>
      </c>
      <c r="CD148" s="3287">
        <f t="shared" si="1461"/>
        <v>3.0033882091110118</v>
      </c>
      <c r="CE148" s="3180">
        <f t="shared" si="1461"/>
        <v>3844.03</v>
      </c>
      <c r="CF148" s="3180">
        <f t="shared" si="1461"/>
        <v>3844.03</v>
      </c>
      <c r="CG148" s="3180">
        <f t="shared" si="1461"/>
        <v>0</v>
      </c>
      <c r="CH148" s="3062">
        <f t="shared" si="1449"/>
        <v>-1162.2599999999998</v>
      </c>
      <c r="CI148" s="3062">
        <f t="shared" si="1450"/>
        <v>-1159.2566117908887</v>
      </c>
      <c r="CJ148" s="3062">
        <f t="shared" si="1451"/>
        <v>-3.0033882091110118</v>
      </c>
    </row>
    <row r="149" spans="1:91" ht="18.75" customHeight="1" x14ac:dyDescent="0.3">
      <c r="A149" s="3072" t="s">
        <v>216</v>
      </c>
      <c r="B149" s="3277">
        <f t="shared" ref="B149:CB149" si="1462">SUM(B20+B40+B92)</f>
        <v>0</v>
      </c>
      <c r="C149" s="3277">
        <f t="shared" ref="C149:AE149" si="1463">SUM(C20+C40+C92)</f>
        <v>0</v>
      </c>
      <c r="D149" s="3277">
        <f t="shared" si="1463"/>
        <v>0</v>
      </c>
      <c r="E149" s="3136">
        <f t="shared" si="1463"/>
        <v>0</v>
      </c>
      <c r="F149" s="3136">
        <f t="shared" si="1463"/>
        <v>0</v>
      </c>
      <c r="G149" s="3136">
        <f t="shared" si="1463"/>
        <v>0</v>
      </c>
      <c r="H149" s="3136">
        <f t="shared" si="1463"/>
        <v>0</v>
      </c>
      <c r="I149" s="3136">
        <f t="shared" si="1463"/>
        <v>0</v>
      </c>
      <c r="J149" s="3136">
        <f t="shared" si="1463"/>
        <v>0</v>
      </c>
      <c r="K149" s="3136">
        <f t="shared" si="1463"/>
        <v>0</v>
      </c>
      <c r="L149" s="3136">
        <f t="shared" si="1463"/>
        <v>0</v>
      </c>
      <c r="M149" s="3136">
        <f t="shared" si="1463"/>
        <v>0</v>
      </c>
      <c r="N149" s="3136">
        <f t="shared" si="1463"/>
        <v>0</v>
      </c>
      <c r="O149" s="3136">
        <f t="shared" si="1463"/>
        <v>0</v>
      </c>
      <c r="P149" s="3136">
        <f t="shared" si="1463"/>
        <v>0</v>
      </c>
      <c r="Q149" s="3277">
        <f t="shared" si="1463"/>
        <v>0</v>
      </c>
      <c r="R149" s="3277">
        <f t="shared" si="1463"/>
        <v>0</v>
      </c>
      <c r="S149" s="3277">
        <f t="shared" si="1463"/>
        <v>0</v>
      </c>
      <c r="T149" s="3136">
        <f t="shared" si="1463"/>
        <v>0</v>
      </c>
      <c r="U149" s="3136">
        <f t="shared" si="1463"/>
        <v>0</v>
      </c>
      <c r="V149" s="3136">
        <f t="shared" si="1463"/>
        <v>0</v>
      </c>
      <c r="W149" s="3136">
        <f t="shared" si="1463"/>
        <v>0</v>
      </c>
      <c r="X149" s="3136">
        <f t="shared" si="1463"/>
        <v>0</v>
      </c>
      <c r="Y149" s="3136">
        <f t="shared" si="1463"/>
        <v>0</v>
      </c>
      <c r="Z149" s="3136">
        <f t="shared" si="1463"/>
        <v>0</v>
      </c>
      <c r="AA149" s="3136">
        <f t="shared" si="1463"/>
        <v>0</v>
      </c>
      <c r="AB149" s="3136">
        <f t="shared" si="1463"/>
        <v>0</v>
      </c>
      <c r="AC149" s="3136">
        <f t="shared" si="1463"/>
        <v>0</v>
      </c>
      <c r="AD149" s="3136">
        <f t="shared" si="1463"/>
        <v>0</v>
      </c>
      <c r="AE149" s="3136">
        <f t="shared" si="1463"/>
        <v>0</v>
      </c>
      <c r="AF149" s="3287">
        <f t="shared" si="1462"/>
        <v>0</v>
      </c>
      <c r="AG149" s="3287">
        <f t="shared" ref="AG149:AK149" si="1464">SUM(AG20+AG40+AG92)</f>
        <v>0</v>
      </c>
      <c r="AH149" s="3287">
        <f t="shared" si="1464"/>
        <v>0</v>
      </c>
      <c r="AI149" s="3180">
        <f t="shared" si="1464"/>
        <v>0</v>
      </c>
      <c r="AJ149" s="3180">
        <f t="shared" si="1464"/>
        <v>0</v>
      </c>
      <c r="AK149" s="3180">
        <f t="shared" si="1464"/>
        <v>0</v>
      </c>
      <c r="AL149" s="3062">
        <f t="shared" si="1455"/>
        <v>0</v>
      </c>
      <c r="AM149" s="3062">
        <f t="shared" si="1456"/>
        <v>0</v>
      </c>
      <c r="AN149" s="3062">
        <f t="shared" si="1457"/>
        <v>0</v>
      </c>
      <c r="AO149" s="3277">
        <f t="shared" si="1462"/>
        <v>0</v>
      </c>
      <c r="AP149" s="3277">
        <f t="shared" ref="AP149:BC149" si="1465">SUM(AP20+AP40+AP92)</f>
        <v>0</v>
      </c>
      <c r="AQ149" s="3277">
        <f t="shared" si="1465"/>
        <v>0</v>
      </c>
      <c r="AR149" s="3136">
        <f t="shared" si="1465"/>
        <v>0</v>
      </c>
      <c r="AS149" s="3136">
        <f t="shared" si="1465"/>
        <v>0</v>
      </c>
      <c r="AT149" s="3136">
        <f t="shared" si="1465"/>
        <v>0</v>
      </c>
      <c r="AU149" s="3136">
        <f t="shared" si="1465"/>
        <v>0</v>
      </c>
      <c r="AV149" s="3136">
        <f t="shared" si="1465"/>
        <v>0</v>
      </c>
      <c r="AW149" s="3136">
        <f t="shared" si="1465"/>
        <v>0</v>
      </c>
      <c r="AX149" s="3136">
        <f t="shared" si="1465"/>
        <v>0</v>
      </c>
      <c r="AY149" s="3136">
        <f t="shared" si="1465"/>
        <v>0</v>
      </c>
      <c r="AZ149" s="3136">
        <f t="shared" si="1465"/>
        <v>0</v>
      </c>
      <c r="BA149" s="3136">
        <f t="shared" si="1465"/>
        <v>0</v>
      </c>
      <c r="BB149" s="3136">
        <f t="shared" si="1465"/>
        <v>0</v>
      </c>
      <c r="BC149" s="3136">
        <f t="shared" si="1465"/>
        <v>0</v>
      </c>
      <c r="BD149" s="3287">
        <f t="shared" si="1462"/>
        <v>0</v>
      </c>
      <c r="BE149" s="3287">
        <f t="shared" ref="BE149:BI149" si="1466">SUM(BE20+BE40+BE92)</f>
        <v>0</v>
      </c>
      <c r="BF149" s="3287">
        <f t="shared" si="1466"/>
        <v>0</v>
      </c>
      <c r="BG149" s="3180">
        <f t="shared" si="1466"/>
        <v>0</v>
      </c>
      <c r="BH149" s="3180">
        <f t="shared" si="1466"/>
        <v>0</v>
      </c>
      <c r="BI149" s="3180">
        <f t="shared" si="1466"/>
        <v>0</v>
      </c>
      <c r="BJ149" s="3062">
        <f t="shared" si="1444"/>
        <v>0</v>
      </c>
      <c r="BK149" s="3062">
        <f t="shared" si="1445"/>
        <v>0</v>
      </c>
      <c r="BL149" s="3062">
        <f t="shared" si="1446"/>
        <v>0</v>
      </c>
      <c r="BM149" s="3277">
        <f t="shared" si="1462"/>
        <v>0</v>
      </c>
      <c r="BN149" s="3277">
        <f t="shared" ref="BN149:CA149" si="1467">SUM(BN20+BN40+BN92)</f>
        <v>0</v>
      </c>
      <c r="BO149" s="3277">
        <f t="shared" si="1467"/>
        <v>0</v>
      </c>
      <c r="BP149" s="3136">
        <f t="shared" si="1467"/>
        <v>0</v>
      </c>
      <c r="BQ149" s="3136">
        <f t="shared" si="1467"/>
        <v>0</v>
      </c>
      <c r="BR149" s="3136">
        <f t="shared" si="1467"/>
        <v>0</v>
      </c>
      <c r="BS149" s="3136">
        <f t="shared" si="1467"/>
        <v>0</v>
      </c>
      <c r="BT149" s="3136">
        <f t="shared" si="1467"/>
        <v>0</v>
      </c>
      <c r="BU149" s="3136">
        <f t="shared" si="1467"/>
        <v>0</v>
      </c>
      <c r="BV149" s="3136">
        <f t="shared" si="1467"/>
        <v>0</v>
      </c>
      <c r="BW149" s="3136">
        <f t="shared" si="1467"/>
        <v>0</v>
      </c>
      <c r="BX149" s="3136">
        <f t="shared" si="1467"/>
        <v>0</v>
      </c>
      <c r="BY149" s="3136">
        <f t="shared" si="1467"/>
        <v>0</v>
      </c>
      <c r="BZ149" s="3136">
        <f t="shared" si="1467"/>
        <v>0</v>
      </c>
      <c r="CA149" s="3136">
        <f t="shared" si="1467"/>
        <v>0</v>
      </c>
      <c r="CB149" s="3287">
        <f t="shared" si="1462"/>
        <v>0</v>
      </c>
      <c r="CC149" s="3287">
        <f t="shared" ref="CC149:CG149" si="1468">SUM(CC20+CC40+CC92)</f>
        <v>0</v>
      </c>
      <c r="CD149" s="3287">
        <f t="shared" si="1468"/>
        <v>0</v>
      </c>
      <c r="CE149" s="3180">
        <f t="shared" si="1468"/>
        <v>0</v>
      </c>
      <c r="CF149" s="3180">
        <f t="shared" si="1468"/>
        <v>0</v>
      </c>
      <c r="CG149" s="3180">
        <f t="shared" si="1468"/>
        <v>0</v>
      </c>
      <c r="CH149" s="3062">
        <f t="shared" si="1449"/>
        <v>0</v>
      </c>
      <c r="CI149" s="3062">
        <f t="shared" si="1450"/>
        <v>0</v>
      </c>
      <c r="CJ149" s="3062">
        <f t="shared" si="1451"/>
        <v>0</v>
      </c>
    </row>
    <row r="150" spans="1:91" ht="18.75" customHeight="1" x14ac:dyDescent="0.3">
      <c r="A150" s="3072" t="s">
        <v>8</v>
      </c>
      <c r="B150" s="3277">
        <f>SUM(B38)</f>
        <v>277.63956783514635</v>
      </c>
      <c r="C150" s="3277">
        <f t="shared" ref="C150:AE150" si="1469">SUM(C38)</f>
        <v>277.63956783514635</v>
      </c>
      <c r="D150" s="3277">
        <f t="shared" si="1469"/>
        <v>0</v>
      </c>
      <c r="E150" s="3136">
        <f t="shared" si="1469"/>
        <v>27.07</v>
      </c>
      <c r="F150" s="3136">
        <f t="shared" si="1469"/>
        <v>27.07</v>
      </c>
      <c r="G150" s="3136">
        <f t="shared" si="1469"/>
        <v>0</v>
      </c>
      <c r="H150" s="3136">
        <f t="shared" si="1469"/>
        <v>9.61</v>
      </c>
      <c r="I150" s="3136">
        <f t="shared" si="1469"/>
        <v>9.61</v>
      </c>
      <c r="J150" s="3136">
        <f t="shared" si="1469"/>
        <v>0</v>
      </c>
      <c r="K150" s="3136">
        <f t="shared" si="1469"/>
        <v>72.930000000000007</v>
      </c>
      <c r="L150" s="3136">
        <f t="shared" si="1469"/>
        <v>72.930000000000007</v>
      </c>
      <c r="M150" s="3136">
        <f t="shared" si="1469"/>
        <v>0</v>
      </c>
      <c r="N150" s="3136">
        <f t="shared" si="1469"/>
        <v>109.61000000000001</v>
      </c>
      <c r="O150" s="3136">
        <f t="shared" si="1469"/>
        <v>109.61000000000001</v>
      </c>
      <c r="P150" s="3136">
        <f t="shared" si="1469"/>
        <v>0</v>
      </c>
      <c r="Q150" s="3277">
        <f t="shared" si="1469"/>
        <v>277.63956783514635</v>
      </c>
      <c r="R150" s="3277">
        <f t="shared" si="1469"/>
        <v>277.63956783514635</v>
      </c>
      <c r="S150" s="3277">
        <f t="shared" si="1469"/>
        <v>0</v>
      </c>
      <c r="T150" s="3136">
        <f t="shared" si="1469"/>
        <v>48.34</v>
      </c>
      <c r="U150" s="3136">
        <f t="shared" si="1469"/>
        <v>48.34</v>
      </c>
      <c r="V150" s="3136">
        <f t="shared" si="1469"/>
        <v>0</v>
      </c>
      <c r="W150" s="3136">
        <f t="shared" si="1469"/>
        <v>67.680000000000007</v>
      </c>
      <c r="X150" s="3136">
        <f t="shared" si="1469"/>
        <v>67.680000000000007</v>
      </c>
      <c r="Y150" s="3136">
        <f t="shared" si="1469"/>
        <v>0</v>
      </c>
      <c r="Z150" s="3136">
        <f t="shared" si="1469"/>
        <v>67.989999999999995</v>
      </c>
      <c r="AA150" s="3136">
        <f t="shared" si="1469"/>
        <v>67.989999999999995</v>
      </c>
      <c r="AB150" s="3136">
        <f t="shared" si="1469"/>
        <v>0</v>
      </c>
      <c r="AC150" s="3136">
        <f t="shared" si="1469"/>
        <v>184.01</v>
      </c>
      <c r="AD150" s="3136">
        <f t="shared" si="1469"/>
        <v>184.01</v>
      </c>
      <c r="AE150" s="3136">
        <f t="shared" si="1469"/>
        <v>0</v>
      </c>
      <c r="AF150" s="3287">
        <f t="shared" ref="AF150:CB150" si="1470">SUM(AF38)</f>
        <v>555.2791356702927</v>
      </c>
      <c r="AG150" s="3287">
        <f t="shared" ref="AG150:AK150" si="1471">SUM(AG38)</f>
        <v>555.2791356702927</v>
      </c>
      <c r="AH150" s="3287">
        <f t="shared" si="1471"/>
        <v>0</v>
      </c>
      <c r="AI150" s="3180">
        <f t="shared" si="1471"/>
        <v>293.62</v>
      </c>
      <c r="AJ150" s="3180">
        <f t="shared" si="1471"/>
        <v>293.62</v>
      </c>
      <c r="AK150" s="3180">
        <f t="shared" si="1471"/>
        <v>0</v>
      </c>
      <c r="AL150" s="3062">
        <f t="shared" si="1455"/>
        <v>-261.6591356702927</v>
      </c>
      <c r="AM150" s="3062">
        <f t="shared" si="1456"/>
        <v>-261.6591356702927</v>
      </c>
      <c r="AN150" s="3062">
        <f t="shared" si="1457"/>
        <v>0</v>
      </c>
      <c r="AO150" s="3277">
        <f t="shared" si="1470"/>
        <v>277.63956783514635</v>
      </c>
      <c r="AP150" s="3277">
        <f t="shared" ref="AP150:BC150" si="1472">SUM(AP38)</f>
        <v>277.63956783514635</v>
      </c>
      <c r="AQ150" s="3277">
        <f t="shared" si="1472"/>
        <v>0</v>
      </c>
      <c r="AR150" s="3136">
        <f t="shared" si="1472"/>
        <v>27.85</v>
      </c>
      <c r="AS150" s="3136">
        <f t="shared" si="1472"/>
        <v>27.85</v>
      </c>
      <c r="AT150" s="3136">
        <f t="shared" si="1472"/>
        <v>0</v>
      </c>
      <c r="AU150" s="3136">
        <f t="shared" si="1472"/>
        <v>63.46</v>
      </c>
      <c r="AV150" s="3136">
        <f t="shared" si="1472"/>
        <v>63.46</v>
      </c>
      <c r="AW150" s="3136">
        <f t="shared" si="1472"/>
        <v>0</v>
      </c>
      <c r="AX150" s="3136">
        <f t="shared" si="1472"/>
        <v>104.67</v>
      </c>
      <c r="AY150" s="3136">
        <f t="shared" si="1472"/>
        <v>104.67</v>
      </c>
      <c r="AZ150" s="3136">
        <f t="shared" si="1472"/>
        <v>0</v>
      </c>
      <c r="BA150" s="3136">
        <f t="shared" si="1472"/>
        <v>195.98000000000002</v>
      </c>
      <c r="BB150" s="3136">
        <f t="shared" si="1472"/>
        <v>195.98000000000002</v>
      </c>
      <c r="BC150" s="3136">
        <f t="shared" si="1472"/>
        <v>0</v>
      </c>
      <c r="BD150" s="3287">
        <f t="shared" si="1470"/>
        <v>832.918703505439</v>
      </c>
      <c r="BE150" s="3287">
        <f t="shared" ref="BE150:BI150" si="1473">SUM(BE38)</f>
        <v>832.918703505439</v>
      </c>
      <c r="BF150" s="3287">
        <f t="shared" si="1473"/>
        <v>0</v>
      </c>
      <c r="BG150" s="3180">
        <f t="shared" si="1473"/>
        <v>489.6</v>
      </c>
      <c r="BH150" s="3180">
        <f t="shared" si="1473"/>
        <v>489.6</v>
      </c>
      <c r="BI150" s="3180">
        <f t="shared" si="1473"/>
        <v>0</v>
      </c>
      <c r="BJ150" s="3062">
        <f t="shared" si="1444"/>
        <v>-343.31870350543898</v>
      </c>
      <c r="BK150" s="3062">
        <f t="shared" si="1445"/>
        <v>-343.31870350543898</v>
      </c>
      <c r="BL150" s="3062">
        <f t="shared" si="1446"/>
        <v>0</v>
      </c>
      <c r="BM150" s="3277">
        <f t="shared" si="1470"/>
        <v>277.63956783514635</v>
      </c>
      <c r="BN150" s="3277">
        <f t="shared" ref="BN150:CA150" si="1474">SUM(BN38)</f>
        <v>277.63956783514635</v>
      </c>
      <c r="BO150" s="3277">
        <f t="shared" si="1474"/>
        <v>0</v>
      </c>
      <c r="BP150" s="3136">
        <f t="shared" si="1474"/>
        <v>0</v>
      </c>
      <c r="BQ150" s="3136">
        <f t="shared" si="1474"/>
        <v>0</v>
      </c>
      <c r="BR150" s="3136">
        <f t="shared" si="1474"/>
        <v>0</v>
      </c>
      <c r="BS150" s="3136">
        <f t="shared" si="1474"/>
        <v>0</v>
      </c>
      <c r="BT150" s="3136">
        <f t="shared" si="1474"/>
        <v>0</v>
      </c>
      <c r="BU150" s="3136">
        <f t="shared" si="1474"/>
        <v>0</v>
      </c>
      <c r="BV150" s="3136">
        <f t="shared" si="1474"/>
        <v>0</v>
      </c>
      <c r="BW150" s="3136">
        <f t="shared" si="1474"/>
        <v>0</v>
      </c>
      <c r="BX150" s="3136">
        <f t="shared" si="1474"/>
        <v>0</v>
      </c>
      <c r="BY150" s="3136">
        <f t="shared" si="1474"/>
        <v>0</v>
      </c>
      <c r="BZ150" s="3136">
        <f t="shared" si="1474"/>
        <v>0</v>
      </c>
      <c r="CA150" s="3136">
        <f t="shared" si="1474"/>
        <v>0</v>
      </c>
      <c r="CB150" s="3287">
        <f t="shared" si="1470"/>
        <v>1110.5582713405854</v>
      </c>
      <c r="CC150" s="3287">
        <f t="shared" ref="CC150:CG150" si="1475">SUM(CC38)</f>
        <v>1110.5582713405854</v>
      </c>
      <c r="CD150" s="3287">
        <f t="shared" si="1475"/>
        <v>0</v>
      </c>
      <c r="CE150" s="3180">
        <f t="shared" si="1475"/>
        <v>489.6</v>
      </c>
      <c r="CF150" s="3180">
        <f t="shared" si="1475"/>
        <v>489.6</v>
      </c>
      <c r="CG150" s="3180">
        <f t="shared" si="1475"/>
        <v>0</v>
      </c>
      <c r="CH150" s="3062">
        <f t="shared" si="1449"/>
        <v>-620.95827134058538</v>
      </c>
      <c r="CI150" s="3062">
        <f t="shared" si="1450"/>
        <v>-620.95827134058538</v>
      </c>
      <c r="CJ150" s="3062">
        <f t="shared" si="1451"/>
        <v>0</v>
      </c>
    </row>
    <row r="151" spans="1:91" ht="18.75" customHeight="1" x14ac:dyDescent="0.3">
      <c r="A151" s="3072" t="s">
        <v>3</v>
      </c>
      <c r="B151" s="3277">
        <f>SUM(B21+B41+B72+B93)</f>
        <v>444.97257999999999</v>
      </c>
      <c r="C151" s="3277">
        <f t="shared" ref="C151:AE151" si="1476">SUM(C21+C41+C72+C93)</f>
        <v>444.97257999999999</v>
      </c>
      <c r="D151" s="3277">
        <f t="shared" si="1476"/>
        <v>0</v>
      </c>
      <c r="E151" s="3136">
        <f t="shared" si="1476"/>
        <v>31.42</v>
      </c>
      <c r="F151" s="3136">
        <f t="shared" si="1476"/>
        <v>31.42</v>
      </c>
      <c r="G151" s="3136">
        <f t="shared" si="1476"/>
        <v>0</v>
      </c>
      <c r="H151" s="3136">
        <f t="shared" si="1476"/>
        <v>135.74</v>
      </c>
      <c r="I151" s="3136">
        <f t="shared" si="1476"/>
        <v>135.74</v>
      </c>
      <c r="J151" s="3136">
        <f t="shared" si="1476"/>
        <v>0</v>
      </c>
      <c r="K151" s="3136">
        <f t="shared" si="1476"/>
        <v>244.66</v>
      </c>
      <c r="L151" s="3136">
        <f t="shared" si="1476"/>
        <v>244.66</v>
      </c>
      <c r="M151" s="3136">
        <f t="shared" si="1476"/>
        <v>0</v>
      </c>
      <c r="N151" s="3136">
        <f t="shared" si="1476"/>
        <v>411.81999999999994</v>
      </c>
      <c r="O151" s="3136">
        <f t="shared" si="1476"/>
        <v>411.81999999999994</v>
      </c>
      <c r="P151" s="3136">
        <f t="shared" si="1476"/>
        <v>0</v>
      </c>
      <c r="Q151" s="3277">
        <f t="shared" si="1476"/>
        <v>444.97257999999999</v>
      </c>
      <c r="R151" s="3277">
        <f t="shared" si="1476"/>
        <v>444.97257999999999</v>
      </c>
      <c r="S151" s="3277">
        <f t="shared" si="1476"/>
        <v>0</v>
      </c>
      <c r="T151" s="3136">
        <f t="shared" si="1476"/>
        <v>236.72</v>
      </c>
      <c r="U151" s="3136">
        <f t="shared" si="1476"/>
        <v>236.72</v>
      </c>
      <c r="V151" s="3136">
        <f t="shared" si="1476"/>
        <v>0</v>
      </c>
      <c r="W151" s="3136">
        <f t="shared" si="1476"/>
        <v>535.29999999999995</v>
      </c>
      <c r="X151" s="3136">
        <f t="shared" si="1476"/>
        <v>535.29999999999995</v>
      </c>
      <c r="Y151" s="3136">
        <f t="shared" si="1476"/>
        <v>0</v>
      </c>
      <c r="Z151" s="3136">
        <f t="shared" si="1476"/>
        <v>240.62000000000003</v>
      </c>
      <c r="AA151" s="3136">
        <f t="shared" si="1476"/>
        <v>240.62000000000003</v>
      </c>
      <c r="AB151" s="3136">
        <f t="shared" si="1476"/>
        <v>0</v>
      </c>
      <c r="AC151" s="3136">
        <f t="shared" si="1476"/>
        <v>1012.6399999999999</v>
      </c>
      <c r="AD151" s="3136">
        <f t="shared" si="1476"/>
        <v>1012.6399999999999</v>
      </c>
      <c r="AE151" s="3136">
        <f t="shared" si="1476"/>
        <v>0</v>
      </c>
      <c r="AF151" s="3287">
        <f>SUM(AF21+AF41+AF72+AF93)</f>
        <v>889.94515999999999</v>
      </c>
      <c r="AG151" s="3287">
        <f t="shared" ref="AG151:AK151" si="1477">SUM(AG21+AG41+AG72+AG93)</f>
        <v>889.94515999999999</v>
      </c>
      <c r="AH151" s="3287">
        <f t="shared" si="1477"/>
        <v>0</v>
      </c>
      <c r="AI151" s="3180">
        <f t="shared" si="1477"/>
        <v>1424.46</v>
      </c>
      <c r="AJ151" s="3180">
        <f t="shared" si="1477"/>
        <v>1424.46</v>
      </c>
      <c r="AK151" s="3180">
        <f t="shared" si="1477"/>
        <v>0</v>
      </c>
      <c r="AL151" s="3062">
        <f t="shared" si="1455"/>
        <v>534.51484000000005</v>
      </c>
      <c r="AM151" s="3062">
        <f t="shared" si="1456"/>
        <v>534.51484000000005</v>
      </c>
      <c r="AN151" s="3062">
        <f t="shared" si="1457"/>
        <v>0</v>
      </c>
      <c r="AO151" s="3277">
        <f>SUM(AO21+AO41+AO72+AO93)</f>
        <v>444.97257999999999</v>
      </c>
      <c r="AP151" s="3277">
        <f t="shared" ref="AP151:BC151" si="1478">SUM(AP21+AP41+AP72+AP93)</f>
        <v>444.97257999999999</v>
      </c>
      <c r="AQ151" s="3277">
        <f t="shared" si="1478"/>
        <v>0</v>
      </c>
      <c r="AR151" s="3136">
        <f t="shared" si="1478"/>
        <v>285.88</v>
      </c>
      <c r="AS151" s="3136">
        <f t="shared" si="1478"/>
        <v>285.88</v>
      </c>
      <c r="AT151" s="3136">
        <f t="shared" si="1478"/>
        <v>0</v>
      </c>
      <c r="AU151" s="3136">
        <f t="shared" si="1478"/>
        <v>203.42</v>
      </c>
      <c r="AV151" s="3136">
        <f t="shared" si="1478"/>
        <v>203.42</v>
      </c>
      <c r="AW151" s="3136">
        <f t="shared" si="1478"/>
        <v>0</v>
      </c>
      <c r="AX151" s="3136">
        <f t="shared" si="1478"/>
        <v>666.28</v>
      </c>
      <c r="AY151" s="3136">
        <f t="shared" si="1478"/>
        <v>666.28</v>
      </c>
      <c r="AZ151" s="3136">
        <f t="shared" si="1478"/>
        <v>0</v>
      </c>
      <c r="BA151" s="3136">
        <f t="shared" si="1478"/>
        <v>1155.58</v>
      </c>
      <c r="BB151" s="3136">
        <f t="shared" si="1478"/>
        <v>1155.58</v>
      </c>
      <c r="BC151" s="3136">
        <f t="shared" si="1478"/>
        <v>0</v>
      </c>
      <c r="BD151" s="3287">
        <f>SUM(BD21+BD41+BD72+BD93)</f>
        <v>1334.9177399999999</v>
      </c>
      <c r="BE151" s="3287">
        <f t="shared" ref="BE151:BI151" si="1479">SUM(BE21+BE41+BE72+BE93)</f>
        <v>1334.9177399999999</v>
      </c>
      <c r="BF151" s="3287">
        <f t="shared" si="1479"/>
        <v>0</v>
      </c>
      <c r="BG151" s="3180">
        <f t="shared" si="1479"/>
        <v>2580.04</v>
      </c>
      <c r="BH151" s="3180">
        <f t="shared" si="1479"/>
        <v>2580.04</v>
      </c>
      <c r="BI151" s="3180">
        <f t="shared" si="1479"/>
        <v>0</v>
      </c>
      <c r="BJ151" s="3062">
        <f t="shared" si="1444"/>
        <v>1245.1222600000001</v>
      </c>
      <c r="BK151" s="3062">
        <f t="shared" si="1445"/>
        <v>1245.1222600000001</v>
      </c>
      <c r="BL151" s="3062">
        <f t="shared" si="1446"/>
        <v>0</v>
      </c>
      <c r="BM151" s="3277">
        <f>SUM(BM21+BM41+BM72+BM93)</f>
        <v>444.97257999999999</v>
      </c>
      <c r="BN151" s="3277">
        <f t="shared" ref="BN151:CA151" si="1480">SUM(BN21+BN41+BN72+BN93)</f>
        <v>444.97257999999999</v>
      </c>
      <c r="BO151" s="3277">
        <f t="shared" si="1480"/>
        <v>0</v>
      </c>
      <c r="BP151" s="3136">
        <f t="shared" si="1480"/>
        <v>0</v>
      </c>
      <c r="BQ151" s="3136">
        <f t="shared" si="1480"/>
        <v>0</v>
      </c>
      <c r="BR151" s="3136">
        <f t="shared" si="1480"/>
        <v>0</v>
      </c>
      <c r="BS151" s="3136">
        <f t="shared" si="1480"/>
        <v>0</v>
      </c>
      <c r="BT151" s="3136">
        <f t="shared" si="1480"/>
        <v>0</v>
      </c>
      <c r="BU151" s="3136">
        <f t="shared" si="1480"/>
        <v>0</v>
      </c>
      <c r="BV151" s="3136">
        <f t="shared" si="1480"/>
        <v>0</v>
      </c>
      <c r="BW151" s="3136">
        <f t="shared" si="1480"/>
        <v>0</v>
      </c>
      <c r="BX151" s="3136">
        <f t="shared" si="1480"/>
        <v>0</v>
      </c>
      <c r="BY151" s="3136">
        <f t="shared" si="1480"/>
        <v>0</v>
      </c>
      <c r="BZ151" s="3136">
        <f t="shared" si="1480"/>
        <v>0</v>
      </c>
      <c r="CA151" s="3136">
        <f t="shared" si="1480"/>
        <v>0</v>
      </c>
      <c r="CB151" s="3287">
        <f>SUM(CB21+CB41+CB72+CB93)</f>
        <v>1779.89032</v>
      </c>
      <c r="CC151" s="3287">
        <f t="shared" ref="CC151:CG151" si="1481">SUM(CC21+CC41+CC72+CC93)</f>
        <v>1779.89032</v>
      </c>
      <c r="CD151" s="3287">
        <f t="shared" si="1481"/>
        <v>0</v>
      </c>
      <c r="CE151" s="3180">
        <f t="shared" si="1481"/>
        <v>2580.04</v>
      </c>
      <c r="CF151" s="3180">
        <f t="shared" si="1481"/>
        <v>2580.04</v>
      </c>
      <c r="CG151" s="3180">
        <f t="shared" si="1481"/>
        <v>0</v>
      </c>
      <c r="CH151" s="3062">
        <f t="shared" si="1449"/>
        <v>800.14967999999999</v>
      </c>
      <c r="CI151" s="3062">
        <f t="shared" si="1450"/>
        <v>800.14967999999999</v>
      </c>
      <c r="CJ151" s="3062">
        <f t="shared" si="1451"/>
        <v>0</v>
      </c>
    </row>
    <row r="152" spans="1:91" ht="18.75" customHeight="1" x14ac:dyDescent="0.3">
      <c r="A152" s="3072" t="s">
        <v>4</v>
      </c>
      <c r="B152" s="3277">
        <f>SUM(B22+B42+B73+B94)</f>
        <v>9398.2523579999997</v>
      </c>
      <c r="C152" s="3277">
        <f t="shared" ref="C152:AE152" si="1482">SUM(C22+C42+C73+C94)</f>
        <v>9368.429978378028</v>
      </c>
      <c r="D152" s="3277">
        <f t="shared" si="1482"/>
        <v>29.822379621972239</v>
      </c>
      <c r="E152" s="3136">
        <f t="shared" si="1482"/>
        <v>2385.9829999999997</v>
      </c>
      <c r="F152" s="3136">
        <f t="shared" si="1482"/>
        <v>2377.94</v>
      </c>
      <c r="G152" s="3136">
        <f t="shared" si="1482"/>
        <v>8.0429999999999993</v>
      </c>
      <c r="H152" s="3136">
        <f t="shared" si="1482"/>
        <v>2183.7099999999996</v>
      </c>
      <c r="I152" s="3136">
        <f t="shared" si="1482"/>
        <v>2176.12</v>
      </c>
      <c r="J152" s="3136">
        <f t="shared" si="1482"/>
        <v>7.59</v>
      </c>
      <c r="K152" s="3136">
        <f t="shared" si="1482"/>
        <v>2439.19</v>
      </c>
      <c r="L152" s="3136">
        <f t="shared" si="1482"/>
        <v>2431.61</v>
      </c>
      <c r="M152" s="3136">
        <f t="shared" si="1482"/>
        <v>7.58</v>
      </c>
      <c r="N152" s="3136">
        <f t="shared" si="1482"/>
        <v>7008.8830000000007</v>
      </c>
      <c r="O152" s="3136">
        <f t="shared" si="1482"/>
        <v>6985.670000000001</v>
      </c>
      <c r="P152" s="3136">
        <f t="shared" si="1482"/>
        <v>23.213000000000001</v>
      </c>
      <c r="Q152" s="3277">
        <f t="shared" si="1482"/>
        <v>9398.2523579999997</v>
      </c>
      <c r="R152" s="3277">
        <f t="shared" si="1482"/>
        <v>9368.429978378028</v>
      </c>
      <c r="S152" s="3277">
        <f t="shared" si="1482"/>
        <v>29.822379621972239</v>
      </c>
      <c r="T152" s="3136">
        <f t="shared" si="1482"/>
        <v>2645.3009999999999</v>
      </c>
      <c r="U152" s="3136">
        <f t="shared" si="1482"/>
        <v>2637.84</v>
      </c>
      <c r="V152" s="3136">
        <f t="shared" si="1482"/>
        <v>7.4610000000000003</v>
      </c>
      <c r="W152" s="3136">
        <f t="shared" si="1482"/>
        <v>2619.2099999999996</v>
      </c>
      <c r="X152" s="3136">
        <f t="shared" si="1482"/>
        <v>2610.35</v>
      </c>
      <c r="Y152" s="3136">
        <f t="shared" si="1482"/>
        <v>8.86</v>
      </c>
      <c r="Z152" s="3136">
        <f t="shared" si="1482"/>
        <v>2565.5699999999997</v>
      </c>
      <c r="AA152" s="3136">
        <f t="shared" si="1482"/>
        <v>2549.48</v>
      </c>
      <c r="AB152" s="3136">
        <f t="shared" si="1482"/>
        <v>16.09</v>
      </c>
      <c r="AC152" s="3136">
        <f t="shared" si="1482"/>
        <v>7830.081000000001</v>
      </c>
      <c r="AD152" s="3136">
        <f t="shared" si="1482"/>
        <v>7797.670000000001</v>
      </c>
      <c r="AE152" s="3136">
        <f t="shared" si="1482"/>
        <v>32.411000000000001</v>
      </c>
      <c r="AF152" s="3287">
        <f>SUM(AF22+AF42+AF73+AF94)</f>
        <v>18796.504715999999</v>
      </c>
      <c r="AG152" s="3287">
        <f t="shared" ref="AG152:AK152" si="1483">SUM(AG22+AG42+AG73+AG94)</f>
        <v>18736.859956756056</v>
      </c>
      <c r="AH152" s="3287">
        <f t="shared" si="1483"/>
        <v>59.644759243944478</v>
      </c>
      <c r="AI152" s="3180">
        <f t="shared" si="1483"/>
        <v>14838.964000000002</v>
      </c>
      <c r="AJ152" s="3180">
        <f t="shared" si="1483"/>
        <v>14783.340000000002</v>
      </c>
      <c r="AK152" s="3180">
        <f t="shared" si="1483"/>
        <v>55.624000000000002</v>
      </c>
      <c r="AL152" s="3062">
        <f t="shared" si="1455"/>
        <v>-3957.5407159999977</v>
      </c>
      <c r="AM152" s="3062">
        <f t="shared" si="1456"/>
        <v>-3953.5199567560539</v>
      </c>
      <c r="AN152" s="3062">
        <f t="shared" si="1457"/>
        <v>-4.0207592439444753</v>
      </c>
      <c r="AO152" s="3277">
        <f>SUM(AO22+AO42+AO73+AO94)</f>
        <v>9398.2523579999997</v>
      </c>
      <c r="AP152" s="3277">
        <f t="shared" ref="AP152:BC152" si="1484">SUM(AP22+AP42+AP73+AP94)</f>
        <v>9368.429978378028</v>
      </c>
      <c r="AQ152" s="3277">
        <f t="shared" si="1484"/>
        <v>29.822379621972239</v>
      </c>
      <c r="AR152" s="3136">
        <f t="shared" si="1484"/>
        <v>2455.7240000000002</v>
      </c>
      <c r="AS152" s="3136">
        <f t="shared" si="1484"/>
        <v>2454.46</v>
      </c>
      <c r="AT152" s="3136">
        <f t="shared" si="1484"/>
        <v>1.264</v>
      </c>
      <c r="AU152" s="3136">
        <f t="shared" si="1484"/>
        <v>2644.1059999999998</v>
      </c>
      <c r="AV152" s="3136">
        <f t="shared" si="1484"/>
        <v>2635.89</v>
      </c>
      <c r="AW152" s="3136">
        <f t="shared" si="1484"/>
        <v>8.2159999999999993</v>
      </c>
      <c r="AX152" s="3136">
        <f t="shared" si="1484"/>
        <v>2534.7600000000002</v>
      </c>
      <c r="AY152" s="3136">
        <f t="shared" si="1484"/>
        <v>2526.4300000000003</v>
      </c>
      <c r="AZ152" s="3136">
        <f t="shared" si="1484"/>
        <v>8.33</v>
      </c>
      <c r="BA152" s="3136">
        <f t="shared" si="1484"/>
        <v>7634.59</v>
      </c>
      <c r="BB152" s="3136">
        <f t="shared" si="1484"/>
        <v>7616.7800000000007</v>
      </c>
      <c r="BC152" s="3136">
        <f t="shared" si="1484"/>
        <v>17.809999999999999</v>
      </c>
      <c r="BD152" s="3287">
        <f>SUM(BD22+BD42+BD73+BD94)</f>
        <v>28194.757074000001</v>
      </c>
      <c r="BE152" s="3287">
        <f t="shared" ref="BE152:BI152" si="1485">SUM(BE22+BE42+BE73+BE94)</f>
        <v>28105.289935134082</v>
      </c>
      <c r="BF152" s="3287">
        <f t="shared" si="1485"/>
        <v>89.467138865916723</v>
      </c>
      <c r="BG152" s="3180">
        <f t="shared" si="1485"/>
        <v>22473.554</v>
      </c>
      <c r="BH152" s="3180">
        <f t="shared" si="1485"/>
        <v>22400.12</v>
      </c>
      <c r="BI152" s="3180">
        <f t="shared" si="1485"/>
        <v>73.433999999999997</v>
      </c>
      <c r="BJ152" s="3062">
        <f t="shared" si="1444"/>
        <v>-5721.2030740000009</v>
      </c>
      <c r="BK152" s="3062">
        <f t="shared" si="1445"/>
        <v>-5705.1699351340831</v>
      </c>
      <c r="BL152" s="3062">
        <f t="shared" si="1446"/>
        <v>-16.033138865916726</v>
      </c>
      <c r="BM152" s="3277">
        <f>SUM(BM22+BM42+BM73+BM94)</f>
        <v>9398.2523579999997</v>
      </c>
      <c r="BN152" s="3277">
        <f t="shared" ref="BN152:CA152" si="1486">SUM(BN22+BN42+BN73+BN94)</f>
        <v>9368.429978378028</v>
      </c>
      <c r="BO152" s="3277">
        <f t="shared" si="1486"/>
        <v>29.822379621972239</v>
      </c>
      <c r="BP152" s="3136">
        <f t="shared" si="1486"/>
        <v>0</v>
      </c>
      <c r="BQ152" s="3136">
        <f t="shared" si="1486"/>
        <v>0</v>
      </c>
      <c r="BR152" s="3136">
        <f t="shared" si="1486"/>
        <v>0</v>
      </c>
      <c r="BS152" s="3136">
        <f t="shared" si="1486"/>
        <v>0</v>
      </c>
      <c r="BT152" s="3136">
        <f t="shared" si="1486"/>
        <v>0</v>
      </c>
      <c r="BU152" s="3136">
        <f t="shared" si="1486"/>
        <v>0</v>
      </c>
      <c r="BV152" s="3136">
        <f t="shared" si="1486"/>
        <v>0</v>
      </c>
      <c r="BW152" s="3136">
        <f t="shared" si="1486"/>
        <v>0</v>
      </c>
      <c r="BX152" s="3136">
        <f t="shared" si="1486"/>
        <v>0</v>
      </c>
      <c r="BY152" s="3136">
        <f t="shared" si="1486"/>
        <v>0</v>
      </c>
      <c r="BZ152" s="3136">
        <f t="shared" si="1486"/>
        <v>0</v>
      </c>
      <c r="CA152" s="3136">
        <f t="shared" si="1486"/>
        <v>0</v>
      </c>
      <c r="CB152" s="3287">
        <f>SUM(CB22+CB42+CB73+CB94)</f>
        <v>37593.009431999999</v>
      </c>
      <c r="CC152" s="3287">
        <f t="shared" ref="CC152:CG152" si="1487">SUM(CC22+CC42+CC73+CC94)</f>
        <v>37473.719913512112</v>
      </c>
      <c r="CD152" s="3287">
        <f t="shared" si="1487"/>
        <v>119.28951848788896</v>
      </c>
      <c r="CE152" s="3180">
        <f t="shared" si="1487"/>
        <v>22473.554</v>
      </c>
      <c r="CF152" s="3180">
        <f t="shared" si="1487"/>
        <v>22400.12</v>
      </c>
      <c r="CG152" s="3180">
        <f t="shared" si="1487"/>
        <v>73.433999999999997</v>
      </c>
      <c r="CH152" s="3062">
        <f t="shared" si="1449"/>
        <v>-15119.455431999999</v>
      </c>
      <c r="CI152" s="3062">
        <f t="shared" si="1450"/>
        <v>-15073.599913512113</v>
      </c>
      <c r="CJ152" s="3062">
        <f t="shared" si="1451"/>
        <v>-45.855518487888958</v>
      </c>
    </row>
    <row r="153" spans="1:91" ht="18.75" customHeight="1" x14ac:dyDescent="0.3">
      <c r="A153" s="3072" t="s">
        <v>117</v>
      </c>
      <c r="B153" s="3277">
        <f>SUM(B23+B43+B74+B95)</f>
        <v>2831.7313528633217</v>
      </c>
      <c r="C153" s="3277">
        <f t="shared" ref="C153:AE153" si="1488">SUM(C23+C43+C74+C95)</f>
        <v>2822.7460227782517</v>
      </c>
      <c r="D153" s="3277">
        <f t="shared" si="1488"/>
        <v>8.9853300850704869</v>
      </c>
      <c r="E153" s="3136">
        <f t="shared" si="1488"/>
        <v>722.1389999999999</v>
      </c>
      <c r="F153" s="3136">
        <f t="shared" si="1488"/>
        <v>719.70999999999992</v>
      </c>
      <c r="G153" s="3136">
        <f t="shared" si="1488"/>
        <v>2.4289999999999998</v>
      </c>
      <c r="H153" s="3136">
        <f t="shared" si="1488"/>
        <v>652.68000000000006</v>
      </c>
      <c r="I153" s="3136">
        <f t="shared" si="1488"/>
        <v>650.3900000000001</v>
      </c>
      <c r="J153" s="3136">
        <f t="shared" si="1488"/>
        <v>2.29</v>
      </c>
      <c r="K153" s="3136">
        <f t="shared" si="1488"/>
        <v>734.71</v>
      </c>
      <c r="L153" s="3136">
        <f t="shared" si="1488"/>
        <v>732.42000000000007</v>
      </c>
      <c r="M153" s="3136">
        <f t="shared" si="1488"/>
        <v>2.29</v>
      </c>
      <c r="N153" s="3136">
        <f t="shared" si="1488"/>
        <v>2109.5289999999995</v>
      </c>
      <c r="O153" s="3136">
        <f t="shared" si="1488"/>
        <v>2102.5199999999995</v>
      </c>
      <c r="P153" s="3136">
        <f t="shared" si="1488"/>
        <v>7.0089999999999995</v>
      </c>
      <c r="Q153" s="3277">
        <f t="shared" si="1488"/>
        <v>2831.7313528633217</v>
      </c>
      <c r="R153" s="3277">
        <f t="shared" si="1488"/>
        <v>2822.7460227782517</v>
      </c>
      <c r="S153" s="3277">
        <f t="shared" si="1488"/>
        <v>8.9853300850704869</v>
      </c>
      <c r="T153" s="3136">
        <f t="shared" si="1488"/>
        <v>816.61299999999994</v>
      </c>
      <c r="U153" s="3136">
        <f t="shared" si="1488"/>
        <v>814.36</v>
      </c>
      <c r="V153" s="3136">
        <f t="shared" si="1488"/>
        <v>2.2530000000000001</v>
      </c>
      <c r="W153" s="3136">
        <f t="shared" si="1488"/>
        <v>790.99</v>
      </c>
      <c r="X153" s="3136">
        <f t="shared" si="1488"/>
        <v>788.31</v>
      </c>
      <c r="Y153" s="3136">
        <f t="shared" si="1488"/>
        <v>2.68</v>
      </c>
      <c r="Z153" s="3136">
        <f t="shared" si="1488"/>
        <v>771.73</v>
      </c>
      <c r="AA153" s="3136">
        <f t="shared" si="1488"/>
        <v>766.87</v>
      </c>
      <c r="AB153" s="3136">
        <f t="shared" si="1488"/>
        <v>4.8600000000000003</v>
      </c>
      <c r="AC153" s="3136">
        <f t="shared" si="1488"/>
        <v>2379.3329999999996</v>
      </c>
      <c r="AD153" s="3136">
        <f t="shared" si="1488"/>
        <v>2369.54</v>
      </c>
      <c r="AE153" s="3136">
        <f t="shared" si="1488"/>
        <v>9.7929999999999993</v>
      </c>
      <c r="AF153" s="3287">
        <f>SUM(AF23+AF43+AF74+AF95)</f>
        <v>5663.4627057266434</v>
      </c>
      <c r="AG153" s="3287">
        <f t="shared" ref="AG153:AK153" si="1489">SUM(AG23+AG43+AG74+AG95)</f>
        <v>5645.4920455565034</v>
      </c>
      <c r="AH153" s="3287">
        <f t="shared" si="1489"/>
        <v>17.970660170140974</v>
      </c>
      <c r="AI153" s="3180">
        <f t="shared" si="1489"/>
        <v>4488.8620000000001</v>
      </c>
      <c r="AJ153" s="3180">
        <f t="shared" si="1489"/>
        <v>4472.0599999999995</v>
      </c>
      <c r="AK153" s="3180">
        <f t="shared" si="1489"/>
        <v>16.802</v>
      </c>
      <c r="AL153" s="3062">
        <f t="shared" si="1455"/>
        <v>-1174.6007057266434</v>
      </c>
      <c r="AM153" s="3062">
        <f t="shared" si="1456"/>
        <v>-1173.4320455565039</v>
      </c>
      <c r="AN153" s="3062">
        <f t="shared" si="1457"/>
        <v>-1.1686601701409742</v>
      </c>
      <c r="AO153" s="3277">
        <f>SUM(AO23+AO43+AO74+AO95)</f>
        <v>2831.7313528633217</v>
      </c>
      <c r="AP153" s="3277">
        <f t="shared" ref="AP153:BC153" si="1490">SUM(AP23+AP43+AP74+AP95)</f>
        <v>2822.7460227782517</v>
      </c>
      <c r="AQ153" s="3277">
        <f t="shared" si="1490"/>
        <v>8.9853300850704869</v>
      </c>
      <c r="AR153" s="3136">
        <f t="shared" si="1490"/>
        <v>740.49200000000008</v>
      </c>
      <c r="AS153" s="3136">
        <f t="shared" si="1490"/>
        <v>740.11</v>
      </c>
      <c r="AT153" s="3136">
        <f t="shared" si="1490"/>
        <v>0.38200000000000001</v>
      </c>
      <c r="AU153" s="3136">
        <f t="shared" si="1490"/>
        <v>799.69100000000003</v>
      </c>
      <c r="AV153" s="3136">
        <f t="shared" si="1490"/>
        <v>797.21</v>
      </c>
      <c r="AW153" s="3136">
        <f t="shared" si="1490"/>
        <v>2.4809999999999999</v>
      </c>
      <c r="AX153" s="3136">
        <f t="shared" si="1490"/>
        <v>778.9799999999999</v>
      </c>
      <c r="AY153" s="3136">
        <f t="shared" si="1490"/>
        <v>776.45999999999992</v>
      </c>
      <c r="AZ153" s="3136">
        <f t="shared" si="1490"/>
        <v>2.52</v>
      </c>
      <c r="BA153" s="3136">
        <f t="shared" si="1490"/>
        <v>2319.1629999999996</v>
      </c>
      <c r="BB153" s="3136">
        <f t="shared" si="1490"/>
        <v>2313.7799999999997</v>
      </c>
      <c r="BC153" s="3136">
        <f t="shared" si="1490"/>
        <v>5.383</v>
      </c>
      <c r="BD153" s="3287">
        <f>SUM(BD23+BD43+BD74+BD95)</f>
        <v>8495.1940585899647</v>
      </c>
      <c r="BE153" s="3287">
        <f t="shared" ref="BE153:BI153" si="1491">SUM(BE23+BE43+BE74+BE95)</f>
        <v>8468.2380683347546</v>
      </c>
      <c r="BF153" s="3287">
        <f t="shared" si="1491"/>
        <v>26.955990255211461</v>
      </c>
      <c r="BG153" s="3180">
        <f t="shared" si="1491"/>
        <v>6808.0249999999996</v>
      </c>
      <c r="BH153" s="3180">
        <f t="shared" si="1491"/>
        <v>6785.84</v>
      </c>
      <c r="BI153" s="3180">
        <f t="shared" si="1491"/>
        <v>22.184999999999999</v>
      </c>
      <c r="BJ153" s="3062">
        <f t="shared" si="1444"/>
        <v>-1687.1690585899651</v>
      </c>
      <c r="BK153" s="3062">
        <f t="shared" si="1445"/>
        <v>-1682.3980683347545</v>
      </c>
      <c r="BL153" s="3062">
        <f t="shared" si="1446"/>
        <v>-4.770990255211462</v>
      </c>
      <c r="BM153" s="3277">
        <f>SUM(BM23+BM43+BM74+BM95)</f>
        <v>2831.7313528633217</v>
      </c>
      <c r="BN153" s="3277">
        <f t="shared" ref="BN153:CA153" si="1492">SUM(BN23+BN43+BN74+BN95)</f>
        <v>2822.7460227782517</v>
      </c>
      <c r="BO153" s="3277">
        <f t="shared" si="1492"/>
        <v>8.9853300850704869</v>
      </c>
      <c r="BP153" s="3136">
        <f t="shared" si="1492"/>
        <v>0</v>
      </c>
      <c r="BQ153" s="3136">
        <f t="shared" si="1492"/>
        <v>0</v>
      </c>
      <c r="BR153" s="3136">
        <f t="shared" si="1492"/>
        <v>0</v>
      </c>
      <c r="BS153" s="3136">
        <f t="shared" si="1492"/>
        <v>0</v>
      </c>
      <c r="BT153" s="3136">
        <f t="shared" si="1492"/>
        <v>0</v>
      </c>
      <c r="BU153" s="3136">
        <f t="shared" si="1492"/>
        <v>0</v>
      </c>
      <c r="BV153" s="3136">
        <f t="shared" si="1492"/>
        <v>0</v>
      </c>
      <c r="BW153" s="3136">
        <f t="shared" si="1492"/>
        <v>0</v>
      </c>
      <c r="BX153" s="3136">
        <f t="shared" si="1492"/>
        <v>0</v>
      </c>
      <c r="BY153" s="3136">
        <f t="shared" si="1492"/>
        <v>0</v>
      </c>
      <c r="BZ153" s="3136">
        <f t="shared" si="1492"/>
        <v>0</v>
      </c>
      <c r="CA153" s="3136">
        <f t="shared" si="1492"/>
        <v>0</v>
      </c>
      <c r="CB153" s="3287">
        <f>SUM(CB23+CB43+CB74+CB95)</f>
        <v>11326.925411453287</v>
      </c>
      <c r="CC153" s="3287">
        <f t="shared" ref="CC153:CG153" si="1493">SUM(CC23+CC43+CC74+CC95)</f>
        <v>11290.984091113007</v>
      </c>
      <c r="CD153" s="3287">
        <f t="shared" si="1493"/>
        <v>35.941320340281948</v>
      </c>
      <c r="CE153" s="3180">
        <f t="shared" si="1493"/>
        <v>6808.0249999999996</v>
      </c>
      <c r="CF153" s="3180">
        <f t="shared" si="1493"/>
        <v>6785.84</v>
      </c>
      <c r="CG153" s="3180">
        <f t="shared" si="1493"/>
        <v>22.184999999999999</v>
      </c>
      <c r="CH153" s="3062">
        <f t="shared" si="1449"/>
        <v>-4518.9004114532872</v>
      </c>
      <c r="CI153" s="3062">
        <f t="shared" si="1450"/>
        <v>-4505.1440911130067</v>
      </c>
      <c r="CJ153" s="3062">
        <f t="shared" si="1451"/>
        <v>-13.756320340281949</v>
      </c>
    </row>
    <row r="154" spans="1:91" ht="18.75" customHeight="1" x14ac:dyDescent="0.3">
      <c r="A154" s="3124" t="s">
        <v>318</v>
      </c>
      <c r="B154" s="3139">
        <f>SUM(B153/B152)</f>
        <v>0.30130403451583099</v>
      </c>
      <c r="C154" s="3139">
        <f t="shared" ref="C154:BN154" si="1494">SUM(C153/C152)</f>
        <v>0.30130406367908386</v>
      </c>
      <c r="D154" s="3139">
        <f t="shared" si="1494"/>
        <v>0.30129487314454156</v>
      </c>
      <c r="E154" s="3139">
        <f t="shared" si="1494"/>
        <v>0.30265890410786667</v>
      </c>
      <c r="F154" s="3139">
        <f t="shared" si="1494"/>
        <v>0.3026611268577003</v>
      </c>
      <c r="G154" s="3139">
        <f t="shared" si="1494"/>
        <v>0.30200174064403829</v>
      </c>
      <c r="H154" s="3139">
        <f t="shared" si="1494"/>
        <v>0.29888584106864013</v>
      </c>
      <c r="I154" s="3139">
        <f t="shared" si="1494"/>
        <v>0.29887598110398328</v>
      </c>
      <c r="J154" s="3139">
        <f t="shared" si="1494"/>
        <v>0.30171277997364954</v>
      </c>
      <c r="K154" s="3139">
        <f t="shared" si="1494"/>
        <v>0.30121064779701456</v>
      </c>
      <c r="L154" s="3139">
        <f t="shared" si="1494"/>
        <v>0.30120784171803866</v>
      </c>
      <c r="M154" s="3139">
        <f t="shared" si="1494"/>
        <v>0.30211081794195249</v>
      </c>
      <c r="N154" s="3139">
        <f t="shared" si="1494"/>
        <v>0.30097934292810985</v>
      </c>
      <c r="O154" s="3139">
        <f t="shared" si="1494"/>
        <v>0.30097614115754096</v>
      </c>
      <c r="P154" s="3139">
        <f t="shared" si="1494"/>
        <v>0.30194287683625554</v>
      </c>
      <c r="Q154" s="3139">
        <f t="shared" si="1494"/>
        <v>0.30130403451583099</v>
      </c>
      <c r="R154" s="3139">
        <f t="shared" si="1494"/>
        <v>0.30130406367908386</v>
      </c>
      <c r="S154" s="3139">
        <f t="shared" si="1494"/>
        <v>0.30129487314454156</v>
      </c>
      <c r="T154" s="3139">
        <f t="shared" si="1494"/>
        <v>0.3087032439786625</v>
      </c>
      <c r="U154" s="3139">
        <f t="shared" si="1494"/>
        <v>0.30872228793255085</v>
      </c>
      <c r="V154" s="3139">
        <f t="shared" si="1494"/>
        <v>0.30197024527543226</v>
      </c>
      <c r="W154" s="3139">
        <f t="shared" si="1494"/>
        <v>0.30199563990668948</v>
      </c>
      <c r="X154" s="3139">
        <f t="shared" si="1494"/>
        <v>0.30199398548087419</v>
      </c>
      <c r="Y154" s="3139">
        <f t="shared" si="1494"/>
        <v>0.30248306997742669</v>
      </c>
      <c r="Z154" s="3139">
        <f t="shared" si="1494"/>
        <v>0.30080255070023432</v>
      </c>
      <c r="AA154" s="3139">
        <f t="shared" si="1494"/>
        <v>0.3007946718546527</v>
      </c>
      <c r="AB154" s="3139">
        <f t="shared" si="1494"/>
        <v>0.30205096333126169</v>
      </c>
      <c r="AC154" s="3139">
        <f t="shared" si="1494"/>
        <v>0.30387080286908902</v>
      </c>
      <c r="AD154" s="3139">
        <f t="shared" si="1494"/>
        <v>0.30387795328604567</v>
      </c>
      <c r="AE154" s="3139">
        <f t="shared" si="1494"/>
        <v>0.30215050445836289</v>
      </c>
      <c r="AF154" s="3140">
        <f t="shared" si="1494"/>
        <v>0.30130403451583099</v>
      </c>
      <c r="AG154" s="3140">
        <f t="shared" si="1494"/>
        <v>0.30130406367908386</v>
      </c>
      <c r="AH154" s="3140">
        <f t="shared" si="1494"/>
        <v>0.30129487314454156</v>
      </c>
      <c r="AI154" s="3140">
        <f t="shared" si="1494"/>
        <v>0.30250508054335867</v>
      </c>
      <c r="AJ154" s="3140">
        <f t="shared" si="1494"/>
        <v>0.30250674069594552</v>
      </c>
      <c r="AK154" s="3140">
        <f t="shared" si="1494"/>
        <v>0.30206385732777219</v>
      </c>
      <c r="AL154" s="3068">
        <f t="shared" si="1455"/>
        <v>1.2010460275276857E-3</v>
      </c>
      <c r="AM154" s="3068">
        <f t="shared" si="1456"/>
        <v>1.2026770168616641E-3</v>
      </c>
      <c r="AN154" s="3068">
        <f t="shared" si="1457"/>
        <v>7.6898418323062545E-4</v>
      </c>
      <c r="AO154" s="3139">
        <f t="shared" si="1494"/>
        <v>0.30130403451583099</v>
      </c>
      <c r="AP154" s="3139">
        <f t="shared" si="1494"/>
        <v>0.30130406367908386</v>
      </c>
      <c r="AQ154" s="3139">
        <f t="shared" si="1494"/>
        <v>0.30129487314454156</v>
      </c>
      <c r="AR154" s="3139">
        <f t="shared" si="1494"/>
        <v>0.30153714342491256</v>
      </c>
      <c r="AS154" s="3139">
        <f t="shared" si="1494"/>
        <v>0.30153679424394775</v>
      </c>
      <c r="AT154" s="3139">
        <f t="shared" si="1494"/>
        <v>0.30221518987341772</v>
      </c>
      <c r="AU154" s="3139">
        <f t="shared" si="1494"/>
        <v>0.30244286726780245</v>
      </c>
      <c r="AV154" s="3139">
        <f t="shared" si="1494"/>
        <v>0.30244433568927387</v>
      </c>
      <c r="AW154" s="3139">
        <f t="shared" si="1494"/>
        <v>0.30197176241480039</v>
      </c>
      <c r="AX154" s="3139">
        <f t="shared" si="1494"/>
        <v>0.30731903612176292</v>
      </c>
      <c r="AY154" s="3139">
        <f t="shared" si="1494"/>
        <v>0.30733485590338933</v>
      </c>
      <c r="AZ154" s="3139">
        <f t="shared" si="1494"/>
        <v>0.30252100840336132</v>
      </c>
      <c r="BA154" s="3139">
        <f t="shared" si="1494"/>
        <v>0.30377047097486565</v>
      </c>
      <c r="BB154" s="3139">
        <f t="shared" si="1494"/>
        <v>0.30377403574738926</v>
      </c>
      <c r="BC154" s="3139">
        <f t="shared" si="1494"/>
        <v>0.30224592925322852</v>
      </c>
      <c r="BD154" s="3140">
        <f t="shared" si="1494"/>
        <v>0.30130403451583093</v>
      </c>
      <c r="BE154" s="3140">
        <f t="shared" si="1494"/>
        <v>0.30130406367908386</v>
      </c>
      <c r="BF154" s="3140">
        <f t="shared" si="1494"/>
        <v>0.30129487314454151</v>
      </c>
      <c r="BG154" s="3140">
        <f t="shared" si="1494"/>
        <v>0.30293495189946368</v>
      </c>
      <c r="BH154" s="3140">
        <f t="shared" si="1494"/>
        <v>0.30293766283394913</v>
      </c>
      <c r="BI154" s="3140">
        <f t="shared" si="1494"/>
        <v>0.30210801536073206</v>
      </c>
      <c r="BJ154" s="3068">
        <f t="shared" si="1444"/>
        <v>1.6309173836327462E-3</v>
      </c>
      <c r="BK154" s="3068">
        <f t="shared" si="1445"/>
        <v>1.6335991548652729E-3</v>
      </c>
      <c r="BL154" s="3068">
        <f t="shared" si="1446"/>
        <v>8.1314221619055438E-4</v>
      </c>
      <c r="BM154" s="3139">
        <f t="shared" si="1494"/>
        <v>0.30130403451583099</v>
      </c>
      <c r="BN154" s="3139">
        <f t="shared" si="1494"/>
        <v>0.30130406367908386</v>
      </c>
      <c r="BO154" s="3139">
        <f t="shared" ref="BO154:CG154" si="1495">SUM(BO153/BO152)</f>
        <v>0.30129487314454156</v>
      </c>
      <c r="BP154" s="3139" t="e">
        <f t="shared" si="1495"/>
        <v>#DIV/0!</v>
      </c>
      <c r="BQ154" s="3139" t="e">
        <f t="shared" si="1495"/>
        <v>#DIV/0!</v>
      </c>
      <c r="BR154" s="3139" t="e">
        <f t="shared" si="1495"/>
        <v>#DIV/0!</v>
      </c>
      <c r="BS154" s="3139" t="e">
        <f t="shared" si="1495"/>
        <v>#DIV/0!</v>
      </c>
      <c r="BT154" s="3139" t="e">
        <f t="shared" si="1495"/>
        <v>#DIV/0!</v>
      </c>
      <c r="BU154" s="3139" t="e">
        <f t="shared" si="1495"/>
        <v>#DIV/0!</v>
      </c>
      <c r="BV154" s="3139" t="e">
        <f t="shared" si="1495"/>
        <v>#DIV/0!</v>
      </c>
      <c r="BW154" s="3139" t="e">
        <f t="shared" si="1495"/>
        <v>#DIV/0!</v>
      </c>
      <c r="BX154" s="3139" t="e">
        <f t="shared" si="1495"/>
        <v>#DIV/0!</v>
      </c>
      <c r="BY154" s="3139" t="e">
        <f t="shared" si="1495"/>
        <v>#DIV/0!</v>
      </c>
      <c r="BZ154" s="3139" t="e">
        <f t="shared" si="1495"/>
        <v>#DIV/0!</v>
      </c>
      <c r="CA154" s="3139" t="e">
        <f t="shared" si="1495"/>
        <v>#DIV/0!</v>
      </c>
      <c r="CB154" s="3140">
        <f t="shared" si="1495"/>
        <v>0.30130403451583099</v>
      </c>
      <c r="CC154" s="3140">
        <f t="shared" si="1495"/>
        <v>0.30130406367908386</v>
      </c>
      <c r="CD154" s="3140">
        <f t="shared" si="1495"/>
        <v>0.30129487314454156</v>
      </c>
      <c r="CE154" s="3140">
        <f t="shared" si="1495"/>
        <v>0.30293495189946368</v>
      </c>
      <c r="CF154" s="3140">
        <f t="shared" si="1495"/>
        <v>0.30293766283394913</v>
      </c>
      <c r="CG154" s="3140">
        <f t="shared" si="1495"/>
        <v>0.30210801536073206</v>
      </c>
      <c r="CH154" s="3068">
        <f t="shared" si="1449"/>
        <v>1.6309173836326907E-3</v>
      </c>
      <c r="CI154" s="3068">
        <f t="shared" si="1450"/>
        <v>1.6335991548652729E-3</v>
      </c>
      <c r="CJ154" s="3068">
        <f t="shared" si="1451"/>
        <v>8.1314221619049887E-4</v>
      </c>
    </row>
    <row r="155" spans="1:91" ht="18.75" customHeight="1" x14ac:dyDescent="0.3">
      <c r="A155" s="3135" t="s">
        <v>3615</v>
      </c>
      <c r="B155" s="3277">
        <f>SUM(B25+B45+B77+B97)</f>
        <v>3748.5542268750005</v>
      </c>
      <c r="C155" s="3277">
        <f t="shared" ref="C155:AE155" si="1496">SUM(C25+C45+C77+C97)</f>
        <v>3734.4327449037391</v>
      </c>
      <c r="D155" s="3277">
        <f t="shared" si="1496"/>
        <v>14.121481971261124</v>
      </c>
      <c r="E155" s="3136">
        <f t="shared" si="1496"/>
        <v>944.29</v>
      </c>
      <c r="F155" s="3136">
        <f t="shared" si="1496"/>
        <v>944.29</v>
      </c>
      <c r="G155" s="3136">
        <f t="shared" si="1496"/>
        <v>0</v>
      </c>
      <c r="H155" s="3136">
        <f t="shared" si="1496"/>
        <v>1025.3500000000001</v>
      </c>
      <c r="I155" s="3136">
        <f t="shared" si="1496"/>
        <v>1025.3500000000001</v>
      </c>
      <c r="J155" s="3136">
        <f t="shared" si="1496"/>
        <v>0</v>
      </c>
      <c r="K155" s="3136">
        <f t="shared" si="1496"/>
        <v>1250.47</v>
      </c>
      <c r="L155" s="3136">
        <f t="shared" si="1496"/>
        <v>1250.47</v>
      </c>
      <c r="M155" s="3136">
        <f t="shared" si="1496"/>
        <v>0</v>
      </c>
      <c r="N155" s="3136">
        <f t="shared" si="1496"/>
        <v>3220.11</v>
      </c>
      <c r="O155" s="3136">
        <f t="shared" si="1496"/>
        <v>3220.11</v>
      </c>
      <c r="P155" s="3136">
        <f t="shared" si="1496"/>
        <v>0</v>
      </c>
      <c r="Q155" s="3277">
        <f t="shared" si="1496"/>
        <v>3748.5542268750005</v>
      </c>
      <c r="R155" s="3277">
        <f t="shared" si="1496"/>
        <v>3734.4327449037391</v>
      </c>
      <c r="S155" s="3277">
        <f t="shared" si="1496"/>
        <v>14.121481971261124</v>
      </c>
      <c r="T155" s="3136">
        <f t="shared" si="1496"/>
        <v>990.32999999999993</v>
      </c>
      <c r="U155" s="3136">
        <f t="shared" si="1496"/>
        <v>990.32999999999993</v>
      </c>
      <c r="V155" s="3136">
        <f t="shared" si="1496"/>
        <v>0</v>
      </c>
      <c r="W155" s="3136">
        <f t="shared" si="1496"/>
        <v>1007.4740000000002</v>
      </c>
      <c r="X155" s="3136">
        <f t="shared" si="1496"/>
        <v>1007.4740000000002</v>
      </c>
      <c r="Y155" s="3136">
        <f t="shared" si="1496"/>
        <v>0</v>
      </c>
      <c r="Z155" s="3136">
        <f t="shared" si="1496"/>
        <v>1211.6479999999999</v>
      </c>
      <c r="AA155" s="3136">
        <f t="shared" si="1496"/>
        <v>1211.6479999999999</v>
      </c>
      <c r="AB155" s="3136">
        <f t="shared" si="1496"/>
        <v>0</v>
      </c>
      <c r="AC155" s="3136">
        <f t="shared" si="1496"/>
        <v>3209.4520000000002</v>
      </c>
      <c r="AD155" s="3136">
        <f t="shared" si="1496"/>
        <v>3209.4520000000002</v>
      </c>
      <c r="AE155" s="3136">
        <f t="shared" si="1496"/>
        <v>0</v>
      </c>
      <c r="AF155" s="3287">
        <f>SUM(AF25+AF45+AF77+AF97)</f>
        <v>7497.108453750001</v>
      </c>
      <c r="AG155" s="3287">
        <f t="shared" ref="AG155:AK155" si="1497">SUM(AG25+AG45+AG77+AG97)</f>
        <v>7468.8654898074783</v>
      </c>
      <c r="AH155" s="3287">
        <f t="shared" si="1497"/>
        <v>28.242963942522248</v>
      </c>
      <c r="AI155" s="3180">
        <f t="shared" si="1497"/>
        <v>6429.5620000000008</v>
      </c>
      <c r="AJ155" s="3180">
        <f t="shared" si="1497"/>
        <v>6429.5620000000008</v>
      </c>
      <c r="AK155" s="3180">
        <f t="shared" si="1497"/>
        <v>0</v>
      </c>
      <c r="AL155" s="3068">
        <f t="shared" si="1455"/>
        <v>-1067.5464537500002</v>
      </c>
      <c r="AM155" s="3068">
        <f t="shared" si="1456"/>
        <v>-1039.3034898074775</v>
      </c>
      <c r="AN155" s="3068">
        <f t="shared" si="1457"/>
        <v>-28.242963942522248</v>
      </c>
      <c r="AO155" s="3277">
        <f>SUM(AO25+AO45+AO77+AO97)</f>
        <v>3748.5542268750005</v>
      </c>
      <c r="AP155" s="3277">
        <f t="shared" ref="AP155:BC155" si="1498">SUM(AP25+AP45+AP77+AP97)</f>
        <v>3734.4327449037391</v>
      </c>
      <c r="AQ155" s="3277">
        <f t="shared" si="1498"/>
        <v>14.121481971261124</v>
      </c>
      <c r="AR155" s="3136">
        <f t="shared" si="1498"/>
        <v>822.1600000000002</v>
      </c>
      <c r="AS155" s="3136">
        <f t="shared" si="1498"/>
        <v>822.1600000000002</v>
      </c>
      <c r="AT155" s="3136">
        <f t="shared" si="1498"/>
        <v>0</v>
      </c>
      <c r="AU155" s="3136">
        <f t="shared" si="1498"/>
        <v>841.04</v>
      </c>
      <c r="AV155" s="3136">
        <f t="shared" si="1498"/>
        <v>841.04</v>
      </c>
      <c r="AW155" s="3136">
        <f t="shared" si="1498"/>
        <v>0</v>
      </c>
      <c r="AX155" s="3136">
        <f t="shared" si="1498"/>
        <v>1088.22</v>
      </c>
      <c r="AY155" s="3136">
        <f t="shared" si="1498"/>
        <v>1088.22</v>
      </c>
      <c r="AZ155" s="3136">
        <f t="shared" si="1498"/>
        <v>0</v>
      </c>
      <c r="BA155" s="3136">
        <f t="shared" si="1498"/>
        <v>2751.42</v>
      </c>
      <c r="BB155" s="3136">
        <f t="shared" si="1498"/>
        <v>2751.42</v>
      </c>
      <c r="BC155" s="3136">
        <f t="shared" si="1498"/>
        <v>0</v>
      </c>
      <c r="BD155" s="3287">
        <f>SUM(BD25+BD45+BD77+BD97)</f>
        <v>11245.662680625001</v>
      </c>
      <c r="BE155" s="3287">
        <f t="shared" ref="BE155:BI155" si="1499">SUM(BE25+BE45+BE77+BE97)</f>
        <v>11203.298234711217</v>
      </c>
      <c r="BF155" s="3287">
        <f t="shared" si="1499"/>
        <v>42.364445913783371</v>
      </c>
      <c r="BG155" s="3180">
        <f t="shared" si="1499"/>
        <v>9180.982</v>
      </c>
      <c r="BH155" s="3180">
        <f t="shared" si="1499"/>
        <v>9180.982</v>
      </c>
      <c r="BI155" s="3180">
        <f t="shared" si="1499"/>
        <v>0</v>
      </c>
      <c r="BJ155" s="3068">
        <f t="shared" si="1444"/>
        <v>-2064.6806806250006</v>
      </c>
      <c r="BK155" s="3068">
        <f t="shared" si="1445"/>
        <v>-2022.3162347112175</v>
      </c>
      <c r="BL155" s="3068">
        <f t="shared" si="1446"/>
        <v>-42.364445913783371</v>
      </c>
      <c r="BM155" s="3277">
        <f>SUM(BM25+BM45+BM77+BM97)</f>
        <v>3748.5542268750005</v>
      </c>
      <c r="BN155" s="3277">
        <f t="shared" ref="BN155:CA155" si="1500">SUM(BN25+BN45+BN77+BN97)</f>
        <v>3734.4327449037391</v>
      </c>
      <c r="BO155" s="3277">
        <f t="shared" si="1500"/>
        <v>14.121481971261124</v>
      </c>
      <c r="BP155" s="3136">
        <f t="shared" si="1500"/>
        <v>0</v>
      </c>
      <c r="BQ155" s="3136">
        <f t="shared" si="1500"/>
        <v>0</v>
      </c>
      <c r="BR155" s="3136">
        <f t="shared" si="1500"/>
        <v>0</v>
      </c>
      <c r="BS155" s="3136">
        <f t="shared" si="1500"/>
        <v>0</v>
      </c>
      <c r="BT155" s="3136">
        <f t="shared" si="1500"/>
        <v>0</v>
      </c>
      <c r="BU155" s="3136">
        <f t="shared" si="1500"/>
        <v>0</v>
      </c>
      <c r="BV155" s="3136">
        <f t="shared" si="1500"/>
        <v>0</v>
      </c>
      <c r="BW155" s="3136">
        <f t="shared" si="1500"/>
        <v>0</v>
      </c>
      <c r="BX155" s="3136">
        <f t="shared" si="1500"/>
        <v>0</v>
      </c>
      <c r="BY155" s="3136">
        <f t="shared" si="1500"/>
        <v>0</v>
      </c>
      <c r="BZ155" s="3136">
        <f t="shared" si="1500"/>
        <v>0</v>
      </c>
      <c r="CA155" s="3136">
        <f t="shared" si="1500"/>
        <v>0</v>
      </c>
      <c r="CB155" s="3287">
        <f>SUM(CB25+CB45+CB77+CB97)</f>
        <v>14994.216881592623</v>
      </c>
      <c r="CC155" s="3287">
        <f t="shared" ref="CC155:CG155" si="1501">SUM(CC25+CC45+CC77+CC97)</f>
        <v>14937.73095370597</v>
      </c>
      <c r="CD155" s="3287">
        <f t="shared" si="1501"/>
        <v>56.485927886655645</v>
      </c>
      <c r="CE155" s="3180">
        <f t="shared" si="1501"/>
        <v>9180.982</v>
      </c>
      <c r="CF155" s="3180">
        <f t="shared" si="1501"/>
        <v>13130.567890614955</v>
      </c>
      <c r="CG155" s="3180">
        <f t="shared" si="1501"/>
        <v>56.485927885044497</v>
      </c>
      <c r="CH155" s="3068">
        <f t="shared" si="1449"/>
        <v>-5813.2348815926234</v>
      </c>
      <c r="CI155" s="3068">
        <f t="shared" si="1450"/>
        <v>-1807.1630630910149</v>
      </c>
      <c r="CJ155" s="3068">
        <f t="shared" si="1451"/>
        <v>-1.6111485479086696E-9</v>
      </c>
    </row>
    <row r="156" spans="1:91" ht="18.75" customHeight="1" x14ac:dyDescent="0.3">
      <c r="A156" s="3138" t="s">
        <v>3616</v>
      </c>
      <c r="B156" s="3276">
        <f>SUM(B26+B46+B78+B98)</f>
        <v>1679.9099999999999</v>
      </c>
      <c r="C156" s="3276">
        <f t="shared" ref="C156:AE156" si="1502">SUM(C26+C46+C78+C98)</f>
        <v>1673.1465558963455</v>
      </c>
      <c r="D156" s="3276">
        <f t="shared" si="1502"/>
        <v>6.7634441036546935</v>
      </c>
      <c r="E156" s="3145">
        <f t="shared" si="1502"/>
        <v>494.28</v>
      </c>
      <c r="F156" s="3145">
        <f t="shared" si="1502"/>
        <v>494.28</v>
      </c>
      <c r="G156" s="3145">
        <f t="shared" si="1502"/>
        <v>0</v>
      </c>
      <c r="H156" s="3145">
        <f t="shared" si="1502"/>
        <v>430.44000000000005</v>
      </c>
      <c r="I156" s="3145">
        <f t="shared" si="1502"/>
        <v>430.44000000000005</v>
      </c>
      <c r="J156" s="3145">
        <f t="shared" si="1502"/>
        <v>0</v>
      </c>
      <c r="K156" s="3145">
        <f t="shared" si="1502"/>
        <v>503.96</v>
      </c>
      <c r="L156" s="3145">
        <f t="shared" si="1502"/>
        <v>503.96</v>
      </c>
      <c r="M156" s="3145">
        <f t="shared" si="1502"/>
        <v>0</v>
      </c>
      <c r="N156" s="3145">
        <f t="shared" si="1502"/>
        <v>1428.6799999999998</v>
      </c>
      <c r="O156" s="3145">
        <f t="shared" si="1502"/>
        <v>1428.6799999999998</v>
      </c>
      <c r="P156" s="3145">
        <f t="shared" si="1502"/>
        <v>0</v>
      </c>
      <c r="Q156" s="3276">
        <f t="shared" si="1502"/>
        <v>1679.9099999999999</v>
      </c>
      <c r="R156" s="3276">
        <f t="shared" si="1502"/>
        <v>1673.1465558963455</v>
      </c>
      <c r="S156" s="3276">
        <f t="shared" si="1502"/>
        <v>6.7634441036546935</v>
      </c>
      <c r="T156" s="3145">
        <f t="shared" si="1502"/>
        <v>434.85</v>
      </c>
      <c r="U156" s="3145">
        <f t="shared" si="1502"/>
        <v>434.85</v>
      </c>
      <c r="V156" s="3145">
        <f t="shared" si="1502"/>
        <v>0</v>
      </c>
      <c r="W156" s="3145">
        <f t="shared" si="1502"/>
        <v>502.39</v>
      </c>
      <c r="X156" s="3145">
        <f t="shared" si="1502"/>
        <v>502.39</v>
      </c>
      <c r="Y156" s="3145">
        <f t="shared" si="1502"/>
        <v>0</v>
      </c>
      <c r="Z156" s="3145">
        <f t="shared" si="1502"/>
        <v>304.31</v>
      </c>
      <c r="AA156" s="3145">
        <f t="shared" si="1502"/>
        <v>304.31</v>
      </c>
      <c r="AB156" s="3145">
        <f t="shared" si="1502"/>
        <v>0</v>
      </c>
      <c r="AC156" s="3145">
        <f t="shared" si="1502"/>
        <v>1241.55</v>
      </c>
      <c r="AD156" s="3145">
        <f t="shared" si="1502"/>
        <v>1241.55</v>
      </c>
      <c r="AE156" s="3145">
        <f t="shared" si="1502"/>
        <v>0</v>
      </c>
      <c r="AF156" s="3283">
        <f>SUM(AF26+AF46+AF78+AF98)</f>
        <v>3359.8199999999997</v>
      </c>
      <c r="AG156" s="3283">
        <f t="shared" ref="AG156:AK156" si="1503">SUM(AG26+AG46+AG78+AG98)</f>
        <v>3346.293111792691</v>
      </c>
      <c r="AH156" s="3283">
        <f t="shared" si="1503"/>
        <v>13.526888207309387</v>
      </c>
      <c r="AI156" s="3179">
        <f t="shared" si="1503"/>
        <v>2670.23</v>
      </c>
      <c r="AJ156" s="3179">
        <f t="shared" si="1503"/>
        <v>2670.23</v>
      </c>
      <c r="AK156" s="3179">
        <f t="shared" si="1503"/>
        <v>0</v>
      </c>
      <c r="AL156" s="3068">
        <f t="shared" si="1455"/>
        <v>-689.58999999999969</v>
      </c>
      <c r="AM156" s="3068">
        <f t="shared" si="1456"/>
        <v>-676.06311179269096</v>
      </c>
      <c r="AN156" s="3068">
        <f t="shared" si="1457"/>
        <v>-13.526888207309387</v>
      </c>
      <c r="AO156" s="3276">
        <f>SUM(AO26+AO46+AO78+AO98)</f>
        <v>1679.9099999999999</v>
      </c>
      <c r="AP156" s="3276">
        <f t="shared" ref="AP156:BC156" si="1504">SUM(AP26+AP46+AP78+AP98)</f>
        <v>1673.1465558963455</v>
      </c>
      <c r="AQ156" s="3276">
        <f t="shared" si="1504"/>
        <v>6.7634441036546935</v>
      </c>
      <c r="AR156" s="3145">
        <f t="shared" si="1504"/>
        <v>334.45</v>
      </c>
      <c r="AS156" s="3145">
        <f t="shared" si="1504"/>
        <v>334.45</v>
      </c>
      <c r="AT156" s="3145">
        <f t="shared" si="1504"/>
        <v>0</v>
      </c>
      <c r="AU156" s="3145">
        <f t="shared" si="1504"/>
        <v>316.14999999999998</v>
      </c>
      <c r="AV156" s="3145">
        <f t="shared" si="1504"/>
        <v>316.14999999999998</v>
      </c>
      <c r="AW156" s="3145">
        <f t="shared" si="1504"/>
        <v>0</v>
      </c>
      <c r="AX156" s="3145">
        <f t="shared" si="1504"/>
        <v>506.28999999999996</v>
      </c>
      <c r="AY156" s="3145">
        <f t="shared" si="1504"/>
        <v>506.28999999999996</v>
      </c>
      <c r="AZ156" s="3145">
        <f t="shared" si="1504"/>
        <v>0</v>
      </c>
      <c r="BA156" s="3145">
        <f t="shared" si="1504"/>
        <v>1156.8900000000001</v>
      </c>
      <c r="BB156" s="3145">
        <f t="shared" si="1504"/>
        <v>1156.8900000000001</v>
      </c>
      <c r="BC156" s="3145">
        <f t="shared" si="1504"/>
        <v>0</v>
      </c>
      <c r="BD156" s="3283">
        <f>SUM(BD26+BD46+BD78+BD98)</f>
        <v>5039.7300000000005</v>
      </c>
      <c r="BE156" s="3283">
        <f t="shared" ref="BE156:BI156" si="1505">SUM(BE26+BE46+BE78+BE98)</f>
        <v>5019.4396676890365</v>
      </c>
      <c r="BF156" s="3283">
        <f t="shared" si="1505"/>
        <v>20.290332310964082</v>
      </c>
      <c r="BG156" s="3179">
        <f t="shared" si="1505"/>
        <v>3827.12</v>
      </c>
      <c r="BH156" s="3179">
        <f t="shared" si="1505"/>
        <v>3827.12</v>
      </c>
      <c r="BI156" s="3179">
        <f t="shared" si="1505"/>
        <v>0</v>
      </c>
      <c r="BJ156" s="3068">
        <f t="shared" si="1444"/>
        <v>-1212.6100000000006</v>
      </c>
      <c r="BK156" s="3068">
        <f t="shared" si="1445"/>
        <v>-1192.3196676890366</v>
      </c>
      <c r="BL156" s="3068">
        <f t="shared" si="1446"/>
        <v>-20.290332310964082</v>
      </c>
      <c r="BM156" s="3276">
        <f>SUM(BM26+BM46+BM78+BM98)</f>
        <v>1679.9099999999999</v>
      </c>
      <c r="BN156" s="3276">
        <f t="shared" ref="BN156:CA156" si="1506">SUM(BN26+BN46+BN78+BN98)</f>
        <v>1673.1465558963455</v>
      </c>
      <c r="BO156" s="3276">
        <f t="shared" si="1506"/>
        <v>6.7634441036546935</v>
      </c>
      <c r="BP156" s="3145">
        <f t="shared" si="1506"/>
        <v>0</v>
      </c>
      <c r="BQ156" s="3145">
        <f t="shared" si="1506"/>
        <v>0</v>
      </c>
      <c r="BR156" s="3145">
        <f t="shared" si="1506"/>
        <v>0</v>
      </c>
      <c r="BS156" s="3145">
        <f t="shared" si="1506"/>
        <v>0</v>
      </c>
      <c r="BT156" s="3145">
        <f t="shared" si="1506"/>
        <v>0</v>
      </c>
      <c r="BU156" s="3145">
        <f t="shared" si="1506"/>
        <v>0</v>
      </c>
      <c r="BV156" s="3145">
        <f t="shared" si="1506"/>
        <v>0</v>
      </c>
      <c r="BW156" s="3145">
        <f t="shared" si="1506"/>
        <v>0</v>
      </c>
      <c r="BX156" s="3145">
        <f t="shared" si="1506"/>
        <v>0</v>
      </c>
      <c r="BY156" s="3145">
        <f t="shared" si="1506"/>
        <v>0</v>
      </c>
      <c r="BZ156" s="3145">
        <f t="shared" si="1506"/>
        <v>0</v>
      </c>
      <c r="CA156" s="3145">
        <f t="shared" si="1506"/>
        <v>0</v>
      </c>
      <c r="CB156" s="3283">
        <f>SUM(CB26+CB46+CB78+CB98)</f>
        <v>6719.6399999999994</v>
      </c>
      <c r="CC156" s="3283">
        <f t="shared" ref="CC156:CG156" si="1507">SUM(CC26+CC46+CC78+CC98)</f>
        <v>6692.586223585382</v>
      </c>
      <c r="CD156" s="3283">
        <f t="shared" si="1507"/>
        <v>27.053776414618774</v>
      </c>
      <c r="CE156" s="3179">
        <f t="shared" si="1507"/>
        <v>3827.12</v>
      </c>
      <c r="CF156" s="3179">
        <f t="shared" si="1507"/>
        <v>3827.12</v>
      </c>
      <c r="CG156" s="3179">
        <f t="shared" si="1507"/>
        <v>0</v>
      </c>
      <c r="CH156" s="3068">
        <f t="shared" si="1449"/>
        <v>-2892.5199999999995</v>
      </c>
      <c r="CI156" s="3068">
        <f t="shared" si="1450"/>
        <v>-2865.4662235853821</v>
      </c>
      <c r="CJ156" s="3068">
        <f t="shared" si="1451"/>
        <v>-27.053776414618774</v>
      </c>
    </row>
    <row r="157" spans="1:91" ht="18.75" customHeight="1" x14ac:dyDescent="0.3">
      <c r="A157" s="3138" t="s">
        <v>3617</v>
      </c>
      <c r="B157" s="3276">
        <f>SUM(B27+B47+B79+B99)</f>
        <v>503.97250000000003</v>
      </c>
      <c r="C157" s="3276">
        <f t="shared" ref="C157:AE157" si="1508">SUM(C27+C47+C79+C99)</f>
        <v>501.94346823137425</v>
      </c>
      <c r="D157" s="3276">
        <f t="shared" si="1508"/>
        <v>2.029031768625766</v>
      </c>
      <c r="E157" s="3145">
        <f t="shared" si="1508"/>
        <v>149.22999999999999</v>
      </c>
      <c r="F157" s="3145">
        <f t="shared" si="1508"/>
        <v>149.22999999999999</v>
      </c>
      <c r="G157" s="3145">
        <f t="shared" si="1508"/>
        <v>0</v>
      </c>
      <c r="H157" s="3145">
        <f t="shared" si="1508"/>
        <v>128.86000000000001</v>
      </c>
      <c r="I157" s="3145">
        <f t="shared" si="1508"/>
        <v>128.86000000000001</v>
      </c>
      <c r="J157" s="3145">
        <f t="shared" si="1508"/>
        <v>0</v>
      </c>
      <c r="K157" s="3145">
        <f t="shared" si="1508"/>
        <v>152.16</v>
      </c>
      <c r="L157" s="3145">
        <f t="shared" si="1508"/>
        <v>152.16</v>
      </c>
      <c r="M157" s="3145">
        <f t="shared" si="1508"/>
        <v>0</v>
      </c>
      <c r="N157" s="3145">
        <f t="shared" si="1508"/>
        <v>430.25</v>
      </c>
      <c r="O157" s="3145">
        <f t="shared" si="1508"/>
        <v>430.25</v>
      </c>
      <c r="P157" s="3145">
        <f t="shared" si="1508"/>
        <v>0</v>
      </c>
      <c r="Q157" s="3276">
        <f t="shared" si="1508"/>
        <v>503.97250000000003</v>
      </c>
      <c r="R157" s="3276">
        <f t="shared" si="1508"/>
        <v>501.94346823137425</v>
      </c>
      <c r="S157" s="3276">
        <f t="shared" si="1508"/>
        <v>2.029031768625766</v>
      </c>
      <c r="T157" s="3145">
        <f t="shared" si="1508"/>
        <v>144.29</v>
      </c>
      <c r="U157" s="3145">
        <f t="shared" si="1508"/>
        <v>144.29</v>
      </c>
      <c r="V157" s="3145">
        <f t="shared" si="1508"/>
        <v>0</v>
      </c>
      <c r="W157" s="3145">
        <f t="shared" si="1508"/>
        <v>151.65</v>
      </c>
      <c r="X157" s="3145">
        <f t="shared" si="1508"/>
        <v>151.65</v>
      </c>
      <c r="Y157" s="3145">
        <f t="shared" si="1508"/>
        <v>0</v>
      </c>
      <c r="Z157" s="3145">
        <f t="shared" si="1508"/>
        <v>91.9</v>
      </c>
      <c r="AA157" s="3145">
        <f t="shared" si="1508"/>
        <v>91.9</v>
      </c>
      <c r="AB157" s="3145">
        <f t="shared" si="1508"/>
        <v>0</v>
      </c>
      <c r="AC157" s="3145">
        <f t="shared" si="1508"/>
        <v>387.84</v>
      </c>
      <c r="AD157" s="3145">
        <f t="shared" si="1508"/>
        <v>387.84</v>
      </c>
      <c r="AE157" s="3145">
        <f t="shared" si="1508"/>
        <v>0</v>
      </c>
      <c r="AF157" s="3283">
        <f>SUM(AF27+AF47+AF79+AF99)</f>
        <v>1007.9450000000001</v>
      </c>
      <c r="AG157" s="3283">
        <f t="shared" ref="AG157:AK157" si="1509">SUM(AG27+AG47+AG79+AG99)</f>
        <v>1003.8869364627485</v>
      </c>
      <c r="AH157" s="3283">
        <f t="shared" si="1509"/>
        <v>4.0580635372515319</v>
      </c>
      <c r="AI157" s="3179">
        <f t="shared" si="1509"/>
        <v>818.09</v>
      </c>
      <c r="AJ157" s="3179">
        <f t="shared" si="1509"/>
        <v>818.09</v>
      </c>
      <c r="AK157" s="3179">
        <f t="shared" si="1509"/>
        <v>0</v>
      </c>
      <c r="AL157" s="3068">
        <f t="shared" si="1455"/>
        <v>-189.85500000000002</v>
      </c>
      <c r="AM157" s="3068">
        <f t="shared" si="1456"/>
        <v>-185.79693646274848</v>
      </c>
      <c r="AN157" s="3068">
        <f t="shared" si="1457"/>
        <v>-4.0580635372515319</v>
      </c>
      <c r="AO157" s="3276">
        <f>SUM(AO27+AO47+AO79+AO99)</f>
        <v>503.97250000000003</v>
      </c>
      <c r="AP157" s="3276">
        <f t="shared" ref="AP157:BC157" si="1510">SUM(AP27+AP47+AP79+AP99)</f>
        <v>501.94346823137425</v>
      </c>
      <c r="AQ157" s="3276">
        <f t="shared" si="1510"/>
        <v>2.029031768625766</v>
      </c>
      <c r="AR157" s="3145">
        <f t="shared" si="1510"/>
        <v>99.79</v>
      </c>
      <c r="AS157" s="3145">
        <f t="shared" si="1510"/>
        <v>99.79</v>
      </c>
      <c r="AT157" s="3145">
        <f t="shared" si="1510"/>
        <v>0</v>
      </c>
      <c r="AU157" s="3145">
        <f t="shared" si="1510"/>
        <v>95.44</v>
      </c>
      <c r="AV157" s="3145">
        <f t="shared" si="1510"/>
        <v>95.44</v>
      </c>
      <c r="AW157" s="3145">
        <f t="shared" si="1510"/>
        <v>0</v>
      </c>
      <c r="AX157" s="3145">
        <f t="shared" si="1510"/>
        <v>151.79</v>
      </c>
      <c r="AY157" s="3145">
        <f t="shared" si="1510"/>
        <v>151.79</v>
      </c>
      <c r="AZ157" s="3145">
        <f t="shared" si="1510"/>
        <v>0</v>
      </c>
      <c r="BA157" s="3145">
        <f t="shared" si="1510"/>
        <v>347.02000000000004</v>
      </c>
      <c r="BB157" s="3145">
        <f t="shared" si="1510"/>
        <v>347.02000000000004</v>
      </c>
      <c r="BC157" s="3145">
        <f t="shared" si="1510"/>
        <v>0</v>
      </c>
      <c r="BD157" s="3283">
        <f>SUM(BD27+BD47+BD79+BD99)</f>
        <v>1511.9175</v>
      </c>
      <c r="BE157" s="3283">
        <f t="shared" ref="BE157:BI157" si="1511">SUM(BE27+BE47+BE79+BE99)</f>
        <v>1505.8304046941228</v>
      </c>
      <c r="BF157" s="3283">
        <f t="shared" si="1511"/>
        <v>6.0870953058772983</v>
      </c>
      <c r="BG157" s="3179">
        <f t="shared" si="1511"/>
        <v>1165.1100000000001</v>
      </c>
      <c r="BH157" s="3179">
        <f t="shared" si="1511"/>
        <v>1165.1100000000001</v>
      </c>
      <c r="BI157" s="3179">
        <f t="shared" si="1511"/>
        <v>0</v>
      </c>
      <c r="BJ157" s="3068">
        <f t="shared" si="1444"/>
        <v>-346.80749999999989</v>
      </c>
      <c r="BK157" s="3068">
        <f t="shared" si="1445"/>
        <v>-340.72040469412264</v>
      </c>
      <c r="BL157" s="3068">
        <f t="shared" si="1446"/>
        <v>-6.0870953058772983</v>
      </c>
      <c r="BM157" s="3276">
        <f>SUM(BM27+BM47+BM79+BM99)</f>
        <v>503.97250000000003</v>
      </c>
      <c r="BN157" s="3276">
        <f t="shared" ref="BN157:CA157" si="1512">SUM(BN27+BN47+BN79+BN99)</f>
        <v>501.94346823137425</v>
      </c>
      <c r="BO157" s="3276">
        <f t="shared" si="1512"/>
        <v>2.029031768625766</v>
      </c>
      <c r="BP157" s="3145">
        <f t="shared" si="1512"/>
        <v>0</v>
      </c>
      <c r="BQ157" s="3145">
        <f t="shared" si="1512"/>
        <v>0</v>
      </c>
      <c r="BR157" s="3145">
        <f t="shared" si="1512"/>
        <v>0</v>
      </c>
      <c r="BS157" s="3145">
        <f t="shared" si="1512"/>
        <v>0</v>
      </c>
      <c r="BT157" s="3145">
        <f t="shared" si="1512"/>
        <v>0</v>
      </c>
      <c r="BU157" s="3145">
        <f t="shared" si="1512"/>
        <v>0</v>
      </c>
      <c r="BV157" s="3145">
        <f t="shared" si="1512"/>
        <v>0</v>
      </c>
      <c r="BW157" s="3145">
        <f t="shared" si="1512"/>
        <v>0</v>
      </c>
      <c r="BX157" s="3145">
        <f t="shared" si="1512"/>
        <v>0</v>
      </c>
      <c r="BY157" s="3145">
        <f t="shared" si="1512"/>
        <v>0</v>
      </c>
      <c r="BZ157" s="3145">
        <f t="shared" si="1512"/>
        <v>0</v>
      </c>
      <c r="CA157" s="3145">
        <f t="shared" si="1512"/>
        <v>0</v>
      </c>
      <c r="CB157" s="3283">
        <f>SUM(CB27+CB47+CB79+CB99)</f>
        <v>2015.89</v>
      </c>
      <c r="CC157" s="3283">
        <f t="shared" ref="CC157:CG157" si="1513">SUM(CC27+CC47+CC79+CC99)</f>
        <v>2007.773872925497</v>
      </c>
      <c r="CD157" s="3283">
        <f t="shared" si="1513"/>
        <v>8.1161270745030638</v>
      </c>
      <c r="CE157" s="3179">
        <f t="shared" si="1513"/>
        <v>1165.1100000000001</v>
      </c>
      <c r="CF157" s="3179">
        <f t="shared" si="1513"/>
        <v>1165.1100000000001</v>
      </c>
      <c r="CG157" s="3179">
        <f t="shared" si="1513"/>
        <v>0</v>
      </c>
      <c r="CH157" s="3068">
        <f t="shared" si="1449"/>
        <v>-850.78</v>
      </c>
      <c r="CI157" s="3068">
        <f t="shared" si="1450"/>
        <v>-842.66387292549689</v>
      </c>
      <c r="CJ157" s="3068">
        <f t="shared" si="1451"/>
        <v>-8.1161270745030638</v>
      </c>
    </row>
    <row r="158" spans="1:91" ht="18.75" customHeight="1" x14ac:dyDescent="0.3">
      <c r="A158" s="3138" t="s">
        <v>31</v>
      </c>
      <c r="B158" s="3276">
        <f>SUM(B81)</f>
        <v>262.20767499999999</v>
      </c>
      <c r="C158" s="3276">
        <f t="shared" ref="C158:AE158" si="1514">SUM(C81)</f>
        <v>262.20767499999999</v>
      </c>
      <c r="D158" s="3276">
        <f t="shared" si="1514"/>
        <v>0</v>
      </c>
      <c r="E158" s="3145">
        <f t="shared" si="1514"/>
        <v>100.1</v>
      </c>
      <c r="F158" s="3145">
        <f t="shared" si="1514"/>
        <v>100.1</v>
      </c>
      <c r="G158" s="3145">
        <f t="shared" si="1514"/>
        <v>0</v>
      </c>
      <c r="H158" s="3145">
        <f t="shared" si="1514"/>
        <v>146.36000000000001</v>
      </c>
      <c r="I158" s="3145">
        <f t="shared" si="1514"/>
        <v>146.36000000000001</v>
      </c>
      <c r="J158" s="3145">
        <f t="shared" si="1514"/>
        <v>0</v>
      </c>
      <c r="K158" s="3145">
        <f t="shared" si="1514"/>
        <v>182.01999999999998</v>
      </c>
      <c r="L158" s="3145">
        <f t="shared" si="1514"/>
        <v>182.01999999999998</v>
      </c>
      <c r="M158" s="3145">
        <f t="shared" si="1514"/>
        <v>0</v>
      </c>
      <c r="N158" s="3145">
        <f t="shared" si="1514"/>
        <v>428.48</v>
      </c>
      <c r="O158" s="3145">
        <f t="shared" si="1514"/>
        <v>428.48</v>
      </c>
      <c r="P158" s="3145">
        <f t="shared" si="1514"/>
        <v>0</v>
      </c>
      <c r="Q158" s="3276">
        <f t="shared" si="1514"/>
        <v>262.20767499999999</v>
      </c>
      <c r="R158" s="3276">
        <f t="shared" si="1514"/>
        <v>262.20767499999999</v>
      </c>
      <c r="S158" s="3276">
        <f t="shared" si="1514"/>
        <v>0</v>
      </c>
      <c r="T158" s="3145">
        <f t="shared" si="1514"/>
        <v>108.65</v>
      </c>
      <c r="U158" s="3145">
        <f t="shared" si="1514"/>
        <v>108.65</v>
      </c>
      <c r="V158" s="3145">
        <f t="shared" si="1514"/>
        <v>0</v>
      </c>
      <c r="W158" s="3145">
        <f t="shared" si="1514"/>
        <v>148.64000000000001</v>
      </c>
      <c r="X158" s="3145">
        <f t="shared" si="1514"/>
        <v>148.64000000000001</v>
      </c>
      <c r="Y158" s="3145">
        <f t="shared" si="1514"/>
        <v>0</v>
      </c>
      <c r="Z158" s="3145">
        <f t="shared" si="1514"/>
        <v>137.64000000000001</v>
      </c>
      <c r="AA158" s="3145">
        <f t="shared" si="1514"/>
        <v>137.64000000000001</v>
      </c>
      <c r="AB158" s="3145">
        <f t="shared" si="1514"/>
        <v>0</v>
      </c>
      <c r="AC158" s="3145">
        <f t="shared" si="1514"/>
        <v>394.93000000000006</v>
      </c>
      <c r="AD158" s="3145">
        <f t="shared" si="1514"/>
        <v>394.93000000000006</v>
      </c>
      <c r="AE158" s="3145">
        <f t="shared" si="1514"/>
        <v>0</v>
      </c>
      <c r="AF158" s="3283">
        <f t="shared" ref="AF158:CB158" si="1515">SUM(AF81)</f>
        <v>524.41534999999999</v>
      </c>
      <c r="AG158" s="3283">
        <f t="shared" ref="AG158:AK158" si="1516">SUM(AG81)</f>
        <v>524.41534999999999</v>
      </c>
      <c r="AH158" s="3283">
        <f t="shared" si="1516"/>
        <v>0</v>
      </c>
      <c r="AI158" s="3179">
        <f t="shared" si="1516"/>
        <v>823.41000000000008</v>
      </c>
      <c r="AJ158" s="3179">
        <f t="shared" si="1516"/>
        <v>823.41000000000008</v>
      </c>
      <c r="AK158" s="3179">
        <f t="shared" si="1516"/>
        <v>0</v>
      </c>
      <c r="AL158" s="3068">
        <f t="shared" si="1455"/>
        <v>298.99465000000009</v>
      </c>
      <c r="AM158" s="3068">
        <f t="shared" si="1456"/>
        <v>298.99465000000009</v>
      </c>
      <c r="AN158" s="3068">
        <f t="shared" si="1457"/>
        <v>0</v>
      </c>
      <c r="AO158" s="3276">
        <f t="shared" si="1515"/>
        <v>262.20767499999999</v>
      </c>
      <c r="AP158" s="3276">
        <f t="shared" ref="AP158:BC158" si="1517">SUM(AP81)</f>
        <v>262.20767499999999</v>
      </c>
      <c r="AQ158" s="3276">
        <f t="shared" si="1517"/>
        <v>0</v>
      </c>
      <c r="AR158" s="3145">
        <f t="shared" si="1517"/>
        <v>113.63</v>
      </c>
      <c r="AS158" s="3145">
        <f t="shared" si="1517"/>
        <v>113.63</v>
      </c>
      <c r="AT158" s="3145">
        <f t="shared" si="1517"/>
        <v>0</v>
      </c>
      <c r="AU158" s="3145">
        <f t="shared" si="1517"/>
        <v>57.570000000000007</v>
      </c>
      <c r="AV158" s="3145">
        <f t="shared" si="1517"/>
        <v>57.570000000000007</v>
      </c>
      <c r="AW158" s="3145">
        <f t="shared" si="1517"/>
        <v>0</v>
      </c>
      <c r="AX158" s="3145">
        <f t="shared" si="1517"/>
        <v>166.1</v>
      </c>
      <c r="AY158" s="3145">
        <f t="shared" si="1517"/>
        <v>166.1</v>
      </c>
      <c r="AZ158" s="3145">
        <f t="shared" si="1517"/>
        <v>0</v>
      </c>
      <c r="BA158" s="3145">
        <f t="shared" si="1517"/>
        <v>337.29999999999995</v>
      </c>
      <c r="BB158" s="3145">
        <f t="shared" si="1517"/>
        <v>337.29999999999995</v>
      </c>
      <c r="BC158" s="3145">
        <f t="shared" si="1517"/>
        <v>0</v>
      </c>
      <c r="BD158" s="3283">
        <f t="shared" si="1515"/>
        <v>786.62302499999998</v>
      </c>
      <c r="BE158" s="3283">
        <f t="shared" ref="BE158:BI158" si="1518">SUM(BE81)</f>
        <v>786.62302499999998</v>
      </c>
      <c r="BF158" s="3283">
        <f t="shared" si="1518"/>
        <v>0</v>
      </c>
      <c r="BG158" s="3179">
        <f t="shared" si="1518"/>
        <v>1160.71</v>
      </c>
      <c r="BH158" s="3179">
        <f t="shared" si="1518"/>
        <v>1160.71</v>
      </c>
      <c r="BI158" s="3179">
        <f t="shared" si="1518"/>
        <v>0</v>
      </c>
      <c r="BJ158" s="3068">
        <f t="shared" si="1444"/>
        <v>374.08697500000005</v>
      </c>
      <c r="BK158" s="3068">
        <f t="shared" si="1445"/>
        <v>374.08697500000005</v>
      </c>
      <c r="BL158" s="3068">
        <f t="shared" si="1446"/>
        <v>0</v>
      </c>
      <c r="BM158" s="3276">
        <f t="shared" si="1515"/>
        <v>262.20767499999999</v>
      </c>
      <c r="BN158" s="3276">
        <f t="shared" ref="BN158:CA158" si="1519">SUM(BN81)</f>
        <v>262.20767499999999</v>
      </c>
      <c r="BO158" s="3276">
        <f t="shared" si="1519"/>
        <v>0</v>
      </c>
      <c r="BP158" s="3145">
        <f t="shared" si="1519"/>
        <v>0</v>
      </c>
      <c r="BQ158" s="3145">
        <f t="shared" si="1519"/>
        <v>0</v>
      </c>
      <c r="BR158" s="3145">
        <f t="shared" si="1519"/>
        <v>0</v>
      </c>
      <c r="BS158" s="3145">
        <f t="shared" si="1519"/>
        <v>0</v>
      </c>
      <c r="BT158" s="3145">
        <f t="shared" si="1519"/>
        <v>0</v>
      </c>
      <c r="BU158" s="3145">
        <f t="shared" si="1519"/>
        <v>0</v>
      </c>
      <c r="BV158" s="3145">
        <f t="shared" si="1519"/>
        <v>0</v>
      </c>
      <c r="BW158" s="3145">
        <f t="shared" si="1519"/>
        <v>0</v>
      </c>
      <c r="BX158" s="3145">
        <f t="shared" si="1519"/>
        <v>0</v>
      </c>
      <c r="BY158" s="3145">
        <f t="shared" si="1519"/>
        <v>0</v>
      </c>
      <c r="BZ158" s="3145">
        <f t="shared" si="1519"/>
        <v>0</v>
      </c>
      <c r="CA158" s="3145">
        <f t="shared" si="1519"/>
        <v>0</v>
      </c>
      <c r="CB158" s="3283">
        <f t="shared" si="1515"/>
        <v>1048.8307</v>
      </c>
      <c r="CC158" s="3283">
        <f t="shared" ref="CC158:CG158" si="1520">SUM(CC81)</f>
        <v>1048.8307</v>
      </c>
      <c r="CD158" s="3283">
        <f t="shared" si="1520"/>
        <v>0</v>
      </c>
      <c r="CE158" s="3179">
        <f t="shared" si="1520"/>
        <v>1160.71</v>
      </c>
      <c r="CF158" s="3179">
        <f t="shared" si="1520"/>
        <v>1160.71</v>
      </c>
      <c r="CG158" s="3179">
        <f t="shared" si="1520"/>
        <v>0</v>
      </c>
      <c r="CH158" s="3068">
        <f t="shared" si="1449"/>
        <v>111.87930000000006</v>
      </c>
      <c r="CI158" s="3068">
        <f t="shared" si="1450"/>
        <v>111.87930000000006</v>
      </c>
      <c r="CJ158" s="3068">
        <f t="shared" si="1451"/>
        <v>0</v>
      </c>
    </row>
    <row r="159" spans="1:91" ht="18.75" customHeight="1" x14ac:dyDescent="0.3">
      <c r="A159" s="3138" t="s">
        <v>295</v>
      </c>
      <c r="B159" s="3276">
        <f>SUM(B155-B156-B157-B158)</f>
        <v>1302.4640518750007</v>
      </c>
      <c r="C159" s="3276">
        <f t="shared" ref="C159:AE159" si="1521">SUM(C155-C156-C157-C158)</f>
        <v>1297.1350457760195</v>
      </c>
      <c r="D159" s="3276">
        <f t="shared" si="1521"/>
        <v>5.3290060989806651</v>
      </c>
      <c r="E159" s="3145">
        <f t="shared" si="1521"/>
        <v>200.67999999999998</v>
      </c>
      <c r="F159" s="3145">
        <f t="shared" si="1521"/>
        <v>200.67999999999998</v>
      </c>
      <c r="G159" s="3145">
        <f t="shared" si="1521"/>
        <v>0</v>
      </c>
      <c r="H159" s="3145">
        <f t="shared" si="1521"/>
        <v>319.69000000000005</v>
      </c>
      <c r="I159" s="3145">
        <f t="shared" si="1521"/>
        <v>319.69000000000005</v>
      </c>
      <c r="J159" s="3145">
        <f t="shared" si="1521"/>
        <v>0</v>
      </c>
      <c r="K159" s="3145">
        <f t="shared" si="1521"/>
        <v>412.33000000000004</v>
      </c>
      <c r="L159" s="3145">
        <f t="shared" si="1521"/>
        <v>412.33000000000004</v>
      </c>
      <c r="M159" s="3145">
        <f t="shared" si="1521"/>
        <v>0</v>
      </c>
      <c r="N159" s="3145">
        <f t="shared" si="1521"/>
        <v>932.70000000000027</v>
      </c>
      <c r="O159" s="3145">
        <f t="shared" si="1521"/>
        <v>932.70000000000027</v>
      </c>
      <c r="P159" s="3145">
        <f t="shared" si="1521"/>
        <v>0</v>
      </c>
      <c r="Q159" s="3276">
        <f t="shared" si="1521"/>
        <v>1302.4640518750007</v>
      </c>
      <c r="R159" s="3276">
        <f t="shared" si="1521"/>
        <v>1297.1350457760195</v>
      </c>
      <c r="S159" s="3276">
        <f t="shared" si="1521"/>
        <v>5.3290060989806651</v>
      </c>
      <c r="T159" s="3145">
        <f t="shared" si="1521"/>
        <v>302.53999999999996</v>
      </c>
      <c r="U159" s="3145">
        <f t="shared" si="1521"/>
        <v>302.53999999999996</v>
      </c>
      <c r="V159" s="3145">
        <f t="shared" si="1521"/>
        <v>0</v>
      </c>
      <c r="W159" s="3145">
        <f t="shared" si="1521"/>
        <v>204.79400000000018</v>
      </c>
      <c r="X159" s="3145">
        <f t="shared" si="1521"/>
        <v>204.79400000000018</v>
      </c>
      <c r="Y159" s="3145">
        <f t="shared" si="1521"/>
        <v>0</v>
      </c>
      <c r="Z159" s="3145">
        <f t="shared" si="1521"/>
        <v>677.798</v>
      </c>
      <c r="AA159" s="3145">
        <f t="shared" si="1521"/>
        <v>677.798</v>
      </c>
      <c r="AB159" s="3145">
        <f t="shared" si="1521"/>
        <v>0</v>
      </c>
      <c r="AC159" s="3145">
        <f t="shared" si="1521"/>
        <v>1185.1320000000003</v>
      </c>
      <c r="AD159" s="3145">
        <f t="shared" si="1521"/>
        <v>1185.1320000000003</v>
      </c>
      <c r="AE159" s="3145">
        <f t="shared" si="1521"/>
        <v>0</v>
      </c>
      <c r="AF159" s="3283">
        <f t="shared" ref="AF159:CB159" si="1522">SUM(AF155-AF156-AF157-AF158)</f>
        <v>2604.9281037500014</v>
      </c>
      <c r="AG159" s="3283">
        <f t="shared" ref="AG159:AK159" si="1523">SUM(AG155-AG156-AG157-AG158)</f>
        <v>2594.270091552039</v>
      </c>
      <c r="AH159" s="3283">
        <f t="shared" si="1523"/>
        <v>10.65801219796133</v>
      </c>
      <c r="AI159" s="3179">
        <f t="shared" si="1523"/>
        <v>2117.8320000000003</v>
      </c>
      <c r="AJ159" s="3179">
        <f t="shared" si="1523"/>
        <v>2117.8320000000003</v>
      </c>
      <c r="AK159" s="3179">
        <f t="shared" si="1523"/>
        <v>0</v>
      </c>
      <c r="AL159" s="3068">
        <f t="shared" si="1455"/>
        <v>-487.09610375000102</v>
      </c>
      <c r="AM159" s="3068">
        <f t="shared" si="1456"/>
        <v>-476.43809155203871</v>
      </c>
      <c r="AN159" s="3068">
        <f t="shared" si="1457"/>
        <v>-10.65801219796133</v>
      </c>
      <c r="AO159" s="3276">
        <f t="shared" si="1522"/>
        <v>1302.4640518750007</v>
      </c>
      <c r="AP159" s="3276">
        <f t="shared" ref="AP159:BC159" si="1524">SUM(AP155-AP156-AP157-AP158)</f>
        <v>1297.1350457760195</v>
      </c>
      <c r="AQ159" s="3276">
        <f t="shared" si="1524"/>
        <v>5.3290060989806651</v>
      </c>
      <c r="AR159" s="3145">
        <f t="shared" si="1524"/>
        <v>274.29000000000019</v>
      </c>
      <c r="AS159" s="3145">
        <f t="shared" si="1524"/>
        <v>274.29000000000019</v>
      </c>
      <c r="AT159" s="3145">
        <f t="shared" si="1524"/>
        <v>0</v>
      </c>
      <c r="AU159" s="3145">
        <f t="shared" si="1524"/>
        <v>371.88</v>
      </c>
      <c r="AV159" s="3145">
        <f t="shared" si="1524"/>
        <v>371.88</v>
      </c>
      <c r="AW159" s="3145">
        <f t="shared" si="1524"/>
        <v>0</v>
      </c>
      <c r="AX159" s="3145">
        <f t="shared" si="1524"/>
        <v>264.04000000000008</v>
      </c>
      <c r="AY159" s="3145">
        <f t="shared" si="1524"/>
        <v>264.04000000000008</v>
      </c>
      <c r="AZ159" s="3145">
        <f t="shared" si="1524"/>
        <v>0</v>
      </c>
      <c r="BA159" s="3145">
        <f t="shared" si="1524"/>
        <v>910.21</v>
      </c>
      <c r="BB159" s="3145">
        <f t="shared" si="1524"/>
        <v>910.21</v>
      </c>
      <c r="BC159" s="3145">
        <f t="shared" si="1524"/>
        <v>0</v>
      </c>
      <c r="BD159" s="3283">
        <f t="shared" si="1522"/>
        <v>3907.3921556249998</v>
      </c>
      <c r="BE159" s="3283">
        <f t="shared" ref="BE159:BI159" si="1525">SUM(BE155-BE156-BE157-BE158)</f>
        <v>3891.4051373280581</v>
      </c>
      <c r="BF159" s="3283">
        <f t="shared" si="1525"/>
        <v>15.98701829694199</v>
      </c>
      <c r="BG159" s="3179">
        <f t="shared" si="1525"/>
        <v>3028.0420000000004</v>
      </c>
      <c r="BH159" s="3179">
        <f t="shared" si="1525"/>
        <v>3028.0420000000004</v>
      </c>
      <c r="BI159" s="3179">
        <f t="shared" si="1525"/>
        <v>0</v>
      </c>
      <c r="BJ159" s="3068">
        <f t="shared" si="1444"/>
        <v>-879.35015562499939</v>
      </c>
      <c r="BK159" s="3068">
        <f t="shared" si="1445"/>
        <v>-863.36313732805775</v>
      </c>
      <c r="BL159" s="3068">
        <f t="shared" si="1446"/>
        <v>-15.98701829694199</v>
      </c>
      <c r="BM159" s="3276">
        <f t="shared" si="1522"/>
        <v>1302.4640518750007</v>
      </c>
      <c r="BN159" s="3276">
        <f t="shared" ref="BN159:CA159" si="1526">SUM(BN155-BN156-BN157-BN158)</f>
        <v>1297.1350457760195</v>
      </c>
      <c r="BO159" s="3276">
        <f t="shared" si="1526"/>
        <v>5.3290060989806651</v>
      </c>
      <c r="BP159" s="3145">
        <f t="shared" si="1526"/>
        <v>0</v>
      </c>
      <c r="BQ159" s="3145">
        <f t="shared" si="1526"/>
        <v>0</v>
      </c>
      <c r="BR159" s="3145">
        <f t="shared" si="1526"/>
        <v>0</v>
      </c>
      <c r="BS159" s="3145">
        <f t="shared" si="1526"/>
        <v>0</v>
      </c>
      <c r="BT159" s="3145">
        <f t="shared" si="1526"/>
        <v>0</v>
      </c>
      <c r="BU159" s="3145">
        <f t="shared" si="1526"/>
        <v>0</v>
      </c>
      <c r="BV159" s="3145">
        <f t="shared" si="1526"/>
        <v>0</v>
      </c>
      <c r="BW159" s="3145">
        <f t="shared" si="1526"/>
        <v>0</v>
      </c>
      <c r="BX159" s="3145">
        <f t="shared" si="1526"/>
        <v>0</v>
      </c>
      <c r="BY159" s="3145">
        <f t="shared" si="1526"/>
        <v>0</v>
      </c>
      <c r="BZ159" s="3145">
        <f t="shared" si="1526"/>
        <v>0</v>
      </c>
      <c r="CA159" s="3145">
        <f t="shared" si="1526"/>
        <v>0</v>
      </c>
      <c r="CB159" s="3283">
        <f t="shared" si="1522"/>
        <v>5209.8561815926241</v>
      </c>
      <c r="CC159" s="3283">
        <f t="shared" ref="CC159:CG159" si="1527">SUM(CC155-CC156-CC157-CC158)</f>
        <v>5188.5401571950915</v>
      </c>
      <c r="CD159" s="3283">
        <f t="shared" si="1527"/>
        <v>21.316024397533809</v>
      </c>
      <c r="CE159" s="3179">
        <f t="shared" si="1527"/>
        <v>3028.0420000000004</v>
      </c>
      <c r="CF159" s="3179">
        <f t="shared" si="1527"/>
        <v>6977.6278906149555</v>
      </c>
      <c r="CG159" s="3179">
        <f t="shared" si="1527"/>
        <v>56.485927885044497</v>
      </c>
      <c r="CH159" s="3068">
        <f t="shared" si="1449"/>
        <v>-2181.8141815926238</v>
      </c>
      <c r="CI159" s="3068">
        <f t="shared" si="1450"/>
        <v>1789.087733419864</v>
      </c>
      <c r="CJ159" s="3068">
        <f t="shared" si="1451"/>
        <v>35.169903487510688</v>
      </c>
    </row>
    <row r="160" spans="1:91" ht="18.75" customHeight="1" x14ac:dyDescent="0.3">
      <c r="A160" s="3135" t="s">
        <v>3602</v>
      </c>
      <c r="B160" s="3277">
        <f t="shared" ref="B160:CB160" si="1528">SUM(B107)</f>
        <v>252.41615507494686</v>
      </c>
      <c r="C160" s="3277">
        <f t="shared" ref="C160:AE160" si="1529">SUM(C107)</f>
        <v>250.93761194363461</v>
      </c>
      <c r="D160" s="3277">
        <f t="shared" si="1529"/>
        <v>1.4785431313122359</v>
      </c>
      <c r="E160" s="3136">
        <f t="shared" si="1529"/>
        <v>0</v>
      </c>
      <c r="F160" s="3136">
        <f t="shared" si="1529"/>
        <v>0</v>
      </c>
      <c r="G160" s="3136">
        <f t="shared" si="1529"/>
        <v>0</v>
      </c>
      <c r="H160" s="3136">
        <f t="shared" si="1529"/>
        <v>0</v>
      </c>
      <c r="I160" s="3136">
        <f t="shared" si="1529"/>
        <v>0</v>
      </c>
      <c r="J160" s="3136">
        <f t="shared" si="1529"/>
        <v>0</v>
      </c>
      <c r="K160" s="3136">
        <f t="shared" si="1529"/>
        <v>25.380000000000003</v>
      </c>
      <c r="L160" s="3136">
        <f t="shared" si="1529"/>
        <v>25.380000000000003</v>
      </c>
      <c r="M160" s="3136">
        <f t="shared" si="1529"/>
        <v>0</v>
      </c>
      <c r="N160" s="3136">
        <f t="shared" si="1529"/>
        <v>25.380000000000003</v>
      </c>
      <c r="O160" s="3136">
        <f t="shared" si="1529"/>
        <v>25.380000000000003</v>
      </c>
      <c r="P160" s="3136">
        <f t="shared" si="1529"/>
        <v>0</v>
      </c>
      <c r="Q160" s="3277">
        <f t="shared" si="1529"/>
        <v>252.41615507494686</v>
      </c>
      <c r="R160" s="3277">
        <f t="shared" si="1529"/>
        <v>250.93761194363461</v>
      </c>
      <c r="S160" s="3277">
        <f t="shared" si="1529"/>
        <v>1.4785431313122359</v>
      </c>
      <c r="T160" s="3136">
        <f t="shared" si="1529"/>
        <v>0</v>
      </c>
      <c r="U160" s="3136">
        <f t="shared" si="1529"/>
        <v>0</v>
      </c>
      <c r="V160" s="3136">
        <f t="shared" si="1529"/>
        <v>0</v>
      </c>
      <c r="W160" s="3136">
        <f t="shared" si="1529"/>
        <v>0</v>
      </c>
      <c r="X160" s="3136">
        <f t="shared" si="1529"/>
        <v>0</v>
      </c>
      <c r="Y160" s="3136">
        <f t="shared" si="1529"/>
        <v>0</v>
      </c>
      <c r="Z160" s="3136">
        <f t="shared" si="1529"/>
        <v>27.72</v>
      </c>
      <c r="AA160" s="3136">
        <f t="shared" si="1529"/>
        <v>27.72</v>
      </c>
      <c r="AB160" s="3136">
        <f t="shared" si="1529"/>
        <v>0</v>
      </c>
      <c r="AC160" s="3136">
        <f t="shared" si="1529"/>
        <v>27.72</v>
      </c>
      <c r="AD160" s="3136">
        <f t="shared" si="1529"/>
        <v>27.72</v>
      </c>
      <c r="AE160" s="3136">
        <f t="shared" si="1529"/>
        <v>0</v>
      </c>
      <c r="AF160" s="3287">
        <f t="shared" si="1528"/>
        <v>504.83231014989371</v>
      </c>
      <c r="AG160" s="3287">
        <f t="shared" ref="AG160:AK160" si="1530">SUM(AG107)</f>
        <v>501.87522388726921</v>
      </c>
      <c r="AH160" s="3287">
        <f t="shared" si="1530"/>
        <v>2.9570862626244718</v>
      </c>
      <c r="AI160" s="3180">
        <f t="shared" si="1530"/>
        <v>53.1</v>
      </c>
      <c r="AJ160" s="3180">
        <f t="shared" si="1530"/>
        <v>53.1</v>
      </c>
      <c r="AK160" s="3180">
        <f t="shared" si="1530"/>
        <v>0</v>
      </c>
      <c r="AL160" s="3062">
        <f t="shared" si="1455"/>
        <v>-451.73231014989369</v>
      </c>
      <c r="AM160" s="3062">
        <f t="shared" si="1456"/>
        <v>-448.77522388726919</v>
      </c>
      <c r="AN160" s="3062">
        <f t="shared" si="1457"/>
        <v>-2.9570862626244718</v>
      </c>
      <c r="AO160" s="3277">
        <f t="shared" si="1528"/>
        <v>252.41615507494686</v>
      </c>
      <c r="AP160" s="3277">
        <f t="shared" ref="AP160:BC160" si="1531">SUM(AP107)</f>
        <v>250.93761194363461</v>
      </c>
      <c r="AQ160" s="3277">
        <f t="shared" si="1531"/>
        <v>1.4785431313122359</v>
      </c>
      <c r="AR160" s="3136">
        <f t="shared" si="1531"/>
        <v>0</v>
      </c>
      <c r="AS160" s="3136">
        <f t="shared" si="1531"/>
        <v>0</v>
      </c>
      <c r="AT160" s="3136">
        <f t="shared" si="1531"/>
        <v>0</v>
      </c>
      <c r="AU160" s="3136">
        <f t="shared" si="1531"/>
        <v>0</v>
      </c>
      <c r="AV160" s="3136">
        <f t="shared" si="1531"/>
        <v>0</v>
      </c>
      <c r="AW160" s="3136">
        <f t="shared" si="1531"/>
        <v>0</v>
      </c>
      <c r="AX160" s="3136">
        <f t="shared" si="1531"/>
        <v>27.71</v>
      </c>
      <c r="AY160" s="3136">
        <f t="shared" si="1531"/>
        <v>27.71</v>
      </c>
      <c r="AZ160" s="3136">
        <f t="shared" si="1531"/>
        <v>0</v>
      </c>
      <c r="BA160" s="3136">
        <f t="shared" si="1531"/>
        <v>27.71</v>
      </c>
      <c r="BB160" s="3136">
        <f t="shared" si="1531"/>
        <v>27.71</v>
      </c>
      <c r="BC160" s="3136">
        <f t="shared" si="1531"/>
        <v>0</v>
      </c>
      <c r="BD160" s="3287">
        <f t="shared" si="1528"/>
        <v>757.24846522484052</v>
      </c>
      <c r="BE160" s="3287">
        <f t="shared" ref="BE160:BI160" si="1532">SUM(BE107)</f>
        <v>752.81283583090385</v>
      </c>
      <c r="BF160" s="3287">
        <f t="shared" si="1532"/>
        <v>4.4356293939367077</v>
      </c>
      <c r="BG160" s="3180">
        <f t="shared" si="1532"/>
        <v>80.81</v>
      </c>
      <c r="BH160" s="3180">
        <f t="shared" si="1532"/>
        <v>80.81</v>
      </c>
      <c r="BI160" s="3180">
        <f t="shared" si="1532"/>
        <v>0</v>
      </c>
      <c r="BJ160" s="3062">
        <f t="shared" si="1444"/>
        <v>-676.43846522484046</v>
      </c>
      <c r="BK160" s="3062">
        <f t="shared" si="1445"/>
        <v>-672.0028358309039</v>
      </c>
      <c r="BL160" s="3062">
        <f t="shared" si="1446"/>
        <v>-4.4356293939367077</v>
      </c>
      <c r="BM160" s="3277">
        <f t="shared" si="1528"/>
        <v>252.41615507494686</v>
      </c>
      <c r="BN160" s="3277">
        <f t="shared" ref="BN160:CA160" si="1533">SUM(BN107)</f>
        <v>250.93761194363461</v>
      </c>
      <c r="BO160" s="3277">
        <f t="shared" si="1533"/>
        <v>1.4785431313122359</v>
      </c>
      <c r="BP160" s="3136">
        <f t="shared" si="1533"/>
        <v>0</v>
      </c>
      <c r="BQ160" s="3136">
        <f t="shared" si="1533"/>
        <v>0</v>
      </c>
      <c r="BR160" s="3136">
        <f t="shared" si="1533"/>
        <v>0</v>
      </c>
      <c r="BS160" s="3136">
        <f t="shared" si="1533"/>
        <v>0</v>
      </c>
      <c r="BT160" s="3136">
        <f t="shared" si="1533"/>
        <v>0</v>
      </c>
      <c r="BU160" s="3136">
        <f t="shared" si="1533"/>
        <v>0</v>
      </c>
      <c r="BV160" s="3136">
        <f t="shared" si="1533"/>
        <v>0</v>
      </c>
      <c r="BW160" s="3136">
        <f t="shared" si="1533"/>
        <v>0</v>
      </c>
      <c r="BX160" s="3136">
        <f t="shared" si="1533"/>
        <v>0</v>
      </c>
      <c r="BY160" s="3136">
        <f t="shared" si="1533"/>
        <v>0</v>
      </c>
      <c r="BZ160" s="3136">
        <f t="shared" si="1533"/>
        <v>0</v>
      </c>
      <c r="CA160" s="3136">
        <f t="shared" si="1533"/>
        <v>0</v>
      </c>
      <c r="CB160" s="3287">
        <f t="shared" si="1528"/>
        <v>1009.6646202997874</v>
      </c>
      <c r="CC160" s="3287">
        <f t="shared" ref="CC160:CG160" si="1534">SUM(CC107)</f>
        <v>1003.7504477745384</v>
      </c>
      <c r="CD160" s="3287">
        <f t="shared" si="1534"/>
        <v>5.9141725252489437</v>
      </c>
      <c r="CE160" s="3180">
        <f t="shared" si="1534"/>
        <v>80.81</v>
      </c>
      <c r="CF160" s="3180">
        <f t="shared" si="1534"/>
        <v>80.81</v>
      </c>
      <c r="CG160" s="3180">
        <f t="shared" si="1534"/>
        <v>0</v>
      </c>
      <c r="CH160" s="3062">
        <f t="shared" si="1449"/>
        <v>-928.85462029978748</v>
      </c>
      <c r="CI160" s="3062">
        <f t="shared" si="1450"/>
        <v>-922.94044777453837</v>
      </c>
      <c r="CJ160" s="3062">
        <f t="shared" si="1451"/>
        <v>-5.9141725252489437</v>
      </c>
    </row>
    <row r="161" spans="1:88" ht="18.75" customHeight="1" x14ac:dyDescent="0.3">
      <c r="A161" s="3124" t="s">
        <v>3662</v>
      </c>
      <c r="B161" s="3276">
        <f t="shared" ref="B161:AK161" si="1535">SUM(B108)</f>
        <v>4.6096781699468004</v>
      </c>
      <c r="C161" s="3276">
        <f t="shared" si="1535"/>
        <v>4.5827120939774684</v>
      </c>
      <c r="D161" s="3276">
        <f t="shared" si="1535"/>
        <v>2.6966075969331808E-2</v>
      </c>
      <c r="E161" s="3145">
        <f t="shared" si="1535"/>
        <v>0</v>
      </c>
      <c r="F161" s="3145">
        <f t="shared" si="1535"/>
        <v>0</v>
      </c>
      <c r="G161" s="3145">
        <f t="shared" si="1535"/>
        <v>0</v>
      </c>
      <c r="H161" s="3145">
        <f t="shared" si="1535"/>
        <v>0</v>
      </c>
      <c r="I161" s="3145">
        <f t="shared" si="1535"/>
        <v>0</v>
      </c>
      <c r="J161" s="3145">
        <f t="shared" si="1535"/>
        <v>0</v>
      </c>
      <c r="K161" s="3145">
        <f t="shared" si="1535"/>
        <v>8.56</v>
      </c>
      <c r="L161" s="3145">
        <f t="shared" si="1535"/>
        <v>8.56</v>
      </c>
      <c r="M161" s="3145">
        <f t="shared" si="1535"/>
        <v>0</v>
      </c>
      <c r="N161" s="3145">
        <f t="shared" si="1535"/>
        <v>8.56</v>
      </c>
      <c r="O161" s="3145">
        <f t="shared" si="1535"/>
        <v>8.56</v>
      </c>
      <c r="P161" s="3145">
        <f t="shared" si="1535"/>
        <v>0</v>
      </c>
      <c r="Q161" s="3276">
        <f t="shared" si="1535"/>
        <v>4.6096781699468004</v>
      </c>
      <c r="R161" s="3276">
        <f t="shared" si="1535"/>
        <v>4.5827120939774684</v>
      </c>
      <c r="S161" s="3276">
        <f t="shared" si="1535"/>
        <v>2.6966075969331808E-2</v>
      </c>
      <c r="T161" s="3145">
        <f t="shared" si="1535"/>
        <v>0</v>
      </c>
      <c r="U161" s="3145">
        <f t="shared" si="1535"/>
        <v>0</v>
      </c>
      <c r="V161" s="3145">
        <f t="shared" si="1535"/>
        <v>0</v>
      </c>
      <c r="W161" s="3145">
        <f t="shared" si="1535"/>
        <v>0</v>
      </c>
      <c r="X161" s="3145">
        <f t="shared" si="1535"/>
        <v>0</v>
      </c>
      <c r="Y161" s="3145">
        <f t="shared" si="1535"/>
        <v>0</v>
      </c>
      <c r="Z161" s="3145">
        <f t="shared" si="1535"/>
        <v>8.56</v>
      </c>
      <c r="AA161" s="3145">
        <f t="shared" si="1535"/>
        <v>8.56</v>
      </c>
      <c r="AB161" s="3145">
        <f t="shared" si="1535"/>
        <v>0</v>
      </c>
      <c r="AC161" s="3145">
        <f t="shared" si="1535"/>
        <v>8.56</v>
      </c>
      <c r="AD161" s="3145">
        <f t="shared" si="1535"/>
        <v>8.56</v>
      </c>
      <c r="AE161" s="3145">
        <f t="shared" si="1535"/>
        <v>0</v>
      </c>
      <c r="AF161" s="3283">
        <f t="shared" si="1535"/>
        <v>9.2193563398936007</v>
      </c>
      <c r="AG161" s="3283">
        <f t="shared" si="1535"/>
        <v>9.1654241879549367</v>
      </c>
      <c r="AH161" s="3283">
        <f t="shared" si="1535"/>
        <v>5.3932151938663617E-2</v>
      </c>
      <c r="AI161" s="3179">
        <f t="shared" si="1535"/>
        <v>17.12</v>
      </c>
      <c r="AJ161" s="3179">
        <f t="shared" si="1535"/>
        <v>17.12</v>
      </c>
      <c r="AK161" s="3179">
        <f t="shared" si="1535"/>
        <v>0</v>
      </c>
      <c r="AL161" s="3068">
        <f t="shared" si="1455"/>
        <v>7.9006436601064003</v>
      </c>
      <c r="AM161" s="3068">
        <f t="shared" si="1456"/>
        <v>7.9545758120450643</v>
      </c>
      <c r="AN161" s="3068">
        <f t="shared" si="1457"/>
        <v>-5.3932151938663617E-2</v>
      </c>
      <c r="AO161" s="3276">
        <f t="shared" ref="AO161:AO169" si="1536">SUM(AO108)</f>
        <v>4.6096781699468004</v>
      </c>
      <c r="AP161" s="3276">
        <f t="shared" ref="AP161:BC161" si="1537">SUM(AP108)</f>
        <v>4.5827120939774684</v>
      </c>
      <c r="AQ161" s="3276">
        <f t="shared" si="1537"/>
        <v>2.6966075969331808E-2</v>
      </c>
      <c r="AR161" s="3145">
        <f t="shared" si="1537"/>
        <v>0</v>
      </c>
      <c r="AS161" s="3145">
        <f t="shared" si="1537"/>
        <v>0</v>
      </c>
      <c r="AT161" s="3145">
        <f t="shared" si="1537"/>
        <v>0</v>
      </c>
      <c r="AU161" s="3145">
        <f t="shared" si="1537"/>
        <v>0</v>
      </c>
      <c r="AV161" s="3145">
        <f t="shared" si="1537"/>
        <v>0</v>
      </c>
      <c r="AW161" s="3145">
        <f t="shared" si="1537"/>
        <v>0</v>
      </c>
      <c r="AX161" s="3145">
        <f t="shared" si="1537"/>
        <v>8.5500000000000007</v>
      </c>
      <c r="AY161" s="3145">
        <f t="shared" si="1537"/>
        <v>8.5500000000000007</v>
      </c>
      <c r="AZ161" s="3145">
        <f t="shared" si="1537"/>
        <v>0</v>
      </c>
      <c r="BA161" s="3145">
        <f t="shared" si="1537"/>
        <v>8.5500000000000007</v>
      </c>
      <c r="BB161" s="3145">
        <f t="shared" si="1537"/>
        <v>8.5500000000000007</v>
      </c>
      <c r="BC161" s="3145">
        <f t="shared" si="1537"/>
        <v>0</v>
      </c>
      <c r="BD161" s="3283">
        <f t="shared" ref="BD161:BI169" si="1538">SUM(BD108)</f>
        <v>13.829034509840401</v>
      </c>
      <c r="BE161" s="3283">
        <f t="shared" si="1538"/>
        <v>13.748136281932405</v>
      </c>
      <c r="BF161" s="3283">
        <f t="shared" si="1538"/>
        <v>8.0898227907995418E-2</v>
      </c>
      <c r="BG161" s="3179">
        <f t="shared" si="1538"/>
        <v>25.67</v>
      </c>
      <c r="BH161" s="3179">
        <f t="shared" si="1538"/>
        <v>25.67</v>
      </c>
      <c r="BI161" s="3179">
        <f t="shared" si="1538"/>
        <v>0</v>
      </c>
      <c r="BJ161" s="3068">
        <f t="shared" si="1444"/>
        <v>11.840965490159601</v>
      </c>
      <c r="BK161" s="3068">
        <f t="shared" si="1445"/>
        <v>11.921863718067597</v>
      </c>
      <c r="BL161" s="3068">
        <f t="shared" si="1446"/>
        <v>-8.0898227907995418E-2</v>
      </c>
      <c r="BM161" s="3276">
        <f t="shared" ref="BM161:CG161" si="1539">SUM(BM108)</f>
        <v>4.6096781699468004</v>
      </c>
      <c r="BN161" s="3276">
        <f t="shared" si="1539"/>
        <v>4.5827120939774684</v>
      </c>
      <c r="BO161" s="3276">
        <f t="shared" si="1539"/>
        <v>2.6966075969331808E-2</v>
      </c>
      <c r="BP161" s="3145">
        <f t="shared" si="1539"/>
        <v>0</v>
      </c>
      <c r="BQ161" s="3145">
        <f t="shared" si="1539"/>
        <v>0</v>
      </c>
      <c r="BR161" s="3145">
        <f t="shared" si="1539"/>
        <v>0</v>
      </c>
      <c r="BS161" s="3145">
        <f t="shared" si="1539"/>
        <v>0</v>
      </c>
      <c r="BT161" s="3145">
        <f t="shared" si="1539"/>
        <v>0</v>
      </c>
      <c r="BU161" s="3145">
        <f t="shared" si="1539"/>
        <v>0</v>
      </c>
      <c r="BV161" s="3145">
        <f t="shared" si="1539"/>
        <v>0</v>
      </c>
      <c r="BW161" s="3145">
        <f t="shared" si="1539"/>
        <v>0</v>
      </c>
      <c r="BX161" s="3145">
        <f t="shared" si="1539"/>
        <v>0</v>
      </c>
      <c r="BY161" s="3145">
        <f t="shared" si="1539"/>
        <v>0</v>
      </c>
      <c r="BZ161" s="3145">
        <f t="shared" si="1539"/>
        <v>0</v>
      </c>
      <c r="CA161" s="3145">
        <f t="shared" si="1539"/>
        <v>0</v>
      </c>
      <c r="CB161" s="3283">
        <f t="shared" si="1539"/>
        <v>18.438712679787201</v>
      </c>
      <c r="CC161" s="3283">
        <f t="shared" si="1539"/>
        <v>18.330848375909873</v>
      </c>
      <c r="CD161" s="3283">
        <f t="shared" si="1539"/>
        <v>0.10786430387732723</v>
      </c>
      <c r="CE161" s="3179">
        <f t="shared" si="1539"/>
        <v>25.67</v>
      </c>
      <c r="CF161" s="3179">
        <f t="shared" si="1539"/>
        <v>25.67</v>
      </c>
      <c r="CG161" s="3179">
        <f t="shared" si="1539"/>
        <v>0</v>
      </c>
      <c r="CH161" s="3068">
        <f t="shared" si="1449"/>
        <v>7.2312873202128003</v>
      </c>
      <c r="CI161" s="3068">
        <f t="shared" si="1450"/>
        <v>7.3391516240901282</v>
      </c>
      <c r="CJ161" s="3068">
        <f t="shared" si="1451"/>
        <v>-0.10786430387732723</v>
      </c>
    </row>
    <row r="162" spans="1:88" ht="18.75" customHeight="1" x14ac:dyDescent="0.3">
      <c r="A162" s="3124" t="s">
        <v>533</v>
      </c>
      <c r="B162" s="3276">
        <f t="shared" ref="B162:AK162" si="1540">SUM(B109)</f>
        <v>10.78</v>
      </c>
      <c r="C162" s="3276">
        <f t="shared" si="1540"/>
        <v>10.715</v>
      </c>
      <c r="D162" s="3276">
        <f t="shared" si="1540"/>
        <v>6.5000000000000002E-2</v>
      </c>
      <c r="E162" s="3145">
        <f t="shared" si="1540"/>
        <v>0</v>
      </c>
      <c r="F162" s="3145">
        <f t="shared" si="1540"/>
        <v>0</v>
      </c>
      <c r="G162" s="3145">
        <f t="shared" si="1540"/>
        <v>0</v>
      </c>
      <c r="H162" s="3145">
        <f t="shared" si="1540"/>
        <v>0</v>
      </c>
      <c r="I162" s="3145">
        <f t="shared" si="1540"/>
        <v>0</v>
      </c>
      <c r="J162" s="3145">
        <f t="shared" si="1540"/>
        <v>0</v>
      </c>
      <c r="K162" s="3145">
        <f t="shared" si="1540"/>
        <v>16.82</v>
      </c>
      <c r="L162" s="3145">
        <f t="shared" si="1540"/>
        <v>16.82</v>
      </c>
      <c r="M162" s="3145">
        <f t="shared" si="1540"/>
        <v>0</v>
      </c>
      <c r="N162" s="3145">
        <f t="shared" si="1540"/>
        <v>16.82</v>
      </c>
      <c r="O162" s="3145">
        <f t="shared" si="1540"/>
        <v>16.82</v>
      </c>
      <c r="P162" s="3145">
        <f t="shared" si="1540"/>
        <v>0</v>
      </c>
      <c r="Q162" s="3276">
        <f t="shared" si="1540"/>
        <v>10.78</v>
      </c>
      <c r="R162" s="3276">
        <f t="shared" si="1540"/>
        <v>10.715</v>
      </c>
      <c r="S162" s="3276">
        <f t="shared" si="1540"/>
        <v>6.5000000000000002E-2</v>
      </c>
      <c r="T162" s="3145">
        <f t="shared" si="1540"/>
        <v>0</v>
      </c>
      <c r="U162" s="3145">
        <f t="shared" si="1540"/>
        <v>0</v>
      </c>
      <c r="V162" s="3145">
        <f t="shared" si="1540"/>
        <v>0</v>
      </c>
      <c r="W162" s="3145">
        <f t="shared" si="1540"/>
        <v>0</v>
      </c>
      <c r="X162" s="3145">
        <f t="shared" si="1540"/>
        <v>0</v>
      </c>
      <c r="Y162" s="3145">
        <f t="shared" si="1540"/>
        <v>0</v>
      </c>
      <c r="Z162" s="3145">
        <f t="shared" si="1540"/>
        <v>19.16</v>
      </c>
      <c r="AA162" s="3145">
        <f t="shared" si="1540"/>
        <v>19.16</v>
      </c>
      <c r="AB162" s="3145">
        <f t="shared" si="1540"/>
        <v>0</v>
      </c>
      <c r="AC162" s="3145">
        <f t="shared" si="1540"/>
        <v>19.16</v>
      </c>
      <c r="AD162" s="3145">
        <f t="shared" si="1540"/>
        <v>19.16</v>
      </c>
      <c r="AE162" s="3145">
        <f t="shared" si="1540"/>
        <v>0</v>
      </c>
      <c r="AF162" s="3283">
        <f t="shared" si="1540"/>
        <v>21.56</v>
      </c>
      <c r="AG162" s="3283">
        <f t="shared" si="1540"/>
        <v>21.43</v>
      </c>
      <c r="AH162" s="3283">
        <f t="shared" si="1540"/>
        <v>0.13</v>
      </c>
      <c r="AI162" s="3179">
        <f t="shared" si="1540"/>
        <v>35.980000000000004</v>
      </c>
      <c r="AJ162" s="3179">
        <f t="shared" si="1540"/>
        <v>35.980000000000004</v>
      </c>
      <c r="AK162" s="3179">
        <f t="shared" si="1540"/>
        <v>0</v>
      </c>
      <c r="AL162" s="3068">
        <f t="shared" si="1455"/>
        <v>14.420000000000005</v>
      </c>
      <c r="AM162" s="3068">
        <f t="shared" si="1456"/>
        <v>14.550000000000004</v>
      </c>
      <c r="AN162" s="3068">
        <f t="shared" si="1457"/>
        <v>-0.13</v>
      </c>
      <c r="AO162" s="3276">
        <f t="shared" si="1536"/>
        <v>10.78</v>
      </c>
      <c r="AP162" s="3276">
        <f t="shared" ref="AP162:BC162" si="1541">SUM(AP109)</f>
        <v>10.715</v>
      </c>
      <c r="AQ162" s="3276">
        <f t="shared" si="1541"/>
        <v>6.5000000000000002E-2</v>
      </c>
      <c r="AR162" s="3145">
        <f t="shared" si="1541"/>
        <v>0</v>
      </c>
      <c r="AS162" s="3145">
        <f t="shared" si="1541"/>
        <v>0</v>
      </c>
      <c r="AT162" s="3145">
        <f t="shared" si="1541"/>
        <v>0</v>
      </c>
      <c r="AU162" s="3145">
        <f t="shared" si="1541"/>
        <v>0</v>
      </c>
      <c r="AV162" s="3145">
        <f t="shared" si="1541"/>
        <v>0</v>
      </c>
      <c r="AW162" s="3145">
        <f t="shared" si="1541"/>
        <v>0</v>
      </c>
      <c r="AX162" s="3145">
        <f t="shared" si="1541"/>
        <v>19.16</v>
      </c>
      <c r="AY162" s="3145">
        <f t="shared" si="1541"/>
        <v>19.16</v>
      </c>
      <c r="AZ162" s="3145">
        <f t="shared" si="1541"/>
        <v>0</v>
      </c>
      <c r="BA162" s="3145">
        <f t="shared" si="1541"/>
        <v>19.16</v>
      </c>
      <c r="BB162" s="3145">
        <f t="shared" si="1541"/>
        <v>19.16</v>
      </c>
      <c r="BC162" s="3145">
        <f t="shared" si="1541"/>
        <v>0</v>
      </c>
      <c r="BD162" s="3283">
        <f t="shared" si="1538"/>
        <v>32.339999999999996</v>
      </c>
      <c r="BE162" s="3283">
        <f t="shared" si="1538"/>
        <v>32.144999999999996</v>
      </c>
      <c r="BF162" s="3283">
        <f t="shared" si="1538"/>
        <v>0.19500000000000001</v>
      </c>
      <c r="BG162" s="3179">
        <f t="shared" si="1538"/>
        <v>55.14</v>
      </c>
      <c r="BH162" s="3179">
        <f t="shared" si="1538"/>
        <v>55.14</v>
      </c>
      <c r="BI162" s="3179">
        <f t="shared" si="1538"/>
        <v>0</v>
      </c>
      <c r="BJ162" s="3068">
        <f t="shared" si="1444"/>
        <v>22.800000000000004</v>
      </c>
      <c r="BK162" s="3068">
        <f t="shared" si="1445"/>
        <v>22.995000000000005</v>
      </c>
      <c r="BL162" s="3068">
        <f t="shared" si="1446"/>
        <v>-0.19500000000000001</v>
      </c>
      <c r="BM162" s="3276">
        <f t="shared" ref="BM162:CG162" si="1542">SUM(BM109)</f>
        <v>10.78</v>
      </c>
      <c r="BN162" s="3276">
        <f t="shared" si="1542"/>
        <v>10.715</v>
      </c>
      <c r="BO162" s="3276">
        <f t="shared" si="1542"/>
        <v>6.5000000000000002E-2</v>
      </c>
      <c r="BP162" s="3145">
        <f t="shared" si="1542"/>
        <v>0</v>
      </c>
      <c r="BQ162" s="3145">
        <f t="shared" si="1542"/>
        <v>0</v>
      </c>
      <c r="BR162" s="3145">
        <f t="shared" si="1542"/>
        <v>0</v>
      </c>
      <c r="BS162" s="3145">
        <f t="shared" si="1542"/>
        <v>0</v>
      </c>
      <c r="BT162" s="3145">
        <f t="shared" si="1542"/>
        <v>0</v>
      </c>
      <c r="BU162" s="3145">
        <f t="shared" si="1542"/>
        <v>0</v>
      </c>
      <c r="BV162" s="3145">
        <f t="shared" si="1542"/>
        <v>0</v>
      </c>
      <c r="BW162" s="3145">
        <f t="shared" si="1542"/>
        <v>0</v>
      </c>
      <c r="BX162" s="3145">
        <f t="shared" si="1542"/>
        <v>0</v>
      </c>
      <c r="BY162" s="3145">
        <f t="shared" si="1542"/>
        <v>0</v>
      </c>
      <c r="BZ162" s="3145">
        <f t="shared" si="1542"/>
        <v>0</v>
      </c>
      <c r="CA162" s="3145">
        <f t="shared" si="1542"/>
        <v>0</v>
      </c>
      <c r="CB162" s="3283">
        <f t="shared" si="1542"/>
        <v>43.12</v>
      </c>
      <c r="CC162" s="3283">
        <f t="shared" si="1542"/>
        <v>42.86</v>
      </c>
      <c r="CD162" s="3283">
        <f t="shared" si="1542"/>
        <v>0.26</v>
      </c>
      <c r="CE162" s="3179">
        <f t="shared" si="1542"/>
        <v>55.14</v>
      </c>
      <c r="CF162" s="3179">
        <f t="shared" si="1542"/>
        <v>55.14</v>
      </c>
      <c r="CG162" s="3179">
        <f t="shared" si="1542"/>
        <v>0</v>
      </c>
      <c r="CH162" s="3068">
        <f t="shared" si="1449"/>
        <v>12.020000000000003</v>
      </c>
      <c r="CI162" s="3068">
        <f t="shared" si="1450"/>
        <v>12.280000000000001</v>
      </c>
      <c r="CJ162" s="3068">
        <f t="shared" si="1451"/>
        <v>-0.26</v>
      </c>
    </row>
    <row r="163" spans="1:88" ht="18.75" customHeight="1" x14ac:dyDescent="0.3">
      <c r="A163" s="3124" t="s">
        <v>535</v>
      </c>
      <c r="B163" s="3276">
        <f t="shared" ref="B163:AK163" si="1543">SUM(B110)</f>
        <v>237.02647690500004</v>
      </c>
      <c r="C163" s="3276">
        <f t="shared" si="1543"/>
        <v>235.63989984965713</v>
      </c>
      <c r="D163" s="3276">
        <f t="shared" si="1543"/>
        <v>1.3865770553429042</v>
      </c>
      <c r="E163" s="3145">
        <f t="shared" si="1543"/>
        <v>0</v>
      </c>
      <c r="F163" s="3145">
        <f t="shared" si="1543"/>
        <v>0</v>
      </c>
      <c r="G163" s="3145">
        <f t="shared" si="1543"/>
        <v>0</v>
      </c>
      <c r="H163" s="3145">
        <f t="shared" si="1543"/>
        <v>0</v>
      </c>
      <c r="I163" s="3145">
        <f t="shared" si="1543"/>
        <v>0</v>
      </c>
      <c r="J163" s="3145">
        <f t="shared" si="1543"/>
        <v>0</v>
      </c>
      <c r="K163" s="3145">
        <f t="shared" si="1543"/>
        <v>0</v>
      </c>
      <c r="L163" s="3145">
        <f t="shared" si="1543"/>
        <v>0</v>
      </c>
      <c r="M163" s="3145">
        <f t="shared" si="1543"/>
        <v>0</v>
      </c>
      <c r="N163" s="3145">
        <f t="shared" si="1543"/>
        <v>0</v>
      </c>
      <c r="O163" s="3145">
        <f t="shared" si="1543"/>
        <v>0</v>
      </c>
      <c r="P163" s="3145">
        <f t="shared" si="1543"/>
        <v>0</v>
      </c>
      <c r="Q163" s="3276">
        <f t="shared" si="1543"/>
        <v>237.02647690500004</v>
      </c>
      <c r="R163" s="3276">
        <f t="shared" si="1543"/>
        <v>235.63989984965713</v>
      </c>
      <c r="S163" s="3276">
        <f t="shared" si="1543"/>
        <v>1.3865770553429042</v>
      </c>
      <c r="T163" s="3145">
        <f t="shared" si="1543"/>
        <v>0</v>
      </c>
      <c r="U163" s="3145">
        <f t="shared" si="1543"/>
        <v>0</v>
      </c>
      <c r="V163" s="3145">
        <f t="shared" si="1543"/>
        <v>0</v>
      </c>
      <c r="W163" s="3145">
        <f t="shared" si="1543"/>
        <v>0</v>
      </c>
      <c r="X163" s="3145">
        <f t="shared" si="1543"/>
        <v>0</v>
      </c>
      <c r="Y163" s="3145">
        <f t="shared" si="1543"/>
        <v>0</v>
      </c>
      <c r="Z163" s="3145">
        <f t="shared" si="1543"/>
        <v>0</v>
      </c>
      <c r="AA163" s="3145">
        <f t="shared" si="1543"/>
        <v>0</v>
      </c>
      <c r="AB163" s="3145">
        <f t="shared" si="1543"/>
        <v>0</v>
      </c>
      <c r="AC163" s="3145">
        <f t="shared" si="1543"/>
        <v>0</v>
      </c>
      <c r="AD163" s="3145">
        <f t="shared" si="1543"/>
        <v>0</v>
      </c>
      <c r="AE163" s="3145">
        <f t="shared" si="1543"/>
        <v>0</v>
      </c>
      <c r="AF163" s="3283">
        <f t="shared" si="1543"/>
        <v>474.05295381000008</v>
      </c>
      <c r="AG163" s="3283">
        <f t="shared" si="1543"/>
        <v>471.27979969931425</v>
      </c>
      <c r="AH163" s="3283">
        <f t="shared" si="1543"/>
        <v>2.7731541106858084</v>
      </c>
      <c r="AI163" s="3179">
        <f t="shared" si="1543"/>
        <v>0</v>
      </c>
      <c r="AJ163" s="3179">
        <f t="shared" si="1543"/>
        <v>0</v>
      </c>
      <c r="AK163" s="3179">
        <f t="shared" si="1543"/>
        <v>0</v>
      </c>
      <c r="AL163" s="3068">
        <f t="shared" si="1455"/>
        <v>-474.05295381000008</v>
      </c>
      <c r="AM163" s="3068">
        <f t="shared" si="1456"/>
        <v>-471.27979969931425</v>
      </c>
      <c r="AN163" s="3068">
        <f t="shared" si="1457"/>
        <v>-2.7731541106858084</v>
      </c>
      <c r="AO163" s="3276">
        <f t="shared" si="1536"/>
        <v>237.02647690500004</v>
      </c>
      <c r="AP163" s="3276">
        <f t="shared" ref="AP163:BC163" si="1544">SUM(AP110)</f>
        <v>235.63989984965713</v>
      </c>
      <c r="AQ163" s="3276">
        <f t="shared" si="1544"/>
        <v>1.3865770553429042</v>
      </c>
      <c r="AR163" s="3145">
        <f t="shared" si="1544"/>
        <v>0</v>
      </c>
      <c r="AS163" s="3145">
        <f t="shared" si="1544"/>
        <v>0</v>
      </c>
      <c r="AT163" s="3145">
        <f t="shared" si="1544"/>
        <v>0</v>
      </c>
      <c r="AU163" s="3145">
        <f t="shared" si="1544"/>
        <v>0</v>
      </c>
      <c r="AV163" s="3145">
        <f t="shared" si="1544"/>
        <v>0</v>
      </c>
      <c r="AW163" s="3145">
        <f t="shared" si="1544"/>
        <v>0</v>
      </c>
      <c r="AX163" s="3145">
        <f t="shared" si="1544"/>
        <v>0</v>
      </c>
      <c r="AY163" s="3145">
        <f t="shared" si="1544"/>
        <v>0</v>
      </c>
      <c r="AZ163" s="3145">
        <f t="shared" si="1544"/>
        <v>0</v>
      </c>
      <c r="BA163" s="3145">
        <f t="shared" si="1544"/>
        <v>0</v>
      </c>
      <c r="BB163" s="3145">
        <f t="shared" si="1544"/>
        <v>0</v>
      </c>
      <c r="BC163" s="3145">
        <f t="shared" si="1544"/>
        <v>0</v>
      </c>
      <c r="BD163" s="3283">
        <f t="shared" si="1538"/>
        <v>711.07943071500006</v>
      </c>
      <c r="BE163" s="3283">
        <f t="shared" si="1538"/>
        <v>706.91969954897138</v>
      </c>
      <c r="BF163" s="3283">
        <f t="shared" si="1538"/>
        <v>4.1597311660287124</v>
      </c>
      <c r="BG163" s="3179">
        <f t="shared" si="1538"/>
        <v>0</v>
      </c>
      <c r="BH163" s="3179">
        <f t="shared" si="1538"/>
        <v>0</v>
      </c>
      <c r="BI163" s="3179">
        <f t="shared" si="1538"/>
        <v>0</v>
      </c>
      <c r="BJ163" s="3068">
        <f t="shared" si="1444"/>
        <v>-711.07943071500006</v>
      </c>
      <c r="BK163" s="3068">
        <f t="shared" si="1445"/>
        <v>-706.91969954897138</v>
      </c>
      <c r="BL163" s="3068">
        <f t="shared" si="1446"/>
        <v>-4.1597311660287124</v>
      </c>
      <c r="BM163" s="3276">
        <f t="shared" ref="BM163:CG163" si="1545">SUM(BM110)</f>
        <v>237.02647690500004</v>
      </c>
      <c r="BN163" s="3276">
        <f t="shared" si="1545"/>
        <v>235.63989984965713</v>
      </c>
      <c r="BO163" s="3276">
        <f t="shared" si="1545"/>
        <v>1.3865770553429042</v>
      </c>
      <c r="BP163" s="3145">
        <f t="shared" si="1545"/>
        <v>0</v>
      </c>
      <c r="BQ163" s="3145">
        <f t="shared" si="1545"/>
        <v>0</v>
      </c>
      <c r="BR163" s="3145">
        <f t="shared" si="1545"/>
        <v>0</v>
      </c>
      <c r="BS163" s="3145">
        <f t="shared" si="1545"/>
        <v>0</v>
      </c>
      <c r="BT163" s="3145">
        <f t="shared" si="1545"/>
        <v>0</v>
      </c>
      <c r="BU163" s="3145">
        <f t="shared" si="1545"/>
        <v>0</v>
      </c>
      <c r="BV163" s="3145">
        <f t="shared" si="1545"/>
        <v>0</v>
      </c>
      <c r="BW163" s="3145">
        <f t="shared" si="1545"/>
        <v>0</v>
      </c>
      <c r="BX163" s="3145">
        <f t="shared" si="1545"/>
        <v>0</v>
      </c>
      <c r="BY163" s="3145">
        <f t="shared" si="1545"/>
        <v>0</v>
      </c>
      <c r="BZ163" s="3145">
        <f t="shared" si="1545"/>
        <v>0</v>
      </c>
      <c r="CA163" s="3145">
        <f t="shared" si="1545"/>
        <v>0</v>
      </c>
      <c r="CB163" s="3283">
        <f t="shared" si="1545"/>
        <v>948.10590762000015</v>
      </c>
      <c r="CC163" s="3283">
        <f t="shared" si="1545"/>
        <v>942.55959939862851</v>
      </c>
      <c r="CD163" s="3283">
        <f t="shared" si="1545"/>
        <v>5.5463082213716168</v>
      </c>
      <c r="CE163" s="3179">
        <f t="shared" si="1545"/>
        <v>0</v>
      </c>
      <c r="CF163" s="3179">
        <f t="shared" si="1545"/>
        <v>0</v>
      </c>
      <c r="CG163" s="3179">
        <f t="shared" si="1545"/>
        <v>0</v>
      </c>
      <c r="CH163" s="3068">
        <f t="shared" si="1449"/>
        <v>-948.10590762000015</v>
      </c>
      <c r="CI163" s="3068">
        <f t="shared" si="1450"/>
        <v>-942.55959939862851</v>
      </c>
      <c r="CJ163" s="3068">
        <f t="shared" si="1451"/>
        <v>-5.5463082213716168</v>
      </c>
    </row>
    <row r="164" spans="1:88" ht="18.75" customHeight="1" x14ac:dyDescent="0.3">
      <c r="A164" s="3135" t="s">
        <v>3618</v>
      </c>
      <c r="B164" s="3277">
        <f t="shared" ref="B164:AK164" si="1546">SUM(B111)</f>
        <v>3635.6810500000001</v>
      </c>
      <c r="C164" s="3277">
        <f t="shared" si="1546"/>
        <v>3635.333992850482</v>
      </c>
      <c r="D164" s="3277">
        <f t="shared" si="1546"/>
        <v>0.34705714951827904</v>
      </c>
      <c r="E164" s="3136">
        <f t="shared" si="1546"/>
        <v>884.22900000000004</v>
      </c>
      <c r="F164" s="3136">
        <f t="shared" si="1546"/>
        <v>881.76</v>
      </c>
      <c r="G164" s="3136">
        <f t="shared" si="1546"/>
        <v>2.4689999999999994</v>
      </c>
      <c r="H164" s="3136">
        <f t="shared" si="1546"/>
        <v>795.31700000000001</v>
      </c>
      <c r="I164" s="3136">
        <f t="shared" si="1546"/>
        <v>793.01</v>
      </c>
      <c r="J164" s="3136">
        <f t="shared" si="1546"/>
        <v>2.3069999999999995</v>
      </c>
      <c r="K164" s="3136">
        <f t="shared" si="1546"/>
        <v>823.30099999999993</v>
      </c>
      <c r="L164" s="3136">
        <f t="shared" si="1546"/>
        <v>821.18</v>
      </c>
      <c r="M164" s="3136">
        <f t="shared" si="1546"/>
        <v>2.121</v>
      </c>
      <c r="N164" s="3136">
        <f t="shared" si="1546"/>
        <v>2502.8469999999998</v>
      </c>
      <c r="O164" s="3136">
        <f t="shared" si="1546"/>
        <v>2495.9499999999998</v>
      </c>
      <c r="P164" s="3136">
        <f t="shared" si="1546"/>
        <v>6.8969999999999985</v>
      </c>
      <c r="Q164" s="3277">
        <f t="shared" si="1546"/>
        <v>3635.6810500000001</v>
      </c>
      <c r="R164" s="3277">
        <f t="shared" si="1546"/>
        <v>3635.333992850482</v>
      </c>
      <c r="S164" s="3277">
        <f t="shared" si="1546"/>
        <v>0.34705714951827904</v>
      </c>
      <c r="T164" s="3136">
        <f t="shared" si="1546"/>
        <v>946.29200000000003</v>
      </c>
      <c r="U164" s="3136">
        <f t="shared" si="1546"/>
        <v>944</v>
      </c>
      <c r="V164" s="3136">
        <f t="shared" si="1546"/>
        <v>2.2919999999999998</v>
      </c>
      <c r="W164" s="3136">
        <f t="shared" si="1546"/>
        <v>895.27300000000002</v>
      </c>
      <c r="X164" s="3136">
        <f t="shared" si="1546"/>
        <v>892.73</v>
      </c>
      <c r="Y164" s="3136">
        <f t="shared" si="1546"/>
        <v>2.5429999999999997</v>
      </c>
      <c r="Z164" s="3136">
        <f t="shared" si="1546"/>
        <v>867.40499999999997</v>
      </c>
      <c r="AA164" s="3136">
        <f t="shared" si="1546"/>
        <v>862.54</v>
      </c>
      <c r="AB164" s="3136">
        <f t="shared" si="1546"/>
        <v>4.8650000000000002</v>
      </c>
      <c r="AC164" s="3136">
        <f t="shared" si="1546"/>
        <v>2708.97</v>
      </c>
      <c r="AD164" s="3136">
        <f t="shared" si="1546"/>
        <v>2699.27</v>
      </c>
      <c r="AE164" s="3136">
        <f t="shared" si="1546"/>
        <v>9.6999999999999993</v>
      </c>
      <c r="AF164" s="3287">
        <f t="shared" si="1546"/>
        <v>7271.3621000000003</v>
      </c>
      <c r="AG164" s="3287">
        <f t="shared" si="1546"/>
        <v>7270.667985700964</v>
      </c>
      <c r="AH164" s="3287">
        <f t="shared" si="1546"/>
        <v>0.69411429903655808</v>
      </c>
      <c r="AI164" s="3180">
        <f t="shared" si="1546"/>
        <v>5211.8169999999991</v>
      </c>
      <c r="AJ164" s="3180">
        <f t="shared" si="1546"/>
        <v>5195.2199999999993</v>
      </c>
      <c r="AK164" s="3180">
        <f t="shared" si="1546"/>
        <v>16.596999999999998</v>
      </c>
      <c r="AL164" s="3062">
        <f t="shared" si="1455"/>
        <v>-2059.5451000000012</v>
      </c>
      <c r="AM164" s="3062">
        <f t="shared" si="1456"/>
        <v>-2075.4479857009646</v>
      </c>
      <c r="AN164" s="3062">
        <f t="shared" si="1457"/>
        <v>15.90288570096344</v>
      </c>
      <c r="AO164" s="3277">
        <f t="shared" si="1536"/>
        <v>3635.6810500000001</v>
      </c>
      <c r="AP164" s="3277">
        <f t="shared" ref="AP164:BC164" si="1547">SUM(AP111)</f>
        <v>3635.333992850482</v>
      </c>
      <c r="AQ164" s="3277">
        <f t="shared" si="1547"/>
        <v>0.34705714951827904</v>
      </c>
      <c r="AR164" s="3136">
        <f t="shared" si="1547"/>
        <v>876.82700000000011</v>
      </c>
      <c r="AS164" s="3136">
        <f t="shared" si="1547"/>
        <v>876.43000000000006</v>
      </c>
      <c r="AT164" s="3136">
        <f t="shared" si="1547"/>
        <v>0.39700000000000002</v>
      </c>
      <c r="AU164" s="3136">
        <f t="shared" si="1547"/>
        <v>815.60299999999995</v>
      </c>
      <c r="AV164" s="3136">
        <f t="shared" si="1547"/>
        <v>813.33999999999992</v>
      </c>
      <c r="AW164" s="3136">
        <f t="shared" si="1547"/>
        <v>2.2629999999999999</v>
      </c>
      <c r="AX164" s="3136">
        <f t="shared" si="1547"/>
        <v>802.7829999999999</v>
      </c>
      <c r="AY164" s="3136">
        <f t="shared" si="1547"/>
        <v>800.57999999999993</v>
      </c>
      <c r="AZ164" s="3136">
        <f t="shared" si="1547"/>
        <v>2.2029999999999998</v>
      </c>
      <c r="BA164" s="3136">
        <f t="shared" si="1547"/>
        <v>2495.2129999999997</v>
      </c>
      <c r="BB164" s="3136">
        <f t="shared" si="1547"/>
        <v>2490.35</v>
      </c>
      <c r="BC164" s="3136">
        <f t="shared" si="1547"/>
        <v>4.8629999999999995</v>
      </c>
      <c r="BD164" s="3287">
        <f t="shared" si="1538"/>
        <v>10907.04315</v>
      </c>
      <c r="BE164" s="3287">
        <f t="shared" si="1538"/>
        <v>10906.001978551445</v>
      </c>
      <c r="BF164" s="3287">
        <f t="shared" si="1538"/>
        <v>1.0411714485548371</v>
      </c>
      <c r="BG164" s="3180">
        <f t="shared" si="1538"/>
        <v>7707.0299999999988</v>
      </c>
      <c r="BH164" s="3180">
        <f t="shared" si="1538"/>
        <v>7685.57</v>
      </c>
      <c r="BI164" s="3180">
        <f t="shared" si="1538"/>
        <v>21.459999999999997</v>
      </c>
      <c r="BJ164" s="3062">
        <f t="shared" si="1444"/>
        <v>-3200.0131500000007</v>
      </c>
      <c r="BK164" s="3062">
        <f t="shared" si="1445"/>
        <v>-3220.4319785514454</v>
      </c>
      <c r="BL164" s="3062">
        <f t="shared" si="1446"/>
        <v>20.418828551445159</v>
      </c>
      <c r="BM164" s="3277">
        <f t="shared" ref="BM164:CG164" si="1548">SUM(BM111)</f>
        <v>3635.6810500000001</v>
      </c>
      <c r="BN164" s="3277">
        <f t="shared" si="1548"/>
        <v>3635.333992850482</v>
      </c>
      <c r="BO164" s="3277">
        <f t="shared" si="1548"/>
        <v>0.34705714951827904</v>
      </c>
      <c r="BP164" s="3136">
        <f t="shared" si="1548"/>
        <v>0</v>
      </c>
      <c r="BQ164" s="3136">
        <f t="shared" si="1548"/>
        <v>0</v>
      </c>
      <c r="BR164" s="3136">
        <f t="shared" si="1548"/>
        <v>0</v>
      </c>
      <c r="BS164" s="3136">
        <f t="shared" si="1548"/>
        <v>0</v>
      </c>
      <c r="BT164" s="3136">
        <f t="shared" si="1548"/>
        <v>0</v>
      </c>
      <c r="BU164" s="3136">
        <f t="shared" si="1548"/>
        <v>0</v>
      </c>
      <c r="BV164" s="3136">
        <f t="shared" si="1548"/>
        <v>0</v>
      </c>
      <c r="BW164" s="3136">
        <f t="shared" si="1548"/>
        <v>0</v>
      </c>
      <c r="BX164" s="3136">
        <f t="shared" si="1548"/>
        <v>0</v>
      </c>
      <c r="BY164" s="3136">
        <f t="shared" si="1548"/>
        <v>0</v>
      </c>
      <c r="BZ164" s="3136">
        <f t="shared" si="1548"/>
        <v>0</v>
      </c>
      <c r="CA164" s="3136">
        <f t="shared" si="1548"/>
        <v>0</v>
      </c>
      <c r="CB164" s="3287">
        <f t="shared" si="1548"/>
        <v>14542.724168003919</v>
      </c>
      <c r="CC164" s="3287">
        <f t="shared" si="1548"/>
        <v>14541.335939405846</v>
      </c>
      <c r="CD164" s="3287">
        <f t="shared" si="1548"/>
        <v>1.3882285980731162</v>
      </c>
      <c r="CE164" s="3180">
        <f t="shared" si="1548"/>
        <v>7707.0299999999988</v>
      </c>
      <c r="CF164" s="3180">
        <f t="shared" si="1548"/>
        <v>7685.57</v>
      </c>
      <c r="CG164" s="3180">
        <f t="shared" si="1548"/>
        <v>21.459999999999997</v>
      </c>
      <c r="CH164" s="3062">
        <f t="shared" si="1449"/>
        <v>-6835.6941680039199</v>
      </c>
      <c r="CI164" s="3062">
        <f t="shared" si="1450"/>
        <v>-6855.7659394058464</v>
      </c>
      <c r="CJ164" s="3062">
        <f t="shared" si="1451"/>
        <v>20.071771401926881</v>
      </c>
    </row>
    <row r="165" spans="1:88" ht="18.75" customHeight="1" x14ac:dyDescent="0.3">
      <c r="A165" s="3079" t="s">
        <v>3605</v>
      </c>
      <c r="B165" s="3276">
        <f t="shared" ref="B165:AK165" si="1549">SUM(B112)</f>
        <v>2196.5475000000001</v>
      </c>
      <c r="C165" s="3276">
        <f t="shared" si="1549"/>
        <v>2196.5475000000001</v>
      </c>
      <c r="D165" s="3276">
        <f t="shared" si="1549"/>
        <v>0</v>
      </c>
      <c r="E165" s="3145">
        <f t="shared" si="1549"/>
        <v>563.61399999999992</v>
      </c>
      <c r="F165" s="3145">
        <f t="shared" si="1549"/>
        <v>562.04</v>
      </c>
      <c r="G165" s="3145">
        <f t="shared" si="1549"/>
        <v>1.5740000000000001</v>
      </c>
      <c r="H165" s="3145">
        <f t="shared" si="1549"/>
        <v>499.077</v>
      </c>
      <c r="I165" s="3145">
        <f t="shared" si="1549"/>
        <v>497.63</v>
      </c>
      <c r="J165" s="3145">
        <f t="shared" si="1549"/>
        <v>1.4470000000000001</v>
      </c>
      <c r="K165" s="3145">
        <f t="shared" si="1549"/>
        <v>485.15</v>
      </c>
      <c r="L165" s="3145">
        <f t="shared" si="1549"/>
        <v>483.9</v>
      </c>
      <c r="M165" s="3145">
        <f t="shared" si="1549"/>
        <v>1.25</v>
      </c>
      <c r="N165" s="3145">
        <f t="shared" si="1549"/>
        <v>1547.8410000000001</v>
      </c>
      <c r="O165" s="3145">
        <f t="shared" si="1549"/>
        <v>1543.5700000000002</v>
      </c>
      <c r="P165" s="3145">
        <f t="shared" si="1549"/>
        <v>4.2709999999999999</v>
      </c>
      <c r="Q165" s="3276">
        <f t="shared" si="1549"/>
        <v>2196.5475000000001</v>
      </c>
      <c r="R165" s="3276">
        <f t="shared" si="1549"/>
        <v>2196.5475000000001</v>
      </c>
      <c r="S165" s="3276">
        <f t="shared" si="1549"/>
        <v>0</v>
      </c>
      <c r="T165" s="3145">
        <f t="shared" si="1549"/>
        <v>543.92700000000002</v>
      </c>
      <c r="U165" s="3145">
        <f t="shared" si="1549"/>
        <v>542.61</v>
      </c>
      <c r="V165" s="3145">
        <f t="shared" si="1549"/>
        <v>1.3169999999999999</v>
      </c>
      <c r="W165" s="3145">
        <f t="shared" si="1549"/>
        <v>578.774</v>
      </c>
      <c r="X165" s="3145">
        <f t="shared" si="1549"/>
        <v>577.13</v>
      </c>
      <c r="Y165" s="3145">
        <f t="shared" si="1549"/>
        <v>1.6439999999999999</v>
      </c>
      <c r="Z165" s="3145">
        <f t="shared" si="1549"/>
        <v>539.64</v>
      </c>
      <c r="AA165" s="3145">
        <f t="shared" si="1549"/>
        <v>536.61</v>
      </c>
      <c r="AB165" s="3145">
        <f t="shared" si="1549"/>
        <v>3.03</v>
      </c>
      <c r="AC165" s="3145">
        <f t="shared" si="1549"/>
        <v>1662.3409999999999</v>
      </c>
      <c r="AD165" s="3145">
        <f t="shared" si="1549"/>
        <v>1656.35</v>
      </c>
      <c r="AE165" s="3145">
        <f t="shared" si="1549"/>
        <v>5.9909999999999997</v>
      </c>
      <c r="AF165" s="3283">
        <f t="shared" si="1549"/>
        <v>4393.0950000000003</v>
      </c>
      <c r="AG165" s="3283">
        <f t="shared" si="1549"/>
        <v>4393.0950000000003</v>
      </c>
      <c r="AH165" s="3283">
        <f t="shared" si="1549"/>
        <v>0</v>
      </c>
      <c r="AI165" s="3179">
        <f t="shared" si="1549"/>
        <v>3210.1819999999998</v>
      </c>
      <c r="AJ165" s="3179">
        <f t="shared" si="1549"/>
        <v>3199.92</v>
      </c>
      <c r="AK165" s="3179">
        <f t="shared" si="1549"/>
        <v>10.262</v>
      </c>
      <c r="AL165" s="3068">
        <f t="shared" si="1455"/>
        <v>-1182.9130000000005</v>
      </c>
      <c r="AM165" s="3068">
        <f t="shared" si="1456"/>
        <v>-1193.1750000000002</v>
      </c>
      <c r="AN165" s="3068">
        <f t="shared" si="1457"/>
        <v>10.262</v>
      </c>
      <c r="AO165" s="3276">
        <f t="shared" si="1536"/>
        <v>2196.5475000000001</v>
      </c>
      <c r="AP165" s="3276">
        <f t="shared" ref="AP165:BC165" si="1550">SUM(AP112)</f>
        <v>2196.5475000000001</v>
      </c>
      <c r="AQ165" s="3276">
        <f t="shared" si="1550"/>
        <v>0</v>
      </c>
      <c r="AR165" s="3145">
        <f t="shared" si="1550"/>
        <v>558.00300000000004</v>
      </c>
      <c r="AS165" s="3145">
        <f t="shared" si="1550"/>
        <v>557.75</v>
      </c>
      <c r="AT165" s="3145">
        <f t="shared" si="1550"/>
        <v>0.253</v>
      </c>
      <c r="AU165" s="3145">
        <f t="shared" si="1550"/>
        <v>486.54</v>
      </c>
      <c r="AV165" s="3145">
        <f t="shared" si="1550"/>
        <v>485.19</v>
      </c>
      <c r="AW165" s="3145">
        <f t="shared" si="1550"/>
        <v>1.35</v>
      </c>
      <c r="AX165" s="3145">
        <f t="shared" si="1550"/>
        <v>503.71</v>
      </c>
      <c r="AY165" s="3145">
        <f t="shared" si="1550"/>
        <v>502.33</v>
      </c>
      <c r="AZ165" s="3145">
        <f t="shared" si="1550"/>
        <v>1.38</v>
      </c>
      <c r="BA165" s="3145">
        <f t="shared" si="1550"/>
        <v>1548.2529999999999</v>
      </c>
      <c r="BB165" s="3145">
        <f t="shared" si="1550"/>
        <v>1545.27</v>
      </c>
      <c r="BC165" s="3145">
        <f t="shared" si="1550"/>
        <v>2.9830000000000001</v>
      </c>
      <c r="BD165" s="3283">
        <f t="shared" si="1538"/>
        <v>6589.6424999999999</v>
      </c>
      <c r="BE165" s="3283">
        <f t="shared" si="1538"/>
        <v>6589.6424999999999</v>
      </c>
      <c r="BF165" s="3283">
        <f t="shared" si="1538"/>
        <v>0</v>
      </c>
      <c r="BG165" s="3179">
        <f t="shared" si="1538"/>
        <v>4758.4349999999995</v>
      </c>
      <c r="BH165" s="3179">
        <f t="shared" si="1538"/>
        <v>4745.1900000000005</v>
      </c>
      <c r="BI165" s="3179">
        <f t="shared" si="1538"/>
        <v>13.245000000000001</v>
      </c>
      <c r="BJ165" s="3068">
        <f t="shared" si="1444"/>
        <v>-1831.2075000000004</v>
      </c>
      <c r="BK165" s="3068">
        <f t="shared" si="1445"/>
        <v>-1844.4524999999994</v>
      </c>
      <c r="BL165" s="3068">
        <f t="shared" si="1446"/>
        <v>13.245000000000001</v>
      </c>
      <c r="BM165" s="3276">
        <f t="shared" ref="BM165:CG165" si="1551">SUM(BM112)</f>
        <v>2196.5475000000001</v>
      </c>
      <c r="BN165" s="3276">
        <f t="shared" si="1551"/>
        <v>2196.5475000000001</v>
      </c>
      <c r="BO165" s="3276">
        <f t="shared" si="1551"/>
        <v>0</v>
      </c>
      <c r="BP165" s="3145">
        <f t="shared" si="1551"/>
        <v>0</v>
      </c>
      <c r="BQ165" s="3145">
        <f t="shared" si="1551"/>
        <v>0</v>
      </c>
      <c r="BR165" s="3145">
        <f t="shared" si="1551"/>
        <v>0</v>
      </c>
      <c r="BS165" s="3145">
        <f t="shared" si="1551"/>
        <v>0</v>
      </c>
      <c r="BT165" s="3145">
        <f t="shared" si="1551"/>
        <v>0</v>
      </c>
      <c r="BU165" s="3145">
        <f t="shared" si="1551"/>
        <v>0</v>
      </c>
      <c r="BV165" s="3145">
        <f t="shared" si="1551"/>
        <v>0</v>
      </c>
      <c r="BW165" s="3145">
        <f t="shared" si="1551"/>
        <v>0</v>
      </c>
      <c r="BX165" s="3145">
        <f t="shared" si="1551"/>
        <v>0</v>
      </c>
      <c r="BY165" s="3145">
        <f t="shared" si="1551"/>
        <v>0</v>
      </c>
      <c r="BZ165" s="3145">
        <f t="shared" si="1551"/>
        <v>0</v>
      </c>
      <c r="CA165" s="3145">
        <f t="shared" si="1551"/>
        <v>0</v>
      </c>
      <c r="CB165" s="3283">
        <f t="shared" si="1551"/>
        <v>8786.19</v>
      </c>
      <c r="CC165" s="3283">
        <f t="shared" si="1551"/>
        <v>8786.19</v>
      </c>
      <c r="CD165" s="3283">
        <f t="shared" si="1551"/>
        <v>0</v>
      </c>
      <c r="CE165" s="3179">
        <f t="shared" si="1551"/>
        <v>4758.4349999999995</v>
      </c>
      <c r="CF165" s="3179">
        <f t="shared" si="1551"/>
        <v>4745.1900000000005</v>
      </c>
      <c r="CG165" s="3179">
        <f t="shared" si="1551"/>
        <v>13.245000000000001</v>
      </c>
      <c r="CH165" s="3068">
        <f t="shared" si="1449"/>
        <v>-4027.755000000001</v>
      </c>
      <c r="CI165" s="3068">
        <f t="shared" si="1450"/>
        <v>-4041</v>
      </c>
      <c r="CJ165" s="3068">
        <f t="shared" si="1451"/>
        <v>13.245000000000001</v>
      </c>
    </row>
    <row r="166" spans="1:88" ht="18.75" customHeight="1" x14ac:dyDescent="0.3">
      <c r="A166" s="3079" t="s">
        <v>3606</v>
      </c>
      <c r="B166" s="3276">
        <f t="shared" ref="B166:AK166" si="1552">SUM(B113)</f>
        <v>658.96500000000003</v>
      </c>
      <c r="C166" s="3276">
        <f t="shared" si="1552"/>
        <v>658.96500000000003</v>
      </c>
      <c r="D166" s="3276">
        <f t="shared" si="1552"/>
        <v>0</v>
      </c>
      <c r="E166" s="3145">
        <f t="shared" si="1552"/>
        <v>165.76300000000001</v>
      </c>
      <c r="F166" s="3145">
        <f t="shared" si="1552"/>
        <v>165.3</v>
      </c>
      <c r="G166" s="3145">
        <f t="shared" si="1552"/>
        <v>0.46300000000000002</v>
      </c>
      <c r="H166" s="3145">
        <f t="shared" si="1552"/>
        <v>150.386</v>
      </c>
      <c r="I166" s="3145">
        <f t="shared" si="1552"/>
        <v>149.94999999999999</v>
      </c>
      <c r="J166" s="3145">
        <f t="shared" si="1552"/>
        <v>0.436</v>
      </c>
      <c r="K166" s="3145">
        <f t="shared" si="1552"/>
        <v>143.65</v>
      </c>
      <c r="L166" s="3145">
        <f t="shared" si="1552"/>
        <v>143.28</v>
      </c>
      <c r="M166" s="3145">
        <f t="shared" si="1552"/>
        <v>0.37</v>
      </c>
      <c r="N166" s="3145">
        <f t="shared" si="1552"/>
        <v>459.79899999999998</v>
      </c>
      <c r="O166" s="3145">
        <f t="shared" si="1552"/>
        <v>458.53</v>
      </c>
      <c r="P166" s="3145">
        <f t="shared" si="1552"/>
        <v>1.2690000000000001</v>
      </c>
      <c r="Q166" s="3276">
        <f t="shared" si="1552"/>
        <v>658.96500000000003</v>
      </c>
      <c r="R166" s="3276">
        <f t="shared" si="1552"/>
        <v>658.96500000000003</v>
      </c>
      <c r="S166" s="3276">
        <f t="shared" si="1552"/>
        <v>0</v>
      </c>
      <c r="T166" s="3145">
        <f t="shared" si="1552"/>
        <v>176.267</v>
      </c>
      <c r="U166" s="3145">
        <f t="shared" si="1552"/>
        <v>175.84</v>
      </c>
      <c r="V166" s="3145">
        <f t="shared" si="1552"/>
        <v>0.42699999999999999</v>
      </c>
      <c r="W166" s="3145">
        <f t="shared" si="1552"/>
        <v>173.62299999999999</v>
      </c>
      <c r="X166" s="3145">
        <f t="shared" si="1552"/>
        <v>173.13</v>
      </c>
      <c r="Y166" s="3145">
        <f t="shared" si="1552"/>
        <v>0.49299999999999999</v>
      </c>
      <c r="Z166" s="3145">
        <f t="shared" si="1552"/>
        <v>162.00899999999999</v>
      </c>
      <c r="AA166" s="3145">
        <f t="shared" si="1552"/>
        <v>161.1</v>
      </c>
      <c r="AB166" s="3145">
        <f t="shared" si="1552"/>
        <v>0.90900000000000003</v>
      </c>
      <c r="AC166" s="3145">
        <f t="shared" si="1552"/>
        <v>511.89900000000006</v>
      </c>
      <c r="AD166" s="3145">
        <f t="shared" si="1552"/>
        <v>510.07000000000005</v>
      </c>
      <c r="AE166" s="3145">
        <f t="shared" si="1552"/>
        <v>1.829</v>
      </c>
      <c r="AF166" s="3283">
        <f t="shared" si="1552"/>
        <v>1317.93</v>
      </c>
      <c r="AG166" s="3283">
        <f t="shared" si="1552"/>
        <v>1317.93</v>
      </c>
      <c r="AH166" s="3283">
        <f t="shared" si="1552"/>
        <v>0</v>
      </c>
      <c r="AI166" s="3179">
        <f t="shared" si="1552"/>
        <v>971.69800000000009</v>
      </c>
      <c r="AJ166" s="3179">
        <f t="shared" si="1552"/>
        <v>968.6</v>
      </c>
      <c r="AK166" s="3179">
        <f t="shared" si="1552"/>
        <v>3.0979999999999999</v>
      </c>
      <c r="AL166" s="3068">
        <f t="shared" si="1455"/>
        <v>-346.23199999999997</v>
      </c>
      <c r="AM166" s="3068">
        <f t="shared" si="1456"/>
        <v>-349.33000000000004</v>
      </c>
      <c r="AN166" s="3068">
        <f t="shared" si="1457"/>
        <v>3.0979999999999999</v>
      </c>
      <c r="AO166" s="3276">
        <f t="shared" si="1536"/>
        <v>658.96500000000003</v>
      </c>
      <c r="AP166" s="3276">
        <f t="shared" ref="AP166:BC166" si="1553">SUM(AP113)</f>
        <v>658.96500000000003</v>
      </c>
      <c r="AQ166" s="3276">
        <f t="shared" si="1553"/>
        <v>0</v>
      </c>
      <c r="AR166" s="3145">
        <f t="shared" si="1553"/>
        <v>167.90600000000001</v>
      </c>
      <c r="AS166" s="3145">
        <f t="shared" si="1553"/>
        <v>167.83</v>
      </c>
      <c r="AT166" s="3145">
        <f t="shared" si="1553"/>
        <v>7.5999999999999998E-2</v>
      </c>
      <c r="AU166" s="3145">
        <f t="shared" si="1553"/>
        <v>145.07299999999998</v>
      </c>
      <c r="AV166" s="3145">
        <f t="shared" si="1553"/>
        <v>144.66999999999999</v>
      </c>
      <c r="AW166" s="3145">
        <f t="shared" si="1553"/>
        <v>0.40300000000000002</v>
      </c>
      <c r="AX166" s="3145">
        <f t="shared" si="1553"/>
        <v>150.47999999999999</v>
      </c>
      <c r="AY166" s="3145">
        <f t="shared" si="1553"/>
        <v>150.07</v>
      </c>
      <c r="AZ166" s="3145">
        <f t="shared" si="1553"/>
        <v>0.41</v>
      </c>
      <c r="BA166" s="3145">
        <f t="shared" si="1553"/>
        <v>463.459</v>
      </c>
      <c r="BB166" s="3145">
        <f t="shared" si="1553"/>
        <v>462.57</v>
      </c>
      <c r="BC166" s="3145">
        <f t="shared" si="1553"/>
        <v>0.88900000000000001</v>
      </c>
      <c r="BD166" s="3283">
        <f t="shared" si="1538"/>
        <v>1976.895</v>
      </c>
      <c r="BE166" s="3283">
        <f t="shared" si="1538"/>
        <v>1976.895</v>
      </c>
      <c r="BF166" s="3283">
        <f t="shared" si="1538"/>
        <v>0</v>
      </c>
      <c r="BG166" s="3179">
        <f t="shared" si="1538"/>
        <v>1435.1570000000002</v>
      </c>
      <c r="BH166" s="3179">
        <f t="shared" si="1538"/>
        <v>1431.17</v>
      </c>
      <c r="BI166" s="3179">
        <f t="shared" si="1538"/>
        <v>3.9870000000000001</v>
      </c>
      <c r="BJ166" s="3068">
        <f t="shared" si="1444"/>
        <v>-541.73799999999983</v>
      </c>
      <c r="BK166" s="3068">
        <f t="shared" si="1445"/>
        <v>-545.72499999999991</v>
      </c>
      <c r="BL166" s="3068">
        <f t="shared" si="1446"/>
        <v>3.9870000000000001</v>
      </c>
      <c r="BM166" s="3276">
        <f t="shared" ref="BM166:CG166" si="1554">SUM(BM113)</f>
        <v>658.96500000000003</v>
      </c>
      <c r="BN166" s="3276">
        <f t="shared" si="1554"/>
        <v>658.96500000000003</v>
      </c>
      <c r="BO166" s="3276">
        <f t="shared" si="1554"/>
        <v>0</v>
      </c>
      <c r="BP166" s="3145">
        <f t="shared" si="1554"/>
        <v>0</v>
      </c>
      <c r="BQ166" s="3145">
        <f t="shared" si="1554"/>
        <v>0</v>
      </c>
      <c r="BR166" s="3145">
        <f t="shared" si="1554"/>
        <v>0</v>
      </c>
      <c r="BS166" s="3145">
        <f t="shared" si="1554"/>
        <v>0</v>
      </c>
      <c r="BT166" s="3145">
        <f t="shared" si="1554"/>
        <v>0</v>
      </c>
      <c r="BU166" s="3145">
        <f t="shared" si="1554"/>
        <v>0</v>
      </c>
      <c r="BV166" s="3145">
        <f t="shared" si="1554"/>
        <v>0</v>
      </c>
      <c r="BW166" s="3145">
        <f t="shared" si="1554"/>
        <v>0</v>
      </c>
      <c r="BX166" s="3145">
        <f t="shared" si="1554"/>
        <v>0</v>
      </c>
      <c r="BY166" s="3145">
        <f t="shared" si="1554"/>
        <v>0</v>
      </c>
      <c r="BZ166" s="3145">
        <f t="shared" si="1554"/>
        <v>0</v>
      </c>
      <c r="CA166" s="3145">
        <f t="shared" si="1554"/>
        <v>0</v>
      </c>
      <c r="CB166" s="3283">
        <f t="shared" si="1554"/>
        <v>2635.86</v>
      </c>
      <c r="CC166" s="3283">
        <f t="shared" si="1554"/>
        <v>2635.86</v>
      </c>
      <c r="CD166" s="3283">
        <f t="shared" si="1554"/>
        <v>0</v>
      </c>
      <c r="CE166" s="3179">
        <f t="shared" si="1554"/>
        <v>1435.1570000000002</v>
      </c>
      <c r="CF166" s="3179">
        <f t="shared" si="1554"/>
        <v>1431.17</v>
      </c>
      <c r="CG166" s="3179">
        <f t="shared" si="1554"/>
        <v>3.9870000000000001</v>
      </c>
      <c r="CH166" s="3068">
        <f t="shared" si="1449"/>
        <v>-1200.703</v>
      </c>
      <c r="CI166" s="3068">
        <f t="shared" si="1450"/>
        <v>-1204.69</v>
      </c>
      <c r="CJ166" s="3068">
        <f t="shared" si="1451"/>
        <v>3.9870000000000001</v>
      </c>
    </row>
    <row r="167" spans="1:88" ht="18.75" customHeight="1" x14ac:dyDescent="0.3">
      <c r="A167" s="3079" t="s">
        <v>280</v>
      </c>
      <c r="B167" s="3276">
        <f t="shared" ref="B167:AK167" si="1555">SUM(B114)</f>
        <v>17.392499999999998</v>
      </c>
      <c r="C167" s="3276">
        <f t="shared" si="1555"/>
        <v>17.392499999999998</v>
      </c>
      <c r="D167" s="3276">
        <f t="shared" si="1555"/>
        <v>0</v>
      </c>
      <c r="E167" s="3145">
        <f t="shared" si="1555"/>
        <v>4.7430000000000003</v>
      </c>
      <c r="F167" s="3145">
        <f t="shared" si="1555"/>
        <v>4.7300000000000004</v>
      </c>
      <c r="G167" s="3145">
        <f t="shared" si="1555"/>
        <v>1.2999999999999999E-2</v>
      </c>
      <c r="H167" s="3145">
        <f t="shared" si="1555"/>
        <v>4.3129999999999997</v>
      </c>
      <c r="I167" s="3145">
        <f t="shared" si="1555"/>
        <v>4.3</v>
      </c>
      <c r="J167" s="3145">
        <f t="shared" si="1555"/>
        <v>1.2999999999999999E-2</v>
      </c>
      <c r="K167" s="3145">
        <f t="shared" si="1555"/>
        <v>3.9899999999999998</v>
      </c>
      <c r="L167" s="3145">
        <f t="shared" si="1555"/>
        <v>3.98</v>
      </c>
      <c r="M167" s="3145">
        <f t="shared" si="1555"/>
        <v>0.01</v>
      </c>
      <c r="N167" s="3145">
        <f t="shared" si="1555"/>
        <v>13.046000000000001</v>
      </c>
      <c r="O167" s="3145">
        <f t="shared" si="1555"/>
        <v>13.010000000000002</v>
      </c>
      <c r="P167" s="3145">
        <f t="shared" si="1555"/>
        <v>3.5999999999999997E-2</v>
      </c>
      <c r="Q167" s="3276">
        <f t="shared" si="1555"/>
        <v>17.392499999999998</v>
      </c>
      <c r="R167" s="3276">
        <f t="shared" si="1555"/>
        <v>17.392499999999998</v>
      </c>
      <c r="S167" s="3276">
        <f t="shared" si="1555"/>
        <v>0</v>
      </c>
      <c r="T167" s="3145">
        <f t="shared" si="1555"/>
        <v>4.4510000000000005</v>
      </c>
      <c r="U167" s="3145">
        <f t="shared" si="1555"/>
        <v>4.4400000000000004</v>
      </c>
      <c r="V167" s="3145">
        <f t="shared" si="1555"/>
        <v>1.0999999999999999E-2</v>
      </c>
      <c r="W167" s="3145">
        <f t="shared" si="1555"/>
        <v>4.0010000000000003</v>
      </c>
      <c r="X167" s="3145">
        <f t="shared" si="1555"/>
        <v>3.99</v>
      </c>
      <c r="Y167" s="3145">
        <f t="shared" si="1555"/>
        <v>1.0999999999999999E-2</v>
      </c>
      <c r="Z167" s="3145">
        <f t="shared" si="1555"/>
        <v>3.0469999999999997</v>
      </c>
      <c r="AA167" s="3145">
        <f t="shared" si="1555"/>
        <v>3.03</v>
      </c>
      <c r="AB167" s="3145">
        <f t="shared" si="1555"/>
        <v>1.7000000000000001E-2</v>
      </c>
      <c r="AC167" s="3145">
        <f t="shared" si="1555"/>
        <v>11.498999999999999</v>
      </c>
      <c r="AD167" s="3145">
        <f t="shared" si="1555"/>
        <v>11.459999999999999</v>
      </c>
      <c r="AE167" s="3145">
        <f t="shared" si="1555"/>
        <v>3.9E-2</v>
      </c>
      <c r="AF167" s="3283">
        <f t="shared" si="1555"/>
        <v>34.784999999999997</v>
      </c>
      <c r="AG167" s="3283">
        <f t="shared" si="1555"/>
        <v>34.784999999999997</v>
      </c>
      <c r="AH167" s="3283">
        <f t="shared" si="1555"/>
        <v>0</v>
      </c>
      <c r="AI167" s="3179">
        <f t="shared" si="1555"/>
        <v>24.545000000000002</v>
      </c>
      <c r="AJ167" s="3179">
        <f t="shared" si="1555"/>
        <v>24.47</v>
      </c>
      <c r="AK167" s="3179">
        <f t="shared" si="1555"/>
        <v>7.4999999999999997E-2</v>
      </c>
      <c r="AL167" s="3068">
        <f t="shared" si="1455"/>
        <v>-10.239999999999995</v>
      </c>
      <c r="AM167" s="3068">
        <f t="shared" si="1456"/>
        <v>-10.314999999999998</v>
      </c>
      <c r="AN167" s="3068">
        <f t="shared" si="1457"/>
        <v>7.4999999999999997E-2</v>
      </c>
      <c r="AO167" s="3276">
        <f t="shared" si="1536"/>
        <v>17.392499999999998</v>
      </c>
      <c r="AP167" s="3276">
        <f t="shared" ref="AP167:BC167" si="1556">SUM(AP114)</f>
        <v>17.392499999999998</v>
      </c>
      <c r="AQ167" s="3276">
        <f t="shared" si="1556"/>
        <v>0</v>
      </c>
      <c r="AR167" s="3145">
        <f t="shared" si="1556"/>
        <v>3.6519999999999997</v>
      </c>
      <c r="AS167" s="3145">
        <f t="shared" si="1556"/>
        <v>3.65</v>
      </c>
      <c r="AT167" s="3145">
        <f t="shared" si="1556"/>
        <v>2E-3</v>
      </c>
      <c r="AU167" s="3145">
        <f t="shared" si="1556"/>
        <v>5.0339999999999998</v>
      </c>
      <c r="AV167" s="3145">
        <f t="shared" si="1556"/>
        <v>5.0199999999999996</v>
      </c>
      <c r="AW167" s="3145">
        <f t="shared" si="1556"/>
        <v>1.4E-2</v>
      </c>
      <c r="AX167" s="3145">
        <f t="shared" si="1556"/>
        <v>4.74</v>
      </c>
      <c r="AY167" s="3145">
        <f t="shared" si="1556"/>
        <v>4.7300000000000004</v>
      </c>
      <c r="AZ167" s="3145">
        <f t="shared" si="1556"/>
        <v>0.01</v>
      </c>
      <c r="BA167" s="3145">
        <f t="shared" si="1556"/>
        <v>13.426</v>
      </c>
      <c r="BB167" s="3145">
        <f t="shared" si="1556"/>
        <v>13.4</v>
      </c>
      <c r="BC167" s="3145">
        <f t="shared" si="1556"/>
        <v>2.6000000000000002E-2</v>
      </c>
      <c r="BD167" s="3283">
        <f t="shared" si="1538"/>
        <v>52.177499999999995</v>
      </c>
      <c r="BE167" s="3283">
        <f t="shared" si="1538"/>
        <v>52.177499999999995</v>
      </c>
      <c r="BF167" s="3283">
        <f t="shared" si="1538"/>
        <v>0</v>
      </c>
      <c r="BG167" s="3179">
        <f t="shared" si="1538"/>
        <v>37.971000000000004</v>
      </c>
      <c r="BH167" s="3179">
        <f t="shared" si="1538"/>
        <v>37.869999999999997</v>
      </c>
      <c r="BI167" s="3179">
        <f t="shared" si="1538"/>
        <v>0.10100000000000001</v>
      </c>
      <c r="BJ167" s="3068">
        <f t="shared" si="1444"/>
        <v>-14.206499999999991</v>
      </c>
      <c r="BK167" s="3068">
        <f t="shared" si="1445"/>
        <v>-14.307499999999997</v>
      </c>
      <c r="BL167" s="3068">
        <f t="shared" si="1446"/>
        <v>0.10100000000000001</v>
      </c>
      <c r="BM167" s="3276">
        <f t="shared" ref="BM167:CG167" si="1557">SUM(BM114)</f>
        <v>17.392499999999998</v>
      </c>
      <c r="BN167" s="3276">
        <f t="shared" si="1557"/>
        <v>17.392499999999998</v>
      </c>
      <c r="BO167" s="3276">
        <f t="shared" si="1557"/>
        <v>0</v>
      </c>
      <c r="BP167" s="3145">
        <f t="shared" si="1557"/>
        <v>0</v>
      </c>
      <c r="BQ167" s="3145">
        <f t="shared" si="1557"/>
        <v>0</v>
      </c>
      <c r="BR167" s="3145">
        <f t="shared" si="1557"/>
        <v>0</v>
      </c>
      <c r="BS167" s="3145">
        <f t="shared" si="1557"/>
        <v>0</v>
      </c>
      <c r="BT167" s="3145">
        <f t="shared" si="1557"/>
        <v>0</v>
      </c>
      <c r="BU167" s="3145">
        <f t="shared" si="1557"/>
        <v>0</v>
      </c>
      <c r="BV167" s="3145">
        <f t="shared" si="1557"/>
        <v>0</v>
      </c>
      <c r="BW167" s="3145">
        <f t="shared" si="1557"/>
        <v>0</v>
      </c>
      <c r="BX167" s="3145">
        <f t="shared" si="1557"/>
        <v>0</v>
      </c>
      <c r="BY167" s="3145">
        <f t="shared" si="1557"/>
        <v>0</v>
      </c>
      <c r="BZ167" s="3145">
        <f t="shared" si="1557"/>
        <v>0</v>
      </c>
      <c r="CA167" s="3145">
        <f t="shared" si="1557"/>
        <v>0</v>
      </c>
      <c r="CB167" s="3283">
        <f t="shared" si="1557"/>
        <v>69.569999999999993</v>
      </c>
      <c r="CC167" s="3283">
        <f t="shared" si="1557"/>
        <v>69.569999999999993</v>
      </c>
      <c r="CD167" s="3283">
        <f t="shared" si="1557"/>
        <v>0</v>
      </c>
      <c r="CE167" s="3179">
        <f t="shared" si="1557"/>
        <v>37.971000000000004</v>
      </c>
      <c r="CF167" s="3179">
        <f t="shared" si="1557"/>
        <v>37.869999999999997</v>
      </c>
      <c r="CG167" s="3179">
        <f t="shared" si="1557"/>
        <v>0.10100000000000001</v>
      </c>
      <c r="CH167" s="3068">
        <f t="shared" si="1449"/>
        <v>-31.59899999999999</v>
      </c>
      <c r="CI167" s="3068">
        <f t="shared" si="1450"/>
        <v>-31.699999999999996</v>
      </c>
      <c r="CJ167" s="3068">
        <f t="shared" si="1451"/>
        <v>0.10100000000000001</v>
      </c>
    </row>
    <row r="168" spans="1:88" ht="18.75" customHeight="1" x14ac:dyDescent="0.3">
      <c r="A168" s="3079" t="s">
        <v>1560</v>
      </c>
      <c r="B168" s="3276">
        <f t="shared" ref="B168:AK168" si="1558">SUM(B115)</f>
        <v>12.445</v>
      </c>
      <c r="C168" s="3276">
        <f t="shared" si="1558"/>
        <v>12.445</v>
      </c>
      <c r="D168" s="3276">
        <f t="shared" si="1558"/>
        <v>0</v>
      </c>
      <c r="E168" s="3145">
        <f t="shared" si="1558"/>
        <v>7.8820000000000006</v>
      </c>
      <c r="F168" s="3145">
        <f t="shared" si="1558"/>
        <v>7.86</v>
      </c>
      <c r="G168" s="3145">
        <f t="shared" si="1558"/>
        <v>2.1999999999999999E-2</v>
      </c>
      <c r="H168" s="3145">
        <f t="shared" si="1558"/>
        <v>7.3609999999999998</v>
      </c>
      <c r="I168" s="3145">
        <f t="shared" si="1558"/>
        <v>7.34</v>
      </c>
      <c r="J168" s="3145">
        <f t="shared" si="1558"/>
        <v>2.1000000000000001E-2</v>
      </c>
      <c r="K168" s="3145">
        <f t="shared" si="1558"/>
        <v>5.6040000000000001</v>
      </c>
      <c r="L168" s="3145">
        <f t="shared" si="1558"/>
        <v>5.59</v>
      </c>
      <c r="M168" s="3145">
        <f t="shared" si="1558"/>
        <v>1.4E-2</v>
      </c>
      <c r="N168" s="3145">
        <f t="shared" si="1558"/>
        <v>20.846999999999998</v>
      </c>
      <c r="O168" s="3145">
        <f t="shared" si="1558"/>
        <v>20.79</v>
      </c>
      <c r="P168" s="3145">
        <f t="shared" si="1558"/>
        <v>5.6999999999999995E-2</v>
      </c>
      <c r="Q168" s="3276">
        <f t="shared" si="1558"/>
        <v>12.445</v>
      </c>
      <c r="R168" s="3276">
        <f t="shared" si="1558"/>
        <v>12.445</v>
      </c>
      <c r="S168" s="3276">
        <f t="shared" si="1558"/>
        <v>0</v>
      </c>
      <c r="T168" s="3145">
        <f t="shared" si="1558"/>
        <v>4.6909999999999998</v>
      </c>
      <c r="U168" s="3145">
        <f t="shared" si="1558"/>
        <v>4.68</v>
      </c>
      <c r="V168" s="3145">
        <f t="shared" si="1558"/>
        <v>1.0999999999999999E-2</v>
      </c>
      <c r="W168" s="3145">
        <f t="shared" si="1558"/>
        <v>1.6349999999999998</v>
      </c>
      <c r="X168" s="3145">
        <f t="shared" si="1558"/>
        <v>1.63</v>
      </c>
      <c r="Y168" s="3145">
        <f t="shared" si="1558"/>
        <v>5.0000000000000001E-3</v>
      </c>
      <c r="Z168" s="3145">
        <f t="shared" si="1558"/>
        <v>0</v>
      </c>
      <c r="AA168" s="3145">
        <f t="shared" si="1558"/>
        <v>0</v>
      </c>
      <c r="AB168" s="3145">
        <f t="shared" si="1558"/>
        <v>0</v>
      </c>
      <c r="AC168" s="3145">
        <f t="shared" si="1558"/>
        <v>6.3259999999999996</v>
      </c>
      <c r="AD168" s="3145">
        <f t="shared" si="1558"/>
        <v>6.31</v>
      </c>
      <c r="AE168" s="3145">
        <f t="shared" si="1558"/>
        <v>1.6E-2</v>
      </c>
      <c r="AF168" s="3283">
        <f t="shared" si="1558"/>
        <v>24.89</v>
      </c>
      <c r="AG168" s="3283">
        <f t="shared" si="1558"/>
        <v>24.89</v>
      </c>
      <c r="AH168" s="3283">
        <f t="shared" si="1558"/>
        <v>0</v>
      </c>
      <c r="AI168" s="3179">
        <f t="shared" si="1558"/>
        <v>27.172999999999998</v>
      </c>
      <c r="AJ168" s="3179">
        <f t="shared" si="1558"/>
        <v>27.099999999999998</v>
      </c>
      <c r="AK168" s="3179">
        <f t="shared" si="1558"/>
        <v>7.2999999999999995E-2</v>
      </c>
      <c r="AL168" s="3068">
        <f t="shared" si="1455"/>
        <v>2.2829999999999977</v>
      </c>
      <c r="AM168" s="3068">
        <f t="shared" si="1456"/>
        <v>2.2099999999999973</v>
      </c>
      <c r="AN168" s="3068">
        <f t="shared" si="1457"/>
        <v>7.2999999999999995E-2</v>
      </c>
      <c r="AO168" s="3276">
        <f t="shared" si="1536"/>
        <v>12.445</v>
      </c>
      <c r="AP168" s="3276">
        <f t="shared" ref="AP168:BC168" si="1559">SUM(AP115)</f>
        <v>12.445</v>
      </c>
      <c r="AQ168" s="3276">
        <f t="shared" si="1559"/>
        <v>0</v>
      </c>
      <c r="AR168" s="3145">
        <f t="shared" si="1559"/>
        <v>0</v>
      </c>
      <c r="AS168" s="3145">
        <f t="shared" si="1559"/>
        <v>0</v>
      </c>
      <c r="AT168" s="3145">
        <f t="shared" si="1559"/>
        <v>0</v>
      </c>
      <c r="AU168" s="3145">
        <f t="shared" si="1559"/>
        <v>0</v>
      </c>
      <c r="AV168" s="3145">
        <f t="shared" si="1559"/>
        <v>0</v>
      </c>
      <c r="AW168" s="3145">
        <f t="shared" si="1559"/>
        <v>0</v>
      </c>
      <c r="AX168" s="3145">
        <f t="shared" si="1559"/>
        <v>1.123</v>
      </c>
      <c r="AY168" s="3145">
        <f t="shared" si="1559"/>
        <v>1.1200000000000001</v>
      </c>
      <c r="AZ168" s="3145">
        <f t="shared" si="1559"/>
        <v>3.0000000000000001E-3</v>
      </c>
      <c r="BA168" s="3145">
        <f t="shared" si="1559"/>
        <v>1.123</v>
      </c>
      <c r="BB168" s="3145">
        <f t="shared" si="1559"/>
        <v>1.1200000000000001</v>
      </c>
      <c r="BC168" s="3145">
        <f t="shared" si="1559"/>
        <v>3.0000000000000001E-3</v>
      </c>
      <c r="BD168" s="3283">
        <f t="shared" si="1538"/>
        <v>37.335000000000001</v>
      </c>
      <c r="BE168" s="3283">
        <f t="shared" si="1538"/>
        <v>37.335000000000001</v>
      </c>
      <c r="BF168" s="3283">
        <f t="shared" si="1538"/>
        <v>0</v>
      </c>
      <c r="BG168" s="3179">
        <f t="shared" si="1538"/>
        <v>28.295999999999999</v>
      </c>
      <c r="BH168" s="3179">
        <f t="shared" si="1538"/>
        <v>28.22</v>
      </c>
      <c r="BI168" s="3179">
        <f t="shared" si="1538"/>
        <v>7.5999999999999998E-2</v>
      </c>
      <c r="BJ168" s="3068">
        <f t="shared" si="1444"/>
        <v>-9.0390000000000015</v>
      </c>
      <c r="BK168" s="3068">
        <f t="shared" si="1445"/>
        <v>-9.115000000000002</v>
      </c>
      <c r="BL168" s="3068">
        <f t="shared" si="1446"/>
        <v>7.5999999999999998E-2</v>
      </c>
      <c r="BM168" s="3276">
        <f t="shared" ref="BM168:CG168" si="1560">SUM(BM115)</f>
        <v>12.445</v>
      </c>
      <c r="BN168" s="3276">
        <f t="shared" si="1560"/>
        <v>12.445</v>
      </c>
      <c r="BO168" s="3276">
        <f t="shared" si="1560"/>
        <v>0</v>
      </c>
      <c r="BP168" s="3145">
        <f t="shared" si="1560"/>
        <v>0</v>
      </c>
      <c r="BQ168" s="3145">
        <f t="shared" si="1560"/>
        <v>0</v>
      </c>
      <c r="BR168" s="3145">
        <f t="shared" si="1560"/>
        <v>0</v>
      </c>
      <c r="BS168" s="3145">
        <f t="shared" si="1560"/>
        <v>0</v>
      </c>
      <c r="BT168" s="3145">
        <f t="shared" si="1560"/>
        <v>0</v>
      </c>
      <c r="BU168" s="3145">
        <f t="shared" si="1560"/>
        <v>0</v>
      </c>
      <c r="BV168" s="3145">
        <f t="shared" si="1560"/>
        <v>0</v>
      </c>
      <c r="BW168" s="3145">
        <f t="shared" si="1560"/>
        <v>0</v>
      </c>
      <c r="BX168" s="3145">
        <f t="shared" si="1560"/>
        <v>0</v>
      </c>
      <c r="BY168" s="3145">
        <f t="shared" si="1560"/>
        <v>0</v>
      </c>
      <c r="BZ168" s="3145">
        <f t="shared" si="1560"/>
        <v>0</v>
      </c>
      <c r="CA168" s="3145">
        <f t="shared" si="1560"/>
        <v>0</v>
      </c>
      <c r="CB168" s="3283">
        <f t="shared" si="1560"/>
        <v>49.78</v>
      </c>
      <c r="CC168" s="3283">
        <f t="shared" si="1560"/>
        <v>49.78</v>
      </c>
      <c r="CD168" s="3283">
        <f t="shared" si="1560"/>
        <v>0</v>
      </c>
      <c r="CE168" s="3179">
        <f t="shared" si="1560"/>
        <v>28.295999999999999</v>
      </c>
      <c r="CF168" s="3179">
        <f t="shared" si="1560"/>
        <v>28.22</v>
      </c>
      <c r="CG168" s="3179">
        <f t="shared" si="1560"/>
        <v>7.5999999999999998E-2</v>
      </c>
      <c r="CH168" s="3068">
        <f t="shared" si="1449"/>
        <v>-21.484000000000002</v>
      </c>
      <c r="CI168" s="3068">
        <f t="shared" si="1450"/>
        <v>-21.560000000000002</v>
      </c>
      <c r="CJ168" s="3068">
        <f t="shared" si="1451"/>
        <v>7.5999999999999998E-2</v>
      </c>
    </row>
    <row r="169" spans="1:88" ht="18.75" customHeight="1" x14ac:dyDescent="0.3">
      <c r="A169" s="3079" t="s">
        <v>281</v>
      </c>
      <c r="B169" s="3276">
        <f t="shared" ref="B169:AK169" si="1561">SUM(B116)</f>
        <v>32.157499999999999</v>
      </c>
      <c r="C169" s="3276">
        <f t="shared" si="1561"/>
        <v>32.157499999999999</v>
      </c>
      <c r="D169" s="3276">
        <f t="shared" si="1561"/>
        <v>0</v>
      </c>
      <c r="E169" s="3145">
        <f t="shared" si="1561"/>
        <v>4.2819999999999991</v>
      </c>
      <c r="F169" s="3145">
        <f t="shared" si="1561"/>
        <v>4.2699999999999996</v>
      </c>
      <c r="G169" s="3145">
        <f t="shared" si="1561"/>
        <v>1.2E-2</v>
      </c>
      <c r="H169" s="3145">
        <f t="shared" si="1561"/>
        <v>6.3790000000000004</v>
      </c>
      <c r="I169" s="3145">
        <f t="shared" si="1561"/>
        <v>6.36</v>
      </c>
      <c r="J169" s="3145">
        <f t="shared" si="1561"/>
        <v>1.9E-2</v>
      </c>
      <c r="K169" s="3145">
        <f t="shared" si="1561"/>
        <v>6.1559999999999997</v>
      </c>
      <c r="L169" s="3145">
        <f t="shared" si="1561"/>
        <v>6.14</v>
      </c>
      <c r="M169" s="3145">
        <f t="shared" si="1561"/>
        <v>1.6E-2</v>
      </c>
      <c r="N169" s="3145">
        <f t="shared" si="1561"/>
        <v>16.817</v>
      </c>
      <c r="O169" s="3145">
        <f t="shared" si="1561"/>
        <v>16.77</v>
      </c>
      <c r="P169" s="3145">
        <f t="shared" si="1561"/>
        <v>4.7E-2</v>
      </c>
      <c r="Q169" s="3276">
        <f t="shared" si="1561"/>
        <v>32.157499999999999</v>
      </c>
      <c r="R169" s="3276">
        <f t="shared" si="1561"/>
        <v>32.157499999999999</v>
      </c>
      <c r="S169" s="3276">
        <f t="shared" si="1561"/>
        <v>0</v>
      </c>
      <c r="T169" s="3145">
        <f t="shared" si="1561"/>
        <v>6.4960000000000004</v>
      </c>
      <c r="U169" s="3145">
        <f t="shared" si="1561"/>
        <v>6.48</v>
      </c>
      <c r="V169" s="3145">
        <f t="shared" si="1561"/>
        <v>1.6E-2</v>
      </c>
      <c r="W169" s="3145">
        <f t="shared" si="1561"/>
        <v>6.258</v>
      </c>
      <c r="X169" s="3145">
        <f t="shared" si="1561"/>
        <v>6.24</v>
      </c>
      <c r="Y169" s="3145">
        <f t="shared" si="1561"/>
        <v>1.7999999999999999E-2</v>
      </c>
      <c r="Z169" s="3145">
        <f t="shared" si="1561"/>
        <v>6.0439999999999996</v>
      </c>
      <c r="AA169" s="3145">
        <f t="shared" si="1561"/>
        <v>6.01</v>
      </c>
      <c r="AB169" s="3145">
        <f t="shared" si="1561"/>
        <v>3.4000000000000002E-2</v>
      </c>
      <c r="AC169" s="3145">
        <f t="shared" si="1561"/>
        <v>18.798000000000002</v>
      </c>
      <c r="AD169" s="3145">
        <f t="shared" si="1561"/>
        <v>18.73</v>
      </c>
      <c r="AE169" s="3145">
        <f t="shared" si="1561"/>
        <v>6.8000000000000005E-2</v>
      </c>
      <c r="AF169" s="3283">
        <f t="shared" si="1561"/>
        <v>64.314999999999998</v>
      </c>
      <c r="AG169" s="3283">
        <f t="shared" si="1561"/>
        <v>64.314999999999998</v>
      </c>
      <c r="AH169" s="3283">
        <f t="shared" si="1561"/>
        <v>0</v>
      </c>
      <c r="AI169" s="3179">
        <f t="shared" si="1561"/>
        <v>35.615000000000002</v>
      </c>
      <c r="AJ169" s="3179">
        <f t="shared" si="1561"/>
        <v>35.5</v>
      </c>
      <c r="AK169" s="3179">
        <f t="shared" si="1561"/>
        <v>0.115</v>
      </c>
      <c r="AL169" s="3068">
        <f t="shared" si="1455"/>
        <v>-28.699999999999996</v>
      </c>
      <c r="AM169" s="3068">
        <f t="shared" si="1456"/>
        <v>-28.814999999999998</v>
      </c>
      <c r="AN169" s="3068">
        <f t="shared" si="1457"/>
        <v>0.115</v>
      </c>
      <c r="AO169" s="3276">
        <f t="shared" si="1536"/>
        <v>32.157499999999999</v>
      </c>
      <c r="AP169" s="3276">
        <f t="shared" ref="AP169:BC169" si="1562">SUM(AP116)</f>
        <v>32.157499999999999</v>
      </c>
      <c r="AQ169" s="3276">
        <f t="shared" si="1562"/>
        <v>0</v>
      </c>
      <c r="AR169" s="3145">
        <f t="shared" si="1562"/>
        <v>5.7530000000000001</v>
      </c>
      <c r="AS169" s="3145">
        <f t="shared" si="1562"/>
        <v>5.75</v>
      </c>
      <c r="AT169" s="3145">
        <f t="shared" si="1562"/>
        <v>3.0000000000000001E-3</v>
      </c>
      <c r="AU169" s="3145">
        <f t="shared" si="1562"/>
        <v>5.9359999999999999</v>
      </c>
      <c r="AV169" s="3145">
        <f t="shared" si="1562"/>
        <v>5.92</v>
      </c>
      <c r="AW169" s="3145">
        <f t="shared" si="1562"/>
        <v>1.6E-2</v>
      </c>
      <c r="AX169" s="3145">
        <f t="shared" si="1562"/>
        <v>6.1899999999999995</v>
      </c>
      <c r="AY169" s="3145">
        <f t="shared" si="1562"/>
        <v>6.17</v>
      </c>
      <c r="AZ169" s="3145">
        <f t="shared" si="1562"/>
        <v>0.02</v>
      </c>
      <c r="BA169" s="3145">
        <f t="shared" si="1562"/>
        <v>17.879000000000001</v>
      </c>
      <c r="BB169" s="3145">
        <f t="shared" si="1562"/>
        <v>17.84</v>
      </c>
      <c r="BC169" s="3145">
        <f t="shared" si="1562"/>
        <v>3.9E-2</v>
      </c>
      <c r="BD169" s="3283">
        <f t="shared" si="1538"/>
        <v>96.472499999999997</v>
      </c>
      <c r="BE169" s="3283">
        <f t="shared" si="1538"/>
        <v>96.472499999999997</v>
      </c>
      <c r="BF169" s="3283">
        <f t="shared" si="1538"/>
        <v>0</v>
      </c>
      <c r="BG169" s="3179">
        <f t="shared" si="1538"/>
        <v>53.494</v>
      </c>
      <c r="BH169" s="3179">
        <f t="shared" si="1538"/>
        <v>53.34</v>
      </c>
      <c r="BI169" s="3179">
        <f t="shared" si="1538"/>
        <v>0.154</v>
      </c>
      <c r="BJ169" s="3068">
        <f t="shared" si="1444"/>
        <v>-42.978499999999997</v>
      </c>
      <c r="BK169" s="3068">
        <f t="shared" si="1445"/>
        <v>-43.132499999999993</v>
      </c>
      <c r="BL169" s="3068">
        <f t="shared" si="1446"/>
        <v>0.154</v>
      </c>
      <c r="BM169" s="3276">
        <f t="shared" ref="BM169:CG169" si="1563">SUM(BM116)</f>
        <v>32.157499999999999</v>
      </c>
      <c r="BN169" s="3276">
        <f t="shared" si="1563"/>
        <v>32.157499999999999</v>
      </c>
      <c r="BO169" s="3276">
        <f t="shared" si="1563"/>
        <v>0</v>
      </c>
      <c r="BP169" s="3145">
        <f t="shared" si="1563"/>
        <v>0</v>
      </c>
      <c r="BQ169" s="3145">
        <f t="shared" si="1563"/>
        <v>0</v>
      </c>
      <c r="BR169" s="3145">
        <f t="shared" si="1563"/>
        <v>0</v>
      </c>
      <c r="BS169" s="3145">
        <f t="shared" si="1563"/>
        <v>0</v>
      </c>
      <c r="BT169" s="3145">
        <f t="shared" si="1563"/>
        <v>0</v>
      </c>
      <c r="BU169" s="3145">
        <f t="shared" si="1563"/>
        <v>0</v>
      </c>
      <c r="BV169" s="3145">
        <f t="shared" si="1563"/>
        <v>0</v>
      </c>
      <c r="BW169" s="3145">
        <f t="shared" si="1563"/>
        <v>0</v>
      </c>
      <c r="BX169" s="3145">
        <f t="shared" si="1563"/>
        <v>0</v>
      </c>
      <c r="BY169" s="3145">
        <f t="shared" si="1563"/>
        <v>0</v>
      </c>
      <c r="BZ169" s="3145">
        <f t="shared" si="1563"/>
        <v>0</v>
      </c>
      <c r="CA169" s="3145">
        <f t="shared" si="1563"/>
        <v>0</v>
      </c>
      <c r="CB169" s="3283">
        <f t="shared" si="1563"/>
        <v>128.63</v>
      </c>
      <c r="CC169" s="3283">
        <f t="shared" si="1563"/>
        <v>128.63</v>
      </c>
      <c r="CD169" s="3283">
        <f t="shared" si="1563"/>
        <v>0</v>
      </c>
      <c r="CE169" s="3179">
        <f t="shared" si="1563"/>
        <v>53.494</v>
      </c>
      <c r="CF169" s="3179">
        <f t="shared" si="1563"/>
        <v>53.34</v>
      </c>
      <c r="CG169" s="3179">
        <f t="shared" si="1563"/>
        <v>0.154</v>
      </c>
      <c r="CH169" s="3068">
        <f t="shared" si="1449"/>
        <v>-75.135999999999996</v>
      </c>
      <c r="CI169" s="3068">
        <f t="shared" si="1450"/>
        <v>-75.289999999999992</v>
      </c>
      <c r="CJ169" s="3068">
        <f t="shared" si="1451"/>
        <v>0.154</v>
      </c>
    </row>
    <row r="170" spans="1:88" ht="18.75" customHeight="1" x14ac:dyDescent="0.3">
      <c r="A170" s="3138" t="s">
        <v>3607</v>
      </c>
      <c r="B170" s="3276">
        <f>SUM(B117)</f>
        <v>718.17354999999998</v>
      </c>
      <c r="C170" s="3276">
        <f t="shared" ref="C170:AE170" si="1564">SUM(C117)</f>
        <v>717.82649285048171</v>
      </c>
      <c r="D170" s="3276">
        <f t="shared" si="1564"/>
        <v>0.34705714951827904</v>
      </c>
      <c r="E170" s="3145">
        <f t="shared" si="1564"/>
        <v>137.94499999999999</v>
      </c>
      <c r="F170" s="3145">
        <f t="shared" si="1564"/>
        <v>137.56</v>
      </c>
      <c r="G170" s="3145">
        <f t="shared" si="1564"/>
        <v>0.38500000000000001</v>
      </c>
      <c r="H170" s="3145">
        <f t="shared" si="1564"/>
        <v>127.801</v>
      </c>
      <c r="I170" s="3145">
        <f t="shared" si="1564"/>
        <v>127.43</v>
      </c>
      <c r="J170" s="3145">
        <f t="shared" si="1564"/>
        <v>0.371</v>
      </c>
      <c r="K170" s="3145">
        <f t="shared" si="1564"/>
        <v>178.751</v>
      </c>
      <c r="L170" s="3145">
        <f t="shared" si="1564"/>
        <v>178.29</v>
      </c>
      <c r="M170" s="3145">
        <f t="shared" si="1564"/>
        <v>0.46100000000000002</v>
      </c>
      <c r="N170" s="3145">
        <f t="shared" si="1564"/>
        <v>444.49699999999996</v>
      </c>
      <c r="O170" s="3145">
        <f t="shared" si="1564"/>
        <v>443.28</v>
      </c>
      <c r="P170" s="3145">
        <f t="shared" si="1564"/>
        <v>1.2170000000000001</v>
      </c>
      <c r="Q170" s="3276">
        <f t="shared" si="1564"/>
        <v>718.17354999999998</v>
      </c>
      <c r="R170" s="3276">
        <f t="shared" si="1564"/>
        <v>717.82649285048171</v>
      </c>
      <c r="S170" s="3276">
        <f t="shared" si="1564"/>
        <v>0.34705714951827904</v>
      </c>
      <c r="T170" s="3145">
        <f t="shared" si="1564"/>
        <v>210.45999999999998</v>
      </c>
      <c r="U170" s="3145">
        <f t="shared" si="1564"/>
        <v>209.95</v>
      </c>
      <c r="V170" s="3145">
        <f t="shared" si="1564"/>
        <v>0.51</v>
      </c>
      <c r="W170" s="3145">
        <f t="shared" si="1564"/>
        <v>130.98200000000003</v>
      </c>
      <c r="X170" s="3145">
        <f t="shared" si="1564"/>
        <v>130.61000000000001</v>
      </c>
      <c r="Y170" s="3145">
        <f t="shared" si="1564"/>
        <v>0.372</v>
      </c>
      <c r="Z170" s="3145">
        <f t="shared" si="1564"/>
        <v>156.66499999999999</v>
      </c>
      <c r="AA170" s="3145">
        <f t="shared" si="1564"/>
        <v>155.79</v>
      </c>
      <c r="AB170" s="3145">
        <f t="shared" si="1564"/>
        <v>0.875</v>
      </c>
      <c r="AC170" s="3145">
        <f t="shared" si="1564"/>
        <v>498.10700000000003</v>
      </c>
      <c r="AD170" s="3145">
        <f t="shared" si="1564"/>
        <v>496.35</v>
      </c>
      <c r="AE170" s="3145">
        <f t="shared" si="1564"/>
        <v>1.7570000000000001</v>
      </c>
      <c r="AF170" s="3283">
        <f t="shared" ref="AF170:CB170" si="1565">SUM(AF117)</f>
        <v>1436.3471</v>
      </c>
      <c r="AG170" s="3283">
        <f t="shared" ref="AG170:AK170" si="1566">SUM(AG117)</f>
        <v>1435.6529857009634</v>
      </c>
      <c r="AH170" s="3283">
        <f t="shared" si="1566"/>
        <v>0.69411429903655808</v>
      </c>
      <c r="AI170" s="3179">
        <f t="shared" si="1566"/>
        <v>942.60400000000004</v>
      </c>
      <c r="AJ170" s="3179">
        <f t="shared" si="1566"/>
        <v>939.63</v>
      </c>
      <c r="AK170" s="3179">
        <f t="shared" si="1566"/>
        <v>2.9740000000000002</v>
      </c>
      <c r="AL170" s="3068">
        <f t="shared" si="1455"/>
        <v>-493.74309999999991</v>
      </c>
      <c r="AM170" s="3068">
        <f t="shared" si="1456"/>
        <v>-496.02298570096343</v>
      </c>
      <c r="AN170" s="3068">
        <f t="shared" si="1457"/>
        <v>2.2798857009634421</v>
      </c>
      <c r="AO170" s="3276">
        <f t="shared" si="1565"/>
        <v>718.17354999999998</v>
      </c>
      <c r="AP170" s="3276">
        <f t="shared" ref="AP170:BC170" si="1567">SUM(AP117)</f>
        <v>717.82649285048171</v>
      </c>
      <c r="AQ170" s="3276">
        <f t="shared" si="1567"/>
        <v>0.34705714951827904</v>
      </c>
      <c r="AR170" s="3145">
        <f t="shared" si="1567"/>
        <v>141.51299999999998</v>
      </c>
      <c r="AS170" s="3145">
        <f t="shared" si="1567"/>
        <v>141.44999999999999</v>
      </c>
      <c r="AT170" s="3145">
        <f t="shared" si="1567"/>
        <v>6.3E-2</v>
      </c>
      <c r="AU170" s="3145">
        <f t="shared" si="1567"/>
        <v>173.01999999999998</v>
      </c>
      <c r="AV170" s="3145">
        <f t="shared" si="1567"/>
        <v>172.54</v>
      </c>
      <c r="AW170" s="3145">
        <f t="shared" si="1567"/>
        <v>0.48</v>
      </c>
      <c r="AX170" s="3145">
        <f t="shared" si="1567"/>
        <v>136.54</v>
      </c>
      <c r="AY170" s="3145">
        <f t="shared" si="1567"/>
        <v>136.16</v>
      </c>
      <c r="AZ170" s="3145">
        <f t="shared" si="1567"/>
        <v>0.38</v>
      </c>
      <c r="BA170" s="3145">
        <f t="shared" si="1567"/>
        <v>451.07299999999998</v>
      </c>
      <c r="BB170" s="3145">
        <f t="shared" si="1567"/>
        <v>450.15</v>
      </c>
      <c r="BC170" s="3145">
        <f t="shared" si="1567"/>
        <v>0.92299999999999993</v>
      </c>
      <c r="BD170" s="3283">
        <f t="shared" si="1565"/>
        <v>2154.5206499999999</v>
      </c>
      <c r="BE170" s="3283">
        <f t="shared" ref="BE170:BI170" si="1568">SUM(BE117)</f>
        <v>2153.479478551445</v>
      </c>
      <c r="BF170" s="3283">
        <f t="shared" si="1568"/>
        <v>1.0411714485548371</v>
      </c>
      <c r="BG170" s="3179">
        <f t="shared" si="1568"/>
        <v>1393.6770000000001</v>
      </c>
      <c r="BH170" s="3179">
        <f t="shared" si="1568"/>
        <v>1389.78</v>
      </c>
      <c r="BI170" s="3179">
        <f t="shared" si="1568"/>
        <v>3.8970000000000002</v>
      </c>
      <c r="BJ170" s="3068">
        <f t="shared" si="1444"/>
        <v>-760.8436499999998</v>
      </c>
      <c r="BK170" s="3068">
        <f t="shared" si="1445"/>
        <v>-763.69947855144505</v>
      </c>
      <c r="BL170" s="3068">
        <f t="shared" si="1446"/>
        <v>2.8558285514451631</v>
      </c>
      <c r="BM170" s="3276">
        <f t="shared" si="1565"/>
        <v>718.17354999999998</v>
      </c>
      <c r="BN170" s="3276">
        <f t="shared" ref="BN170:CA170" si="1569">SUM(BN117)</f>
        <v>717.82649285048171</v>
      </c>
      <c r="BO170" s="3276">
        <f t="shared" si="1569"/>
        <v>0.34705714951827904</v>
      </c>
      <c r="BP170" s="3145">
        <f t="shared" si="1569"/>
        <v>0</v>
      </c>
      <c r="BQ170" s="3145">
        <f t="shared" si="1569"/>
        <v>0</v>
      </c>
      <c r="BR170" s="3145">
        <f t="shared" si="1569"/>
        <v>0</v>
      </c>
      <c r="BS170" s="3145">
        <f t="shared" si="1569"/>
        <v>0</v>
      </c>
      <c r="BT170" s="3145">
        <f t="shared" si="1569"/>
        <v>0</v>
      </c>
      <c r="BU170" s="3145">
        <f t="shared" si="1569"/>
        <v>0</v>
      </c>
      <c r="BV170" s="3145">
        <f t="shared" si="1569"/>
        <v>0</v>
      </c>
      <c r="BW170" s="3145">
        <f t="shared" si="1569"/>
        <v>0</v>
      </c>
      <c r="BX170" s="3145">
        <f t="shared" si="1569"/>
        <v>0</v>
      </c>
      <c r="BY170" s="3145">
        <f t="shared" si="1569"/>
        <v>0</v>
      </c>
      <c r="BZ170" s="3145">
        <f t="shared" si="1569"/>
        <v>0</v>
      </c>
      <c r="CA170" s="3145">
        <f t="shared" si="1569"/>
        <v>0</v>
      </c>
      <c r="CB170" s="3283">
        <f t="shared" si="1565"/>
        <v>2872.6941999999999</v>
      </c>
      <c r="CC170" s="3283">
        <f t="shared" ref="CC170:CG170" si="1570">SUM(CC117)</f>
        <v>2871.3059714019269</v>
      </c>
      <c r="CD170" s="3283">
        <f t="shared" si="1570"/>
        <v>1.3882285980731162</v>
      </c>
      <c r="CE170" s="3179">
        <f t="shared" si="1570"/>
        <v>1393.6770000000001</v>
      </c>
      <c r="CF170" s="3179">
        <f t="shared" si="1570"/>
        <v>1389.78</v>
      </c>
      <c r="CG170" s="3179">
        <f t="shared" si="1570"/>
        <v>3.8970000000000002</v>
      </c>
      <c r="CH170" s="3068">
        <f t="shared" si="1449"/>
        <v>-1479.0171999999998</v>
      </c>
      <c r="CI170" s="3068">
        <f t="shared" si="1450"/>
        <v>-1481.5259714019269</v>
      </c>
      <c r="CJ170" s="3068">
        <f t="shared" si="1451"/>
        <v>2.5087714019268841</v>
      </c>
    </row>
    <row r="171" spans="1:88" ht="18.75" customHeight="1" x14ac:dyDescent="0.3">
      <c r="A171" s="3072" t="s">
        <v>515</v>
      </c>
      <c r="B171" s="3276">
        <f>SUM(B118)</f>
        <v>0</v>
      </c>
      <c r="C171" s="3276">
        <f t="shared" ref="C171:AE171" si="1571">SUM(C118)</f>
        <v>0</v>
      </c>
      <c r="D171" s="3276">
        <f t="shared" si="1571"/>
        <v>0</v>
      </c>
      <c r="E171" s="3145">
        <f t="shared" si="1571"/>
        <v>0</v>
      </c>
      <c r="F171" s="3145">
        <f t="shared" si="1571"/>
        <v>0</v>
      </c>
      <c r="G171" s="3145">
        <f t="shared" si="1571"/>
        <v>0</v>
      </c>
      <c r="H171" s="3145">
        <f t="shared" si="1571"/>
        <v>0</v>
      </c>
      <c r="I171" s="3145">
        <f t="shared" si="1571"/>
        <v>0</v>
      </c>
      <c r="J171" s="3145">
        <f t="shared" si="1571"/>
        <v>0</v>
      </c>
      <c r="K171" s="3145">
        <f t="shared" si="1571"/>
        <v>0</v>
      </c>
      <c r="L171" s="3145">
        <f t="shared" si="1571"/>
        <v>0</v>
      </c>
      <c r="M171" s="3145">
        <f t="shared" si="1571"/>
        <v>0</v>
      </c>
      <c r="N171" s="3145">
        <f t="shared" si="1571"/>
        <v>0</v>
      </c>
      <c r="O171" s="3145">
        <f t="shared" si="1571"/>
        <v>0</v>
      </c>
      <c r="P171" s="3145">
        <f t="shared" si="1571"/>
        <v>0</v>
      </c>
      <c r="Q171" s="3276">
        <f t="shared" si="1571"/>
        <v>0</v>
      </c>
      <c r="R171" s="3276">
        <f t="shared" si="1571"/>
        <v>0</v>
      </c>
      <c r="S171" s="3276">
        <f t="shared" si="1571"/>
        <v>0</v>
      </c>
      <c r="T171" s="3145">
        <f t="shared" si="1571"/>
        <v>0</v>
      </c>
      <c r="U171" s="3145">
        <f t="shared" si="1571"/>
        <v>0</v>
      </c>
      <c r="V171" s="3145">
        <f t="shared" si="1571"/>
        <v>0</v>
      </c>
      <c r="W171" s="3145">
        <f t="shared" si="1571"/>
        <v>0</v>
      </c>
      <c r="X171" s="3145">
        <f t="shared" si="1571"/>
        <v>0</v>
      </c>
      <c r="Y171" s="3145">
        <f t="shared" si="1571"/>
        <v>0</v>
      </c>
      <c r="Z171" s="3145">
        <f t="shared" si="1571"/>
        <v>0</v>
      </c>
      <c r="AA171" s="3145">
        <f t="shared" si="1571"/>
        <v>0</v>
      </c>
      <c r="AB171" s="3145">
        <f t="shared" si="1571"/>
        <v>0</v>
      </c>
      <c r="AC171" s="3145">
        <f t="shared" si="1571"/>
        <v>0</v>
      </c>
      <c r="AD171" s="3145">
        <f t="shared" si="1571"/>
        <v>0</v>
      </c>
      <c r="AE171" s="3145">
        <f t="shared" si="1571"/>
        <v>0</v>
      </c>
      <c r="AF171" s="3283">
        <f>SUM(AF118)</f>
        <v>0</v>
      </c>
      <c r="AG171" s="3283">
        <f t="shared" ref="AG171:AK171" si="1572">SUM(AG118)</f>
        <v>0</v>
      </c>
      <c r="AH171" s="3283">
        <f t="shared" si="1572"/>
        <v>0</v>
      </c>
      <c r="AI171" s="3179">
        <f t="shared" si="1572"/>
        <v>0</v>
      </c>
      <c r="AJ171" s="3179">
        <f t="shared" si="1572"/>
        <v>0</v>
      </c>
      <c r="AK171" s="3179">
        <f t="shared" si="1572"/>
        <v>0</v>
      </c>
      <c r="AL171" s="3062">
        <f t="shared" si="1455"/>
        <v>0</v>
      </c>
      <c r="AM171" s="3062">
        <f t="shared" si="1456"/>
        <v>0</v>
      </c>
      <c r="AN171" s="3062">
        <f t="shared" si="1457"/>
        <v>0</v>
      </c>
      <c r="AO171" s="3276">
        <f>SUM(AO118)</f>
        <v>0</v>
      </c>
      <c r="AP171" s="3276">
        <f t="shared" ref="AP171:BC171" si="1573">SUM(AP118)</f>
        <v>0</v>
      </c>
      <c r="AQ171" s="3276">
        <f t="shared" si="1573"/>
        <v>0</v>
      </c>
      <c r="AR171" s="3145">
        <f t="shared" si="1573"/>
        <v>0</v>
      </c>
      <c r="AS171" s="3145">
        <f t="shared" si="1573"/>
        <v>0</v>
      </c>
      <c r="AT171" s="3145">
        <f t="shared" si="1573"/>
        <v>0</v>
      </c>
      <c r="AU171" s="3145">
        <f t="shared" si="1573"/>
        <v>0</v>
      </c>
      <c r="AV171" s="3145">
        <f t="shared" si="1573"/>
        <v>0</v>
      </c>
      <c r="AW171" s="3145">
        <f t="shared" si="1573"/>
        <v>0</v>
      </c>
      <c r="AX171" s="3145">
        <f t="shared" si="1573"/>
        <v>0</v>
      </c>
      <c r="AY171" s="3145">
        <f t="shared" si="1573"/>
        <v>0</v>
      </c>
      <c r="AZ171" s="3145">
        <f t="shared" si="1573"/>
        <v>0</v>
      </c>
      <c r="BA171" s="3145">
        <f t="shared" si="1573"/>
        <v>0</v>
      </c>
      <c r="BB171" s="3145">
        <f t="shared" si="1573"/>
        <v>0</v>
      </c>
      <c r="BC171" s="3145">
        <f t="shared" si="1573"/>
        <v>0</v>
      </c>
      <c r="BD171" s="3283">
        <f>SUM(BD118)</f>
        <v>0</v>
      </c>
      <c r="BE171" s="3283">
        <f t="shared" ref="BE171:BI171" si="1574">SUM(BE118)</f>
        <v>0</v>
      </c>
      <c r="BF171" s="3283">
        <f t="shared" si="1574"/>
        <v>0</v>
      </c>
      <c r="BG171" s="3179">
        <f t="shared" si="1574"/>
        <v>0</v>
      </c>
      <c r="BH171" s="3179">
        <f t="shared" si="1574"/>
        <v>0</v>
      </c>
      <c r="BI171" s="3179">
        <f t="shared" si="1574"/>
        <v>0</v>
      </c>
      <c r="BJ171" s="3062">
        <f t="shared" si="1444"/>
        <v>0</v>
      </c>
      <c r="BK171" s="3062">
        <f t="shared" si="1445"/>
        <v>0</v>
      </c>
      <c r="BL171" s="3062">
        <f t="shared" si="1446"/>
        <v>0</v>
      </c>
      <c r="BM171" s="3276">
        <f>SUM(BM118)</f>
        <v>0</v>
      </c>
      <c r="BN171" s="3276">
        <f t="shared" ref="BN171:CA171" si="1575">SUM(BN118)</f>
        <v>0</v>
      </c>
      <c r="BO171" s="3276">
        <f t="shared" si="1575"/>
        <v>0</v>
      </c>
      <c r="BP171" s="3145">
        <f t="shared" si="1575"/>
        <v>0</v>
      </c>
      <c r="BQ171" s="3145">
        <f t="shared" si="1575"/>
        <v>0</v>
      </c>
      <c r="BR171" s="3145">
        <f t="shared" si="1575"/>
        <v>0</v>
      </c>
      <c r="BS171" s="3145">
        <f t="shared" si="1575"/>
        <v>0</v>
      </c>
      <c r="BT171" s="3145">
        <f t="shared" si="1575"/>
        <v>0</v>
      </c>
      <c r="BU171" s="3145">
        <f t="shared" si="1575"/>
        <v>0</v>
      </c>
      <c r="BV171" s="3145">
        <f t="shared" si="1575"/>
        <v>0</v>
      </c>
      <c r="BW171" s="3145">
        <f t="shared" si="1575"/>
        <v>0</v>
      </c>
      <c r="BX171" s="3145">
        <f t="shared" si="1575"/>
        <v>0</v>
      </c>
      <c r="BY171" s="3145">
        <f t="shared" si="1575"/>
        <v>0</v>
      </c>
      <c r="BZ171" s="3145">
        <f t="shared" si="1575"/>
        <v>0</v>
      </c>
      <c r="CA171" s="3145">
        <f t="shared" si="1575"/>
        <v>0</v>
      </c>
      <c r="CB171" s="3283">
        <f>SUM(CB118)</f>
        <v>0</v>
      </c>
      <c r="CC171" s="3283">
        <f t="shared" ref="CC171:CG171" si="1576">SUM(CC118)</f>
        <v>0</v>
      </c>
      <c r="CD171" s="3283">
        <f t="shared" si="1576"/>
        <v>0</v>
      </c>
      <c r="CE171" s="3179">
        <f t="shared" si="1576"/>
        <v>0</v>
      </c>
      <c r="CF171" s="3179">
        <f t="shared" si="1576"/>
        <v>0</v>
      </c>
      <c r="CG171" s="3179">
        <f t="shared" si="1576"/>
        <v>0</v>
      </c>
      <c r="CH171" s="3062">
        <f t="shared" si="1449"/>
        <v>0</v>
      </c>
      <c r="CI171" s="3062">
        <f t="shared" si="1450"/>
        <v>0</v>
      </c>
      <c r="CJ171" s="3062">
        <f t="shared" si="1451"/>
        <v>0</v>
      </c>
    </row>
    <row r="172" spans="1:88" ht="18.75" customHeight="1" x14ac:dyDescent="0.3">
      <c r="A172" s="3111" t="s">
        <v>3609</v>
      </c>
      <c r="B172" s="3277">
        <f t="shared" ref="B172:AO172" si="1577">SUM(B119)</f>
        <v>60.252499999999998</v>
      </c>
      <c r="C172" s="3277">
        <f t="shared" ref="C172:AE172" si="1578">SUM(C119)</f>
        <v>60.252499999999998</v>
      </c>
      <c r="D172" s="3277">
        <f t="shared" si="1578"/>
        <v>0</v>
      </c>
      <c r="E172" s="3136">
        <f t="shared" si="1578"/>
        <v>0</v>
      </c>
      <c r="F172" s="3136">
        <f t="shared" si="1578"/>
        <v>0</v>
      </c>
      <c r="G172" s="3136">
        <f t="shared" si="1578"/>
        <v>0</v>
      </c>
      <c r="H172" s="3136">
        <f t="shared" si="1578"/>
        <v>0</v>
      </c>
      <c r="I172" s="3136">
        <f t="shared" si="1578"/>
        <v>0</v>
      </c>
      <c r="J172" s="3136">
        <f t="shared" si="1578"/>
        <v>0</v>
      </c>
      <c r="K172" s="3136">
        <f t="shared" si="1578"/>
        <v>0</v>
      </c>
      <c r="L172" s="3136">
        <f t="shared" si="1578"/>
        <v>0</v>
      </c>
      <c r="M172" s="3136">
        <f t="shared" si="1578"/>
        <v>0</v>
      </c>
      <c r="N172" s="3136">
        <f t="shared" si="1578"/>
        <v>0</v>
      </c>
      <c r="O172" s="3136">
        <f t="shared" si="1578"/>
        <v>0</v>
      </c>
      <c r="P172" s="3136">
        <f t="shared" si="1578"/>
        <v>0</v>
      </c>
      <c r="Q172" s="3277">
        <f t="shared" si="1578"/>
        <v>60.252499999999998</v>
      </c>
      <c r="R172" s="3277">
        <f t="shared" si="1578"/>
        <v>60.252499999999998</v>
      </c>
      <c r="S172" s="3277">
        <f t="shared" si="1578"/>
        <v>0</v>
      </c>
      <c r="T172" s="3136">
        <f t="shared" si="1578"/>
        <v>0</v>
      </c>
      <c r="U172" s="3136">
        <f t="shared" si="1578"/>
        <v>0</v>
      </c>
      <c r="V172" s="3136">
        <f t="shared" si="1578"/>
        <v>0</v>
      </c>
      <c r="W172" s="3136">
        <f t="shared" si="1578"/>
        <v>0</v>
      </c>
      <c r="X172" s="3136">
        <f t="shared" si="1578"/>
        <v>0</v>
      </c>
      <c r="Y172" s="3136">
        <f t="shared" si="1578"/>
        <v>0</v>
      </c>
      <c r="Z172" s="3136">
        <f t="shared" si="1578"/>
        <v>0</v>
      </c>
      <c r="AA172" s="3136">
        <f t="shared" si="1578"/>
        <v>0</v>
      </c>
      <c r="AB172" s="3136">
        <f t="shared" si="1578"/>
        <v>0</v>
      </c>
      <c r="AC172" s="3136">
        <f t="shared" si="1578"/>
        <v>0</v>
      </c>
      <c r="AD172" s="3136">
        <f t="shared" si="1578"/>
        <v>0</v>
      </c>
      <c r="AE172" s="3136">
        <f t="shared" si="1578"/>
        <v>0</v>
      </c>
      <c r="AF172" s="3287">
        <f t="shared" si="1577"/>
        <v>120.505</v>
      </c>
      <c r="AG172" s="3287">
        <f t="shared" ref="AG172:AK172" si="1579">SUM(AG119)</f>
        <v>120.505</v>
      </c>
      <c r="AH172" s="3287">
        <f t="shared" si="1579"/>
        <v>0</v>
      </c>
      <c r="AI172" s="3180">
        <f t="shared" si="1579"/>
        <v>0</v>
      </c>
      <c r="AJ172" s="3180">
        <f t="shared" si="1579"/>
        <v>0</v>
      </c>
      <c r="AK172" s="3180">
        <f t="shared" si="1579"/>
        <v>0</v>
      </c>
      <c r="AL172" s="3062">
        <f t="shared" si="1455"/>
        <v>-120.505</v>
      </c>
      <c r="AM172" s="3062">
        <f t="shared" si="1456"/>
        <v>-120.505</v>
      </c>
      <c r="AN172" s="3062">
        <f t="shared" si="1457"/>
        <v>0</v>
      </c>
      <c r="AO172" s="3277">
        <f t="shared" si="1577"/>
        <v>60.252499999999998</v>
      </c>
      <c r="AP172" s="3277">
        <f t="shared" ref="AP172:BC172" si="1580">SUM(AP119)</f>
        <v>60.252499999999998</v>
      </c>
      <c r="AQ172" s="3277">
        <f t="shared" si="1580"/>
        <v>0</v>
      </c>
      <c r="AR172" s="3136">
        <f t="shared" si="1580"/>
        <v>0</v>
      </c>
      <c r="AS172" s="3136">
        <f t="shared" si="1580"/>
        <v>0</v>
      </c>
      <c r="AT172" s="3136">
        <f t="shared" si="1580"/>
        <v>0</v>
      </c>
      <c r="AU172" s="3136">
        <f t="shared" si="1580"/>
        <v>0</v>
      </c>
      <c r="AV172" s="3136">
        <f t="shared" si="1580"/>
        <v>0</v>
      </c>
      <c r="AW172" s="3136">
        <f t="shared" si="1580"/>
        <v>0</v>
      </c>
      <c r="AX172" s="3136">
        <f t="shared" si="1580"/>
        <v>0</v>
      </c>
      <c r="AY172" s="3136">
        <f t="shared" si="1580"/>
        <v>0</v>
      </c>
      <c r="AZ172" s="3136">
        <f t="shared" si="1580"/>
        <v>0</v>
      </c>
      <c r="BA172" s="3136">
        <f t="shared" si="1580"/>
        <v>0</v>
      </c>
      <c r="BB172" s="3136">
        <f t="shared" si="1580"/>
        <v>0</v>
      </c>
      <c r="BC172" s="3136">
        <f t="shared" si="1580"/>
        <v>0</v>
      </c>
      <c r="BD172" s="3287">
        <f t="shared" ref="BD172:CB172" si="1581">SUM(BD119)</f>
        <v>180.75749999999999</v>
      </c>
      <c r="BE172" s="3287">
        <f t="shared" ref="BE172:BI172" si="1582">SUM(BE119)</f>
        <v>180.75749999999999</v>
      </c>
      <c r="BF172" s="3287">
        <f t="shared" si="1582"/>
        <v>0</v>
      </c>
      <c r="BG172" s="3180">
        <f t="shared" si="1582"/>
        <v>0</v>
      </c>
      <c r="BH172" s="3180">
        <f t="shared" si="1582"/>
        <v>0</v>
      </c>
      <c r="BI172" s="3180">
        <f t="shared" si="1582"/>
        <v>0</v>
      </c>
      <c r="BJ172" s="3062">
        <f t="shared" si="1444"/>
        <v>-180.75749999999999</v>
      </c>
      <c r="BK172" s="3062">
        <f t="shared" si="1445"/>
        <v>-180.75749999999999</v>
      </c>
      <c r="BL172" s="3062">
        <f t="shared" si="1446"/>
        <v>0</v>
      </c>
      <c r="BM172" s="3277">
        <f t="shared" si="1581"/>
        <v>60.252499999999998</v>
      </c>
      <c r="BN172" s="3277">
        <f t="shared" ref="BN172:CA172" si="1583">SUM(BN119)</f>
        <v>60.252499999999998</v>
      </c>
      <c r="BO172" s="3277">
        <f t="shared" si="1583"/>
        <v>0</v>
      </c>
      <c r="BP172" s="3136">
        <f t="shared" si="1583"/>
        <v>0</v>
      </c>
      <c r="BQ172" s="3136">
        <f t="shared" si="1583"/>
        <v>0</v>
      </c>
      <c r="BR172" s="3136">
        <f t="shared" si="1583"/>
        <v>0</v>
      </c>
      <c r="BS172" s="3136">
        <f t="shared" si="1583"/>
        <v>0</v>
      </c>
      <c r="BT172" s="3136">
        <f t="shared" si="1583"/>
        <v>0</v>
      </c>
      <c r="BU172" s="3136">
        <f t="shared" si="1583"/>
        <v>0</v>
      </c>
      <c r="BV172" s="3136">
        <f t="shared" si="1583"/>
        <v>0</v>
      </c>
      <c r="BW172" s="3136">
        <f t="shared" si="1583"/>
        <v>0</v>
      </c>
      <c r="BX172" s="3136">
        <f t="shared" si="1583"/>
        <v>0</v>
      </c>
      <c r="BY172" s="3136">
        <f t="shared" si="1583"/>
        <v>0</v>
      </c>
      <c r="BZ172" s="3136">
        <f t="shared" si="1583"/>
        <v>0</v>
      </c>
      <c r="CA172" s="3136">
        <f t="shared" si="1583"/>
        <v>0</v>
      </c>
      <c r="CB172" s="3287">
        <f t="shared" si="1581"/>
        <v>241.01</v>
      </c>
      <c r="CC172" s="3287">
        <f t="shared" ref="CC172:CG172" si="1584">SUM(CC119)</f>
        <v>241.01</v>
      </c>
      <c r="CD172" s="3287">
        <f t="shared" si="1584"/>
        <v>0</v>
      </c>
      <c r="CE172" s="3180">
        <f t="shared" si="1584"/>
        <v>0</v>
      </c>
      <c r="CF172" s="3180">
        <f t="shared" si="1584"/>
        <v>0</v>
      </c>
      <c r="CG172" s="3180">
        <f t="shared" si="1584"/>
        <v>0</v>
      </c>
      <c r="CH172" s="3062">
        <f t="shared" si="1449"/>
        <v>-241.01</v>
      </c>
      <c r="CI172" s="3062">
        <f t="shared" si="1450"/>
        <v>-241.01</v>
      </c>
      <c r="CJ172" s="3062">
        <f t="shared" si="1451"/>
        <v>0</v>
      </c>
    </row>
    <row r="173" spans="1:88" ht="18.75" customHeight="1" x14ac:dyDescent="0.3">
      <c r="A173" s="3127" t="s">
        <v>12</v>
      </c>
      <c r="B173" s="3251">
        <f>SUM(B147+B148+B149+B150+B151+B152+B153+B155+B160+B164+B171+B172)</f>
        <v>24068.209201802725</v>
      </c>
      <c r="C173" s="3251">
        <f t="shared" ref="C173:AE173" si="1585">SUM(C147+C148+C149+C150+C151+C152+C153+C155+C160+C164+C171+C172)</f>
        <v>24002.457404368852</v>
      </c>
      <c r="D173" s="3251">
        <f t="shared" si="1585"/>
        <v>65.751797433874046</v>
      </c>
      <c r="E173" s="3156">
        <f t="shared" si="1585"/>
        <v>6362.152</v>
      </c>
      <c r="F173" s="3156">
        <f t="shared" si="1585"/>
        <v>6348.83</v>
      </c>
      <c r="G173" s="3156">
        <f t="shared" si="1585"/>
        <v>13.321999999999999</v>
      </c>
      <c r="H173" s="3156">
        <f t="shared" si="1585"/>
        <v>6022.0870000000004</v>
      </c>
      <c r="I173" s="3156">
        <f t="shared" si="1585"/>
        <v>6009.5800000000008</v>
      </c>
      <c r="J173" s="3156">
        <f t="shared" si="1585"/>
        <v>12.506999999999998</v>
      </c>
      <c r="K173" s="3156">
        <f t="shared" si="1585"/>
        <v>6881.2010000000009</v>
      </c>
      <c r="L173" s="3156">
        <f t="shared" si="1585"/>
        <v>6869.130000000001</v>
      </c>
      <c r="M173" s="3156">
        <f t="shared" si="1585"/>
        <v>12.071</v>
      </c>
      <c r="N173" s="3156">
        <f t="shared" si="1585"/>
        <v>19265.440000000002</v>
      </c>
      <c r="O173" s="3156">
        <f t="shared" si="1585"/>
        <v>19227.540000000005</v>
      </c>
      <c r="P173" s="3156">
        <f t="shared" si="1585"/>
        <v>37.9</v>
      </c>
      <c r="Q173" s="3251">
        <f t="shared" si="1585"/>
        <v>24068.209201802725</v>
      </c>
      <c r="R173" s="3251">
        <f t="shared" si="1585"/>
        <v>24002.457404368852</v>
      </c>
      <c r="S173" s="3251">
        <f t="shared" si="1585"/>
        <v>65.751797433874046</v>
      </c>
      <c r="T173" s="3156">
        <f t="shared" si="1585"/>
        <v>7088.7400000000007</v>
      </c>
      <c r="U173" s="3156">
        <f t="shared" si="1585"/>
        <v>7076.1699999999992</v>
      </c>
      <c r="V173" s="3156">
        <f t="shared" si="1585"/>
        <v>12.57</v>
      </c>
      <c r="W173" s="3156">
        <f t="shared" si="1585"/>
        <v>7141.1969999999992</v>
      </c>
      <c r="X173" s="3156">
        <f t="shared" si="1585"/>
        <v>7126.1839999999993</v>
      </c>
      <c r="Y173" s="3156">
        <f t="shared" si="1585"/>
        <v>15.012999999999998</v>
      </c>
      <c r="Z173" s="3156">
        <f t="shared" si="1585"/>
        <v>6860.5529999999999</v>
      </c>
      <c r="AA173" s="3156">
        <f t="shared" si="1585"/>
        <v>6827.6180000000004</v>
      </c>
      <c r="AB173" s="3156">
        <f t="shared" si="1585"/>
        <v>32.935000000000002</v>
      </c>
      <c r="AC173" s="3156">
        <f t="shared" si="1585"/>
        <v>21090.49</v>
      </c>
      <c r="AD173" s="3156">
        <f t="shared" si="1585"/>
        <v>21029.972000000005</v>
      </c>
      <c r="AE173" s="3156">
        <f t="shared" si="1585"/>
        <v>60.518000000000001</v>
      </c>
      <c r="AF173" s="3284">
        <f>SUM(AF147+AF148+AF149+AF150+AF151+AF152+AF153+AF155+AF160+AF164+AF171+AF172)</f>
        <v>48136.41840360545</v>
      </c>
      <c r="AG173" s="3284">
        <f t="shared" ref="AG173:AK173" si="1586">SUM(AG147+AG148+AG149+AG150+AG151+AG152+AG153+AG155+AG160+AG164+AG171+AG172)</f>
        <v>48004.914808737703</v>
      </c>
      <c r="AH173" s="3284">
        <f t="shared" si="1586"/>
        <v>131.50359486774809</v>
      </c>
      <c r="AI173" s="3157">
        <f t="shared" si="1586"/>
        <v>40355.929999999993</v>
      </c>
      <c r="AJ173" s="3157">
        <f t="shared" si="1586"/>
        <v>40257.511999999995</v>
      </c>
      <c r="AK173" s="3157">
        <f t="shared" si="1586"/>
        <v>98.417999999999992</v>
      </c>
      <c r="AL173" s="3058">
        <f t="shared" ref="AL173:AL175" si="1587">SUM(AI173-AF173)</f>
        <v>-7780.4884036054573</v>
      </c>
      <c r="AM173" s="3058">
        <f t="shared" ref="AM173:AM175" si="1588">SUM(AJ173-AG173)</f>
        <v>-7747.4028087377083</v>
      </c>
      <c r="AN173" s="3058">
        <f t="shared" ref="AN173:AN175" si="1589">SUM(AK173-AH173)</f>
        <v>-33.0855948677481</v>
      </c>
      <c r="AO173" s="3251">
        <f>SUM(AO147+AO148+AO149+AO150+AO151+AO152+AO153+AO155+AO160+AO164+AO171+AO172)</f>
        <v>24196.070279560827</v>
      </c>
      <c r="AP173" s="3251">
        <f t="shared" ref="AP173:BC173" si="1590">SUM(AP147+AP148+AP149+AP150+AP151+AP152+AP153+AP155+AP160+AP164+AP171+AP172)</f>
        <v>24129.713958780027</v>
      </c>
      <c r="AQ173" s="3251">
        <f t="shared" si="1590"/>
        <v>66.356320780799294</v>
      </c>
      <c r="AR173" s="3156">
        <f t="shared" si="1590"/>
        <v>6476.1949999999997</v>
      </c>
      <c r="AS173" s="3156">
        <f t="shared" si="1590"/>
        <v>6473.56</v>
      </c>
      <c r="AT173" s="3156">
        <f t="shared" si="1590"/>
        <v>2.6349999999999998</v>
      </c>
      <c r="AU173" s="3156">
        <f t="shared" si="1590"/>
        <v>6722.7979999999998</v>
      </c>
      <c r="AV173" s="3156">
        <f t="shared" si="1590"/>
        <v>6709.1100000000006</v>
      </c>
      <c r="AW173" s="3156">
        <f t="shared" si="1590"/>
        <v>13.687999999999999</v>
      </c>
      <c r="AX173" s="3156">
        <f t="shared" si="1590"/>
        <v>7246.4230000000007</v>
      </c>
      <c r="AY173" s="3156">
        <f t="shared" si="1590"/>
        <v>7225.8300000000008</v>
      </c>
      <c r="AZ173" s="3156">
        <f t="shared" si="1590"/>
        <v>20.593</v>
      </c>
      <c r="BA173" s="3156">
        <f t="shared" si="1590"/>
        <v>20445.416000000001</v>
      </c>
      <c r="BB173" s="3156">
        <f t="shared" si="1590"/>
        <v>20408.5</v>
      </c>
      <c r="BC173" s="3156">
        <f t="shared" si="1590"/>
        <v>36.915999999999997</v>
      </c>
      <c r="BD173" s="3284">
        <f>SUM(BD147+BD148+BD149+BD150+BD151+BD152+BD153+BD155+BD160+BD164+BD171+BD172)</f>
        <v>72332.488683166288</v>
      </c>
      <c r="BE173" s="3284">
        <f t="shared" ref="BE173:BI173" si="1591">SUM(BE147+BE148+BE149+BE150+BE151+BE152+BE153+BE155+BE160+BE164+BE171+BE172)</f>
        <v>72134.628767517745</v>
      </c>
      <c r="BF173" s="3284">
        <f t="shared" si="1591"/>
        <v>197.85991564854743</v>
      </c>
      <c r="BG173" s="3157">
        <f t="shared" si="1591"/>
        <v>60801.34599999999</v>
      </c>
      <c r="BH173" s="3157">
        <f t="shared" si="1591"/>
        <v>60666.011999999995</v>
      </c>
      <c r="BI173" s="3157">
        <f t="shared" si="1591"/>
        <v>135.334</v>
      </c>
      <c r="BJ173" s="3058">
        <f t="shared" si="1444"/>
        <v>-11531.142683166298</v>
      </c>
      <c r="BK173" s="3058">
        <f t="shared" si="1445"/>
        <v>-11468.616767517749</v>
      </c>
      <c r="BL173" s="3058">
        <f t="shared" si="1446"/>
        <v>-62.525915648547425</v>
      </c>
      <c r="BM173" s="3251">
        <f>SUM(BM147+BM148+BM149+BM150+BM151+BM152+BM153+BM155+BM160+BM164+BM171+BM172)</f>
        <v>24196.070279560827</v>
      </c>
      <c r="BN173" s="3251">
        <f t="shared" ref="BN173:CA173" si="1592">SUM(BN147+BN148+BN149+BN150+BN151+BN152+BN153+BN155+BN160+BN164+BN171+BN172)</f>
        <v>24129.713958780027</v>
      </c>
      <c r="BO173" s="3251">
        <f t="shared" si="1592"/>
        <v>66.356320780799294</v>
      </c>
      <c r="BP173" s="3156">
        <f t="shared" si="1592"/>
        <v>0</v>
      </c>
      <c r="BQ173" s="3156">
        <f t="shared" si="1592"/>
        <v>0</v>
      </c>
      <c r="BR173" s="3156">
        <f t="shared" si="1592"/>
        <v>0</v>
      </c>
      <c r="BS173" s="3156">
        <f t="shared" si="1592"/>
        <v>0</v>
      </c>
      <c r="BT173" s="3156">
        <f t="shared" si="1592"/>
        <v>0</v>
      </c>
      <c r="BU173" s="3156">
        <f t="shared" si="1592"/>
        <v>0</v>
      </c>
      <c r="BV173" s="3156">
        <f t="shared" si="1592"/>
        <v>0</v>
      </c>
      <c r="BW173" s="3156">
        <f t="shared" si="1592"/>
        <v>0</v>
      </c>
      <c r="BX173" s="3156">
        <f t="shared" si="1592"/>
        <v>0</v>
      </c>
      <c r="BY173" s="3156">
        <f t="shared" si="1592"/>
        <v>0</v>
      </c>
      <c r="BZ173" s="3156">
        <f t="shared" si="1592"/>
        <v>0</v>
      </c>
      <c r="CA173" s="3156">
        <f t="shared" si="1592"/>
        <v>0</v>
      </c>
      <c r="CB173" s="3284">
        <f>SUM(CB147+CB148+CB149+CB150+CB151+CB152+CB153+CB155+CB160+CB164+CB171+CB172)</f>
        <v>96528.558904823643</v>
      </c>
      <c r="CC173" s="3284">
        <f t="shared" ref="CC173:CG173" si="1593">SUM(CC147+CC148+CC149+CC150+CC151+CC152+CC153+CC155+CC160+CC164+CC171+CC172)</f>
        <v>96264.342668392695</v>
      </c>
      <c r="CD173" s="3284">
        <f t="shared" si="1593"/>
        <v>264.21623643095785</v>
      </c>
      <c r="CE173" s="3157">
        <f t="shared" si="1593"/>
        <v>60801.34599999999</v>
      </c>
      <c r="CF173" s="3157">
        <f t="shared" si="1593"/>
        <v>64615.597890614947</v>
      </c>
      <c r="CG173" s="3157">
        <f t="shared" si="1593"/>
        <v>191.81992788504451</v>
      </c>
      <c r="CH173" s="3058">
        <f t="shared" si="1449"/>
        <v>-35727.212904823653</v>
      </c>
      <c r="CI173" s="3058">
        <f t="shared" si="1450"/>
        <v>-31648.744777777749</v>
      </c>
      <c r="CJ173" s="3058">
        <f t="shared" si="1451"/>
        <v>-72.396308545913342</v>
      </c>
    </row>
    <row r="174" spans="1:88" ht="18.75" customHeight="1" x14ac:dyDescent="0.3">
      <c r="A174" s="3127" t="s">
        <v>13</v>
      </c>
      <c r="B174" s="3251">
        <f>SUM(B139)</f>
        <v>755.00091078952471</v>
      </c>
      <c r="C174" s="3251">
        <f t="shared" ref="C174:AE174" si="1594">SUM(C139)</f>
        <v>750.58424412285808</v>
      </c>
      <c r="D174" s="3251">
        <f t="shared" si="1594"/>
        <v>4.416666666666667</v>
      </c>
      <c r="E174" s="3156">
        <f t="shared" si="1594"/>
        <v>266.49549999999999</v>
      </c>
      <c r="F174" s="3156">
        <f t="shared" si="1594"/>
        <v>266.29300000000001</v>
      </c>
      <c r="G174" s="3156">
        <f t="shared" si="1594"/>
        <v>0.20250000000000001</v>
      </c>
      <c r="H174" s="3156">
        <f t="shared" si="1594"/>
        <v>256.30599999999998</v>
      </c>
      <c r="I174" s="3156">
        <f t="shared" si="1594"/>
        <v>256.13299999999998</v>
      </c>
      <c r="J174" s="3156">
        <f t="shared" si="1594"/>
        <v>0.17299999999999999</v>
      </c>
      <c r="K174" s="3156">
        <f t="shared" si="1594"/>
        <v>252.04300000000001</v>
      </c>
      <c r="L174" s="3156">
        <f t="shared" si="1594"/>
        <v>248.363</v>
      </c>
      <c r="M174" s="3156">
        <f t="shared" si="1594"/>
        <v>3.68</v>
      </c>
      <c r="N174" s="3156">
        <f t="shared" si="1594"/>
        <v>774.84450000000004</v>
      </c>
      <c r="O174" s="3156">
        <f t="shared" si="1594"/>
        <v>770.78899999999999</v>
      </c>
      <c r="P174" s="3156">
        <f t="shared" si="1594"/>
        <v>4.0555000000000003</v>
      </c>
      <c r="Q174" s="3251">
        <f t="shared" si="1594"/>
        <v>755.00091078952471</v>
      </c>
      <c r="R174" s="3251">
        <f t="shared" si="1594"/>
        <v>750.58424412285808</v>
      </c>
      <c r="S174" s="3251">
        <f t="shared" si="1594"/>
        <v>4.416666666666667</v>
      </c>
      <c r="T174" s="3156">
        <f t="shared" si="1594"/>
        <v>260.08700000000005</v>
      </c>
      <c r="U174" s="3156">
        <f t="shared" si="1594"/>
        <v>259.78700000000003</v>
      </c>
      <c r="V174" s="3156">
        <f t="shared" si="1594"/>
        <v>0.3</v>
      </c>
      <c r="W174" s="3156">
        <f t="shared" si="1594"/>
        <v>254.17200000000003</v>
      </c>
      <c r="X174" s="3156">
        <f t="shared" si="1594"/>
        <v>253.66200000000003</v>
      </c>
      <c r="Y174" s="3156">
        <f t="shared" si="1594"/>
        <v>0.51</v>
      </c>
      <c r="Z174" s="3156">
        <f t="shared" si="1594"/>
        <v>258.279</v>
      </c>
      <c r="AA174" s="3156">
        <f t="shared" si="1594"/>
        <v>254.41299999999998</v>
      </c>
      <c r="AB174" s="3156">
        <f t="shared" si="1594"/>
        <v>3.8660000000000001</v>
      </c>
      <c r="AC174" s="3156">
        <f t="shared" si="1594"/>
        <v>772.53800000000012</v>
      </c>
      <c r="AD174" s="3156">
        <f t="shared" si="1594"/>
        <v>767.86200000000008</v>
      </c>
      <c r="AE174" s="3156">
        <f t="shared" si="1594"/>
        <v>4.6760000000000002</v>
      </c>
      <c r="AF174" s="3284">
        <f t="shared" ref="AF174:CB174" si="1595">SUM(AF139)</f>
        <v>1510.0018215790494</v>
      </c>
      <c r="AG174" s="3284">
        <f t="shared" ref="AG174:AK174" si="1596">SUM(AG139)</f>
        <v>1501.1684882457162</v>
      </c>
      <c r="AH174" s="3284">
        <f t="shared" si="1596"/>
        <v>8.8333333333333339</v>
      </c>
      <c r="AI174" s="3157">
        <f t="shared" si="1596"/>
        <v>1547.3825000000002</v>
      </c>
      <c r="AJ174" s="3157">
        <f t="shared" si="1596"/>
        <v>1538.6510000000001</v>
      </c>
      <c r="AK174" s="3157">
        <f t="shared" si="1596"/>
        <v>8.7315000000000005</v>
      </c>
      <c r="AL174" s="3058">
        <f t="shared" si="1587"/>
        <v>37.380678420950744</v>
      </c>
      <c r="AM174" s="3058">
        <f t="shared" si="1588"/>
        <v>37.482511754283905</v>
      </c>
      <c r="AN174" s="3058">
        <f t="shared" si="1589"/>
        <v>-0.10183333333333344</v>
      </c>
      <c r="AO174" s="3251">
        <f t="shared" si="1595"/>
        <v>755.00091078952471</v>
      </c>
      <c r="AP174" s="3251">
        <f t="shared" ref="AP174:BC174" si="1597">SUM(AP139)</f>
        <v>750.58424412285808</v>
      </c>
      <c r="AQ174" s="3251">
        <f t="shared" si="1597"/>
        <v>4.416666666666667</v>
      </c>
      <c r="AR174" s="3156">
        <f t="shared" si="1597"/>
        <v>242.05600000000001</v>
      </c>
      <c r="AS174" s="3156">
        <f t="shared" si="1597"/>
        <v>241.745</v>
      </c>
      <c r="AT174" s="3156">
        <f t="shared" si="1597"/>
        <v>0.311</v>
      </c>
      <c r="AU174" s="3156">
        <f t="shared" si="1597"/>
        <v>275.63300000000004</v>
      </c>
      <c r="AV174" s="3156">
        <f t="shared" si="1597"/>
        <v>275.25400000000002</v>
      </c>
      <c r="AW174" s="3156">
        <f t="shared" si="1597"/>
        <v>0.379</v>
      </c>
      <c r="AX174" s="3156">
        <f t="shared" si="1597"/>
        <v>257.37900000000002</v>
      </c>
      <c r="AY174" s="3156">
        <f t="shared" si="1597"/>
        <v>253.471</v>
      </c>
      <c r="AZ174" s="3156">
        <f t="shared" si="1597"/>
        <v>3.9079999999999999</v>
      </c>
      <c r="BA174" s="3156">
        <f t="shared" si="1597"/>
        <v>775.06799999999998</v>
      </c>
      <c r="BB174" s="3156">
        <f t="shared" si="1597"/>
        <v>770.47</v>
      </c>
      <c r="BC174" s="3156">
        <f t="shared" si="1597"/>
        <v>4.5979999999999999</v>
      </c>
      <c r="BD174" s="3284">
        <f t="shared" si="1595"/>
        <v>2265.002732368574</v>
      </c>
      <c r="BE174" s="3284">
        <f t="shared" ref="BE174:BI174" si="1598">SUM(BE139)</f>
        <v>2251.7527323685745</v>
      </c>
      <c r="BF174" s="3284">
        <f t="shared" si="1598"/>
        <v>13.25</v>
      </c>
      <c r="BG174" s="3157">
        <f t="shared" si="1598"/>
        <v>2322.4504999999999</v>
      </c>
      <c r="BH174" s="3157">
        <f t="shared" si="1598"/>
        <v>2309.1210000000001</v>
      </c>
      <c r="BI174" s="3157">
        <f t="shared" si="1598"/>
        <v>13.329499999999999</v>
      </c>
      <c r="BJ174" s="3058">
        <f t="shared" si="1444"/>
        <v>57.447767631425904</v>
      </c>
      <c r="BK174" s="3058">
        <f t="shared" si="1445"/>
        <v>57.368267631425624</v>
      </c>
      <c r="BL174" s="3058">
        <f t="shared" si="1446"/>
        <v>7.949999999999946E-2</v>
      </c>
      <c r="BM174" s="3251">
        <f t="shared" si="1595"/>
        <v>755.00091078952471</v>
      </c>
      <c r="BN174" s="3251">
        <f t="shared" ref="BN174:CA174" si="1599">SUM(BN139)</f>
        <v>750.58424412285808</v>
      </c>
      <c r="BO174" s="3251">
        <f t="shared" si="1599"/>
        <v>4.416666666666667</v>
      </c>
      <c r="BP174" s="3156">
        <f t="shared" si="1599"/>
        <v>0</v>
      </c>
      <c r="BQ174" s="3156">
        <f t="shared" si="1599"/>
        <v>0</v>
      </c>
      <c r="BR174" s="3156">
        <f t="shared" si="1599"/>
        <v>0</v>
      </c>
      <c r="BS174" s="3156">
        <f t="shared" si="1599"/>
        <v>0</v>
      </c>
      <c r="BT174" s="3156">
        <f t="shared" si="1599"/>
        <v>0</v>
      </c>
      <c r="BU174" s="3156">
        <f t="shared" si="1599"/>
        <v>0</v>
      </c>
      <c r="BV174" s="3156">
        <f t="shared" si="1599"/>
        <v>0</v>
      </c>
      <c r="BW174" s="3156">
        <f t="shared" si="1599"/>
        <v>0</v>
      </c>
      <c r="BX174" s="3156">
        <f t="shared" si="1599"/>
        <v>0</v>
      </c>
      <c r="BY174" s="3156">
        <f t="shared" si="1599"/>
        <v>0</v>
      </c>
      <c r="BZ174" s="3156">
        <f t="shared" si="1599"/>
        <v>0</v>
      </c>
      <c r="CA174" s="3156">
        <f t="shared" si="1599"/>
        <v>0</v>
      </c>
      <c r="CB174" s="3284">
        <f t="shared" si="1595"/>
        <v>3020.0036431580988</v>
      </c>
      <c r="CC174" s="3284">
        <f t="shared" ref="CC174:CG174" si="1600">SUM(CC139)</f>
        <v>3002.3369764914323</v>
      </c>
      <c r="CD174" s="3284">
        <f t="shared" si="1600"/>
        <v>17.666666666666668</v>
      </c>
      <c r="CE174" s="3157">
        <f t="shared" si="1600"/>
        <v>2322.4504999999999</v>
      </c>
      <c r="CF174" s="3157">
        <f t="shared" si="1600"/>
        <v>2309.1210000000001</v>
      </c>
      <c r="CG174" s="3157">
        <f t="shared" si="1600"/>
        <v>13.329499999999999</v>
      </c>
      <c r="CH174" s="3058">
        <f t="shared" si="1449"/>
        <v>-697.55314315809892</v>
      </c>
      <c r="CI174" s="3058">
        <f t="shared" si="1450"/>
        <v>-693.21597649143223</v>
      </c>
      <c r="CJ174" s="3058">
        <f t="shared" si="1451"/>
        <v>-4.3371666666666684</v>
      </c>
    </row>
    <row r="175" spans="1:88" ht="18.75" customHeight="1" x14ac:dyDescent="0.3">
      <c r="A175" s="3127" t="s">
        <v>14</v>
      </c>
      <c r="B175" s="3251">
        <f>SUM(B173/B174)</f>
        <v>31.878384327555253</v>
      </c>
      <c r="C175" s="3251">
        <f t="shared" ref="C175:AE175" si="1601">SUM(C173/C174)</f>
        <v>31.978365642911164</v>
      </c>
      <c r="D175" s="3251">
        <f t="shared" si="1601"/>
        <v>14.887199418990349</v>
      </c>
      <c r="E175" s="3156">
        <f t="shared" si="1601"/>
        <v>23.8733937346034</v>
      </c>
      <c r="F175" s="3156">
        <f t="shared" si="1601"/>
        <v>23.841520430503241</v>
      </c>
      <c r="G175" s="3156">
        <f t="shared" si="1601"/>
        <v>65.787654320987642</v>
      </c>
      <c r="H175" s="3156">
        <f t="shared" si="1601"/>
        <v>23.495692648630936</v>
      </c>
      <c r="I175" s="3156">
        <f t="shared" si="1601"/>
        <v>23.462732252384509</v>
      </c>
      <c r="J175" s="3156">
        <f t="shared" si="1601"/>
        <v>72.294797687861262</v>
      </c>
      <c r="K175" s="3156">
        <f t="shared" si="1601"/>
        <v>27.301694552120079</v>
      </c>
      <c r="L175" s="3156">
        <f t="shared" si="1601"/>
        <v>27.657622109573492</v>
      </c>
      <c r="M175" s="3156">
        <f t="shared" si="1601"/>
        <v>3.2801630434782605</v>
      </c>
      <c r="N175" s="3156">
        <f t="shared" si="1601"/>
        <v>24.863621023315002</v>
      </c>
      <c r="O175" s="3156">
        <f t="shared" si="1601"/>
        <v>24.945270365819965</v>
      </c>
      <c r="P175" s="3156">
        <f t="shared" si="1601"/>
        <v>9.345333497719146</v>
      </c>
      <c r="Q175" s="3251">
        <f t="shared" si="1601"/>
        <v>31.878384327555253</v>
      </c>
      <c r="R175" s="3251">
        <f t="shared" si="1601"/>
        <v>31.978365642911164</v>
      </c>
      <c r="S175" s="3251">
        <f t="shared" si="1601"/>
        <v>14.887199418990349</v>
      </c>
      <c r="T175" s="3156">
        <f t="shared" si="1601"/>
        <v>27.255264584542861</v>
      </c>
      <c r="U175" s="3156">
        <f t="shared" si="1601"/>
        <v>27.238352958385132</v>
      </c>
      <c r="V175" s="3156">
        <f t="shared" si="1601"/>
        <v>41.900000000000006</v>
      </c>
      <c r="W175" s="3156">
        <f t="shared" si="1601"/>
        <v>28.09592323308625</v>
      </c>
      <c r="X175" s="3156">
        <f t="shared" si="1601"/>
        <v>28.093226419408499</v>
      </c>
      <c r="Y175" s="3156">
        <f t="shared" si="1601"/>
        <v>29.437254901960781</v>
      </c>
      <c r="Z175" s="3156">
        <f t="shared" si="1601"/>
        <v>26.562566062281487</v>
      </c>
      <c r="AA175" s="3156">
        <f t="shared" si="1601"/>
        <v>26.836749694394552</v>
      </c>
      <c r="AB175" s="3156">
        <f t="shared" si="1601"/>
        <v>8.5191412312467669</v>
      </c>
      <c r="AC175" s="3156">
        <f t="shared" si="1601"/>
        <v>27.300262252471722</v>
      </c>
      <c r="AD175" s="3156">
        <f t="shared" si="1601"/>
        <v>27.387697268519609</v>
      </c>
      <c r="AE175" s="3156">
        <f t="shared" si="1601"/>
        <v>12.942258340461933</v>
      </c>
      <c r="AF175" s="3284">
        <f t="shared" ref="AF175:CB175" si="1602">SUM(AF173/AF174)</f>
        <v>31.878384327555253</v>
      </c>
      <c r="AG175" s="3284">
        <f t="shared" ref="AG175:AK175" si="1603">SUM(AG173/AG174)</f>
        <v>31.978365642911164</v>
      </c>
      <c r="AH175" s="3284">
        <f t="shared" si="1603"/>
        <v>14.887199418990349</v>
      </c>
      <c r="AI175" s="3157">
        <f t="shared" si="1603"/>
        <v>26.080125631509979</v>
      </c>
      <c r="AJ175" s="3157">
        <f t="shared" si="1603"/>
        <v>26.164160683611808</v>
      </c>
      <c r="AK175" s="3157">
        <f t="shared" si="1603"/>
        <v>11.271602817385327</v>
      </c>
      <c r="AL175" s="3058">
        <f t="shared" si="1587"/>
        <v>-5.7982586960452736</v>
      </c>
      <c r="AM175" s="3058">
        <f t="shared" si="1588"/>
        <v>-5.8142049592993565</v>
      </c>
      <c r="AN175" s="3058">
        <f t="shared" si="1589"/>
        <v>-3.6155966016050218</v>
      </c>
      <c r="AO175" s="3251">
        <f t="shared" si="1602"/>
        <v>32.047736544129926</v>
      </c>
      <c r="AP175" s="3251">
        <f t="shared" ref="AP175:BC175" si="1604">SUM(AP173/AP174)</f>
        <v>32.147908975864937</v>
      </c>
      <c r="AQ175" s="3251">
        <f t="shared" si="1604"/>
        <v>15.024072629614933</v>
      </c>
      <c r="AR175" s="3156">
        <f t="shared" si="1604"/>
        <v>26.754945136662588</v>
      </c>
      <c r="AS175" s="3156">
        <f t="shared" si="1604"/>
        <v>26.778464911373558</v>
      </c>
      <c r="AT175" s="3156">
        <f t="shared" si="1604"/>
        <v>8.4726688102893881</v>
      </c>
      <c r="AU175" s="3156">
        <f t="shared" si="1604"/>
        <v>24.390395925016232</v>
      </c>
      <c r="AV175" s="3156">
        <f t="shared" si="1604"/>
        <v>24.374250692088037</v>
      </c>
      <c r="AW175" s="3156">
        <f t="shared" si="1604"/>
        <v>36.116094986807383</v>
      </c>
      <c r="AX175" s="3156">
        <f t="shared" si="1604"/>
        <v>28.154678509124675</v>
      </c>
      <c r="AY175" s="3156">
        <f t="shared" si="1604"/>
        <v>28.507521570514974</v>
      </c>
      <c r="AZ175" s="3156">
        <f t="shared" si="1604"/>
        <v>5.2694472876151481</v>
      </c>
      <c r="BA175" s="3156">
        <f t="shared" si="1604"/>
        <v>26.378867402602097</v>
      </c>
      <c r="BB175" s="3156">
        <f t="shared" si="1604"/>
        <v>26.488377224291664</v>
      </c>
      <c r="BC175" s="3156">
        <f t="shared" si="1604"/>
        <v>8.0287081339712909</v>
      </c>
      <c r="BD175" s="3284">
        <f t="shared" si="1602"/>
        <v>31.934835066413481</v>
      </c>
      <c r="BE175" s="3284">
        <f t="shared" ref="BE175:BI175" si="1605">SUM(BE173/BE174)</f>
        <v>32.034880087229091</v>
      </c>
      <c r="BF175" s="3284">
        <f t="shared" si="1605"/>
        <v>14.932823822531882</v>
      </c>
      <c r="BG175" s="3157">
        <f t="shared" si="1605"/>
        <v>26.179824284737172</v>
      </c>
      <c r="BH175" s="3157">
        <f t="shared" si="1605"/>
        <v>26.272339994309519</v>
      </c>
      <c r="BI175" s="3157">
        <f t="shared" si="1605"/>
        <v>10.152968978581344</v>
      </c>
      <c r="BJ175" s="3058">
        <f t="shared" si="1444"/>
        <v>-5.7550107816763081</v>
      </c>
      <c r="BK175" s="3058">
        <f t="shared" si="1445"/>
        <v>-5.762540092919572</v>
      </c>
      <c r="BL175" s="3058">
        <f t="shared" si="1446"/>
        <v>-4.7798548439505382</v>
      </c>
      <c r="BM175" s="3251">
        <f t="shared" si="1602"/>
        <v>32.047736544129926</v>
      </c>
      <c r="BN175" s="3251">
        <f t="shared" ref="BN175:CA175" si="1606">SUM(BN173/BN174)</f>
        <v>32.147908975864937</v>
      </c>
      <c r="BO175" s="3251">
        <f t="shared" si="1606"/>
        <v>15.024072629614933</v>
      </c>
      <c r="BP175" s="3156" t="e">
        <f t="shared" si="1606"/>
        <v>#DIV/0!</v>
      </c>
      <c r="BQ175" s="3156" t="e">
        <f t="shared" si="1606"/>
        <v>#DIV/0!</v>
      </c>
      <c r="BR175" s="3156" t="e">
        <f t="shared" si="1606"/>
        <v>#DIV/0!</v>
      </c>
      <c r="BS175" s="3156" t="e">
        <f t="shared" si="1606"/>
        <v>#DIV/0!</v>
      </c>
      <c r="BT175" s="3156" t="e">
        <f t="shared" si="1606"/>
        <v>#DIV/0!</v>
      </c>
      <c r="BU175" s="3156" t="e">
        <f t="shared" si="1606"/>
        <v>#DIV/0!</v>
      </c>
      <c r="BV175" s="3156" t="e">
        <f t="shared" si="1606"/>
        <v>#DIV/0!</v>
      </c>
      <c r="BW175" s="3156" t="e">
        <f t="shared" si="1606"/>
        <v>#DIV/0!</v>
      </c>
      <c r="BX175" s="3156" t="e">
        <f t="shared" si="1606"/>
        <v>#DIV/0!</v>
      </c>
      <c r="BY175" s="3156" t="e">
        <f t="shared" si="1606"/>
        <v>#DIV/0!</v>
      </c>
      <c r="BZ175" s="3156" t="e">
        <f t="shared" si="1606"/>
        <v>#DIV/0!</v>
      </c>
      <c r="CA175" s="3156" t="e">
        <f t="shared" si="1606"/>
        <v>#DIV/0!</v>
      </c>
      <c r="CB175" s="3284">
        <f t="shared" si="1602"/>
        <v>31.963060416669279</v>
      </c>
      <c r="CC175" s="3284">
        <f t="shared" ref="CC175:CG175" si="1607">SUM(CC173/CC174)</f>
        <v>32.063137290101388</v>
      </c>
      <c r="CD175" s="3284">
        <f t="shared" si="1607"/>
        <v>14.95563602439384</v>
      </c>
      <c r="CE175" s="3157">
        <f t="shared" si="1607"/>
        <v>26.179824284737172</v>
      </c>
      <c r="CF175" s="3157">
        <f t="shared" si="1607"/>
        <v>27.982768287419734</v>
      </c>
      <c r="CG175" s="3157">
        <f t="shared" si="1607"/>
        <v>14.390631898049028</v>
      </c>
      <c r="CH175" s="3058">
        <f t="shared" si="1449"/>
        <v>-5.7832361319321066</v>
      </c>
      <c r="CI175" s="3058">
        <f t="shared" si="1450"/>
        <v>-4.0803690026816533</v>
      </c>
      <c r="CJ175" s="3058">
        <f t="shared" si="1451"/>
        <v>-0.56500412634481201</v>
      </c>
    </row>
    <row r="176" spans="1:88" ht="18.75" customHeight="1" x14ac:dyDescent="0.3">
      <c r="A176" s="3106" t="s">
        <v>3663</v>
      </c>
      <c r="B176" s="3735">
        <f>SUM(B178:B179)</f>
        <v>0</v>
      </c>
      <c r="C176" s="3736"/>
      <c r="D176" s="3737"/>
      <c r="E176" s="3668">
        <f>SUM(E178:E179)</f>
        <v>185.43</v>
      </c>
      <c r="F176" s="3669"/>
      <c r="G176" s="3670"/>
      <c r="H176" s="3668">
        <f t="shared" ref="H176" si="1608">SUM(H178:H179)</f>
        <v>100.23</v>
      </c>
      <c r="I176" s="3669"/>
      <c r="J176" s="3670"/>
      <c r="K176" s="3668">
        <f t="shared" ref="K176" si="1609">SUM(K178:K179)</f>
        <v>106.33</v>
      </c>
      <c r="L176" s="3669"/>
      <c r="M176" s="3670"/>
      <c r="N176" s="3668">
        <f t="shared" ref="N176" si="1610">SUM(N178:N179)</f>
        <v>391.99</v>
      </c>
      <c r="O176" s="3669"/>
      <c r="P176" s="3670"/>
      <c r="Q176" s="3735">
        <f>SUM(Q178:Q179)</f>
        <v>0</v>
      </c>
      <c r="R176" s="3736"/>
      <c r="S176" s="3737"/>
      <c r="T176" s="3668">
        <f>SUM(T178:T179)</f>
        <v>210.13</v>
      </c>
      <c r="U176" s="3669"/>
      <c r="V176" s="3670"/>
      <c r="W176" s="3668">
        <f t="shared" ref="W176" si="1611">SUM(W178:W179)</f>
        <v>201.22</v>
      </c>
      <c r="X176" s="3669"/>
      <c r="Y176" s="3670"/>
      <c r="Z176" s="3668">
        <f t="shared" ref="Z176" si="1612">SUM(Z178:Z179)</f>
        <v>297.42</v>
      </c>
      <c r="AA176" s="3669"/>
      <c r="AB176" s="3670"/>
      <c r="AC176" s="3668">
        <f t="shared" ref="AC176" si="1613">SUM(AC178:AC179)</f>
        <v>708.77</v>
      </c>
      <c r="AD176" s="3669"/>
      <c r="AE176" s="3670"/>
      <c r="AF176" s="3732">
        <f>SUM(B176+Q176)</f>
        <v>0</v>
      </c>
      <c r="AG176" s="3733"/>
      <c r="AH176" s="3734"/>
      <c r="AI176" s="3680">
        <f>SUM(N176+AC176)</f>
        <v>1100.76</v>
      </c>
      <c r="AJ176" s="3681"/>
      <c r="AK176" s="3682"/>
      <c r="AL176" s="3680">
        <f>SUM(AI176-AF176)</f>
        <v>1100.76</v>
      </c>
      <c r="AM176" s="3681"/>
      <c r="AN176" s="3682"/>
      <c r="AO176" s="3735">
        <f>SUM(AO178:AO179)</f>
        <v>0</v>
      </c>
      <c r="AP176" s="3736"/>
      <c r="AQ176" s="3737"/>
      <c r="AR176" s="3668">
        <f>SUM(AR178:AR179)</f>
        <v>261.83999999999997</v>
      </c>
      <c r="AS176" s="3669"/>
      <c r="AT176" s="3670"/>
      <c r="AU176" s="3668">
        <f t="shared" ref="AU176" si="1614">SUM(AU178:AU179)</f>
        <v>454.46</v>
      </c>
      <c r="AV176" s="3669"/>
      <c r="AW176" s="3670"/>
      <c r="AX176" s="3668">
        <f t="shared" ref="AX176" si="1615">SUM(AX178:AX179)</f>
        <v>319.98</v>
      </c>
      <c r="AY176" s="3669"/>
      <c r="AZ176" s="3670"/>
      <c r="BA176" s="3668">
        <f t="shared" ref="BA176" si="1616">SUM(BA178:BA179)</f>
        <v>1036.28</v>
      </c>
      <c r="BB176" s="3669"/>
      <c r="BC176" s="3670"/>
      <c r="BD176" s="3732">
        <f t="shared" ref="BD176" si="1617">SUM(AF176+AO176)</f>
        <v>0</v>
      </c>
      <c r="BE176" s="3733"/>
      <c r="BF176" s="3734"/>
      <c r="BG176" s="3680">
        <f>SUM(BA176+AI176)</f>
        <v>2137.04</v>
      </c>
      <c r="BH176" s="3681"/>
      <c r="BI176" s="3682"/>
      <c r="BJ176" s="3680">
        <f>SUM(BG176-BD176)</f>
        <v>2137.04</v>
      </c>
      <c r="BK176" s="3681"/>
      <c r="BL176" s="3682"/>
      <c r="BM176" s="3735">
        <f>SUM(BM178:BM179)</f>
        <v>0</v>
      </c>
      <c r="BN176" s="3736"/>
      <c r="BO176" s="3737"/>
      <c r="BP176" s="3668">
        <f>SUM(BP178:BP179)</f>
        <v>0</v>
      </c>
      <c r="BQ176" s="3669"/>
      <c r="BR176" s="3670"/>
      <c r="BS176" s="3668">
        <f t="shared" ref="BS176" si="1618">SUM(BS178:BS179)</f>
        <v>0</v>
      </c>
      <c r="BT176" s="3669"/>
      <c r="BU176" s="3670"/>
      <c r="BV176" s="3668">
        <f t="shared" ref="BV176" si="1619">SUM(BV178:BV179)</f>
        <v>0</v>
      </c>
      <c r="BW176" s="3669"/>
      <c r="BX176" s="3670"/>
      <c r="BY176" s="3668">
        <f t="shared" ref="BY176" si="1620">SUM(BY178:BY179)</f>
        <v>0</v>
      </c>
      <c r="BZ176" s="3669"/>
      <c r="CA176" s="3670"/>
      <c r="CB176" s="3732">
        <f t="shared" ref="CB176:CB180" si="1621">SUM(BM176+BD176)</f>
        <v>0</v>
      </c>
      <c r="CC176" s="3733"/>
      <c r="CD176" s="3734"/>
      <c r="CE176" s="3680">
        <f>SUM(BY176+BG176)</f>
        <v>2137.04</v>
      </c>
      <c r="CF176" s="3681"/>
      <c r="CG176" s="3682"/>
      <c r="CH176" s="3680">
        <f>SUM(CE176-CB176)</f>
        <v>2137.04</v>
      </c>
      <c r="CI176" s="3681"/>
      <c r="CJ176" s="3682"/>
    </row>
    <row r="177" spans="1:90" ht="36" customHeight="1" x14ac:dyDescent="0.2">
      <c r="A177" s="3471" t="s">
        <v>3748</v>
      </c>
      <c r="B177" s="3689">
        <f>SUM(B124)</f>
        <v>0</v>
      </c>
      <c r="C177" s="3690"/>
      <c r="D177" s="3691"/>
      <c r="E177" s="3689">
        <f t="shared" ref="E177:E178" si="1622">SUM(E124)</f>
        <v>0</v>
      </c>
      <c r="F177" s="3690"/>
      <c r="G177" s="3691"/>
      <c r="H177" s="3689">
        <f t="shared" ref="H177:H178" si="1623">SUM(H124)</f>
        <v>0</v>
      </c>
      <c r="I177" s="3690"/>
      <c r="J177" s="3691"/>
      <c r="K177" s="3689">
        <f t="shared" ref="K177:K178" si="1624">SUM(K124)</f>
        <v>0</v>
      </c>
      <c r="L177" s="3690"/>
      <c r="M177" s="3691"/>
      <c r="N177" s="3634">
        <f>SUM(E177+H177+K177)</f>
        <v>0</v>
      </c>
      <c r="O177" s="3635"/>
      <c r="P177" s="3636"/>
      <c r="Q177" s="3689">
        <f t="shared" ref="Q177:Q178" si="1625">SUM(Q124)</f>
        <v>0</v>
      </c>
      <c r="R177" s="3690"/>
      <c r="S177" s="3691"/>
      <c r="T177" s="3689">
        <f t="shared" ref="T177:T178" si="1626">SUM(T124)</f>
        <v>0</v>
      </c>
      <c r="U177" s="3690"/>
      <c r="V177" s="3691"/>
      <c r="W177" s="3689">
        <f t="shared" ref="W177:W178" si="1627">SUM(W124)</f>
        <v>0</v>
      </c>
      <c r="X177" s="3690"/>
      <c r="Y177" s="3691"/>
      <c r="Z177" s="3689">
        <f t="shared" ref="Z177:Z178" si="1628">SUM(Z124)</f>
        <v>0</v>
      </c>
      <c r="AA177" s="3690"/>
      <c r="AB177" s="3691"/>
      <c r="AC177" s="3634">
        <f>SUM(T177+W177+Z177)</f>
        <v>0</v>
      </c>
      <c r="AD177" s="3635"/>
      <c r="AE177" s="3636"/>
      <c r="AF177" s="3686">
        <f>SUM(B177+Q177)</f>
        <v>0</v>
      </c>
      <c r="AG177" s="3687"/>
      <c r="AH177" s="3688"/>
      <c r="AI177" s="3631">
        <f t="shared" ref="AI177" si="1629">SUM(N177+AC177)</f>
        <v>0</v>
      </c>
      <c r="AJ177" s="3632"/>
      <c r="AK177" s="3633"/>
      <c r="AL177" s="3631">
        <f t="shared" ref="AL177" si="1630">SUM(AI177-AF177)</f>
        <v>0</v>
      </c>
      <c r="AM177" s="3632"/>
      <c r="AN177" s="3633"/>
      <c r="AO177" s="3689">
        <f t="shared" ref="AO177:AO178" si="1631">SUM(AO124)</f>
        <v>0</v>
      </c>
      <c r="AP177" s="3690"/>
      <c r="AQ177" s="3691"/>
      <c r="AR177" s="3689">
        <f t="shared" ref="AR177:AR178" si="1632">SUM(AR124)</f>
        <v>0</v>
      </c>
      <c r="AS177" s="3690"/>
      <c r="AT177" s="3691"/>
      <c r="AU177" s="3689">
        <f t="shared" ref="AU177:AU178" si="1633">SUM(AU124)</f>
        <v>0</v>
      </c>
      <c r="AV177" s="3690"/>
      <c r="AW177" s="3691"/>
      <c r="AX177" s="3689">
        <f t="shared" ref="AX177:AX178" si="1634">SUM(AX124)</f>
        <v>0</v>
      </c>
      <c r="AY177" s="3690"/>
      <c r="AZ177" s="3691"/>
      <c r="BA177" s="3634">
        <f>SUM(AR177+AU177+AX177)</f>
        <v>0</v>
      </c>
      <c r="BB177" s="3635"/>
      <c r="BC177" s="3636"/>
      <c r="BD177" s="3686">
        <f>SUM(AF177+AO177)</f>
        <v>0</v>
      </c>
      <c r="BE177" s="3687"/>
      <c r="BF177" s="3688"/>
      <c r="BG177" s="3631">
        <f t="shared" ref="BG177" si="1635">SUM(BA177+AI177)</f>
        <v>0</v>
      </c>
      <c r="BH177" s="3632"/>
      <c r="BI177" s="3633"/>
      <c r="BJ177" s="3631">
        <f>SUM(BG177-BD177)</f>
        <v>0</v>
      </c>
      <c r="BK177" s="3632"/>
      <c r="BL177" s="3633"/>
      <c r="BM177" s="3689">
        <f t="shared" ref="BM177:BM178" si="1636">SUM(BM124)</f>
        <v>797.74599999999998</v>
      </c>
      <c r="BN177" s="3690"/>
      <c r="BO177" s="3691"/>
      <c r="BP177" s="3689">
        <f t="shared" ref="BP177:BP178" si="1637">SUM(BP124)</f>
        <v>0</v>
      </c>
      <c r="BQ177" s="3690"/>
      <c r="BR177" s="3691"/>
      <c r="BS177" s="3689">
        <f t="shared" ref="BS177:BS178" si="1638">SUM(BS124)</f>
        <v>0</v>
      </c>
      <c r="BT177" s="3690"/>
      <c r="BU177" s="3691"/>
      <c r="BV177" s="3689">
        <f t="shared" ref="BV177:BV178" si="1639">SUM(BV124)</f>
        <v>0</v>
      </c>
      <c r="BW177" s="3690"/>
      <c r="BX177" s="3691"/>
      <c r="BY177" s="3634">
        <f>SUM(BP177+BS177+BV177)</f>
        <v>0</v>
      </c>
      <c r="BZ177" s="3635"/>
      <c r="CA177" s="3636"/>
      <c r="CB177" s="3686">
        <f t="shared" ref="CB177" si="1640">SUM(BM177+BD177)</f>
        <v>797.74599999999998</v>
      </c>
      <c r="CC177" s="3687"/>
      <c r="CD177" s="3688"/>
      <c r="CE177" s="3631">
        <f t="shared" ref="CE177" si="1641">SUM(BY177+BG177)</f>
        <v>0</v>
      </c>
      <c r="CF177" s="3632"/>
      <c r="CG177" s="3633"/>
      <c r="CH177" s="3631">
        <f>SUM(CE177-CB177)</f>
        <v>-797.74599999999998</v>
      </c>
      <c r="CI177" s="3632"/>
      <c r="CJ177" s="3633"/>
    </row>
    <row r="178" spans="1:90" ht="36" customHeight="1" x14ac:dyDescent="0.2">
      <c r="A178" s="3081" t="s">
        <v>3664</v>
      </c>
      <c r="B178" s="3689">
        <f>SUM(B125)</f>
        <v>0</v>
      </c>
      <c r="C178" s="3690"/>
      <c r="D178" s="3691"/>
      <c r="E178" s="3689">
        <f t="shared" si="1622"/>
        <v>0</v>
      </c>
      <c r="F178" s="3690"/>
      <c r="G178" s="3691"/>
      <c r="H178" s="3689">
        <f t="shared" si="1623"/>
        <v>0</v>
      </c>
      <c r="I178" s="3690"/>
      <c r="J178" s="3691"/>
      <c r="K178" s="3689">
        <f t="shared" si="1624"/>
        <v>0</v>
      </c>
      <c r="L178" s="3690"/>
      <c r="M178" s="3691"/>
      <c r="N178" s="3634">
        <f>SUM(E178+H178+K178)</f>
        <v>0</v>
      </c>
      <c r="O178" s="3635"/>
      <c r="P178" s="3636"/>
      <c r="Q178" s="3689">
        <f t="shared" si="1625"/>
        <v>0</v>
      </c>
      <c r="R178" s="3690"/>
      <c r="S178" s="3691"/>
      <c r="T178" s="3689">
        <f t="shared" si="1626"/>
        <v>0</v>
      </c>
      <c r="U178" s="3690"/>
      <c r="V178" s="3691"/>
      <c r="W178" s="3689">
        <f t="shared" si="1627"/>
        <v>0</v>
      </c>
      <c r="X178" s="3690"/>
      <c r="Y178" s="3691"/>
      <c r="Z178" s="3689">
        <f t="shared" si="1628"/>
        <v>0</v>
      </c>
      <c r="AA178" s="3690"/>
      <c r="AB178" s="3691"/>
      <c r="AC178" s="3634">
        <f>SUM(T178+W178+Z178)</f>
        <v>0</v>
      </c>
      <c r="AD178" s="3635"/>
      <c r="AE178" s="3636"/>
      <c r="AF178" s="3686">
        <f>SUM(B178+Q178)</f>
        <v>0</v>
      </c>
      <c r="AG178" s="3687"/>
      <c r="AH178" s="3688"/>
      <c r="AI178" s="3631">
        <f t="shared" ref="AI178:AI180" si="1642">SUM(N178+AC178)</f>
        <v>0</v>
      </c>
      <c r="AJ178" s="3632"/>
      <c r="AK178" s="3633"/>
      <c r="AL178" s="3631">
        <f t="shared" ref="AL178:AL180" si="1643">SUM(AI178-AF178)</f>
        <v>0</v>
      </c>
      <c r="AM178" s="3632"/>
      <c r="AN178" s="3633"/>
      <c r="AO178" s="3689">
        <f t="shared" si="1631"/>
        <v>0</v>
      </c>
      <c r="AP178" s="3690"/>
      <c r="AQ178" s="3691"/>
      <c r="AR178" s="3689">
        <f t="shared" si="1632"/>
        <v>0</v>
      </c>
      <c r="AS178" s="3690"/>
      <c r="AT178" s="3691"/>
      <c r="AU178" s="3689">
        <f t="shared" si="1633"/>
        <v>0</v>
      </c>
      <c r="AV178" s="3690"/>
      <c r="AW178" s="3691"/>
      <c r="AX178" s="3689">
        <f t="shared" si="1634"/>
        <v>0</v>
      </c>
      <c r="AY178" s="3690"/>
      <c r="AZ178" s="3691"/>
      <c r="BA178" s="3634">
        <f>SUM(AR178+AU178+AX178)</f>
        <v>0</v>
      </c>
      <c r="BB178" s="3635"/>
      <c r="BC178" s="3636"/>
      <c r="BD178" s="3686">
        <f>SUM(AF178+AO178)</f>
        <v>0</v>
      </c>
      <c r="BE178" s="3687"/>
      <c r="BF178" s="3688"/>
      <c r="BG178" s="3631">
        <f t="shared" ref="BG178:BG180" si="1644">SUM(BA178+AI178)</f>
        <v>0</v>
      </c>
      <c r="BH178" s="3632"/>
      <c r="BI178" s="3633"/>
      <c r="BJ178" s="3631">
        <f>SUM(BG178-BD178)</f>
        <v>0</v>
      </c>
      <c r="BK178" s="3632"/>
      <c r="BL178" s="3633"/>
      <c r="BM178" s="3689">
        <f t="shared" si="1636"/>
        <v>0</v>
      </c>
      <c r="BN178" s="3690"/>
      <c r="BO178" s="3691"/>
      <c r="BP178" s="3689">
        <f t="shared" si="1637"/>
        <v>0</v>
      </c>
      <c r="BQ178" s="3690"/>
      <c r="BR178" s="3691"/>
      <c r="BS178" s="3689">
        <f t="shared" si="1638"/>
        <v>0</v>
      </c>
      <c r="BT178" s="3690"/>
      <c r="BU178" s="3691"/>
      <c r="BV178" s="3689">
        <f t="shared" si="1639"/>
        <v>0</v>
      </c>
      <c r="BW178" s="3690"/>
      <c r="BX178" s="3691"/>
      <c r="BY178" s="3634">
        <f>SUM(BP178+BS178+BV178)</f>
        <v>0</v>
      </c>
      <c r="BZ178" s="3635"/>
      <c r="CA178" s="3636"/>
      <c r="CB178" s="3686">
        <f t="shared" si="1621"/>
        <v>0</v>
      </c>
      <c r="CC178" s="3687"/>
      <c r="CD178" s="3688"/>
      <c r="CE178" s="3631">
        <f t="shared" ref="CE178:CE180" si="1645">SUM(BY178+BG178)</f>
        <v>0</v>
      </c>
      <c r="CF178" s="3632"/>
      <c r="CG178" s="3633"/>
      <c r="CH178" s="3631">
        <f>SUM(CE178-CB178)</f>
        <v>0</v>
      </c>
      <c r="CI178" s="3632"/>
      <c r="CJ178" s="3633"/>
    </row>
    <row r="179" spans="1:90" ht="35.25" customHeight="1" x14ac:dyDescent="0.2">
      <c r="A179" s="3081" t="s">
        <v>3612</v>
      </c>
      <c r="B179" s="3689">
        <f>SUM(B126)</f>
        <v>0</v>
      </c>
      <c r="C179" s="3690"/>
      <c r="D179" s="3691"/>
      <c r="E179" s="3689">
        <f t="shared" ref="E179" si="1646">SUM(E126)</f>
        <v>185.43</v>
      </c>
      <c r="F179" s="3690"/>
      <c r="G179" s="3691"/>
      <c r="H179" s="3689">
        <f t="shared" ref="H179" si="1647">SUM(H126)</f>
        <v>100.23</v>
      </c>
      <c r="I179" s="3690"/>
      <c r="J179" s="3691"/>
      <c r="K179" s="3689">
        <f t="shared" ref="K179" si="1648">SUM(K126)</f>
        <v>106.33</v>
      </c>
      <c r="L179" s="3690"/>
      <c r="M179" s="3691"/>
      <c r="N179" s="3634">
        <f>SUM(E179+H179+K179)</f>
        <v>391.99</v>
      </c>
      <c r="O179" s="3635"/>
      <c r="P179" s="3636"/>
      <c r="Q179" s="3689">
        <f t="shared" ref="Q179" si="1649">SUM(Q126)</f>
        <v>0</v>
      </c>
      <c r="R179" s="3690"/>
      <c r="S179" s="3691"/>
      <c r="T179" s="3689">
        <f t="shared" ref="T179" si="1650">SUM(T126)</f>
        <v>210.13</v>
      </c>
      <c r="U179" s="3690"/>
      <c r="V179" s="3691"/>
      <c r="W179" s="3689">
        <f t="shared" ref="W179" si="1651">SUM(W126)</f>
        <v>201.22</v>
      </c>
      <c r="X179" s="3690"/>
      <c r="Y179" s="3691"/>
      <c r="Z179" s="3689">
        <f t="shared" ref="Z179" si="1652">SUM(Z126)</f>
        <v>297.42</v>
      </c>
      <c r="AA179" s="3690"/>
      <c r="AB179" s="3691"/>
      <c r="AC179" s="3634">
        <f>SUM(T179+W179+Z179)</f>
        <v>708.77</v>
      </c>
      <c r="AD179" s="3635"/>
      <c r="AE179" s="3636"/>
      <c r="AF179" s="3686">
        <f>SUM(B179+Q179)</f>
        <v>0</v>
      </c>
      <c r="AG179" s="3687"/>
      <c r="AH179" s="3688"/>
      <c r="AI179" s="3631">
        <f t="shared" si="1642"/>
        <v>1100.76</v>
      </c>
      <c r="AJ179" s="3632"/>
      <c r="AK179" s="3633"/>
      <c r="AL179" s="3631">
        <f t="shared" si="1643"/>
        <v>1100.76</v>
      </c>
      <c r="AM179" s="3632"/>
      <c r="AN179" s="3633"/>
      <c r="AO179" s="3689">
        <f t="shared" ref="AO179" si="1653">SUM(AO126)</f>
        <v>0</v>
      </c>
      <c r="AP179" s="3690"/>
      <c r="AQ179" s="3691"/>
      <c r="AR179" s="3689">
        <f t="shared" ref="AR179" si="1654">SUM(AR126)</f>
        <v>261.83999999999997</v>
      </c>
      <c r="AS179" s="3690"/>
      <c r="AT179" s="3691"/>
      <c r="AU179" s="3689">
        <f t="shared" ref="AU179" si="1655">SUM(AU126)</f>
        <v>454.46</v>
      </c>
      <c r="AV179" s="3690"/>
      <c r="AW179" s="3691"/>
      <c r="AX179" s="3689">
        <f t="shared" ref="AX179" si="1656">SUM(AX126)</f>
        <v>319.98</v>
      </c>
      <c r="AY179" s="3690"/>
      <c r="AZ179" s="3691"/>
      <c r="BA179" s="3634">
        <f>SUM(AR179+AU179+AX179)</f>
        <v>1036.28</v>
      </c>
      <c r="BB179" s="3635"/>
      <c r="BC179" s="3636"/>
      <c r="BD179" s="3686">
        <f>SUM(AF179+AO179)</f>
        <v>0</v>
      </c>
      <c r="BE179" s="3687"/>
      <c r="BF179" s="3688"/>
      <c r="BG179" s="3631">
        <f t="shared" si="1644"/>
        <v>2137.04</v>
      </c>
      <c r="BH179" s="3632"/>
      <c r="BI179" s="3633"/>
      <c r="BJ179" s="3631">
        <f>SUM(BG179-BD179)</f>
        <v>2137.04</v>
      </c>
      <c r="BK179" s="3632"/>
      <c r="BL179" s="3633"/>
      <c r="BM179" s="3689">
        <f t="shared" ref="BM179" si="1657">SUM(BM126)</f>
        <v>0</v>
      </c>
      <c r="BN179" s="3690"/>
      <c r="BO179" s="3691"/>
      <c r="BP179" s="3689">
        <f t="shared" ref="BP179" si="1658">SUM(BP126)</f>
        <v>0</v>
      </c>
      <c r="BQ179" s="3690"/>
      <c r="BR179" s="3691"/>
      <c r="BS179" s="3689">
        <f t="shared" ref="BS179" si="1659">SUM(BS126)</f>
        <v>0</v>
      </c>
      <c r="BT179" s="3690"/>
      <c r="BU179" s="3691"/>
      <c r="BV179" s="3689">
        <f t="shared" ref="BV179" si="1660">SUM(BV126)</f>
        <v>0</v>
      </c>
      <c r="BW179" s="3690"/>
      <c r="BX179" s="3691"/>
      <c r="BY179" s="3634">
        <f>SUM(BP179+BS179+BV179)</f>
        <v>0</v>
      </c>
      <c r="BZ179" s="3635"/>
      <c r="CA179" s="3636"/>
      <c r="CB179" s="3686">
        <f t="shared" si="1621"/>
        <v>0</v>
      </c>
      <c r="CC179" s="3687"/>
      <c r="CD179" s="3688"/>
      <c r="CE179" s="3631">
        <f t="shared" si="1645"/>
        <v>2137.04</v>
      </c>
      <c r="CF179" s="3632"/>
      <c r="CG179" s="3633"/>
      <c r="CH179" s="3631">
        <f>SUM(CE179-CB179)</f>
        <v>2137.04</v>
      </c>
      <c r="CI179" s="3632"/>
      <c r="CJ179" s="3633"/>
    </row>
    <row r="180" spans="1:90" ht="18.75" customHeight="1" x14ac:dyDescent="0.3">
      <c r="A180" s="3106" t="s">
        <v>3613</v>
      </c>
      <c r="B180" s="3735">
        <f>SUM(B173+B176)</f>
        <v>24068.209201802725</v>
      </c>
      <c r="C180" s="3736"/>
      <c r="D180" s="3737"/>
      <c r="E180" s="3668">
        <f>SUM(E173+E176)</f>
        <v>6547.5820000000003</v>
      </c>
      <c r="F180" s="3669"/>
      <c r="G180" s="3670"/>
      <c r="H180" s="3668">
        <f t="shared" ref="H180" si="1661">SUM(H173+H176)</f>
        <v>6122.317</v>
      </c>
      <c r="I180" s="3669"/>
      <c r="J180" s="3670"/>
      <c r="K180" s="3668">
        <f t="shared" ref="K180" si="1662">SUM(K173+K176)</f>
        <v>6987.5310000000009</v>
      </c>
      <c r="L180" s="3669"/>
      <c r="M180" s="3670"/>
      <c r="N180" s="3668">
        <f t="shared" ref="N180" si="1663">SUM(N173+N176)</f>
        <v>19657.430000000004</v>
      </c>
      <c r="O180" s="3669"/>
      <c r="P180" s="3670"/>
      <c r="Q180" s="3735">
        <f>SUM(Q173+Q176)</f>
        <v>24068.209201802725</v>
      </c>
      <c r="R180" s="3736"/>
      <c r="S180" s="3737"/>
      <c r="T180" s="3668">
        <f>SUM(T173+T176)</f>
        <v>7298.8700000000008</v>
      </c>
      <c r="U180" s="3669"/>
      <c r="V180" s="3670"/>
      <c r="W180" s="3668">
        <f t="shared" ref="W180" si="1664">SUM(W173+W176)</f>
        <v>7342.4169999999995</v>
      </c>
      <c r="X180" s="3669"/>
      <c r="Y180" s="3670"/>
      <c r="Z180" s="3668">
        <f t="shared" ref="Z180" si="1665">SUM(Z173+Z176)</f>
        <v>7157.973</v>
      </c>
      <c r="AA180" s="3669"/>
      <c r="AB180" s="3670"/>
      <c r="AC180" s="3668">
        <f t="shared" ref="AC180" si="1666">SUM(AC173+AC176)</f>
        <v>21799.260000000002</v>
      </c>
      <c r="AD180" s="3669"/>
      <c r="AE180" s="3670"/>
      <c r="AF180" s="3732">
        <f>SUM(B180+Q180)</f>
        <v>48136.41840360545</v>
      </c>
      <c r="AG180" s="3733"/>
      <c r="AH180" s="3734"/>
      <c r="AI180" s="3680">
        <f t="shared" si="1642"/>
        <v>41456.69</v>
      </c>
      <c r="AJ180" s="3681"/>
      <c r="AK180" s="3682"/>
      <c r="AL180" s="3680">
        <f t="shared" si="1643"/>
        <v>-6679.728403605448</v>
      </c>
      <c r="AM180" s="3681"/>
      <c r="AN180" s="3682"/>
      <c r="AO180" s="3735">
        <f>SUM(AO173+AO176)</f>
        <v>24196.070279560827</v>
      </c>
      <c r="AP180" s="3736"/>
      <c r="AQ180" s="3737"/>
      <c r="AR180" s="3668">
        <f>SUM(AR173+AR176)</f>
        <v>6738.0349999999999</v>
      </c>
      <c r="AS180" s="3669"/>
      <c r="AT180" s="3670"/>
      <c r="AU180" s="3668">
        <f t="shared" ref="AU180" si="1667">SUM(AU173+AU176)</f>
        <v>7177.2579999999998</v>
      </c>
      <c r="AV180" s="3669"/>
      <c r="AW180" s="3670"/>
      <c r="AX180" s="3668">
        <f t="shared" ref="AX180" si="1668">SUM(AX173+AX176)</f>
        <v>7566.4030000000002</v>
      </c>
      <c r="AY180" s="3669"/>
      <c r="AZ180" s="3670"/>
      <c r="BA180" s="3668">
        <f t="shared" ref="BA180" si="1669">SUM(BA173+BA176)</f>
        <v>21481.696</v>
      </c>
      <c r="BB180" s="3669"/>
      <c r="BC180" s="3670"/>
      <c r="BD180" s="3732">
        <f t="shared" ref="BD180" si="1670">SUM(AF180+AO180)</f>
        <v>72332.488683166273</v>
      </c>
      <c r="BE180" s="3733"/>
      <c r="BF180" s="3734"/>
      <c r="BG180" s="3680">
        <f t="shared" si="1644"/>
        <v>62938.385999999999</v>
      </c>
      <c r="BH180" s="3681"/>
      <c r="BI180" s="3682"/>
      <c r="BJ180" s="3680">
        <f>SUM(BG180-BD180)</f>
        <v>-9394.1026831662748</v>
      </c>
      <c r="BK180" s="3681"/>
      <c r="BL180" s="3682"/>
      <c r="BM180" s="3735">
        <f>SUM(BM173+BM176)</f>
        <v>24196.070279560827</v>
      </c>
      <c r="BN180" s="3736"/>
      <c r="BO180" s="3737"/>
      <c r="BP180" s="3668">
        <f>SUM(BP173+BP176)</f>
        <v>0</v>
      </c>
      <c r="BQ180" s="3669"/>
      <c r="BR180" s="3670"/>
      <c r="BS180" s="3668">
        <f t="shared" ref="BS180" si="1671">SUM(BS173+BS176)</f>
        <v>0</v>
      </c>
      <c r="BT180" s="3669"/>
      <c r="BU180" s="3670"/>
      <c r="BV180" s="3668">
        <f t="shared" ref="BV180" si="1672">SUM(BV173+BV176)</f>
        <v>0</v>
      </c>
      <c r="BW180" s="3669"/>
      <c r="BX180" s="3670"/>
      <c r="BY180" s="3668">
        <f t="shared" ref="BY180" si="1673">SUM(BY173+BY176)</f>
        <v>0</v>
      </c>
      <c r="BZ180" s="3669"/>
      <c r="CA180" s="3670"/>
      <c r="CB180" s="3732">
        <f t="shared" si="1621"/>
        <v>96528.558962727097</v>
      </c>
      <c r="CC180" s="3733"/>
      <c r="CD180" s="3734"/>
      <c r="CE180" s="3680">
        <f t="shared" si="1645"/>
        <v>62938.385999999999</v>
      </c>
      <c r="CF180" s="3681"/>
      <c r="CG180" s="3682"/>
      <c r="CH180" s="3680">
        <f>SUM(CE180-CB180)</f>
        <v>-33590.172962727098</v>
      </c>
      <c r="CI180" s="3681"/>
      <c r="CJ180" s="3682"/>
    </row>
    <row r="181" spans="1:90" ht="18.75" customHeight="1" x14ac:dyDescent="0.2"/>
    <row r="182" spans="1:90" ht="18.75" customHeight="1" x14ac:dyDescent="0.2">
      <c r="A182" s="3176"/>
    </row>
    <row r="183" spans="1:90" ht="18.75" customHeight="1" x14ac:dyDescent="0.2">
      <c r="A183" s="3176"/>
    </row>
    <row r="184" spans="1:90" ht="18.75" customHeight="1" x14ac:dyDescent="0.2"/>
    <row r="185" spans="1:90" ht="18.75" customHeight="1" x14ac:dyDescent="0.3">
      <c r="A185" s="3103" t="s">
        <v>3674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</row>
    <row r="186" spans="1:90" ht="18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</row>
    <row r="187" spans="1:90" ht="18.75" customHeight="1" x14ac:dyDescent="0.2">
      <c r="A187" s="3723" t="s">
        <v>536</v>
      </c>
      <c r="B187" s="3707" t="s">
        <v>3575</v>
      </c>
      <c r="C187" s="3708"/>
      <c r="D187" s="3708"/>
      <c r="E187" s="3708"/>
      <c r="F187" s="3708"/>
      <c r="G187" s="3708"/>
      <c r="H187" s="3708"/>
      <c r="I187" s="3708"/>
      <c r="J187" s="3708"/>
      <c r="K187" s="3708"/>
      <c r="L187" s="3708"/>
      <c r="M187" s="3708"/>
      <c r="N187" s="3708"/>
      <c r="O187" s="3708"/>
      <c r="P187" s="3725"/>
      <c r="Q187" s="3696" t="s">
        <v>3576</v>
      </c>
      <c r="R187" s="3697"/>
      <c r="S187" s="3697"/>
      <c r="T187" s="3697"/>
      <c r="U187" s="3697"/>
      <c r="V187" s="3697"/>
      <c r="W187" s="3697"/>
      <c r="X187" s="3697"/>
      <c r="Y187" s="3697"/>
      <c r="Z187" s="3697"/>
      <c r="AA187" s="3697"/>
      <c r="AB187" s="3697"/>
      <c r="AC187" s="3697"/>
      <c r="AD187" s="3655"/>
      <c r="AE187" s="3656"/>
      <c r="AF187" s="3692" t="s">
        <v>3577</v>
      </c>
      <c r="AG187" s="3693"/>
      <c r="AH187" s="3693"/>
      <c r="AI187" s="3693"/>
      <c r="AJ187" s="3693"/>
      <c r="AK187" s="3693"/>
      <c r="AL187" s="3693"/>
      <c r="AM187" s="3705"/>
      <c r="AN187" s="3706"/>
      <c r="AO187" s="3707" t="s">
        <v>3578</v>
      </c>
      <c r="AP187" s="3708"/>
      <c r="AQ187" s="3708"/>
      <c r="AR187" s="3708"/>
      <c r="AS187" s="3708"/>
      <c r="AT187" s="3708"/>
      <c r="AU187" s="3708"/>
      <c r="AV187" s="3708"/>
      <c r="AW187" s="3708"/>
      <c r="AX187" s="3708"/>
      <c r="AY187" s="3708"/>
      <c r="AZ187" s="3708"/>
      <c r="BA187" s="3708"/>
      <c r="BB187" s="3705"/>
      <c r="BC187" s="3706"/>
      <c r="BD187" s="3692" t="s">
        <v>3579</v>
      </c>
      <c r="BE187" s="3693"/>
      <c r="BF187" s="3693"/>
      <c r="BG187" s="3693"/>
      <c r="BH187" s="3693"/>
      <c r="BI187" s="3693"/>
      <c r="BJ187" s="3693"/>
      <c r="BK187" s="3705"/>
      <c r="BL187" s="3706"/>
      <c r="BM187" s="3707" t="s">
        <v>3580</v>
      </c>
      <c r="BN187" s="3708"/>
      <c r="BO187" s="3708"/>
      <c r="BP187" s="3708"/>
      <c r="BQ187" s="3708"/>
      <c r="BR187" s="3708"/>
      <c r="BS187" s="3708"/>
      <c r="BT187" s="3708"/>
      <c r="BU187" s="3708"/>
      <c r="BV187" s="3708"/>
      <c r="BW187" s="3708"/>
      <c r="BX187" s="3708"/>
      <c r="BY187" s="3708"/>
      <c r="BZ187" s="3705"/>
      <c r="CA187" s="3705"/>
      <c r="CB187" s="3692" t="s">
        <v>2019</v>
      </c>
      <c r="CC187" s="3693"/>
      <c r="CD187" s="3693"/>
      <c r="CE187" s="3693"/>
      <c r="CF187" s="3693"/>
      <c r="CG187" s="3693"/>
      <c r="CH187" s="3693"/>
      <c r="CI187" s="3694"/>
      <c r="CJ187" s="3695"/>
      <c r="CK187" s="5"/>
      <c r="CL187" s="5"/>
    </row>
    <row r="188" spans="1:90" ht="25.5" customHeight="1" x14ac:dyDescent="0.2">
      <c r="A188" s="3724"/>
      <c r="B188" s="3696" t="s">
        <v>3581</v>
      </c>
      <c r="C188" s="3697"/>
      <c r="D188" s="3698"/>
      <c r="E188" s="3726" t="s">
        <v>582</v>
      </c>
      <c r="F188" s="3727"/>
      <c r="G188" s="3728"/>
      <c r="H188" s="3726" t="s">
        <v>583</v>
      </c>
      <c r="I188" s="3727"/>
      <c r="J188" s="3728"/>
      <c r="K188" s="3726" t="s">
        <v>584</v>
      </c>
      <c r="L188" s="3727"/>
      <c r="M188" s="3728"/>
      <c r="N188" s="3696" t="s">
        <v>1692</v>
      </c>
      <c r="O188" s="3697"/>
      <c r="P188" s="3698"/>
      <c r="Q188" s="3696" t="s">
        <v>3581</v>
      </c>
      <c r="R188" s="3697"/>
      <c r="S188" s="3698"/>
      <c r="T188" s="3729" t="s">
        <v>3582</v>
      </c>
      <c r="U188" s="3730"/>
      <c r="V188" s="3731"/>
      <c r="W188" s="3729" t="s">
        <v>586</v>
      </c>
      <c r="X188" s="3730"/>
      <c r="Y188" s="3731"/>
      <c r="Z188" s="3729" t="s">
        <v>587</v>
      </c>
      <c r="AA188" s="3730"/>
      <c r="AB188" s="3731"/>
      <c r="AC188" s="3696" t="s">
        <v>1692</v>
      </c>
      <c r="AD188" s="3697"/>
      <c r="AE188" s="3698"/>
      <c r="AF188" s="3699" t="s">
        <v>3581</v>
      </c>
      <c r="AG188" s="3700"/>
      <c r="AH188" s="3701"/>
      <c r="AI188" s="3699" t="s">
        <v>1692</v>
      </c>
      <c r="AJ188" s="3700"/>
      <c r="AK188" s="3701"/>
      <c r="AL188" s="3699" t="s">
        <v>3583</v>
      </c>
      <c r="AM188" s="3700"/>
      <c r="AN188" s="3701"/>
      <c r="AO188" s="3712" t="s">
        <v>3581</v>
      </c>
      <c r="AP188" s="3713"/>
      <c r="AQ188" s="3714"/>
      <c r="AR188" s="3702" t="s">
        <v>588</v>
      </c>
      <c r="AS188" s="3703"/>
      <c r="AT188" s="3704"/>
      <c r="AU188" s="3702" t="s">
        <v>589</v>
      </c>
      <c r="AV188" s="3703"/>
      <c r="AW188" s="3704"/>
      <c r="AX188" s="3702" t="s">
        <v>590</v>
      </c>
      <c r="AY188" s="3703"/>
      <c r="AZ188" s="3704"/>
      <c r="BA188" s="3712" t="s">
        <v>1692</v>
      </c>
      <c r="BB188" s="3713"/>
      <c r="BC188" s="3714"/>
      <c r="BD188" s="3715" t="s">
        <v>3581</v>
      </c>
      <c r="BE188" s="3716"/>
      <c r="BF188" s="3717"/>
      <c r="BG188" s="3715" t="s">
        <v>1692</v>
      </c>
      <c r="BH188" s="3716"/>
      <c r="BI188" s="3717"/>
      <c r="BJ188" s="3715" t="s">
        <v>3583</v>
      </c>
      <c r="BK188" s="3716"/>
      <c r="BL188" s="3717"/>
      <c r="BM188" s="3709" t="s">
        <v>3581</v>
      </c>
      <c r="BN188" s="3710"/>
      <c r="BO188" s="3711"/>
      <c r="BP188" s="3709" t="s">
        <v>591</v>
      </c>
      <c r="BQ188" s="3710"/>
      <c r="BR188" s="3711"/>
      <c r="BS188" s="3709" t="s">
        <v>592</v>
      </c>
      <c r="BT188" s="3710"/>
      <c r="BU188" s="3711"/>
      <c r="BV188" s="3709" t="s">
        <v>593</v>
      </c>
      <c r="BW188" s="3710"/>
      <c r="BX188" s="3711"/>
      <c r="BY188" s="3709" t="s">
        <v>1692</v>
      </c>
      <c r="BZ188" s="3710"/>
      <c r="CA188" s="3710"/>
      <c r="CB188" s="3718" t="s">
        <v>3581</v>
      </c>
      <c r="CC188" s="3721"/>
      <c r="CD188" s="3722"/>
      <c r="CE188" s="3718" t="s">
        <v>1692</v>
      </c>
      <c r="CF188" s="3721"/>
      <c r="CG188" s="3722"/>
      <c r="CH188" s="3718" t="s">
        <v>3583</v>
      </c>
      <c r="CI188" s="3719"/>
      <c r="CJ188" s="3720"/>
      <c r="CK188" s="5"/>
      <c r="CL188" s="5"/>
    </row>
    <row r="189" spans="1:90" ht="25.5" customHeight="1" x14ac:dyDescent="0.2">
      <c r="A189" s="3724"/>
      <c r="B189" s="3095" t="s">
        <v>627</v>
      </c>
      <c r="C189" s="3095" t="s">
        <v>3668</v>
      </c>
      <c r="D189" s="3095" t="s">
        <v>3669</v>
      </c>
      <c r="E189" s="3095" t="s">
        <v>627</v>
      </c>
      <c r="F189" s="3095" t="s">
        <v>3668</v>
      </c>
      <c r="G189" s="3095" t="s">
        <v>3669</v>
      </c>
      <c r="H189" s="3095" t="s">
        <v>627</v>
      </c>
      <c r="I189" s="3095" t="s">
        <v>3668</v>
      </c>
      <c r="J189" s="3095" t="s">
        <v>3669</v>
      </c>
      <c r="K189" s="3095" t="s">
        <v>627</v>
      </c>
      <c r="L189" s="3095" t="s">
        <v>3668</v>
      </c>
      <c r="M189" s="3095" t="s">
        <v>3669</v>
      </c>
      <c r="N189" s="3095" t="s">
        <v>627</v>
      </c>
      <c r="O189" s="3095" t="s">
        <v>3668</v>
      </c>
      <c r="P189" s="3095" t="s">
        <v>3669</v>
      </c>
      <c r="Q189" s="3095" t="s">
        <v>627</v>
      </c>
      <c r="R189" s="3095" t="s">
        <v>3668</v>
      </c>
      <c r="S189" s="3095" t="s">
        <v>3669</v>
      </c>
      <c r="T189" s="3095" t="s">
        <v>627</v>
      </c>
      <c r="U189" s="3095" t="s">
        <v>3668</v>
      </c>
      <c r="V189" s="3095" t="s">
        <v>3669</v>
      </c>
      <c r="W189" s="3095" t="s">
        <v>627</v>
      </c>
      <c r="X189" s="3095" t="s">
        <v>3668</v>
      </c>
      <c r="Y189" s="3095" t="s">
        <v>3669</v>
      </c>
      <c r="Z189" s="3095" t="s">
        <v>627</v>
      </c>
      <c r="AA189" s="3095" t="s">
        <v>3668</v>
      </c>
      <c r="AB189" s="3095" t="s">
        <v>3669</v>
      </c>
      <c r="AC189" s="3095" t="s">
        <v>627</v>
      </c>
      <c r="AD189" s="3095" t="s">
        <v>3668</v>
      </c>
      <c r="AE189" s="3095" t="s">
        <v>3669</v>
      </c>
      <c r="AF189" s="3096" t="s">
        <v>627</v>
      </c>
      <c r="AG189" s="3096" t="s">
        <v>3668</v>
      </c>
      <c r="AH189" s="3096" t="s">
        <v>3669</v>
      </c>
      <c r="AI189" s="3096" t="s">
        <v>627</v>
      </c>
      <c r="AJ189" s="3096" t="s">
        <v>3668</v>
      </c>
      <c r="AK189" s="3096" t="s">
        <v>3669</v>
      </c>
      <c r="AL189" s="3096" t="s">
        <v>627</v>
      </c>
      <c r="AM189" s="3096" t="s">
        <v>3668</v>
      </c>
      <c r="AN189" s="3096" t="s">
        <v>3669</v>
      </c>
      <c r="AO189" s="3095" t="s">
        <v>627</v>
      </c>
      <c r="AP189" s="3095" t="s">
        <v>3668</v>
      </c>
      <c r="AQ189" s="3095" t="s">
        <v>3669</v>
      </c>
      <c r="AR189" s="3095" t="s">
        <v>627</v>
      </c>
      <c r="AS189" s="3095" t="s">
        <v>3668</v>
      </c>
      <c r="AT189" s="3095" t="s">
        <v>3669</v>
      </c>
      <c r="AU189" s="3095" t="s">
        <v>627</v>
      </c>
      <c r="AV189" s="3095" t="s">
        <v>3668</v>
      </c>
      <c r="AW189" s="3095" t="s">
        <v>3669</v>
      </c>
      <c r="AX189" s="3095" t="s">
        <v>627</v>
      </c>
      <c r="AY189" s="3095" t="s">
        <v>3668</v>
      </c>
      <c r="AZ189" s="3095" t="s">
        <v>3669</v>
      </c>
      <c r="BA189" s="3095" t="s">
        <v>627</v>
      </c>
      <c r="BB189" s="3095" t="s">
        <v>3668</v>
      </c>
      <c r="BC189" s="3095" t="s">
        <v>3669</v>
      </c>
      <c r="BD189" s="3096" t="s">
        <v>627</v>
      </c>
      <c r="BE189" s="3096" t="s">
        <v>3668</v>
      </c>
      <c r="BF189" s="3096" t="s">
        <v>3669</v>
      </c>
      <c r="BG189" s="3096" t="s">
        <v>627</v>
      </c>
      <c r="BH189" s="3096" t="s">
        <v>3668</v>
      </c>
      <c r="BI189" s="3096" t="s">
        <v>3669</v>
      </c>
      <c r="BJ189" s="3096" t="s">
        <v>627</v>
      </c>
      <c r="BK189" s="3096" t="s">
        <v>3668</v>
      </c>
      <c r="BL189" s="3096" t="s">
        <v>3669</v>
      </c>
      <c r="BM189" s="3095" t="s">
        <v>627</v>
      </c>
      <c r="BN189" s="3095" t="s">
        <v>3668</v>
      </c>
      <c r="BO189" s="3095" t="s">
        <v>3669</v>
      </c>
      <c r="BP189" s="3095" t="s">
        <v>627</v>
      </c>
      <c r="BQ189" s="3095" t="s">
        <v>3668</v>
      </c>
      <c r="BR189" s="3095" t="s">
        <v>3669</v>
      </c>
      <c r="BS189" s="3095" t="s">
        <v>627</v>
      </c>
      <c r="BT189" s="3095" t="s">
        <v>3668</v>
      </c>
      <c r="BU189" s="3095" t="s">
        <v>3669</v>
      </c>
      <c r="BV189" s="3095" t="s">
        <v>627</v>
      </c>
      <c r="BW189" s="3095" t="s">
        <v>3668</v>
      </c>
      <c r="BX189" s="3095" t="s">
        <v>3669</v>
      </c>
      <c r="BY189" s="3095" t="s">
        <v>627</v>
      </c>
      <c r="BZ189" s="3095" t="s">
        <v>3668</v>
      </c>
      <c r="CA189" s="3095" t="s">
        <v>3669</v>
      </c>
      <c r="CB189" s="3096" t="s">
        <v>627</v>
      </c>
      <c r="CC189" s="3096" t="s">
        <v>3668</v>
      </c>
      <c r="CD189" s="3096" t="s">
        <v>3669</v>
      </c>
      <c r="CE189" s="3096" t="s">
        <v>627</v>
      </c>
      <c r="CF189" s="3096" t="s">
        <v>3668</v>
      </c>
      <c r="CG189" s="3096" t="s">
        <v>3669</v>
      </c>
      <c r="CH189" s="3096" t="s">
        <v>627</v>
      </c>
      <c r="CI189" s="3096" t="s">
        <v>3668</v>
      </c>
      <c r="CJ189" s="3096" t="s">
        <v>3669</v>
      </c>
      <c r="CK189" s="5"/>
      <c r="CL189" s="5"/>
    </row>
    <row r="190" spans="1:90" ht="18.75" customHeight="1" x14ac:dyDescent="0.3">
      <c r="A190" s="3172" t="s">
        <v>72</v>
      </c>
      <c r="B190" s="3280">
        <f t="shared" ref="B190" si="1674">SUM(B26+B46+B78+B98)</f>
        <v>1679.9099999999999</v>
      </c>
      <c r="C190" s="3280">
        <f t="shared" ref="C190:D190" si="1675">SUM(C26+C46+C78+C98)</f>
        <v>1673.1465558963455</v>
      </c>
      <c r="D190" s="3280">
        <f t="shared" si="1675"/>
        <v>6.7634441036546935</v>
      </c>
      <c r="E190" s="3181">
        <f t="shared" ref="E190:AE190" si="1676">SUM(E26+E46+E78+E98)</f>
        <v>494.28</v>
      </c>
      <c r="F190" s="3181">
        <f t="shared" si="1676"/>
        <v>494.28</v>
      </c>
      <c r="G190" s="3181">
        <f t="shared" si="1676"/>
        <v>0</v>
      </c>
      <c r="H190" s="3181">
        <f t="shared" si="1676"/>
        <v>430.44000000000005</v>
      </c>
      <c r="I190" s="3181">
        <f t="shared" si="1676"/>
        <v>430.44000000000005</v>
      </c>
      <c r="J190" s="3181">
        <f t="shared" si="1676"/>
        <v>0</v>
      </c>
      <c r="K190" s="3181">
        <f t="shared" si="1676"/>
        <v>503.96</v>
      </c>
      <c r="L190" s="3181">
        <f t="shared" si="1676"/>
        <v>503.96</v>
      </c>
      <c r="M190" s="3181">
        <f t="shared" si="1676"/>
        <v>0</v>
      </c>
      <c r="N190" s="3181">
        <f t="shared" si="1676"/>
        <v>1428.6799999999998</v>
      </c>
      <c r="O190" s="3181">
        <f t="shared" si="1676"/>
        <v>1428.6799999999998</v>
      </c>
      <c r="P190" s="3181">
        <f t="shared" si="1676"/>
        <v>0</v>
      </c>
      <c r="Q190" s="3280">
        <f t="shared" si="1676"/>
        <v>1679.9099999999999</v>
      </c>
      <c r="R190" s="3280">
        <f t="shared" si="1676"/>
        <v>1673.1465558963455</v>
      </c>
      <c r="S190" s="3280">
        <f t="shared" si="1676"/>
        <v>6.7634441036546935</v>
      </c>
      <c r="T190" s="3181">
        <f t="shared" si="1676"/>
        <v>434.85</v>
      </c>
      <c r="U190" s="3181">
        <f t="shared" si="1676"/>
        <v>434.85</v>
      </c>
      <c r="V190" s="3181">
        <f t="shared" si="1676"/>
        <v>0</v>
      </c>
      <c r="W190" s="3181">
        <f t="shared" si="1676"/>
        <v>502.39</v>
      </c>
      <c r="X190" s="3181">
        <f t="shared" si="1676"/>
        <v>502.39</v>
      </c>
      <c r="Y190" s="3181">
        <f t="shared" si="1676"/>
        <v>0</v>
      </c>
      <c r="Z190" s="3181">
        <f t="shared" si="1676"/>
        <v>304.31</v>
      </c>
      <c r="AA190" s="3181">
        <f t="shared" si="1676"/>
        <v>304.31</v>
      </c>
      <c r="AB190" s="3181">
        <f t="shared" si="1676"/>
        <v>0</v>
      </c>
      <c r="AC190" s="3181">
        <f t="shared" si="1676"/>
        <v>1241.55</v>
      </c>
      <c r="AD190" s="3181">
        <f t="shared" si="1676"/>
        <v>1241.55</v>
      </c>
      <c r="AE190" s="3181">
        <f t="shared" si="1676"/>
        <v>0</v>
      </c>
      <c r="AF190" s="3286">
        <f t="shared" ref="AF190:AF219" si="1677">SUM(Q190+B190)</f>
        <v>3359.8199999999997</v>
      </c>
      <c r="AG190" s="3286">
        <f t="shared" ref="AG190:AG207" si="1678">SUM(R190+C190)</f>
        <v>3346.293111792691</v>
      </c>
      <c r="AH190" s="3286">
        <f t="shared" ref="AH190:AH207" si="1679">SUM(S190+D190)</f>
        <v>13.526888207309387</v>
      </c>
      <c r="AI190" s="3171">
        <f>SUM(AC190+N190)</f>
        <v>2670.2299999999996</v>
      </c>
      <c r="AJ190" s="3171">
        <f>SUM(AD190+O190)</f>
        <v>2670.2299999999996</v>
      </c>
      <c r="AK190" s="3171">
        <f>SUM(AE190+P190)</f>
        <v>0</v>
      </c>
      <c r="AL190" s="3171">
        <f t="shared" ref="AL190:AL219" si="1680">SUM(AI190-AF190)</f>
        <v>-689.59000000000015</v>
      </c>
      <c r="AM190" s="3171">
        <f t="shared" ref="AM190:AM219" si="1681">SUM(AJ190-AG190)</f>
        <v>-676.06311179269142</v>
      </c>
      <c r="AN190" s="3171">
        <f t="shared" ref="AN190:AN219" si="1682">SUM(AK190-AH190)</f>
        <v>-13.526888207309387</v>
      </c>
      <c r="AO190" s="3280">
        <f>SUM(AO26+AO46+AO78+AO98)</f>
        <v>1679.9099999999999</v>
      </c>
      <c r="AP190" s="3280">
        <f t="shared" ref="AP190:BC190" si="1683">SUM(AP26+AP46+AP78+AP98)</f>
        <v>1673.1465558963455</v>
      </c>
      <c r="AQ190" s="3280">
        <f t="shared" si="1683"/>
        <v>6.7634441036546935</v>
      </c>
      <c r="AR190" s="3181">
        <f t="shared" si="1683"/>
        <v>334.45</v>
      </c>
      <c r="AS190" s="3181">
        <f t="shared" si="1683"/>
        <v>334.45</v>
      </c>
      <c r="AT190" s="3181">
        <f t="shared" si="1683"/>
        <v>0</v>
      </c>
      <c r="AU190" s="3181">
        <f t="shared" si="1683"/>
        <v>316.14999999999998</v>
      </c>
      <c r="AV190" s="3181">
        <f t="shared" si="1683"/>
        <v>316.14999999999998</v>
      </c>
      <c r="AW190" s="3181">
        <f t="shared" si="1683"/>
        <v>0</v>
      </c>
      <c r="AX190" s="3181">
        <f t="shared" si="1683"/>
        <v>506.28999999999996</v>
      </c>
      <c r="AY190" s="3181">
        <f t="shared" si="1683"/>
        <v>506.28999999999996</v>
      </c>
      <c r="AZ190" s="3181">
        <f t="shared" si="1683"/>
        <v>0</v>
      </c>
      <c r="BA190" s="3181">
        <f t="shared" si="1683"/>
        <v>1156.8900000000001</v>
      </c>
      <c r="BB190" s="3181">
        <f t="shared" si="1683"/>
        <v>1156.8900000000001</v>
      </c>
      <c r="BC190" s="3181">
        <f t="shared" si="1683"/>
        <v>0</v>
      </c>
      <c r="BD190" s="3286">
        <f t="shared" ref="BD190:BD219" si="1684">SUM(AF190+AO190)</f>
        <v>5039.7299999999996</v>
      </c>
      <c r="BE190" s="3286">
        <f t="shared" ref="BE190:BE196" si="1685">SUM(AG190+AP190)</f>
        <v>5019.4396676890365</v>
      </c>
      <c r="BF190" s="3286">
        <f t="shared" ref="BF190:BF196" si="1686">SUM(AH190+AQ190)</f>
        <v>20.290332310964082</v>
      </c>
      <c r="BG190" s="3171">
        <f>SUM(AI190+BA190)</f>
        <v>3827.12</v>
      </c>
      <c r="BH190" s="3171">
        <f t="shared" ref="BH190:BI190" si="1687">SUM(AJ190+BB190)</f>
        <v>3827.12</v>
      </c>
      <c r="BI190" s="3171">
        <f t="shared" si="1687"/>
        <v>0</v>
      </c>
      <c r="BJ190" s="3171">
        <f t="shared" ref="BJ190:BJ219" si="1688">SUM(BG190-BD190)</f>
        <v>-1212.6099999999997</v>
      </c>
      <c r="BK190" s="3171">
        <f t="shared" ref="BK190:BK219" si="1689">SUM(BH190-BE190)</f>
        <v>-1192.3196676890366</v>
      </c>
      <c r="BL190" s="3171">
        <f t="shared" ref="BL190:BL219" si="1690">SUM(BI190-BF190)</f>
        <v>-20.290332310964082</v>
      </c>
      <c r="BM190" s="3280">
        <f>SUM(BM26+BM46+BM78+BM98)</f>
        <v>1679.9099999999999</v>
      </c>
      <c r="BN190" s="3280">
        <f t="shared" ref="BN190:CA190" si="1691">SUM(BN26+BN46+BN78+BN98)</f>
        <v>1673.1465558963455</v>
      </c>
      <c r="BO190" s="3280">
        <f t="shared" si="1691"/>
        <v>6.7634441036546935</v>
      </c>
      <c r="BP190" s="3181">
        <f t="shared" si="1691"/>
        <v>0</v>
      </c>
      <c r="BQ190" s="3181">
        <f t="shared" si="1691"/>
        <v>0</v>
      </c>
      <c r="BR190" s="3181">
        <f t="shared" si="1691"/>
        <v>0</v>
      </c>
      <c r="BS190" s="3181">
        <f t="shared" si="1691"/>
        <v>0</v>
      </c>
      <c r="BT190" s="3181">
        <f t="shared" si="1691"/>
        <v>0</v>
      </c>
      <c r="BU190" s="3181">
        <f t="shared" si="1691"/>
        <v>0</v>
      </c>
      <c r="BV190" s="3181">
        <f t="shared" si="1691"/>
        <v>0</v>
      </c>
      <c r="BW190" s="3181">
        <f t="shared" si="1691"/>
        <v>0</v>
      </c>
      <c r="BX190" s="3181">
        <f t="shared" si="1691"/>
        <v>0</v>
      </c>
      <c r="BY190" s="3181">
        <f t="shared" si="1691"/>
        <v>0</v>
      </c>
      <c r="BZ190" s="3181">
        <f t="shared" si="1691"/>
        <v>0</v>
      </c>
      <c r="CA190" s="3181">
        <f t="shared" si="1691"/>
        <v>0</v>
      </c>
      <c r="CB190" s="3286">
        <f t="shared" ref="CB190:CB219" si="1692">SUM(BM190+BD190)</f>
        <v>6719.6399999999994</v>
      </c>
      <c r="CC190" s="3286">
        <f t="shared" ref="CC190:CC196" si="1693">SUM(BN190+BE190)</f>
        <v>6692.586223585382</v>
      </c>
      <c r="CD190" s="3286">
        <f t="shared" ref="CD190:CD196" si="1694">SUM(BO190+BF190)</f>
        <v>27.053776414618774</v>
      </c>
      <c r="CE190" s="3171">
        <f>SUM(BY190+BG190)</f>
        <v>3827.12</v>
      </c>
      <c r="CF190" s="3171">
        <f t="shared" ref="CF190:CG190" si="1695">SUM(BZ190+BH190)</f>
        <v>3827.12</v>
      </c>
      <c r="CG190" s="3171">
        <f t="shared" si="1695"/>
        <v>0</v>
      </c>
      <c r="CH190" s="3171">
        <f t="shared" ref="CH190:CH219" si="1696">SUM(CE190-CB190)</f>
        <v>-2892.5199999999995</v>
      </c>
      <c r="CI190" s="3171">
        <f t="shared" ref="CI190:CI219" si="1697">SUM(CF190-CC190)</f>
        <v>-2865.4662235853821</v>
      </c>
      <c r="CJ190" s="3171">
        <f t="shared" ref="CJ190:CJ219" si="1698">SUM(CG190-CD190)</f>
        <v>-27.053776414618774</v>
      </c>
      <c r="CK190" s="396"/>
      <c r="CL190" s="5"/>
    </row>
    <row r="191" spans="1:90" ht="18.75" customHeight="1" x14ac:dyDescent="0.3">
      <c r="A191" s="3172" t="s">
        <v>117</v>
      </c>
      <c r="B191" s="3280">
        <f>SUM(B27+B47+B79+B99)</f>
        <v>503.97250000000003</v>
      </c>
      <c r="C191" s="3280">
        <f t="shared" ref="C191:D191" si="1699">SUM(C27+C47+C79+C99)</f>
        <v>501.94346823137425</v>
      </c>
      <c r="D191" s="3280">
        <f t="shared" si="1699"/>
        <v>2.029031768625766</v>
      </c>
      <c r="E191" s="3181">
        <f t="shared" ref="E191:AE191" si="1700">SUM(E27+E47+E79+E99)</f>
        <v>149.22999999999999</v>
      </c>
      <c r="F191" s="3181">
        <f t="shared" si="1700"/>
        <v>149.22999999999999</v>
      </c>
      <c r="G191" s="3181">
        <f t="shared" si="1700"/>
        <v>0</v>
      </c>
      <c r="H191" s="3181">
        <f t="shared" si="1700"/>
        <v>128.86000000000001</v>
      </c>
      <c r="I191" s="3181">
        <f t="shared" si="1700"/>
        <v>128.86000000000001</v>
      </c>
      <c r="J191" s="3181">
        <f t="shared" si="1700"/>
        <v>0</v>
      </c>
      <c r="K191" s="3181">
        <f t="shared" si="1700"/>
        <v>152.16</v>
      </c>
      <c r="L191" s="3181">
        <f t="shared" si="1700"/>
        <v>152.16</v>
      </c>
      <c r="M191" s="3181">
        <f t="shared" si="1700"/>
        <v>0</v>
      </c>
      <c r="N191" s="3181">
        <f t="shared" si="1700"/>
        <v>430.25</v>
      </c>
      <c r="O191" s="3181">
        <f t="shared" si="1700"/>
        <v>430.25</v>
      </c>
      <c r="P191" s="3181">
        <f t="shared" si="1700"/>
        <v>0</v>
      </c>
      <c r="Q191" s="3280">
        <f t="shared" si="1700"/>
        <v>503.97250000000003</v>
      </c>
      <c r="R191" s="3280">
        <f t="shared" si="1700"/>
        <v>501.94346823137425</v>
      </c>
      <c r="S191" s="3280">
        <f t="shared" si="1700"/>
        <v>2.029031768625766</v>
      </c>
      <c r="T191" s="3181">
        <f t="shared" si="1700"/>
        <v>144.29</v>
      </c>
      <c r="U191" s="3181">
        <f t="shared" si="1700"/>
        <v>144.29</v>
      </c>
      <c r="V191" s="3181">
        <f t="shared" si="1700"/>
        <v>0</v>
      </c>
      <c r="W191" s="3181">
        <f t="shared" si="1700"/>
        <v>151.65</v>
      </c>
      <c r="X191" s="3181">
        <f t="shared" si="1700"/>
        <v>151.65</v>
      </c>
      <c r="Y191" s="3181">
        <f t="shared" si="1700"/>
        <v>0</v>
      </c>
      <c r="Z191" s="3181">
        <f t="shared" si="1700"/>
        <v>91.9</v>
      </c>
      <c r="AA191" s="3181">
        <f t="shared" si="1700"/>
        <v>91.9</v>
      </c>
      <c r="AB191" s="3181">
        <f t="shared" si="1700"/>
        <v>0</v>
      </c>
      <c r="AC191" s="3181">
        <f t="shared" si="1700"/>
        <v>387.84</v>
      </c>
      <c r="AD191" s="3181">
        <f t="shared" si="1700"/>
        <v>387.84</v>
      </c>
      <c r="AE191" s="3181">
        <f t="shared" si="1700"/>
        <v>0</v>
      </c>
      <c r="AF191" s="3286">
        <f t="shared" si="1677"/>
        <v>1007.9450000000001</v>
      </c>
      <c r="AG191" s="3286">
        <f t="shared" si="1678"/>
        <v>1003.8869364627485</v>
      </c>
      <c r="AH191" s="3286">
        <f t="shared" si="1679"/>
        <v>4.0580635372515319</v>
      </c>
      <c r="AI191" s="3171">
        <f t="shared" ref="AI191:AI219" si="1701">SUM(AC191+N191)</f>
        <v>818.08999999999992</v>
      </c>
      <c r="AJ191" s="3171">
        <f t="shared" ref="AJ191:AJ219" si="1702">SUM(AD191+O191)</f>
        <v>818.08999999999992</v>
      </c>
      <c r="AK191" s="3171">
        <f t="shared" ref="AK191:AK219" si="1703">SUM(AE191+P191)</f>
        <v>0</v>
      </c>
      <c r="AL191" s="3171">
        <f t="shared" si="1680"/>
        <v>-189.85500000000013</v>
      </c>
      <c r="AM191" s="3171">
        <f t="shared" si="1681"/>
        <v>-185.79693646274859</v>
      </c>
      <c r="AN191" s="3171">
        <f t="shared" si="1682"/>
        <v>-4.0580635372515319</v>
      </c>
      <c r="AO191" s="3280">
        <f>SUM(AO27+AO47+AO79+AO99)</f>
        <v>503.97250000000003</v>
      </c>
      <c r="AP191" s="3280">
        <f t="shared" ref="AP191:BC191" si="1704">SUM(AP27+AP47+AP79+AP99)</f>
        <v>501.94346823137425</v>
      </c>
      <c r="AQ191" s="3280">
        <f t="shared" si="1704"/>
        <v>2.029031768625766</v>
      </c>
      <c r="AR191" s="3181">
        <f t="shared" si="1704"/>
        <v>99.79</v>
      </c>
      <c r="AS191" s="3181">
        <f t="shared" si="1704"/>
        <v>99.79</v>
      </c>
      <c r="AT191" s="3181">
        <f t="shared" si="1704"/>
        <v>0</v>
      </c>
      <c r="AU191" s="3181">
        <f t="shared" si="1704"/>
        <v>95.44</v>
      </c>
      <c r="AV191" s="3181">
        <f t="shared" si="1704"/>
        <v>95.44</v>
      </c>
      <c r="AW191" s="3181">
        <f t="shared" si="1704"/>
        <v>0</v>
      </c>
      <c r="AX191" s="3181">
        <f t="shared" si="1704"/>
        <v>151.79</v>
      </c>
      <c r="AY191" s="3181">
        <f t="shared" si="1704"/>
        <v>151.79</v>
      </c>
      <c r="AZ191" s="3181">
        <f t="shared" si="1704"/>
        <v>0</v>
      </c>
      <c r="BA191" s="3181">
        <f t="shared" si="1704"/>
        <v>347.02000000000004</v>
      </c>
      <c r="BB191" s="3181">
        <f t="shared" si="1704"/>
        <v>347.02000000000004</v>
      </c>
      <c r="BC191" s="3181">
        <f t="shared" si="1704"/>
        <v>0</v>
      </c>
      <c r="BD191" s="3286">
        <f t="shared" si="1684"/>
        <v>1511.9175</v>
      </c>
      <c r="BE191" s="3286">
        <f t="shared" si="1685"/>
        <v>1505.8304046941228</v>
      </c>
      <c r="BF191" s="3286">
        <f t="shared" si="1686"/>
        <v>6.0870953058772983</v>
      </c>
      <c r="BG191" s="3171">
        <f t="shared" ref="BG191:BG219" si="1705">SUM(AI191+BA191)</f>
        <v>1165.1099999999999</v>
      </c>
      <c r="BH191" s="3171">
        <f t="shared" ref="BH191:BH219" si="1706">SUM(AJ191+BB191)</f>
        <v>1165.1099999999999</v>
      </c>
      <c r="BI191" s="3171">
        <f t="shared" ref="BI191:BI219" si="1707">SUM(AK191+BC191)</f>
        <v>0</v>
      </c>
      <c r="BJ191" s="3171">
        <f t="shared" si="1688"/>
        <v>-346.80750000000012</v>
      </c>
      <c r="BK191" s="3171">
        <f t="shared" si="1689"/>
        <v>-340.72040469412286</v>
      </c>
      <c r="BL191" s="3171">
        <f t="shared" si="1690"/>
        <v>-6.0870953058772983</v>
      </c>
      <c r="BM191" s="3280">
        <f>SUM(BM27+BM47+BM79+BM99)</f>
        <v>503.97250000000003</v>
      </c>
      <c r="BN191" s="3280">
        <f t="shared" ref="BN191:CA191" si="1708">SUM(BN27+BN47+BN79+BN99)</f>
        <v>501.94346823137425</v>
      </c>
      <c r="BO191" s="3280">
        <f t="shared" si="1708"/>
        <v>2.029031768625766</v>
      </c>
      <c r="BP191" s="3181">
        <f t="shared" si="1708"/>
        <v>0</v>
      </c>
      <c r="BQ191" s="3181">
        <f t="shared" si="1708"/>
        <v>0</v>
      </c>
      <c r="BR191" s="3181">
        <f t="shared" si="1708"/>
        <v>0</v>
      </c>
      <c r="BS191" s="3181">
        <f t="shared" si="1708"/>
        <v>0</v>
      </c>
      <c r="BT191" s="3181">
        <f t="shared" si="1708"/>
        <v>0</v>
      </c>
      <c r="BU191" s="3181">
        <f t="shared" si="1708"/>
        <v>0</v>
      </c>
      <c r="BV191" s="3181">
        <f t="shared" si="1708"/>
        <v>0</v>
      </c>
      <c r="BW191" s="3181">
        <f t="shared" si="1708"/>
        <v>0</v>
      </c>
      <c r="BX191" s="3181">
        <f t="shared" si="1708"/>
        <v>0</v>
      </c>
      <c r="BY191" s="3181">
        <f t="shared" si="1708"/>
        <v>0</v>
      </c>
      <c r="BZ191" s="3181">
        <f t="shared" si="1708"/>
        <v>0</v>
      </c>
      <c r="CA191" s="3181">
        <f t="shared" si="1708"/>
        <v>0</v>
      </c>
      <c r="CB191" s="3286">
        <f t="shared" si="1692"/>
        <v>2015.89</v>
      </c>
      <c r="CC191" s="3286">
        <f t="shared" si="1693"/>
        <v>2007.773872925497</v>
      </c>
      <c r="CD191" s="3286">
        <f t="shared" si="1694"/>
        <v>8.1161270745030638</v>
      </c>
      <c r="CE191" s="3171">
        <f t="shared" ref="CE191:CE219" si="1709">SUM(BY191+BG191)</f>
        <v>1165.1099999999999</v>
      </c>
      <c r="CF191" s="3171">
        <f t="shared" ref="CF191:CF219" si="1710">SUM(BZ191+BH191)</f>
        <v>1165.1099999999999</v>
      </c>
      <c r="CG191" s="3171">
        <f t="shared" ref="CG191:CG219" si="1711">SUM(CA191+BI191)</f>
        <v>0</v>
      </c>
      <c r="CH191" s="3171">
        <f t="shared" si="1696"/>
        <v>-850.7800000000002</v>
      </c>
      <c r="CI191" s="3171">
        <f t="shared" si="1697"/>
        <v>-842.66387292549712</v>
      </c>
      <c r="CJ191" s="3171">
        <f t="shared" si="1698"/>
        <v>-8.1161270745030638</v>
      </c>
      <c r="CK191" s="396"/>
      <c r="CL191" s="5"/>
    </row>
    <row r="192" spans="1:90" ht="18.75" customHeight="1" x14ac:dyDescent="0.3">
      <c r="A192" s="3172" t="s">
        <v>52</v>
      </c>
      <c r="B192" s="3280">
        <f>SUM(B28+B48+B80+B100)</f>
        <v>37.342500000000001</v>
      </c>
      <c r="C192" s="3280">
        <f t="shared" ref="C192:D192" si="1712">SUM(C28+C48+C80+C100)</f>
        <v>37.204852263180733</v>
      </c>
      <c r="D192" s="3280">
        <f t="shared" si="1712"/>
        <v>0.13764773681927137</v>
      </c>
      <c r="E192" s="3181">
        <f t="shared" ref="E192:AE192" si="1713">SUM(E28+E48+E80+E100)</f>
        <v>7.1099999999999994</v>
      </c>
      <c r="F192" s="3181">
        <f t="shared" si="1713"/>
        <v>7.1099999999999994</v>
      </c>
      <c r="G192" s="3181">
        <f t="shared" si="1713"/>
        <v>0</v>
      </c>
      <c r="H192" s="3181">
        <f t="shared" si="1713"/>
        <v>12</v>
      </c>
      <c r="I192" s="3181">
        <f t="shared" si="1713"/>
        <v>12</v>
      </c>
      <c r="J192" s="3181">
        <f t="shared" si="1713"/>
        <v>0</v>
      </c>
      <c r="K192" s="3181">
        <f t="shared" si="1713"/>
        <v>10.06</v>
      </c>
      <c r="L192" s="3181">
        <f t="shared" si="1713"/>
        <v>10.06</v>
      </c>
      <c r="M192" s="3181">
        <f t="shared" si="1713"/>
        <v>0</v>
      </c>
      <c r="N192" s="3181">
        <f t="shared" si="1713"/>
        <v>29.17</v>
      </c>
      <c r="O192" s="3181">
        <f t="shared" si="1713"/>
        <v>29.17</v>
      </c>
      <c r="P192" s="3181">
        <f t="shared" si="1713"/>
        <v>0</v>
      </c>
      <c r="Q192" s="3280">
        <f t="shared" si="1713"/>
        <v>37.342500000000001</v>
      </c>
      <c r="R192" s="3280">
        <f t="shared" si="1713"/>
        <v>37.204852263180733</v>
      </c>
      <c r="S192" s="3280">
        <f t="shared" si="1713"/>
        <v>0.13764773681927137</v>
      </c>
      <c r="T192" s="3181">
        <f t="shared" si="1713"/>
        <v>11.309999999999999</v>
      </c>
      <c r="U192" s="3181">
        <f t="shared" si="1713"/>
        <v>11.309999999999999</v>
      </c>
      <c r="V192" s="3181">
        <f t="shared" si="1713"/>
        <v>0</v>
      </c>
      <c r="W192" s="3181">
        <f t="shared" si="1713"/>
        <v>8.7800000000000011</v>
      </c>
      <c r="X192" s="3181">
        <f t="shared" si="1713"/>
        <v>8.7800000000000011</v>
      </c>
      <c r="Y192" s="3181">
        <f t="shared" si="1713"/>
        <v>0</v>
      </c>
      <c r="Z192" s="3181">
        <f t="shared" si="1713"/>
        <v>10.327999999999999</v>
      </c>
      <c r="AA192" s="3181">
        <f t="shared" si="1713"/>
        <v>10.327999999999999</v>
      </c>
      <c r="AB192" s="3181">
        <f t="shared" si="1713"/>
        <v>0</v>
      </c>
      <c r="AC192" s="3181">
        <f t="shared" si="1713"/>
        <v>30.417999999999999</v>
      </c>
      <c r="AD192" s="3181">
        <f t="shared" si="1713"/>
        <v>30.417999999999999</v>
      </c>
      <c r="AE192" s="3181">
        <f t="shared" si="1713"/>
        <v>0</v>
      </c>
      <c r="AF192" s="3286">
        <f t="shared" si="1677"/>
        <v>74.685000000000002</v>
      </c>
      <c r="AG192" s="3286">
        <f t="shared" si="1678"/>
        <v>74.409704526361466</v>
      </c>
      <c r="AH192" s="3286">
        <f t="shared" si="1679"/>
        <v>0.27529547363854273</v>
      </c>
      <c r="AI192" s="3171">
        <f t="shared" si="1701"/>
        <v>59.588000000000001</v>
      </c>
      <c r="AJ192" s="3171">
        <f t="shared" si="1702"/>
        <v>59.588000000000001</v>
      </c>
      <c r="AK192" s="3171">
        <f t="shared" si="1703"/>
        <v>0</v>
      </c>
      <c r="AL192" s="3171">
        <f t="shared" si="1680"/>
        <v>-15.097000000000001</v>
      </c>
      <c r="AM192" s="3171">
        <f t="shared" si="1681"/>
        <v>-14.821704526361465</v>
      </c>
      <c r="AN192" s="3171">
        <f t="shared" si="1682"/>
        <v>-0.27529547363854273</v>
      </c>
      <c r="AO192" s="3280">
        <f>SUM(AO28+AO48+AO80+AO100)</f>
        <v>37.342500000000001</v>
      </c>
      <c r="AP192" s="3280">
        <f t="shared" ref="AP192:BC192" si="1714">SUM(AP28+AP48+AP80+AP100)</f>
        <v>37.204852263180733</v>
      </c>
      <c r="AQ192" s="3280">
        <f t="shared" si="1714"/>
        <v>0.13764773681927137</v>
      </c>
      <c r="AR192" s="3181">
        <f t="shared" si="1714"/>
        <v>14</v>
      </c>
      <c r="AS192" s="3181">
        <f t="shared" si="1714"/>
        <v>14</v>
      </c>
      <c r="AT192" s="3181">
        <f t="shared" si="1714"/>
        <v>0</v>
      </c>
      <c r="AU192" s="3181">
        <f t="shared" si="1714"/>
        <v>18.829999999999998</v>
      </c>
      <c r="AV192" s="3181">
        <f t="shared" si="1714"/>
        <v>18.829999999999998</v>
      </c>
      <c r="AW192" s="3181">
        <f t="shared" si="1714"/>
        <v>0</v>
      </c>
      <c r="AX192" s="3181">
        <f t="shared" si="1714"/>
        <v>16.090000000000003</v>
      </c>
      <c r="AY192" s="3181">
        <f t="shared" si="1714"/>
        <v>16.090000000000003</v>
      </c>
      <c r="AZ192" s="3181">
        <f t="shared" si="1714"/>
        <v>0</v>
      </c>
      <c r="BA192" s="3181">
        <f t="shared" si="1714"/>
        <v>48.92</v>
      </c>
      <c r="BB192" s="3181">
        <f t="shared" si="1714"/>
        <v>48.92</v>
      </c>
      <c r="BC192" s="3181">
        <f t="shared" si="1714"/>
        <v>0</v>
      </c>
      <c r="BD192" s="3286">
        <f t="shared" si="1684"/>
        <v>112.0275</v>
      </c>
      <c r="BE192" s="3286">
        <f t="shared" si="1685"/>
        <v>111.61455678954221</v>
      </c>
      <c r="BF192" s="3286">
        <f t="shared" si="1686"/>
        <v>0.41294321045781412</v>
      </c>
      <c r="BG192" s="3171">
        <f t="shared" si="1705"/>
        <v>108.50800000000001</v>
      </c>
      <c r="BH192" s="3171">
        <f t="shared" si="1706"/>
        <v>108.50800000000001</v>
      </c>
      <c r="BI192" s="3171">
        <f t="shared" si="1707"/>
        <v>0</v>
      </c>
      <c r="BJ192" s="3171">
        <f t="shared" si="1688"/>
        <v>-3.5194999999999936</v>
      </c>
      <c r="BK192" s="3171">
        <f t="shared" si="1689"/>
        <v>-3.1065567895421964</v>
      </c>
      <c r="BL192" s="3171">
        <f t="shared" si="1690"/>
        <v>-0.41294321045781412</v>
      </c>
      <c r="BM192" s="3280">
        <f>SUM(BM28+BM48+BM80+BM100)</f>
        <v>37.342500000000001</v>
      </c>
      <c r="BN192" s="3280">
        <f t="shared" ref="BN192:CA192" si="1715">SUM(BN28+BN48+BN80+BN100)</f>
        <v>37.204852263180733</v>
      </c>
      <c r="BO192" s="3280">
        <f t="shared" si="1715"/>
        <v>0.13764773681927137</v>
      </c>
      <c r="BP192" s="3181">
        <f t="shared" si="1715"/>
        <v>0</v>
      </c>
      <c r="BQ192" s="3181">
        <f t="shared" si="1715"/>
        <v>0</v>
      </c>
      <c r="BR192" s="3181">
        <f t="shared" si="1715"/>
        <v>0</v>
      </c>
      <c r="BS192" s="3181">
        <f t="shared" si="1715"/>
        <v>0</v>
      </c>
      <c r="BT192" s="3181">
        <f t="shared" si="1715"/>
        <v>0</v>
      </c>
      <c r="BU192" s="3181">
        <f t="shared" si="1715"/>
        <v>0</v>
      </c>
      <c r="BV192" s="3181">
        <f t="shared" si="1715"/>
        <v>0</v>
      </c>
      <c r="BW192" s="3181">
        <f t="shared" si="1715"/>
        <v>0</v>
      </c>
      <c r="BX192" s="3181">
        <f t="shared" si="1715"/>
        <v>0</v>
      </c>
      <c r="BY192" s="3181">
        <f t="shared" si="1715"/>
        <v>0</v>
      </c>
      <c r="BZ192" s="3181">
        <f t="shared" si="1715"/>
        <v>0</v>
      </c>
      <c r="CA192" s="3181">
        <f t="shared" si="1715"/>
        <v>0</v>
      </c>
      <c r="CB192" s="3286">
        <f t="shared" si="1692"/>
        <v>149.37</v>
      </c>
      <c r="CC192" s="3286">
        <f t="shared" si="1693"/>
        <v>148.81940905272293</v>
      </c>
      <c r="CD192" s="3286">
        <f t="shared" si="1694"/>
        <v>0.55059094727708546</v>
      </c>
      <c r="CE192" s="3171">
        <f t="shared" si="1709"/>
        <v>108.50800000000001</v>
      </c>
      <c r="CF192" s="3171">
        <f t="shared" si="1710"/>
        <v>108.50800000000001</v>
      </c>
      <c r="CG192" s="3171">
        <f t="shared" si="1711"/>
        <v>0</v>
      </c>
      <c r="CH192" s="3171">
        <f t="shared" si="1696"/>
        <v>-40.861999999999995</v>
      </c>
      <c r="CI192" s="3171">
        <f t="shared" si="1697"/>
        <v>-40.311409052722922</v>
      </c>
      <c r="CJ192" s="3171">
        <f t="shared" si="1698"/>
        <v>-0.55059094727708546</v>
      </c>
      <c r="CK192" s="396"/>
      <c r="CL192" s="5"/>
    </row>
    <row r="193" spans="1:90" ht="18.75" customHeight="1" x14ac:dyDescent="0.3">
      <c r="A193" s="3172" t="s">
        <v>601</v>
      </c>
      <c r="B193" s="3280">
        <f t="shared" ref="B193" si="1716">SUM(B29+B51+B82+B101)</f>
        <v>276.19749999999999</v>
      </c>
      <c r="C193" s="3280">
        <f t="shared" ref="C193:D193" si="1717">SUM(C29+C51+C82+C101)</f>
        <v>275.30093237295949</v>
      </c>
      <c r="D193" s="3280">
        <f t="shared" si="1717"/>
        <v>0.89656762704052595</v>
      </c>
      <c r="E193" s="3181">
        <f t="shared" ref="E193:AE193" si="1718">SUM(E29+E51+E82+E101)</f>
        <v>52.730000000000004</v>
      </c>
      <c r="F193" s="3181">
        <f t="shared" si="1718"/>
        <v>52.730000000000004</v>
      </c>
      <c r="G193" s="3181">
        <f t="shared" si="1718"/>
        <v>0</v>
      </c>
      <c r="H193" s="3181">
        <f t="shared" si="1718"/>
        <v>167.68</v>
      </c>
      <c r="I193" s="3181">
        <f t="shared" si="1718"/>
        <v>167.68</v>
      </c>
      <c r="J193" s="3181">
        <f t="shared" si="1718"/>
        <v>0</v>
      </c>
      <c r="K193" s="3181">
        <f t="shared" si="1718"/>
        <v>76.009999999999991</v>
      </c>
      <c r="L193" s="3181">
        <f t="shared" si="1718"/>
        <v>76.009999999999991</v>
      </c>
      <c r="M193" s="3181">
        <f t="shared" si="1718"/>
        <v>0</v>
      </c>
      <c r="N193" s="3181">
        <f t="shared" si="1718"/>
        <v>296.42</v>
      </c>
      <c r="O193" s="3181">
        <f t="shared" si="1718"/>
        <v>296.42</v>
      </c>
      <c r="P193" s="3181">
        <f t="shared" si="1718"/>
        <v>0</v>
      </c>
      <c r="Q193" s="3280">
        <f t="shared" si="1718"/>
        <v>276.19749999999999</v>
      </c>
      <c r="R193" s="3280">
        <f t="shared" si="1718"/>
        <v>275.30093237295949</v>
      </c>
      <c r="S193" s="3280">
        <f t="shared" si="1718"/>
        <v>0.89656762704052595</v>
      </c>
      <c r="T193" s="3181">
        <f t="shared" si="1718"/>
        <v>77.240000000000009</v>
      </c>
      <c r="U193" s="3181">
        <f t="shared" si="1718"/>
        <v>77.240000000000009</v>
      </c>
      <c r="V193" s="3181">
        <f t="shared" si="1718"/>
        <v>0</v>
      </c>
      <c r="W193" s="3181">
        <f t="shared" si="1718"/>
        <v>72.134</v>
      </c>
      <c r="X193" s="3181">
        <f t="shared" si="1718"/>
        <v>72.134</v>
      </c>
      <c r="Y193" s="3181">
        <f t="shared" si="1718"/>
        <v>0</v>
      </c>
      <c r="Z193" s="3181">
        <f t="shared" si="1718"/>
        <v>59.190000000000005</v>
      </c>
      <c r="AA193" s="3181">
        <f t="shared" si="1718"/>
        <v>59.190000000000005</v>
      </c>
      <c r="AB193" s="3181">
        <f t="shared" si="1718"/>
        <v>0</v>
      </c>
      <c r="AC193" s="3181">
        <f t="shared" si="1718"/>
        <v>208.56400000000002</v>
      </c>
      <c r="AD193" s="3181">
        <f t="shared" si="1718"/>
        <v>208.56400000000002</v>
      </c>
      <c r="AE193" s="3181">
        <f t="shared" si="1718"/>
        <v>0</v>
      </c>
      <c r="AF193" s="3286">
        <f t="shared" si="1677"/>
        <v>552.39499999999998</v>
      </c>
      <c r="AG193" s="3286">
        <f t="shared" si="1678"/>
        <v>550.60186474591899</v>
      </c>
      <c r="AH193" s="3286">
        <f t="shared" si="1679"/>
        <v>1.7931352540810519</v>
      </c>
      <c r="AI193" s="3171">
        <f t="shared" si="1701"/>
        <v>504.98400000000004</v>
      </c>
      <c r="AJ193" s="3171">
        <f t="shared" si="1702"/>
        <v>504.98400000000004</v>
      </c>
      <c r="AK193" s="3171">
        <f t="shared" si="1703"/>
        <v>0</v>
      </c>
      <c r="AL193" s="3171">
        <f t="shared" si="1680"/>
        <v>-47.410999999999945</v>
      </c>
      <c r="AM193" s="3171">
        <f t="shared" si="1681"/>
        <v>-45.617864745918951</v>
      </c>
      <c r="AN193" s="3171">
        <f t="shared" si="1682"/>
        <v>-1.7931352540810519</v>
      </c>
      <c r="AO193" s="3280">
        <f>SUM(AO29+AO51+AO82+AO101)</f>
        <v>276.19749999999999</v>
      </c>
      <c r="AP193" s="3280">
        <f t="shared" ref="AP193:BC193" si="1719">SUM(AP29+AP51+AP82+AP101)</f>
        <v>275.30093237295949</v>
      </c>
      <c r="AQ193" s="3280">
        <f t="shared" si="1719"/>
        <v>0.89656762704052595</v>
      </c>
      <c r="AR193" s="3181">
        <f t="shared" si="1719"/>
        <v>84.640000000000015</v>
      </c>
      <c r="AS193" s="3181">
        <f t="shared" si="1719"/>
        <v>84.640000000000015</v>
      </c>
      <c r="AT193" s="3181">
        <f t="shared" si="1719"/>
        <v>0</v>
      </c>
      <c r="AU193" s="3181">
        <f t="shared" si="1719"/>
        <v>71.400000000000006</v>
      </c>
      <c r="AV193" s="3181">
        <f t="shared" si="1719"/>
        <v>71.400000000000006</v>
      </c>
      <c r="AW193" s="3181">
        <f t="shared" si="1719"/>
        <v>0</v>
      </c>
      <c r="AX193" s="3181">
        <f t="shared" si="1719"/>
        <v>58.27</v>
      </c>
      <c r="AY193" s="3181">
        <f t="shared" si="1719"/>
        <v>58.27</v>
      </c>
      <c r="AZ193" s="3181">
        <f t="shared" si="1719"/>
        <v>0</v>
      </c>
      <c r="BA193" s="3181">
        <f t="shared" si="1719"/>
        <v>214.31</v>
      </c>
      <c r="BB193" s="3181">
        <f t="shared" si="1719"/>
        <v>214.31</v>
      </c>
      <c r="BC193" s="3181">
        <f t="shared" si="1719"/>
        <v>0</v>
      </c>
      <c r="BD193" s="3286">
        <f t="shared" si="1684"/>
        <v>828.59249999999997</v>
      </c>
      <c r="BE193" s="3286">
        <f t="shared" si="1685"/>
        <v>825.90279711887842</v>
      </c>
      <c r="BF193" s="3286">
        <f t="shared" si="1686"/>
        <v>2.689702881121578</v>
      </c>
      <c r="BG193" s="3171">
        <f t="shared" si="1705"/>
        <v>719.2940000000001</v>
      </c>
      <c r="BH193" s="3171">
        <f t="shared" si="1706"/>
        <v>719.2940000000001</v>
      </c>
      <c r="BI193" s="3171">
        <f t="shared" si="1707"/>
        <v>0</v>
      </c>
      <c r="BJ193" s="3171">
        <f t="shared" si="1688"/>
        <v>-109.29849999999988</v>
      </c>
      <c r="BK193" s="3171">
        <f t="shared" si="1689"/>
        <v>-106.60879711887833</v>
      </c>
      <c r="BL193" s="3171">
        <f t="shared" si="1690"/>
        <v>-2.689702881121578</v>
      </c>
      <c r="BM193" s="3280">
        <f>SUM(BM29+BM51+BM82+BM101)</f>
        <v>276.19749999999999</v>
      </c>
      <c r="BN193" s="3280">
        <f t="shared" ref="BN193:CA193" si="1720">SUM(BN29+BN51+BN82+BN101)</f>
        <v>275.30093237295949</v>
      </c>
      <c r="BO193" s="3280">
        <f t="shared" si="1720"/>
        <v>0.89656762704052595</v>
      </c>
      <c r="BP193" s="3181">
        <f t="shared" si="1720"/>
        <v>0</v>
      </c>
      <c r="BQ193" s="3181">
        <f t="shared" si="1720"/>
        <v>0</v>
      </c>
      <c r="BR193" s="3181">
        <f t="shared" si="1720"/>
        <v>0</v>
      </c>
      <c r="BS193" s="3181">
        <f t="shared" si="1720"/>
        <v>0</v>
      </c>
      <c r="BT193" s="3181">
        <f t="shared" si="1720"/>
        <v>0</v>
      </c>
      <c r="BU193" s="3181">
        <f t="shared" si="1720"/>
        <v>0</v>
      </c>
      <c r="BV193" s="3181">
        <f t="shared" si="1720"/>
        <v>0</v>
      </c>
      <c r="BW193" s="3181">
        <f t="shared" si="1720"/>
        <v>0</v>
      </c>
      <c r="BX193" s="3181">
        <f t="shared" si="1720"/>
        <v>0</v>
      </c>
      <c r="BY193" s="3181">
        <f t="shared" si="1720"/>
        <v>0</v>
      </c>
      <c r="BZ193" s="3181">
        <f t="shared" si="1720"/>
        <v>0</v>
      </c>
      <c r="CA193" s="3181">
        <f t="shared" si="1720"/>
        <v>0</v>
      </c>
      <c r="CB193" s="3286">
        <f t="shared" si="1692"/>
        <v>1104.79</v>
      </c>
      <c r="CC193" s="3286">
        <f t="shared" si="1693"/>
        <v>1101.203729491838</v>
      </c>
      <c r="CD193" s="3286">
        <f t="shared" si="1694"/>
        <v>3.5862705081621038</v>
      </c>
      <c r="CE193" s="3171">
        <f t="shared" si="1709"/>
        <v>719.2940000000001</v>
      </c>
      <c r="CF193" s="3171">
        <f t="shared" si="1710"/>
        <v>719.2940000000001</v>
      </c>
      <c r="CG193" s="3171">
        <f t="shared" si="1711"/>
        <v>0</v>
      </c>
      <c r="CH193" s="3171">
        <f t="shared" si="1696"/>
        <v>-385.49599999999987</v>
      </c>
      <c r="CI193" s="3171">
        <f t="shared" si="1697"/>
        <v>-381.90972949183788</v>
      </c>
      <c r="CJ193" s="3171">
        <f t="shared" si="1698"/>
        <v>-3.5862705081621038</v>
      </c>
      <c r="CK193" s="396"/>
      <c r="CL193" s="5"/>
    </row>
    <row r="194" spans="1:90" ht="18.75" customHeight="1" x14ac:dyDescent="0.3">
      <c r="A194" s="3172" t="s">
        <v>633</v>
      </c>
      <c r="B194" s="3280">
        <f>SUM(B49)</f>
        <v>0</v>
      </c>
      <c r="C194" s="3280">
        <f t="shared" ref="C194:D194" si="1721">SUM(C49)</f>
        <v>0</v>
      </c>
      <c r="D194" s="3280">
        <f t="shared" si="1721"/>
        <v>0</v>
      </c>
      <c r="E194" s="3181">
        <f t="shared" ref="E194:AE194" si="1722">SUM(E49)</f>
        <v>0</v>
      </c>
      <c r="F194" s="3181">
        <f t="shared" si="1722"/>
        <v>0</v>
      </c>
      <c r="G194" s="3181">
        <f t="shared" si="1722"/>
        <v>0</v>
      </c>
      <c r="H194" s="3181">
        <f t="shared" si="1722"/>
        <v>0</v>
      </c>
      <c r="I194" s="3181">
        <f t="shared" si="1722"/>
        <v>0</v>
      </c>
      <c r="J194" s="3181">
        <f t="shared" si="1722"/>
        <v>0</v>
      </c>
      <c r="K194" s="3181">
        <f t="shared" si="1722"/>
        <v>0</v>
      </c>
      <c r="L194" s="3181">
        <f t="shared" si="1722"/>
        <v>0</v>
      </c>
      <c r="M194" s="3181">
        <f t="shared" si="1722"/>
        <v>0</v>
      </c>
      <c r="N194" s="3181">
        <f t="shared" si="1722"/>
        <v>0</v>
      </c>
      <c r="O194" s="3181">
        <f t="shared" si="1722"/>
        <v>0</v>
      </c>
      <c r="P194" s="3181">
        <f t="shared" si="1722"/>
        <v>0</v>
      </c>
      <c r="Q194" s="3280">
        <f t="shared" si="1722"/>
        <v>0</v>
      </c>
      <c r="R194" s="3280">
        <f t="shared" si="1722"/>
        <v>0</v>
      </c>
      <c r="S194" s="3280">
        <f t="shared" si="1722"/>
        <v>0</v>
      </c>
      <c r="T194" s="3181">
        <f t="shared" si="1722"/>
        <v>0</v>
      </c>
      <c r="U194" s="3181">
        <f t="shared" si="1722"/>
        <v>0</v>
      </c>
      <c r="V194" s="3181">
        <f t="shared" si="1722"/>
        <v>0</v>
      </c>
      <c r="W194" s="3181">
        <f t="shared" si="1722"/>
        <v>0</v>
      </c>
      <c r="X194" s="3181">
        <f t="shared" si="1722"/>
        <v>0</v>
      </c>
      <c r="Y194" s="3181">
        <f t="shared" si="1722"/>
        <v>0</v>
      </c>
      <c r="Z194" s="3181">
        <f t="shared" si="1722"/>
        <v>0</v>
      </c>
      <c r="AA194" s="3181">
        <f t="shared" si="1722"/>
        <v>0</v>
      </c>
      <c r="AB194" s="3181">
        <f t="shared" si="1722"/>
        <v>0</v>
      </c>
      <c r="AC194" s="3181">
        <f t="shared" si="1722"/>
        <v>0</v>
      </c>
      <c r="AD194" s="3181">
        <f t="shared" si="1722"/>
        <v>0</v>
      </c>
      <c r="AE194" s="3181">
        <f t="shared" si="1722"/>
        <v>0</v>
      </c>
      <c r="AF194" s="3286">
        <f t="shared" si="1677"/>
        <v>0</v>
      </c>
      <c r="AG194" s="3286">
        <f t="shared" si="1678"/>
        <v>0</v>
      </c>
      <c r="AH194" s="3286">
        <f t="shared" si="1679"/>
        <v>0</v>
      </c>
      <c r="AI194" s="3171">
        <f t="shared" si="1701"/>
        <v>0</v>
      </c>
      <c r="AJ194" s="3171">
        <f t="shared" si="1702"/>
        <v>0</v>
      </c>
      <c r="AK194" s="3171">
        <f t="shared" si="1703"/>
        <v>0</v>
      </c>
      <c r="AL194" s="3171">
        <f t="shared" si="1680"/>
        <v>0</v>
      </c>
      <c r="AM194" s="3171">
        <f t="shared" si="1681"/>
        <v>0</v>
      </c>
      <c r="AN194" s="3171">
        <f t="shared" si="1682"/>
        <v>0</v>
      </c>
      <c r="AO194" s="3280">
        <f>SUM(AO49)</f>
        <v>0</v>
      </c>
      <c r="AP194" s="3280">
        <f t="shared" ref="AP194:BC194" si="1723">SUM(AP49)</f>
        <v>0</v>
      </c>
      <c r="AQ194" s="3280">
        <f t="shared" si="1723"/>
        <v>0</v>
      </c>
      <c r="AR194" s="3181">
        <f t="shared" si="1723"/>
        <v>0</v>
      </c>
      <c r="AS194" s="3181">
        <f t="shared" si="1723"/>
        <v>0</v>
      </c>
      <c r="AT194" s="3181">
        <f t="shared" si="1723"/>
        <v>0</v>
      </c>
      <c r="AU194" s="3181">
        <f t="shared" si="1723"/>
        <v>0</v>
      </c>
      <c r="AV194" s="3181">
        <f t="shared" si="1723"/>
        <v>0</v>
      </c>
      <c r="AW194" s="3181">
        <f t="shared" si="1723"/>
        <v>0</v>
      </c>
      <c r="AX194" s="3181">
        <f t="shared" si="1723"/>
        <v>0</v>
      </c>
      <c r="AY194" s="3181">
        <f t="shared" si="1723"/>
        <v>0</v>
      </c>
      <c r="AZ194" s="3181">
        <f t="shared" si="1723"/>
        <v>0</v>
      </c>
      <c r="BA194" s="3181">
        <f t="shared" si="1723"/>
        <v>0</v>
      </c>
      <c r="BB194" s="3181">
        <f t="shared" si="1723"/>
        <v>0</v>
      </c>
      <c r="BC194" s="3181">
        <f t="shared" si="1723"/>
        <v>0</v>
      </c>
      <c r="BD194" s="3286">
        <f t="shared" si="1684"/>
        <v>0</v>
      </c>
      <c r="BE194" s="3286">
        <f t="shared" si="1685"/>
        <v>0</v>
      </c>
      <c r="BF194" s="3286">
        <f t="shared" si="1686"/>
        <v>0</v>
      </c>
      <c r="BG194" s="3171">
        <f t="shared" si="1705"/>
        <v>0</v>
      </c>
      <c r="BH194" s="3171">
        <f t="shared" si="1706"/>
        <v>0</v>
      </c>
      <c r="BI194" s="3171">
        <f t="shared" si="1707"/>
        <v>0</v>
      </c>
      <c r="BJ194" s="3171">
        <f t="shared" si="1688"/>
        <v>0</v>
      </c>
      <c r="BK194" s="3171">
        <f t="shared" si="1689"/>
        <v>0</v>
      </c>
      <c r="BL194" s="3171">
        <f t="shared" si="1690"/>
        <v>0</v>
      </c>
      <c r="BM194" s="3280">
        <f>SUM(BM49)</f>
        <v>0</v>
      </c>
      <c r="BN194" s="3280">
        <f t="shared" ref="BN194:CA194" si="1724">SUM(BN49)</f>
        <v>0</v>
      </c>
      <c r="BO194" s="3280">
        <f t="shared" si="1724"/>
        <v>0</v>
      </c>
      <c r="BP194" s="3181">
        <f t="shared" si="1724"/>
        <v>0</v>
      </c>
      <c r="BQ194" s="3181">
        <f t="shared" si="1724"/>
        <v>0</v>
      </c>
      <c r="BR194" s="3181">
        <f t="shared" si="1724"/>
        <v>0</v>
      </c>
      <c r="BS194" s="3181">
        <f t="shared" si="1724"/>
        <v>0</v>
      </c>
      <c r="BT194" s="3181">
        <f t="shared" si="1724"/>
        <v>0</v>
      </c>
      <c r="BU194" s="3181">
        <f t="shared" si="1724"/>
        <v>0</v>
      </c>
      <c r="BV194" s="3181">
        <f t="shared" si="1724"/>
        <v>0</v>
      </c>
      <c r="BW194" s="3181">
        <f t="shared" si="1724"/>
        <v>0</v>
      </c>
      <c r="BX194" s="3181">
        <f t="shared" si="1724"/>
        <v>0</v>
      </c>
      <c r="BY194" s="3181">
        <f t="shared" si="1724"/>
        <v>0</v>
      </c>
      <c r="BZ194" s="3181">
        <f t="shared" si="1724"/>
        <v>0</v>
      </c>
      <c r="CA194" s="3181">
        <f t="shared" si="1724"/>
        <v>0</v>
      </c>
      <c r="CB194" s="3286">
        <f t="shared" si="1692"/>
        <v>0</v>
      </c>
      <c r="CC194" s="3286">
        <f t="shared" si="1693"/>
        <v>0</v>
      </c>
      <c r="CD194" s="3286">
        <f t="shared" si="1694"/>
        <v>0</v>
      </c>
      <c r="CE194" s="3171">
        <f t="shared" si="1709"/>
        <v>0</v>
      </c>
      <c r="CF194" s="3171">
        <f t="shared" si="1710"/>
        <v>0</v>
      </c>
      <c r="CG194" s="3171">
        <f t="shared" si="1711"/>
        <v>0</v>
      </c>
      <c r="CH194" s="3171">
        <f t="shared" si="1696"/>
        <v>0</v>
      </c>
      <c r="CI194" s="3171">
        <f t="shared" si="1697"/>
        <v>0</v>
      </c>
      <c r="CJ194" s="3171">
        <f t="shared" si="1698"/>
        <v>0</v>
      </c>
      <c r="CK194" s="396"/>
      <c r="CL194" s="5"/>
    </row>
    <row r="195" spans="1:90" ht="18.75" customHeight="1" x14ac:dyDescent="0.3">
      <c r="A195" s="3172" t="s">
        <v>635</v>
      </c>
      <c r="B195" s="3280">
        <f>SUM(B50)</f>
        <v>16.837499999999999</v>
      </c>
      <c r="C195" s="3280">
        <f t="shared" ref="C195:D195" si="1725">SUM(C50)</f>
        <v>16.739002602265426</v>
      </c>
      <c r="D195" s="3280">
        <f t="shared" si="1725"/>
        <v>9.8497397734572098E-2</v>
      </c>
      <c r="E195" s="3181">
        <f t="shared" ref="E195:AE195" si="1726">SUM(E50)</f>
        <v>2.37</v>
      </c>
      <c r="F195" s="3181">
        <f t="shared" si="1726"/>
        <v>2.37</v>
      </c>
      <c r="G195" s="3181">
        <f t="shared" si="1726"/>
        <v>0</v>
      </c>
      <c r="H195" s="3181">
        <f t="shared" si="1726"/>
        <v>2.37</v>
      </c>
      <c r="I195" s="3181">
        <f t="shared" si="1726"/>
        <v>2.37</v>
      </c>
      <c r="J195" s="3181">
        <f t="shared" si="1726"/>
        <v>0</v>
      </c>
      <c r="K195" s="3181">
        <f t="shared" si="1726"/>
        <v>2.38</v>
      </c>
      <c r="L195" s="3181">
        <f t="shared" si="1726"/>
        <v>2.38</v>
      </c>
      <c r="M195" s="3181">
        <f t="shared" si="1726"/>
        <v>0</v>
      </c>
      <c r="N195" s="3181">
        <f t="shared" si="1726"/>
        <v>7.12</v>
      </c>
      <c r="O195" s="3181">
        <f t="shared" si="1726"/>
        <v>7.12</v>
      </c>
      <c r="P195" s="3181">
        <f t="shared" si="1726"/>
        <v>0</v>
      </c>
      <c r="Q195" s="3280">
        <f t="shared" si="1726"/>
        <v>16.837499999999999</v>
      </c>
      <c r="R195" s="3280">
        <f t="shared" si="1726"/>
        <v>16.739002602265426</v>
      </c>
      <c r="S195" s="3280">
        <f t="shared" si="1726"/>
        <v>9.8497397734572098E-2</v>
      </c>
      <c r="T195" s="3181">
        <f t="shared" si="1726"/>
        <v>2.38</v>
      </c>
      <c r="U195" s="3181">
        <f t="shared" si="1726"/>
        <v>2.38</v>
      </c>
      <c r="V195" s="3181">
        <f t="shared" si="1726"/>
        <v>0</v>
      </c>
      <c r="W195" s="3181">
        <f t="shared" si="1726"/>
        <v>2.4900000000000002</v>
      </c>
      <c r="X195" s="3181">
        <f t="shared" si="1726"/>
        <v>2.4900000000000002</v>
      </c>
      <c r="Y195" s="3181">
        <f t="shared" si="1726"/>
        <v>0</v>
      </c>
      <c r="Z195" s="3181">
        <f t="shared" si="1726"/>
        <v>3.08</v>
      </c>
      <c r="AA195" s="3181">
        <f t="shared" si="1726"/>
        <v>3.08</v>
      </c>
      <c r="AB195" s="3181">
        <f t="shared" si="1726"/>
        <v>0</v>
      </c>
      <c r="AC195" s="3181">
        <f t="shared" si="1726"/>
        <v>7.95</v>
      </c>
      <c r="AD195" s="3181">
        <f t="shared" si="1726"/>
        <v>7.95</v>
      </c>
      <c r="AE195" s="3181">
        <f t="shared" si="1726"/>
        <v>0</v>
      </c>
      <c r="AF195" s="3286">
        <f t="shared" si="1677"/>
        <v>33.674999999999997</v>
      </c>
      <c r="AG195" s="3286">
        <f t="shared" si="1678"/>
        <v>33.478005204530852</v>
      </c>
      <c r="AH195" s="3286">
        <f t="shared" si="1679"/>
        <v>0.1969947954691442</v>
      </c>
      <c r="AI195" s="3171">
        <f t="shared" si="1701"/>
        <v>15.07</v>
      </c>
      <c r="AJ195" s="3171">
        <f t="shared" si="1702"/>
        <v>15.07</v>
      </c>
      <c r="AK195" s="3171">
        <f t="shared" si="1703"/>
        <v>0</v>
      </c>
      <c r="AL195" s="3171">
        <f t="shared" si="1680"/>
        <v>-18.604999999999997</v>
      </c>
      <c r="AM195" s="3171">
        <f t="shared" si="1681"/>
        <v>-18.408005204530852</v>
      </c>
      <c r="AN195" s="3171">
        <f t="shared" si="1682"/>
        <v>-0.1969947954691442</v>
      </c>
      <c r="AO195" s="3280">
        <f>SUM(AO50)</f>
        <v>16.837499999999999</v>
      </c>
      <c r="AP195" s="3280">
        <f t="shared" ref="AP195:BC195" si="1727">SUM(AP50)</f>
        <v>16.739002602265426</v>
      </c>
      <c r="AQ195" s="3280">
        <f t="shared" si="1727"/>
        <v>9.8497397734572098E-2</v>
      </c>
      <c r="AR195" s="3181">
        <f t="shared" si="1727"/>
        <v>3.08</v>
      </c>
      <c r="AS195" s="3181">
        <f t="shared" si="1727"/>
        <v>3.08</v>
      </c>
      <c r="AT195" s="3181">
        <f t="shared" si="1727"/>
        <v>0</v>
      </c>
      <c r="AU195" s="3181">
        <f t="shared" si="1727"/>
        <v>3.08</v>
      </c>
      <c r="AV195" s="3181">
        <f t="shared" si="1727"/>
        <v>3.08</v>
      </c>
      <c r="AW195" s="3181">
        <f t="shared" si="1727"/>
        <v>0</v>
      </c>
      <c r="AX195" s="3181">
        <f t="shared" si="1727"/>
        <v>3.08</v>
      </c>
      <c r="AY195" s="3181">
        <f t="shared" si="1727"/>
        <v>3.08</v>
      </c>
      <c r="AZ195" s="3181">
        <f t="shared" si="1727"/>
        <v>0</v>
      </c>
      <c r="BA195" s="3181">
        <f t="shared" si="1727"/>
        <v>9.24</v>
      </c>
      <c r="BB195" s="3181">
        <f t="shared" si="1727"/>
        <v>9.24</v>
      </c>
      <c r="BC195" s="3181">
        <f t="shared" si="1727"/>
        <v>0</v>
      </c>
      <c r="BD195" s="3286">
        <f t="shared" si="1684"/>
        <v>50.512499999999996</v>
      </c>
      <c r="BE195" s="3286">
        <f t="shared" si="1685"/>
        <v>50.217007806796275</v>
      </c>
      <c r="BF195" s="3286">
        <f t="shared" si="1686"/>
        <v>0.29549219320371628</v>
      </c>
      <c r="BG195" s="3171">
        <f t="shared" si="1705"/>
        <v>24.310000000000002</v>
      </c>
      <c r="BH195" s="3171">
        <f t="shared" si="1706"/>
        <v>24.310000000000002</v>
      </c>
      <c r="BI195" s="3171">
        <f t="shared" si="1707"/>
        <v>0</v>
      </c>
      <c r="BJ195" s="3171">
        <f t="shared" si="1688"/>
        <v>-26.202499999999993</v>
      </c>
      <c r="BK195" s="3171">
        <f t="shared" si="1689"/>
        <v>-25.907007806796273</v>
      </c>
      <c r="BL195" s="3171">
        <f t="shared" si="1690"/>
        <v>-0.29549219320371628</v>
      </c>
      <c r="BM195" s="3280">
        <f>SUM(BM50)</f>
        <v>16.837499999999999</v>
      </c>
      <c r="BN195" s="3280">
        <f t="shared" ref="BN195:CA195" si="1728">SUM(BN50)</f>
        <v>16.739002602265426</v>
      </c>
      <c r="BO195" s="3280">
        <f t="shared" si="1728"/>
        <v>9.8497397734572098E-2</v>
      </c>
      <c r="BP195" s="3181">
        <f t="shared" si="1728"/>
        <v>0</v>
      </c>
      <c r="BQ195" s="3181">
        <f t="shared" si="1728"/>
        <v>0</v>
      </c>
      <c r="BR195" s="3181">
        <f t="shared" si="1728"/>
        <v>0</v>
      </c>
      <c r="BS195" s="3181">
        <f t="shared" si="1728"/>
        <v>0</v>
      </c>
      <c r="BT195" s="3181">
        <f t="shared" si="1728"/>
        <v>0</v>
      </c>
      <c r="BU195" s="3181">
        <f t="shared" si="1728"/>
        <v>0</v>
      </c>
      <c r="BV195" s="3181">
        <f t="shared" si="1728"/>
        <v>0</v>
      </c>
      <c r="BW195" s="3181">
        <f t="shared" si="1728"/>
        <v>0</v>
      </c>
      <c r="BX195" s="3181">
        <f t="shared" si="1728"/>
        <v>0</v>
      </c>
      <c r="BY195" s="3181">
        <f t="shared" si="1728"/>
        <v>0</v>
      </c>
      <c r="BZ195" s="3181">
        <f t="shared" si="1728"/>
        <v>0</v>
      </c>
      <c r="CA195" s="3181">
        <f t="shared" si="1728"/>
        <v>0</v>
      </c>
      <c r="CB195" s="3286">
        <f t="shared" si="1692"/>
        <v>67.349999999999994</v>
      </c>
      <c r="CC195" s="3286">
        <f t="shared" si="1693"/>
        <v>66.956010409061705</v>
      </c>
      <c r="CD195" s="3286">
        <f t="shared" si="1694"/>
        <v>0.39398959093828839</v>
      </c>
      <c r="CE195" s="3171">
        <f t="shared" si="1709"/>
        <v>24.310000000000002</v>
      </c>
      <c r="CF195" s="3171">
        <f t="shared" si="1710"/>
        <v>24.310000000000002</v>
      </c>
      <c r="CG195" s="3171">
        <f t="shared" si="1711"/>
        <v>0</v>
      </c>
      <c r="CH195" s="3171">
        <f t="shared" si="1696"/>
        <v>-43.039999999999992</v>
      </c>
      <c r="CI195" s="3171">
        <f t="shared" si="1697"/>
        <v>-42.646010409061702</v>
      </c>
      <c r="CJ195" s="3171">
        <f t="shared" si="1698"/>
        <v>-0.39398959093828839</v>
      </c>
      <c r="CK195" s="396"/>
      <c r="CL195" s="5"/>
    </row>
    <row r="196" spans="1:90" ht="18.75" customHeight="1" x14ac:dyDescent="0.3">
      <c r="A196" s="3172" t="s">
        <v>42</v>
      </c>
      <c r="B196" s="3280">
        <f t="shared" ref="B196:B203" si="1729">SUM(B52)</f>
        <v>15.740000000000002</v>
      </c>
      <c r="C196" s="3280">
        <f t="shared" ref="C196:D196" si="1730">SUM(C52)</f>
        <v>15.647922848383541</v>
      </c>
      <c r="D196" s="3280">
        <f t="shared" si="1730"/>
        <v>9.207715161646117E-2</v>
      </c>
      <c r="E196" s="3181">
        <f t="shared" ref="E196:AE196" si="1731">SUM(E52)</f>
        <v>1.74</v>
      </c>
      <c r="F196" s="3181">
        <f t="shared" si="1731"/>
        <v>1.74</v>
      </c>
      <c r="G196" s="3181">
        <f t="shared" si="1731"/>
        <v>0</v>
      </c>
      <c r="H196" s="3181">
        <f t="shared" si="1731"/>
        <v>0</v>
      </c>
      <c r="I196" s="3181">
        <f t="shared" si="1731"/>
        <v>0</v>
      </c>
      <c r="J196" s="3181">
        <f t="shared" si="1731"/>
        <v>0</v>
      </c>
      <c r="K196" s="3181">
        <f t="shared" si="1731"/>
        <v>6.67</v>
      </c>
      <c r="L196" s="3181">
        <f t="shared" si="1731"/>
        <v>6.67</v>
      </c>
      <c r="M196" s="3181">
        <f t="shared" si="1731"/>
        <v>0</v>
      </c>
      <c r="N196" s="3181">
        <f t="shared" si="1731"/>
        <v>8.41</v>
      </c>
      <c r="O196" s="3181">
        <f t="shared" si="1731"/>
        <v>8.41</v>
      </c>
      <c r="P196" s="3181">
        <f t="shared" si="1731"/>
        <v>0</v>
      </c>
      <c r="Q196" s="3280">
        <f t="shared" si="1731"/>
        <v>15.740000000000002</v>
      </c>
      <c r="R196" s="3280">
        <f t="shared" si="1731"/>
        <v>15.647922848383541</v>
      </c>
      <c r="S196" s="3280">
        <f t="shared" si="1731"/>
        <v>9.207715161646117E-2</v>
      </c>
      <c r="T196" s="3181">
        <f t="shared" si="1731"/>
        <v>0</v>
      </c>
      <c r="U196" s="3181">
        <f t="shared" si="1731"/>
        <v>0</v>
      </c>
      <c r="V196" s="3181">
        <f t="shared" si="1731"/>
        <v>0</v>
      </c>
      <c r="W196" s="3181">
        <f t="shared" si="1731"/>
        <v>0</v>
      </c>
      <c r="X196" s="3181">
        <f t="shared" si="1731"/>
        <v>0</v>
      </c>
      <c r="Y196" s="3181">
        <f t="shared" si="1731"/>
        <v>0</v>
      </c>
      <c r="Z196" s="3181">
        <f t="shared" si="1731"/>
        <v>19.28</v>
      </c>
      <c r="AA196" s="3181">
        <f t="shared" si="1731"/>
        <v>19.28</v>
      </c>
      <c r="AB196" s="3181">
        <f t="shared" si="1731"/>
        <v>0</v>
      </c>
      <c r="AC196" s="3181">
        <f t="shared" si="1731"/>
        <v>19.28</v>
      </c>
      <c r="AD196" s="3181">
        <f t="shared" si="1731"/>
        <v>19.28</v>
      </c>
      <c r="AE196" s="3181">
        <f t="shared" si="1731"/>
        <v>0</v>
      </c>
      <c r="AF196" s="3286">
        <f t="shared" si="1677"/>
        <v>31.480000000000004</v>
      </c>
      <c r="AG196" s="3286">
        <f t="shared" si="1678"/>
        <v>31.295845696767081</v>
      </c>
      <c r="AH196" s="3286">
        <f t="shared" si="1679"/>
        <v>0.18415430323292234</v>
      </c>
      <c r="AI196" s="3171">
        <f t="shared" si="1701"/>
        <v>27.69</v>
      </c>
      <c r="AJ196" s="3171">
        <f t="shared" si="1702"/>
        <v>27.69</v>
      </c>
      <c r="AK196" s="3171">
        <f t="shared" si="1703"/>
        <v>0</v>
      </c>
      <c r="AL196" s="3171">
        <f t="shared" si="1680"/>
        <v>-3.7900000000000027</v>
      </c>
      <c r="AM196" s="3171">
        <f t="shared" si="1681"/>
        <v>-3.60584569676708</v>
      </c>
      <c r="AN196" s="3171">
        <f t="shared" si="1682"/>
        <v>-0.18415430323292234</v>
      </c>
      <c r="AO196" s="3280">
        <f t="shared" ref="AO196:AO203" si="1732">SUM(AO52)</f>
        <v>15.740000000000002</v>
      </c>
      <c r="AP196" s="3280">
        <f t="shared" ref="AP196:BC196" si="1733">SUM(AP52)</f>
        <v>15.647922848383541</v>
      </c>
      <c r="AQ196" s="3280">
        <f t="shared" si="1733"/>
        <v>9.207715161646117E-2</v>
      </c>
      <c r="AR196" s="3181">
        <f t="shared" si="1733"/>
        <v>0</v>
      </c>
      <c r="AS196" s="3181">
        <f t="shared" si="1733"/>
        <v>0</v>
      </c>
      <c r="AT196" s="3181">
        <f t="shared" si="1733"/>
        <v>0</v>
      </c>
      <c r="AU196" s="3181">
        <f t="shared" si="1733"/>
        <v>0</v>
      </c>
      <c r="AV196" s="3181">
        <f t="shared" si="1733"/>
        <v>0</v>
      </c>
      <c r="AW196" s="3181">
        <f t="shared" si="1733"/>
        <v>0</v>
      </c>
      <c r="AX196" s="3181">
        <f t="shared" si="1733"/>
        <v>16.53</v>
      </c>
      <c r="AY196" s="3181">
        <f t="shared" si="1733"/>
        <v>16.53</v>
      </c>
      <c r="AZ196" s="3181">
        <f t="shared" si="1733"/>
        <v>0</v>
      </c>
      <c r="BA196" s="3181">
        <f t="shared" si="1733"/>
        <v>16.53</v>
      </c>
      <c r="BB196" s="3181">
        <f t="shared" si="1733"/>
        <v>16.53</v>
      </c>
      <c r="BC196" s="3181">
        <f t="shared" si="1733"/>
        <v>0</v>
      </c>
      <c r="BD196" s="3286">
        <f t="shared" si="1684"/>
        <v>47.220000000000006</v>
      </c>
      <c r="BE196" s="3286">
        <f t="shared" si="1685"/>
        <v>46.943768545150618</v>
      </c>
      <c r="BF196" s="3286">
        <f t="shared" si="1686"/>
        <v>0.2762314548493835</v>
      </c>
      <c r="BG196" s="3171">
        <f t="shared" si="1705"/>
        <v>44.22</v>
      </c>
      <c r="BH196" s="3171">
        <f t="shared" si="1706"/>
        <v>44.22</v>
      </c>
      <c r="BI196" s="3171">
        <f t="shared" si="1707"/>
        <v>0</v>
      </c>
      <c r="BJ196" s="3171">
        <f t="shared" si="1688"/>
        <v>-3.0000000000000071</v>
      </c>
      <c r="BK196" s="3171">
        <f t="shared" si="1689"/>
        <v>-2.7237685451506195</v>
      </c>
      <c r="BL196" s="3171">
        <f t="shared" si="1690"/>
        <v>-0.2762314548493835</v>
      </c>
      <c r="BM196" s="3280">
        <f t="shared" ref="BM196:BM203" si="1734">SUM(BM52)</f>
        <v>15.740000000000002</v>
      </c>
      <c r="BN196" s="3280">
        <f t="shared" ref="BN196:CA196" si="1735">SUM(BN52)</f>
        <v>15.647922848383541</v>
      </c>
      <c r="BO196" s="3280">
        <f t="shared" si="1735"/>
        <v>9.207715161646117E-2</v>
      </c>
      <c r="BP196" s="3181">
        <f t="shared" si="1735"/>
        <v>0</v>
      </c>
      <c r="BQ196" s="3181">
        <f t="shared" si="1735"/>
        <v>0</v>
      </c>
      <c r="BR196" s="3181">
        <f t="shared" si="1735"/>
        <v>0</v>
      </c>
      <c r="BS196" s="3181">
        <f t="shared" si="1735"/>
        <v>0</v>
      </c>
      <c r="BT196" s="3181">
        <f t="shared" si="1735"/>
        <v>0</v>
      </c>
      <c r="BU196" s="3181">
        <f t="shared" si="1735"/>
        <v>0</v>
      </c>
      <c r="BV196" s="3181">
        <f t="shared" si="1735"/>
        <v>0</v>
      </c>
      <c r="BW196" s="3181">
        <f t="shared" si="1735"/>
        <v>0</v>
      </c>
      <c r="BX196" s="3181">
        <f t="shared" si="1735"/>
        <v>0</v>
      </c>
      <c r="BY196" s="3181">
        <f t="shared" si="1735"/>
        <v>0</v>
      </c>
      <c r="BZ196" s="3181">
        <f t="shared" si="1735"/>
        <v>0</v>
      </c>
      <c r="CA196" s="3181">
        <f t="shared" si="1735"/>
        <v>0</v>
      </c>
      <c r="CB196" s="3286">
        <f t="shared" si="1692"/>
        <v>62.960000000000008</v>
      </c>
      <c r="CC196" s="3286">
        <f t="shared" si="1693"/>
        <v>62.591691393534163</v>
      </c>
      <c r="CD196" s="3286">
        <f t="shared" si="1694"/>
        <v>0.36830860646584468</v>
      </c>
      <c r="CE196" s="3171">
        <f t="shared" si="1709"/>
        <v>44.22</v>
      </c>
      <c r="CF196" s="3171">
        <f t="shared" si="1710"/>
        <v>44.22</v>
      </c>
      <c r="CG196" s="3171">
        <f t="shared" si="1711"/>
        <v>0</v>
      </c>
      <c r="CH196" s="3171">
        <f t="shared" si="1696"/>
        <v>-18.740000000000009</v>
      </c>
      <c r="CI196" s="3171">
        <f t="shared" si="1697"/>
        <v>-18.371691393534164</v>
      </c>
      <c r="CJ196" s="3171">
        <f t="shared" si="1698"/>
        <v>-0.36830860646584468</v>
      </c>
      <c r="CK196" s="396"/>
      <c r="CL196" s="5"/>
    </row>
    <row r="197" spans="1:90" ht="18.75" customHeight="1" x14ac:dyDescent="0.3">
      <c r="A197" s="3172" t="s">
        <v>38</v>
      </c>
      <c r="B197" s="3280">
        <f t="shared" si="1729"/>
        <v>4.0549999999999997</v>
      </c>
      <c r="C197" s="3280">
        <f t="shared" ref="C197:D197" si="1736">SUM(C53)</f>
        <v>4.0312787261877538</v>
      </c>
      <c r="D197" s="3280">
        <f t="shared" si="1736"/>
        <v>2.3721273812245872E-2</v>
      </c>
      <c r="E197" s="3181">
        <f t="shared" ref="E197:AE197" si="1737">SUM(E53)</f>
        <v>0</v>
      </c>
      <c r="F197" s="3181">
        <f t="shared" si="1737"/>
        <v>0</v>
      </c>
      <c r="G197" s="3181">
        <f t="shared" si="1737"/>
        <v>0</v>
      </c>
      <c r="H197" s="3181">
        <f t="shared" si="1737"/>
        <v>0</v>
      </c>
      <c r="I197" s="3181">
        <f t="shared" si="1737"/>
        <v>0</v>
      </c>
      <c r="J197" s="3181">
        <f t="shared" si="1737"/>
        <v>0</v>
      </c>
      <c r="K197" s="3181">
        <f t="shared" si="1737"/>
        <v>10.5</v>
      </c>
      <c r="L197" s="3181">
        <f t="shared" si="1737"/>
        <v>10.5</v>
      </c>
      <c r="M197" s="3181">
        <f t="shared" si="1737"/>
        <v>0</v>
      </c>
      <c r="N197" s="3181">
        <f t="shared" si="1737"/>
        <v>10.5</v>
      </c>
      <c r="O197" s="3181">
        <f t="shared" si="1737"/>
        <v>10.5</v>
      </c>
      <c r="P197" s="3181">
        <f t="shared" si="1737"/>
        <v>0</v>
      </c>
      <c r="Q197" s="3280">
        <f t="shared" si="1737"/>
        <v>4.0549999999999997</v>
      </c>
      <c r="R197" s="3280">
        <f t="shared" si="1737"/>
        <v>4.0312787261877538</v>
      </c>
      <c r="S197" s="3280">
        <f t="shared" si="1737"/>
        <v>2.3721273812245872E-2</v>
      </c>
      <c r="T197" s="3181">
        <f t="shared" si="1737"/>
        <v>64.56</v>
      </c>
      <c r="U197" s="3181">
        <f t="shared" si="1737"/>
        <v>64.56</v>
      </c>
      <c r="V197" s="3181">
        <f t="shared" si="1737"/>
        <v>0</v>
      </c>
      <c r="W197" s="3181">
        <f t="shared" si="1737"/>
        <v>0</v>
      </c>
      <c r="X197" s="3181">
        <f t="shared" si="1737"/>
        <v>0</v>
      </c>
      <c r="Y197" s="3181">
        <f t="shared" si="1737"/>
        <v>0</v>
      </c>
      <c r="Z197" s="3181">
        <f t="shared" si="1737"/>
        <v>24</v>
      </c>
      <c r="AA197" s="3181">
        <f t="shared" si="1737"/>
        <v>24</v>
      </c>
      <c r="AB197" s="3181">
        <f t="shared" si="1737"/>
        <v>0</v>
      </c>
      <c r="AC197" s="3181">
        <f t="shared" si="1737"/>
        <v>88.56</v>
      </c>
      <c r="AD197" s="3181">
        <f t="shared" si="1737"/>
        <v>88.56</v>
      </c>
      <c r="AE197" s="3181">
        <f t="shared" si="1737"/>
        <v>0</v>
      </c>
      <c r="AF197" s="3286">
        <f t="shared" si="1677"/>
        <v>8.11</v>
      </c>
      <c r="AG197" s="3286">
        <f t="shared" si="1678"/>
        <v>8.0625574523755077</v>
      </c>
      <c r="AH197" s="3286">
        <f t="shared" si="1679"/>
        <v>4.7442547624491745E-2</v>
      </c>
      <c r="AI197" s="3171">
        <f t="shared" si="1701"/>
        <v>99.06</v>
      </c>
      <c r="AJ197" s="3171">
        <f t="shared" si="1702"/>
        <v>99.06</v>
      </c>
      <c r="AK197" s="3171">
        <f t="shared" si="1703"/>
        <v>0</v>
      </c>
      <c r="AL197" s="3171">
        <f t="shared" si="1680"/>
        <v>90.95</v>
      </c>
      <c r="AM197" s="3171">
        <f t="shared" si="1681"/>
        <v>90.997442547624502</v>
      </c>
      <c r="AN197" s="3171">
        <f t="shared" si="1682"/>
        <v>-4.7442547624491745E-2</v>
      </c>
      <c r="AO197" s="3280">
        <f t="shared" si="1732"/>
        <v>4.0549999999999997</v>
      </c>
      <c r="AP197" s="3280">
        <f t="shared" ref="AP197:BC197" si="1738">SUM(AP53)</f>
        <v>4.0312787261877538</v>
      </c>
      <c r="AQ197" s="3280">
        <f t="shared" si="1738"/>
        <v>2.3721273812245872E-2</v>
      </c>
      <c r="AR197" s="3181">
        <f t="shared" si="1738"/>
        <v>0</v>
      </c>
      <c r="AS197" s="3181">
        <f t="shared" si="1738"/>
        <v>0</v>
      </c>
      <c r="AT197" s="3181">
        <f t="shared" si="1738"/>
        <v>0</v>
      </c>
      <c r="AU197" s="3181">
        <f t="shared" si="1738"/>
        <v>11.4</v>
      </c>
      <c r="AV197" s="3181">
        <f t="shared" si="1738"/>
        <v>11.4</v>
      </c>
      <c r="AW197" s="3181">
        <f t="shared" si="1738"/>
        <v>0</v>
      </c>
      <c r="AX197" s="3181">
        <f t="shared" si="1738"/>
        <v>2.8</v>
      </c>
      <c r="AY197" s="3181">
        <f t="shared" si="1738"/>
        <v>2.8</v>
      </c>
      <c r="AZ197" s="3181">
        <f t="shared" si="1738"/>
        <v>0</v>
      </c>
      <c r="BA197" s="3181">
        <f t="shared" si="1738"/>
        <v>14.2</v>
      </c>
      <c r="BB197" s="3181">
        <f t="shared" si="1738"/>
        <v>14.2</v>
      </c>
      <c r="BC197" s="3181">
        <f t="shared" si="1738"/>
        <v>0</v>
      </c>
      <c r="BD197" s="3286">
        <f t="shared" ref="BD197" si="1739">SUM(AF197+AO197)</f>
        <v>12.164999999999999</v>
      </c>
      <c r="BE197" s="3286">
        <f t="shared" ref="BE197" si="1740">SUM(AG197+AP197)</f>
        <v>12.093836178563262</v>
      </c>
      <c r="BF197" s="3286">
        <f t="shared" ref="BF197" si="1741">SUM(AH197+AQ197)</f>
        <v>7.116382143673762E-2</v>
      </c>
      <c r="BG197" s="3171">
        <f t="shared" si="1705"/>
        <v>113.26</v>
      </c>
      <c r="BH197" s="3171">
        <f t="shared" si="1706"/>
        <v>113.26</v>
      </c>
      <c r="BI197" s="3171">
        <f t="shared" si="1707"/>
        <v>0</v>
      </c>
      <c r="BJ197" s="3171">
        <f t="shared" si="1688"/>
        <v>101.095</v>
      </c>
      <c r="BK197" s="3171">
        <f t="shared" si="1689"/>
        <v>101.16616382143674</v>
      </c>
      <c r="BL197" s="3171">
        <f t="shared" si="1690"/>
        <v>-7.116382143673762E-2</v>
      </c>
      <c r="BM197" s="3280">
        <f t="shared" si="1734"/>
        <v>4.0549999999999997</v>
      </c>
      <c r="BN197" s="3280">
        <f t="shared" ref="BN197:CA197" si="1742">SUM(BN53)</f>
        <v>4.0312787261877538</v>
      </c>
      <c r="BO197" s="3280">
        <f t="shared" si="1742"/>
        <v>2.3721273812245872E-2</v>
      </c>
      <c r="BP197" s="3181">
        <f t="shared" si="1742"/>
        <v>0</v>
      </c>
      <c r="BQ197" s="3181">
        <f t="shared" si="1742"/>
        <v>0</v>
      </c>
      <c r="BR197" s="3181">
        <f t="shared" si="1742"/>
        <v>0</v>
      </c>
      <c r="BS197" s="3181">
        <f t="shared" si="1742"/>
        <v>0</v>
      </c>
      <c r="BT197" s="3181">
        <f t="shared" si="1742"/>
        <v>0</v>
      </c>
      <c r="BU197" s="3181">
        <f t="shared" si="1742"/>
        <v>0</v>
      </c>
      <c r="BV197" s="3181">
        <f t="shared" si="1742"/>
        <v>0</v>
      </c>
      <c r="BW197" s="3181">
        <f t="shared" si="1742"/>
        <v>0</v>
      </c>
      <c r="BX197" s="3181">
        <f t="shared" si="1742"/>
        <v>0</v>
      </c>
      <c r="BY197" s="3181">
        <f t="shared" si="1742"/>
        <v>0</v>
      </c>
      <c r="BZ197" s="3181">
        <f t="shared" si="1742"/>
        <v>0</v>
      </c>
      <c r="CA197" s="3181">
        <f t="shared" si="1742"/>
        <v>0</v>
      </c>
      <c r="CB197" s="3286">
        <f t="shared" ref="CB197" si="1743">SUM(BM197+BD197)</f>
        <v>16.22</v>
      </c>
      <c r="CC197" s="3286">
        <f t="shared" ref="CC197" si="1744">SUM(BN197+BE197)</f>
        <v>16.125114904751015</v>
      </c>
      <c r="CD197" s="3286">
        <f t="shared" ref="CD197" si="1745">SUM(BO197+BF197)</f>
        <v>9.4885095248983489E-2</v>
      </c>
      <c r="CE197" s="3171">
        <f t="shared" si="1709"/>
        <v>113.26</v>
      </c>
      <c r="CF197" s="3171">
        <f t="shared" si="1710"/>
        <v>113.26</v>
      </c>
      <c r="CG197" s="3171">
        <f t="shared" si="1711"/>
        <v>0</v>
      </c>
      <c r="CH197" s="3171">
        <f t="shared" si="1696"/>
        <v>97.04</v>
      </c>
      <c r="CI197" s="3171">
        <f t="shared" si="1697"/>
        <v>97.13488509524899</v>
      </c>
      <c r="CJ197" s="3171">
        <f t="shared" si="1698"/>
        <v>-9.4885095248983489E-2</v>
      </c>
      <c r="CK197" s="396"/>
      <c r="CL197" s="5"/>
    </row>
    <row r="198" spans="1:90" ht="18.75" customHeight="1" x14ac:dyDescent="0.3">
      <c r="A198" s="3172" t="s">
        <v>603</v>
      </c>
      <c r="B198" s="3280">
        <f t="shared" si="1729"/>
        <v>0</v>
      </c>
      <c r="C198" s="3280">
        <f t="shared" ref="C198:D203" si="1746">SUM(C54)</f>
        <v>0</v>
      </c>
      <c r="D198" s="3280">
        <f t="shared" si="1746"/>
        <v>0</v>
      </c>
      <c r="E198" s="3181">
        <f t="shared" ref="E198:AE198" si="1747">SUM(E54)</f>
        <v>0</v>
      </c>
      <c r="F198" s="3181">
        <f t="shared" si="1747"/>
        <v>0</v>
      </c>
      <c r="G198" s="3181">
        <f t="shared" si="1747"/>
        <v>0</v>
      </c>
      <c r="H198" s="3181">
        <f t="shared" si="1747"/>
        <v>0</v>
      </c>
      <c r="I198" s="3181">
        <f t="shared" si="1747"/>
        <v>0</v>
      </c>
      <c r="J198" s="3181">
        <f t="shared" si="1747"/>
        <v>0</v>
      </c>
      <c r="K198" s="3181">
        <f t="shared" si="1747"/>
        <v>0</v>
      </c>
      <c r="L198" s="3181">
        <f t="shared" si="1747"/>
        <v>0</v>
      </c>
      <c r="M198" s="3181">
        <f t="shared" si="1747"/>
        <v>0</v>
      </c>
      <c r="N198" s="3181">
        <f t="shared" si="1747"/>
        <v>0</v>
      </c>
      <c r="O198" s="3181">
        <f t="shared" si="1747"/>
        <v>0</v>
      </c>
      <c r="P198" s="3181">
        <f t="shared" si="1747"/>
        <v>0</v>
      </c>
      <c r="Q198" s="3280">
        <f t="shared" si="1747"/>
        <v>0</v>
      </c>
      <c r="R198" s="3280">
        <f t="shared" si="1747"/>
        <v>0</v>
      </c>
      <c r="S198" s="3280">
        <f t="shared" si="1747"/>
        <v>0</v>
      </c>
      <c r="T198" s="3181">
        <f t="shared" si="1747"/>
        <v>0</v>
      </c>
      <c r="U198" s="3181">
        <f t="shared" si="1747"/>
        <v>0</v>
      </c>
      <c r="V198" s="3181">
        <f t="shared" si="1747"/>
        <v>0</v>
      </c>
      <c r="W198" s="3181">
        <f t="shared" si="1747"/>
        <v>0</v>
      </c>
      <c r="X198" s="3181">
        <f t="shared" si="1747"/>
        <v>0</v>
      </c>
      <c r="Y198" s="3181">
        <f t="shared" si="1747"/>
        <v>0</v>
      </c>
      <c r="Z198" s="3181">
        <f t="shared" si="1747"/>
        <v>0</v>
      </c>
      <c r="AA198" s="3181">
        <f t="shared" si="1747"/>
        <v>0</v>
      </c>
      <c r="AB198" s="3181">
        <f t="shared" si="1747"/>
        <v>0</v>
      </c>
      <c r="AC198" s="3181">
        <f t="shared" si="1747"/>
        <v>0</v>
      </c>
      <c r="AD198" s="3181">
        <f t="shared" si="1747"/>
        <v>0</v>
      </c>
      <c r="AE198" s="3181">
        <f t="shared" si="1747"/>
        <v>0</v>
      </c>
      <c r="AF198" s="3286">
        <f t="shared" si="1677"/>
        <v>0</v>
      </c>
      <c r="AG198" s="3286">
        <f t="shared" si="1678"/>
        <v>0</v>
      </c>
      <c r="AH198" s="3286">
        <f t="shared" si="1679"/>
        <v>0</v>
      </c>
      <c r="AI198" s="3171">
        <f t="shared" si="1701"/>
        <v>0</v>
      </c>
      <c r="AJ198" s="3171">
        <f t="shared" si="1702"/>
        <v>0</v>
      </c>
      <c r="AK198" s="3171">
        <f t="shared" si="1703"/>
        <v>0</v>
      </c>
      <c r="AL198" s="3171">
        <f t="shared" si="1680"/>
        <v>0</v>
      </c>
      <c r="AM198" s="3171">
        <f t="shared" si="1681"/>
        <v>0</v>
      </c>
      <c r="AN198" s="3171">
        <f t="shared" si="1682"/>
        <v>0</v>
      </c>
      <c r="AO198" s="3280">
        <f t="shared" si="1732"/>
        <v>0</v>
      </c>
      <c r="AP198" s="3280">
        <f t="shared" ref="AP198:BC198" si="1748">SUM(AP54)</f>
        <v>0</v>
      </c>
      <c r="AQ198" s="3280">
        <f t="shared" si="1748"/>
        <v>0</v>
      </c>
      <c r="AR198" s="3181">
        <f t="shared" si="1748"/>
        <v>0</v>
      </c>
      <c r="AS198" s="3181">
        <f t="shared" si="1748"/>
        <v>0</v>
      </c>
      <c r="AT198" s="3181">
        <f t="shared" si="1748"/>
        <v>0</v>
      </c>
      <c r="AU198" s="3181">
        <f t="shared" si="1748"/>
        <v>0</v>
      </c>
      <c r="AV198" s="3181">
        <f t="shared" si="1748"/>
        <v>0</v>
      </c>
      <c r="AW198" s="3181">
        <f t="shared" si="1748"/>
        <v>0</v>
      </c>
      <c r="AX198" s="3181">
        <f t="shared" si="1748"/>
        <v>0</v>
      </c>
      <c r="AY198" s="3181">
        <f t="shared" si="1748"/>
        <v>0</v>
      </c>
      <c r="AZ198" s="3181">
        <f t="shared" si="1748"/>
        <v>0</v>
      </c>
      <c r="BA198" s="3181">
        <f t="shared" si="1748"/>
        <v>0</v>
      </c>
      <c r="BB198" s="3181">
        <f t="shared" si="1748"/>
        <v>0</v>
      </c>
      <c r="BC198" s="3181">
        <f t="shared" si="1748"/>
        <v>0</v>
      </c>
      <c r="BD198" s="3286">
        <f t="shared" si="1684"/>
        <v>0</v>
      </c>
      <c r="BE198" s="3286">
        <f t="shared" ref="BE198:BE207" si="1749">SUM(AG198+AP198)</f>
        <v>0</v>
      </c>
      <c r="BF198" s="3286">
        <f t="shared" ref="BF198:BF207" si="1750">SUM(AH198+AQ198)</f>
        <v>0</v>
      </c>
      <c r="BG198" s="3171">
        <f t="shared" si="1705"/>
        <v>0</v>
      </c>
      <c r="BH198" s="3171">
        <f t="shared" si="1706"/>
        <v>0</v>
      </c>
      <c r="BI198" s="3171">
        <f t="shared" si="1707"/>
        <v>0</v>
      </c>
      <c r="BJ198" s="3171">
        <f t="shared" si="1688"/>
        <v>0</v>
      </c>
      <c r="BK198" s="3171">
        <f t="shared" si="1689"/>
        <v>0</v>
      </c>
      <c r="BL198" s="3171">
        <f t="shared" si="1690"/>
        <v>0</v>
      </c>
      <c r="BM198" s="3280">
        <f t="shared" si="1734"/>
        <v>0</v>
      </c>
      <c r="BN198" s="3280">
        <f t="shared" ref="BN198:CA198" si="1751">SUM(BN54)</f>
        <v>0</v>
      </c>
      <c r="BO198" s="3280">
        <f t="shared" si="1751"/>
        <v>0</v>
      </c>
      <c r="BP198" s="3181">
        <f t="shared" si="1751"/>
        <v>0</v>
      </c>
      <c r="BQ198" s="3181">
        <f t="shared" si="1751"/>
        <v>0</v>
      </c>
      <c r="BR198" s="3181">
        <f t="shared" si="1751"/>
        <v>0</v>
      </c>
      <c r="BS198" s="3181">
        <f t="shared" si="1751"/>
        <v>0</v>
      </c>
      <c r="BT198" s="3181">
        <f t="shared" si="1751"/>
        <v>0</v>
      </c>
      <c r="BU198" s="3181">
        <f t="shared" si="1751"/>
        <v>0</v>
      </c>
      <c r="BV198" s="3181">
        <f t="shared" si="1751"/>
        <v>0</v>
      </c>
      <c r="BW198" s="3181">
        <f t="shared" si="1751"/>
        <v>0</v>
      </c>
      <c r="BX198" s="3181">
        <f t="shared" si="1751"/>
        <v>0</v>
      </c>
      <c r="BY198" s="3181">
        <f t="shared" si="1751"/>
        <v>0</v>
      </c>
      <c r="BZ198" s="3181">
        <f t="shared" si="1751"/>
        <v>0</v>
      </c>
      <c r="CA198" s="3181">
        <f t="shared" si="1751"/>
        <v>0</v>
      </c>
      <c r="CB198" s="3286">
        <f t="shared" si="1692"/>
        <v>0</v>
      </c>
      <c r="CC198" s="3286">
        <f t="shared" ref="CC198:CC207" si="1752">SUM(BN198+BE198)</f>
        <v>0</v>
      </c>
      <c r="CD198" s="3286">
        <f t="shared" ref="CD198:CD207" si="1753">SUM(BO198+BF198)</f>
        <v>0</v>
      </c>
      <c r="CE198" s="3171">
        <f t="shared" si="1709"/>
        <v>0</v>
      </c>
      <c r="CF198" s="3171">
        <f t="shared" si="1710"/>
        <v>0</v>
      </c>
      <c r="CG198" s="3171">
        <f t="shared" si="1711"/>
        <v>0</v>
      </c>
      <c r="CH198" s="3171">
        <f t="shared" si="1696"/>
        <v>0</v>
      </c>
      <c r="CI198" s="3171">
        <f t="shared" si="1697"/>
        <v>0</v>
      </c>
      <c r="CJ198" s="3171">
        <f t="shared" si="1698"/>
        <v>0</v>
      </c>
      <c r="CK198" s="396"/>
      <c r="CL198" s="5"/>
    </row>
    <row r="199" spans="1:90" ht="18.75" customHeight="1" x14ac:dyDescent="0.3">
      <c r="A199" s="3172" t="s">
        <v>98</v>
      </c>
      <c r="B199" s="3280">
        <f t="shared" si="1729"/>
        <v>26.372204624999998</v>
      </c>
      <c r="C199" s="3280">
        <f t="shared" si="1746"/>
        <v>26.372204624999998</v>
      </c>
      <c r="D199" s="3280">
        <f t="shared" si="1746"/>
        <v>0</v>
      </c>
      <c r="E199" s="3181">
        <f t="shared" ref="E199:AE199" si="1754">SUM(E55)</f>
        <v>0</v>
      </c>
      <c r="F199" s="3181">
        <f t="shared" si="1754"/>
        <v>0</v>
      </c>
      <c r="G199" s="3181">
        <f t="shared" si="1754"/>
        <v>0</v>
      </c>
      <c r="H199" s="3181">
        <f t="shared" si="1754"/>
        <v>0</v>
      </c>
      <c r="I199" s="3181">
        <f t="shared" si="1754"/>
        <v>0</v>
      </c>
      <c r="J199" s="3181">
        <f t="shared" si="1754"/>
        <v>0</v>
      </c>
      <c r="K199" s="3181">
        <f t="shared" si="1754"/>
        <v>22.43</v>
      </c>
      <c r="L199" s="3181">
        <f t="shared" si="1754"/>
        <v>22.43</v>
      </c>
      <c r="M199" s="3181">
        <f t="shared" si="1754"/>
        <v>0</v>
      </c>
      <c r="N199" s="3181">
        <f t="shared" si="1754"/>
        <v>22.43</v>
      </c>
      <c r="O199" s="3181">
        <f t="shared" si="1754"/>
        <v>22.43</v>
      </c>
      <c r="P199" s="3181">
        <f t="shared" si="1754"/>
        <v>0</v>
      </c>
      <c r="Q199" s="3280">
        <f t="shared" si="1754"/>
        <v>26.372204624999998</v>
      </c>
      <c r="R199" s="3280">
        <f t="shared" si="1754"/>
        <v>26.372204624999998</v>
      </c>
      <c r="S199" s="3280">
        <f t="shared" si="1754"/>
        <v>0</v>
      </c>
      <c r="T199" s="3181">
        <f t="shared" si="1754"/>
        <v>0</v>
      </c>
      <c r="U199" s="3181">
        <f t="shared" si="1754"/>
        <v>0</v>
      </c>
      <c r="V199" s="3181">
        <f t="shared" si="1754"/>
        <v>0</v>
      </c>
      <c r="W199" s="3181">
        <f t="shared" si="1754"/>
        <v>0</v>
      </c>
      <c r="X199" s="3181">
        <f t="shared" si="1754"/>
        <v>0</v>
      </c>
      <c r="Y199" s="3181">
        <f t="shared" si="1754"/>
        <v>0</v>
      </c>
      <c r="Z199" s="3181">
        <f t="shared" si="1754"/>
        <v>22.43</v>
      </c>
      <c r="AA199" s="3181">
        <f t="shared" si="1754"/>
        <v>22.43</v>
      </c>
      <c r="AB199" s="3181">
        <f t="shared" si="1754"/>
        <v>0</v>
      </c>
      <c r="AC199" s="3181">
        <f t="shared" si="1754"/>
        <v>22.43</v>
      </c>
      <c r="AD199" s="3181">
        <f t="shared" si="1754"/>
        <v>22.43</v>
      </c>
      <c r="AE199" s="3181">
        <f t="shared" si="1754"/>
        <v>0</v>
      </c>
      <c r="AF199" s="3286">
        <f t="shared" si="1677"/>
        <v>52.744409249999997</v>
      </c>
      <c r="AG199" s="3286">
        <f t="shared" si="1678"/>
        <v>52.744409249999997</v>
      </c>
      <c r="AH199" s="3286">
        <f t="shared" si="1679"/>
        <v>0</v>
      </c>
      <c r="AI199" s="3171">
        <f t="shared" si="1701"/>
        <v>44.86</v>
      </c>
      <c r="AJ199" s="3171">
        <f t="shared" si="1702"/>
        <v>44.86</v>
      </c>
      <c r="AK199" s="3171">
        <f t="shared" si="1703"/>
        <v>0</v>
      </c>
      <c r="AL199" s="3171">
        <f t="shared" si="1680"/>
        <v>-7.8844092499999974</v>
      </c>
      <c r="AM199" s="3171">
        <f t="shared" si="1681"/>
        <v>-7.8844092499999974</v>
      </c>
      <c r="AN199" s="3171">
        <f t="shared" si="1682"/>
        <v>0</v>
      </c>
      <c r="AO199" s="3280">
        <f t="shared" si="1732"/>
        <v>26.372204624999998</v>
      </c>
      <c r="AP199" s="3280">
        <f t="shared" ref="AP199:BC199" si="1755">SUM(AP55)</f>
        <v>26.372204624999998</v>
      </c>
      <c r="AQ199" s="3280">
        <f t="shared" si="1755"/>
        <v>0</v>
      </c>
      <c r="AR199" s="3181">
        <f t="shared" si="1755"/>
        <v>0</v>
      </c>
      <c r="AS199" s="3181">
        <f t="shared" si="1755"/>
        <v>0</v>
      </c>
      <c r="AT199" s="3181">
        <f t="shared" si="1755"/>
        <v>0</v>
      </c>
      <c r="AU199" s="3181">
        <f t="shared" si="1755"/>
        <v>0</v>
      </c>
      <c r="AV199" s="3181">
        <f t="shared" si="1755"/>
        <v>0</v>
      </c>
      <c r="AW199" s="3181">
        <f t="shared" si="1755"/>
        <v>0</v>
      </c>
      <c r="AX199" s="3181">
        <f t="shared" si="1755"/>
        <v>22.43</v>
      </c>
      <c r="AY199" s="3181">
        <f t="shared" si="1755"/>
        <v>22.43</v>
      </c>
      <c r="AZ199" s="3181">
        <f t="shared" si="1755"/>
        <v>0</v>
      </c>
      <c r="BA199" s="3181">
        <f t="shared" si="1755"/>
        <v>22.43</v>
      </c>
      <c r="BB199" s="3181">
        <f t="shared" si="1755"/>
        <v>22.43</v>
      </c>
      <c r="BC199" s="3181">
        <f t="shared" si="1755"/>
        <v>0</v>
      </c>
      <c r="BD199" s="3286">
        <f t="shared" si="1684"/>
        <v>79.116613874999999</v>
      </c>
      <c r="BE199" s="3286">
        <f t="shared" si="1749"/>
        <v>79.116613874999999</v>
      </c>
      <c r="BF199" s="3286">
        <f t="shared" si="1750"/>
        <v>0</v>
      </c>
      <c r="BG199" s="3171">
        <f t="shared" si="1705"/>
        <v>67.289999999999992</v>
      </c>
      <c r="BH199" s="3171">
        <f t="shared" si="1706"/>
        <v>67.289999999999992</v>
      </c>
      <c r="BI199" s="3171">
        <f t="shared" si="1707"/>
        <v>0</v>
      </c>
      <c r="BJ199" s="3171">
        <f t="shared" si="1688"/>
        <v>-11.826613875000007</v>
      </c>
      <c r="BK199" s="3171">
        <f t="shared" si="1689"/>
        <v>-11.826613875000007</v>
      </c>
      <c r="BL199" s="3171">
        <f t="shared" si="1690"/>
        <v>0</v>
      </c>
      <c r="BM199" s="3280">
        <f t="shared" si="1734"/>
        <v>26.372204624999998</v>
      </c>
      <c r="BN199" s="3280">
        <f t="shared" ref="BN199:CA199" si="1756">SUM(BN55)</f>
        <v>26.372204624999998</v>
      </c>
      <c r="BO199" s="3280">
        <f t="shared" si="1756"/>
        <v>0</v>
      </c>
      <c r="BP199" s="3181">
        <f t="shared" si="1756"/>
        <v>0</v>
      </c>
      <c r="BQ199" s="3181">
        <f t="shared" si="1756"/>
        <v>0</v>
      </c>
      <c r="BR199" s="3181">
        <f t="shared" si="1756"/>
        <v>0</v>
      </c>
      <c r="BS199" s="3181">
        <f t="shared" si="1756"/>
        <v>0</v>
      </c>
      <c r="BT199" s="3181">
        <f t="shared" si="1756"/>
        <v>0</v>
      </c>
      <c r="BU199" s="3181">
        <f t="shared" si="1756"/>
        <v>0</v>
      </c>
      <c r="BV199" s="3181">
        <f t="shared" si="1756"/>
        <v>0</v>
      </c>
      <c r="BW199" s="3181">
        <f t="shared" si="1756"/>
        <v>0</v>
      </c>
      <c r="BX199" s="3181">
        <f t="shared" si="1756"/>
        <v>0</v>
      </c>
      <c r="BY199" s="3181">
        <f t="shared" si="1756"/>
        <v>0</v>
      </c>
      <c r="BZ199" s="3181">
        <f t="shared" si="1756"/>
        <v>0</v>
      </c>
      <c r="CA199" s="3181">
        <f t="shared" si="1756"/>
        <v>0</v>
      </c>
      <c r="CB199" s="3286">
        <f t="shared" si="1692"/>
        <v>105.48881849999999</v>
      </c>
      <c r="CC199" s="3286">
        <f t="shared" si="1752"/>
        <v>105.48881849999999</v>
      </c>
      <c r="CD199" s="3286">
        <f t="shared" si="1753"/>
        <v>0</v>
      </c>
      <c r="CE199" s="3171">
        <f t="shared" si="1709"/>
        <v>67.289999999999992</v>
      </c>
      <c r="CF199" s="3171">
        <f t="shared" si="1710"/>
        <v>67.289999999999992</v>
      </c>
      <c r="CG199" s="3171">
        <f t="shared" si="1711"/>
        <v>0</v>
      </c>
      <c r="CH199" s="3171">
        <f t="shared" si="1696"/>
        <v>-38.198818500000002</v>
      </c>
      <c r="CI199" s="3171">
        <f t="shared" si="1697"/>
        <v>-38.198818500000002</v>
      </c>
      <c r="CJ199" s="3171">
        <f t="shared" si="1698"/>
        <v>0</v>
      </c>
      <c r="CK199" s="396"/>
      <c r="CL199" s="5"/>
    </row>
    <row r="200" spans="1:90" ht="18.75" customHeight="1" x14ac:dyDescent="0.3">
      <c r="A200" s="3172" t="s">
        <v>604</v>
      </c>
      <c r="B200" s="3280">
        <f t="shared" si="1729"/>
        <v>7.3175000000000008</v>
      </c>
      <c r="C200" s="3280">
        <f t="shared" si="1746"/>
        <v>7.2746934843104549</v>
      </c>
      <c r="D200" s="3280">
        <f t="shared" si="1746"/>
        <v>4.2806515689546035E-2</v>
      </c>
      <c r="E200" s="3181">
        <f t="shared" ref="E200:AE200" si="1757">SUM(E56)</f>
        <v>7.67</v>
      </c>
      <c r="F200" s="3181">
        <f t="shared" si="1757"/>
        <v>7.67</v>
      </c>
      <c r="G200" s="3181">
        <f t="shared" si="1757"/>
        <v>0</v>
      </c>
      <c r="H200" s="3181">
        <f t="shared" si="1757"/>
        <v>0</v>
      </c>
      <c r="I200" s="3181">
        <f t="shared" si="1757"/>
        <v>0</v>
      </c>
      <c r="J200" s="3181">
        <f t="shared" si="1757"/>
        <v>0</v>
      </c>
      <c r="K200" s="3181">
        <f t="shared" si="1757"/>
        <v>0</v>
      </c>
      <c r="L200" s="3181">
        <f t="shared" si="1757"/>
        <v>0</v>
      </c>
      <c r="M200" s="3181">
        <f t="shared" si="1757"/>
        <v>0</v>
      </c>
      <c r="N200" s="3181">
        <f t="shared" si="1757"/>
        <v>7.67</v>
      </c>
      <c r="O200" s="3181">
        <f t="shared" si="1757"/>
        <v>7.67</v>
      </c>
      <c r="P200" s="3181">
        <f t="shared" si="1757"/>
        <v>0</v>
      </c>
      <c r="Q200" s="3280">
        <f t="shared" si="1757"/>
        <v>7.3175000000000008</v>
      </c>
      <c r="R200" s="3280">
        <f t="shared" si="1757"/>
        <v>7.2746934843104549</v>
      </c>
      <c r="S200" s="3280">
        <f t="shared" si="1757"/>
        <v>4.2806515689546035E-2</v>
      </c>
      <c r="T200" s="3181">
        <f t="shared" si="1757"/>
        <v>0</v>
      </c>
      <c r="U200" s="3181">
        <f t="shared" si="1757"/>
        <v>0</v>
      </c>
      <c r="V200" s="3181">
        <f t="shared" si="1757"/>
        <v>0</v>
      </c>
      <c r="W200" s="3181">
        <f t="shared" si="1757"/>
        <v>0</v>
      </c>
      <c r="X200" s="3181">
        <f t="shared" si="1757"/>
        <v>0</v>
      </c>
      <c r="Y200" s="3181">
        <f t="shared" si="1757"/>
        <v>0</v>
      </c>
      <c r="Z200" s="3181">
        <f t="shared" si="1757"/>
        <v>0</v>
      </c>
      <c r="AA200" s="3181">
        <f t="shared" si="1757"/>
        <v>0</v>
      </c>
      <c r="AB200" s="3181">
        <f t="shared" si="1757"/>
        <v>0</v>
      </c>
      <c r="AC200" s="3181">
        <f t="shared" si="1757"/>
        <v>0</v>
      </c>
      <c r="AD200" s="3181">
        <f t="shared" si="1757"/>
        <v>0</v>
      </c>
      <c r="AE200" s="3181">
        <f t="shared" si="1757"/>
        <v>0</v>
      </c>
      <c r="AF200" s="3286">
        <f t="shared" si="1677"/>
        <v>14.635000000000002</v>
      </c>
      <c r="AG200" s="3286">
        <f t="shared" si="1678"/>
        <v>14.54938696862091</v>
      </c>
      <c r="AH200" s="3286">
        <f t="shared" si="1679"/>
        <v>8.5613031379092069E-2</v>
      </c>
      <c r="AI200" s="3171">
        <f t="shared" si="1701"/>
        <v>7.67</v>
      </c>
      <c r="AJ200" s="3171">
        <f t="shared" si="1702"/>
        <v>7.67</v>
      </c>
      <c r="AK200" s="3171">
        <f t="shared" si="1703"/>
        <v>0</v>
      </c>
      <c r="AL200" s="3171">
        <f t="shared" si="1680"/>
        <v>-6.9650000000000016</v>
      </c>
      <c r="AM200" s="3171">
        <f t="shared" si="1681"/>
        <v>-6.8793869686209099</v>
      </c>
      <c r="AN200" s="3171">
        <f t="shared" si="1682"/>
        <v>-8.5613031379092069E-2</v>
      </c>
      <c r="AO200" s="3280">
        <f t="shared" si="1732"/>
        <v>7.3175000000000008</v>
      </c>
      <c r="AP200" s="3280">
        <f t="shared" ref="AP200:BC200" si="1758">SUM(AP56)</f>
        <v>7.2746934843104549</v>
      </c>
      <c r="AQ200" s="3280">
        <f t="shared" si="1758"/>
        <v>4.2806515689546035E-2</v>
      </c>
      <c r="AR200" s="3181">
        <f t="shared" si="1758"/>
        <v>0.92</v>
      </c>
      <c r="AS200" s="3181">
        <f t="shared" si="1758"/>
        <v>0.92</v>
      </c>
      <c r="AT200" s="3181">
        <f t="shared" si="1758"/>
        <v>0</v>
      </c>
      <c r="AU200" s="3181">
        <f t="shared" si="1758"/>
        <v>6.12</v>
      </c>
      <c r="AV200" s="3181">
        <f t="shared" si="1758"/>
        <v>6.12</v>
      </c>
      <c r="AW200" s="3181">
        <f t="shared" si="1758"/>
        <v>0</v>
      </c>
      <c r="AX200" s="3181">
        <f t="shared" si="1758"/>
        <v>11.67</v>
      </c>
      <c r="AY200" s="3181">
        <f t="shared" si="1758"/>
        <v>11.67</v>
      </c>
      <c r="AZ200" s="3181">
        <f t="shared" si="1758"/>
        <v>0</v>
      </c>
      <c r="BA200" s="3181">
        <f t="shared" si="1758"/>
        <v>18.71</v>
      </c>
      <c r="BB200" s="3181">
        <f t="shared" si="1758"/>
        <v>18.71</v>
      </c>
      <c r="BC200" s="3181">
        <f t="shared" si="1758"/>
        <v>0</v>
      </c>
      <c r="BD200" s="3286">
        <f t="shared" si="1684"/>
        <v>21.952500000000001</v>
      </c>
      <c r="BE200" s="3286">
        <f t="shared" si="1749"/>
        <v>21.824080452931366</v>
      </c>
      <c r="BF200" s="3286">
        <f t="shared" si="1750"/>
        <v>0.12841954706863812</v>
      </c>
      <c r="BG200" s="3171">
        <f t="shared" si="1705"/>
        <v>26.380000000000003</v>
      </c>
      <c r="BH200" s="3171">
        <f t="shared" si="1706"/>
        <v>26.380000000000003</v>
      </c>
      <c r="BI200" s="3171">
        <f t="shared" si="1707"/>
        <v>0</v>
      </c>
      <c r="BJ200" s="3171">
        <f t="shared" si="1688"/>
        <v>4.427500000000002</v>
      </c>
      <c r="BK200" s="3171">
        <f t="shared" si="1689"/>
        <v>4.5559195470686369</v>
      </c>
      <c r="BL200" s="3171">
        <f t="shared" si="1690"/>
        <v>-0.12841954706863812</v>
      </c>
      <c r="BM200" s="3280">
        <f t="shared" si="1734"/>
        <v>7.3175000000000008</v>
      </c>
      <c r="BN200" s="3280">
        <f t="shared" ref="BN200:CA200" si="1759">SUM(BN56)</f>
        <v>7.2746934843104549</v>
      </c>
      <c r="BO200" s="3280">
        <f t="shared" si="1759"/>
        <v>4.2806515689546035E-2</v>
      </c>
      <c r="BP200" s="3181">
        <f t="shared" si="1759"/>
        <v>0</v>
      </c>
      <c r="BQ200" s="3181">
        <f t="shared" si="1759"/>
        <v>0</v>
      </c>
      <c r="BR200" s="3181">
        <f t="shared" si="1759"/>
        <v>0</v>
      </c>
      <c r="BS200" s="3181">
        <f t="shared" si="1759"/>
        <v>0</v>
      </c>
      <c r="BT200" s="3181">
        <f t="shared" si="1759"/>
        <v>0</v>
      </c>
      <c r="BU200" s="3181">
        <f t="shared" si="1759"/>
        <v>0</v>
      </c>
      <c r="BV200" s="3181">
        <f t="shared" si="1759"/>
        <v>0</v>
      </c>
      <c r="BW200" s="3181">
        <f t="shared" si="1759"/>
        <v>0</v>
      </c>
      <c r="BX200" s="3181">
        <f t="shared" si="1759"/>
        <v>0</v>
      </c>
      <c r="BY200" s="3181">
        <f t="shared" si="1759"/>
        <v>0</v>
      </c>
      <c r="BZ200" s="3181">
        <f t="shared" si="1759"/>
        <v>0</v>
      </c>
      <c r="CA200" s="3181">
        <f t="shared" si="1759"/>
        <v>0</v>
      </c>
      <c r="CB200" s="3286">
        <f t="shared" si="1692"/>
        <v>29.270000000000003</v>
      </c>
      <c r="CC200" s="3286">
        <f t="shared" si="1752"/>
        <v>29.09877393724182</v>
      </c>
      <c r="CD200" s="3286">
        <f t="shared" si="1753"/>
        <v>0.17122606275818414</v>
      </c>
      <c r="CE200" s="3171">
        <f t="shared" si="1709"/>
        <v>26.380000000000003</v>
      </c>
      <c r="CF200" s="3171">
        <f t="shared" si="1710"/>
        <v>26.380000000000003</v>
      </c>
      <c r="CG200" s="3171">
        <f t="shared" si="1711"/>
        <v>0</v>
      </c>
      <c r="CH200" s="3171">
        <f t="shared" si="1696"/>
        <v>-2.8900000000000006</v>
      </c>
      <c r="CI200" s="3171">
        <f t="shared" si="1697"/>
        <v>-2.7187739372418172</v>
      </c>
      <c r="CJ200" s="3171">
        <f t="shared" si="1698"/>
        <v>-0.17122606275818414</v>
      </c>
      <c r="CK200" s="396"/>
      <c r="CL200" s="5"/>
    </row>
    <row r="201" spans="1:90" ht="18.75" customHeight="1" x14ac:dyDescent="0.3">
      <c r="A201" s="3172" t="s">
        <v>607</v>
      </c>
      <c r="B201" s="3280">
        <f t="shared" si="1729"/>
        <v>66.905000000000001</v>
      </c>
      <c r="C201" s="3280">
        <f t="shared" si="1746"/>
        <v>66.51361360680437</v>
      </c>
      <c r="D201" s="3280">
        <f t="shared" si="1746"/>
        <v>0.39138639319563751</v>
      </c>
      <c r="E201" s="3181">
        <f t="shared" ref="E201:AE201" si="1760">SUM(E57)</f>
        <v>0.35</v>
      </c>
      <c r="F201" s="3181">
        <f t="shared" si="1760"/>
        <v>0.35</v>
      </c>
      <c r="G201" s="3181">
        <f t="shared" si="1760"/>
        <v>0</v>
      </c>
      <c r="H201" s="3181">
        <f t="shared" si="1760"/>
        <v>0.35</v>
      </c>
      <c r="I201" s="3181">
        <f t="shared" si="1760"/>
        <v>0.35</v>
      </c>
      <c r="J201" s="3181">
        <f t="shared" si="1760"/>
        <v>0</v>
      </c>
      <c r="K201" s="3181">
        <f t="shared" si="1760"/>
        <v>62.24</v>
      </c>
      <c r="L201" s="3181">
        <f t="shared" si="1760"/>
        <v>62.24</v>
      </c>
      <c r="M201" s="3181">
        <f t="shared" si="1760"/>
        <v>0</v>
      </c>
      <c r="N201" s="3181">
        <f t="shared" si="1760"/>
        <v>62.940000000000005</v>
      </c>
      <c r="O201" s="3181">
        <f t="shared" si="1760"/>
        <v>62.940000000000005</v>
      </c>
      <c r="P201" s="3181">
        <f t="shared" si="1760"/>
        <v>0</v>
      </c>
      <c r="Q201" s="3280">
        <f t="shared" si="1760"/>
        <v>66.905000000000001</v>
      </c>
      <c r="R201" s="3280">
        <f t="shared" si="1760"/>
        <v>66.51361360680437</v>
      </c>
      <c r="S201" s="3280">
        <f t="shared" si="1760"/>
        <v>0.39138639319563751</v>
      </c>
      <c r="T201" s="3181">
        <f t="shared" si="1760"/>
        <v>0.35</v>
      </c>
      <c r="U201" s="3181">
        <f t="shared" si="1760"/>
        <v>0.35</v>
      </c>
      <c r="V201" s="3181">
        <f t="shared" si="1760"/>
        <v>0</v>
      </c>
      <c r="W201" s="3181">
        <f t="shared" si="1760"/>
        <v>0.35</v>
      </c>
      <c r="X201" s="3181">
        <f t="shared" si="1760"/>
        <v>0.35</v>
      </c>
      <c r="Y201" s="3181">
        <f t="shared" si="1760"/>
        <v>0</v>
      </c>
      <c r="Z201" s="3181">
        <f t="shared" si="1760"/>
        <v>22.03</v>
      </c>
      <c r="AA201" s="3181">
        <f t="shared" si="1760"/>
        <v>22.03</v>
      </c>
      <c r="AB201" s="3181">
        <f t="shared" si="1760"/>
        <v>0</v>
      </c>
      <c r="AC201" s="3181">
        <f t="shared" si="1760"/>
        <v>22.73</v>
      </c>
      <c r="AD201" s="3181">
        <f t="shared" si="1760"/>
        <v>22.73</v>
      </c>
      <c r="AE201" s="3181">
        <f t="shared" si="1760"/>
        <v>0</v>
      </c>
      <c r="AF201" s="3286">
        <f t="shared" si="1677"/>
        <v>133.81</v>
      </c>
      <c r="AG201" s="3286">
        <f t="shared" si="1678"/>
        <v>133.02722721360874</v>
      </c>
      <c r="AH201" s="3286">
        <f t="shared" si="1679"/>
        <v>0.78277278639127501</v>
      </c>
      <c r="AI201" s="3171">
        <f t="shared" si="1701"/>
        <v>85.67</v>
      </c>
      <c r="AJ201" s="3171">
        <f t="shared" si="1702"/>
        <v>85.67</v>
      </c>
      <c r="AK201" s="3171">
        <f t="shared" si="1703"/>
        <v>0</v>
      </c>
      <c r="AL201" s="3171">
        <f t="shared" si="1680"/>
        <v>-48.14</v>
      </c>
      <c r="AM201" s="3171">
        <f t="shared" si="1681"/>
        <v>-47.357227213608738</v>
      </c>
      <c r="AN201" s="3171">
        <f t="shared" si="1682"/>
        <v>-0.78277278639127501</v>
      </c>
      <c r="AO201" s="3280">
        <f t="shared" si="1732"/>
        <v>66.905000000000001</v>
      </c>
      <c r="AP201" s="3280">
        <f t="shared" ref="AP201:BC201" si="1761">SUM(AP57)</f>
        <v>66.51361360680437</v>
      </c>
      <c r="AQ201" s="3280">
        <f t="shared" si="1761"/>
        <v>0.39138639319563751</v>
      </c>
      <c r="AR201" s="3181">
        <f t="shared" si="1761"/>
        <v>0.35</v>
      </c>
      <c r="AS201" s="3181">
        <f t="shared" si="1761"/>
        <v>0.35</v>
      </c>
      <c r="AT201" s="3181">
        <f t="shared" si="1761"/>
        <v>0</v>
      </c>
      <c r="AU201" s="3181">
        <f t="shared" si="1761"/>
        <v>18.899999999999999</v>
      </c>
      <c r="AV201" s="3181">
        <f t="shared" si="1761"/>
        <v>18.899999999999999</v>
      </c>
      <c r="AW201" s="3181">
        <f t="shared" si="1761"/>
        <v>0</v>
      </c>
      <c r="AX201" s="3181">
        <f t="shared" si="1761"/>
        <v>0</v>
      </c>
      <c r="AY201" s="3181">
        <f t="shared" si="1761"/>
        <v>0</v>
      </c>
      <c r="AZ201" s="3181">
        <f t="shared" si="1761"/>
        <v>0</v>
      </c>
      <c r="BA201" s="3181">
        <f t="shared" si="1761"/>
        <v>19.25</v>
      </c>
      <c r="BB201" s="3181">
        <f t="shared" si="1761"/>
        <v>19.25</v>
      </c>
      <c r="BC201" s="3181">
        <f t="shared" si="1761"/>
        <v>0</v>
      </c>
      <c r="BD201" s="3286">
        <f t="shared" si="1684"/>
        <v>200.715</v>
      </c>
      <c r="BE201" s="3286">
        <f t="shared" si="1749"/>
        <v>199.54084082041311</v>
      </c>
      <c r="BF201" s="3286">
        <f t="shared" si="1750"/>
        <v>1.1741591795869124</v>
      </c>
      <c r="BG201" s="3171">
        <f t="shared" si="1705"/>
        <v>104.92</v>
      </c>
      <c r="BH201" s="3171">
        <f t="shared" si="1706"/>
        <v>104.92</v>
      </c>
      <c r="BI201" s="3171">
        <f t="shared" si="1707"/>
        <v>0</v>
      </c>
      <c r="BJ201" s="3171">
        <f t="shared" si="1688"/>
        <v>-95.795000000000002</v>
      </c>
      <c r="BK201" s="3171">
        <f t="shared" si="1689"/>
        <v>-94.620840820413108</v>
      </c>
      <c r="BL201" s="3171">
        <f t="shared" si="1690"/>
        <v>-1.1741591795869124</v>
      </c>
      <c r="BM201" s="3280">
        <f t="shared" si="1734"/>
        <v>66.905000000000001</v>
      </c>
      <c r="BN201" s="3280">
        <f t="shared" ref="BN201:CA201" si="1762">SUM(BN57)</f>
        <v>66.51361360680437</v>
      </c>
      <c r="BO201" s="3280">
        <f t="shared" si="1762"/>
        <v>0.39138639319563751</v>
      </c>
      <c r="BP201" s="3181">
        <f t="shared" si="1762"/>
        <v>0</v>
      </c>
      <c r="BQ201" s="3181">
        <f t="shared" si="1762"/>
        <v>0</v>
      </c>
      <c r="BR201" s="3181">
        <f t="shared" si="1762"/>
        <v>0</v>
      </c>
      <c r="BS201" s="3181">
        <f t="shared" si="1762"/>
        <v>0</v>
      </c>
      <c r="BT201" s="3181">
        <f t="shared" si="1762"/>
        <v>0</v>
      </c>
      <c r="BU201" s="3181">
        <f t="shared" si="1762"/>
        <v>0</v>
      </c>
      <c r="BV201" s="3181">
        <f t="shared" si="1762"/>
        <v>0</v>
      </c>
      <c r="BW201" s="3181">
        <f t="shared" si="1762"/>
        <v>0</v>
      </c>
      <c r="BX201" s="3181">
        <f t="shared" si="1762"/>
        <v>0</v>
      </c>
      <c r="BY201" s="3181">
        <f t="shared" si="1762"/>
        <v>0</v>
      </c>
      <c r="BZ201" s="3181">
        <f t="shared" si="1762"/>
        <v>0</v>
      </c>
      <c r="CA201" s="3181">
        <f t="shared" si="1762"/>
        <v>0</v>
      </c>
      <c r="CB201" s="3286">
        <f t="shared" si="1692"/>
        <v>267.62</v>
      </c>
      <c r="CC201" s="3286">
        <f t="shared" si="1752"/>
        <v>266.05445442721748</v>
      </c>
      <c r="CD201" s="3286">
        <f t="shared" si="1753"/>
        <v>1.56554557278255</v>
      </c>
      <c r="CE201" s="3171">
        <f t="shared" si="1709"/>
        <v>104.92</v>
      </c>
      <c r="CF201" s="3171">
        <f t="shared" si="1710"/>
        <v>104.92</v>
      </c>
      <c r="CG201" s="3171">
        <f t="shared" si="1711"/>
        <v>0</v>
      </c>
      <c r="CH201" s="3171">
        <f t="shared" si="1696"/>
        <v>-162.69999999999999</v>
      </c>
      <c r="CI201" s="3171">
        <f t="shared" si="1697"/>
        <v>-161.13445442721746</v>
      </c>
      <c r="CJ201" s="3171">
        <f t="shared" si="1698"/>
        <v>-1.56554557278255</v>
      </c>
      <c r="CK201" s="396"/>
      <c r="CL201" s="5"/>
    </row>
    <row r="202" spans="1:90" ht="18.75" customHeight="1" x14ac:dyDescent="0.3">
      <c r="A202" s="3172" t="s">
        <v>611</v>
      </c>
      <c r="B202" s="3280">
        <f t="shared" si="1729"/>
        <v>0</v>
      </c>
      <c r="C202" s="3280">
        <f t="shared" si="1746"/>
        <v>0</v>
      </c>
      <c r="D202" s="3280">
        <f t="shared" si="1746"/>
        <v>0</v>
      </c>
      <c r="E202" s="3181">
        <f t="shared" ref="E202:AE202" si="1763">SUM(E58)</f>
        <v>36.56</v>
      </c>
      <c r="F202" s="3181">
        <f t="shared" si="1763"/>
        <v>36.56</v>
      </c>
      <c r="G202" s="3181">
        <f t="shared" si="1763"/>
        <v>0</v>
      </c>
      <c r="H202" s="3181">
        <f t="shared" si="1763"/>
        <v>41.52</v>
      </c>
      <c r="I202" s="3181">
        <f t="shared" si="1763"/>
        <v>41.52</v>
      </c>
      <c r="J202" s="3181">
        <f t="shared" si="1763"/>
        <v>0</v>
      </c>
      <c r="K202" s="3181">
        <f t="shared" si="1763"/>
        <v>39.04</v>
      </c>
      <c r="L202" s="3181">
        <f t="shared" si="1763"/>
        <v>39.04</v>
      </c>
      <c r="M202" s="3181">
        <f t="shared" si="1763"/>
        <v>0</v>
      </c>
      <c r="N202" s="3181">
        <f t="shared" si="1763"/>
        <v>117.12</v>
      </c>
      <c r="O202" s="3181">
        <f t="shared" si="1763"/>
        <v>117.12</v>
      </c>
      <c r="P202" s="3181">
        <f t="shared" si="1763"/>
        <v>0</v>
      </c>
      <c r="Q202" s="3280">
        <f t="shared" si="1763"/>
        <v>0</v>
      </c>
      <c r="R202" s="3280">
        <f t="shared" si="1763"/>
        <v>0</v>
      </c>
      <c r="S202" s="3280">
        <f t="shared" si="1763"/>
        <v>0</v>
      </c>
      <c r="T202" s="3181">
        <f t="shared" si="1763"/>
        <v>37.64</v>
      </c>
      <c r="U202" s="3181">
        <f t="shared" si="1763"/>
        <v>37.64</v>
      </c>
      <c r="V202" s="3181">
        <f t="shared" si="1763"/>
        <v>0</v>
      </c>
      <c r="W202" s="3181">
        <f t="shared" si="1763"/>
        <v>37.72</v>
      </c>
      <c r="X202" s="3181">
        <f t="shared" si="1763"/>
        <v>37.72</v>
      </c>
      <c r="Y202" s="3181">
        <f t="shared" si="1763"/>
        <v>0</v>
      </c>
      <c r="Z202" s="3181">
        <f t="shared" si="1763"/>
        <v>37.24</v>
      </c>
      <c r="AA202" s="3181">
        <f t="shared" si="1763"/>
        <v>37.24</v>
      </c>
      <c r="AB202" s="3181">
        <f t="shared" si="1763"/>
        <v>0</v>
      </c>
      <c r="AC202" s="3181">
        <f t="shared" si="1763"/>
        <v>112.6</v>
      </c>
      <c r="AD202" s="3181">
        <f t="shared" si="1763"/>
        <v>112.6</v>
      </c>
      <c r="AE202" s="3181">
        <f t="shared" si="1763"/>
        <v>0</v>
      </c>
      <c r="AF202" s="3286">
        <f t="shared" si="1677"/>
        <v>0</v>
      </c>
      <c r="AG202" s="3286">
        <f t="shared" si="1678"/>
        <v>0</v>
      </c>
      <c r="AH202" s="3286">
        <f t="shared" si="1679"/>
        <v>0</v>
      </c>
      <c r="AI202" s="3171">
        <f t="shared" si="1701"/>
        <v>229.72</v>
      </c>
      <c r="AJ202" s="3171">
        <f t="shared" si="1702"/>
        <v>229.72</v>
      </c>
      <c r="AK202" s="3171">
        <f t="shared" si="1703"/>
        <v>0</v>
      </c>
      <c r="AL202" s="3171">
        <f t="shared" si="1680"/>
        <v>229.72</v>
      </c>
      <c r="AM202" s="3171">
        <f t="shared" si="1681"/>
        <v>229.72</v>
      </c>
      <c r="AN202" s="3171">
        <f t="shared" si="1682"/>
        <v>0</v>
      </c>
      <c r="AO202" s="3280">
        <f t="shared" si="1732"/>
        <v>0</v>
      </c>
      <c r="AP202" s="3280">
        <f t="shared" ref="AP202:BC202" si="1764">SUM(AP58)</f>
        <v>0</v>
      </c>
      <c r="AQ202" s="3280">
        <f t="shared" si="1764"/>
        <v>0</v>
      </c>
      <c r="AR202" s="3181">
        <f t="shared" si="1764"/>
        <v>36.54</v>
      </c>
      <c r="AS202" s="3181">
        <f t="shared" si="1764"/>
        <v>36.54</v>
      </c>
      <c r="AT202" s="3181">
        <f t="shared" si="1764"/>
        <v>0</v>
      </c>
      <c r="AU202" s="3181">
        <f t="shared" si="1764"/>
        <v>32.85</v>
      </c>
      <c r="AV202" s="3181">
        <f t="shared" si="1764"/>
        <v>32.85</v>
      </c>
      <c r="AW202" s="3181">
        <f t="shared" si="1764"/>
        <v>0</v>
      </c>
      <c r="AX202" s="3181">
        <f t="shared" si="1764"/>
        <v>36.81</v>
      </c>
      <c r="AY202" s="3181">
        <f t="shared" si="1764"/>
        <v>36.81</v>
      </c>
      <c r="AZ202" s="3181">
        <f t="shared" si="1764"/>
        <v>0</v>
      </c>
      <c r="BA202" s="3181">
        <f t="shared" si="1764"/>
        <v>106.2</v>
      </c>
      <c r="BB202" s="3181">
        <f t="shared" si="1764"/>
        <v>106.2</v>
      </c>
      <c r="BC202" s="3181">
        <f t="shared" si="1764"/>
        <v>0</v>
      </c>
      <c r="BD202" s="3286">
        <f t="shared" si="1684"/>
        <v>0</v>
      </c>
      <c r="BE202" s="3286">
        <f t="shared" si="1749"/>
        <v>0</v>
      </c>
      <c r="BF202" s="3286">
        <f t="shared" si="1750"/>
        <v>0</v>
      </c>
      <c r="BG202" s="3171">
        <f t="shared" si="1705"/>
        <v>335.92</v>
      </c>
      <c r="BH202" s="3171">
        <f t="shared" si="1706"/>
        <v>335.92</v>
      </c>
      <c r="BI202" s="3171">
        <f t="shared" si="1707"/>
        <v>0</v>
      </c>
      <c r="BJ202" s="3171">
        <f t="shared" si="1688"/>
        <v>335.92</v>
      </c>
      <c r="BK202" s="3171">
        <f t="shared" si="1689"/>
        <v>335.92</v>
      </c>
      <c r="BL202" s="3171">
        <f t="shared" si="1690"/>
        <v>0</v>
      </c>
      <c r="BM202" s="3280">
        <f t="shared" si="1734"/>
        <v>0</v>
      </c>
      <c r="BN202" s="3280">
        <f t="shared" ref="BN202:CA202" si="1765">SUM(BN58)</f>
        <v>0</v>
      </c>
      <c r="BO202" s="3280">
        <f t="shared" si="1765"/>
        <v>0</v>
      </c>
      <c r="BP202" s="3181">
        <f t="shared" si="1765"/>
        <v>0</v>
      </c>
      <c r="BQ202" s="3181">
        <f t="shared" si="1765"/>
        <v>0</v>
      </c>
      <c r="BR202" s="3181">
        <f t="shared" si="1765"/>
        <v>0</v>
      </c>
      <c r="BS202" s="3181">
        <f t="shared" si="1765"/>
        <v>0</v>
      </c>
      <c r="BT202" s="3181">
        <f t="shared" si="1765"/>
        <v>0</v>
      </c>
      <c r="BU202" s="3181">
        <f t="shared" si="1765"/>
        <v>0</v>
      </c>
      <c r="BV202" s="3181">
        <f t="shared" si="1765"/>
        <v>0</v>
      </c>
      <c r="BW202" s="3181">
        <f t="shared" si="1765"/>
        <v>0</v>
      </c>
      <c r="BX202" s="3181">
        <f t="shared" si="1765"/>
        <v>0</v>
      </c>
      <c r="BY202" s="3181">
        <f t="shared" si="1765"/>
        <v>0</v>
      </c>
      <c r="BZ202" s="3181">
        <f t="shared" si="1765"/>
        <v>0</v>
      </c>
      <c r="CA202" s="3181">
        <f t="shared" si="1765"/>
        <v>0</v>
      </c>
      <c r="CB202" s="3286">
        <f t="shared" si="1692"/>
        <v>0</v>
      </c>
      <c r="CC202" s="3286">
        <f t="shared" si="1752"/>
        <v>0</v>
      </c>
      <c r="CD202" s="3286">
        <f t="shared" si="1753"/>
        <v>0</v>
      </c>
      <c r="CE202" s="3171">
        <f t="shared" si="1709"/>
        <v>335.92</v>
      </c>
      <c r="CF202" s="3171">
        <f t="shared" si="1710"/>
        <v>335.92</v>
      </c>
      <c r="CG202" s="3171">
        <f t="shared" si="1711"/>
        <v>0</v>
      </c>
      <c r="CH202" s="3171">
        <f t="shared" si="1696"/>
        <v>335.92</v>
      </c>
      <c r="CI202" s="3171">
        <f t="shared" si="1697"/>
        <v>335.92</v>
      </c>
      <c r="CJ202" s="3171">
        <f t="shared" si="1698"/>
        <v>0</v>
      </c>
      <c r="CK202" s="396"/>
      <c r="CL202" s="5"/>
    </row>
    <row r="203" spans="1:90" ht="18.75" customHeight="1" x14ac:dyDescent="0.3">
      <c r="A203" s="3172" t="s">
        <v>608</v>
      </c>
      <c r="B203" s="3280">
        <f t="shared" si="1729"/>
        <v>0</v>
      </c>
      <c r="C203" s="3280">
        <f t="shared" si="1746"/>
        <v>0</v>
      </c>
      <c r="D203" s="3280">
        <f t="shared" si="1746"/>
        <v>0</v>
      </c>
      <c r="E203" s="3181">
        <f t="shared" ref="E203:AE203" si="1766">SUM(E59)</f>
        <v>0</v>
      </c>
      <c r="F203" s="3181">
        <f t="shared" si="1766"/>
        <v>0</v>
      </c>
      <c r="G203" s="3181">
        <f t="shared" si="1766"/>
        <v>0</v>
      </c>
      <c r="H203" s="3181">
        <f t="shared" si="1766"/>
        <v>8.92</v>
      </c>
      <c r="I203" s="3181">
        <f t="shared" si="1766"/>
        <v>8.92</v>
      </c>
      <c r="J203" s="3181">
        <f t="shared" si="1766"/>
        <v>0</v>
      </c>
      <c r="K203" s="3181">
        <f t="shared" si="1766"/>
        <v>8.85</v>
      </c>
      <c r="L203" s="3181">
        <f t="shared" si="1766"/>
        <v>8.85</v>
      </c>
      <c r="M203" s="3181">
        <f t="shared" si="1766"/>
        <v>0</v>
      </c>
      <c r="N203" s="3181">
        <f t="shared" si="1766"/>
        <v>17.77</v>
      </c>
      <c r="O203" s="3181">
        <f t="shared" si="1766"/>
        <v>17.77</v>
      </c>
      <c r="P203" s="3181">
        <f t="shared" si="1766"/>
        <v>0</v>
      </c>
      <c r="Q203" s="3280">
        <f t="shared" si="1766"/>
        <v>0</v>
      </c>
      <c r="R203" s="3280">
        <f t="shared" si="1766"/>
        <v>0</v>
      </c>
      <c r="S203" s="3280">
        <f t="shared" si="1766"/>
        <v>0</v>
      </c>
      <c r="T203" s="3181">
        <f t="shared" si="1766"/>
        <v>8.3000000000000007</v>
      </c>
      <c r="U203" s="3181">
        <f t="shared" si="1766"/>
        <v>8.3000000000000007</v>
      </c>
      <c r="V203" s="3181">
        <f t="shared" si="1766"/>
        <v>0</v>
      </c>
      <c r="W203" s="3181">
        <f t="shared" si="1766"/>
        <v>8.34</v>
      </c>
      <c r="X203" s="3181">
        <f t="shared" si="1766"/>
        <v>8.34</v>
      </c>
      <c r="Y203" s="3181">
        <f t="shared" si="1766"/>
        <v>0</v>
      </c>
      <c r="Z203" s="3181">
        <f t="shared" si="1766"/>
        <v>8.11</v>
      </c>
      <c r="AA203" s="3181">
        <f t="shared" si="1766"/>
        <v>8.11</v>
      </c>
      <c r="AB203" s="3181">
        <f t="shared" si="1766"/>
        <v>0</v>
      </c>
      <c r="AC203" s="3181">
        <f t="shared" si="1766"/>
        <v>24.75</v>
      </c>
      <c r="AD203" s="3181">
        <f t="shared" si="1766"/>
        <v>24.75</v>
      </c>
      <c r="AE203" s="3181">
        <f t="shared" si="1766"/>
        <v>0</v>
      </c>
      <c r="AF203" s="3286">
        <f t="shared" si="1677"/>
        <v>0</v>
      </c>
      <c r="AG203" s="3286">
        <f t="shared" si="1678"/>
        <v>0</v>
      </c>
      <c r="AH203" s="3286">
        <f t="shared" si="1679"/>
        <v>0</v>
      </c>
      <c r="AI203" s="3171">
        <f t="shared" si="1701"/>
        <v>42.519999999999996</v>
      </c>
      <c r="AJ203" s="3171">
        <f t="shared" si="1702"/>
        <v>42.519999999999996</v>
      </c>
      <c r="AK203" s="3171">
        <f t="shared" si="1703"/>
        <v>0</v>
      </c>
      <c r="AL203" s="3171">
        <f t="shared" si="1680"/>
        <v>42.519999999999996</v>
      </c>
      <c r="AM203" s="3171">
        <f t="shared" si="1681"/>
        <v>42.519999999999996</v>
      </c>
      <c r="AN203" s="3171">
        <f t="shared" si="1682"/>
        <v>0</v>
      </c>
      <c r="AO203" s="3280">
        <f t="shared" si="1732"/>
        <v>0</v>
      </c>
      <c r="AP203" s="3280">
        <f t="shared" ref="AP203:BC203" si="1767">SUM(AP59)</f>
        <v>0</v>
      </c>
      <c r="AQ203" s="3280">
        <f t="shared" si="1767"/>
        <v>0</v>
      </c>
      <c r="AR203" s="3181">
        <f t="shared" si="1767"/>
        <v>8.06</v>
      </c>
      <c r="AS203" s="3181">
        <f t="shared" si="1767"/>
        <v>8.06</v>
      </c>
      <c r="AT203" s="3181">
        <f t="shared" si="1767"/>
        <v>0</v>
      </c>
      <c r="AU203" s="3181">
        <f t="shared" si="1767"/>
        <v>7.99</v>
      </c>
      <c r="AV203" s="3181">
        <f t="shared" si="1767"/>
        <v>7.99</v>
      </c>
      <c r="AW203" s="3181">
        <f t="shared" si="1767"/>
        <v>0</v>
      </c>
      <c r="AX203" s="3181">
        <f t="shared" si="1767"/>
        <v>8.19</v>
      </c>
      <c r="AY203" s="3181">
        <f t="shared" si="1767"/>
        <v>8.19</v>
      </c>
      <c r="AZ203" s="3181">
        <f t="shared" si="1767"/>
        <v>0</v>
      </c>
      <c r="BA203" s="3181">
        <f t="shared" si="1767"/>
        <v>24.240000000000002</v>
      </c>
      <c r="BB203" s="3181">
        <f t="shared" si="1767"/>
        <v>24.240000000000002</v>
      </c>
      <c r="BC203" s="3181">
        <f t="shared" si="1767"/>
        <v>0</v>
      </c>
      <c r="BD203" s="3286">
        <f t="shared" si="1684"/>
        <v>0</v>
      </c>
      <c r="BE203" s="3286">
        <f t="shared" si="1749"/>
        <v>0</v>
      </c>
      <c r="BF203" s="3286">
        <f t="shared" si="1750"/>
        <v>0</v>
      </c>
      <c r="BG203" s="3171">
        <f t="shared" si="1705"/>
        <v>66.759999999999991</v>
      </c>
      <c r="BH203" s="3171">
        <f t="shared" si="1706"/>
        <v>66.759999999999991</v>
      </c>
      <c r="BI203" s="3171">
        <f t="shared" si="1707"/>
        <v>0</v>
      </c>
      <c r="BJ203" s="3171">
        <f t="shared" si="1688"/>
        <v>66.759999999999991</v>
      </c>
      <c r="BK203" s="3171">
        <f t="shared" si="1689"/>
        <v>66.759999999999991</v>
      </c>
      <c r="BL203" s="3171">
        <f t="shared" si="1690"/>
        <v>0</v>
      </c>
      <c r="BM203" s="3280">
        <f t="shared" si="1734"/>
        <v>0</v>
      </c>
      <c r="BN203" s="3280">
        <f t="shared" ref="BN203:CA203" si="1768">SUM(BN59)</f>
        <v>0</v>
      </c>
      <c r="BO203" s="3280">
        <f t="shared" si="1768"/>
        <v>0</v>
      </c>
      <c r="BP203" s="3181">
        <f t="shared" si="1768"/>
        <v>0</v>
      </c>
      <c r="BQ203" s="3181">
        <f t="shared" si="1768"/>
        <v>0</v>
      </c>
      <c r="BR203" s="3181">
        <f t="shared" si="1768"/>
        <v>0</v>
      </c>
      <c r="BS203" s="3181">
        <f t="shared" si="1768"/>
        <v>0</v>
      </c>
      <c r="BT203" s="3181">
        <f t="shared" si="1768"/>
        <v>0</v>
      </c>
      <c r="BU203" s="3181">
        <f t="shared" si="1768"/>
        <v>0</v>
      </c>
      <c r="BV203" s="3181">
        <f t="shared" si="1768"/>
        <v>0</v>
      </c>
      <c r="BW203" s="3181">
        <f t="shared" si="1768"/>
        <v>0</v>
      </c>
      <c r="BX203" s="3181">
        <f t="shared" si="1768"/>
        <v>0</v>
      </c>
      <c r="BY203" s="3181">
        <f t="shared" si="1768"/>
        <v>0</v>
      </c>
      <c r="BZ203" s="3181">
        <f t="shared" si="1768"/>
        <v>0</v>
      </c>
      <c r="CA203" s="3181">
        <f t="shared" si="1768"/>
        <v>0</v>
      </c>
      <c r="CB203" s="3286">
        <f t="shared" si="1692"/>
        <v>0</v>
      </c>
      <c r="CC203" s="3286">
        <f t="shared" si="1752"/>
        <v>0</v>
      </c>
      <c r="CD203" s="3286">
        <f t="shared" si="1753"/>
        <v>0</v>
      </c>
      <c r="CE203" s="3171">
        <f t="shared" si="1709"/>
        <v>66.759999999999991</v>
      </c>
      <c r="CF203" s="3171">
        <f t="shared" si="1710"/>
        <v>66.759999999999991</v>
      </c>
      <c r="CG203" s="3171">
        <f t="shared" si="1711"/>
        <v>0</v>
      </c>
      <c r="CH203" s="3171">
        <f t="shared" si="1696"/>
        <v>66.759999999999991</v>
      </c>
      <c r="CI203" s="3171">
        <f t="shared" si="1697"/>
        <v>66.759999999999991</v>
      </c>
      <c r="CJ203" s="3171">
        <f t="shared" si="1698"/>
        <v>0</v>
      </c>
      <c r="CK203" s="396"/>
      <c r="CL203" s="5"/>
    </row>
    <row r="204" spans="1:90" ht="18.75" customHeight="1" x14ac:dyDescent="0.3">
      <c r="A204" s="3172" t="s">
        <v>32</v>
      </c>
      <c r="B204" s="3280">
        <f>SUM(B60+B85)</f>
        <v>3.1150000000000002</v>
      </c>
      <c r="C204" s="3280">
        <f t="shared" ref="C204:D204" si="1769">SUM(C60+C85)</f>
        <v>3.1150000000000002</v>
      </c>
      <c r="D204" s="3280">
        <f t="shared" si="1769"/>
        <v>0</v>
      </c>
      <c r="E204" s="3181">
        <f t="shared" ref="E204:AE204" si="1770">SUM(E60+E85)</f>
        <v>2.4</v>
      </c>
      <c r="F204" s="3181">
        <f t="shared" si="1770"/>
        <v>2.4</v>
      </c>
      <c r="G204" s="3181">
        <f t="shared" si="1770"/>
        <v>0</v>
      </c>
      <c r="H204" s="3181">
        <f t="shared" si="1770"/>
        <v>0</v>
      </c>
      <c r="I204" s="3181">
        <f t="shared" si="1770"/>
        <v>0</v>
      </c>
      <c r="J204" s="3181">
        <f t="shared" si="1770"/>
        <v>0</v>
      </c>
      <c r="K204" s="3181">
        <f t="shared" si="1770"/>
        <v>0</v>
      </c>
      <c r="L204" s="3181">
        <f t="shared" si="1770"/>
        <v>0</v>
      </c>
      <c r="M204" s="3181">
        <f t="shared" si="1770"/>
        <v>0</v>
      </c>
      <c r="N204" s="3181">
        <f t="shared" si="1770"/>
        <v>2.4</v>
      </c>
      <c r="O204" s="3181">
        <f t="shared" si="1770"/>
        <v>2.4</v>
      </c>
      <c r="P204" s="3181">
        <f t="shared" si="1770"/>
        <v>0</v>
      </c>
      <c r="Q204" s="3280">
        <f t="shared" si="1770"/>
        <v>3.1150000000000002</v>
      </c>
      <c r="R204" s="3280">
        <f t="shared" si="1770"/>
        <v>3.1150000000000002</v>
      </c>
      <c r="S204" s="3280">
        <f t="shared" si="1770"/>
        <v>0</v>
      </c>
      <c r="T204" s="3181">
        <f t="shared" si="1770"/>
        <v>2.4</v>
      </c>
      <c r="U204" s="3181">
        <f t="shared" si="1770"/>
        <v>2.4</v>
      </c>
      <c r="V204" s="3181">
        <f t="shared" si="1770"/>
        <v>0</v>
      </c>
      <c r="W204" s="3181">
        <f t="shared" si="1770"/>
        <v>0</v>
      </c>
      <c r="X204" s="3181">
        <f t="shared" si="1770"/>
        <v>0</v>
      </c>
      <c r="Y204" s="3181">
        <f t="shared" si="1770"/>
        <v>0</v>
      </c>
      <c r="Z204" s="3181">
        <f t="shared" si="1770"/>
        <v>2.4</v>
      </c>
      <c r="AA204" s="3181">
        <f t="shared" si="1770"/>
        <v>2.4</v>
      </c>
      <c r="AB204" s="3181">
        <f t="shared" si="1770"/>
        <v>0</v>
      </c>
      <c r="AC204" s="3181">
        <f t="shared" si="1770"/>
        <v>4.8</v>
      </c>
      <c r="AD204" s="3181">
        <f t="shared" si="1770"/>
        <v>4.8</v>
      </c>
      <c r="AE204" s="3181">
        <f t="shared" si="1770"/>
        <v>0</v>
      </c>
      <c r="AF204" s="3286">
        <f t="shared" si="1677"/>
        <v>6.23</v>
      </c>
      <c r="AG204" s="3286">
        <f t="shared" si="1678"/>
        <v>6.23</v>
      </c>
      <c r="AH204" s="3286">
        <f t="shared" si="1679"/>
        <v>0</v>
      </c>
      <c r="AI204" s="3171">
        <f t="shared" si="1701"/>
        <v>7.1999999999999993</v>
      </c>
      <c r="AJ204" s="3171">
        <f t="shared" si="1702"/>
        <v>7.1999999999999993</v>
      </c>
      <c r="AK204" s="3171">
        <f t="shared" si="1703"/>
        <v>0</v>
      </c>
      <c r="AL204" s="3171">
        <f t="shared" si="1680"/>
        <v>0.96999999999999886</v>
      </c>
      <c r="AM204" s="3171">
        <f t="shared" si="1681"/>
        <v>0.96999999999999886</v>
      </c>
      <c r="AN204" s="3171">
        <f t="shared" si="1682"/>
        <v>0</v>
      </c>
      <c r="AO204" s="3280">
        <f t="shared" ref="AO204" si="1771">SUM(AO60+AO85)</f>
        <v>3.1150000000000002</v>
      </c>
      <c r="AP204" s="3280">
        <f t="shared" ref="AP204:BC204" si="1772">SUM(AP60+AP85)</f>
        <v>3.1150000000000002</v>
      </c>
      <c r="AQ204" s="3280">
        <f t="shared" si="1772"/>
        <v>0</v>
      </c>
      <c r="AR204" s="3181">
        <f t="shared" si="1772"/>
        <v>10.5</v>
      </c>
      <c r="AS204" s="3181">
        <f t="shared" si="1772"/>
        <v>10.5</v>
      </c>
      <c r="AT204" s="3181">
        <f t="shared" si="1772"/>
        <v>0</v>
      </c>
      <c r="AU204" s="3181">
        <f t="shared" si="1772"/>
        <v>4.17</v>
      </c>
      <c r="AV204" s="3181">
        <f t="shared" si="1772"/>
        <v>4.17</v>
      </c>
      <c r="AW204" s="3181">
        <f t="shared" si="1772"/>
        <v>0</v>
      </c>
      <c r="AX204" s="3181">
        <f t="shared" si="1772"/>
        <v>0</v>
      </c>
      <c r="AY204" s="3181">
        <f t="shared" si="1772"/>
        <v>0</v>
      </c>
      <c r="AZ204" s="3181">
        <f t="shared" si="1772"/>
        <v>0</v>
      </c>
      <c r="BA204" s="3181">
        <f t="shared" si="1772"/>
        <v>14.67</v>
      </c>
      <c r="BB204" s="3181">
        <f t="shared" si="1772"/>
        <v>14.67</v>
      </c>
      <c r="BC204" s="3181">
        <f t="shared" si="1772"/>
        <v>0</v>
      </c>
      <c r="BD204" s="3286">
        <f t="shared" si="1684"/>
        <v>9.3450000000000006</v>
      </c>
      <c r="BE204" s="3286">
        <f t="shared" si="1749"/>
        <v>9.3450000000000006</v>
      </c>
      <c r="BF204" s="3286">
        <f t="shared" si="1750"/>
        <v>0</v>
      </c>
      <c r="BG204" s="3171">
        <f t="shared" si="1705"/>
        <v>21.869999999999997</v>
      </c>
      <c r="BH204" s="3171">
        <f t="shared" si="1706"/>
        <v>21.869999999999997</v>
      </c>
      <c r="BI204" s="3171">
        <f t="shared" si="1707"/>
        <v>0</v>
      </c>
      <c r="BJ204" s="3171">
        <f t="shared" si="1688"/>
        <v>12.524999999999997</v>
      </c>
      <c r="BK204" s="3171">
        <f t="shared" si="1689"/>
        <v>12.524999999999997</v>
      </c>
      <c r="BL204" s="3171">
        <f t="shared" si="1690"/>
        <v>0</v>
      </c>
      <c r="BM204" s="3280">
        <f t="shared" ref="BM204" si="1773">SUM(BM60+BM85)</f>
        <v>3.1150000000000002</v>
      </c>
      <c r="BN204" s="3280">
        <f t="shared" ref="BN204:CA204" si="1774">SUM(BN60+BN85)</f>
        <v>3.1150000000000002</v>
      </c>
      <c r="BO204" s="3280">
        <f t="shared" si="1774"/>
        <v>0</v>
      </c>
      <c r="BP204" s="3181">
        <f t="shared" si="1774"/>
        <v>0</v>
      </c>
      <c r="BQ204" s="3181">
        <f t="shared" si="1774"/>
        <v>0</v>
      </c>
      <c r="BR204" s="3181">
        <f t="shared" si="1774"/>
        <v>0</v>
      </c>
      <c r="BS204" s="3181">
        <f t="shared" si="1774"/>
        <v>0</v>
      </c>
      <c r="BT204" s="3181">
        <f t="shared" si="1774"/>
        <v>0</v>
      </c>
      <c r="BU204" s="3181">
        <f t="shared" si="1774"/>
        <v>0</v>
      </c>
      <c r="BV204" s="3181">
        <f t="shared" si="1774"/>
        <v>0</v>
      </c>
      <c r="BW204" s="3181">
        <f t="shared" si="1774"/>
        <v>0</v>
      </c>
      <c r="BX204" s="3181">
        <f t="shared" si="1774"/>
        <v>0</v>
      </c>
      <c r="BY204" s="3181">
        <f t="shared" si="1774"/>
        <v>0</v>
      </c>
      <c r="BZ204" s="3181">
        <f t="shared" si="1774"/>
        <v>0</v>
      </c>
      <c r="CA204" s="3181">
        <f t="shared" si="1774"/>
        <v>0</v>
      </c>
      <c r="CB204" s="3286">
        <f t="shared" si="1692"/>
        <v>12.46</v>
      </c>
      <c r="CC204" s="3286">
        <f t="shared" si="1752"/>
        <v>12.46</v>
      </c>
      <c r="CD204" s="3286">
        <f t="shared" si="1753"/>
        <v>0</v>
      </c>
      <c r="CE204" s="3171">
        <f t="shared" si="1709"/>
        <v>21.869999999999997</v>
      </c>
      <c r="CF204" s="3171">
        <f t="shared" si="1710"/>
        <v>21.869999999999997</v>
      </c>
      <c r="CG204" s="3171">
        <f t="shared" si="1711"/>
        <v>0</v>
      </c>
      <c r="CH204" s="3171">
        <f t="shared" si="1696"/>
        <v>9.4099999999999966</v>
      </c>
      <c r="CI204" s="3171">
        <f t="shared" si="1697"/>
        <v>9.4099999999999966</v>
      </c>
      <c r="CJ204" s="3171">
        <f t="shared" si="1698"/>
        <v>0</v>
      </c>
      <c r="CK204" s="396"/>
      <c r="CL204" s="5"/>
    </row>
    <row r="205" spans="1:90" ht="18.75" customHeight="1" x14ac:dyDescent="0.3">
      <c r="A205" s="3182" t="s">
        <v>599</v>
      </c>
      <c r="B205" s="3112">
        <f>SUM(B81)</f>
        <v>262.20767499999999</v>
      </c>
      <c r="C205" s="3112">
        <f t="shared" ref="C205:D205" si="1775">SUM(C81)</f>
        <v>262.20767499999999</v>
      </c>
      <c r="D205" s="3112">
        <f t="shared" si="1775"/>
        <v>0</v>
      </c>
      <c r="E205" s="3122">
        <f t="shared" ref="E205:AE205" si="1776">SUM(E81)</f>
        <v>100.1</v>
      </c>
      <c r="F205" s="3122">
        <f t="shared" si="1776"/>
        <v>100.1</v>
      </c>
      <c r="G205" s="3122">
        <f t="shared" si="1776"/>
        <v>0</v>
      </c>
      <c r="H205" s="3122">
        <f t="shared" si="1776"/>
        <v>146.36000000000001</v>
      </c>
      <c r="I205" s="3122">
        <f t="shared" si="1776"/>
        <v>146.36000000000001</v>
      </c>
      <c r="J205" s="3122">
        <f t="shared" si="1776"/>
        <v>0</v>
      </c>
      <c r="K205" s="3122">
        <f t="shared" si="1776"/>
        <v>182.01999999999998</v>
      </c>
      <c r="L205" s="3122">
        <f t="shared" si="1776"/>
        <v>182.01999999999998</v>
      </c>
      <c r="M205" s="3122">
        <f t="shared" si="1776"/>
        <v>0</v>
      </c>
      <c r="N205" s="3122">
        <f t="shared" si="1776"/>
        <v>428.48</v>
      </c>
      <c r="O205" s="3122">
        <f t="shared" si="1776"/>
        <v>428.48</v>
      </c>
      <c r="P205" s="3122">
        <f t="shared" si="1776"/>
        <v>0</v>
      </c>
      <c r="Q205" s="3112">
        <f t="shared" si="1776"/>
        <v>262.20767499999999</v>
      </c>
      <c r="R205" s="3112">
        <f t="shared" si="1776"/>
        <v>262.20767499999999</v>
      </c>
      <c r="S205" s="3112">
        <f t="shared" si="1776"/>
        <v>0</v>
      </c>
      <c r="T205" s="3122">
        <f t="shared" si="1776"/>
        <v>108.65</v>
      </c>
      <c r="U205" s="3122">
        <f t="shared" si="1776"/>
        <v>108.65</v>
      </c>
      <c r="V205" s="3122">
        <f t="shared" si="1776"/>
        <v>0</v>
      </c>
      <c r="W205" s="3122">
        <f t="shared" si="1776"/>
        <v>148.64000000000001</v>
      </c>
      <c r="X205" s="3122">
        <f t="shared" si="1776"/>
        <v>148.64000000000001</v>
      </c>
      <c r="Y205" s="3122">
        <f t="shared" si="1776"/>
        <v>0</v>
      </c>
      <c r="Z205" s="3122">
        <f t="shared" si="1776"/>
        <v>137.64000000000001</v>
      </c>
      <c r="AA205" s="3122">
        <f t="shared" si="1776"/>
        <v>137.64000000000001</v>
      </c>
      <c r="AB205" s="3122">
        <f t="shared" si="1776"/>
        <v>0</v>
      </c>
      <c r="AC205" s="3122">
        <f t="shared" si="1776"/>
        <v>394.93000000000006</v>
      </c>
      <c r="AD205" s="3122">
        <f t="shared" si="1776"/>
        <v>394.93000000000006</v>
      </c>
      <c r="AE205" s="3122">
        <f t="shared" si="1776"/>
        <v>0</v>
      </c>
      <c r="AF205" s="3286">
        <f t="shared" si="1677"/>
        <v>524.41534999999999</v>
      </c>
      <c r="AG205" s="3286">
        <f t="shared" si="1678"/>
        <v>524.41534999999999</v>
      </c>
      <c r="AH205" s="3286">
        <f t="shared" si="1679"/>
        <v>0</v>
      </c>
      <c r="AI205" s="3171">
        <f t="shared" si="1701"/>
        <v>823.41000000000008</v>
      </c>
      <c r="AJ205" s="3171">
        <f t="shared" si="1702"/>
        <v>823.41000000000008</v>
      </c>
      <c r="AK205" s="3171">
        <f t="shared" si="1703"/>
        <v>0</v>
      </c>
      <c r="AL205" s="3171">
        <f t="shared" si="1680"/>
        <v>298.99465000000009</v>
      </c>
      <c r="AM205" s="3171">
        <f t="shared" si="1681"/>
        <v>298.99465000000009</v>
      </c>
      <c r="AN205" s="3171">
        <f t="shared" si="1682"/>
        <v>0</v>
      </c>
      <c r="AO205" s="3112">
        <f t="shared" ref="AO205" si="1777">SUM(AO81)</f>
        <v>262.20767499999999</v>
      </c>
      <c r="AP205" s="3112">
        <f t="shared" ref="AP205:BC205" si="1778">SUM(AP81)</f>
        <v>262.20767499999999</v>
      </c>
      <c r="AQ205" s="3112">
        <f t="shared" si="1778"/>
        <v>0</v>
      </c>
      <c r="AR205" s="3122">
        <f t="shared" si="1778"/>
        <v>113.63</v>
      </c>
      <c r="AS205" s="3122">
        <f t="shared" si="1778"/>
        <v>113.63</v>
      </c>
      <c r="AT205" s="3122">
        <f t="shared" si="1778"/>
        <v>0</v>
      </c>
      <c r="AU205" s="3122">
        <f t="shared" si="1778"/>
        <v>57.570000000000007</v>
      </c>
      <c r="AV205" s="3122">
        <f t="shared" si="1778"/>
        <v>57.570000000000007</v>
      </c>
      <c r="AW205" s="3122">
        <f t="shared" si="1778"/>
        <v>0</v>
      </c>
      <c r="AX205" s="3122">
        <f t="shared" si="1778"/>
        <v>166.1</v>
      </c>
      <c r="AY205" s="3122">
        <f t="shared" si="1778"/>
        <v>166.1</v>
      </c>
      <c r="AZ205" s="3122">
        <f t="shared" si="1778"/>
        <v>0</v>
      </c>
      <c r="BA205" s="3122">
        <f t="shared" si="1778"/>
        <v>337.29999999999995</v>
      </c>
      <c r="BB205" s="3122">
        <f t="shared" si="1778"/>
        <v>337.29999999999995</v>
      </c>
      <c r="BC205" s="3122">
        <f t="shared" si="1778"/>
        <v>0</v>
      </c>
      <c r="BD205" s="3286">
        <f t="shared" si="1684"/>
        <v>786.62302499999998</v>
      </c>
      <c r="BE205" s="3286">
        <f t="shared" si="1749"/>
        <v>786.62302499999998</v>
      </c>
      <c r="BF205" s="3286">
        <f t="shared" si="1750"/>
        <v>0</v>
      </c>
      <c r="BG205" s="3171">
        <f t="shared" si="1705"/>
        <v>1160.71</v>
      </c>
      <c r="BH205" s="3171">
        <f t="shared" si="1706"/>
        <v>1160.71</v>
      </c>
      <c r="BI205" s="3171">
        <f t="shared" si="1707"/>
        <v>0</v>
      </c>
      <c r="BJ205" s="3171">
        <f t="shared" si="1688"/>
        <v>374.08697500000005</v>
      </c>
      <c r="BK205" s="3171">
        <f t="shared" si="1689"/>
        <v>374.08697500000005</v>
      </c>
      <c r="BL205" s="3171">
        <f t="shared" si="1690"/>
        <v>0</v>
      </c>
      <c r="BM205" s="3112">
        <f t="shared" ref="BM205" si="1779">SUM(BM81)</f>
        <v>262.20767499999999</v>
      </c>
      <c r="BN205" s="3112">
        <f t="shared" ref="BN205:CA205" si="1780">SUM(BN81)</f>
        <v>262.20767499999999</v>
      </c>
      <c r="BO205" s="3112">
        <f t="shared" si="1780"/>
        <v>0</v>
      </c>
      <c r="BP205" s="3122">
        <f t="shared" si="1780"/>
        <v>0</v>
      </c>
      <c r="BQ205" s="3122">
        <f t="shared" si="1780"/>
        <v>0</v>
      </c>
      <c r="BR205" s="3122">
        <f t="shared" si="1780"/>
        <v>0</v>
      </c>
      <c r="BS205" s="3122">
        <f t="shared" si="1780"/>
        <v>0</v>
      </c>
      <c r="BT205" s="3122">
        <f t="shared" si="1780"/>
        <v>0</v>
      </c>
      <c r="BU205" s="3122">
        <f t="shared" si="1780"/>
        <v>0</v>
      </c>
      <c r="BV205" s="3122">
        <f t="shared" si="1780"/>
        <v>0</v>
      </c>
      <c r="BW205" s="3122">
        <f t="shared" si="1780"/>
        <v>0</v>
      </c>
      <c r="BX205" s="3122">
        <f t="shared" si="1780"/>
        <v>0</v>
      </c>
      <c r="BY205" s="3122">
        <f t="shared" si="1780"/>
        <v>0</v>
      </c>
      <c r="BZ205" s="3122">
        <f t="shared" si="1780"/>
        <v>0</v>
      </c>
      <c r="CA205" s="3122">
        <f t="shared" si="1780"/>
        <v>0</v>
      </c>
      <c r="CB205" s="3286">
        <f t="shared" si="1692"/>
        <v>1048.8307</v>
      </c>
      <c r="CC205" s="3286">
        <f t="shared" si="1752"/>
        <v>1048.8307</v>
      </c>
      <c r="CD205" s="3286">
        <f t="shared" si="1753"/>
        <v>0</v>
      </c>
      <c r="CE205" s="3171">
        <f t="shared" si="1709"/>
        <v>1160.71</v>
      </c>
      <c r="CF205" s="3171">
        <f t="shared" si="1710"/>
        <v>1160.71</v>
      </c>
      <c r="CG205" s="3171">
        <f t="shared" si="1711"/>
        <v>0</v>
      </c>
      <c r="CH205" s="3171">
        <f t="shared" si="1696"/>
        <v>111.87930000000006</v>
      </c>
      <c r="CI205" s="3171">
        <f t="shared" si="1697"/>
        <v>111.87930000000006</v>
      </c>
      <c r="CJ205" s="3171">
        <f t="shared" si="1698"/>
        <v>0</v>
      </c>
      <c r="CK205" s="396"/>
      <c r="CL205" s="5"/>
    </row>
    <row r="206" spans="1:90" ht="18.75" customHeight="1" x14ac:dyDescent="0.3">
      <c r="A206" s="3172" t="s">
        <v>600</v>
      </c>
      <c r="B206" s="3280">
        <f>SUM(B83)</f>
        <v>16.0425</v>
      </c>
      <c r="C206" s="3280">
        <f t="shared" ref="C206:D206" si="1781">SUM(C83)</f>
        <v>16.0425</v>
      </c>
      <c r="D206" s="3280">
        <f t="shared" si="1781"/>
        <v>0</v>
      </c>
      <c r="E206" s="3181">
        <f t="shared" ref="E206:AE206" si="1782">SUM(E83)</f>
        <v>4.1100000000000003</v>
      </c>
      <c r="F206" s="3181">
        <f t="shared" si="1782"/>
        <v>4.1100000000000003</v>
      </c>
      <c r="G206" s="3181">
        <f t="shared" si="1782"/>
        <v>0</v>
      </c>
      <c r="H206" s="3181">
        <f t="shared" si="1782"/>
        <v>4.79</v>
      </c>
      <c r="I206" s="3181">
        <f t="shared" si="1782"/>
        <v>4.79</v>
      </c>
      <c r="J206" s="3181">
        <f t="shared" si="1782"/>
        <v>0</v>
      </c>
      <c r="K206" s="3181">
        <f t="shared" si="1782"/>
        <v>4.79</v>
      </c>
      <c r="L206" s="3181">
        <f t="shared" si="1782"/>
        <v>4.79</v>
      </c>
      <c r="M206" s="3181">
        <f t="shared" si="1782"/>
        <v>0</v>
      </c>
      <c r="N206" s="3181">
        <f t="shared" si="1782"/>
        <v>13.690000000000001</v>
      </c>
      <c r="O206" s="3181">
        <f t="shared" si="1782"/>
        <v>13.690000000000001</v>
      </c>
      <c r="P206" s="3181">
        <f t="shared" si="1782"/>
        <v>0</v>
      </c>
      <c r="Q206" s="3280">
        <f t="shared" si="1782"/>
        <v>16.0425</v>
      </c>
      <c r="R206" s="3280">
        <f t="shared" si="1782"/>
        <v>16.0425</v>
      </c>
      <c r="S206" s="3280">
        <f t="shared" si="1782"/>
        <v>0</v>
      </c>
      <c r="T206" s="3181">
        <f t="shared" si="1782"/>
        <v>4.79</v>
      </c>
      <c r="U206" s="3181">
        <f t="shared" si="1782"/>
        <v>4.79</v>
      </c>
      <c r="V206" s="3181">
        <f t="shared" si="1782"/>
        <v>0</v>
      </c>
      <c r="W206" s="3181">
        <f t="shared" si="1782"/>
        <v>6.18</v>
      </c>
      <c r="X206" s="3181">
        <f t="shared" si="1782"/>
        <v>6.18</v>
      </c>
      <c r="Y206" s="3181">
        <f t="shared" si="1782"/>
        <v>0</v>
      </c>
      <c r="Z206" s="3181">
        <f t="shared" si="1782"/>
        <v>5.51</v>
      </c>
      <c r="AA206" s="3181">
        <f t="shared" si="1782"/>
        <v>5.51</v>
      </c>
      <c r="AB206" s="3181">
        <f t="shared" si="1782"/>
        <v>0</v>
      </c>
      <c r="AC206" s="3181">
        <f t="shared" si="1782"/>
        <v>16.479999999999997</v>
      </c>
      <c r="AD206" s="3181">
        <f t="shared" si="1782"/>
        <v>16.479999999999997</v>
      </c>
      <c r="AE206" s="3181">
        <f t="shared" si="1782"/>
        <v>0</v>
      </c>
      <c r="AF206" s="3286">
        <f t="shared" si="1677"/>
        <v>32.085000000000001</v>
      </c>
      <c r="AG206" s="3286">
        <f t="shared" si="1678"/>
        <v>32.085000000000001</v>
      </c>
      <c r="AH206" s="3286">
        <f t="shared" si="1679"/>
        <v>0</v>
      </c>
      <c r="AI206" s="3171">
        <f t="shared" si="1701"/>
        <v>30.169999999999998</v>
      </c>
      <c r="AJ206" s="3171">
        <f t="shared" si="1702"/>
        <v>30.169999999999998</v>
      </c>
      <c r="AK206" s="3171">
        <f t="shared" si="1703"/>
        <v>0</v>
      </c>
      <c r="AL206" s="3171">
        <f t="shared" si="1680"/>
        <v>-1.9150000000000027</v>
      </c>
      <c r="AM206" s="3171">
        <f t="shared" si="1681"/>
        <v>-1.9150000000000027</v>
      </c>
      <c r="AN206" s="3171">
        <f t="shared" si="1682"/>
        <v>0</v>
      </c>
      <c r="AO206" s="3280">
        <f>SUM(AO83)</f>
        <v>16.0425</v>
      </c>
      <c r="AP206" s="3280">
        <f t="shared" ref="AP206:BC206" si="1783">SUM(AP83)</f>
        <v>16.0425</v>
      </c>
      <c r="AQ206" s="3280">
        <f t="shared" si="1783"/>
        <v>0</v>
      </c>
      <c r="AR206" s="3181">
        <f t="shared" si="1783"/>
        <v>4.82</v>
      </c>
      <c r="AS206" s="3181">
        <f t="shared" si="1783"/>
        <v>4.82</v>
      </c>
      <c r="AT206" s="3181">
        <f t="shared" si="1783"/>
        <v>0</v>
      </c>
      <c r="AU206" s="3181">
        <f t="shared" si="1783"/>
        <v>4.66</v>
      </c>
      <c r="AV206" s="3181">
        <f t="shared" si="1783"/>
        <v>4.66</v>
      </c>
      <c r="AW206" s="3181">
        <f t="shared" si="1783"/>
        <v>0</v>
      </c>
      <c r="AX206" s="3181">
        <f t="shared" si="1783"/>
        <v>4.66</v>
      </c>
      <c r="AY206" s="3181">
        <f t="shared" si="1783"/>
        <v>4.66</v>
      </c>
      <c r="AZ206" s="3181">
        <f t="shared" si="1783"/>
        <v>0</v>
      </c>
      <c r="BA206" s="3181">
        <f t="shared" si="1783"/>
        <v>14.14</v>
      </c>
      <c r="BB206" s="3181">
        <f t="shared" si="1783"/>
        <v>14.14</v>
      </c>
      <c r="BC206" s="3181">
        <f t="shared" si="1783"/>
        <v>0</v>
      </c>
      <c r="BD206" s="3286">
        <f t="shared" si="1684"/>
        <v>48.127499999999998</v>
      </c>
      <c r="BE206" s="3286">
        <f t="shared" si="1749"/>
        <v>48.127499999999998</v>
      </c>
      <c r="BF206" s="3286">
        <f t="shared" si="1750"/>
        <v>0</v>
      </c>
      <c r="BG206" s="3171">
        <f t="shared" si="1705"/>
        <v>44.31</v>
      </c>
      <c r="BH206" s="3171">
        <f t="shared" si="1706"/>
        <v>44.31</v>
      </c>
      <c r="BI206" s="3171">
        <f t="shared" si="1707"/>
        <v>0</v>
      </c>
      <c r="BJ206" s="3171">
        <f t="shared" si="1688"/>
        <v>-3.8174999999999955</v>
      </c>
      <c r="BK206" s="3171">
        <f t="shared" si="1689"/>
        <v>-3.8174999999999955</v>
      </c>
      <c r="BL206" s="3171">
        <f t="shared" si="1690"/>
        <v>0</v>
      </c>
      <c r="BM206" s="3280">
        <f>SUM(BM83)</f>
        <v>16.0425</v>
      </c>
      <c r="BN206" s="3280">
        <f t="shared" ref="BN206:CA206" si="1784">SUM(BN83)</f>
        <v>16.0425</v>
      </c>
      <c r="BO206" s="3280">
        <f t="shared" si="1784"/>
        <v>0</v>
      </c>
      <c r="BP206" s="3181">
        <f t="shared" si="1784"/>
        <v>0</v>
      </c>
      <c r="BQ206" s="3181">
        <f t="shared" si="1784"/>
        <v>0</v>
      </c>
      <c r="BR206" s="3181">
        <f t="shared" si="1784"/>
        <v>0</v>
      </c>
      <c r="BS206" s="3181">
        <f t="shared" si="1784"/>
        <v>0</v>
      </c>
      <c r="BT206" s="3181">
        <f t="shared" si="1784"/>
        <v>0</v>
      </c>
      <c r="BU206" s="3181">
        <f t="shared" si="1784"/>
        <v>0</v>
      </c>
      <c r="BV206" s="3181">
        <f t="shared" si="1784"/>
        <v>0</v>
      </c>
      <c r="BW206" s="3181">
        <f t="shared" si="1784"/>
        <v>0</v>
      </c>
      <c r="BX206" s="3181">
        <f t="shared" si="1784"/>
        <v>0</v>
      </c>
      <c r="BY206" s="3181">
        <f t="shared" si="1784"/>
        <v>0</v>
      </c>
      <c r="BZ206" s="3181">
        <f t="shared" si="1784"/>
        <v>0</v>
      </c>
      <c r="CA206" s="3181">
        <f t="shared" si="1784"/>
        <v>0</v>
      </c>
      <c r="CB206" s="3286">
        <f t="shared" si="1692"/>
        <v>64.17</v>
      </c>
      <c r="CC206" s="3286">
        <f t="shared" si="1752"/>
        <v>64.17</v>
      </c>
      <c r="CD206" s="3286">
        <f t="shared" si="1753"/>
        <v>0</v>
      </c>
      <c r="CE206" s="3171">
        <f t="shared" si="1709"/>
        <v>44.31</v>
      </c>
      <c r="CF206" s="3171">
        <f t="shared" si="1710"/>
        <v>44.31</v>
      </c>
      <c r="CG206" s="3171">
        <f t="shared" si="1711"/>
        <v>0</v>
      </c>
      <c r="CH206" s="3171">
        <f t="shared" si="1696"/>
        <v>-19.86</v>
      </c>
      <c r="CI206" s="3171">
        <f t="shared" si="1697"/>
        <v>-19.86</v>
      </c>
      <c r="CJ206" s="3171">
        <f t="shared" si="1698"/>
        <v>0</v>
      </c>
      <c r="CK206" s="396"/>
      <c r="CL206" s="5"/>
    </row>
    <row r="207" spans="1:90" ht="18.75" customHeight="1" x14ac:dyDescent="0.3">
      <c r="A207" s="3172" t="s">
        <v>610</v>
      </c>
      <c r="B207" s="3280">
        <f>SUM(B84)</f>
        <v>1.825</v>
      </c>
      <c r="C207" s="3280">
        <f t="shared" ref="C207:D207" si="1785">SUM(C84)</f>
        <v>1.825</v>
      </c>
      <c r="D207" s="3280">
        <f t="shared" si="1785"/>
        <v>0</v>
      </c>
      <c r="E207" s="3181">
        <f t="shared" ref="E207:AE207" si="1786">SUM(E84)</f>
        <v>0</v>
      </c>
      <c r="F207" s="3181">
        <f t="shared" si="1786"/>
        <v>0</v>
      </c>
      <c r="G207" s="3181">
        <f t="shared" si="1786"/>
        <v>0</v>
      </c>
      <c r="H207" s="3181">
        <f t="shared" si="1786"/>
        <v>0</v>
      </c>
      <c r="I207" s="3181">
        <f t="shared" si="1786"/>
        <v>0</v>
      </c>
      <c r="J207" s="3181">
        <f t="shared" si="1786"/>
        <v>0</v>
      </c>
      <c r="K207" s="3181">
        <f t="shared" si="1786"/>
        <v>1.36</v>
      </c>
      <c r="L207" s="3181">
        <f t="shared" si="1786"/>
        <v>1.36</v>
      </c>
      <c r="M207" s="3181">
        <f t="shared" si="1786"/>
        <v>0</v>
      </c>
      <c r="N207" s="3181">
        <f t="shared" si="1786"/>
        <v>1.36</v>
      </c>
      <c r="O207" s="3181">
        <f t="shared" si="1786"/>
        <v>1.36</v>
      </c>
      <c r="P207" s="3181">
        <f t="shared" si="1786"/>
        <v>0</v>
      </c>
      <c r="Q207" s="3280">
        <f t="shared" si="1786"/>
        <v>1.825</v>
      </c>
      <c r="R207" s="3280">
        <f t="shared" si="1786"/>
        <v>1.825</v>
      </c>
      <c r="S207" s="3280">
        <f t="shared" si="1786"/>
        <v>0</v>
      </c>
      <c r="T207" s="3181">
        <f t="shared" si="1786"/>
        <v>0</v>
      </c>
      <c r="U207" s="3181">
        <f t="shared" si="1786"/>
        <v>0</v>
      </c>
      <c r="V207" s="3181">
        <f t="shared" si="1786"/>
        <v>0</v>
      </c>
      <c r="W207" s="3181">
        <f t="shared" si="1786"/>
        <v>0</v>
      </c>
      <c r="X207" s="3181">
        <f t="shared" si="1786"/>
        <v>0</v>
      </c>
      <c r="Y207" s="3181">
        <f t="shared" si="1786"/>
        <v>0</v>
      </c>
      <c r="Z207" s="3181">
        <f t="shared" si="1786"/>
        <v>0</v>
      </c>
      <c r="AA207" s="3181">
        <f t="shared" si="1786"/>
        <v>0</v>
      </c>
      <c r="AB207" s="3181">
        <f t="shared" si="1786"/>
        <v>0</v>
      </c>
      <c r="AC207" s="3181">
        <f t="shared" si="1786"/>
        <v>0</v>
      </c>
      <c r="AD207" s="3181">
        <f t="shared" si="1786"/>
        <v>0</v>
      </c>
      <c r="AE207" s="3181">
        <f t="shared" si="1786"/>
        <v>0</v>
      </c>
      <c r="AF207" s="3286">
        <f t="shared" si="1677"/>
        <v>3.65</v>
      </c>
      <c r="AG207" s="3286">
        <f t="shared" si="1678"/>
        <v>3.65</v>
      </c>
      <c r="AH207" s="3286">
        <f t="shared" si="1679"/>
        <v>0</v>
      </c>
      <c r="AI207" s="3171">
        <f t="shared" si="1701"/>
        <v>1.36</v>
      </c>
      <c r="AJ207" s="3171">
        <f t="shared" si="1702"/>
        <v>1.36</v>
      </c>
      <c r="AK207" s="3171">
        <f t="shared" si="1703"/>
        <v>0</v>
      </c>
      <c r="AL207" s="3171">
        <f t="shared" si="1680"/>
        <v>-2.29</v>
      </c>
      <c r="AM207" s="3171">
        <f t="shared" si="1681"/>
        <v>-2.29</v>
      </c>
      <c r="AN207" s="3171">
        <f t="shared" si="1682"/>
        <v>0</v>
      </c>
      <c r="AO207" s="3280">
        <f>SUM(AO84)</f>
        <v>1.825</v>
      </c>
      <c r="AP207" s="3280">
        <f t="shared" ref="AP207:BC207" si="1787">SUM(AP84)</f>
        <v>1.825</v>
      </c>
      <c r="AQ207" s="3280">
        <f t="shared" si="1787"/>
        <v>0</v>
      </c>
      <c r="AR207" s="3181">
        <f t="shared" si="1787"/>
        <v>0</v>
      </c>
      <c r="AS207" s="3181">
        <f t="shared" si="1787"/>
        <v>0</v>
      </c>
      <c r="AT207" s="3181">
        <f t="shared" si="1787"/>
        <v>0</v>
      </c>
      <c r="AU207" s="3181">
        <f t="shared" si="1787"/>
        <v>1.26</v>
      </c>
      <c r="AV207" s="3181">
        <f t="shared" si="1787"/>
        <v>1.26</v>
      </c>
      <c r="AW207" s="3181">
        <f t="shared" si="1787"/>
        <v>0</v>
      </c>
      <c r="AX207" s="3181">
        <f t="shared" si="1787"/>
        <v>4.58</v>
      </c>
      <c r="AY207" s="3181">
        <f t="shared" si="1787"/>
        <v>4.58</v>
      </c>
      <c r="AZ207" s="3181">
        <f t="shared" si="1787"/>
        <v>0</v>
      </c>
      <c r="BA207" s="3181">
        <f t="shared" si="1787"/>
        <v>5.84</v>
      </c>
      <c r="BB207" s="3181">
        <f t="shared" si="1787"/>
        <v>5.84</v>
      </c>
      <c r="BC207" s="3181">
        <f t="shared" si="1787"/>
        <v>0</v>
      </c>
      <c r="BD207" s="3286">
        <f t="shared" si="1684"/>
        <v>5.4749999999999996</v>
      </c>
      <c r="BE207" s="3286">
        <f t="shared" si="1749"/>
        <v>5.4749999999999996</v>
      </c>
      <c r="BF207" s="3286">
        <f t="shared" si="1750"/>
        <v>0</v>
      </c>
      <c r="BG207" s="3171">
        <f t="shared" si="1705"/>
        <v>7.2</v>
      </c>
      <c r="BH207" s="3171">
        <f t="shared" si="1706"/>
        <v>7.2</v>
      </c>
      <c r="BI207" s="3171">
        <f t="shared" si="1707"/>
        <v>0</v>
      </c>
      <c r="BJ207" s="3171">
        <f t="shared" si="1688"/>
        <v>1.7250000000000005</v>
      </c>
      <c r="BK207" s="3171">
        <f t="shared" si="1689"/>
        <v>1.7250000000000005</v>
      </c>
      <c r="BL207" s="3171">
        <f t="shared" si="1690"/>
        <v>0</v>
      </c>
      <c r="BM207" s="3280">
        <f>SUM(BM84)</f>
        <v>1.825</v>
      </c>
      <c r="BN207" s="3280">
        <f t="shared" ref="BN207:CA207" si="1788">SUM(BN84)</f>
        <v>1.825</v>
      </c>
      <c r="BO207" s="3280">
        <f t="shared" si="1788"/>
        <v>0</v>
      </c>
      <c r="BP207" s="3181">
        <f t="shared" si="1788"/>
        <v>0</v>
      </c>
      <c r="BQ207" s="3181">
        <f t="shared" si="1788"/>
        <v>0</v>
      </c>
      <c r="BR207" s="3181">
        <f t="shared" si="1788"/>
        <v>0</v>
      </c>
      <c r="BS207" s="3181">
        <f t="shared" si="1788"/>
        <v>0</v>
      </c>
      <c r="BT207" s="3181">
        <f t="shared" si="1788"/>
        <v>0</v>
      </c>
      <c r="BU207" s="3181">
        <f t="shared" si="1788"/>
        <v>0</v>
      </c>
      <c r="BV207" s="3181">
        <f t="shared" si="1788"/>
        <v>0</v>
      </c>
      <c r="BW207" s="3181">
        <f t="shared" si="1788"/>
        <v>0</v>
      </c>
      <c r="BX207" s="3181">
        <f t="shared" si="1788"/>
        <v>0</v>
      </c>
      <c r="BY207" s="3181">
        <f t="shared" si="1788"/>
        <v>0</v>
      </c>
      <c r="BZ207" s="3181">
        <f t="shared" si="1788"/>
        <v>0</v>
      </c>
      <c r="CA207" s="3181">
        <f t="shared" si="1788"/>
        <v>0</v>
      </c>
      <c r="CB207" s="3286">
        <f t="shared" si="1692"/>
        <v>7.3</v>
      </c>
      <c r="CC207" s="3286">
        <f t="shared" si="1752"/>
        <v>7.3</v>
      </c>
      <c r="CD207" s="3286">
        <f t="shared" si="1753"/>
        <v>0</v>
      </c>
      <c r="CE207" s="3171">
        <f t="shared" si="1709"/>
        <v>7.2</v>
      </c>
      <c r="CF207" s="3171">
        <f t="shared" si="1710"/>
        <v>7.2</v>
      </c>
      <c r="CG207" s="3171">
        <f t="shared" si="1711"/>
        <v>0</v>
      </c>
      <c r="CH207" s="3171">
        <f t="shared" si="1696"/>
        <v>-9.9999999999999645E-2</v>
      </c>
      <c r="CI207" s="3171">
        <f t="shared" si="1697"/>
        <v>-9.9999999999999645E-2</v>
      </c>
      <c r="CJ207" s="3171">
        <f t="shared" si="1698"/>
        <v>0</v>
      </c>
      <c r="CK207" s="396"/>
      <c r="CL207" s="5"/>
    </row>
    <row r="208" spans="1:90" ht="18.75" customHeight="1" x14ac:dyDescent="0.3">
      <c r="A208" s="3172" t="s">
        <v>3660</v>
      </c>
      <c r="B208" s="3280">
        <f>SUM(B30)</f>
        <v>129.32416725000002</v>
      </c>
      <c r="C208" s="3280">
        <f t="shared" ref="C208:D208" si="1789">SUM(C30)</f>
        <v>129.32416725000002</v>
      </c>
      <c r="D208" s="3280">
        <f t="shared" si="1789"/>
        <v>0</v>
      </c>
      <c r="E208" s="3181">
        <f t="shared" ref="E208:AE208" si="1790">SUM(E30)</f>
        <v>0</v>
      </c>
      <c r="F208" s="3181">
        <f t="shared" si="1790"/>
        <v>0</v>
      </c>
      <c r="G208" s="3181">
        <f t="shared" si="1790"/>
        <v>0</v>
      </c>
      <c r="H208" s="3181">
        <f t="shared" si="1790"/>
        <v>0</v>
      </c>
      <c r="I208" s="3181">
        <f t="shared" si="1790"/>
        <v>0</v>
      </c>
      <c r="J208" s="3181">
        <f t="shared" si="1790"/>
        <v>0</v>
      </c>
      <c r="K208" s="3181">
        <f t="shared" si="1790"/>
        <v>0</v>
      </c>
      <c r="L208" s="3181">
        <f t="shared" si="1790"/>
        <v>0</v>
      </c>
      <c r="M208" s="3181">
        <f t="shared" si="1790"/>
        <v>0</v>
      </c>
      <c r="N208" s="3181">
        <f t="shared" si="1790"/>
        <v>0</v>
      </c>
      <c r="O208" s="3181">
        <f t="shared" si="1790"/>
        <v>0</v>
      </c>
      <c r="P208" s="3181">
        <f t="shared" si="1790"/>
        <v>0</v>
      </c>
      <c r="Q208" s="3280">
        <f t="shared" si="1790"/>
        <v>129.32416725000002</v>
      </c>
      <c r="R208" s="3280">
        <f t="shared" si="1790"/>
        <v>129.32416725000002</v>
      </c>
      <c r="S208" s="3280">
        <f t="shared" si="1790"/>
        <v>0</v>
      </c>
      <c r="T208" s="3181">
        <f t="shared" si="1790"/>
        <v>0</v>
      </c>
      <c r="U208" s="3181">
        <f t="shared" si="1790"/>
        <v>0</v>
      </c>
      <c r="V208" s="3181">
        <f t="shared" si="1790"/>
        <v>0</v>
      </c>
      <c r="W208" s="3181">
        <f t="shared" si="1790"/>
        <v>0</v>
      </c>
      <c r="X208" s="3181">
        <f t="shared" si="1790"/>
        <v>0</v>
      </c>
      <c r="Y208" s="3181">
        <f t="shared" si="1790"/>
        <v>0</v>
      </c>
      <c r="Z208" s="3181">
        <f t="shared" si="1790"/>
        <v>0</v>
      </c>
      <c r="AA208" s="3181">
        <f t="shared" si="1790"/>
        <v>0</v>
      </c>
      <c r="AB208" s="3181">
        <f t="shared" si="1790"/>
        <v>0</v>
      </c>
      <c r="AC208" s="3181">
        <f t="shared" si="1790"/>
        <v>0</v>
      </c>
      <c r="AD208" s="3181">
        <f t="shared" si="1790"/>
        <v>0</v>
      </c>
      <c r="AE208" s="3181">
        <f t="shared" si="1790"/>
        <v>0</v>
      </c>
      <c r="AF208" s="3286">
        <f t="shared" ref="AF208" si="1791">SUM(Q208+B208)</f>
        <v>258.64833450000003</v>
      </c>
      <c r="AG208" s="3286">
        <f t="shared" ref="AG208" si="1792">SUM(R208+C208)</f>
        <v>258.64833450000003</v>
      </c>
      <c r="AH208" s="3286">
        <f t="shared" ref="AH208" si="1793">SUM(S208+D208)</f>
        <v>0</v>
      </c>
      <c r="AI208" s="3171">
        <f t="shared" si="1701"/>
        <v>0</v>
      </c>
      <c r="AJ208" s="3171">
        <f t="shared" si="1702"/>
        <v>0</v>
      </c>
      <c r="AK208" s="3171">
        <f t="shared" si="1703"/>
        <v>0</v>
      </c>
      <c r="AL208" s="3171">
        <f t="shared" si="1680"/>
        <v>-258.64833450000003</v>
      </c>
      <c r="AM208" s="3171">
        <f t="shared" si="1681"/>
        <v>-258.64833450000003</v>
      </c>
      <c r="AN208" s="3171">
        <f t="shared" si="1682"/>
        <v>0</v>
      </c>
      <c r="AO208" s="3280">
        <f t="shared" ref="AO208" si="1794">SUM(AO30)</f>
        <v>129.32416725000002</v>
      </c>
      <c r="AP208" s="3280">
        <f t="shared" ref="AP208:BC208" si="1795">SUM(AP30)</f>
        <v>129.32416725000002</v>
      </c>
      <c r="AQ208" s="3280">
        <f t="shared" si="1795"/>
        <v>0</v>
      </c>
      <c r="AR208" s="3181">
        <f t="shared" si="1795"/>
        <v>0</v>
      </c>
      <c r="AS208" s="3181">
        <f t="shared" si="1795"/>
        <v>0</v>
      </c>
      <c r="AT208" s="3181">
        <f t="shared" si="1795"/>
        <v>0</v>
      </c>
      <c r="AU208" s="3181">
        <f t="shared" si="1795"/>
        <v>0</v>
      </c>
      <c r="AV208" s="3181">
        <f t="shared" si="1795"/>
        <v>0</v>
      </c>
      <c r="AW208" s="3181">
        <f t="shared" si="1795"/>
        <v>0</v>
      </c>
      <c r="AX208" s="3181">
        <f t="shared" si="1795"/>
        <v>0</v>
      </c>
      <c r="AY208" s="3181">
        <f t="shared" si="1795"/>
        <v>0</v>
      </c>
      <c r="AZ208" s="3181">
        <f t="shared" si="1795"/>
        <v>0</v>
      </c>
      <c r="BA208" s="3181">
        <f t="shared" si="1795"/>
        <v>0</v>
      </c>
      <c r="BB208" s="3181">
        <f t="shared" si="1795"/>
        <v>0</v>
      </c>
      <c r="BC208" s="3181">
        <f t="shared" si="1795"/>
        <v>0</v>
      </c>
      <c r="BD208" s="3286">
        <f t="shared" ref="BD208" si="1796">SUM(AF208+AO208)</f>
        <v>387.97250175000005</v>
      </c>
      <c r="BE208" s="3286">
        <f t="shared" ref="BE208" si="1797">SUM(AG208+AP208)</f>
        <v>387.97250175000005</v>
      </c>
      <c r="BF208" s="3286">
        <f t="shared" ref="BF208" si="1798">SUM(AH208+AQ208)</f>
        <v>0</v>
      </c>
      <c r="BG208" s="3171">
        <f t="shared" si="1705"/>
        <v>0</v>
      </c>
      <c r="BH208" s="3171">
        <f t="shared" si="1706"/>
        <v>0</v>
      </c>
      <c r="BI208" s="3171">
        <f t="shared" si="1707"/>
        <v>0</v>
      </c>
      <c r="BJ208" s="3171">
        <f t="shared" si="1688"/>
        <v>-387.97250175000005</v>
      </c>
      <c r="BK208" s="3171">
        <f t="shared" si="1689"/>
        <v>-387.97250175000005</v>
      </c>
      <c r="BL208" s="3171">
        <f t="shared" si="1690"/>
        <v>0</v>
      </c>
      <c r="BM208" s="3280">
        <f t="shared" ref="BM208" si="1799">SUM(BM30)</f>
        <v>129.32416725000002</v>
      </c>
      <c r="BN208" s="3280">
        <f t="shared" ref="BN208:CA208" si="1800">SUM(BN30)</f>
        <v>129.32416725000002</v>
      </c>
      <c r="BO208" s="3280">
        <f t="shared" si="1800"/>
        <v>0</v>
      </c>
      <c r="BP208" s="3181">
        <f t="shared" si="1800"/>
        <v>0</v>
      </c>
      <c r="BQ208" s="3181">
        <f t="shared" si="1800"/>
        <v>0</v>
      </c>
      <c r="BR208" s="3181">
        <f t="shared" si="1800"/>
        <v>0</v>
      </c>
      <c r="BS208" s="3181">
        <f t="shared" si="1800"/>
        <v>0</v>
      </c>
      <c r="BT208" s="3181">
        <f t="shared" si="1800"/>
        <v>0</v>
      </c>
      <c r="BU208" s="3181">
        <f t="shared" si="1800"/>
        <v>0</v>
      </c>
      <c r="BV208" s="3181">
        <f t="shared" si="1800"/>
        <v>0</v>
      </c>
      <c r="BW208" s="3181">
        <f t="shared" si="1800"/>
        <v>0</v>
      </c>
      <c r="BX208" s="3181">
        <f t="shared" si="1800"/>
        <v>0</v>
      </c>
      <c r="BY208" s="3181">
        <f t="shared" si="1800"/>
        <v>0</v>
      </c>
      <c r="BZ208" s="3181">
        <f t="shared" si="1800"/>
        <v>0</v>
      </c>
      <c r="CA208" s="3181">
        <f t="shared" si="1800"/>
        <v>0</v>
      </c>
      <c r="CB208" s="3286">
        <f t="shared" ref="CB208" si="1801">SUM(BM208+BD208)</f>
        <v>517.29666900000007</v>
      </c>
      <c r="CC208" s="3286">
        <f t="shared" ref="CC208" si="1802">SUM(BN208+BE208)</f>
        <v>517.29666900000007</v>
      </c>
      <c r="CD208" s="3286">
        <f t="shared" ref="CD208" si="1803">SUM(BO208+BF208)</f>
        <v>0</v>
      </c>
      <c r="CE208" s="3171">
        <f t="shared" si="1709"/>
        <v>0</v>
      </c>
      <c r="CF208" s="3171">
        <f t="shared" si="1710"/>
        <v>0</v>
      </c>
      <c r="CG208" s="3171">
        <f t="shared" si="1711"/>
        <v>0</v>
      </c>
      <c r="CH208" s="3171">
        <f t="shared" si="1696"/>
        <v>-517.29666900000007</v>
      </c>
      <c r="CI208" s="3171">
        <f t="shared" si="1697"/>
        <v>-517.29666900000007</v>
      </c>
      <c r="CJ208" s="3171">
        <f t="shared" si="1698"/>
        <v>0</v>
      </c>
      <c r="CK208" s="396"/>
      <c r="CL208" s="5"/>
    </row>
    <row r="209" spans="1:90" ht="18.75" customHeight="1" x14ac:dyDescent="0.3">
      <c r="A209" s="3158" t="s">
        <v>602</v>
      </c>
      <c r="B209" s="3281">
        <f>SUM(B31+B61+B86+B102)</f>
        <v>296.40518000000003</v>
      </c>
      <c r="C209" s="3281">
        <f t="shared" ref="C209:D209" si="1804">SUM(C31+C61+C86+C102)</f>
        <v>295.02257780475884</v>
      </c>
      <c r="D209" s="3281">
        <f t="shared" si="1804"/>
        <v>1.3826021952411529</v>
      </c>
      <c r="E209" s="3183">
        <f t="shared" ref="E209:AE209" si="1805">SUM(E31+E61+E86+E102)</f>
        <v>83.910000000000011</v>
      </c>
      <c r="F209" s="3183">
        <f t="shared" si="1805"/>
        <v>83.910000000000011</v>
      </c>
      <c r="G209" s="3183">
        <f t="shared" si="1805"/>
        <v>0</v>
      </c>
      <c r="H209" s="3183">
        <f t="shared" si="1805"/>
        <v>82.06</v>
      </c>
      <c r="I209" s="3183">
        <f t="shared" si="1805"/>
        <v>82.06</v>
      </c>
      <c r="J209" s="3183">
        <f t="shared" si="1805"/>
        <v>0</v>
      </c>
      <c r="K209" s="3183">
        <f t="shared" si="1805"/>
        <v>162.60999999999999</v>
      </c>
      <c r="L209" s="3183">
        <f t="shared" si="1805"/>
        <v>162.60999999999999</v>
      </c>
      <c r="M209" s="3183">
        <f t="shared" si="1805"/>
        <v>0</v>
      </c>
      <c r="N209" s="3183">
        <f t="shared" si="1805"/>
        <v>328.58000000000004</v>
      </c>
      <c r="O209" s="3183">
        <f t="shared" si="1805"/>
        <v>328.58000000000004</v>
      </c>
      <c r="P209" s="3183">
        <f t="shared" si="1805"/>
        <v>0</v>
      </c>
      <c r="Q209" s="3281">
        <f t="shared" si="1805"/>
        <v>296.40518000000003</v>
      </c>
      <c r="R209" s="3281">
        <f t="shared" si="1805"/>
        <v>295.02257780475884</v>
      </c>
      <c r="S209" s="3281">
        <f t="shared" si="1805"/>
        <v>1.3826021952411529</v>
      </c>
      <c r="T209" s="3183">
        <f t="shared" si="1805"/>
        <v>51.64</v>
      </c>
      <c r="U209" s="3183">
        <f t="shared" si="1805"/>
        <v>51.64</v>
      </c>
      <c r="V209" s="3183">
        <f t="shared" si="1805"/>
        <v>0</v>
      </c>
      <c r="W209" s="3183">
        <f t="shared" si="1805"/>
        <v>67.3</v>
      </c>
      <c r="X209" s="3183">
        <f t="shared" si="1805"/>
        <v>67.3</v>
      </c>
      <c r="Y209" s="3183">
        <f t="shared" si="1805"/>
        <v>0</v>
      </c>
      <c r="Z209" s="3183">
        <f t="shared" si="1805"/>
        <v>448.685</v>
      </c>
      <c r="AA209" s="3183">
        <f t="shared" si="1805"/>
        <v>448.685</v>
      </c>
      <c r="AB209" s="3183">
        <f t="shared" si="1805"/>
        <v>0</v>
      </c>
      <c r="AC209" s="3183">
        <f t="shared" si="1805"/>
        <v>567.62499999999989</v>
      </c>
      <c r="AD209" s="3183">
        <f t="shared" si="1805"/>
        <v>567.62499999999989</v>
      </c>
      <c r="AE209" s="3183">
        <f t="shared" si="1805"/>
        <v>0</v>
      </c>
      <c r="AF209" s="3285">
        <f t="shared" si="1677"/>
        <v>592.81036000000006</v>
      </c>
      <c r="AG209" s="3285">
        <f t="shared" ref="AG209:AG219" si="1806">SUM(R209+C209)</f>
        <v>590.04515560951768</v>
      </c>
      <c r="AH209" s="3285">
        <f t="shared" ref="AH209:AH219" si="1807">SUM(S209+D209)</f>
        <v>2.7652043904823058</v>
      </c>
      <c r="AI209" s="3170">
        <f t="shared" si="1701"/>
        <v>896.20499999999993</v>
      </c>
      <c r="AJ209" s="3170">
        <f t="shared" si="1702"/>
        <v>896.20499999999993</v>
      </c>
      <c r="AK209" s="3170">
        <f t="shared" si="1703"/>
        <v>0</v>
      </c>
      <c r="AL209" s="3170">
        <f t="shared" si="1680"/>
        <v>303.39463999999987</v>
      </c>
      <c r="AM209" s="3170">
        <f t="shared" si="1681"/>
        <v>306.15984439048225</v>
      </c>
      <c r="AN209" s="3170">
        <f t="shared" si="1682"/>
        <v>-2.7652043904823058</v>
      </c>
      <c r="AO209" s="3281">
        <f t="shared" ref="AO209" si="1808">SUM(AO31+AO61+AO86+AO102)</f>
        <v>296.40518000000003</v>
      </c>
      <c r="AP209" s="3281">
        <f t="shared" ref="AP209:BC209" si="1809">SUM(AP31+AP61+AP86+AP102)</f>
        <v>295.02257780475884</v>
      </c>
      <c r="AQ209" s="3281">
        <f t="shared" si="1809"/>
        <v>1.3826021952411529</v>
      </c>
      <c r="AR209" s="3183">
        <f t="shared" si="1809"/>
        <v>-1.5800000000000018</v>
      </c>
      <c r="AS209" s="3183">
        <f t="shared" si="1809"/>
        <v>-1.5800000000000018</v>
      </c>
      <c r="AT209" s="3183">
        <f t="shared" si="1809"/>
        <v>0</v>
      </c>
      <c r="AU209" s="3183">
        <f t="shared" si="1809"/>
        <v>9.4</v>
      </c>
      <c r="AV209" s="3183">
        <f t="shared" si="1809"/>
        <v>9.4</v>
      </c>
      <c r="AW209" s="3183">
        <f t="shared" si="1809"/>
        <v>0</v>
      </c>
      <c r="AX209" s="3183">
        <f t="shared" si="1809"/>
        <v>30.830000000000002</v>
      </c>
      <c r="AY209" s="3183">
        <f t="shared" si="1809"/>
        <v>30.830000000000002</v>
      </c>
      <c r="AZ209" s="3183">
        <f t="shared" si="1809"/>
        <v>0</v>
      </c>
      <c r="BA209" s="3183">
        <f t="shared" si="1809"/>
        <v>38.650000000000006</v>
      </c>
      <c r="BB209" s="3183">
        <f t="shared" si="1809"/>
        <v>38.650000000000006</v>
      </c>
      <c r="BC209" s="3183">
        <f t="shared" si="1809"/>
        <v>0</v>
      </c>
      <c r="BD209" s="3285">
        <f t="shared" si="1684"/>
        <v>889.21554000000015</v>
      </c>
      <c r="BE209" s="3285">
        <f t="shared" ref="BE209:BE219" si="1810">SUM(AG209+AP209)</f>
        <v>885.06773341427652</v>
      </c>
      <c r="BF209" s="3285">
        <f t="shared" ref="BF209:BF219" si="1811">SUM(AH209+AQ209)</f>
        <v>4.1478065857234583</v>
      </c>
      <c r="BG209" s="3170">
        <f t="shared" si="1705"/>
        <v>934.8549999999999</v>
      </c>
      <c r="BH209" s="3170">
        <f t="shared" si="1706"/>
        <v>934.8549999999999</v>
      </c>
      <c r="BI209" s="3170">
        <f t="shared" si="1707"/>
        <v>0</v>
      </c>
      <c r="BJ209" s="3170">
        <f t="shared" si="1688"/>
        <v>45.639459999999758</v>
      </c>
      <c r="BK209" s="3170">
        <f t="shared" si="1689"/>
        <v>49.787266585723387</v>
      </c>
      <c r="BL209" s="3170">
        <f t="shared" si="1690"/>
        <v>-4.1478065857234583</v>
      </c>
      <c r="BM209" s="3281">
        <f t="shared" ref="BM209" si="1812">SUM(BM31+BM61+BM86+BM102)</f>
        <v>296.40518000000003</v>
      </c>
      <c r="BN209" s="3281">
        <f t="shared" ref="BN209:CA209" si="1813">SUM(BN31+BN61+BN86+BN102)</f>
        <v>295.02257780475884</v>
      </c>
      <c r="BO209" s="3281">
        <f t="shared" si="1813"/>
        <v>1.3826021952411529</v>
      </c>
      <c r="BP209" s="3183">
        <f t="shared" si="1813"/>
        <v>0</v>
      </c>
      <c r="BQ209" s="3183">
        <f t="shared" si="1813"/>
        <v>0</v>
      </c>
      <c r="BR209" s="3183">
        <f t="shared" si="1813"/>
        <v>0</v>
      </c>
      <c r="BS209" s="3183">
        <f t="shared" si="1813"/>
        <v>0</v>
      </c>
      <c r="BT209" s="3183">
        <f t="shared" si="1813"/>
        <v>0</v>
      </c>
      <c r="BU209" s="3183">
        <f t="shared" si="1813"/>
        <v>0</v>
      </c>
      <c r="BV209" s="3183">
        <f t="shared" si="1813"/>
        <v>0</v>
      </c>
      <c r="BW209" s="3183">
        <f t="shared" si="1813"/>
        <v>0</v>
      </c>
      <c r="BX209" s="3183">
        <f t="shared" si="1813"/>
        <v>0</v>
      </c>
      <c r="BY209" s="3183">
        <f t="shared" si="1813"/>
        <v>0</v>
      </c>
      <c r="BZ209" s="3183">
        <f t="shared" si="1813"/>
        <v>0</v>
      </c>
      <c r="CA209" s="3183">
        <f t="shared" si="1813"/>
        <v>0</v>
      </c>
      <c r="CB209" s="3285">
        <f t="shared" si="1692"/>
        <v>1185.6207200000001</v>
      </c>
      <c r="CC209" s="3285">
        <f t="shared" ref="CC209:CC219" si="1814">SUM(BN209+BE209)</f>
        <v>1180.0903112190354</v>
      </c>
      <c r="CD209" s="3285">
        <f t="shared" ref="CD209:CD219" si="1815">SUM(BO209+BF209)</f>
        <v>5.5304087809646116</v>
      </c>
      <c r="CE209" s="3170">
        <f t="shared" si="1709"/>
        <v>934.8549999999999</v>
      </c>
      <c r="CF209" s="3170">
        <f t="shared" si="1710"/>
        <v>934.8549999999999</v>
      </c>
      <c r="CG209" s="3170">
        <f t="shared" si="1711"/>
        <v>0</v>
      </c>
      <c r="CH209" s="3170">
        <f t="shared" si="1696"/>
        <v>-250.76572000000021</v>
      </c>
      <c r="CI209" s="3170">
        <f t="shared" si="1697"/>
        <v>-245.23531121903545</v>
      </c>
      <c r="CJ209" s="3170">
        <f t="shared" si="1698"/>
        <v>-5.5304087809646116</v>
      </c>
      <c r="CK209" s="396"/>
      <c r="CL209" s="5"/>
    </row>
    <row r="210" spans="1:90" ht="18.75" customHeight="1" x14ac:dyDescent="0.3">
      <c r="A210" s="3079" t="s">
        <v>647</v>
      </c>
      <c r="B210" s="3282">
        <f>SUM(B62)</f>
        <v>124.0325</v>
      </c>
      <c r="C210" s="3282">
        <f t="shared" ref="C210:D210" si="1816">SUM(C62)</f>
        <v>123.30692444041495</v>
      </c>
      <c r="D210" s="3282">
        <f t="shared" si="1816"/>
        <v>0.72557555958505204</v>
      </c>
      <c r="E210" s="3184">
        <f t="shared" ref="E210:AE210" si="1817">SUM(E62)</f>
        <v>75.84</v>
      </c>
      <c r="F210" s="3184">
        <f t="shared" si="1817"/>
        <v>75.84</v>
      </c>
      <c r="G210" s="3184">
        <f t="shared" si="1817"/>
        <v>0</v>
      </c>
      <c r="H210" s="3184">
        <f t="shared" si="1817"/>
        <v>68.08</v>
      </c>
      <c r="I210" s="3184">
        <f t="shared" si="1817"/>
        <v>68.08</v>
      </c>
      <c r="J210" s="3184">
        <f t="shared" si="1817"/>
        <v>0</v>
      </c>
      <c r="K210" s="3184">
        <f t="shared" si="1817"/>
        <v>55.900000000000006</v>
      </c>
      <c r="L210" s="3184">
        <f t="shared" si="1817"/>
        <v>55.900000000000006</v>
      </c>
      <c r="M210" s="3184">
        <f t="shared" si="1817"/>
        <v>0</v>
      </c>
      <c r="N210" s="3184">
        <f t="shared" si="1817"/>
        <v>199.82000000000002</v>
      </c>
      <c r="O210" s="3184">
        <f t="shared" si="1817"/>
        <v>199.82000000000002</v>
      </c>
      <c r="P210" s="3184">
        <f t="shared" si="1817"/>
        <v>0</v>
      </c>
      <c r="Q210" s="3282">
        <f t="shared" si="1817"/>
        <v>124.0325</v>
      </c>
      <c r="R210" s="3282">
        <f t="shared" si="1817"/>
        <v>123.30692444041495</v>
      </c>
      <c r="S210" s="3282">
        <f t="shared" si="1817"/>
        <v>0.72557555958505204</v>
      </c>
      <c r="T210" s="3184">
        <f t="shared" si="1817"/>
        <v>41.67</v>
      </c>
      <c r="U210" s="3184">
        <f t="shared" si="1817"/>
        <v>41.67</v>
      </c>
      <c r="V210" s="3184">
        <f t="shared" si="1817"/>
        <v>0</v>
      </c>
      <c r="W210" s="3184">
        <f t="shared" si="1817"/>
        <v>17.13</v>
      </c>
      <c r="X210" s="3184">
        <f t="shared" si="1817"/>
        <v>17.13</v>
      </c>
      <c r="Y210" s="3184">
        <f t="shared" si="1817"/>
        <v>0</v>
      </c>
      <c r="Z210" s="3184">
        <f t="shared" si="1817"/>
        <v>0.44</v>
      </c>
      <c r="AA210" s="3184">
        <f t="shared" si="1817"/>
        <v>0.44</v>
      </c>
      <c r="AB210" s="3184">
        <f t="shared" si="1817"/>
        <v>0</v>
      </c>
      <c r="AC210" s="3184">
        <f t="shared" si="1817"/>
        <v>59.239999999999995</v>
      </c>
      <c r="AD210" s="3184">
        <f t="shared" si="1817"/>
        <v>59.239999999999995</v>
      </c>
      <c r="AE210" s="3184">
        <f t="shared" si="1817"/>
        <v>0</v>
      </c>
      <c r="AF210" s="3288">
        <f t="shared" si="1677"/>
        <v>248.065</v>
      </c>
      <c r="AG210" s="3288">
        <f t="shared" si="1806"/>
        <v>246.61384888082989</v>
      </c>
      <c r="AH210" s="3288">
        <f t="shared" si="1807"/>
        <v>1.4511511191701041</v>
      </c>
      <c r="AI210" s="3171">
        <f t="shared" si="1701"/>
        <v>259.06</v>
      </c>
      <c r="AJ210" s="3171">
        <f t="shared" si="1702"/>
        <v>259.06</v>
      </c>
      <c r="AK210" s="3171">
        <f t="shared" si="1703"/>
        <v>0</v>
      </c>
      <c r="AL210" s="3173">
        <f t="shared" si="1680"/>
        <v>10.995000000000005</v>
      </c>
      <c r="AM210" s="3173">
        <f t="shared" si="1681"/>
        <v>12.446151119170111</v>
      </c>
      <c r="AN210" s="3173">
        <f t="shared" si="1682"/>
        <v>-1.4511511191701041</v>
      </c>
      <c r="AO210" s="3282">
        <f t="shared" ref="AO210" si="1818">SUM(AO62)</f>
        <v>124.0325</v>
      </c>
      <c r="AP210" s="3282">
        <f t="shared" ref="AP210:BC210" si="1819">SUM(AP62)</f>
        <v>123.30692444041495</v>
      </c>
      <c r="AQ210" s="3282">
        <f t="shared" si="1819"/>
        <v>0.72557555958505204</v>
      </c>
      <c r="AR210" s="3184">
        <f t="shared" si="1819"/>
        <v>2.14</v>
      </c>
      <c r="AS210" s="3184">
        <f t="shared" si="1819"/>
        <v>2.14</v>
      </c>
      <c r="AT210" s="3184">
        <f t="shared" si="1819"/>
        <v>0</v>
      </c>
      <c r="AU210" s="3184">
        <f t="shared" si="1819"/>
        <v>0.56000000000000005</v>
      </c>
      <c r="AV210" s="3184">
        <f t="shared" si="1819"/>
        <v>0.56000000000000005</v>
      </c>
      <c r="AW210" s="3184">
        <f t="shared" si="1819"/>
        <v>0</v>
      </c>
      <c r="AX210" s="3184">
        <f t="shared" si="1819"/>
        <v>8.93</v>
      </c>
      <c r="AY210" s="3184">
        <f t="shared" si="1819"/>
        <v>8.93</v>
      </c>
      <c r="AZ210" s="3184">
        <f t="shared" si="1819"/>
        <v>0</v>
      </c>
      <c r="BA210" s="3184">
        <f t="shared" si="1819"/>
        <v>11.629999999999999</v>
      </c>
      <c r="BB210" s="3184">
        <f t="shared" si="1819"/>
        <v>11.629999999999999</v>
      </c>
      <c r="BC210" s="3184">
        <f t="shared" si="1819"/>
        <v>0</v>
      </c>
      <c r="BD210" s="3288">
        <f t="shared" si="1684"/>
        <v>372.09749999999997</v>
      </c>
      <c r="BE210" s="3288">
        <f t="shared" si="1810"/>
        <v>369.92077332124484</v>
      </c>
      <c r="BF210" s="3288">
        <f t="shared" si="1811"/>
        <v>2.176726678755156</v>
      </c>
      <c r="BG210" s="3171">
        <f t="shared" si="1705"/>
        <v>270.69</v>
      </c>
      <c r="BH210" s="3171">
        <f t="shared" si="1706"/>
        <v>270.69</v>
      </c>
      <c r="BI210" s="3171">
        <f t="shared" si="1707"/>
        <v>0</v>
      </c>
      <c r="BJ210" s="3173">
        <f t="shared" si="1688"/>
        <v>-101.40749999999997</v>
      </c>
      <c r="BK210" s="3173">
        <f t="shared" si="1689"/>
        <v>-99.23077332124484</v>
      </c>
      <c r="BL210" s="3173">
        <f t="shared" si="1690"/>
        <v>-2.176726678755156</v>
      </c>
      <c r="BM210" s="3282">
        <f t="shared" ref="BM210" si="1820">SUM(BM62)</f>
        <v>124.0325</v>
      </c>
      <c r="BN210" s="3282">
        <f t="shared" ref="BN210:CA210" si="1821">SUM(BN62)</f>
        <v>123.30692444041495</v>
      </c>
      <c r="BO210" s="3282">
        <f t="shared" si="1821"/>
        <v>0.72557555958505204</v>
      </c>
      <c r="BP210" s="3184">
        <f t="shared" si="1821"/>
        <v>0</v>
      </c>
      <c r="BQ210" s="3184">
        <f t="shared" si="1821"/>
        <v>0</v>
      </c>
      <c r="BR210" s="3184">
        <f t="shared" si="1821"/>
        <v>0</v>
      </c>
      <c r="BS210" s="3184">
        <f t="shared" si="1821"/>
        <v>0</v>
      </c>
      <c r="BT210" s="3184">
        <f t="shared" si="1821"/>
        <v>0</v>
      </c>
      <c r="BU210" s="3184">
        <f t="shared" si="1821"/>
        <v>0</v>
      </c>
      <c r="BV210" s="3184">
        <f t="shared" si="1821"/>
        <v>0</v>
      </c>
      <c r="BW210" s="3184">
        <f t="shared" si="1821"/>
        <v>0</v>
      </c>
      <c r="BX210" s="3184">
        <f t="shared" si="1821"/>
        <v>0</v>
      </c>
      <c r="BY210" s="3184">
        <f t="shared" si="1821"/>
        <v>0</v>
      </c>
      <c r="BZ210" s="3184">
        <f t="shared" si="1821"/>
        <v>0</v>
      </c>
      <c r="CA210" s="3184">
        <f t="shared" si="1821"/>
        <v>0</v>
      </c>
      <c r="CB210" s="3288">
        <f t="shared" si="1692"/>
        <v>496.13</v>
      </c>
      <c r="CC210" s="3288">
        <f t="shared" si="1814"/>
        <v>493.22769776165978</v>
      </c>
      <c r="CD210" s="3288">
        <f t="shared" si="1815"/>
        <v>2.9023022383402082</v>
      </c>
      <c r="CE210" s="3171">
        <f t="shared" si="1709"/>
        <v>270.69</v>
      </c>
      <c r="CF210" s="3171">
        <f t="shared" si="1710"/>
        <v>270.69</v>
      </c>
      <c r="CG210" s="3171">
        <f t="shared" si="1711"/>
        <v>0</v>
      </c>
      <c r="CH210" s="3173">
        <f t="shared" si="1696"/>
        <v>-225.44</v>
      </c>
      <c r="CI210" s="3173">
        <f t="shared" si="1697"/>
        <v>-222.53769776165979</v>
      </c>
      <c r="CJ210" s="3173">
        <f t="shared" si="1698"/>
        <v>-2.9023022383402082</v>
      </c>
      <c r="CK210" s="396"/>
      <c r="CL210" s="5"/>
    </row>
    <row r="211" spans="1:90" ht="18.75" customHeight="1" x14ac:dyDescent="0.3">
      <c r="A211" s="3079" t="s">
        <v>557</v>
      </c>
      <c r="B211" s="3282">
        <f>SUM(B32+B63+B87+B103)</f>
        <v>162.15518000000003</v>
      </c>
      <c r="C211" s="3282">
        <f t="shared" ref="C211:D211" si="1822">SUM(C32+C63+C87+C103)</f>
        <v>161.54860860149083</v>
      </c>
      <c r="D211" s="3282">
        <f t="shared" si="1822"/>
        <v>0.60657139850921549</v>
      </c>
      <c r="E211" s="3184">
        <f t="shared" ref="E211:AE211" si="1823">SUM(E32+E63+E87+E103)</f>
        <v>6.71</v>
      </c>
      <c r="F211" s="3184">
        <f t="shared" si="1823"/>
        <v>6.71</v>
      </c>
      <c r="G211" s="3184">
        <f t="shared" si="1823"/>
        <v>0</v>
      </c>
      <c r="H211" s="3184">
        <f t="shared" si="1823"/>
        <v>13.98</v>
      </c>
      <c r="I211" s="3184">
        <f t="shared" si="1823"/>
        <v>13.98</v>
      </c>
      <c r="J211" s="3184">
        <f t="shared" si="1823"/>
        <v>0</v>
      </c>
      <c r="K211" s="3184">
        <f t="shared" si="1823"/>
        <v>8.11</v>
      </c>
      <c r="L211" s="3184">
        <f t="shared" si="1823"/>
        <v>8.11</v>
      </c>
      <c r="M211" s="3184">
        <f t="shared" si="1823"/>
        <v>0</v>
      </c>
      <c r="N211" s="3184">
        <f t="shared" si="1823"/>
        <v>28.799999999999997</v>
      </c>
      <c r="O211" s="3184">
        <f t="shared" si="1823"/>
        <v>28.799999999999997</v>
      </c>
      <c r="P211" s="3184">
        <f t="shared" si="1823"/>
        <v>0</v>
      </c>
      <c r="Q211" s="3282">
        <f t="shared" si="1823"/>
        <v>162.15518000000003</v>
      </c>
      <c r="R211" s="3282">
        <f t="shared" si="1823"/>
        <v>161.54860860149083</v>
      </c>
      <c r="S211" s="3282">
        <f t="shared" si="1823"/>
        <v>0.60657139850921549</v>
      </c>
      <c r="T211" s="3184">
        <f t="shared" si="1823"/>
        <v>5.2200000000000006</v>
      </c>
      <c r="U211" s="3184">
        <f t="shared" si="1823"/>
        <v>5.2200000000000006</v>
      </c>
      <c r="V211" s="3184">
        <f t="shared" si="1823"/>
        <v>0</v>
      </c>
      <c r="W211" s="3184">
        <f t="shared" si="1823"/>
        <v>12.09</v>
      </c>
      <c r="X211" s="3184">
        <f t="shared" si="1823"/>
        <v>12.09</v>
      </c>
      <c r="Y211" s="3184">
        <f t="shared" si="1823"/>
        <v>0</v>
      </c>
      <c r="Z211" s="3184">
        <f t="shared" si="1823"/>
        <v>434.13499999999999</v>
      </c>
      <c r="AA211" s="3184">
        <f t="shared" si="1823"/>
        <v>434.13499999999999</v>
      </c>
      <c r="AB211" s="3184">
        <f t="shared" si="1823"/>
        <v>0</v>
      </c>
      <c r="AC211" s="3184">
        <f t="shared" si="1823"/>
        <v>451.44500000000005</v>
      </c>
      <c r="AD211" s="3184">
        <f t="shared" si="1823"/>
        <v>451.44500000000005</v>
      </c>
      <c r="AE211" s="3184">
        <f t="shared" si="1823"/>
        <v>0</v>
      </c>
      <c r="AF211" s="3288">
        <f t="shared" si="1677"/>
        <v>324.31036000000006</v>
      </c>
      <c r="AG211" s="3288">
        <f t="shared" si="1806"/>
        <v>323.09721720298165</v>
      </c>
      <c r="AH211" s="3288">
        <f t="shared" si="1807"/>
        <v>1.213142797018431</v>
      </c>
      <c r="AI211" s="3171">
        <f t="shared" si="1701"/>
        <v>480.24500000000006</v>
      </c>
      <c r="AJ211" s="3171">
        <f t="shared" si="1702"/>
        <v>480.24500000000006</v>
      </c>
      <c r="AK211" s="3171">
        <f t="shared" si="1703"/>
        <v>0</v>
      </c>
      <c r="AL211" s="3173">
        <f t="shared" si="1680"/>
        <v>155.93464</v>
      </c>
      <c r="AM211" s="3173">
        <f t="shared" si="1681"/>
        <v>157.14778279701841</v>
      </c>
      <c r="AN211" s="3173">
        <f t="shared" si="1682"/>
        <v>-1.213142797018431</v>
      </c>
      <c r="AO211" s="3282">
        <f t="shared" ref="AO211" si="1824">SUM(AO32+AO63+AO87+AO103)</f>
        <v>162.15518000000003</v>
      </c>
      <c r="AP211" s="3282">
        <f t="shared" ref="AP211:BC211" si="1825">SUM(AP32+AP63+AP87+AP103)</f>
        <v>161.54860860149083</v>
      </c>
      <c r="AQ211" s="3282">
        <f t="shared" si="1825"/>
        <v>0.60657139850921549</v>
      </c>
      <c r="AR211" s="3184">
        <f t="shared" si="1825"/>
        <v>-3.7200000000000024</v>
      </c>
      <c r="AS211" s="3184">
        <f t="shared" si="1825"/>
        <v>-3.7200000000000024</v>
      </c>
      <c r="AT211" s="3184">
        <f t="shared" si="1825"/>
        <v>0</v>
      </c>
      <c r="AU211" s="3184">
        <f t="shared" si="1825"/>
        <v>5.33</v>
      </c>
      <c r="AV211" s="3184">
        <f t="shared" si="1825"/>
        <v>5.33</v>
      </c>
      <c r="AW211" s="3184">
        <f t="shared" si="1825"/>
        <v>0</v>
      </c>
      <c r="AX211" s="3184">
        <f t="shared" si="1825"/>
        <v>8.69</v>
      </c>
      <c r="AY211" s="3184">
        <f t="shared" si="1825"/>
        <v>8.69</v>
      </c>
      <c r="AZ211" s="3184">
        <f t="shared" si="1825"/>
        <v>0</v>
      </c>
      <c r="BA211" s="3184">
        <f t="shared" si="1825"/>
        <v>10.3</v>
      </c>
      <c r="BB211" s="3184">
        <f t="shared" si="1825"/>
        <v>10.3</v>
      </c>
      <c r="BC211" s="3184">
        <f t="shared" si="1825"/>
        <v>0</v>
      </c>
      <c r="BD211" s="3288">
        <f t="shared" si="1684"/>
        <v>486.46554000000009</v>
      </c>
      <c r="BE211" s="3288">
        <f t="shared" si="1810"/>
        <v>484.64582580447245</v>
      </c>
      <c r="BF211" s="3288">
        <f t="shared" si="1811"/>
        <v>1.8197141955276463</v>
      </c>
      <c r="BG211" s="3171">
        <f t="shared" si="1705"/>
        <v>490.54500000000007</v>
      </c>
      <c r="BH211" s="3171">
        <f t="shared" si="1706"/>
        <v>490.54500000000007</v>
      </c>
      <c r="BI211" s="3171">
        <f t="shared" si="1707"/>
        <v>0</v>
      </c>
      <c r="BJ211" s="3173">
        <f t="shared" si="1688"/>
        <v>4.0794599999999832</v>
      </c>
      <c r="BK211" s="3173">
        <f t="shared" si="1689"/>
        <v>5.8991741955276211</v>
      </c>
      <c r="BL211" s="3173">
        <f t="shared" si="1690"/>
        <v>-1.8197141955276463</v>
      </c>
      <c r="BM211" s="3282">
        <f t="shared" ref="BM211" si="1826">SUM(BM32+BM63+BM87+BM103)</f>
        <v>162.15518000000003</v>
      </c>
      <c r="BN211" s="3282">
        <f t="shared" ref="BN211:CA211" si="1827">SUM(BN32+BN63+BN87+BN103)</f>
        <v>161.54860860149083</v>
      </c>
      <c r="BO211" s="3282">
        <f t="shared" si="1827"/>
        <v>0.60657139850921549</v>
      </c>
      <c r="BP211" s="3184">
        <f t="shared" si="1827"/>
        <v>0</v>
      </c>
      <c r="BQ211" s="3184">
        <f t="shared" si="1827"/>
        <v>0</v>
      </c>
      <c r="BR211" s="3184">
        <f t="shared" si="1827"/>
        <v>0</v>
      </c>
      <c r="BS211" s="3184">
        <f t="shared" si="1827"/>
        <v>0</v>
      </c>
      <c r="BT211" s="3184">
        <f t="shared" si="1827"/>
        <v>0</v>
      </c>
      <c r="BU211" s="3184">
        <f t="shared" si="1827"/>
        <v>0</v>
      </c>
      <c r="BV211" s="3184">
        <f t="shared" si="1827"/>
        <v>0</v>
      </c>
      <c r="BW211" s="3184">
        <f t="shared" si="1827"/>
        <v>0</v>
      </c>
      <c r="BX211" s="3184">
        <f t="shared" si="1827"/>
        <v>0</v>
      </c>
      <c r="BY211" s="3184">
        <f t="shared" si="1827"/>
        <v>0</v>
      </c>
      <c r="BZ211" s="3184">
        <f t="shared" si="1827"/>
        <v>0</v>
      </c>
      <c r="CA211" s="3184">
        <f t="shared" si="1827"/>
        <v>0</v>
      </c>
      <c r="CB211" s="3288">
        <f t="shared" si="1692"/>
        <v>648.62072000000012</v>
      </c>
      <c r="CC211" s="3288">
        <f t="shared" si="1814"/>
        <v>646.19443440596331</v>
      </c>
      <c r="CD211" s="3288">
        <f t="shared" si="1815"/>
        <v>2.4262855940368619</v>
      </c>
      <c r="CE211" s="3171">
        <f t="shared" si="1709"/>
        <v>490.54500000000007</v>
      </c>
      <c r="CF211" s="3171">
        <f t="shared" si="1710"/>
        <v>490.54500000000007</v>
      </c>
      <c r="CG211" s="3171">
        <f t="shared" si="1711"/>
        <v>0</v>
      </c>
      <c r="CH211" s="3173">
        <f t="shared" si="1696"/>
        <v>-158.07572000000005</v>
      </c>
      <c r="CI211" s="3173">
        <f t="shared" si="1697"/>
        <v>-155.64943440596323</v>
      </c>
      <c r="CJ211" s="3173">
        <f t="shared" si="1698"/>
        <v>-2.4262855940368619</v>
      </c>
      <c r="CK211" s="396"/>
      <c r="CL211" s="5"/>
    </row>
    <row r="212" spans="1:90" ht="18.75" customHeight="1" x14ac:dyDescent="0.3">
      <c r="A212" s="3079" t="s">
        <v>556</v>
      </c>
      <c r="B212" s="3282">
        <f>SUM(B64)</f>
        <v>0</v>
      </c>
      <c r="C212" s="3282">
        <f t="shared" ref="C212:D212" si="1828">SUM(C64)</f>
        <v>0</v>
      </c>
      <c r="D212" s="3282">
        <f t="shared" si="1828"/>
        <v>0</v>
      </c>
      <c r="E212" s="3184">
        <f t="shared" ref="E212:AE212" si="1829">SUM(E64)</f>
        <v>0</v>
      </c>
      <c r="F212" s="3184">
        <f t="shared" si="1829"/>
        <v>0</v>
      </c>
      <c r="G212" s="3184">
        <f t="shared" si="1829"/>
        <v>0</v>
      </c>
      <c r="H212" s="3184">
        <f t="shared" si="1829"/>
        <v>0</v>
      </c>
      <c r="I212" s="3184">
        <f t="shared" si="1829"/>
        <v>0</v>
      </c>
      <c r="J212" s="3184">
        <f t="shared" si="1829"/>
        <v>0</v>
      </c>
      <c r="K212" s="3184">
        <f t="shared" si="1829"/>
        <v>0</v>
      </c>
      <c r="L212" s="3184">
        <f t="shared" si="1829"/>
        <v>0</v>
      </c>
      <c r="M212" s="3184">
        <f t="shared" si="1829"/>
        <v>0</v>
      </c>
      <c r="N212" s="3184">
        <f t="shared" si="1829"/>
        <v>0</v>
      </c>
      <c r="O212" s="3184">
        <f t="shared" si="1829"/>
        <v>0</v>
      </c>
      <c r="P212" s="3184">
        <f t="shared" si="1829"/>
        <v>0</v>
      </c>
      <c r="Q212" s="3282">
        <f t="shared" si="1829"/>
        <v>0</v>
      </c>
      <c r="R212" s="3282">
        <f t="shared" si="1829"/>
        <v>0</v>
      </c>
      <c r="S212" s="3282">
        <f t="shared" si="1829"/>
        <v>0</v>
      </c>
      <c r="T212" s="3184">
        <f t="shared" si="1829"/>
        <v>0</v>
      </c>
      <c r="U212" s="3184">
        <f t="shared" si="1829"/>
        <v>0</v>
      </c>
      <c r="V212" s="3184">
        <f t="shared" si="1829"/>
        <v>0</v>
      </c>
      <c r="W212" s="3184">
        <f t="shared" si="1829"/>
        <v>0</v>
      </c>
      <c r="X212" s="3184">
        <f t="shared" si="1829"/>
        <v>0</v>
      </c>
      <c r="Y212" s="3184">
        <f t="shared" si="1829"/>
        <v>0</v>
      </c>
      <c r="Z212" s="3184">
        <f t="shared" si="1829"/>
        <v>0</v>
      </c>
      <c r="AA212" s="3184">
        <f t="shared" si="1829"/>
        <v>0</v>
      </c>
      <c r="AB212" s="3184">
        <f t="shared" si="1829"/>
        <v>0</v>
      </c>
      <c r="AC212" s="3184">
        <f t="shared" si="1829"/>
        <v>0</v>
      </c>
      <c r="AD212" s="3184">
        <f t="shared" si="1829"/>
        <v>0</v>
      </c>
      <c r="AE212" s="3184">
        <f t="shared" si="1829"/>
        <v>0</v>
      </c>
      <c r="AF212" s="3288">
        <f t="shared" si="1677"/>
        <v>0</v>
      </c>
      <c r="AG212" s="3288">
        <f t="shared" si="1806"/>
        <v>0</v>
      </c>
      <c r="AH212" s="3288">
        <f t="shared" si="1807"/>
        <v>0</v>
      </c>
      <c r="AI212" s="3171">
        <f t="shared" si="1701"/>
        <v>0</v>
      </c>
      <c r="AJ212" s="3171">
        <f t="shared" si="1702"/>
        <v>0</v>
      </c>
      <c r="AK212" s="3171">
        <f t="shared" si="1703"/>
        <v>0</v>
      </c>
      <c r="AL212" s="3173">
        <f t="shared" si="1680"/>
        <v>0</v>
      </c>
      <c r="AM212" s="3173">
        <f t="shared" si="1681"/>
        <v>0</v>
      </c>
      <c r="AN212" s="3173">
        <f t="shared" si="1682"/>
        <v>0</v>
      </c>
      <c r="AO212" s="3282">
        <f t="shared" ref="AO212" si="1830">SUM(AO64)</f>
        <v>0</v>
      </c>
      <c r="AP212" s="3282">
        <f t="shared" ref="AP212:BC212" si="1831">SUM(AP64)</f>
        <v>0</v>
      </c>
      <c r="AQ212" s="3282">
        <f t="shared" si="1831"/>
        <v>0</v>
      </c>
      <c r="AR212" s="3184">
        <f t="shared" si="1831"/>
        <v>0</v>
      </c>
      <c r="AS212" s="3184">
        <f t="shared" si="1831"/>
        <v>0</v>
      </c>
      <c r="AT212" s="3184">
        <f t="shared" si="1831"/>
        <v>0</v>
      </c>
      <c r="AU212" s="3184">
        <f t="shared" si="1831"/>
        <v>0</v>
      </c>
      <c r="AV212" s="3184">
        <f t="shared" si="1831"/>
        <v>0</v>
      </c>
      <c r="AW212" s="3184">
        <f t="shared" si="1831"/>
        <v>0</v>
      </c>
      <c r="AX212" s="3184">
        <f t="shared" si="1831"/>
        <v>0</v>
      </c>
      <c r="AY212" s="3184">
        <f t="shared" si="1831"/>
        <v>0</v>
      </c>
      <c r="AZ212" s="3184">
        <f t="shared" si="1831"/>
        <v>0</v>
      </c>
      <c r="BA212" s="3184">
        <f t="shared" si="1831"/>
        <v>0</v>
      </c>
      <c r="BB212" s="3184">
        <f t="shared" si="1831"/>
        <v>0</v>
      </c>
      <c r="BC212" s="3184">
        <f t="shared" si="1831"/>
        <v>0</v>
      </c>
      <c r="BD212" s="3288">
        <f t="shared" si="1684"/>
        <v>0</v>
      </c>
      <c r="BE212" s="3288">
        <f t="shared" si="1810"/>
        <v>0</v>
      </c>
      <c r="BF212" s="3288">
        <f t="shared" si="1811"/>
        <v>0</v>
      </c>
      <c r="BG212" s="3171">
        <f t="shared" si="1705"/>
        <v>0</v>
      </c>
      <c r="BH212" s="3171">
        <f t="shared" si="1706"/>
        <v>0</v>
      </c>
      <c r="BI212" s="3171">
        <f t="shared" si="1707"/>
        <v>0</v>
      </c>
      <c r="BJ212" s="3173">
        <f t="shared" si="1688"/>
        <v>0</v>
      </c>
      <c r="BK212" s="3173">
        <f t="shared" si="1689"/>
        <v>0</v>
      </c>
      <c r="BL212" s="3173">
        <f t="shared" si="1690"/>
        <v>0</v>
      </c>
      <c r="BM212" s="3282">
        <f t="shared" ref="BM212" si="1832">SUM(BM64)</f>
        <v>0</v>
      </c>
      <c r="BN212" s="3282">
        <f t="shared" ref="BN212:CA212" si="1833">SUM(BN64)</f>
        <v>0</v>
      </c>
      <c r="BO212" s="3282">
        <f t="shared" si="1833"/>
        <v>0</v>
      </c>
      <c r="BP212" s="3184">
        <f t="shared" si="1833"/>
        <v>0</v>
      </c>
      <c r="BQ212" s="3184">
        <f t="shared" si="1833"/>
        <v>0</v>
      </c>
      <c r="BR212" s="3184">
        <f t="shared" si="1833"/>
        <v>0</v>
      </c>
      <c r="BS212" s="3184">
        <f t="shared" si="1833"/>
        <v>0</v>
      </c>
      <c r="BT212" s="3184">
        <f t="shared" si="1833"/>
        <v>0</v>
      </c>
      <c r="BU212" s="3184">
        <f t="shared" si="1833"/>
        <v>0</v>
      </c>
      <c r="BV212" s="3184">
        <f t="shared" si="1833"/>
        <v>0</v>
      </c>
      <c r="BW212" s="3184">
        <f t="shared" si="1833"/>
        <v>0</v>
      </c>
      <c r="BX212" s="3184">
        <f t="shared" si="1833"/>
        <v>0</v>
      </c>
      <c r="BY212" s="3184">
        <f t="shared" si="1833"/>
        <v>0</v>
      </c>
      <c r="BZ212" s="3184">
        <f t="shared" si="1833"/>
        <v>0</v>
      </c>
      <c r="CA212" s="3184">
        <f t="shared" si="1833"/>
        <v>0</v>
      </c>
      <c r="CB212" s="3288">
        <f t="shared" si="1692"/>
        <v>0</v>
      </c>
      <c r="CC212" s="3288">
        <f t="shared" si="1814"/>
        <v>0</v>
      </c>
      <c r="CD212" s="3288">
        <f t="shared" si="1815"/>
        <v>0</v>
      </c>
      <c r="CE212" s="3171">
        <f t="shared" si="1709"/>
        <v>0</v>
      </c>
      <c r="CF212" s="3171">
        <f t="shared" si="1710"/>
        <v>0</v>
      </c>
      <c r="CG212" s="3171">
        <f t="shared" si="1711"/>
        <v>0</v>
      </c>
      <c r="CH212" s="3173">
        <f t="shared" si="1696"/>
        <v>0</v>
      </c>
      <c r="CI212" s="3173">
        <f t="shared" si="1697"/>
        <v>0</v>
      </c>
      <c r="CJ212" s="3173">
        <f t="shared" si="1698"/>
        <v>0</v>
      </c>
      <c r="CK212" s="396"/>
      <c r="CL212" s="5"/>
    </row>
    <row r="213" spans="1:90" ht="18.75" customHeight="1" x14ac:dyDescent="0.3">
      <c r="A213" s="3079" t="s">
        <v>558</v>
      </c>
      <c r="B213" s="3282">
        <f>SUM(B33+B65)</f>
        <v>10.217499999999998</v>
      </c>
      <c r="C213" s="3282">
        <f t="shared" ref="C213:D213" si="1834">SUM(C33+C65)</f>
        <v>10.167044762853113</v>
      </c>
      <c r="D213" s="3282">
        <f t="shared" si="1834"/>
        <v>5.0455237146885483E-2</v>
      </c>
      <c r="E213" s="3184">
        <f t="shared" ref="E213:AE213" si="1835">SUM(E33+E65)</f>
        <v>1.36</v>
      </c>
      <c r="F213" s="3184">
        <f t="shared" si="1835"/>
        <v>1.36</v>
      </c>
      <c r="G213" s="3184">
        <f t="shared" si="1835"/>
        <v>0</v>
      </c>
      <c r="H213" s="3184">
        <f t="shared" si="1835"/>
        <v>0</v>
      </c>
      <c r="I213" s="3184">
        <f t="shared" si="1835"/>
        <v>0</v>
      </c>
      <c r="J213" s="3184">
        <f t="shared" si="1835"/>
        <v>0</v>
      </c>
      <c r="K213" s="3184">
        <f t="shared" si="1835"/>
        <v>98.6</v>
      </c>
      <c r="L213" s="3184">
        <f t="shared" si="1835"/>
        <v>98.6</v>
      </c>
      <c r="M213" s="3184">
        <f t="shared" si="1835"/>
        <v>0</v>
      </c>
      <c r="N213" s="3184">
        <f t="shared" si="1835"/>
        <v>99.96</v>
      </c>
      <c r="O213" s="3184">
        <f t="shared" si="1835"/>
        <v>99.96</v>
      </c>
      <c r="P213" s="3184">
        <f t="shared" si="1835"/>
        <v>0</v>
      </c>
      <c r="Q213" s="3282">
        <f t="shared" si="1835"/>
        <v>10.217499999999998</v>
      </c>
      <c r="R213" s="3282">
        <f t="shared" si="1835"/>
        <v>10.167044762853113</v>
      </c>
      <c r="S213" s="3282">
        <f t="shared" si="1835"/>
        <v>5.0455237146885483E-2</v>
      </c>
      <c r="T213" s="3184">
        <f t="shared" si="1835"/>
        <v>4.75</v>
      </c>
      <c r="U213" s="3184">
        <f t="shared" si="1835"/>
        <v>4.75</v>
      </c>
      <c r="V213" s="3184">
        <f t="shared" si="1835"/>
        <v>0</v>
      </c>
      <c r="W213" s="3184">
        <f t="shared" si="1835"/>
        <v>38.08</v>
      </c>
      <c r="X213" s="3184">
        <f t="shared" si="1835"/>
        <v>38.08</v>
      </c>
      <c r="Y213" s="3184">
        <f t="shared" si="1835"/>
        <v>0</v>
      </c>
      <c r="Z213" s="3184">
        <f t="shared" si="1835"/>
        <v>14.11</v>
      </c>
      <c r="AA213" s="3184">
        <f t="shared" si="1835"/>
        <v>14.11</v>
      </c>
      <c r="AB213" s="3184">
        <f t="shared" si="1835"/>
        <v>0</v>
      </c>
      <c r="AC213" s="3184">
        <f t="shared" si="1835"/>
        <v>56.94</v>
      </c>
      <c r="AD213" s="3184">
        <f t="shared" si="1835"/>
        <v>56.94</v>
      </c>
      <c r="AE213" s="3184">
        <f t="shared" si="1835"/>
        <v>0</v>
      </c>
      <c r="AF213" s="3288">
        <f t="shared" si="1677"/>
        <v>20.434999999999995</v>
      </c>
      <c r="AG213" s="3288">
        <f t="shared" si="1806"/>
        <v>20.334089525706226</v>
      </c>
      <c r="AH213" s="3288">
        <f t="shared" si="1807"/>
        <v>0.10091047429377097</v>
      </c>
      <c r="AI213" s="3171">
        <f t="shared" si="1701"/>
        <v>156.89999999999998</v>
      </c>
      <c r="AJ213" s="3171">
        <f t="shared" si="1702"/>
        <v>156.89999999999998</v>
      </c>
      <c r="AK213" s="3171">
        <f t="shared" si="1703"/>
        <v>0</v>
      </c>
      <c r="AL213" s="3173">
        <f t="shared" si="1680"/>
        <v>136.46499999999997</v>
      </c>
      <c r="AM213" s="3173">
        <f t="shared" si="1681"/>
        <v>136.56591047429376</v>
      </c>
      <c r="AN213" s="3173">
        <f t="shared" si="1682"/>
        <v>-0.10091047429377097</v>
      </c>
      <c r="AO213" s="3282">
        <f t="shared" ref="AO213" si="1836">SUM(AO33+AO65)</f>
        <v>10.217499999999998</v>
      </c>
      <c r="AP213" s="3282">
        <f t="shared" ref="AP213:BC213" si="1837">SUM(AP33+AP65)</f>
        <v>10.167044762853113</v>
      </c>
      <c r="AQ213" s="3282">
        <f t="shared" si="1837"/>
        <v>5.0455237146885483E-2</v>
      </c>
      <c r="AR213" s="3184">
        <f t="shared" si="1837"/>
        <v>0</v>
      </c>
      <c r="AS213" s="3184">
        <f t="shared" si="1837"/>
        <v>0</v>
      </c>
      <c r="AT213" s="3184">
        <f t="shared" si="1837"/>
        <v>0</v>
      </c>
      <c r="AU213" s="3184">
        <f t="shared" si="1837"/>
        <v>3.51</v>
      </c>
      <c r="AV213" s="3184">
        <f t="shared" si="1837"/>
        <v>3.51</v>
      </c>
      <c r="AW213" s="3184">
        <f t="shared" si="1837"/>
        <v>0</v>
      </c>
      <c r="AX213" s="3184">
        <f t="shared" si="1837"/>
        <v>13.209999999999999</v>
      </c>
      <c r="AY213" s="3184">
        <f t="shared" si="1837"/>
        <v>13.209999999999999</v>
      </c>
      <c r="AZ213" s="3184">
        <f t="shared" si="1837"/>
        <v>0</v>
      </c>
      <c r="BA213" s="3184">
        <f t="shared" si="1837"/>
        <v>16.72</v>
      </c>
      <c r="BB213" s="3184">
        <f t="shared" si="1837"/>
        <v>16.72</v>
      </c>
      <c r="BC213" s="3184">
        <f t="shared" si="1837"/>
        <v>0</v>
      </c>
      <c r="BD213" s="3288">
        <f t="shared" si="1684"/>
        <v>30.652499999999993</v>
      </c>
      <c r="BE213" s="3288">
        <f t="shared" si="1810"/>
        <v>30.501134288559339</v>
      </c>
      <c r="BF213" s="3288">
        <f t="shared" si="1811"/>
        <v>0.15136571144065644</v>
      </c>
      <c r="BG213" s="3171">
        <f t="shared" si="1705"/>
        <v>173.61999999999998</v>
      </c>
      <c r="BH213" s="3171">
        <f t="shared" si="1706"/>
        <v>173.61999999999998</v>
      </c>
      <c r="BI213" s="3171">
        <f t="shared" si="1707"/>
        <v>0</v>
      </c>
      <c r="BJ213" s="3173">
        <f t="shared" si="1688"/>
        <v>142.96749999999997</v>
      </c>
      <c r="BK213" s="3173">
        <f t="shared" si="1689"/>
        <v>143.11886571144063</v>
      </c>
      <c r="BL213" s="3173">
        <f t="shared" si="1690"/>
        <v>-0.15136571144065644</v>
      </c>
      <c r="BM213" s="3282">
        <f t="shared" ref="BM213" si="1838">SUM(BM33+BM65)</f>
        <v>10.217499999999998</v>
      </c>
      <c r="BN213" s="3282">
        <f t="shared" ref="BN213:CA213" si="1839">SUM(BN33+BN65)</f>
        <v>10.167044762853113</v>
      </c>
      <c r="BO213" s="3282">
        <f t="shared" si="1839"/>
        <v>5.0455237146885483E-2</v>
      </c>
      <c r="BP213" s="3184">
        <f t="shared" si="1839"/>
        <v>0</v>
      </c>
      <c r="BQ213" s="3184">
        <f t="shared" si="1839"/>
        <v>0</v>
      </c>
      <c r="BR213" s="3184">
        <f t="shared" si="1839"/>
        <v>0</v>
      </c>
      <c r="BS213" s="3184">
        <f t="shared" si="1839"/>
        <v>0</v>
      </c>
      <c r="BT213" s="3184">
        <f t="shared" si="1839"/>
        <v>0</v>
      </c>
      <c r="BU213" s="3184">
        <f t="shared" si="1839"/>
        <v>0</v>
      </c>
      <c r="BV213" s="3184">
        <f t="shared" si="1839"/>
        <v>0</v>
      </c>
      <c r="BW213" s="3184">
        <f t="shared" si="1839"/>
        <v>0</v>
      </c>
      <c r="BX213" s="3184">
        <f t="shared" si="1839"/>
        <v>0</v>
      </c>
      <c r="BY213" s="3184">
        <f t="shared" si="1839"/>
        <v>0</v>
      </c>
      <c r="BZ213" s="3184">
        <f t="shared" si="1839"/>
        <v>0</v>
      </c>
      <c r="CA213" s="3184">
        <f t="shared" si="1839"/>
        <v>0</v>
      </c>
      <c r="CB213" s="3288">
        <f t="shared" si="1692"/>
        <v>40.86999999999999</v>
      </c>
      <c r="CC213" s="3288">
        <f t="shared" si="1814"/>
        <v>40.668179051412451</v>
      </c>
      <c r="CD213" s="3288">
        <f t="shared" si="1815"/>
        <v>0.20182094858754193</v>
      </c>
      <c r="CE213" s="3171">
        <f t="shared" si="1709"/>
        <v>173.61999999999998</v>
      </c>
      <c r="CF213" s="3171">
        <f t="shared" si="1710"/>
        <v>173.61999999999998</v>
      </c>
      <c r="CG213" s="3171">
        <f t="shared" si="1711"/>
        <v>0</v>
      </c>
      <c r="CH213" s="3173">
        <f t="shared" si="1696"/>
        <v>132.75</v>
      </c>
      <c r="CI213" s="3173">
        <f t="shared" si="1697"/>
        <v>132.95182094858751</v>
      </c>
      <c r="CJ213" s="3173">
        <f t="shared" si="1698"/>
        <v>-0.20182094858754193</v>
      </c>
      <c r="CK213" s="396"/>
      <c r="CL213" s="5"/>
    </row>
    <row r="214" spans="1:90" ht="18.75" customHeight="1" x14ac:dyDescent="0.3">
      <c r="A214" s="3158" t="s">
        <v>605</v>
      </c>
      <c r="B214" s="3281">
        <f>SUM(B34+B66+B88+B104)</f>
        <v>404.98500000000001</v>
      </c>
      <c r="C214" s="3281">
        <f t="shared" ref="C214:D214" si="1840">SUM(C34+C66+C88+C104)</f>
        <v>402.72130019216877</v>
      </c>
      <c r="D214" s="3281">
        <f t="shared" si="1840"/>
        <v>2.2636998078312511</v>
      </c>
      <c r="E214" s="3185">
        <f t="shared" ref="E214:AE214" si="1841">SUM(E34+E66+E88+E104)</f>
        <v>1.73</v>
      </c>
      <c r="F214" s="3185">
        <f t="shared" si="1841"/>
        <v>1.73</v>
      </c>
      <c r="G214" s="3185">
        <f t="shared" si="1841"/>
        <v>0</v>
      </c>
      <c r="H214" s="3185">
        <f t="shared" si="1841"/>
        <v>0</v>
      </c>
      <c r="I214" s="3185">
        <f t="shared" si="1841"/>
        <v>0</v>
      </c>
      <c r="J214" s="3185">
        <f t="shared" si="1841"/>
        <v>0</v>
      </c>
      <c r="K214" s="3185">
        <f t="shared" si="1841"/>
        <v>5.3900000000000006</v>
      </c>
      <c r="L214" s="3185">
        <f t="shared" si="1841"/>
        <v>5.3900000000000006</v>
      </c>
      <c r="M214" s="3185">
        <f t="shared" si="1841"/>
        <v>0</v>
      </c>
      <c r="N214" s="3185">
        <f t="shared" si="1841"/>
        <v>7.120000000000001</v>
      </c>
      <c r="O214" s="3185">
        <f t="shared" si="1841"/>
        <v>7.120000000000001</v>
      </c>
      <c r="P214" s="3185">
        <f t="shared" si="1841"/>
        <v>0</v>
      </c>
      <c r="Q214" s="3281">
        <f t="shared" si="1841"/>
        <v>404.98500000000001</v>
      </c>
      <c r="R214" s="3281">
        <f t="shared" si="1841"/>
        <v>402.72130019216877</v>
      </c>
      <c r="S214" s="3281">
        <f t="shared" si="1841"/>
        <v>2.2636998078312511</v>
      </c>
      <c r="T214" s="3185">
        <f t="shared" si="1841"/>
        <v>41.93</v>
      </c>
      <c r="U214" s="3185">
        <f t="shared" si="1841"/>
        <v>41.93</v>
      </c>
      <c r="V214" s="3185">
        <f t="shared" si="1841"/>
        <v>0</v>
      </c>
      <c r="W214" s="3185">
        <f t="shared" si="1841"/>
        <v>1.5</v>
      </c>
      <c r="X214" s="3185">
        <f t="shared" si="1841"/>
        <v>1.5</v>
      </c>
      <c r="Y214" s="3185">
        <f t="shared" si="1841"/>
        <v>0</v>
      </c>
      <c r="Z214" s="3185">
        <f t="shared" si="1841"/>
        <v>15.515000000000001</v>
      </c>
      <c r="AA214" s="3185">
        <f t="shared" si="1841"/>
        <v>15.515000000000001</v>
      </c>
      <c r="AB214" s="3185">
        <f t="shared" si="1841"/>
        <v>0</v>
      </c>
      <c r="AC214" s="3185">
        <f t="shared" si="1841"/>
        <v>58.945</v>
      </c>
      <c r="AD214" s="3185">
        <f t="shared" si="1841"/>
        <v>58.945</v>
      </c>
      <c r="AE214" s="3185">
        <f t="shared" si="1841"/>
        <v>0</v>
      </c>
      <c r="AF214" s="3285">
        <f t="shared" si="1677"/>
        <v>809.97</v>
      </c>
      <c r="AG214" s="3285">
        <f t="shared" si="1806"/>
        <v>805.44260038433754</v>
      </c>
      <c r="AH214" s="3285">
        <f t="shared" si="1807"/>
        <v>4.5273996156625023</v>
      </c>
      <c r="AI214" s="3170">
        <f t="shared" si="1701"/>
        <v>66.064999999999998</v>
      </c>
      <c r="AJ214" s="3170">
        <f t="shared" si="1702"/>
        <v>66.064999999999998</v>
      </c>
      <c r="AK214" s="3170">
        <f t="shared" si="1703"/>
        <v>0</v>
      </c>
      <c r="AL214" s="3170">
        <f t="shared" si="1680"/>
        <v>-743.90499999999997</v>
      </c>
      <c r="AM214" s="3170">
        <f t="shared" si="1681"/>
        <v>-739.37760038433748</v>
      </c>
      <c r="AN214" s="3170">
        <f t="shared" si="1682"/>
        <v>-4.5273996156625023</v>
      </c>
      <c r="AO214" s="3281">
        <f t="shared" ref="AO214" si="1842">SUM(AO34+AO66+AO88+AO104)</f>
        <v>404.98500000000001</v>
      </c>
      <c r="AP214" s="3281">
        <f t="shared" ref="AP214:BC214" si="1843">SUM(AP34+AP66+AP88+AP104)</f>
        <v>402.72130019216877</v>
      </c>
      <c r="AQ214" s="3281">
        <f t="shared" si="1843"/>
        <v>2.2636998078312511</v>
      </c>
      <c r="AR214" s="3185">
        <f t="shared" si="1843"/>
        <v>112.96</v>
      </c>
      <c r="AS214" s="3185">
        <f t="shared" si="1843"/>
        <v>112.96</v>
      </c>
      <c r="AT214" s="3185">
        <f t="shared" si="1843"/>
        <v>0</v>
      </c>
      <c r="AU214" s="3185">
        <f t="shared" si="1843"/>
        <v>181.82</v>
      </c>
      <c r="AV214" s="3185">
        <f t="shared" si="1843"/>
        <v>181.82</v>
      </c>
      <c r="AW214" s="3185">
        <f t="shared" si="1843"/>
        <v>0</v>
      </c>
      <c r="AX214" s="3185">
        <f t="shared" si="1843"/>
        <v>48.1</v>
      </c>
      <c r="AY214" s="3185">
        <f t="shared" si="1843"/>
        <v>48.1</v>
      </c>
      <c r="AZ214" s="3185">
        <f t="shared" si="1843"/>
        <v>0</v>
      </c>
      <c r="BA214" s="3185">
        <f t="shared" si="1843"/>
        <v>342.88</v>
      </c>
      <c r="BB214" s="3185">
        <f t="shared" si="1843"/>
        <v>342.88</v>
      </c>
      <c r="BC214" s="3185">
        <f t="shared" si="1843"/>
        <v>0</v>
      </c>
      <c r="BD214" s="3285">
        <f t="shared" si="1684"/>
        <v>1214.9549999999999</v>
      </c>
      <c r="BE214" s="3285">
        <f t="shared" si="1810"/>
        <v>1208.1639005765064</v>
      </c>
      <c r="BF214" s="3285">
        <f t="shared" si="1811"/>
        <v>6.791099423493753</v>
      </c>
      <c r="BG214" s="3170">
        <f t="shared" si="1705"/>
        <v>408.94499999999999</v>
      </c>
      <c r="BH214" s="3170">
        <f t="shared" si="1706"/>
        <v>408.94499999999999</v>
      </c>
      <c r="BI214" s="3170">
        <f t="shared" si="1707"/>
        <v>0</v>
      </c>
      <c r="BJ214" s="3170">
        <f t="shared" si="1688"/>
        <v>-806.01</v>
      </c>
      <c r="BK214" s="3170">
        <f t="shared" si="1689"/>
        <v>-799.21890057650648</v>
      </c>
      <c r="BL214" s="3170">
        <f t="shared" si="1690"/>
        <v>-6.791099423493753</v>
      </c>
      <c r="BM214" s="3281">
        <f t="shared" ref="BM214" si="1844">SUM(BM34+BM66+BM88+BM104)</f>
        <v>404.98500000000001</v>
      </c>
      <c r="BN214" s="3281">
        <f t="shared" ref="BN214:CA214" si="1845">SUM(BN34+BN66+BN88+BN104)</f>
        <v>402.72130019216877</v>
      </c>
      <c r="BO214" s="3281">
        <f t="shared" si="1845"/>
        <v>2.2636998078312511</v>
      </c>
      <c r="BP214" s="3185">
        <f t="shared" si="1845"/>
        <v>0</v>
      </c>
      <c r="BQ214" s="3185">
        <f t="shared" si="1845"/>
        <v>0</v>
      </c>
      <c r="BR214" s="3185">
        <f t="shared" si="1845"/>
        <v>0</v>
      </c>
      <c r="BS214" s="3185">
        <f t="shared" si="1845"/>
        <v>0</v>
      </c>
      <c r="BT214" s="3185">
        <f t="shared" si="1845"/>
        <v>0</v>
      </c>
      <c r="BU214" s="3185">
        <f t="shared" si="1845"/>
        <v>0</v>
      </c>
      <c r="BV214" s="3185">
        <f t="shared" si="1845"/>
        <v>0</v>
      </c>
      <c r="BW214" s="3185">
        <f t="shared" si="1845"/>
        <v>0</v>
      </c>
      <c r="BX214" s="3185">
        <f t="shared" si="1845"/>
        <v>0</v>
      </c>
      <c r="BY214" s="3185">
        <f t="shared" si="1845"/>
        <v>0</v>
      </c>
      <c r="BZ214" s="3185">
        <f t="shared" si="1845"/>
        <v>0</v>
      </c>
      <c r="CA214" s="3185">
        <f t="shared" si="1845"/>
        <v>0</v>
      </c>
      <c r="CB214" s="3285">
        <f t="shared" si="1692"/>
        <v>1619.94</v>
      </c>
      <c r="CC214" s="3285">
        <f t="shared" si="1814"/>
        <v>1610.8852007686751</v>
      </c>
      <c r="CD214" s="3285">
        <f t="shared" si="1815"/>
        <v>9.0547992313250045</v>
      </c>
      <c r="CE214" s="3170">
        <f t="shared" si="1709"/>
        <v>408.94499999999999</v>
      </c>
      <c r="CF214" s="3170">
        <f t="shared" si="1710"/>
        <v>408.94499999999999</v>
      </c>
      <c r="CG214" s="3170">
        <f t="shared" si="1711"/>
        <v>0</v>
      </c>
      <c r="CH214" s="3170">
        <f t="shared" si="1696"/>
        <v>-1210.9950000000001</v>
      </c>
      <c r="CI214" s="3170">
        <f t="shared" si="1697"/>
        <v>-1201.9402007686751</v>
      </c>
      <c r="CJ214" s="3170">
        <f t="shared" si="1698"/>
        <v>-9.0547992313250045</v>
      </c>
      <c r="CK214" s="396"/>
      <c r="CL214" s="5"/>
    </row>
    <row r="215" spans="1:90" ht="18.75" customHeight="1" x14ac:dyDescent="0.3">
      <c r="A215" s="3079" t="s">
        <v>543</v>
      </c>
      <c r="B215" s="3282">
        <f>SUM(B35+B67+B105)</f>
        <v>73.424999999999997</v>
      </c>
      <c r="C215" s="3282">
        <f t="shared" ref="C215:D215" si="1846">SUM(C35+C67+C105)</f>
        <v>73.095329867894165</v>
      </c>
      <c r="D215" s="3282">
        <f t="shared" si="1846"/>
        <v>0.32967013210582391</v>
      </c>
      <c r="E215" s="3184">
        <f t="shared" ref="E215:AE215" si="1847">SUM(E35+E67+E105)</f>
        <v>0</v>
      </c>
      <c r="F215" s="3184">
        <f t="shared" si="1847"/>
        <v>0</v>
      </c>
      <c r="G215" s="3184">
        <f t="shared" si="1847"/>
        <v>0</v>
      </c>
      <c r="H215" s="3184">
        <f t="shared" si="1847"/>
        <v>0</v>
      </c>
      <c r="I215" s="3184">
        <f t="shared" si="1847"/>
        <v>0</v>
      </c>
      <c r="J215" s="3184">
        <f t="shared" si="1847"/>
        <v>0</v>
      </c>
      <c r="K215" s="3184">
        <f t="shared" si="1847"/>
        <v>0</v>
      </c>
      <c r="L215" s="3184">
        <f t="shared" si="1847"/>
        <v>0</v>
      </c>
      <c r="M215" s="3184">
        <f t="shared" si="1847"/>
        <v>0</v>
      </c>
      <c r="N215" s="3184">
        <f t="shared" si="1847"/>
        <v>0</v>
      </c>
      <c r="O215" s="3184">
        <f t="shared" si="1847"/>
        <v>0</v>
      </c>
      <c r="P215" s="3184">
        <f t="shared" si="1847"/>
        <v>0</v>
      </c>
      <c r="Q215" s="3282">
        <f t="shared" si="1847"/>
        <v>73.424999999999997</v>
      </c>
      <c r="R215" s="3282">
        <f t="shared" si="1847"/>
        <v>73.095329867894165</v>
      </c>
      <c r="S215" s="3282">
        <f t="shared" si="1847"/>
        <v>0.32967013210582391</v>
      </c>
      <c r="T215" s="3184">
        <f t="shared" si="1847"/>
        <v>0</v>
      </c>
      <c r="U215" s="3184">
        <f t="shared" si="1847"/>
        <v>0</v>
      </c>
      <c r="V215" s="3184">
        <f t="shared" si="1847"/>
        <v>0</v>
      </c>
      <c r="W215" s="3184">
        <f t="shared" si="1847"/>
        <v>0</v>
      </c>
      <c r="X215" s="3184">
        <f t="shared" si="1847"/>
        <v>0</v>
      </c>
      <c r="Y215" s="3184">
        <f t="shared" si="1847"/>
        <v>0</v>
      </c>
      <c r="Z215" s="3184">
        <f t="shared" si="1847"/>
        <v>9.08</v>
      </c>
      <c r="AA215" s="3184">
        <f t="shared" si="1847"/>
        <v>9.08</v>
      </c>
      <c r="AB215" s="3184">
        <f t="shared" si="1847"/>
        <v>0</v>
      </c>
      <c r="AC215" s="3184">
        <f t="shared" si="1847"/>
        <v>9.08</v>
      </c>
      <c r="AD215" s="3184">
        <f t="shared" si="1847"/>
        <v>9.08</v>
      </c>
      <c r="AE215" s="3184">
        <f t="shared" si="1847"/>
        <v>0</v>
      </c>
      <c r="AF215" s="3288">
        <f t="shared" si="1677"/>
        <v>146.85</v>
      </c>
      <c r="AG215" s="3288">
        <f t="shared" si="1806"/>
        <v>146.19065973578833</v>
      </c>
      <c r="AH215" s="3288">
        <f t="shared" si="1807"/>
        <v>0.65934026421164782</v>
      </c>
      <c r="AI215" s="3171">
        <f t="shared" si="1701"/>
        <v>9.08</v>
      </c>
      <c r="AJ215" s="3171">
        <f t="shared" si="1702"/>
        <v>9.08</v>
      </c>
      <c r="AK215" s="3171">
        <f t="shared" si="1703"/>
        <v>0</v>
      </c>
      <c r="AL215" s="3173">
        <f t="shared" si="1680"/>
        <v>-137.76999999999998</v>
      </c>
      <c r="AM215" s="3173">
        <f t="shared" si="1681"/>
        <v>-137.11065973578832</v>
      </c>
      <c r="AN215" s="3173">
        <f t="shared" si="1682"/>
        <v>-0.65934026421164782</v>
      </c>
      <c r="AO215" s="3282">
        <f t="shared" ref="AO215" si="1848">SUM(AO35+AO67+AO105)</f>
        <v>73.424999999999997</v>
      </c>
      <c r="AP215" s="3282">
        <f t="shared" ref="AP215:BC215" si="1849">SUM(AP35+AP67+AP105)</f>
        <v>73.095329867894165</v>
      </c>
      <c r="AQ215" s="3282">
        <f t="shared" si="1849"/>
        <v>0.32967013210582391</v>
      </c>
      <c r="AR215" s="3184">
        <f t="shared" si="1849"/>
        <v>112.39999999999999</v>
      </c>
      <c r="AS215" s="3184">
        <f t="shared" si="1849"/>
        <v>112.39999999999999</v>
      </c>
      <c r="AT215" s="3184">
        <f t="shared" si="1849"/>
        <v>0</v>
      </c>
      <c r="AU215" s="3184">
        <f t="shared" si="1849"/>
        <v>176.22</v>
      </c>
      <c r="AV215" s="3184">
        <f t="shared" si="1849"/>
        <v>176.22</v>
      </c>
      <c r="AW215" s="3184">
        <f t="shared" si="1849"/>
        <v>0</v>
      </c>
      <c r="AX215" s="3184">
        <f t="shared" si="1849"/>
        <v>48.1</v>
      </c>
      <c r="AY215" s="3184">
        <f t="shared" si="1849"/>
        <v>48.1</v>
      </c>
      <c r="AZ215" s="3184">
        <f t="shared" si="1849"/>
        <v>0</v>
      </c>
      <c r="BA215" s="3184">
        <f t="shared" si="1849"/>
        <v>336.72</v>
      </c>
      <c r="BB215" s="3184">
        <f t="shared" si="1849"/>
        <v>336.72</v>
      </c>
      <c r="BC215" s="3184">
        <f t="shared" si="1849"/>
        <v>0</v>
      </c>
      <c r="BD215" s="3288">
        <f t="shared" si="1684"/>
        <v>220.27499999999998</v>
      </c>
      <c r="BE215" s="3288">
        <f t="shared" si="1810"/>
        <v>219.28598960368248</v>
      </c>
      <c r="BF215" s="3288">
        <f t="shared" si="1811"/>
        <v>0.98901039631747167</v>
      </c>
      <c r="BG215" s="3171">
        <f t="shared" si="1705"/>
        <v>345.8</v>
      </c>
      <c r="BH215" s="3171">
        <f t="shared" si="1706"/>
        <v>345.8</v>
      </c>
      <c r="BI215" s="3171">
        <f t="shared" si="1707"/>
        <v>0</v>
      </c>
      <c r="BJ215" s="3173">
        <f t="shared" si="1688"/>
        <v>125.52500000000003</v>
      </c>
      <c r="BK215" s="3173">
        <f t="shared" si="1689"/>
        <v>126.51401039631753</v>
      </c>
      <c r="BL215" s="3173">
        <f t="shared" si="1690"/>
        <v>-0.98901039631747167</v>
      </c>
      <c r="BM215" s="3282">
        <f t="shared" ref="BM215" si="1850">SUM(BM35+BM67+BM105)</f>
        <v>73.424999999999997</v>
      </c>
      <c r="BN215" s="3282">
        <f t="shared" ref="BN215:CA215" si="1851">SUM(BN35+BN67+BN105)</f>
        <v>73.095329867894165</v>
      </c>
      <c r="BO215" s="3282">
        <f t="shared" si="1851"/>
        <v>0.32967013210582391</v>
      </c>
      <c r="BP215" s="3184">
        <f t="shared" si="1851"/>
        <v>0</v>
      </c>
      <c r="BQ215" s="3184">
        <f t="shared" si="1851"/>
        <v>0</v>
      </c>
      <c r="BR215" s="3184">
        <f t="shared" si="1851"/>
        <v>0</v>
      </c>
      <c r="BS215" s="3184">
        <f t="shared" si="1851"/>
        <v>0</v>
      </c>
      <c r="BT215" s="3184">
        <f t="shared" si="1851"/>
        <v>0</v>
      </c>
      <c r="BU215" s="3184">
        <f t="shared" si="1851"/>
        <v>0</v>
      </c>
      <c r="BV215" s="3184">
        <f t="shared" si="1851"/>
        <v>0</v>
      </c>
      <c r="BW215" s="3184">
        <f t="shared" si="1851"/>
        <v>0</v>
      </c>
      <c r="BX215" s="3184">
        <f t="shared" si="1851"/>
        <v>0</v>
      </c>
      <c r="BY215" s="3184">
        <f t="shared" si="1851"/>
        <v>0</v>
      </c>
      <c r="BZ215" s="3184">
        <f t="shared" si="1851"/>
        <v>0</v>
      </c>
      <c r="CA215" s="3184">
        <f t="shared" si="1851"/>
        <v>0</v>
      </c>
      <c r="CB215" s="3288">
        <f t="shared" si="1692"/>
        <v>293.7</v>
      </c>
      <c r="CC215" s="3288">
        <f t="shared" si="1814"/>
        <v>292.38131947157666</v>
      </c>
      <c r="CD215" s="3288">
        <f t="shared" si="1815"/>
        <v>1.3186805284232956</v>
      </c>
      <c r="CE215" s="3171">
        <f t="shared" si="1709"/>
        <v>345.8</v>
      </c>
      <c r="CF215" s="3171">
        <f t="shared" si="1710"/>
        <v>345.8</v>
      </c>
      <c r="CG215" s="3171">
        <f t="shared" si="1711"/>
        <v>0</v>
      </c>
      <c r="CH215" s="3173">
        <f t="shared" si="1696"/>
        <v>52.100000000000023</v>
      </c>
      <c r="CI215" s="3173">
        <f t="shared" si="1697"/>
        <v>53.418680528423351</v>
      </c>
      <c r="CJ215" s="3173">
        <f t="shared" si="1698"/>
        <v>-1.3186805284232956</v>
      </c>
      <c r="CK215" s="396"/>
      <c r="CL215" s="5"/>
    </row>
    <row r="216" spans="1:90" ht="18.75" customHeight="1" x14ac:dyDescent="0.3">
      <c r="A216" s="3079" t="s">
        <v>639</v>
      </c>
      <c r="B216" s="3282">
        <f>SUM(B68)</f>
        <v>328.27000000000004</v>
      </c>
      <c r="C216" s="3282">
        <f t="shared" ref="C216:D216" si="1852">SUM(C68)</f>
        <v>326.34965904948314</v>
      </c>
      <c r="D216" s="3282">
        <f t="shared" si="1852"/>
        <v>1.9203409505168809</v>
      </c>
      <c r="E216" s="3184">
        <f t="shared" ref="E216:AE216" si="1853">SUM(E68)</f>
        <v>0.87000000000000011</v>
      </c>
      <c r="F216" s="3184">
        <f t="shared" si="1853"/>
        <v>0.87000000000000011</v>
      </c>
      <c r="G216" s="3184">
        <f t="shared" si="1853"/>
        <v>0</v>
      </c>
      <c r="H216" s="3184">
        <f t="shared" si="1853"/>
        <v>0</v>
      </c>
      <c r="I216" s="3184">
        <f t="shared" si="1853"/>
        <v>0</v>
      </c>
      <c r="J216" s="3184">
        <f t="shared" si="1853"/>
        <v>0</v>
      </c>
      <c r="K216" s="3184">
        <f t="shared" si="1853"/>
        <v>5.3900000000000006</v>
      </c>
      <c r="L216" s="3184">
        <f t="shared" si="1853"/>
        <v>5.3900000000000006</v>
      </c>
      <c r="M216" s="3184">
        <f t="shared" si="1853"/>
        <v>0</v>
      </c>
      <c r="N216" s="3184">
        <f t="shared" si="1853"/>
        <v>6.2600000000000007</v>
      </c>
      <c r="O216" s="3184">
        <f t="shared" si="1853"/>
        <v>6.2600000000000007</v>
      </c>
      <c r="P216" s="3184">
        <f t="shared" si="1853"/>
        <v>0</v>
      </c>
      <c r="Q216" s="3282">
        <f t="shared" si="1853"/>
        <v>328.27000000000004</v>
      </c>
      <c r="R216" s="3282">
        <f t="shared" si="1853"/>
        <v>326.34965904948314</v>
      </c>
      <c r="S216" s="3282">
        <f t="shared" si="1853"/>
        <v>1.9203409505168809</v>
      </c>
      <c r="T216" s="3184">
        <f t="shared" si="1853"/>
        <v>21.560000000000002</v>
      </c>
      <c r="U216" s="3184">
        <f t="shared" si="1853"/>
        <v>21.560000000000002</v>
      </c>
      <c r="V216" s="3184">
        <f t="shared" si="1853"/>
        <v>0</v>
      </c>
      <c r="W216" s="3184">
        <f t="shared" si="1853"/>
        <v>1.5</v>
      </c>
      <c r="X216" s="3184">
        <f t="shared" si="1853"/>
        <v>1.5</v>
      </c>
      <c r="Y216" s="3184">
        <f t="shared" si="1853"/>
        <v>0</v>
      </c>
      <c r="Z216" s="3184">
        <f t="shared" si="1853"/>
        <v>6.4350000000000005</v>
      </c>
      <c r="AA216" s="3184">
        <f t="shared" si="1853"/>
        <v>6.4350000000000005</v>
      </c>
      <c r="AB216" s="3184">
        <f t="shared" si="1853"/>
        <v>0</v>
      </c>
      <c r="AC216" s="3184">
        <f t="shared" si="1853"/>
        <v>29.495000000000005</v>
      </c>
      <c r="AD216" s="3184">
        <f t="shared" si="1853"/>
        <v>29.495000000000005</v>
      </c>
      <c r="AE216" s="3184">
        <f t="shared" si="1853"/>
        <v>0</v>
      </c>
      <c r="AF216" s="3288">
        <f t="shared" si="1677"/>
        <v>656.54000000000008</v>
      </c>
      <c r="AG216" s="3288">
        <f t="shared" si="1806"/>
        <v>652.69931809896627</v>
      </c>
      <c r="AH216" s="3288">
        <f t="shared" si="1807"/>
        <v>3.8406819010337618</v>
      </c>
      <c r="AI216" s="3171">
        <f t="shared" si="1701"/>
        <v>35.755000000000003</v>
      </c>
      <c r="AJ216" s="3171">
        <f t="shared" si="1702"/>
        <v>35.755000000000003</v>
      </c>
      <c r="AK216" s="3171">
        <f t="shared" si="1703"/>
        <v>0</v>
      </c>
      <c r="AL216" s="3173">
        <f t="shared" si="1680"/>
        <v>-620.78500000000008</v>
      </c>
      <c r="AM216" s="3173">
        <f t="shared" si="1681"/>
        <v>-616.94431809896628</v>
      </c>
      <c r="AN216" s="3173">
        <f t="shared" si="1682"/>
        <v>-3.8406819010337618</v>
      </c>
      <c r="AO216" s="3282">
        <f>SUM(AO68)</f>
        <v>328.27000000000004</v>
      </c>
      <c r="AP216" s="3282">
        <f t="shared" ref="AP216:BC216" si="1854">SUM(AP68)</f>
        <v>326.34965904948314</v>
      </c>
      <c r="AQ216" s="3282">
        <f t="shared" si="1854"/>
        <v>1.9203409505168809</v>
      </c>
      <c r="AR216" s="3184">
        <f t="shared" si="1854"/>
        <v>0.56000000000000005</v>
      </c>
      <c r="AS216" s="3184">
        <f t="shared" si="1854"/>
        <v>0.56000000000000005</v>
      </c>
      <c r="AT216" s="3184">
        <f t="shared" si="1854"/>
        <v>0</v>
      </c>
      <c r="AU216" s="3184">
        <f t="shared" si="1854"/>
        <v>4.9000000000000004</v>
      </c>
      <c r="AV216" s="3184">
        <f t="shared" si="1854"/>
        <v>4.9000000000000004</v>
      </c>
      <c r="AW216" s="3184">
        <f t="shared" si="1854"/>
        <v>0</v>
      </c>
      <c r="AX216" s="3184">
        <f t="shared" si="1854"/>
        <v>0</v>
      </c>
      <c r="AY216" s="3184">
        <f t="shared" si="1854"/>
        <v>0</v>
      </c>
      <c r="AZ216" s="3184">
        <f t="shared" si="1854"/>
        <v>0</v>
      </c>
      <c r="BA216" s="3184">
        <f t="shared" si="1854"/>
        <v>5.4600000000000009</v>
      </c>
      <c r="BB216" s="3184">
        <f t="shared" si="1854"/>
        <v>5.4600000000000009</v>
      </c>
      <c r="BC216" s="3184">
        <f t="shared" si="1854"/>
        <v>0</v>
      </c>
      <c r="BD216" s="3288">
        <f t="shared" si="1684"/>
        <v>984.81000000000017</v>
      </c>
      <c r="BE216" s="3288">
        <f t="shared" si="1810"/>
        <v>979.04897714844947</v>
      </c>
      <c r="BF216" s="3288">
        <f t="shared" si="1811"/>
        <v>5.761022851550643</v>
      </c>
      <c r="BG216" s="3171">
        <f t="shared" si="1705"/>
        <v>41.215000000000003</v>
      </c>
      <c r="BH216" s="3171">
        <f t="shared" si="1706"/>
        <v>41.215000000000003</v>
      </c>
      <c r="BI216" s="3171">
        <f t="shared" si="1707"/>
        <v>0</v>
      </c>
      <c r="BJ216" s="3173">
        <f t="shared" si="1688"/>
        <v>-943.59500000000014</v>
      </c>
      <c r="BK216" s="3173">
        <f t="shared" si="1689"/>
        <v>-937.83397714844943</v>
      </c>
      <c r="BL216" s="3173">
        <f t="shared" si="1690"/>
        <v>-5.761022851550643</v>
      </c>
      <c r="BM216" s="3282">
        <f>SUM(BM68)</f>
        <v>328.27000000000004</v>
      </c>
      <c r="BN216" s="3282">
        <f t="shared" ref="BN216:CA216" si="1855">SUM(BN68)</f>
        <v>326.34965904948314</v>
      </c>
      <c r="BO216" s="3282">
        <f t="shared" si="1855"/>
        <v>1.9203409505168809</v>
      </c>
      <c r="BP216" s="3184">
        <f t="shared" si="1855"/>
        <v>0</v>
      </c>
      <c r="BQ216" s="3184">
        <f t="shared" si="1855"/>
        <v>0</v>
      </c>
      <c r="BR216" s="3184">
        <f t="shared" si="1855"/>
        <v>0</v>
      </c>
      <c r="BS216" s="3184">
        <f t="shared" si="1855"/>
        <v>0</v>
      </c>
      <c r="BT216" s="3184">
        <f t="shared" si="1855"/>
        <v>0</v>
      </c>
      <c r="BU216" s="3184">
        <f t="shared" si="1855"/>
        <v>0</v>
      </c>
      <c r="BV216" s="3184">
        <f t="shared" si="1855"/>
        <v>0</v>
      </c>
      <c r="BW216" s="3184">
        <f t="shared" si="1855"/>
        <v>0</v>
      </c>
      <c r="BX216" s="3184">
        <f t="shared" si="1855"/>
        <v>0</v>
      </c>
      <c r="BY216" s="3184">
        <f t="shared" si="1855"/>
        <v>0</v>
      </c>
      <c r="BZ216" s="3184">
        <f t="shared" si="1855"/>
        <v>0</v>
      </c>
      <c r="CA216" s="3184">
        <f t="shared" si="1855"/>
        <v>0</v>
      </c>
      <c r="CB216" s="3288">
        <f t="shared" si="1692"/>
        <v>1313.0800000000002</v>
      </c>
      <c r="CC216" s="3288">
        <f t="shared" si="1814"/>
        <v>1305.3986361979325</v>
      </c>
      <c r="CD216" s="3288">
        <f t="shared" si="1815"/>
        <v>7.6813638020675237</v>
      </c>
      <c r="CE216" s="3171">
        <f t="shared" si="1709"/>
        <v>41.215000000000003</v>
      </c>
      <c r="CF216" s="3171">
        <f t="shared" si="1710"/>
        <v>41.215000000000003</v>
      </c>
      <c r="CG216" s="3171">
        <f t="shared" si="1711"/>
        <v>0</v>
      </c>
      <c r="CH216" s="3173">
        <f t="shared" si="1696"/>
        <v>-1271.8650000000002</v>
      </c>
      <c r="CI216" s="3173">
        <f t="shared" si="1697"/>
        <v>-1264.1836361979326</v>
      </c>
      <c r="CJ216" s="3173">
        <f t="shared" si="1698"/>
        <v>-7.6813638020675237</v>
      </c>
      <c r="CK216" s="396"/>
      <c r="CL216" s="5"/>
    </row>
    <row r="217" spans="1:90" ht="18.75" customHeight="1" x14ac:dyDescent="0.3">
      <c r="A217" s="3079" t="s">
        <v>552</v>
      </c>
      <c r="B217" s="3282">
        <f>SUM(B69)</f>
        <v>2.0400000000000005</v>
      </c>
      <c r="C217" s="3282">
        <f t="shared" ref="C217:D217" si="1856">SUM(C69)</f>
        <v>2.0280662395617806</v>
      </c>
      <c r="D217" s="3282">
        <f t="shared" si="1856"/>
        <v>1.1933760438219872E-2</v>
      </c>
      <c r="E217" s="3184">
        <f t="shared" ref="E217:AE217" si="1857">SUM(E69)</f>
        <v>0</v>
      </c>
      <c r="F217" s="3184">
        <f t="shared" si="1857"/>
        <v>0</v>
      </c>
      <c r="G217" s="3184">
        <f t="shared" si="1857"/>
        <v>0</v>
      </c>
      <c r="H217" s="3184">
        <f t="shared" si="1857"/>
        <v>0</v>
      </c>
      <c r="I217" s="3184">
        <f t="shared" si="1857"/>
        <v>0</v>
      </c>
      <c r="J217" s="3184">
        <f t="shared" si="1857"/>
        <v>0</v>
      </c>
      <c r="K217" s="3184">
        <f t="shared" si="1857"/>
        <v>0</v>
      </c>
      <c r="L217" s="3184">
        <f t="shared" si="1857"/>
        <v>0</v>
      </c>
      <c r="M217" s="3184">
        <f t="shared" si="1857"/>
        <v>0</v>
      </c>
      <c r="N217" s="3184">
        <f t="shared" si="1857"/>
        <v>0</v>
      </c>
      <c r="O217" s="3184">
        <f t="shared" si="1857"/>
        <v>0</v>
      </c>
      <c r="P217" s="3184">
        <f t="shared" si="1857"/>
        <v>0</v>
      </c>
      <c r="Q217" s="3282">
        <f t="shared" si="1857"/>
        <v>2.0400000000000005</v>
      </c>
      <c r="R217" s="3282">
        <f t="shared" si="1857"/>
        <v>2.0280662395617806</v>
      </c>
      <c r="S217" s="3282">
        <f t="shared" si="1857"/>
        <v>1.1933760438219872E-2</v>
      </c>
      <c r="T217" s="3184">
        <f t="shared" si="1857"/>
        <v>20.369999999999997</v>
      </c>
      <c r="U217" s="3184">
        <f>SUM(U69)</f>
        <v>20.369999999999997</v>
      </c>
      <c r="V217" s="3184">
        <f t="shared" si="1857"/>
        <v>0</v>
      </c>
      <c r="W217" s="3184">
        <f t="shared" si="1857"/>
        <v>0</v>
      </c>
      <c r="X217" s="3184">
        <f t="shared" si="1857"/>
        <v>0</v>
      </c>
      <c r="Y217" s="3184">
        <f t="shared" si="1857"/>
        <v>0</v>
      </c>
      <c r="Z217" s="3184">
        <f t="shared" si="1857"/>
        <v>0</v>
      </c>
      <c r="AA217" s="3184">
        <f t="shared" si="1857"/>
        <v>0</v>
      </c>
      <c r="AB217" s="3184">
        <f t="shared" si="1857"/>
        <v>0</v>
      </c>
      <c r="AC217" s="3184">
        <f t="shared" si="1857"/>
        <v>20.369999999999997</v>
      </c>
      <c r="AD217" s="3184">
        <f t="shared" si="1857"/>
        <v>20.369999999999997</v>
      </c>
      <c r="AE217" s="3184">
        <f t="shared" si="1857"/>
        <v>0</v>
      </c>
      <c r="AF217" s="3288">
        <f t="shared" si="1677"/>
        <v>4.080000000000001</v>
      </c>
      <c r="AG217" s="3288">
        <f t="shared" si="1806"/>
        <v>4.0561324791235611</v>
      </c>
      <c r="AH217" s="3288">
        <f t="shared" si="1807"/>
        <v>2.3867520876439743E-2</v>
      </c>
      <c r="AI217" s="3171">
        <f t="shared" si="1701"/>
        <v>20.369999999999997</v>
      </c>
      <c r="AJ217" s="3171">
        <f t="shared" si="1702"/>
        <v>20.369999999999997</v>
      </c>
      <c r="AK217" s="3171">
        <f t="shared" si="1703"/>
        <v>0</v>
      </c>
      <c r="AL217" s="3173">
        <f t="shared" si="1680"/>
        <v>16.289999999999996</v>
      </c>
      <c r="AM217" s="3173">
        <f t="shared" si="1681"/>
        <v>16.313867520876435</v>
      </c>
      <c r="AN217" s="3173">
        <f t="shared" si="1682"/>
        <v>-2.3867520876439743E-2</v>
      </c>
      <c r="AO217" s="3282">
        <f>SUM(AO69)</f>
        <v>2.0400000000000005</v>
      </c>
      <c r="AP217" s="3282">
        <f t="shared" ref="AP217:BC217" si="1858">SUM(AP69)</f>
        <v>2.0280662395617806</v>
      </c>
      <c r="AQ217" s="3282">
        <f t="shared" si="1858"/>
        <v>1.1933760438219872E-2</v>
      </c>
      <c r="AR217" s="3184">
        <f t="shared" si="1858"/>
        <v>0</v>
      </c>
      <c r="AS217" s="3184">
        <f t="shared" si="1858"/>
        <v>0</v>
      </c>
      <c r="AT217" s="3184">
        <f t="shared" si="1858"/>
        <v>0</v>
      </c>
      <c r="AU217" s="3184">
        <f t="shared" si="1858"/>
        <v>0.7</v>
      </c>
      <c r="AV217" s="3184">
        <f t="shared" si="1858"/>
        <v>0.7</v>
      </c>
      <c r="AW217" s="3184">
        <f t="shared" si="1858"/>
        <v>0</v>
      </c>
      <c r="AX217" s="3184">
        <f t="shared" si="1858"/>
        <v>0</v>
      </c>
      <c r="AY217" s="3184">
        <f t="shared" si="1858"/>
        <v>0</v>
      </c>
      <c r="AZ217" s="3184">
        <f t="shared" si="1858"/>
        <v>0</v>
      </c>
      <c r="BA217" s="3184">
        <f t="shared" si="1858"/>
        <v>0.7</v>
      </c>
      <c r="BB217" s="3184">
        <f t="shared" si="1858"/>
        <v>0.7</v>
      </c>
      <c r="BC217" s="3184">
        <f t="shared" si="1858"/>
        <v>0</v>
      </c>
      <c r="BD217" s="3288">
        <f t="shared" si="1684"/>
        <v>6.120000000000001</v>
      </c>
      <c r="BE217" s="3288">
        <f t="shared" si="1810"/>
        <v>6.0841987186853412</v>
      </c>
      <c r="BF217" s="3288">
        <f t="shared" si="1811"/>
        <v>3.5801281314659615E-2</v>
      </c>
      <c r="BG217" s="3171">
        <f t="shared" si="1705"/>
        <v>21.069999999999997</v>
      </c>
      <c r="BH217" s="3171">
        <f t="shared" si="1706"/>
        <v>21.069999999999997</v>
      </c>
      <c r="BI217" s="3171">
        <f t="shared" si="1707"/>
        <v>0</v>
      </c>
      <c r="BJ217" s="3173">
        <f t="shared" si="1688"/>
        <v>14.949999999999996</v>
      </c>
      <c r="BK217" s="3173">
        <f t="shared" si="1689"/>
        <v>14.985801281314655</v>
      </c>
      <c r="BL217" s="3173">
        <f t="shared" si="1690"/>
        <v>-3.5801281314659615E-2</v>
      </c>
      <c r="BM217" s="3282">
        <f>SUM(BM69)</f>
        <v>2.0400000000000005</v>
      </c>
      <c r="BN217" s="3282">
        <f t="shared" ref="BN217:CA217" si="1859">SUM(BN69)</f>
        <v>2.0280662395617806</v>
      </c>
      <c r="BO217" s="3282">
        <f t="shared" si="1859"/>
        <v>1.1933760438219872E-2</v>
      </c>
      <c r="BP217" s="3184">
        <f t="shared" si="1859"/>
        <v>0</v>
      </c>
      <c r="BQ217" s="3184">
        <f t="shared" si="1859"/>
        <v>0</v>
      </c>
      <c r="BR217" s="3184">
        <f t="shared" si="1859"/>
        <v>0</v>
      </c>
      <c r="BS217" s="3184">
        <f t="shared" si="1859"/>
        <v>0</v>
      </c>
      <c r="BT217" s="3184">
        <f t="shared" si="1859"/>
        <v>0</v>
      </c>
      <c r="BU217" s="3184">
        <f t="shared" si="1859"/>
        <v>0</v>
      </c>
      <c r="BV217" s="3184">
        <f t="shared" si="1859"/>
        <v>0</v>
      </c>
      <c r="BW217" s="3184">
        <f t="shared" si="1859"/>
        <v>0</v>
      </c>
      <c r="BX217" s="3184">
        <f t="shared" si="1859"/>
        <v>0</v>
      </c>
      <c r="BY217" s="3184">
        <f t="shared" si="1859"/>
        <v>0</v>
      </c>
      <c r="BZ217" s="3184">
        <f t="shared" si="1859"/>
        <v>0</v>
      </c>
      <c r="CA217" s="3184">
        <f t="shared" si="1859"/>
        <v>0</v>
      </c>
      <c r="CB217" s="3288">
        <f t="shared" si="1692"/>
        <v>8.1600000000000019</v>
      </c>
      <c r="CC217" s="3288">
        <f t="shared" si="1814"/>
        <v>8.1122649582471222</v>
      </c>
      <c r="CD217" s="3288">
        <f t="shared" si="1815"/>
        <v>4.7735041752879487E-2</v>
      </c>
      <c r="CE217" s="3171">
        <f t="shared" si="1709"/>
        <v>21.069999999999997</v>
      </c>
      <c r="CF217" s="3171">
        <f t="shared" si="1710"/>
        <v>21.069999999999997</v>
      </c>
      <c r="CG217" s="3171">
        <f t="shared" si="1711"/>
        <v>0</v>
      </c>
      <c r="CH217" s="3173">
        <f t="shared" si="1696"/>
        <v>12.909999999999995</v>
      </c>
      <c r="CI217" s="3173">
        <f t="shared" si="1697"/>
        <v>12.957735041752874</v>
      </c>
      <c r="CJ217" s="3173">
        <f t="shared" si="1698"/>
        <v>-4.7735041752879487E-2</v>
      </c>
      <c r="CK217" s="396"/>
      <c r="CL217" s="5"/>
    </row>
    <row r="218" spans="1:90" ht="18.75" customHeight="1" x14ac:dyDescent="0.3">
      <c r="A218" s="3079" t="s">
        <v>609</v>
      </c>
      <c r="B218" s="3282">
        <f>SUM(B70+B89+B106)</f>
        <v>1.25</v>
      </c>
      <c r="C218" s="3282">
        <f t="shared" ref="C218:D218" si="1860">SUM(C70+C89+C106)</f>
        <v>1.2482450352296737</v>
      </c>
      <c r="D218" s="3282">
        <f t="shared" si="1860"/>
        <v>1.7549647703264516E-3</v>
      </c>
      <c r="E218" s="3184">
        <f t="shared" ref="E218:AE218" si="1861">SUM(E70+E89+E106)</f>
        <v>0.86</v>
      </c>
      <c r="F218" s="3184">
        <f t="shared" si="1861"/>
        <v>0.86</v>
      </c>
      <c r="G218" s="3184">
        <f t="shared" si="1861"/>
        <v>0</v>
      </c>
      <c r="H218" s="3184">
        <f t="shared" si="1861"/>
        <v>0</v>
      </c>
      <c r="I218" s="3184">
        <f t="shared" si="1861"/>
        <v>0</v>
      </c>
      <c r="J218" s="3184">
        <f t="shared" si="1861"/>
        <v>0</v>
      </c>
      <c r="K218" s="3184">
        <f t="shared" si="1861"/>
        <v>0</v>
      </c>
      <c r="L218" s="3184">
        <f t="shared" si="1861"/>
        <v>0</v>
      </c>
      <c r="M218" s="3184">
        <f t="shared" si="1861"/>
        <v>0</v>
      </c>
      <c r="N218" s="3184">
        <f t="shared" si="1861"/>
        <v>0.86</v>
      </c>
      <c r="O218" s="3184">
        <f t="shared" si="1861"/>
        <v>0.86</v>
      </c>
      <c r="P218" s="3184">
        <f t="shared" si="1861"/>
        <v>0</v>
      </c>
      <c r="Q218" s="3282">
        <f t="shared" si="1861"/>
        <v>1.25</v>
      </c>
      <c r="R218" s="3282">
        <f t="shared" si="1861"/>
        <v>1.2482450352296737</v>
      </c>
      <c r="S218" s="3282">
        <f t="shared" si="1861"/>
        <v>1.7549647703264516E-3</v>
      </c>
      <c r="T218" s="3184">
        <f t="shared" si="1861"/>
        <v>0</v>
      </c>
      <c r="U218" s="3184">
        <f t="shared" si="1861"/>
        <v>0</v>
      </c>
      <c r="V218" s="3184">
        <f t="shared" si="1861"/>
        <v>0</v>
      </c>
      <c r="W218" s="3184">
        <f t="shared" si="1861"/>
        <v>0</v>
      </c>
      <c r="X218" s="3184">
        <f t="shared" si="1861"/>
        <v>0</v>
      </c>
      <c r="Y218" s="3184">
        <f t="shared" si="1861"/>
        <v>0</v>
      </c>
      <c r="Z218" s="3184">
        <f t="shared" si="1861"/>
        <v>0</v>
      </c>
      <c r="AA218" s="3184">
        <f t="shared" si="1861"/>
        <v>0</v>
      </c>
      <c r="AB218" s="3184">
        <f t="shared" si="1861"/>
        <v>0</v>
      </c>
      <c r="AC218" s="3184">
        <f t="shared" si="1861"/>
        <v>0</v>
      </c>
      <c r="AD218" s="3184">
        <f t="shared" si="1861"/>
        <v>0</v>
      </c>
      <c r="AE218" s="3184">
        <f t="shared" si="1861"/>
        <v>0</v>
      </c>
      <c r="AF218" s="3288">
        <f t="shared" si="1677"/>
        <v>2.5</v>
      </c>
      <c r="AG218" s="3288">
        <f t="shared" si="1806"/>
        <v>2.4964900704593473</v>
      </c>
      <c r="AH218" s="3288">
        <f t="shared" si="1807"/>
        <v>3.5099295406529033E-3</v>
      </c>
      <c r="AI218" s="3171">
        <f t="shared" si="1701"/>
        <v>0.86</v>
      </c>
      <c r="AJ218" s="3171">
        <f t="shared" si="1702"/>
        <v>0.86</v>
      </c>
      <c r="AK218" s="3171">
        <f t="shared" si="1703"/>
        <v>0</v>
      </c>
      <c r="AL218" s="3173">
        <f t="shared" si="1680"/>
        <v>-1.6400000000000001</v>
      </c>
      <c r="AM218" s="3173">
        <f t="shared" si="1681"/>
        <v>-1.6364900704593475</v>
      </c>
      <c r="AN218" s="3173">
        <f t="shared" si="1682"/>
        <v>-3.5099295406529033E-3</v>
      </c>
      <c r="AO218" s="3282">
        <f t="shared" ref="AO218" si="1862">SUM(AO70+AO89+AO106)</f>
        <v>1.25</v>
      </c>
      <c r="AP218" s="3282">
        <f t="shared" ref="AP218:BC218" si="1863">SUM(AP70+AP89+AP106)</f>
        <v>1.2482450352296737</v>
      </c>
      <c r="AQ218" s="3282">
        <f t="shared" si="1863"/>
        <v>1.7549647703264516E-3</v>
      </c>
      <c r="AR218" s="3184">
        <f t="shared" si="1863"/>
        <v>0</v>
      </c>
      <c r="AS218" s="3184">
        <f t="shared" si="1863"/>
        <v>0</v>
      </c>
      <c r="AT218" s="3184">
        <f t="shared" si="1863"/>
        <v>0</v>
      </c>
      <c r="AU218" s="3184">
        <f t="shared" si="1863"/>
        <v>0</v>
      </c>
      <c r="AV218" s="3184">
        <f t="shared" si="1863"/>
        <v>0</v>
      </c>
      <c r="AW218" s="3184">
        <f t="shared" si="1863"/>
        <v>0</v>
      </c>
      <c r="AX218" s="3184">
        <f t="shared" si="1863"/>
        <v>0</v>
      </c>
      <c r="AY218" s="3184">
        <f t="shared" si="1863"/>
        <v>0</v>
      </c>
      <c r="AZ218" s="3184">
        <f t="shared" si="1863"/>
        <v>0</v>
      </c>
      <c r="BA218" s="3184">
        <f t="shared" si="1863"/>
        <v>0</v>
      </c>
      <c r="BB218" s="3184">
        <f t="shared" si="1863"/>
        <v>0</v>
      </c>
      <c r="BC218" s="3184">
        <f t="shared" si="1863"/>
        <v>0</v>
      </c>
      <c r="BD218" s="3288">
        <f t="shared" si="1684"/>
        <v>3.75</v>
      </c>
      <c r="BE218" s="3288">
        <f t="shared" si="1810"/>
        <v>3.744735105689021</v>
      </c>
      <c r="BF218" s="3288">
        <f t="shared" si="1811"/>
        <v>5.2648943109793551E-3</v>
      </c>
      <c r="BG218" s="3171">
        <f t="shared" si="1705"/>
        <v>0.86</v>
      </c>
      <c r="BH218" s="3171">
        <f t="shared" si="1706"/>
        <v>0.86</v>
      </c>
      <c r="BI218" s="3171">
        <f t="shared" si="1707"/>
        <v>0</v>
      </c>
      <c r="BJ218" s="3173">
        <f t="shared" si="1688"/>
        <v>-2.89</v>
      </c>
      <c r="BK218" s="3173">
        <f t="shared" si="1689"/>
        <v>-2.8847351056890211</v>
      </c>
      <c r="BL218" s="3173">
        <f t="shared" si="1690"/>
        <v>-5.2648943109793551E-3</v>
      </c>
      <c r="BM218" s="3282">
        <f t="shared" ref="BM218" si="1864">SUM(BM70+BM89+BM106)</f>
        <v>1.25</v>
      </c>
      <c r="BN218" s="3282">
        <f t="shared" ref="BN218:CA218" si="1865">SUM(BN70+BN89+BN106)</f>
        <v>1.2482450352296737</v>
      </c>
      <c r="BO218" s="3282">
        <f t="shared" si="1865"/>
        <v>1.7549647703264516E-3</v>
      </c>
      <c r="BP218" s="3184">
        <f t="shared" si="1865"/>
        <v>0</v>
      </c>
      <c r="BQ218" s="3184">
        <f t="shared" si="1865"/>
        <v>0</v>
      </c>
      <c r="BR218" s="3184">
        <f t="shared" si="1865"/>
        <v>0</v>
      </c>
      <c r="BS218" s="3184">
        <f t="shared" si="1865"/>
        <v>0</v>
      </c>
      <c r="BT218" s="3184">
        <f t="shared" si="1865"/>
        <v>0</v>
      </c>
      <c r="BU218" s="3184">
        <f t="shared" si="1865"/>
        <v>0</v>
      </c>
      <c r="BV218" s="3184">
        <f t="shared" si="1865"/>
        <v>0</v>
      </c>
      <c r="BW218" s="3184">
        <f t="shared" si="1865"/>
        <v>0</v>
      </c>
      <c r="BX218" s="3184">
        <f t="shared" si="1865"/>
        <v>0</v>
      </c>
      <c r="BY218" s="3184">
        <f t="shared" si="1865"/>
        <v>0</v>
      </c>
      <c r="BZ218" s="3184">
        <f t="shared" si="1865"/>
        <v>0</v>
      </c>
      <c r="CA218" s="3184">
        <f t="shared" si="1865"/>
        <v>0</v>
      </c>
      <c r="CB218" s="3288">
        <f t="shared" si="1692"/>
        <v>5</v>
      </c>
      <c r="CC218" s="3288">
        <f t="shared" si="1814"/>
        <v>4.9929801409186947</v>
      </c>
      <c r="CD218" s="3288">
        <f t="shared" si="1815"/>
        <v>7.0198590813058065E-3</v>
      </c>
      <c r="CE218" s="3171">
        <f t="shared" si="1709"/>
        <v>0.86</v>
      </c>
      <c r="CF218" s="3171">
        <f t="shared" si="1710"/>
        <v>0.86</v>
      </c>
      <c r="CG218" s="3171">
        <f t="shared" si="1711"/>
        <v>0</v>
      </c>
      <c r="CH218" s="3173">
        <f t="shared" si="1696"/>
        <v>-4.1399999999999997</v>
      </c>
      <c r="CI218" s="3173">
        <f t="shared" si="1697"/>
        <v>-4.1329801409186944</v>
      </c>
      <c r="CJ218" s="3173">
        <f t="shared" si="1698"/>
        <v>-7.0198590813058065E-3</v>
      </c>
      <c r="CK218" s="396"/>
      <c r="CL218" s="5"/>
    </row>
    <row r="219" spans="1:90" ht="18.75" customHeight="1" x14ac:dyDescent="0.3">
      <c r="A219" s="3186" t="s">
        <v>288</v>
      </c>
      <c r="B219" s="3281">
        <f>SUM(B190:B209)+B214</f>
        <v>3748.5542268749996</v>
      </c>
      <c r="C219" s="3281">
        <f t="shared" ref="C219:D219" si="1866">SUM(C190:C209)+C214</f>
        <v>3734.4327449037382</v>
      </c>
      <c r="D219" s="3281">
        <f t="shared" si="1866"/>
        <v>14.121481971261124</v>
      </c>
      <c r="E219" s="3185">
        <f t="shared" ref="E219:AE219" si="1867">SUM(E190:E209)+E214</f>
        <v>944.29</v>
      </c>
      <c r="F219" s="3185">
        <f t="shared" si="1867"/>
        <v>944.29</v>
      </c>
      <c r="G219" s="3185">
        <f t="shared" si="1867"/>
        <v>0</v>
      </c>
      <c r="H219" s="3185">
        <f t="shared" si="1867"/>
        <v>1025.3499999999999</v>
      </c>
      <c r="I219" s="3185">
        <f t="shared" si="1867"/>
        <v>1025.3499999999999</v>
      </c>
      <c r="J219" s="3185">
        <f t="shared" si="1867"/>
        <v>0</v>
      </c>
      <c r="K219" s="3185">
        <f t="shared" si="1867"/>
        <v>1250.4699999999996</v>
      </c>
      <c r="L219" s="3185">
        <f t="shared" si="1867"/>
        <v>1250.4699999999996</v>
      </c>
      <c r="M219" s="3185">
        <f t="shared" si="1867"/>
        <v>0</v>
      </c>
      <c r="N219" s="3185">
        <f t="shared" si="1867"/>
        <v>3220.1099999999997</v>
      </c>
      <c r="O219" s="3185">
        <f t="shared" si="1867"/>
        <v>3220.1099999999997</v>
      </c>
      <c r="P219" s="3185">
        <f t="shared" si="1867"/>
        <v>0</v>
      </c>
      <c r="Q219" s="3281">
        <f t="shared" si="1867"/>
        <v>3748.5542268749996</v>
      </c>
      <c r="R219" s="3281">
        <f t="shared" si="1867"/>
        <v>3734.4327449037382</v>
      </c>
      <c r="S219" s="3281">
        <f t="shared" si="1867"/>
        <v>14.121481971261124</v>
      </c>
      <c r="T219" s="3185">
        <f t="shared" si="1867"/>
        <v>990.3299999999997</v>
      </c>
      <c r="U219" s="3185">
        <f t="shared" si="1867"/>
        <v>990.3299999999997</v>
      </c>
      <c r="V219" s="3185">
        <f t="shared" si="1867"/>
        <v>0</v>
      </c>
      <c r="W219" s="3185">
        <f t="shared" si="1867"/>
        <v>1007.4739999999999</v>
      </c>
      <c r="X219" s="3185">
        <f t="shared" si="1867"/>
        <v>1007.4739999999999</v>
      </c>
      <c r="Y219" s="3185">
        <f t="shared" si="1867"/>
        <v>0</v>
      </c>
      <c r="Z219" s="3185">
        <f t="shared" si="1867"/>
        <v>1211.6479999999999</v>
      </c>
      <c r="AA219" s="3185">
        <f t="shared" si="1867"/>
        <v>1211.6479999999999</v>
      </c>
      <c r="AB219" s="3185">
        <f t="shared" si="1867"/>
        <v>0</v>
      </c>
      <c r="AC219" s="3185">
        <f t="shared" si="1867"/>
        <v>3209.4520000000002</v>
      </c>
      <c r="AD219" s="3185">
        <f t="shared" si="1867"/>
        <v>3209.4520000000002</v>
      </c>
      <c r="AE219" s="3185">
        <f t="shared" si="1867"/>
        <v>0</v>
      </c>
      <c r="AF219" s="3285">
        <f t="shared" si="1677"/>
        <v>7497.1084537499992</v>
      </c>
      <c r="AG219" s="3285">
        <f t="shared" si="1806"/>
        <v>7468.8654898074765</v>
      </c>
      <c r="AH219" s="3285">
        <f t="shared" si="1807"/>
        <v>28.242963942522248</v>
      </c>
      <c r="AI219" s="3170">
        <f t="shared" si="1701"/>
        <v>6429.5619999999999</v>
      </c>
      <c r="AJ219" s="3170">
        <f t="shared" si="1702"/>
        <v>6429.5619999999999</v>
      </c>
      <c r="AK219" s="3170">
        <f t="shared" si="1703"/>
        <v>0</v>
      </c>
      <c r="AL219" s="3170">
        <f t="shared" si="1680"/>
        <v>-1067.5464537499993</v>
      </c>
      <c r="AM219" s="3170">
        <f t="shared" si="1681"/>
        <v>-1039.3034898074766</v>
      </c>
      <c r="AN219" s="3170">
        <f t="shared" si="1682"/>
        <v>-28.242963942522248</v>
      </c>
      <c r="AO219" s="3281">
        <f t="shared" ref="AO219" si="1868">SUM(AO190:AO209)+AO214</f>
        <v>3748.5542268749996</v>
      </c>
      <c r="AP219" s="3281">
        <f t="shared" ref="AP219:BC219" si="1869">SUM(AP190:AP209)+AP214</f>
        <v>3734.4327449037382</v>
      </c>
      <c r="AQ219" s="3281">
        <f t="shared" si="1869"/>
        <v>14.121481971261124</v>
      </c>
      <c r="AR219" s="3185">
        <f t="shared" si="1869"/>
        <v>822.16</v>
      </c>
      <c r="AS219" s="3185">
        <f t="shared" si="1869"/>
        <v>822.16</v>
      </c>
      <c r="AT219" s="3185">
        <f t="shared" si="1869"/>
        <v>0</v>
      </c>
      <c r="AU219" s="3185">
        <f t="shared" si="1869"/>
        <v>841.04</v>
      </c>
      <c r="AV219" s="3185">
        <f t="shared" si="1869"/>
        <v>841.04</v>
      </c>
      <c r="AW219" s="3185">
        <f t="shared" si="1869"/>
        <v>0</v>
      </c>
      <c r="AX219" s="3185">
        <f t="shared" si="1869"/>
        <v>1088.2199999999998</v>
      </c>
      <c r="AY219" s="3185">
        <f t="shared" si="1869"/>
        <v>1088.2199999999998</v>
      </c>
      <c r="AZ219" s="3185">
        <f t="shared" si="1869"/>
        <v>0</v>
      </c>
      <c r="BA219" s="3185">
        <f t="shared" si="1869"/>
        <v>2751.4200000000005</v>
      </c>
      <c r="BB219" s="3185">
        <f t="shared" si="1869"/>
        <v>2751.4200000000005</v>
      </c>
      <c r="BC219" s="3185">
        <f t="shared" si="1869"/>
        <v>0</v>
      </c>
      <c r="BD219" s="3285">
        <f t="shared" si="1684"/>
        <v>11245.662680624999</v>
      </c>
      <c r="BE219" s="3285">
        <f t="shared" si="1810"/>
        <v>11203.298234711216</v>
      </c>
      <c r="BF219" s="3285">
        <f t="shared" si="1811"/>
        <v>42.364445913783371</v>
      </c>
      <c r="BG219" s="3170">
        <f t="shared" si="1705"/>
        <v>9180.982</v>
      </c>
      <c r="BH219" s="3170">
        <f t="shared" si="1706"/>
        <v>9180.982</v>
      </c>
      <c r="BI219" s="3170">
        <f t="shared" si="1707"/>
        <v>0</v>
      </c>
      <c r="BJ219" s="3170">
        <f t="shared" si="1688"/>
        <v>-2064.6806806249988</v>
      </c>
      <c r="BK219" s="3170">
        <f t="shared" si="1689"/>
        <v>-2022.3162347112157</v>
      </c>
      <c r="BL219" s="3170">
        <f t="shared" si="1690"/>
        <v>-42.364445913783371</v>
      </c>
      <c r="BM219" s="3281">
        <f t="shared" ref="BM219" si="1870">SUM(BM190:BM209)+BM214</f>
        <v>3748.5542268749996</v>
      </c>
      <c r="BN219" s="3281">
        <f t="shared" ref="BN219:CA219" si="1871">SUM(BN190:BN209)+BN214</f>
        <v>3734.4327449037382</v>
      </c>
      <c r="BO219" s="3281">
        <f t="shared" si="1871"/>
        <v>14.121481971261124</v>
      </c>
      <c r="BP219" s="3185">
        <f t="shared" si="1871"/>
        <v>0</v>
      </c>
      <c r="BQ219" s="3185">
        <f t="shared" si="1871"/>
        <v>0</v>
      </c>
      <c r="BR219" s="3185">
        <f t="shared" si="1871"/>
        <v>0</v>
      </c>
      <c r="BS219" s="3185">
        <f t="shared" si="1871"/>
        <v>0</v>
      </c>
      <c r="BT219" s="3185">
        <f t="shared" si="1871"/>
        <v>0</v>
      </c>
      <c r="BU219" s="3185">
        <f t="shared" si="1871"/>
        <v>0</v>
      </c>
      <c r="BV219" s="3185">
        <f t="shared" si="1871"/>
        <v>0</v>
      </c>
      <c r="BW219" s="3185">
        <f t="shared" si="1871"/>
        <v>0</v>
      </c>
      <c r="BX219" s="3185">
        <f t="shared" si="1871"/>
        <v>0</v>
      </c>
      <c r="BY219" s="3185">
        <f t="shared" si="1871"/>
        <v>0</v>
      </c>
      <c r="BZ219" s="3185">
        <f t="shared" si="1871"/>
        <v>0</v>
      </c>
      <c r="CA219" s="3185">
        <f t="shared" si="1871"/>
        <v>0</v>
      </c>
      <c r="CB219" s="3285">
        <f t="shared" si="1692"/>
        <v>14994.216907499998</v>
      </c>
      <c r="CC219" s="3285">
        <f t="shared" si="1814"/>
        <v>14937.730979614953</v>
      </c>
      <c r="CD219" s="3285">
        <f t="shared" si="1815"/>
        <v>56.485927885044497</v>
      </c>
      <c r="CE219" s="3170">
        <f t="shared" si="1709"/>
        <v>9180.982</v>
      </c>
      <c r="CF219" s="3170">
        <f t="shared" si="1710"/>
        <v>9180.982</v>
      </c>
      <c r="CG219" s="3170">
        <f t="shared" si="1711"/>
        <v>0</v>
      </c>
      <c r="CH219" s="3170">
        <f t="shared" si="1696"/>
        <v>-5813.2349074999984</v>
      </c>
      <c r="CI219" s="3170">
        <f t="shared" si="1697"/>
        <v>-5756.748979614953</v>
      </c>
      <c r="CJ219" s="3170">
        <f t="shared" si="1698"/>
        <v>-56.485927885044497</v>
      </c>
      <c r="CK219" s="396"/>
      <c r="CL219" s="5"/>
    </row>
    <row r="220" spans="1:90" ht="18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</row>
    <row r="221" spans="1:90" ht="18.75" customHeight="1" x14ac:dyDescent="0.2">
      <c r="A221" s="317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</row>
    <row r="222" spans="1:90" ht="18.75" customHeight="1" x14ac:dyDescent="0.2">
      <c r="A222" s="317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</row>
    <row r="223" spans="1:90" ht="18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/>
    <row r="536" spans="1:90" ht="18.75" customHeight="1" x14ac:dyDescent="0.2"/>
    <row r="537" spans="1:90" ht="18.75" customHeight="1" x14ac:dyDescent="0.2"/>
    <row r="538" spans="1:90" ht="18.75" customHeight="1" x14ac:dyDescent="0.2"/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</sheetData>
  <mergeCells count="475">
    <mergeCell ref="BS180:BU180"/>
    <mergeCell ref="BV180:BX180"/>
    <mergeCell ref="BY180:CA180"/>
    <mergeCell ref="CB180:CD180"/>
    <mergeCell ref="CE180:CG180"/>
    <mergeCell ref="CH180:CJ180"/>
    <mergeCell ref="CB179:CD179"/>
    <mergeCell ref="CE179:CG179"/>
    <mergeCell ref="CH179:CJ179"/>
    <mergeCell ref="BS179:BU179"/>
    <mergeCell ref="BV179:BX179"/>
    <mergeCell ref="BY179:CA179"/>
    <mergeCell ref="B180:D180"/>
    <mergeCell ref="E180:G180"/>
    <mergeCell ref="H180:J180"/>
    <mergeCell ref="K180:M180"/>
    <mergeCell ref="N180:P180"/>
    <mergeCell ref="Q180:S180"/>
    <mergeCell ref="T180:V180"/>
    <mergeCell ref="W180:Y180"/>
    <mergeCell ref="Z180:AB180"/>
    <mergeCell ref="AC180:AE180"/>
    <mergeCell ref="AF180:AH180"/>
    <mergeCell ref="AI180:AK180"/>
    <mergeCell ref="AL180:AN180"/>
    <mergeCell ref="AO180:AQ180"/>
    <mergeCell ref="AR180:AT180"/>
    <mergeCell ref="AU180:AW180"/>
    <mergeCell ref="AX180:AZ180"/>
    <mergeCell ref="BA180:BC180"/>
    <mergeCell ref="BD180:BF180"/>
    <mergeCell ref="BG180:BI180"/>
    <mergeCell ref="BJ180:BL180"/>
    <mergeCell ref="BA179:BC179"/>
    <mergeCell ref="BD179:BF179"/>
    <mergeCell ref="BG179:BI179"/>
    <mergeCell ref="BJ179:BL179"/>
    <mergeCell ref="BM179:BO179"/>
    <mergeCell ref="BP179:BR179"/>
    <mergeCell ref="BM180:BO180"/>
    <mergeCell ref="BP180:BR180"/>
    <mergeCell ref="BP178:BR178"/>
    <mergeCell ref="BS178:BU178"/>
    <mergeCell ref="BV178:BX178"/>
    <mergeCell ref="BY178:CA178"/>
    <mergeCell ref="CB178:CD178"/>
    <mergeCell ref="CE178:CG178"/>
    <mergeCell ref="CH178:CJ178"/>
    <mergeCell ref="B179:D179"/>
    <mergeCell ref="E179:G179"/>
    <mergeCell ref="H179:J179"/>
    <mergeCell ref="K179:M179"/>
    <mergeCell ref="N179:P179"/>
    <mergeCell ref="Q179:S179"/>
    <mergeCell ref="T179:V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AU179:AW179"/>
    <mergeCell ref="AX179:AZ179"/>
    <mergeCell ref="AO178:AQ178"/>
    <mergeCell ref="AR178:AT178"/>
    <mergeCell ref="AU178:AW178"/>
    <mergeCell ref="AX178:AZ178"/>
    <mergeCell ref="BA178:BC178"/>
    <mergeCell ref="BD178:BF178"/>
    <mergeCell ref="BG178:BI178"/>
    <mergeCell ref="BJ178:BL178"/>
    <mergeCell ref="BM178:BO178"/>
    <mergeCell ref="B178:D178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BJ176:BL176"/>
    <mergeCell ref="BM176:BO176"/>
    <mergeCell ref="BP176:BR176"/>
    <mergeCell ref="BS176:BU176"/>
    <mergeCell ref="BV176:BX176"/>
    <mergeCell ref="BY176:CA176"/>
    <mergeCell ref="CB176:CD176"/>
    <mergeCell ref="CE176:CG176"/>
    <mergeCell ref="CH176:CJ176"/>
    <mergeCell ref="B176:D176"/>
    <mergeCell ref="E176:G176"/>
    <mergeCell ref="H176:J176"/>
    <mergeCell ref="K176:M176"/>
    <mergeCell ref="N176:P176"/>
    <mergeCell ref="Q176:S176"/>
    <mergeCell ref="T176:V176"/>
    <mergeCell ref="W176:Y176"/>
    <mergeCell ref="Z176:AB176"/>
    <mergeCell ref="CB123:CD123"/>
    <mergeCell ref="CB125:CD125"/>
    <mergeCell ref="CB126:CD126"/>
    <mergeCell ref="CB127:CD127"/>
    <mergeCell ref="CE123:CG123"/>
    <mergeCell ref="CH123:CJ123"/>
    <mergeCell ref="CE125:CG125"/>
    <mergeCell ref="CH125:CJ125"/>
    <mergeCell ref="CE126:CG126"/>
    <mergeCell ref="CH126:CJ126"/>
    <mergeCell ref="CE127:CG127"/>
    <mergeCell ref="CH127:CJ127"/>
    <mergeCell ref="CB124:CD124"/>
    <mergeCell ref="CE124:CG124"/>
    <mergeCell ref="CH124:CJ124"/>
    <mergeCell ref="BD123:BF123"/>
    <mergeCell ref="BD125:BF125"/>
    <mergeCell ref="BD126:BF126"/>
    <mergeCell ref="BD127:BF127"/>
    <mergeCell ref="BG123:BI123"/>
    <mergeCell ref="BG125:BI125"/>
    <mergeCell ref="BG126:BI126"/>
    <mergeCell ref="BG127:BI127"/>
    <mergeCell ref="BJ123:BL123"/>
    <mergeCell ref="BJ125:BL125"/>
    <mergeCell ref="BJ126:BL126"/>
    <mergeCell ref="BJ127:BL127"/>
    <mergeCell ref="BD124:BF124"/>
    <mergeCell ref="BG124:BI124"/>
    <mergeCell ref="BJ124:BL124"/>
    <mergeCell ref="AF123:AH123"/>
    <mergeCell ref="AF125:AH125"/>
    <mergeCell ref="AF126:AH126"/>
    <mergeCell ref="AF127:AH127"/>
    <mergeCell ref="AI123:AK123"/>
    <mergeCell ref="AI125:AK125"/>
    <mergeCell ref="AI126:AK126"/>
    <mergeCell ref="AI127:AK127"/>
    <mergeCell ref="AL123:AN123"/>
    <mergeCell ref="AL125:AN125"/>
    <mergeCell ref="AL126:AN126"/>
    <mergeCell ref="AL127:AN127"/>
    <mergeCell ref="AF124:AH124"/>
    <mergeCell ref="AI124:AK124"/>
    <mergeCell ref="AL124:AN124"/>
    <mergeCell ref="BM126:BO126"/>
    <mergeCell ref="BP126:BR126"/>
    <mergeCell ref="BS126:BU126"/>
    <mergeCell ref="BV126:BX126"/>
    <mergeCell ref="BY126:CA126"/>
    <mergeCell ref="BM127:BO127"/>
    <mergeCell ref="BP127:BR127"/>
    <mergeCell ref="BS127:BU127"/>
    <mergeCell ref="BV127:BX127"/>
    <mergeCell ref="BY127:CA127"/>
    <mergeCell ref="BM123:BO123"/>
    <mergeCell ref="BP123:BR123"/>
    <mergeCell ref="BS123:BU123"/>
    <mergeCell ref="BV123:BX123"/>
    <mergeCell ref="BY123:CA123"/>
    <mergeCell ref="BM125:BO125"/>
    <mergeCell ref="BP125:BR125"/>
    <mergeCell ref="BS125:BU125"/>
    <mergeCell ref="BV125:BX125"/>
    <mergeCell ref="BY125:CA125"/>
    <mergeCell ref="BM124:BO124"/>
    <mergeCell ref="BP124:BR124"/>
    <mergeCell ref="BS124:BU124"/>
    <mergeCell ref="BV124:BX124"/>
    <mergeCell ref="BY124:CA124"/>
    <mergeCell ref="AO126:AQ126"/>
    <mergeCell ref="AR126:AT126"/>
    <mergeCell ref="AU126:AW126"/>
    <mergeCell ref="AX126:AZ126"/>
    <mergeCell ref="BA126:BC126"/>
    <mergeCell ref="AO127:AQ127"/>
    <mergeCell ref="AR127:AT127"/>
    <mergeCell ref="AU127:AW127"/>
    <mergeCell ref="AX127:AZ127"/>
    <mergeCell ref="BA127:BC127"/>
    <mergeCell ref="AO123:AQ123"/>
    <mergeCell ref="AR123:AT123"/>
    <mergeCell ref="AU123:AW123"/>
    <mergeCell ref="AX123:AZ123"/>
    <mergeCell ref="BA123:BC123"/>
    <mergeCell ref="AO125:AQ125"/>
    <mergeCell ref="AR125:AT125"/>
    <mergeCell ref="AU125:AW125"/>
    <mergeCell ref="AX125:AZ125"/>
    <mergeCell ref="BA125:BC125"/>
    <mergeCell ref="AO124:AQ124"/>
    <mergeCell ref="AR124:AT124"/>
    <mergeCell ref="AU124:AW124"/>
    <mergeCell ref="AX124:AZ124"/>
    <mergeCell ref="BA124:BC124"/>
    <mergeCell ref="Q126:S126"/>
    <mergeCell ref="T126:V126"/>
    <mergeCell ref="W126:Y126"/>
    <mergeCell ref="Z126:AB126"/>
    <mergeCell ref="AC126:AE126"/>
    <mergeCell ref="Q127:S127"/>
    <mergeCell ref="T127:V127"/>
    <mergeCell ref="W127:Y127"/>
    <mergeCell ref="Z127:AB127"/>
    <mergeCell ref="AC127:AE127"/>
    <mergeCell ref="Q123:S123"/>
    <mergeCell ref="T123:V123"/>
    <mergeCell ref="W123:Y123"/>
    <mergeCell ref="Z123:AB123"/>
    <mergeCell ref="AC123:AE123"/>
    <mergeCell ref="Q125:S125"/>
    <mergeCell ref="T125:V125"/>
    <mergeCell ref="W125:Y125"/>
    <mergeCell ref="Z125:AB125"/>
    <mergeCell ref="AC125:AE125"/>
    <mergeCell ref="Q124:S124"/>
    <mergeCell ref="T124:V124"/>
    <mergeCell ref="W124:Y124"/>
    <mergeCell ref="Z124:AB124"/>
    <mergeCell ref="AC124:AE124"/>
    <mergeCell ref="K123:M123"/>
    <mergeCell ref="H125:J125"/>
    <mergeCell ref="K125:M125"/>
    <mergeCell ref="H126:J126"/>
    <mergeCell ref="K126:M126"/>
    <mergeCell ref="H127:J127"/>
    <mergeCell ref="K127:M127"/>
    <mergeCell ref="N123:P123"/>
    <mergeCell ref="N125:P125"/>
    <mergeCell ref="N126:P126"/>
    <mergeCell ref="N127:P127"/>
    <mergeCell ref="K124:M124"/>
    <mergeCell ref="N124:P124"/>
    <mergeCell ref="B123:D123"/>
    <mergeCell ref="B125:D125"/>
    <mergeCell ref="B126:D126"/>
    <mergeCell ref="B127:D127"/>
    <mergeCell ref="E123:G123"/>
    <mergeCell ref="E125:G125"/>
    <mergeCell ref="E126:G126"/>
    <mergeCell ref="E127:G127"/>
    <mergeCell ref="H123:J123"/>
    <mergeCell ref="B124:D124"/>
    <mergeCell ref="E124:G124"/>
    <mergeCell ref="H124:J124"/>
    <mergeCell ref="CB187:CJ187"/>
    <mergeCell ref="B188:D188"/>
    <mergeCell ref="E188:G188"/>
    <mergeCell ref="H188:J188"/>
    <mergeCell ref="K188:M188"/>
    <mergeCell ref="N188:P188"/>
    <mergeCell ref="Q188:S188"/>
    <mergeCell ref="T188:V188"/>
    <mergeCell ref="W188:Y188"/>
    <mergeCell ref="Z188:AB188"/>
    <mergeCell ref="BY188:CA188"/>
    <mergeCell ref="CB188:CD188"/>
    <mergeCell ref="CE188:CG188"/>
    <mergeCell ref="CH188:CJ188"/>
    <mergeCell ref="BG188:BI188"/>
    <mergeCell ref="BJ188:BL188"/>
    <mergeCell ref="BM188:BO188"/>
    <mergeCell ref="BP188:BR188"/>
    <mergeCell ref="BS188:BU188"/>
    <mergeCell ref="BV188:BX188"/>
    <mergeCell ref="BG145:BI145"/>
    <mergeCell ref="Z145:AB145"/>
    <mergeCell ref="AC145:AE145"/>
    <mergeCell ref="AO188:AQ188"/>
    <mergeCell ref="AR188:AT188"/>
    <mergeCell ref="AU188:AW188"/>
    <mergeCell ref="AX188:AZ188"/>
    <mergeCell ref="BA188:BC188"/>
    <mergeCell ref="BD188:BF188"/>
    <mergeCell ref="AC176:AE176"/>
    <mergeCell ref="AF176:AH176"/>
    <mergeCell ref="AI176:AK176"/>
    <mergeCell ref="AL176:AN176"/>
    <mergeCell ref="AO176:AQ176"/>
    <mergeCell ref="AR176:AT176"/>
    <mergeCell ref="AU176:AW176"/>
    <mergeCell ref="AX176:AZ176"/>
    <mergeCell ref="BA176:BC176"/>
    <mergeCell ref="BD176:BF176"/>
    <mergeCell ref="BG176:BI176"/>
    <mergeCell ref="AC178:AE178"/>
    <mergeCell ref="AF178:AH178"/>
    <mergeCell ref="AI178:AK178"/>
    <mergeCell ref="AL178:AN178"/>
    <mergeCell ref="N145:P145"/>
    <mergeCell ref="Q145:S145"/>
    <mergeCell ref="T145:V145"/>
    <mergeCell ref="W145:Y145"/>
    <mergeCell ref="CB145:CD145"/>
    <mergeCell ref="CE145:CG145"/>
    <mergeCell ref="CH145:CJ145"/>
    <mergeCell ref="A187:A189"/>
    <mergeCell ref="B187:P187"/>
    <mergeCell ref="Q187:AE187"/>
    <mergeCell ref="AF187:AN187"/>
    <mergeCell ref="AO187:BC187"/>
    <mergeCell ref="BD187:BL187"/>
    <mergeCell ref="BM187:CA187"/>
    <mergeCell ref="BJ145:BL145"/>
    <mergeCell ref="BM145:BO145"/>
    <mergeCell ref="BP145:BR145"/>
    <mergeCell ref="BS145:BU145"/>
    <mergeCell ref="BV145:BX145"/>
    <mergeCell ref="BY145:CA145"/>
    <mergeCell ref="AR145:AT145"/>
    <mergeCell ref="AU145:AW145"/>
    <mergeCell ref="AX145:AZ145"/>
    <mergeCell ref="BA145:BC145"/>
    <mergeCell ref="A144:A146"/>
    <mergeCell ref="B144:P144"/>
    <mergeCell ref="Q144:AE144"/>
    <mergeCell ref="AF144:AN144"/>
    <mergeCell ref="AO144:BC144"/>
    <mergeCell ref="BD144:BL144"/>
    <mergeCell ref="BG137:BI137"/>
    <mergeCell ref="BJ137:BL137"/>
    <mergeCell ref="BM137:BO137"/>
    <mergeCell ref="AO137:AQ137"/>
    <mergeCell ref="AR137:AT137"/>
    <mergeCell ref="AU137:AW137"/>
    <mergeCell ref="AX137:AZ137"/>
    <mergeCell ref="BA137:BC137"/>
    <mergeCell ref="BD137:BF137"/>
    <mergeCell ref="AF145:AH145"/>
    <mergeCell ref="AI145:AK145"/>
    <mergeCell ref="AL145:AN145"/>
    <mergeCell ref="AO145:AQ145"/>
    <mergeCell ref="BM144:CA144"/>
    <mergeCell ref="B145:D145"/>
    <mergeCell ref="E145:G145"/>
    <mergeCell ref="H145:J145"/>
    <mergeCell ref="K145:M145"/>
    <mergeCell ref="N137:P137"/>
    <mergeCell ref="Q137:S137"/>
    <mergeCell ref="T137:V137"/>
    <mergeCell ref="W137:Y137"/>
    <mergeCell ref="Z137:AB137"/>
    <mergeCell ref="BY137:CA137"/>
    <mergeCell ref="CB137:CD137"/>
    <mergeCell ref="CE137:CG137"/>
    <mergeCell ref="CH137:CJ137"/>
    <mergeCell ref="BP137:BR137"/>
    <mergeCell ref="BS137:BU137"/>
    <mergeCell ref="BV137:BX137"/>
    <mergeCell ref="A136:A138"/>
    <mergeCell ref="B136:P136"/>
    <mergeCell ref="Q136:AE136"/>
    <mergeCell ref="AF136:AN136"/>
    <mergeCell ref="AO136:BC136"/>
    <mergeCell ref="BD136:BL136"/>
    <mergeCell ref="BM136:CA136"/>
    <mergeCell ref="BY15:CA15"/>
    <mergeCell ref="CB15:CD15"/>
    <mergeCell ref="A14:A16"/>
    <mergeCell ref="B14:P14"/>
    <mergeCell ref="Q14:AE14"/>
    <mergeCell ref="AF14:AN14"/>
    <mergeCell ref="AO14:BC14"/>
    <mergeCell ref="BD14:BL14"/>
    <mergeCell ref="BG15:BI15"/>
    <mergeCell ref="BJ15:BL15"/>
    <mergeCell ref="BM15:BO15"/>
    <mergeCell ref="BP15:BR15"/>
    <mergeCell ref="CB136:CJ136"/>
    <mergeCell ref="B137:D137"/>
    <mergeCell ref="E137:G137"/>
    <mergeCell ref="H137:J137"/>
    <mergeCell ref="K137:M137"/>
    <mergeCell ref="B15:D15"/>
    <mergeCell ref="CE15:CG15"/>
    <mergeCell ref="CH15:CJ15"/>
    <mergeCell ref="E15:G15"/>
    <mergeCell ref="H15:J15"/>
    <mergeCell ref="K15:M15"/>
    <mergeCell ref="N15:P15"/>
    <mergeCell ref="Q15:S15"/>
    <mergeCell ref="T15:V15"/>
    <mergeCell ref="CE6:CG6"/>
    <mergeCell ref="AX6:AZ6"/>
    <mergeCell ref="BA6:BC6"/>
    <mergeCell ref="BD6:BF6"/>
    <mergeCell ref="BG6:BI6"/>
    <mergeCell ref="BJ6:BL6"/>
    <mergeCell ref="BM6:BO6"/>
    <mergeCell ref="W15:Y15"/>
    <mergeCell ref="Z15:AB15"/>
    <mergeCell ref="AC15:AE15"/>
    <mergeCell ref="AF15:AH15"/>
    <mergeCell ref="AI15:AK15"/>
    <mergeCell ref="AL15:AN15"/>
    <mergeCell ref="BM14:CA14"/>
    <mergeCell ref="CB14:CJ14"/>
    <mergeCell ref="A5:A7"/>
    <mergeCell ref="B5:P5"/>
    <mergeCell ref="Q5:AE5"/>
    <mergeCell ref="B6:D6"/>
    <mergeCell ref="E6:G6"/>
    <mergeCell ref="H6:J6"/>
    <mergeCell ref="K6:M6"/>
    <mergeCell ref="BD5:BL5"/>
    <mergeCell ref="BM5:CA5"/>
    <mergeCell ref="AF6:AH6"/>
    <mergeCell ref="AI6:AK6"/>
    <mergeCell ref="AL6:AN6"/>
    <mergeCell ref="AO6:AQ6"/>
    <mergeCell ref="AR6:AT6"/>
    <mergeCell ref="N6:P6"/>
    <mergeCell ref="Q6:S6"/>
    <mergeCell ref="T6:V6"/>
    <mergeCell ref="W6:Y6"/>
    <mergeCell ref="Z6:AB6"/>
    <mergeCell ref="AC6:AE6"/>
    <mergeCell ref="BP6:BR6"/>
    <mergeCell ref="BS6:BU6"/>
    <mergeCell ref="BV6:BX6"/>
    <mergeCell ref="BY6:CA6"/>
    <mergeCell ref="CB5:CJ5"/>
    <mergeCell ref="AC188:AE188"/>
    <mergeCell ref="AF188:AH188"/>
    <mergeCell ref="AI188:AK188"/>
    <mergeCell ref="AL188:AN188"/>
    <mergeCell ref="AC137:AE137"/>
    <mergeCell ref="AF137:AH137"/>
    <mergeCell ref="AI137:AK137"/>
    <mergeCell ref="AL137:AN137"/>
    <mergeCell ref="AU6:AW6"/>
    <mergeCell ref="AF5:AN5"/>
    <mergeCell ref="AO5:BC5"/>
    <mergeCell ref="BS15:BU15"/>
    <mergeCell ref="BV15:BX15"/>
    <mergeCell ref="AO15:AQ15"/>
    <mergeCell ref="AR15:AT15"/>
    <mergeCell ref="AU15:AW15"/>
    <mergeCell ref="AX15:AZ15"/>
    <mergeCell ref="BA15:BC15"/>
    <mergeCell ref="BD15:BF15"/>
    <mergeCell ref="CB144:CJ144"/>
    <mergeCell ref="BD145:BF145"/>
    <mergeCell ref="CH6:CJ6"/>
    <mergeCell ref="CB6:CD6"/>
    <mergeCell ref="B177:D177"/>
    <mergeCell ref="E177:G177"/>
    <mergeCell ref="H177:J177"/>
    <mergeCell ref="K177:M177"/>
    <mergeCell ref="N177:P177"/>
    <mergeCell ref="Q177:S177"/>
    <mergeCell ref="T177:V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AU177:AW177"/>
    <mergeCell ref="AX177:AZ177"/>
    <mergeCell ref="BA177:BC177"/>
    <mergeCell ref="CE177:CG177"/>
    <mergeCell ref="CH177:CJ177"/>
    <mergeCell ref="BD177:BF177"/>
    <mergeCell ref="BG177:BI177"/>
    <mergeCell ref="BJ177:BL177"/>
    <mergeCell ref="BM177:BO177"/>
    <mergeCell ref="BP177:BR177"/>
    <mergeCell ref="BS177:BU177"/>
    <mergeCell ref="BV177:BX177"/>
    <mergeCell ref="BY177:CA177"/>
    <mergeCell ref="CB177:CD177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M95"/>
  <sheetViews>
    <sheetView tabSelected="1" zoomScale="80" zoomScaleNormal="80" workbookViewId="0">
      <pane xSplit="1" ySplit="7" topLeftCell="EA8" activePane="bottomRight" state="frozen"/>
      <selection pane="topRight" activeCell="B1" sqref="B1"/>
      <selection pane="bottomLeft" activeCell="A8" sqref="A8"/>
      <selection pane="bottomRight" activeCell="EM5" sqref="EM5:GK5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customWidth="1"/>
    <col min="133" max="139" width="14.28515625" customWidth="1"/>
    <col min="140" max="140" width="14.85546875" customWidth="1"/>
    <col min="141" max="141" width="14.42578125" customWidth="1"/>
    <col min="142" max="142" width="14.28515625" customWidth="1"/>
    <col min="143" max="181" width="14.28515625" hidden="1" customWidth="1"/>
    <col min="182" max="182" width="15.7109375" hidden="1" customWidth="1"/>
    <col min="183" max="183" width="15.42578125" hidden="1" customWidth="1"/>
    <col min="184" max="190" width="14.28515625" hidden="1" customWidth="1"/>
    <col min="191" max="192" width="14.7109375" hidden="1" customWidth="1"/>
    <col min="193" max="193" width="14.28515625" hidden="1" customWidth="1"/>
  </cols>
  <sheetData>
    <row r="1" spans="1:195" ht="20.25" x14ac:dyDescent="0.3">
      <c r="A1" s="3102" t="s">
        <v>3627</v>
      </c>
    </row>
    <row r="2" spans="1:195" ht="20.25" x14ac:dyDescent="0.3">
      <c r="A2" s="3102" t="s">
        <v>3653</v>
      </c>
    </row>
    <row r="3" spans="1:195" ht="20.25" x14ac:dyDescent="0.3">
      <c r="A3" s="3103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7"/>
      <c r="BD3" s="627"/>
      <c r="BE3" s="627"/>
      <c r="BF3" s="627"/>
      <c r="BG3" s="627"/>
      <c r="BH3" s="627"/>
      <c r="BI3" s="627"/>
      <c r="BJ3" s="627"/>
      <c r="BK3" s="627"/>
      <c r="BL3" s="627"/>
      <c r="BM3" s="627"/>
      <c r="BN3" s="627"/>
      <c r="BO3" s="627"/>
      <c r="BP3" s="627"/>
      <c r="BQ3" s="627"/>
      <c r="BR3" s="627"/>
      <c r="BS3" s="627"/>
      <c r="BT3" s="627"/>
      <c r="BU3" s="627"/>
      <c r="BV3" s="627"/>
      <c r="BW3" s="627"/>
      <c r="BX3" s="627"/>
      <c r="BY3" s="627"/>
      <c r="BZ3" s="627"/>
      <c r="CA3" s="627"/>
      <c r="CB3" s="627"/>
      <c r="CC3" s="627"/>
      <c r="CD3" s="627"/>
      <c r="CE3" s="627"/>
      <c r="CF3" s="627"/>
      <c r="CG3" s="627"/>
      <c r="CH3" s="627"/>
      <c r="CI3" s="627"/>
      <c r="CJ3" s="627"/>
      <c r="CK3" s="627"/>
      <c r="CL3" s="627"/>
      <c r="CM3" s="627"/>
      <c r="CN3" s="627"/>
      <c r="CO3" s="627"/>
      <c r="CP3" s="627"/>
      <c r="CQ3" s="627"/>
      <c r="CR3" s="627"/>
      <c r="CS3" s="627"/>
      <c r="CT3" s="627"/>
      <c r="CU3" s="627"/>
      <c r="CV3" s="627"/>
      <c r="CW3" s="627"/>
      <c r="CX3" s="627"/>
      <c r="CY3" s="627"/>
      <c r="CZ3" s="627"/>
      <c r="DA3" s="627"/>
      <c r="DB3" s="627"/>
      <c r="DC3" s="627"/>
      <c r="DD3" s="627"/>
      <c r="DE3" s="627"/>
      <c r="DF3" s="627"/>
      <c r="DG3" s="627"/>
      <c r="DH3" s="627"/>
      <c r="DI3" s="627"/>
      <c r="DJ3" s="627"/>
      <c r="DK3" s="627"/>
      <c r="DL3" s="627"/>
      <c r="DM3" s="627"/>
      <c r="DN3" s="627"/>
      <c r="DO3" s="627"/>
      <c r="DP3" s="627"/>
      <c r="DQ3" s="627"/>
      <c r="DR3" s="627"/>
      <c r="DS3" s="627"/>
      <c r="DT3" s="627"/>
      <c r="DU3" s="627"/>
      <c r="DV3" s="627"/>
      <c r="DW3" s="627"/>
      <c r="DX3" s="627"/>
      <c r="DY3" s="627"/>
      <c r="DZ3" s="367"/>
      <c r="EA3" s="627"/>
      <c r="EB3" s="627"/>
      <c r="EC3" s="627"/>
      <c r="ED3" s="627"/>
      <c r="EE3" s="627"/>
      <c r="EF3" s="627"/>
      <c r="EG3" s="627"/>
      <c r="EH3" s="627"/>
      <c r="EI3" s="367"/>
      <c r="EJ3" s="627"/>
      <c r="EK3" s="627"/>
      <c r="EL3" s="367"/>
      <c r="EM3" s="627"/>
      <c r="EN3" s="627"/>
      <c r="EO3" s="627"/>
      <c r="EP3" s="627"/>
      <c r="EQ3" s="627"/>
      <c r="ER3" s="627"/>
      <c r="ES3" s="627"/>
      <c r="ET3" s="627"/>
      <c r="EU3" s="627"/>
      <c r="EV3" s="627"/>
      <c r="EW3" s="627"/>
      <c r="EX3" s="627"/>
      <c r="EY3" s="627"/>
      <c r="EZ3" s="627"/>
      <c r="FA3" s="627"/>
      <c r="FB3" s="627"/>
      <c r="FC3" s="627"/>
      <c r="FD3" s="627"/>
      <c r="FE3" s="627"/>
      <c r="FF3" s="627"/>
      <c r="FG3" s="627"/>
      <c r="FH3" s="627"/>
      <c r="FI3" s="627"/>
      <c r="FJ3" s="627"/>
      <c r="FK3" s="627"/>
      <c r="FL3" s="627"/>
      <c r="FM3" s="367"/>
      <c r="FN3" s="627"/>
      <c r="FO3" s="627"/>
      <c r="FP3" s="627"/>
      <c r="FQ3" s="627"/>
      <c r="FR3" s="627"/>
      <c r="FS3" s="627"/>
      <c r="FT3" s="627"/>
      <c r="FU3" s="627"/>
      <c r="FV3" s="367"/>
      <c r="FW3" s="627"/>
      <c r="FX3" s="627"/>
      <c r="FY3" s="367"/>
      <c r="FZ3" s="627"/>
      <c r="GA3" s="627"/>
      <c r="GB3" s="627"/>
      <c r="GC3" s="627"/>
      <c r="GD3" s="627"/>
      <c r="GE3" s="367"/>
      <c r="GF3" s="627"/>
      <c r="GG3" s="627"/>
      <c r="GH3" s="627"/>
      <c r="GI3" s="627"/>
      <c r="GJ3" s="627"/>
      <c r="GK3" s="627"/>
      <c r="GL3" s="627"/>
    </row>
    <row r="4" spans="1:195" ht="18.75" x14ac:dyDescent="0.3">
      <c r="A4" s="3104" t="s">
        <v>3574</v>
      </c>
      <c r="B4" s="3105"/>
      <c r="C4" s="3105"/>
      <c r="D4" s="3105"/>
      <c r="E4" s="3105"/>
      <c r="F4" s="3105"/>
      <c r="G4" s="3105"/>
      <c r="H4" s="3105"/>
      <c r="I4" s="3105"/>
      <c r="J4" s="3105"/>
      <c r="K4" s="3105"/>
      <c r="L4" s="3105"/>
      <c r="M4" s="3105"/>
      <c r="N4" s="3105"/>
      <c r="O4" s="3105"/>
      <c r="P4" s="3105"/>
      <c r="Q4" s="3105"/>
      <c r="R4" s="3105"/>
      <c r="S4" s="3105"/>
      <c r="T4" s="3105"/>
      <c r="U4" s="3105"/>
      <c r="V4" s="3105"/>
      <c r="W4" s="3105"/>
      <c r="X4" s="3105"/>
      <c r="Y4" s="3105"/>
      <c r="Z4" s="3105"/>
      <c r="AA4" s="3105"/>
      <c r="AB4" s="3105"/>
      <c r="AC4" s="3105"/>
      <c r="AD4" s="3105"/>
      <c r="AE4" s="3105"/>
      <c r="AF4" s="3105"/>
      <c r="AG4" s="3105"/>
      <c r="AH4" s="3105"/>
      <c r="AI4" s="3105"/>
      <c r="AJ4" s="3105"/>
      <c r="AK4" s="3105"/>
      <c r="AL4" s="3105"/>
      <c r="AM4" s="3105"/>
      <c r="AN4" s="3105"/>
      <c r="AO4" s="3105"/>
      <c r="AP4" s="3105"/>
      <c r="AQ4" s="3105"/>
      <c r="AR4" s="3105"/>
      <c r="AS4" s="3105"/>
      <c r="AT4" s="3105"/>
      <c r="AU4" s="3105"/>
      <c r="AV4" s="3105"/>
      <c r="AW4" s="3105"/>
      <c r="AX4" s="3105"/>
      <c r="AY4" s="3105"/>
      <c r="AZ4" s="3105"/>
      <c r="BA4" s="3105"/>
      <c r="BB4" s="3105"/>
      <c r="BC4" s="3105"/>
      <c r="BD4" s="3105"/>
      <c r="BE4" s="3105"/>
      <c r="BF4" s="3105"/>
      <c r="BG4" s="3105"/>
      <c r="BH4" s="3105"/>
      <c r="BI4" s="3105"/>
      <c r="BJ4" s="3105"/>
      <c r="BK4" s="3105"/>
      <c r="BL4" s="3105"/>
      <c r="BM4" s="3105"/>
      <c r="BN4" s="3105"/>
      <c r="BO4" s="3105"/>
      <c r="BP4" s="3105"/>
      <c r="BQ4" s="3105"/>
      <c r="BR4" s="3105"/>
      <c r="BS4" s="3105"/>
      <c r="BT4" s="3105"/>
      <c r="BU4" s="3105"/>
      <c r="BV4" s="3105"/>
      <c r="BW4" s="3105"/>
      <c r="BX4" s="3105"/>
      <c r="BY4" s="3105"/>
      <c r="BZ4" s="3105"/>
      <c r="CA4" s="3105"/>
      <c r="CB4" s="3105"/>
      <c r="CC4" s="3105"/>
      <c r="CD4" s="3105"/>
      <c r="CE4" s="3105"/>
      <c r="CF4" s="3105"/>
      <c r="CG4" s="3105"/>
      <c r="CH4" s="3105"/>
      <c r="CI4" s="3105"/>
      <c r="CJ4" s="3105"/>
      <c r="CK4" s="3105"/>
      <c r="CL4" s="3105"/>
      <c r="CM4" s="3105"/>
      <c r="CN4" s="3105"/>
      <c r="CO4" s="3105"/>
      <c r="CP4" s="3105"/>
      <c r="CQ4" s="3105"/>
      <c r="CR4" s="3105"/>
      <c r="CS4" s="3105"/>
      <c r="CT4" s="3105"/>
      <c r="CU4" s="3105"/>
      <c r="CV4" s="3105"/>
      <c r="CW4" s="3105"/>
      <c r="CX4" s="3105"/>
      <c r="CY4" s="3105"/>
      <c r="CZ4" s="3105"/>
      <c r="DA4" s="3105"/>
      <c r="DB4" s="3105"/>
      <c r="DC4" s="3105"/>
      <c r="DD4" s="3105"/>
      <c r="DE4" s="3105"/>
      <c r="DF4" s="3105"/>
      <c r="DG4" s="3105"/>
      <c r="DH4" s="3105"/>
      <c r="DI4" s="3105"/>
      <c r="DJ4" s="3105"/>
      <c r="DK4" s="3105"/>
      <c r="DL4" s="3105"/>
      <c r="DM4" s="3105"/>
      <c r="DN4" s="3105"/>
      <c r="DO4" s="3105"/>
      <c r="DP4" s="3105"/>
      <c r="DQ4" s="3105"/>
      <c r="DR4" s="3105"/>
      <c r="DS4" s="3105"/>
      <c r="DT4" s="3105"/>
      <c r="DU4" s="3105"/>
      <c r="DV4" s="3105"/>
      <c r="DW4" s="3105"/>
      <c r="DX4" s="3105"/>
      <c r="DY4" s="3105"/>
      <c r="DZ4" s="3105"/>
      <c r="EA4" s="3105"/>
      <c r="EB4" s="3105"/>
      <c r="EC4" s="3105"/>
      <c r="ED4" s="3105"/>
      <c r="EE4" s="3105"/>
      <c r="EF4" s="3105"/>
      <c r="EG4" s="3105"/>
      <c r="EH4" s="3105"/>
      <c r="EI4" s="3105"/>
      <c r="EJ4" s="3105"/>
      <c r="EK4" s="3105"/>
      <c r="EL4" s="3105"/>
      <c r="EM4" s="3105"/>
      <c r="EN4" s="3105"/>
      <c r="EO4" s="3105"/>
      <c r="EP4" s="3105"/>
      <c r="EQ4" s="3105"/>
      <c r="ER4" s="3105"/>
      <c r="ES4" s="3105"/>
      <c r="ET4" s="3105"/>
      <c r="EU4" s="3105"/>
      <c r="EV4" s="3105"/>
      <c r="EW4" s="3105"/>
      <c r="EX4" s="3105"/>
      <c r="EY4" s="3105"/>
      <c r="EZ4" s="3105"/>
      <c r="FA4" s="3105"/>
      <c r="FB4" s="3105"/>
      <c r="FC4" s="3105"/>
      <c r="FD4" s="3105"/>
      <c r="FE4" s="3105"/>
      <c r="FF4" s="3105"/>
      <c r="FG4" s="3105"/>
      <c r="FH4" s="3105"/>
      <c r="FI4" s="3105"/>
      <c r="FJ4" s="3105"/>
      <c r="FK4" s="3105"/>
      <c r="FL4" s="3105"/>
      <c r="FM4" s="3105"/>
      <c r="FN4" s="3105"/>
      <c r="FO4" s="3105"/>
      <c r="FP4" s="3105"/>
      <c r="FQ4" s="3105"/>
      <c r="FR4" s="3105"/>
      <c r="FS4" s="3105"/>
      <c r="FT4" s="3105"/>
      <c r="FU4" s="3105"/>
      <c r="FV4" s="3105"/>
      <c r="FW4" s="3105"/>
      <c r="FX4" s="3105"/>
      <c r="FY4" s="3105"/>
      <c r="FZ4" s="3215"/>
      <c r="GA4" s="3215"/>
      <c r="GB4" s="3215"/>
      <c r="GC4" s="3215"/>
      <c r="GD4" s="3215"/>
      <c r="GE4" s="3215"/>
      <c r="GF4" s="3215"/>
      <c r="GG4" s="3215"/>
      <c r="GH4" s="3215"/>
      <c r="GI4" s="3215"/>
      <c r="GJ4" s="3215"/>
      <c r="GK4" s="3216"/>
      <c r="GL4" s="367"/>
      <c r="GM4" s="585"/>
    </row>
    <row r="5" spans="1:195" ht="19.5" customHeight="1" x14ac:dyDescent="0.2">
      <c r="A5" s="3637" t="s">
        <v>536</v>
      </c>
      <c r="B5" s="3647" t="s">
        <v>3628</v>
      </c>
      <c r="C5" s="3648"/>
      <c r="D5" s="3648"/>
      <c r="E5" s="3649"/>
      <c r="F5" s="3649"/>
      <c r="G5" s="3649"/>
      <c r="H5" s="3649"/>
      <c r="I5" s="3655"/>
      <c r="J5" s="3656"/>
      <c r="K5" s="3647" t="s">
        <v>3629</v>
      </c>
      <c r="L5" s="3648"/>
      <c r="M5" s="3648"/>
      <c r="N5" s="3649"/>
      <c r="O5" s="3649"/>
      <c r="P5" s="3649"/>
      <c r="Q5" s="3649"/>
      <c r="R5" s="3655"/>
      <c r="S5" s="3656"/>
      <c r="T5" s="3647" t="s">
        <v>3630</v>
      </c>
      <c r="U5" s="3648"/>
      <c r="V5" s="3648"/>
      <c r="W5" s="3649"/>
      <c r="X5" s="3649"/>
      <c r="Y5" s="3649"/>
      <c r="Z5" s="3649"/>
      <c r="AA5" s="3650"/>
      <c r="AB5" s="3651"/>
      <c r="AC5" s="3652" t="s">
        <v>3575</v>
      </c>
      <c r="AD5" s="3653"/>
      <c r="AE5" s="3653"/>
      <c r="AF5" s="3654"/>
      <c r="AG5" s="3654"/>
      <c r="AH5" s="3654"/>
      <c r="AI5" s="3654"/>
      <c r="AJ5" s="3654"/>
      <c r="AK5" s="3654"/>
      <c r="AL5" s="3654"/>
      <c r="AM5" s="3654"/>
      <c r="AN5" s="3654"/>
      <c r="AO5" s="3647" t="s">
        <v>3631</v>
      </c>
      <c r="AP5" s="3648"/>
      <c r="AQ5" s="3648"/>
      <c r="AR5" s="3649"/>
      <c r="AS5" s="3649"/>
      <c r="AT5" s="3649"/>
      <c r="AU5" s="3649"/>
      <c r="AV5" s="3650"/>
      <c r="AW5" s="3651"/>
      <c r="AX5" s="3647" t="s">
        <v>3632</v>
      </c>
      <c r="AY5" s="3648"/>
      <c r="AZ5" s="3648"/>
      <c r="BA5" s="3649"/>
      <c r="BB5" s="3649"/>
      <c r="BC5" s="3649"/>
      <c r="BD5" s="3649"/>
      <c r="BE5" s="3655"/>
      <c r="BF5" s="3656"/>
      <c r="BG5" s="3647" t="s">
        <v>3633</v>
      </c>
      <c r="BH5" s="3648"/>
      <c r="BI5" s="3648"/>
      <c r="BJ5" s="3649"/>
      <c r="BK5" s="3649"/>
      <c r="BL5" s="3649"/>
      <c r="BM5" s="3649"/>
      <c r="BN5" s="3655"/>
      <c r="BO5" s="3656"/>
      <c r="BP5" s="3652" t="s">
        <v>3576</v>
      </c>
      <c r="BQ5" s="3653"/>
      <c r="BR5" s="3653"/>
      <c r="BS5" s="3654"/>
      <c r="BT5" s="3654"/>
      <c r="BU5" s="3654"/>
      <c r="BV5" s="3654"/>
      <c r="BW5" s="3654"/>
      <c r="BX5" s="3654"/>
      <c r="BY5" s="3655"/>
      <c r="BZ5" s="3655"/>
      <c r="CA5" s="3655"/>
      <c r="CB5" s="3652" t="s">
        <v>3577</v>
      </c>
      <c r="CC5" s="3653"/>
      <c r="CD5" s="3653"/>
      <c r="CE5" s="3654"/>
      <c r="CF5" s="3654"/>
      <c r="CG5" s="3654"/>
      <c r="CH5" s="3654"/>
      <c r="CI5" s="3654"/>
      <c r="CJ5" s="3654"/>
      <c r="CK5" s="3655"/>
      <c r="CL5" s="3655"/>
      <c r="CM5" s="3655"/>
      <c r="CN5" s="3647" t="s">
        <v>1373</v>
      </c>
      <c r="CO5" s="3648"/>
      <c r="CP5" s="3648"/>
      <c r="CQ5" s="3649"/>
      <c r="CR5" s="3649"/>
      <c r="CS5" s="3649"/>
      <c r="CT5" s="3649"/>
      <c r="CU5" s="3655"/>
      <c r="CV5" s="3656"/>
      <c r="CW5" s="3647" t="s">
        <v>3634</v>
      </c>
      <c r="CX5" s="3648"/>
      <c r="CY5" s="3648"/>
      <c r="CZ5" s="3649"/>
      <c r="DA5" s="3649"/>
      <c r="DB5" s="3649"/>
      <c r="DC5" s="3649"/>
      <c r="DD5" s="3655"/>
      <c r="DE5" s="3656"/>
      <c r="DF5" s="3647" t="s">
        <v>3635</v>
      </c>
      <c r="DG5" s="3648"/>
      <c r="DH5" s="3648"/>
      <c r="DI5" s="3649"/>
      <c r="DJ5" s="3649"/>
      <c r="DK5" s="3649"/>
      <c r="DL5" s="3649"/>
      <c r="DM5" s="3655"/>
      <c r="DN5" s="3656"/>
      <c r="DO5" s="3652" t="s">
        <v>3578</v>
      </c>
      <c r="DP5" s="3653"/>
      <c r="DQ5" s="3653"/>
      <c r="DR5" s="3654"/>
      <c r="DS5" s="3654"/>
      <c r="DT5" s="3654"/>
      <c r="DU5" s="3654"/>
      <c r="DV5" s="3654"/>
      <c r="DW5" s="3654"/>
      <c r="DX5" s="3655"/>
      <c r="DY5" s="3655"/>
      <c r="DZ5" s="3655"/>
      <c r="EA5" s="3652" t="s">
        <v>3579</v>
      </c>
      <c r="EB5" s="3653"/>
      <c r="EC5" s="3653"/>
      <c r="ED5" s="3654"/>
      <c r="EE5" s="3654"/>
      <c r="EF5" s="3654"/>
      <c r="EG5" s="3654"/>
      <c r="EH5" s="3654"/>
      <c r="EI5" s="3654"/>
      <c r="EJ5" s="3655"/>
      <c r="EK5" s="3655"/>
      <c r="EL5" s="3655"/>
      <c r="EM5" s="3647" t="s">
        <v>3636</v>
      </c>
      <c r="EN5" s="3648"/>
      <c r="EO5" s="3648"/>
      <c r="EP5" s="3649"/>
      <c r="EQ5" s="3649"/>
      <c r="ER5" s="3649"/>
      <c r="ES5" s="3649"/>
      <c r="ET5" s="3655"/>
      <c r="EU5" s="3656"/>
      <c r="EV5" s="3647" t="s">
        <v>3637</v>
      </c>
      <c r="EW5" s="3648"/>
      <c r="EX5" s="3648"/>
      <c r="EY5" s="3649"/>
      <c r="EZ5" s="3649"/>
      <c r="FA5" s="3649"/>
      <c r="FB5" s="3649"/>
      <c r="FC5" s="3655"/>
      <c r="FD5" s="3656"/>
      <c r="FE5" s="3647" t="s">
        <v>3638</v>
      </c>
      <c r="FF5" s="3648"/>
      <c r="FG5" s="3648"/>
      <c r="FH5" s="3649"/>
      <c r="FI5" s="3649"/>
      <c r="FJ5" s="3649"/>
      <c r="FK5" s="3649"/>
      <c r="FL5" s="3655"/>
      <c r="FM5" s="3656"/>
      <c r="FN5" s="3652" t="s">
        <v>3580</v>
      </c>
      <c r="FO5" s="3653"/>
      <c r="FP5" s="3653"/>
      <c r="FQ5" s="3654"/>
      <c r="FR5" s="3654"/>
      <c r="FS5" s="3654"/>
      <c r="FT5" s="3654"/>
      <c r="FU5" s="3654"/>
      <c r="FV5" s="3654"/>
      <c r="FW5" s="3655"/>
      <c r="FX5" s="3655"/>
      <c r="FY5" s="3655"/>
      <c r="FZ5" s="3657" t="s">
        <v>2019</v>
      </c>
      <c r="GA5" s="3658"/>
      <c r="GB5" s="3658"/>
      <c r="GC5" s="3659"/>
      <c r="GD5" s="3659"/>
      <c r="GE5" s="3659"/>
      <c r="GF5" s="3659"/>
      <c r="GG5" s="3659"/>
      <c r="GH5" s="3659"/>
      <c r="GI5" s="3660"/>
      <c r="GJ5" s="3660"/>
      <c r="GK5" s="3661"/>
      <c r="GL5" s="627"/>
    </row>
    <row r="6" spans="1:195" ht="20.25" customHeight="1" x14ac:dyDescent="0.2">
      <c r="A6" s="3637"/>
      <c r="B6" s="3638" t="s">
        <v>3581</v>
      </c>
      <c r="C6" s="3639"/>
      <c r="D6" s="3640"/>
      <c r="E6" s="3638" t="s">
        <v>1692</v>
      </c>
      <c r="F6" s="3639"/>
      <c r="G6" s="3640"/>
      <c r="H6" s="3638" t="s">
        <v>3639</v>
      </c>
      <c r="I6" s="3639"/>
      <c r="J6" s="3640"/>
      <c r="K6" s="3638" t="s">
        <v>3581</v>
      </c>
      <c r="L6" s="3639"/>
      <c r="M6" s="3640"/>
      <c r="N6" s="3638" t="s">
        <v>1692</v>
      </c>
      <c r="O6" s="3639"/>
      <c r="P6" s="3640"/>
      <c r="Q6" s="3638" t="s">
        <v>3639</v>
      </c>
      <c r="R6" s="3639"/>
      <c r="S6" s="3640"/>
      <c r="T6" s="3638" t="s">
        <v>3581</v>
      </c>
      <c r="U6" s="3639"/>
      <c r="V6" s="3640"/>
      <c r="W6" s="3638" t="s">
        <v>1692</v>
      </c>
      <c r="X6" s="3639"/>
      <c r="Y6" s="3640"/>
      <c r="Z6" s="3638" t="s">
        <v>3639</v>
      </c>
      <c r="AA6" s="3639"/>
      <c r="AB6" s="3640"/>
      <c r="AC6" s="3644" t="s">
        <v>3581</v>
      </c>
      <c r="AD6" s="3645"/>
      <c r="AE6" s="3646"/>
      <c r="AF6" s="3641" t="s">
        <v>1692</v>
      </c>
      <c r="AG6" s="3642"/>
      <c r="AH6" s="3643"/>
      <c r="AI6" s="3641" t="s">
        <v>3639</v>
      </c>
      <c r="AJ6" s="3642"/>
      <c r="AK6" s="3643"/>
      <c r="AL6" s="3644" t="s">
        <v>3654</v>
      </c>
      <c r="AM6" s="3645"/>
      <c r="AN6" s="3646"/>
      <c r="AO6" s="3638" t="s">
        <v>3581</v>
      </c>
      <c r="AP6" s="3639"/>
      <c r="AQ6" s="3640"/>
      <c r="AR6" s="3638" t="s">
        <v>1692</v>
      </c>
      <c r="AS6" s="3639"/>
      <c r="AT6" s="3640"/>
      <c r="AU6" s="3638" t="s">
        <v>3639</v>
      </c>
      <c r="AV6" s="3639"/>
      <c r="AW6" s="3640"/>
      <c r="AX6" s="3638" t="s">
        <v>3581</v>
      </c>
      <c r="AY6" s="3639"/>
      <c r="AZ6" s="3640"/>
      <c r="BA6" s="3638" t="s">
        <v>1692</v>
      </c>
      <c r="BB6" s="3639"/>
      <c r="BC6" s="3640"/>
      <c r="BD6" s="3638" t="s">
        <v>3639</v>
      </c>
      <c r="BE6" s="3639"/>
      <c r="BF6" s="3640"/>
      <c r="BG6" s="3638" t="s">
        <v>3581</v>
      </c>
      <c r="BH6" s="3639"/>
      <c r="BI6" s="3640"/>
      <c r="BJ6" s="3638" t="s">
        <v>1692</v>
      </c>
      <c r="BK6" s="3639"/>
      <c r="BL6" s="3640"/>
      <c r="BM6" s="3638" t="s">
        <v>3639</v>
      </c>
      <c r="BN6" s="3639"/>
      <c r="BO6" s="3640"/>
      <c r="BP6" s="3644" t="s">
        <v>3581</v>
      </c>
      <c r="BQ6" s="3645"/>
      <c r="BR6" s="3646"/>
      <c r="BS6" s="3641" t="s">
        <v>1692</v>
      </c>
      <c r="BT6" s="3642"/>
      <c r="BU6" s="3643"/>
      <c r="BV6" s="3641" t="s">
        <v>3639</v>
      </c>
      <c r="BW6" s="3642"/>
      <c r="BX6" s="3643"/>
      <c r="BY6" s="3644" t="s">
        <v>3654</v>
      </c>
      <c r="BZ6" s="3645"/>
      <c r="CA6" s="3646"/>
      <c r="CB6" s="3644" t="s">
        <v>3581</v>
      </c>
      <c r="CC6" s="3645"/>
      <c r="CD6" s="3646"/>
      <c r="CE6" s="3641" t="s">
        <v>1692</v>
      </c>
      <c r="CF6" s="3642"/>
      <c r="CG6" s="3643"/>
      <c r="CH6" s="3641" t="s">
        <v>3639</v>
      </c>
      <c r="CI6" s="3642"/>
      <c r="CJ6" s="3643"/>
      <c r="CK6" s="3644" t="s">
        <v>3654</v>
      </c>
      <c r="CL6" s="3645"/>
      <c r="CM6" s="3646"/>
      <c r="CN6" s="3638" t="s">
        <v>3581</v>
      </c>
      <c r="CO6" s="3639"/>
      <c r="CP6" s="3640"/>
      <c r="CQ6" s="3638" t="s">
        <v>1692</v>
      </c>
      <c r="CR6" s="3639"/>
      <c r="CS6" s="3640"/>
      <c r="CT6" s="3638" t="s">
        <v>3639</v>
      </c>
      <c r="CU6" s="3639"/>
      <c r="CV6" s="3640"/>
      <c r="CW6" s="3638" t="s">
        <v>3581</v>
      </c>
      <c r="CX6" s="3639"/>
      <c r="CY6" s="3640"/>
      <c r="CZ6" s="3638" t="s">
        <v>1692</v>
      </c>
      <c r="DA6" s="3639"/>
      <c r="DB6" s="3640"/>
      <c r="DC6" s="3638" t="s">
        <v>3639</v>
      </c>
      <c r="DD6" s="3639"/>
      <c r="DE6" s="3640"/>
      <c r="DF6" s="3638" t="s">
        <v>3581</v>
      </c>
      <c r="DG6" s="3639"/>
      <c r="DH6" s="3640"/>
      <c r="DI6" s="3638" t="s">
        <v>1692</v>
      </c>
      <c r="DJ6" s="3639"/>
      <c r="DK6" s="3640"/>
      <c r="DL6" s="3638" t="s">
        <v>3639</v>
      </c>
      <c r="DM6" s="3639"/>
      <c r="DN6" s="3640"/>
      <c r="DO6" s="3644" t="s">
        <v>3581</v>
      </c>
      <c r="DP6" s="3645"/>
      <c r="DQ6" s="3646"/>
      <c r="DR6" s="3641" t="s">
        <v>1692</v>
      </c>
      <c r="DS6" s="3642"/>
      <c r="DT6" s="3643"/>
      <c r="DU6" s="3641" t="s">
        <v>3639</v>
      </c>
      <c r="DV6" s="3642"/>
      <c r="DW6" s="3643"/>
      <c r="DX6" s="3644" t="s">
        <v>3654</v>
      </c>
      <c r="DY6" s="3645"/>
      <c r="DZ6" s="3646"/>
      <c r="EA6" s="3644" t="s">
        <v>3581</v>
      </c>
      <c r="EB6" s="3645"/>
      <c r="EC6" s="3646"/>
      <c r="ED6" s="3641" t="s">
        <v>1692</v>
      </c>
      <c r="EE6" s="3642"/>
      <c r="EF6" s="3643"/>
      <c r="EG6" s="3641" t="s">
        <v>3639</v>
      </c>
      <c r="EH6" s="3642"/>
      <c r="EI6" s="3643"/>
      <c r="EJ6" s="3644" t="s">
        <v>3654</v>
      </c>
      <c r="EK6" s="3645"/>
      <c r="EL6" s="3646"/>
      <c r="EM6" s="3638" t="s">
        <v>3581</v>
      </c>
      <c r="EN6" s="3639"/>
      <c r="EO6" s="3640"/>
      <c r="EP6" s="3638" t="s">
        <v>1692</v>
      </c>
      <c r="EQ6" s="3639"/>
      <c r="ER6" s="3640"/>
      <c r="ES6" s="3638" t="s">
        <v>3639</v>
      </c>
      <c r="ET6" s="3639"/>
      <c r="EU6" s="3640"/>
      <c r="EV6" s="3638" t="s">
        <v>3581</v>
      </c>
      <c r="EW6" s="3639"/>
      <c r="EX6" s="3640"/>
      <c r="EY6" s="3638" t="s">
        <v>1692</v>
      </c>
      <c r="EZ6" s="3639"/>
      <c r="FA6" s="3640"/>
      <c r="FB6" s="3638" t="s">
        <v>3639</v>
      </c>
      <c r="FC6" s="3639"/>
      <c r="FD6" s="3640"/>
      <c r="FE6" s="3638" t="s">
        <v>3581</v>
      </c>
      <c r="FF6" s="3639"/>
      <c r="FG6" s="3640"/>
      <c r="FH6" s="3638" t="s">
        <v>1692</v>
      </c>
      <c r="FI6" s="3639"/>
      <c r="FJ6" s="3640"/>
      <c r="FK6" s="3638" t="s">
        <v>3639</v>
      </c>
      <c r="FL6" s="3639"/>
      <c r="FM6" s="3640"/>
      <c r="FN6" s="3644" t="s">
        <v>3581</v>
      </c>
      <c r="FO6" s="3645"/>
      <c r="FP6" s="3646"/>
      <c r="FQ6" s="3641" t="s">
        <v>1692</v>
      </c>
      <c r="FR6" s="3642"/>
      <c r="FS6" s="3643"/>
      <c r="FT6" s="3641" t="s">
        <v>3639</v>
      </c>
      <c r="FU6" s="3642"/>
      <c r="FV6" s="3643"/>
      <c r="FW6" s="3644" t="s">
        <v>3654</v>
      </c>
      <c r="FX6" s="3645"/>
      <c r="FY6" s="3646"/>
      <c r="FZ6" s="3662" t="s">
        <v>3581</v>
      </c>
      <c r="GA6" s="3663"/>
      <c r="GB6" s="3664"/>
      <c r="GC6" s="3665" t="s">
        <v>1692</v>
      </c>
      <c r="GD6" s="3666"/>
      <c r="GE6" s="3667"/>
      <c r="GF6" s="3665" t="s">
        <v>3639</v>
      </c>
      <c r="GG6" s="3666"/>
      <c r="GH6" s="3667"/>
      <c r="GI6" s="3662" t="s">
        <v>3654</v>
      </c>
      <c r="GJ6" s="3663"/>
      <c r="GK6" s="3664"/>
      <c r="GL6" s="627"/>
    </row>
    <row r="7" spans="1:195" ht="25.5" customHeight="1" x14ac:dyDescent="0.2">
      <c r="A7" s="3637"/>
      <c r="B7" s="3095" t="s">
        <v>627</v>
      </c>
      <c r="C7" s="3095" t="s">
        <v>3625</v>
      </c>
      <c r="D7" s="3095" t="s">
        <v>3626</v>
      </c>
      <c r="E7" s="3095" t="s">
        <v>627</v>
      </c>
      <c r="F7" s="3095" t="s">
        <v>3625</v>
      </c>
      <c r="G7" s="3095" t="s">
        <v>3626</v>
      </c>
      <c r="H7" s="3095" t="s">
        <v>627</v>
      </c>
      <c r="I7" s="3095" t="s">
        <v>3625</v>
      </c>
      <c r="J7" s="3095" t="s">
        <v>3626</v>
      </c>
      <c r="K7" s="3095" t="s">
        <v>627</v>
      </c>
      <c r="L7" s="3095" t="s">
        <v>3625</v>
      </c>
      <c r="M7" s="3095" t="s">
        <v>3626</v>
      </c>
      <c r="N7" s="3095" t="s">
        <v>627</v>
      </c>
      <c r="O7" s="3095" t="s">
        <v>3625</v>
      </c>
      <c r="P7" s="3095" t="s">
        <v>3626</v>
      </c>
      <c r="Q7" s="3095" t="s">
        <v>627</v>
      </c>
      <c r="R7" s="3095" t="s">
        <v>3625</v>
      </c>
      <c r="S7" s="3095" t="s">
        <v>3626</v>
      </c>
      <c r="T7" s="3095" t="s">
        <v>627</v>
      </c>
      <c r="U7" s="3095" t="s">
        <v>3625</v>
      </c>
      <c r="V7" s="3095" t="s">
        <v>3626</v>
      </c>
      <c r="W7" s="3095" t="s">
        <v>627</v>
      </c>
      <c r="X7" s="3095" t="s">
        <v>3625</v>
      </c>
      <c r="Y7" s="3095" t="s">
        <v>3626</v>
      </c>
      <c r="Z7" s="3095" t="s">
        <v>627</v>
      </c>
      <c r="AA7" s="3095" t="s">
        <v>3625</v>
      </c>
      <c r="AB7" s="3095" t="s">
        <v>3626</v>
      </c>
      <c r="AC7" s="3096" t="s">
        <v>627</v>
      </c>
      <c r="AD7" s="3096" t="s">
        <v>3625</v>
      </c>
      <c r="AE7" s="3096" t="s">
        <v>3626</v>
      </c>
      <c r="AF7" s="3096" t="s">
        <v>627</v>
      </c>
      <c r="AG7" s="3096" t="s">
        <v>3625</v>
      </c>
      <c r="AH7" s="3096" t="s">
        <v>3626</v>
      </c>
      <c r="AI7" s="3096" t="s">
        <v>627</v>
      </c>
      <c r="AJ7" s="3096" t="s">
        <v>3625</v>
      </c>
      <c r="AK7" s="3096" t="s">
        <v>3626</v>
      </c>
      <c r="AL7" s="3096" t="s">
        <v>627</v>
      </c>
      <c r="AM7" s="3096" t="s">
        <v>3625</v>
      </c>
      <c r="AN7" s="3096" t="s">
        <v>3626</v>
      </c>
      <c r="AO7" s="3095" t="s">
        <v>627</v>
      </c>
      <c r="AP7" s="3095" t="s">
        <v>3625</v>
      </c>
      <c r="AQ7" s="3095" t="s">
        <v>3626</v>
      </c>
      <c r="AR7" s="3095" t="s">
        <v>627</v>
      </c>
      <c r="AS7" s="3095" t="s">
        <v>3625</v>
      </c>
      <c r="AT7" s="3095" t="s">
        <v>3626</v>
      </c>
      <c r="AU7" s="3095" t="s">
        <v>627</v>
      </c>
      <c r="AV7" s="3095" t="s">
        <v>3625</v>
      </c>
      <c r="AW7" s="3095" t="s">
        <v>3626</v>
      </c>
      <c r="AX7" s="3095" t="s">
        <v>627</v>
      </c>
      <c r="AY7" s="3095" t="s">
        <v>3625</v>
      </c>
      <c r="AZ7" s="3095" t="s">
        <v>3626</v>
      </c>
      <c r="BA7" s="3095" t="s">
        <v>627</v>
      </c>
      <c r="BB7" s="3095" t="s">
        <v>3625</v>
      </c>
      <c r="BC7" s="3095" t="s">
        <v>3626</v>
      </c>
      <c r="BD7" s="3095" t="s">
        <v>627</v>
      </c>
      <c r="BE7" s="3095" t="s">
        <v>3625</v>
      </c>
      <c r="BF7" s="3095" t="s">
        <v>3626</v>
      </c>
      <c r="BG7" s="3095" t="s">
        <v>627</v>
      </c>
      <c r="BH7" s="3095" t="s">
        <v>3625</v>
      </c>
      <c r="BI7" s="3095" t="s">
        <v>3626</v>
      </c>
      <c r="BJ7" s="3095" t="s">
        <v>627</v>
      </c>
      <c r="BK7" s="3095" t="s">
        <v>3625</v>
      </c>
      <c r="BL7" s="3095" t="s">
        <v>3626</v>
      </c>
      <c r="BM7" s="3095" t="s">
        <v>627</v>
      </c>
      <c r="BN7" s="3095" t="s">
        <v>3625</v>
      </c>
      <c r="BO7" s="3095" t="s">
        <v>3626</v>
      </c>
      <c r="BP7" s="3096" t="s">
        <v>627</v>
      </c>
      <c r="BQ7" s="3096" t="s">
        <v>3625</v>
      </c>
      <c r="BR7" s="3096" t="s">
        <v>3626</v>
      </c>
      <c r="BS7" s="3096" t="s">
        <v>627</v>
      </c>
      <c r="BT7" s="3096" t="s">
        <v>3625</v>
      </c>
      <c r="BU7" s="3096" t="s">
        <v>3626</v>
      </c>
      <c r="BV7" s="3096" t="s">
        <v>627</v>
      </c>
      <c r="BW7" s="3096" t="s">
        <v>3625</v>
      </c>
      <c r="BX7" s="3096" t="s">
        <v>3626</v>
      </c>
      <c r="BY7" s="3096" t="s">
        <v>627</v>
      </c>
      <c r="BZ7" s="3096" t="s">
        <v>3625</v>
      </c>
      <c r="CA7" s="3096" t="s">
        <v>3626</v>
      </c>
      <c r="CB7" s="3096" t="s">
        <v>627</v>
      </c>
      <c r="CC7" s="3096" t="s">
        <v>3625</v>
      </c>
      <c r="CD7" s="3096" t="s">
        <v>3626</v>
      </c>
      <c r="CE7" s="3096" t="s">
        <v>627</v>
      </c>
      <c r="CF7" s="3096" t="s">
        <v>3625</v>
      </c>
      <c r="CG7" s="3096" t="s">
        <v>3626</v>
      </c>
      <c r="CH7" s="3096" t="s">
        <v>627</v>
      </c>
      <c r="CI7" s="3096" t="s">
        <v>3625</v>
      </c>
      <c r="CJ7" s="3096" t="s">
        <v>3626</v>
      </c>
      <c r="CK7" s="3096" t="s">
        <v>627</v>
      </c>
      <c r="CL7" s="3096" t="s">
        <v>3625</v>
      </c>
      <c r="CM7" s="3096" t="s">
        <v>3626</v>
      </c>
      <c r="CN7" s="3095" t="s">
        <v>627</v>
      </c>
      <c r="CO7" s="3095" t="s">
        <v>3625</v>
      </c>
      <c r="CP7" s="3095" t="s">
        <v>3626</v>
      </c>
      <c r="CQ7" s="3095" t="s">
        <v>627</v>
      </c>
      <c r="CR7" s="3095" t="s">
        <v>3625</v>
      </c>
      <c r="CS7" s="3095" t="s">
        <v>3626</v>
      </c>
      <c r="CT7" s="3095" t="s">
        <v>627</v>
      </c>
      <c r="CU7" s="3095" t="s">
        <v>3625</v>
      </c>
      <c r="CV7" s="3095" t="s">
        <v>3626</v>
      </c>
      <c r="CW7" s="3095" t="s">
        <v>627</v>
      </c>
      <c r="CX7" s="3095" t="s">
        <v>3625</v>
      </c>
      <c r="CY7" s="3095" t="s">
        <v>3626</v>
      </c>
      <c r="CZ7" s="3095" t="s">
        <v>627</v>
      </c>
      <c r="DA7" s="3095" t="s">
        <v>3625</v>
      </c>
      <c r="DB7" s="3095" t="s">
        <v>3626</v>
      </c>
      <c r="DC7" s="3095" t="s">
        <v>627</v>
      </c>
      <c r="DD7" s="3095" t="s">
        <v>3625</v>
      </c>
      <c r="DE7" s="3095" t="s">
        <v>3626</v>
      </c>
      <c r="DF7" s="3095" t="s">
        <v>627</v>
      </c>
      <c r="DG7" s="3095" t="s">
        <v>3625</v>
      </c>
      <c r="DH7" s="3095" t="s">
        <v>3626</v>
      </c>
      <c r="DI7" s="3095" t="s">
        <v>627</v>
      </c>
      <c r="DJ7" s="3095" t="s">
        <v>3625</v>
      </c>
      <c r="DK7" s="3095" t="s">
        <v>3626</v>
      </c>
      <c r="DL7" s="3095" t="s">
        <v>627</v>
      </c>
      <c r="DM7" s="3095" t="s">
        <v>3625</v>
      </c>
      <c r="DN7" s="3095" t="s">
        <v>3626</v>
      </c>
      <c r="DO7" s="3096" t="s">
        <v>627</v>
      </c>
      <c r="DP7" s="3096" t="s">
        <v>3625</v>
      </c>
      <c r="DQ7" s="3096" t="s">
        <v>3626</v>
      </c>
      <c r="DR7" s="3096" t="s">
        <v>627</v>
      </c>
      <c r="DS7" s="3096" t="s">
        <v>3625</v>
      </c>
      <c r="DT7" s="3096" t="s">
        <v>3626</v>
      </c>
      <c r="DU7" s="3096" t="s">
        <v>627</v>
      </c>
      <c r="DV7" s="3096" t="s">
        <v>3625</v>
      </c>
      <c r="DW7" s="3096" t="s">
        <v>3626</v>
      </c>
      <c r="DX7" s="3096" t="s">
        <v>627</v>
      </c>
      <c r="DY7" s="3096" t="s">
        <v>3625</v>
      </c>
      <c r="DZ7" s="3096" t="s">
        <v>3626</v>
      </c>
      <c r="EA7" s="3096" t="s">
        <v>627</v>
      </c>
      <c r="EB7" s="3096" t="s">
        <v>3625</v>
      </c>
      <c r="EC7" s="3096" t="s">
        <v>3626</v>
      </c>
      <c r="ED7" s="3096" t="s">
        <v>627</v>
      </c>
      <c r="EE7" s="3096" t="s">
        <v>3625</v>
      </c>
      <c r="EF7" s="3096" t="s">
        <v>3626</v>
      </c>
      <c r="EG7" s="3096" t="s">
        <v>627</v>
      </c>
      <c r="EH7" s="3096" t="s">
        <v>3625</v>
      </c>
      <c r="EI7" s="3096" t="s">
        <v>3626</v>
      </c>
      <c r="EJ7" s="3096" t="s">
        <v>627</v>
      </c>
      <c r="EK7" s="3096" t="s">
        <v>3625</v>
      </c>
      <c r="EL7" s="3096" t="s">
        <v>3626</v>
      </c>
      <c r="EM7" s="3095" t="s">
        <v>627</v>
      </c>
      <c r="EN7" s="3095" t="s">
        <v>3625</v>
      </c>
      <c r="EO7" s="3095" t="s">
        <v>3626</v>
      </c>
      <c r="EP7" s="3095" t="s">
        <v>627</v>
      </c>
      <c r="EQ7" s="3095" t="s">
        <v>3625</v>
      </c>
      <c r="ER7" s="3095" t="s">
        <v>3626</v>
      </c>
      <c r="ES7" s="3095" t="s">
        <v>627</v>
      </c>
      <c r="ET7" s="3095" t="s">
        <v>3625</v>
      </c>
      <c r="EU7" s="3095" t="s">
        <v>3626</v>
      </c>
      <c r="EV7" s="3095" t="s">
        <v>627</v>
      </c>
      <c r="EW7" s="3095" t="s">
        <v>3625</v>
      </c>
      <c r="EX7" s="3095" t="s">
        <v>3626</v>
      </c>
      <c r="EY7" s="3095" t="s">
        <v>627</v>
      </c>
      <c r="EZ7" s="3095" t="s">
        <v>3625</v>
      </c>
      <c r="FA7" s="3095" t="s">
        <v>3626</v>
      </c>
      <c r="FB7" s="3095" t="s">
        <v>627</v>
      </c>
      <c r="FC7" s="3095" t="s">
        <v>3625</v>
      </c>
      <c r="FD7" s="3095" t="s">
        <v>3626</v>
      </c>
      <c r="FE7" s="3095" t="s">
        <v>627</v>
      </c>
      <c r="FF7" s="3095" t="s">
        <v>3625</v>
      </c>
      <c r="FG7" s="3095" t="s">
        <v>3626</v>
      </c>
      <c r="FH7" s="3095" t="s">
        <v>627</v>
      </c>
      <c r="FI7" s="3095" t="s">
        <v>3625</v>
      </c>
      <c r="FJ7" s="3095" t="s">
        <v>3626</v>
      </c>
      <c r="FK7" s="3095" t="s">
        <v>627</v>
      </c>
      <c r="FL7" s="3095" t="s">
        <v>3625</v>
      </c>
      <c r="FM7" s="3095" t="s">
        <v>3626</v>
      </c>
      <c r="FN7" s="3096" t="s">
        <v>627</v>
      </c>
      <c r="FO7" s="3096" t="s">
        <v>3625</v>
      </c>
      <c r="FP7" s="3096" t="s">
        <v>3626</v>
      </c>
      <c r="FQ7" s="3096" t="s">
        <v>627</v>
      </c>
      <c r="FR7" s="3096" t="s">
        <v>3625</v>
      </c>
      <c r="FS7" s="3096" t="s">
        <v>3626</v>
      </c>
      <c r="FT7" s="3096" t="s">
        <v>627</v>
      </c>
      <c r="FU7" s="3096" t="s">
        <v>3625</v>
      </c>
      <c r="FV7" s="3096" t="s">
        <v>3626</v>
      </c>
      <c r="FW7" s="3096" t="s">
        <v>627</v>
      </c>
      <c r="FX7" s="3096" t="s">
        <v>3625</v>
      </c>
      <c r="FY7" s="3096" t="s">
        <v>3626</v>
      </c>
      <c r="FZ7" s="3217" t="s">
        <v>627</v>
      </c>
      <c r="GA7" s="3217" t="s">
        <v>3625</v>
      </c>
      <c r="GB7" s="3217" t="s">
        <v>3626</v>
      </c>
      <c r="GC7" s="3217" t="s">
        <v>627</v>
      </c>
      <c r="GD7" s="3217" t="s">
        <v>3625</v>
      </c>
      <c r="GE7" s="3217" t="s">
        <v>3626</v>
      </c>
      <c r="GF7" s="3217" t="s">
        <v>627</v>
      </c>
      <c r="GG7" s="3217" t="s">
        <v>3625</v>
      </c>
      <c r="GH7" s="3217" t="s">
        <v>3626</v>
      </c>
      <c r="GI7" s="3217" t="s">
        <v>627</v>
      </c>
      <c r="GJ7" s="3217" t="s">
        <v>3625</v>
      </c>
      <c r="GK7" s="3217" t="s">
        <v>3626</v>
      </c>
      <c r="GL7" s="627"/>
    </row>
    <row r="8" spans="1:195" ht="18.75" x14ac:dyDescent="0.3">
      <c r="A8" s="3106" t="s">
        <v>3584</v>
      </c>
      <c r="B8" s="3207">
        <f>SUM(C8:D8)</f>
        <v>521.26263997185549</v>
      </c>
      <c r="C8" s="3207">
        <f>SUM(GA8/12)</f>
        <v>521.11513997185546</v>
      </c>
      <c r="D8" s="3207">
        <f>SUM(GB8/12)</f>
        <v>0.14749999999999999</v>
      </c>
      <c r="E8" s="3207">
        <f>SUM(F8:G8)</f>
        <v>568.33000000000004</v>
      </c>
      <c r="F8" s="3107">
        <f>SUM('ПОЛНАЯ СЕБЕСТОИМОСТЬ ВОДА 2019'!F8)</f>
        <v>568.21</v>
      </c>
      <c r="G8" s="3107">
        <f>SUM('ПОЛНАЯ СЕБЕСТОИМОСТЬ ВОДА 2019'!G8)</f>
        <v>0.12</v>
      </c>
      <c r="H8" s="3108">
        <v>653.08500000000004</v>
      </c>
      <c r="I8" s="3108">
        <f>SUM(H8-J8)</f>
        <v>652.94500000000005</v>
      </c>
      <c r="J8" s="3108">
        <f>SUM(J14)</f>
        <v>0.14000000000000001</v>
      </c>
      <c r="K8" s="3207">
        <f>SUM(L8:M8)</f>
        <v>521.26263997185549</v>
      </c>
      <c r="L8" s="3207">
        <f>SUM(GA8/12)</f>
        <v>521.11513997185546</v>
      </c>
      <c r="M8" s="3207">
        <f>SUM(GB8/12)</f>
        <v>0.14749999999999999</v>
      </c>
      <c r="N8" s="3207">
        <f>SUM(O8:P8)</f>
        <v>493.23999999999995</v>
      </c>
      <c r="O8" s="3107">
        <f>SUM('ПОЛНАЯ СЕБЕСТОИМОСТЬ ВОДА 2019'!I8)</f>
        <v>493.15</v>
      </c>
      <c r="P8" s="3107">
        <f>SUM('ПОЛНАЯ СЕБЕСТОИМОСТЬ ВОДА 2019'!J8)</f>
        <v>0.09</v>
      </c>
      <c r="Q8" s="3108">
        <v>497.262</v>
      </c>
      <c r="R8" s="3108">
        <f>SUM(Q8-S8)</f>
        <v>497.08199999999999</v>
      </c>
      <c r="S8" s="3108">
        <v>0.18</v>
      </c>
      <c r="T8" s="3207">
        <f>SUM(U8:V8)</f>
        <v>521.26263997185549</v>
      </c>
      <c r="U8" s="3207">
        <f>SUM(GA8/12)</f>
        <v>521.11513997185546</v>
      </c>
      <c r="V8" s="3207">
        <f>SUM(GB8/12)</f>
        <v>0.14749999999999999</v>
      </c>
      <c r="W8" s="3207">
        <f>SUM(X8:Y8)</f>
        <v>534.95900000000006</v>
      </c>
      <c r="X8" s="3107">
        <f>SUM('ПОЛНАЯ СЕБЕСТОИМОСТЬ ВОДА 2019'!L8)</f>
        <v>534.88400000000001</v>
      </c>
      <c r="Y8" s="3107">
        <f>SUM('ПОЛНАЯ СЕБЕСТОИМОСТЬ ВОДА 2019'!M8)</f>
        <v>7.4999999999999997E-2</v>
      </c>
      <c r="Z8" s="3108">
        <v>514.80899999999997</v>
      </c>
      <c r="AA8" s="3108">
        <f>SUM(Z8-AB8)</f>
        <v>514.68899999999996</v>
      </c>
      <c r="AB8" s="3108">
        <v>0.12</v>
      </c>
      <c r="AC8" s="3206">
        <f>SUM(AD8:AE8)</f>
        <v>1563.7879199155664</v>
      </c>
      <c r="AD8" s="3206">
        <f>SUM(C8+L8+U8)</f>
        <v>1563.3454199155663</v>
      </c>
      <c r="AE8" s="3206">
        <f>SUM(D8+M8+V8)</f>
        <v>0.4425</v>
      </c>
      <c r="AF8" s="3206">
        <f>SUM(AG8:AH8)</f>
        <v>1596.5290000000002</v>
      </c>
      <c r="AG8" s="3206">
        <f>SUM(F8+O8+X8)</f>
        <v>1596.2440000000001</v>
      </c>
      <c r="AH8" s="3206">
        <f>SUM(G8+P8+Y8)</f>
        <v>0.28499999999999998</v>
      </c>
      <c r="AI8" s="3109">
        <f t="shared" ref="AI8:AI9" si="0">SUM(H8+Q8+Z8)</f>
        <v>1665.1559999999999</v>
      </c>
      <c r="AJ8" s="3109">
        <f t="shared" ref="AJ8:AJ9" si="1">SUM(I8+R8+AA8)</f>
        <v>1664.7159999999999</v>
      </c>
      <c r="AK8" s="3109">
        <f t="shared" ref="AK8:AK9" si="2">SUM(J8+S8+AB8)</f>
        <v>0.44</v>
      </c>
      <c r="AL8" s="3206">
        <f>SUM(AM8:AN8)</f>
        <v>32.741080084433889</v>
      </c>
      <c r="AM8" s="3206">
        <f>SUM(AG8-AD8)</f>
        <v>32.898580084433888</v>
      </c>
      <c r="AN8" s="3206">
        <f>SUM(AH8-AE8)</f>
        <v>-0.15750000000000003</v>
      </c>
      <c r="AO8" s="3207">
        <f>SUM(AP8:AQ8)</f>
        <v>521.26263997185549</v>
      </c>
      <c r="AP8" s="3207">
        <f>SUM(GA8/12)</f>
        <v>521.11513997185546</v>
      </c>
      <c r="AQ8" s="3207">
        <f>SUM(GB8/12)</f>
        <v>0.14749999999999999</v>
      </c>
      <c r="AR8" s="3207">
        <f>SUM(AS8:AT8)</f>
        <v>630.48400000000004</v>
      </c>
      <c r="AS8" s="3107">
        <f>SUM('ПОЛНАЯ СЕБЕСТОИМОСТЬ ВОДА 2019'!U8)</f>
        <v>630.38900000000001</v>
      </c>
      <c r="AT8" s="3107">
        <f>SUM('ПОЛНАЯ СЕБЕСТОИМОСТЬ ВОДА 2019'!V8)</f>
        <v>9.5000000000000001E-2</v>
      </c>
      <c r="AU8" s="3108">
        <v>597.01900000000001</v>
      </c>
      <c r="AV8" s="3108">
        <f>SUM(AU8-AW8)</f>
        <v>596.69899999999996</v>
      </c>
      <c r="AW8" s="3108">
        <v>0.32</v>
      </c>
      <c r="AX8" s="3207">
        <f>SUM(AY8:AZ8)</f>
        <v>521.26263997185549</v>
      </c>
      <c r="AY8" s="3207">
        <f>SUM(GA8/12)</f>
        <v>521.11513997185546</v>
      </c>
      <c r="AZ8" s="3207">
        <f>SUM(GB8/12)</f>
        <v>0.14749999999999999</v>
      </c>
      <c r="BA8" s="3207">
        <f>SUM(BB8:BC8)</f>
        <v>640.53700000000003</v>
      </c>
      <c r="BB8" s="3107">
        <f>SUM('ПОЛНАЯ СЕБЕСТОИМОСТЬ ВОДА 2019'!X8)</f>
        <v>640.44000000000005</v>
      </c>
      <c r="BC8" s="3107">
        <f>SUM('ПОЛНАЯ СЕБЕСТОИМОСТЬ ВОДА 2019'!Y8)</f>
        <v>9.7000000000000003E-2</v>
      </c>
      <c r="BD8" s="3108">
        <v>658.07100000000003</v>
      </c>
      <c r="BE8" s="3108">
        <f>SUM(BD8-BF8)</f>
        <v>657.971</v>
      </c>
      <c r="BF8" s="3108">
        <v>0.1</v>
      </c>
      <c r="BG8" s="3207">
        <f>SUM(BH8:BI8)</f>
        <v>521.26263997185549</v>
      </c>
      <c r="BH8" s="3207">
        <f>SUM(GA8/12)</f>
        <v>521.11513997185546</v>
      </c>
      <c r="BI8" s="3207">
        <f>SUM(GB8/12)</f>
        <v>0.14749999999999999</v>
      </c>
      <c r="BJ8" s="3207">
        <f>SUM(BK8:BL8)</f>
        <v>613.39499999999998</v>
      </c>
      <c r="BK8" s="3107">
        <f>SUM('ПОЛНАЯ СЕБЕСТОИМОСТЬ ВОДА 2019'!AA8)</f>
        <v>613.31399999999996</v>
      </c>
      <c r="BL8" s="3107">
        <f>SUM('ПОЛНАЯ СЕБЕСТОИМОСТЬ ВОДА 2019'!AB8)</f>
        <v>8.1000000000000003E-2</v>
      </c>
      <c r="BM8" s="3108">
        <v>642.82100000000003</v>
      </c>
      <c r="BN8" s="3108">
        <f>SUM(BM8-BO8)</f>
        <v>642.73099999999999</v>
      </c>
      <c r="BO8" s="3108">
        <v>0.09</v>
      </c>
      <c r="BP8" s="3206">
        <f>SUM(BQ8:BR8)</f>
        <v>1563.7879199155664</v>
      </c>
      <c r="BQ8" s="3206">
        <f>SUM(AP8+AY8+BH8)</f>
        <v>1563.3454199155663</v>
      </c>
      <c r="BR8" s="3206">
        <f>SUM(AQ8+AZ8+BI8)</f>
        <v>0.4425</v>
      </c>
      <c r="BS8" s="3206">
        <f>SUM(BT8:BU8)</f>
        <v>1884.4159999999999</v>
      </c>
      <c r="BT8" s="3206">
        <f>SUM(AS8+BB8+BK8)</f>
        <v>1884.143</v>
      </c>
      <c r="BU8" s="3206">
        <f>SUM(AT8+BC8+BL8)</f>
        <v>0.27300000000000002</v>
      </c>
      <c r="BV8" s="3109">
        <f t="shared" ref="BV8:BV9" si="3">SUM(AU8+BD8+BM8)</f>
        <v>1897.9110000000001</v>
      </c>
      <c r="BW8" s="3206">
        <f t="shared" ref="BW8:BX9" si="4">SUM(AV8+BE8+BN8)</f>
        <v>1897.4010000000001</v>
      </c>
      <c r="BX8" s="3206">
        <f t="shared" si="4"/>
        <v>0.51</v>
      </c>
      <c r="BY8" s="3206">
        <f>SUM(BZ8:CA8)</f>
        <v>320.62808008443375</v>
      </c>
      <c r="BZ8" s="3206">
        <f>SUM(BT8-BQ8)</f>
        <v>320.79758008443378</v>
      </c>
      <c r="CA8" s="3206">
        <f>SUM(BU8-BR8)</f>
        <v>-0.16949999999999998</v>
      </c>
      <c r="CB8" s="3206">
        <f>SUM(CC8:CD8)</f>
        <v>3127.5758398311327</v>
      </c>
      <c r="CC8" s="3206">
        <f>SUM(AD8+BQ8)</f>
        <v>3126.6908398311325</v>
      </c>
      <c r="CD8" s="3206">
        <f>SUM(AE8+BR8)</f>
        <v>0.88500000000000001</v>
      </c>
      <c r="CE8" s="3206">
        <f>SUM(CF8:CG8)</f>
        <v>3480.9450000000002</v>
      </c>
      <c r="CF8" s="3206">
        <f t="shared" ref="CF8:CH9" si="5">SUM(AG8+BT8)</f>
        <v>3480.3870000000002</v>
      </c>
      <c r="CG8" s="3206">
        <f t="shared" si="5"/>
        <v>0.55800000000000005</v>
      </c>
      <c r="CH8" s="3109">
        <f t="shared" si="5"/>
        <v>3563.067</v>
      </c>
      <c r="CI8" s="3109">
        <f t="shared" ref="CI8:CJ9" si="6">SUM(AJ8+BW8)</f>
        <v>3562.1170000000002</v>
      </c>
      <c r="CJ8" s="3109">
        <f t="shared" si="6"/>
        <v>0.95</v>
      </c>
      <c r="CK8" s="3206">
        <f>SUM(CL8:CM8)</f>
        <v>353.36916016886767</v>
      </c>
      <c r="CL8" s="3212">
        <f t="shared" ref="CL8:CM19" si="7">SUM(CF8-CC8)</f>
        <v>353.69616016886766</v>
      </c>
      <c r="CM8" s="3212">
        <f t="shared" si="7"/>
        <v>-0.32699999999999996</v>
      </c>
      <c r="CN8" s="3207">
        <f>SUM(CO8:CP8)</f>
        <v>521.26263997185549</v>
      </c>
      <c r="CO8" s="3207">
        <f>SUM(GA8/12)</f>
        <v>521.11513997185546</v>
      </c>
      <c r="CP8" s="3207">
        <f>SUM(GB8/12)</f>
        <v>0.14749999999999999</v>
      </c>
      <c r="CQ8" s="3207">
        <f>SUM(CR8:CS8)</f>
        <v>639.60199999999998</v>
      </c>
      <c r="CR8" s="3107">
        <f>SUM('ПОЛНАЯ СЕБЕСТОИМОСТЬ ВОДА 2019'!AS8)</f>
        <v>639.51099999999997</v>
      </c>
      <c r="CS8" s="3107">
        <f>SUM('ПОЛНАЯ СЕБЕСТОИМОСТЬ ВОДА 2019'!AT8)</f>
        <v>9.0999999999999998E-2</v>
      </c>
      <c r="CT8" s="3108">
        <v>661.48800000000006</v>
      </c>
      <c r="CU8" s="3108">
        <f>SUM(CT8-CV8)</f>
        <v>661.41800000000001</v>
      </c>
      <c r="CV8" s="3108">
        <v>7.0000000000000007E-2</v>
      </c>
      <c r="CW8" s="3207">
        <f>SUM(CX8:CY8)</f>
        <v>521.26263997185549</v>
      </c>
      <c r="CX8" s="3207">
        <f>SUM(GA8/12)</f>
        <v>521.11513997185546</v>
      </c>
      <c r="CY8" s="3207">
        <f>SUM(GB8/12)</f>
        <v>0.14749999999999999</v>
      </c>
      <c r="CZ8" s="3207">
        <f>SUM(DA8:DB8)</f>
        <v>554.14700000000005</v>
      </c>
      <c r="DA8" s="3107">
        <f>SUM('ПОЛНАЯ СЕБЕСТОИМОСТЬ ВОДА 2019'!AV8)</f>
        <v>554.05700000000002</v>
      </c>
      <c r="DB8" s="3107">
        <f>SUM('ПОЛНАЯ СЕБЕСТОИМОСТЬ ВОДА 2019'!AW8)</f>
        <v>0.09</v>
      </c>
      <c r="DC8" s="3108">
        <v>511.32600000000002</v>
      </c>
      <c r="DD8" s="3108">
        <f>SUM(DC8-DE8)</f>
        <v>511.25600000000003</v>
      </c>
      <c r="DE8" s="3108">
        <v>7.0000000000000007E-2</v>
      </c>
      <c r="DF8" s="3207">
        <f>SUM(DG8:DH8)</f>
        <v>521.26263997185549</v>
      </c>
      <c r="DG8" s="3207">
        <f>SUM(GA8/12)</f>
        <v>521.11513997185546</v>
      </c>
      <c r="DH8" s="3207">
        <f>SUM(GB8/12)</f>
        <v>0.14749999999999999</v>
      </c>
      <c r="DI8" s="3207">
        <f>SUM(DJ8:DK8)</f>
        <v>588.95500000000004</v>
      </c>
      <c r="DJ8" s="3107">
        <f>SUM('ПОЛНАЯ СЕБЕСТОИМОСТЬ ВОДА 2019'!AY8)</f>
        <v>588.86500000000001</v>
      </c>
      <c r="DK8" s="3107">
        <f>SUM('ПОЛНАЯ СЕБЕСТОИМОСТЬ ВОДА 2019'!AZ8)</f>
        <v>0.09</v>
      </c>
      <c r="DL8" s="3108">
        <v>518.63900000000001</v>
      </c>
      <c r="DM8" s="3108">
        <f>SUM(DL8-DN8)</f>
        <v>518.55799999999999</v>
      </c>
      <c r="DN8" s="3108">
        <v>8.1000000000000003E-2</v>
      </c>
      <c r="DO8" s="3206">
        <f>SUM(DP8:DQ8)</f>
        <v>1563.7879199155664</v>
      </c>
      <c r="DP8" s="3206">
        <f>SUM(CO8+CX8+DG8)</f>
        <v>1563.3454199155663</v>
      </c>
      <c r="DQ8" s="3206">
        <f>SUM(CP8+CY8+DH8)</f>
        <v>0.4425</v>
      </c>
      <c r="DR8" s="3206">
        <f>SUM(DS8:DT8)</f>
        <v>1782.704</v>
      </c>
      <c r="DS8" s="3206">
        <f>SUM(CR8+DA8+DJ8)</f>
        <v>1782.433</v>
      </c>
      <c r="DT8" s="3206">
        <f>SUM(CS8+DB8+DK8)</f>
        <v>0.27100000000000002</v>
      </c>
      <c r="DU8" s="3109">
        <f t="shared" ref="DU8:DU9" si="8">SUM(CT8+DC8+DL8)</f>
        <v>1691.453</v>
      </c>
      <c r="DV8" s="3206">
        <f t="shared" ref="DV8:DV9" si="9">SUM(CU8+DD8+DM8)</f>
        <v>1691.232</v>
      </c>
      <c r="DW8" s="3206">
        <f t="shared" ref="DW8:DW9" si="10">SUM(CV8+DE8+DN8)</f>
        <v>0.22100000000000003</v>
      </c>
      <c r="DX8" s="3206">
        <f>SUM(DY8:DZ8)</f>
        <v>218.91608008443373</v>
      </c>
      <c r="DY8" s="3212">
        <f t="shared" ref="DY8:DZ19" si="11">SUM(DS8-DP8)</f>
        <v>219.08758008443374</v>
      </c>
      <c r="DZ8" s="3212">
        <f t="shared" si="11"/>
        <v>-0.17149999999999999</v>
      </c>
      <c r="EA8" s="3206">
        <f>SUM(EB8:EC8)</f>
        <v>4691.3637597466995</v>
      </c>
      <c r="EB8" s="3206">
        <f>SUM(CC8+DP8)</f>
        <v>4690.0362597466992</v>
      </c>
      <c r="EC8" s="3206">
        <f>SUM(CD8+DQ8)</f>
        <v>1.3275000000000001</v>
      </c>
      <c r="ED8" s="3206">
        <f>SUM(EE8:EF8)</f>
        <v>5263.6489999999994</v>
      </c>
      <c r="EE8" s="3206">
        <f t="shared" ref="EE8:EG9" si="12">SUM(CF8+DS8)</f>
        <v>5262.82</v>
      </c>
      <c r="EF8" s="3206">
        <f t="shared" si="12"/>
        <v>0.82900000000000007</v>
      </c>
      <c r="EG8" s="3206">
        <f t="shared" si="12"/>
        <v>5254.52</v>
      </c>
      <c r="EH8" s="3206">
        <f t="shared" ref="EH8:EI9" si="13">SUM(CI8+DV8)</f>
        <v>5253.3490000000002</v>
      </c>
      <c r="EI8" s="3206">
        <f t="shared" si="13"/>
        <v>1.171</v>
      </c>
      <c r="EJ8" s="3206">
        <f>SUM(EK8:EL8)</f>
        <v>572.28524025330046</v>
      </c>
      <c r="EK8" s="3212">
        <f t="shared" ref="EK8:EL19" si="14">SUM(EE8-EB8)</f>
        <v>572.78374025330049</v>
      </c>
      <c r="EL8" s="3212">
        <f t="shared" si="14"/>
        <v>-0.49850000000000005</v>
      </c>
      <c r="EM8" s="3207">
        <f>SUM(EN8:EO8)</f>
        <v>521.26263997185549</v>
      </c>
      <c r="EN8" s="3207">
        <f>SUM(GA8/12)</f>
        <v>521.11513997185546</v>
      </c>
      <c r="EO8" s="3207">
        <f>SUM(GB8/12)</f>
        <v>0.14749999999999999</v>
      </c>
      <c r="EP8" s="3207">
        <f>SUM(EQ8:ER8)</f>
        <v>0</v>
      </c>
      <c r="EQ8" s="3107">
        <f>SUM('ПОЛНАЯ СЕБЕСТОИМОСТЬ ВОДА 2019'!BQ8)</f>
        <v>0</v>
      </c>
      <c r="ER8" s="3107">
        <f>SUM('ПОЛНАЯ СЕБЕСТОИМОСТЬ ВОДА 2019'!BR8)</f>
        <v>0</v>
      </c>
      <c r="ES8" s="3108">
        <v>640.80999999999995</v>
      </c>
      <c r="ET8" s="3108">
        <f>SUM(ES8-EU8)</f>
        <v>640.7299999999999</v>
      </c>
      <c r="EU8" s="3108">
        <v>0.08</v>
      </c>
      <c r="EV8" s="3207">
        <f>SUM(EW8:EX8)</f>
        <v>521.26263997185549</v>
      </c>
      <c r="EW8" s="3207">
        <f>SUM(GA8/12)</f>
        <v>521.11513997185546</v>
      </c>
      <c r="EX8" s="3207">
        <f>SUM(GB8/12)</f>
        <v>0.14749999999999999</v>
      </c>
      <c r="EY8" s="3207">
        <f>SUM(EZ8:FA8)</f>
        <v>0</v>
      </c>
      <c r="EZ8" s="3107">
        <f>SUM('ПОЛНАЯ СЕБЕСТОИМОСТЬ ВОДА 2019'!BT8)</f>
        <v>0</v>
      </c>
      <c r="FA8" s="3107">
        <f>SUM('ПОЛНАЯ СЕБЕСТОИМОСТЬ ВОДА 2019'!BU8)</f>
        <v>0</v>
      </c>
      <c r="FB8" s="3108">
        <v>635.67899999999997</v>
      </c>
      <c r="FC8" s="3108">
        <f>SUM(FB8-FD8)</f>
        <v>635.59899999999993</v>
      </c>
      <c r="FD8" s="3108">
        <v>0.08</v>
      </c>
      <c r="FE8" s="3207">
        <f>SUM(FF8:FG8)</f>
        <v>521.26263997185549</v>
      </c>
      <c r="FF8" s="3207">
        <f>SUM(GA8/12)</f>
        <v>521.11513997185546</v>
      </c>
      <c r="FG8" s="3207">
        <f>SUM(GB8/12)</f>
        <v>0.14749999999999999</v>
      </c>
      <c r="FH8" s="3207">
        <f>SUM(FI8:FJ8)</f>
        <v>0</v>
      </c>
      <c r="FI8" s="3107">
        <f>SUM('ПОЛНАЯ СЕБЕСТОИМОСТЬ ВОДА 2019'!BW8)</f>
        <v>0</v>
      </c>
      <c r="FJ8" s="3107">
        <f>SUM('ПОЛНАЯ СЕБЕСТОИМОСТЬ ВОДА 2019'!BX8)</f>
        <v>0</v>
      </c>
      <c r="FK8" s="3108">
        <v>606.70500000000004</v>
      </c>
      <c r="FL8" s="3108">
        <f>SUM(FK8-FM8)</f>
        <v>606.70500000000004</v>
      </c>
      <c r="FM8" s="3108">
        <v>0</v>
      </c>
      <c r="FN8" s="3206">
        <f>SUM(FO8:FP8)</f>
        <v>1563.7879199155664</v>
      </c>
      <c r="FO8" s="3206">
        <f>SUM(EN8+EW8+FF8)</f>
        <v>1563.3454199155663</v>
      </c>
      <c r="FP8" s="3206">
        <f>SUM(EO8+EX8+FG8)</f>
        <v>0.4425</v>
      </c>
      <c r="FQ8" s="3206">
        <f>SUM(FR8:FS8)</f>
        <v>0</v>
      </c>
      <c r="FR8" s="3206">
        <f>SUM(EQ8+EZ8+FI8)</f>
        <v>0</v>
      </c>
      <c r="FS8" s="3206">
        <f>SUM(ER8+FA8+FJ8)</f>
        <v>0</v>
      </c>
      <c r="FT8" s="3109">
        <f t="shared" ref="FT8:FT9" si="15">SUM(ES8+FB8+FK8)</f>
        <v>1883.194</v>
      </c>
      <c r="FU8" s="3109">
        <f t="shared" ref="FU8:FU9" si="16">SUM(ET8+FC8+FL8)</f>
        <v>1883.0339999999997</v>
      </c>
      <c r="FV8" s="3109">
        <f t="shared" ref="FV8:FV9" si="17">SUM(EU8+FD8+FM8)</f>
        <v>0.16</v>
      </c>
      <c r="FW8" s="3206">
        <f>SUM(FX8:FY8)</f>
        <v>-1563.7879199155664</v>
      </c>
      <c r="FX8" s="3212">
        <f t="shared" ref="FX8:FY19" si="18">SUM(FR8-FO8)</f>
        <v>-1563.3454199155663</v>
      </c>
      <c r="FY8" s="3212">
        <f t="shared" si="18"/>
        <v>-0.4425</v>
      </c>
      <c r="FZ8" s="3218">
        <f>SUM(GA8:GB8)</f>
        <v>6255.1516796622664</v>
      </c>
      <c r="GA8" s="3218">
        <f>SUM(объемы!AX38)</f>
        <v>6253.3816796622659</v>
      </c>
      <c r="GB8" s="3218">
        <f>SUM(объемы!AY38)</f>
        <v>1.77</v>
      </c>
      <c r="GC8" s="3206">
        <f>SUM(GD8:GE8)</f>
        <v>5263.6489999999994</v>
      </c>
      <c r="GD8" s="3219">
        <f t="shared" ref="GD8:GE9" si="19">SUM(EE8+FR8)</f>
        <v>5262.82</v>
      </c>
      <c r="GE8" s="3219">
        <f t="shared" si="19"/>
        <v>0.82900000000000007</v>
      </c>
      <c r="GF8" s="3219">
        <f>SUM(EG8+FT8)</f>
        <v>7137.7139999999999</v>
      </c>
      <c r="GG8" s="3219">
        <f t="shared" ref="GG8:GH9" si="20">SUM(EH8+FU8)</f>
        <v>7136.3829999999998</v>
      </c>
      <c r="GH8" s="3219">
        <f t="shared" si="20"/>
        <v>1.331</v>
      </c>
      <c r="GI8" s="3206">
        <f>SUM(GJ8:GK8)</f>
        <v>-991.50267966226625</v>
      </c>
      <c r="GJ8" s="3220">
        <f t="shared" ref="GJ8:GK19" si="21">SUM(GD8-GA8)</f>
        <v>-990.56167966226622</v>
      </c>
      <c r="GK8" s="3220">
        <f t="shared" si="21"/>
        <v>-0.94099999999999995</v>
      </c>
      <c r="GL8" s="627"/>
    </row>
    <row r="9" spans="1:195" ht="18.75" x14ac:dyDescent="0.3">
      <c r="A9" s="3111" t="s">
        <v>20</v>
      </c>
      <c r="B9" s="3208">
        <f>SUM(C9:D9)</f>
        <v>99.524777777777771</v>
      </c>
      <c r="C9" s="3208">
        <f>SUM(GA9/12)</f>
        <v>99.524777777777771</v>
      </c>
      <c r="D9" s="3208">
        <f>SUM(GB9/12)</f>
        <v>0</v>
      </c>
      <c r="E9" s="3208">
        <f>SUM(F9:G9)</f>
        <v>40.869999999999997</v>
      </c>
      <c r="F9" s="3112">
        <f>SUM('ПОЛНАЯ СЕБЕСТОИМОСТЬ ВОДА 2019'!F9)</f>
        <v>40.869999999999997</v>
      </c>
      <c r="G9" s="3112">
        <f>SUM('ПОЛНАЯ СЕБЕСТОИМОСТЬ ВОДА 2019'!G9)</f>
        <v>0</v>
      </c>
      <c r="H9" s="3113">
        <v>153.15100000000001</v>
      </c>
      <c r="I9" s="3113">
        <f>SUM(H9)</f>
        <v>153.15100000000001</v>
      </c>
      <c r="J9" s="3113">
        <v>0</v>
      </c>
      <c r="K9" s="3208">
        <f>SUM(L9:M9)</f>
        <v>99.524777777777771</v>
      </c>
      <c r="L9" s="3208">
        <f>SUM(GA9/12)</f>
        <v>99.524777777777771</v>
      </c>
      <c r="M9" s="3208">
        <f>SUM(GB9/12)</f>
        <v>0</v>
      </c>
      <c r="N9" s="3208">
        <f>SUM(O9:P9)</f>
        <v>34.53</v>
      </c>
      <c r="O9" s="3112">
        <f>SUM('ПОЛНАЯ СЕБЕСТОИМОСТЬ ВОДА 2019'!I9)</f>
        <v>34.53</v>
      </c>
      <c r="P9" s="3112">
        <f>SUM('ПОЛНАЯ СЕБЕСТОИМОСТЬ ВОДА 2019'!J9)</f>
        <v>0</v>
      </c>
      <c r="Q9" s="3113">
        <v>75.460999999999999</v>
      </c>
      <c r="R9" s="3113">
        <f>SUM(Q9)</f>
        <v>75.460999999999999</v>
      </c>
      <c r="S9" s="3113">
        <v>0</v>
      </c>
      <c r="T9" s="3208">
        <f>SUM(U9:V9)</f>
        <v>99.524777777777771</v>
      </c>
      <c r="U9" s="3208">
        <f>SUM(GA9/12)</f>
        <v>99.524777777777771</v>
      </c>
      <c r="V9" s="3208">
        <f>SUM(GB9/12)</f>
        <v>0</v>
      </c>
      <c r="W9" s="3208">
        <f>SUM(X9:Y9)</f>
        <v>33.301000000000002</v>
      </c>
      <c r="X9" s="3112">
        <f>SUM('ПОЛНАЯ СЕБЕСТОИМОСТЬ ВОДА 2019'!L9)</f>
        <v>33.301000000000002</v>
      </c>
      <c r="Y9" s="3112">
        <f>SUM('ПОЛНАЯ СЕБЕСТОИМОСТЬ ВОДА 2019'!M9)</f>
        <v>0</v>
      </c>
      <c r="Z9" s="3113">
        <v>37.656999999999996</v>
      </c>
      <c r="AA9" s="3113">
        <f>SUM(Z9)</f>
        <v>37.656999999999996</v>
      </c>
      <c r="AB9" s="3113">
        <v>0</v>
      </c>
      <c r="AC9" s="3209">
        <f>SUM(AD9:AE9)</f>
        <v>298.5743333333333</v>
      </c>
      <c r="AD9" s="3209">
        <f>SUM(C9+L9+U9)</f>
        <v>298.5743333333333</v>
      </c>
      <c r="AE9" s="3209">
        <f>SUM(D9+M9+V9)</f>
        <v>0</v>
      </c>
      <c r="AF9" s="3209">
        <f>SUM(AG9:AH9)</f>
        <v>108.70100000000001</v>
      </c>
      <c r="AG9" s="3209">
        <f>SUM(F9+O9+X9)</f>
        <v>108.70100000000001</v>
      </c>
      <c r="AH9" s="3209">
        <f>SUM(G9+P9+Y9)</f>
        <v>0</v>
      </c>
      <c r="AI9" s="3114">
        <f t="shared" si="0"/>
        <v>266.26900000000001</v>
      </c>
      <c r="AJ9" s="3114">
        <f t="shared" si="1"/>
        <v>266.26900000000001</v>
      </c>
      <c r="AK9" s="3114">
        <f t="shared" si="2"/>
        <v>0</v>
      </c>
      <c r="AL9" s="3209">
        <f>SUM(AM9:AN9)</f>
        <v>-189.87333333333328</v>
      </c>
      <c r="AM9" s="3209">
        <f>SUM(AG9-AD9)</f>
        <v>-189.87333333333328</v>
      </c>
      <c r="AN9" s="3209">
        <f>SUM(AH9-AE9)</f>
        <v>0</v>
      </c>
      <c r="AO9" s="3208">
        <f>SUM(AP9:AQ9)</f>
        <v>99.524777777777771</v>
      </c>
      <c r="AP9" s="3208">
        <f>SUM(GA9/12)</f>
        <v>99.524777777777771</v>
      </c>
      <c r="AQ9" s="3208">
        <f>SUM(GB9/12)</f>
        <v>0</v>
      </c>
      <c r="AR9" s="3208">
        <f>SUM(AS9:AT9)</f>
        <v>113.371</v>
      </c>
      <c r="AS9" s="3112">
        <f>SUM('ПОЛНАЯ СЕБЕСТОИМОСТЬ ВОДА 2019'!U9)</f>
        <v>113.371</v>
      </c>
      <c r="AT9" s="3112">
        <f>SUM('ПОЛНАЯ СЕБЕСТОИМОСТЬ ВОДА 2019'!V9)</f>
        <v>0</v>
      </c>
      <c r="AU9" s="3113">
        <v>91.515000000000001</v>
      </c>
      <c r="AV9" s="3113">
        <f>SUM(AU9)</f>
        <v>91.515000000000001</v>
      </c>
      <c r="AW9" s="3113">
        <v>0</v>
      </c>
      <c r="AX9" s="3208">
        <f>SUM(AY9:AZ9)</f>
        <v>99.524777777777771</v>
      </c>
      <c r="AY9" s="3208">
        <f>SUM(GA9/12)</f>
        <v>99.524777777777771</v>
      </c>
      <c r="AZ9" s="3208">
        <f>SUM(GB9/12)</f>
        <v>0</v>
      </c>
      <c r="BA9" s="3208">
        <f>SUM(BB9:BC9)</f>
        <v>150.89699999999999</v>
      </c>
      <c r="BB9" s="3112">
        <f>SUM('ПОЛНАЯ СЕБЕСТОИМОСТЬ ВОДА 2019'!X9)</f>
        <v>150.89699999999999</v>
      </c>
      <c r="BC9" s="3112">
        <f>SUM('ПОЛНАЯ СЕБЕСТОИМОСТЬ ВОДА 2019'!Y9)</f>
        <v>0</v>
      </c>
      <c r="BD9" s="3113">
        <v>162.489</v>
      </c>
      <c r="BE9" s="3113">
        <f>SUM(BD9)</f>
        <v>162.489</v>
      </c>
      <c r="BF9" s="3113">
        <v>0</v>
      </c>
      <c r="BG9" s="3208">
        <f>SUM(BH9:BI9)</f>
        <v>99.524777777777771</v>
      </c>
      <c r="BH9" s="3208">
        <f>SUM(GA9/12)</f>
        <v>99.524777777777771</v>
      </c>
      <c r="BI9" s="3208">
        <f>SUM(GB9/12)</f>
        <v>0</v>
      </c>
      <c r="BJ9" s="3208">
        <f>SUM(BK9:BL9)</f>
        <v>121.114</v>
      </c>
      <c r="BK9" s="3112">
        <f>SUM('ПОЛНАЯ СЕБЕСТОИМОСТЬ ВОДА 2019'!AA9)</f>
        <v>121.114</v>
      </c>
      <c r="BL9" s="3112">
        <f>SUM('ПОЛНАЯ СЕБЕСТОИМОСТЬ ВОДА 2019'!AB9)</f>
        <v>0</v>
      </c>
      <c r="BM9" s="3113">
        <v>152.56200000000001</v>
      </c>
      <c r="BN9" s="3113">
        <f>SUM(BM9)</f>
        <v>152.56200000000001</v>
      </c>
      <c r="BO9" s="3113">
        <v>0</v>
      </c>
      <c r="BP9" s="3209">
        <f>SUM(BQ9:BR9)</f>
        <v>298.5743333333333</v>
      </c>
      <c r="BQ9" s="3209">
        <f>SUM(AP9+AY9+BH9)</f>
        <v>298.5743333333333</v>
      </c>
      <c r="BR9" s="3209">
        <f>SUM(AQ9+AZ9+BI9)</f>
        <v>0</v>
      </c>
      <c r="BS9" s="3209">
        <f>SUM(BT9:BU9)</f>
        <v>385.38199999999995</v>
      </c>
      <c r="BT9" s="3209">
        <f>SUM(AS9+BB9+BK9)</f>
        <v>385.38199999999995</v>
      </c>
      <c r="BU9" s="3209">
        <f>SUM(AT9+BC9+BL9)</f>
        <v>0</v>
      </c>
      <c r="BV9" s="3114">
        <f t="shared" si="3"/>
        <v>406.56600000000003</v>
      </c>
      <c r="BW9" s="3209">
        <f t="shared" si="4"/>
        <v>406.56600000000003</v>
      </c>
      <c r="BX9" s="3209">
        <f t="shared" si="4"/>
        <v>0</v>
      </c>
      <c r="BY9" s="3209">
        <f>SUM(BZ9:CA9)</f>
        <v>86.807666666666648</v>
      </c>
      <c r="BZ9" s="3209">
        <f>SUM(BT9-BQ9)</f>
        <v>86.807666666666648</v>
      </c>
      <c r="CA9" s="3209">
        <f>SUM(BU9-BR9)</f>
        <v>0</v>
      </c>
      <c r="CB9" s="3209">
        <f>SUM(CC9:CD9)</f>
        <v>597.1486666666666</v>
      </c>
      <c r="CC9" s="3209">
        <f>SUM(AD9+BQ9)</f>
        <v>597.1486666666666</v>
      </c>
      <c r="CD9" s="3209">
        <f>SUM(AE9+BR9)</f>
        <v>0</v>
      </c>
      <c r="CE9" s="3209">
        <f>SUM(CF9:CG9)</f>
        <v>494.08299999999997</v>
      </c>
      <c r="CF9" s="3209">
        <f t="shared" si="5"/>
        <v>494.08299999999997</v>
      </c>
      <c r="CG9" s="3209">
        <f t="shared" si="5"/>
        <v>0</v>
      </c>
      <c r="CH9" s="3114">
        <f t="shared" si="5"/>
        <v>672.83500000000004</v>
      </c>
      <c r="CI9" s="3114">
        <f t="shared" si="6"/>
        <v>672.83500000000004</v>
      </c>
      <c r="CJ9" s="3114">
        <f t="shared" si="6"/>
        <v>0</v>
      </c>
      <c r="CK9" s="3209">
        <f>SUM(CL9:CM9)</f>
        <v>-103.06566666666663</v>
      </c>
      <c r="CL9" s="3213">
        <f t="shared" si="7"/>
        <v>-103.06566666666663</v>
      </c>
      <c r="CM9" s="3213">
        <f t="shared" si="7"/>
        <v>0</v>
      </c>
      <c r="CN9" s="3208">
        <f>SUM(CO9:CP9)</f>
        <v>99.524777777777771</v>
      </c>
      <c r="CO9" s="3208">
        <f>SUM(GA9/12)</f>
        <v>99.524777777777771</v>
      </c>
      <c r="CP9" s="3208">
        <f>SUM(GB9/12)</f>
        <v>0</v>
      </c>
      <c r="CQ9" s="3208">
        <f>SUM(CR9:CS9)</f>
        <v>130.33199999999999</v>
      </c>
      <c r="CR9" s="3112">
        <f>SUM('ПОЛНАЯ СЕБЕСТОИМОСТЬ ВОДА 2019'!AS9)</f>
        <v>130.33199999999999</v>
      </c>
      <c r="CS9" s="3112">
        <f>SUM('ПОЛНАЯ СЕБЕСТОИМОСТЬ ВОДА 2019'!AT9)</f>
        <v>0</v>
      </c>
      <c r="CT9" s="3113">
        <v>126.378</v>
      </c>
      <c r="CU9" s="3113">
        <f>SUM(CT9)</f>
        <v>126.378</v>
      </c>
      <c r="CV9" s="3113">
        <v>0</v>
      </c>
      <c r="CW9" s="3208">
        <f>SUM(CX9:CY9)</f>
        <v>99.524777777777771</v>
      </c>
      <c r="CX9" s="3208">
        <f>SUM(GA9/12)</f>
        <v>99.524777777777771</v>
      </c>
      <c r="CY9" s="3208">
        <f>SUM(GB9/12)</f>
        <v>0</v>
      </c>
      <c r="CZ9" s="3208">
        <f>SUM(DA9:DB9)</f>
        <v>168.31800000000001</v>
      </c>
      <c r="DA9" s="3112">
        <f>SUM('ПОЛНАЯ СЕБЕСТОИМОСТЬ ВОДА 2019'!AV9)</f>
        <v>168.31800000000001</v>
      </c>
      <c r="DB9" s="3112">
        <f>SUM('ПОЛНАЯ СЕБЕСТОИМОСТЬ ВОДА 2019'!AW9)</f>
        <v>0</v>
      </c>
      <c r="DC9" s="3113">
        <v>48.91</v>
      </c>
      <c r="DD9" s="3113">
        <f>SUM(DC9)</f>
        <v>48.91</v>
      </c>
      <c r="DE9" s="3113">
        <v>0</v>
      </c>
      <c r="DF9" s="3208">
        <f>SUM(DG9:DH9)</f>
        <v>99.524777777777771</v>
      </c>
      <c r="DG9" s="3208">
        <f>SUM(GA9/12)</f>
        <v>99.524777777777771</v>
      </c>
      <c r="DH9" s="3208">
        <f>SUM(GB9/12)</f>
        <v>0</v>
      </c>
      <c r="DI9" s="3208">
        <f>SUM(DJ9:DK9)</f>
        <v>196.87</v>
      </c>
      <c r="DJ9" s="3112">
        <f>SUM('ПОЛНАЯ СЕБЕСТОИМОСТЬ ВОДА 2019'!AY9)</f>
        <v>196.87</v>
      </c>
      <c r="DK9" s="3112">
        <f>SUM('ПОЛНАЯ СЕБЕСТОИМОСТЬ ВОДА 2019'!AZ9)</f>
        <v>0</v>
      </c>
      <c r="DL9" s="3113">
        <v>47.6</v>
      </c>
      <c r="DM9" s="3113">
        <f>SUM(DL9)</f>
        <v>47.6</v>
      </c>
      <c r="DN9" s="3113">
        <v>0</v>
      </c>
      <c r="DO9" s="3209">
        <f>SUM(DP9:DQ9)</f>
        <v>298.5743333333333</v>
      </c>
      <c r="DP9" s="3209">
        <f>SUM(CO9+CX9+DG9)</f>
        <v>298.5743333333333</v>
      </c>
      <c r="DQ9" s="3209">
        <f>SUM(CP9+CY9+DH9)</f>
        <v>0</v>
      </c>
      <c r="DR9" s="3209">
        <f>SUM(DS9:DT9)</f>
        <v>495.52</v>
      </c>
      <c r="DS9" s="3209">
        <f>SUM(CR9+DA9+DJ9)</f>
        <v>495.52</v>
      </c>
      <c r="DT9" s="3209">
        <f>SUM(CS9+DB9+DK9)</f>
        <v>0</v>
      </c>
      <c r="DU9" s="3114">
        <f t="shared" si="8"/>
        <v>222.88800000000001</v>
      </c>
      <c r="DV9" s="3209">
        <f t="shared" si="9"/>
        <v>222.88800000000001</v>
      </c>
      <c r="DW9" s="3209">
        <f t="shared" si="10"/>
        <v>0</v>
      </c>
      <c r="DX9" s="3209">
        <f>SUM(DY9:DZ9)</f>
        <v>196.94566666666668</v>
      </c>
      <c r="DY9" s="3213">
        <f t="shared" si="11"/>
        <v>196.94566666666668</v>
      </c>
      <c r="DZ9" s="3213">
        <f t="shared" si="11"/>
        <v>0</v>
      </c>
      <c r="EA9" s="3209">
        <f>SUM(EB9:EC9)</f>
        <v>895.72299999999996</v>
      </c>
      <c r="EB9" s="3209">
        <f>SUM(CC9+DP9)</f>
        <v>895.72299999999996</v>
      </c>
      <c r="EC9" s="3209">
        <f>SUM(CD9+DQ9)</f>
        <v>0</v>
      </c>
      <c r="ED9" s="3209">
        <f>SUM(EE9:EF9)</f>
        <v>989.60299999999995</v>
      </c>
      <c r="EE9" s="3209">
        <f t="shared" si="12"/>
        <v>989.60299999999995</v>
      </c>
      <c r="EF9" s="3209">
        <f t="shared" si="12"/>
        <v>0</v>
      </c>
      <c r="EG9" s="3209">
        <f t="shared" si="12"/>
        <v>895.72300000000007</v>
      </c>
      <c r="EH9" s="3209">
        <f t="shared" si="13"/>
        <v>895.72300000000007</v>
      </c>
      <c r="EI9" s="3209">
        <f t="shared" si="13"/>
        <v>0</v>
      </c>
      <c r="EJ9" s="3209">
        <f>SUM(EK9:EL9)</f>
        <v>93.88</v>
      </c>
      <c r="EK9" s="3213">
        <f t="shared" si="14"/>
        <v>93.88</v>
      </c>
      <c r="EL9" s="3213">
        <f t="shared" si="14"/>
        <v>0</v>
      </c>
      <c r="EM9" s="3208">
        <f>SUM(EN9:EO9)</f>
        <v>99.524777777777771</v>
      </c>
      <c r="EN9" s="3208">
        <f>SUM(GA9/12)</f>
        <v>99.524777777777771</v>
      </c>
      <c r="EO9" s="3208">
        <f>SUM(GB9/12)</f>
        <v>0</v>
      </c>
      <c r="EP9" s="3208">
        <f>SUM(EQ9:ER9)</f>
        <v>0</v>
      </c>
      <c r="EQ9" s="3112">
        <f>SUM('ПОЛНАЯ СЕБЕСТОИМОСТЬ ВОДА 2019'!BQ9)</f>
        <v>0</v>
      </c>
      <c r="ER9" s="3112">
        <f>SUM('ПОЛНАЯ СЕБЕСТОИМОСТЬ ВОДА 2019'!BR9)</f>
        <v>0</v>
      </c>
      <c r="ES9" s="3113">
        <v>143.464</v>
      </c>
      <c r="ET9" s="3113">
        <f>SUM(ES9)</f>
        <v>143.464</v>
      </c>
      <c r="EU9" s="3113">
        <v>0</v>
      </c>
      <c r="EV9" s="3208">
        <f>SUM(EW9:EX9)</f>
        <v>99.524777777777771</v>
      </c>
      <c r="EW9" s="3208">
        <f>SUM(GA9/12)</f>
        <v>99.524777777777771</v>
      </c>
      <c r="EX9" s="3208">
        <f>SUM(GB9/12)</f>
        <v>0</v>
      </c>
      <c r="EY9" s="3208">
        <f>SUM(EZ9:FA9)</f>
        <v>0</v>
      </c>
      <c r="EZ9" s="3112">
        <f>SUM('ПОЛНАЯ СЕБЕСТОИМОСТЬ ВОДА 2019'!BT9)</f>
        <v>0</v>
      </c>
      <c r="FA9" s="3112">
        <f>SUM('ПОЛНАЯ СЕБЕСТОИМОСТЬ ВОДА 2019'!BU9)</f>
        <v>0</v>
      </c>
      <c r="FB9" s="3113">
        <v>135.22900000000001</v>
      </c>
      <c r="FC9" s="3113">
        <f>SUM(FB9)</f>
        <v>135.22900000000001</v>
      </c>
      <c r="FD9" s="3113">
        <v>0</v>
      </c>
      <c r="FE9" s="3208">
        <f>SUM(FF9:FG9)</f>
        <v>99.524777777777771</v>
      </c>
      <c r="FF9" s="3208">
        <f>SUM(GA9/12)</f>
        <v>99.524777777777771</v>
      </c>
      <c r="FG9" s="3208">
        <f>SUM(GB9/12)</f>
        <v>0</v>
      </c>
      <c r="FH9" s="3208">
        <f>SUM(FI9:FJ9)</f>
        <v>0</v>
      </c>
      <c r="FI9" s="3112">
        <f>SUM('ПОЛНАЯ СЕБЕСТОИМОСТЬ ВОДА 2019'!BW9)</f>
        <v>0</v>
      </c>
      <c r="FJ9" s="3112">
        <f>SUM('ПОЛНАЯ СЕБЕСТОИМОСТЬ ВОДА 2019'!BX9)</f>
        <v>0</v>
      </c>
      <c r="FK9" s="3113">
        <v>139.858</v>
      </c>
      <c r="FL9" s="3113">
        <f>SUM(FK9)</f>
        <v>139.858</v>
      </c>
      <c r="FM9" s="3113">
        <v>0</v>
      </c>
      <c r="FN9" s="3209">
        <f>SUM(FO9:FP9)</f>
        <v>298.5743333333333</v>
      </c>
      <c r="FO9" s="3209">
        <f>SUM(EN9+EW9+FF9)</f>
        <v>298.5743333333333</v>
      </c>
      <c r="FP9" s="3209">
        <f>SUM(EO9+EX9+FG9)</f>
        <v>0</v>
      </c>
      <c r="FQ9" s="3209">
        <f>SUM(FR9:FS9)</f>
        <v>0</v>
      </c>
      <c r="FR9" s="3209">
        <f>SUM(EQ9+EZ9+FI9)</f>
        <v>0</v>
      </c>
      <c r="FS9" s="3209">
        <f>SUM(ER9+FA9+FJ9)</f>
        <v>0</v>
      </c>
      <c r="FT9" s="3114">
        <f t="shared" si="15"/>
        <v>418.55099999999999</v>
      </c>
      <c r="FU9" s="3114">
        <f t="shared" si="16"/>
        <v>418.55099999999999</v>
      </c>
      <c r="FV9" s="3114">
        <f t="shared" si="17"/>
        <v>0</v>
      </c>
      <c r="FW9" s="3209">
        <f>SUM(FX9:FY9)</f>
        <v>-298.5743333333333</v>
      </c>
      <c r="FX9" s="3213">
        <f t="shared" si="18"/>
        <v>-298.5743333333333</v>
      </c>
      <c r="FY9" s="3213">
        <f t="shared" si="18"/>
        <v>0</v>
      </c>
      <c r="FZ9" s="3221">
        <f>SUM(GA9:GB9)</f>
        <v>1194.2973333333332</v>
      </c>
      <c r="GA9" s="3221">
        <f>SUM(объемы!AX41)</f>
        <v>1194.2973333333332</v>
      </c>
      <c r="GB9" s="3221">
        <f>SUM(объемы!AY41)</f>
        <v>0</v>
      </c>
      <c r="GC9" s="3209">
        <f>SUM(GD9:GE9)</f>
        <v>989.60299999999995</v>
      </c>
      <c r="GD9" s="3222">
        <f t="shared" si="19"/>
        <v>989.60299999999995</v>
      </c>
      <c r="GE9" s="3222">
        <f t="shared" si="19"/>
        <v>0</v>
      </c>
      <c r="GF9" s="3222">
        <f>SUM(EG9+FT9)</f>
        <v>1314.2740000000001</v>
      </c>
      <c r="GG9" s="3222">
        <f t="shared" si="20"/>
        <v>1314.2740000000001</v>
      </c>
      <c r="GH9" s="3222">
        <f t="shared" si="20"/>
        <v>0</v>
      </c>
      <c r="GI9" s="3209">
        <f>SUM(GJ9:GK9)</f>
        <v>-204.69433333333325</v>
      </c>
      <c r="GJ9" s="3223">
        <f t="shared" si="21"/>
        <v>-204.69433333333325</v>
      </c>
      <c r="GK9" s="3223">
        <f t="shared" si="21"/>
        <v>0</v>
      </c>
      <c r="GL9" s="627"/>
    </row>
    <row r="10" spans="1:195" ht="18.75" x14ac:dyDescent="0.3">
      <c r="A10" s="3081" t="s">
        <v>382</v>
      </c>
      <c r="B10" s="3064">
        <f t="shared" ref="B10:C10" si="22">SUM(B9/B8)</f>
        <v>0.19093019554048879</v>
      </c>
      <c r="C10" s="3064">
        <f t="shared" si="22"/>
        <v>0.19098423773132545</v>
      </c>
      <c r="D10" s="3064">
        <f t="shared" ref="D10:AB10" si="23">SUM(D9/D8)</f>
        <v>0</v>
      </c>
      <c r="E10" s="3064">
        <f t="shared" si="23"/>
        <v>7.191244523428289E-2</v>
      </c>
      <c r="F10" s="3064">
        <f t="shared" si="23"/>
        <v>7.1927632389433477E-2</v>
      </c>
      <c r="G10" s="3064">
        <f t="shared" si="23"/>
        <v>0</v>
      </c>
      <c r="H10" s="3064">
        <f t="shared" si="23"/>
        <v>0.23450393134124961</v>
      </c>
      <c r="I10" s="3064">
        <f t="shared" si="23"/>
        <v>0.23455421206992932</v>
      </c>
      <c r="J10" s="3064">
        <f t="shared" si="23"/>
        <v>0</v>
      </c>
      <c r="K10" s="3064">
        <f t="shared" si="23"/>
        <v>0.19093019554048879</v>
      </c>
      <c r="L10" s="3064">
        <f t="shared" si="23"/>
        <v>0.19098423773132545</v>
      </c>
      <c r="M10" s="3064">
        <f t="shared" si="23"/>
        <v>0</v>
      </c>
      <c r="N10" s="3064">
        <f t="shared" ref="N10:S10" si="24">SUM(N9/N8)</f>
        <v>7.0006487713891827E-2</v>
      </c>
      <c r="O10" s="3064">
        <f t="shared" si="24"/>
        <v>7.0019263915644336E-2</v>
      </c>
      <c r="P10" s="3064">
        <f t="shared" si="24"/>
        <v>0</v>
      </c>
      <c r="Q10" s="3064">
        <f t="shared" si="24"/>
        <v>0.15175299942485049</v>
      </c>
      <c r="R10" s="3064">
        <f t="shared" si="24"/>
        <v>0.15180795120322199</v>
      </c>
      <c r="S10" s="3064">
        <f t="shared" si="24"/>
        <v>0</v>
      </c>
      <c r="T10" s="3064">
        <f t="shared" si="23"/>
        <v>0.19093019554048879</v>
      </c>
      <c r="U10" s="3064">
        <f t="shared" si="23"/>
        <v>0.19098423773132545</v>
      </c>
      <c r="V10" s="3064">
        <f t="shared" si="23"/>
        <v>0</v>
      </c>
      <c r="W10" s="3064">
        <f t="shared" si="23"/>
        <v>6.2249630345503112E-2</v>
      </c>
      <c r="X10" s="3064">
        <f t="shared" si="23"/>
        <v>6.2258358821725833E-2</v>
      </c>
      <c r="Y10" s="3064">
        <f t="shared" si="23"/>
        <v>0</v>
      </c>
      <c r="Z10" s="3064">
        <f t="shared" si="23"/>
        <v>7.3147516846053584E-2</v>
      </c>
      <c r="AA10" s="3064">
        <f t="shared" si="23"/>
        <v>7.3164571226507658E-2</v>
      </c>
      <c r="AB10" s="3064">
        <f t="shared" si="23"/>
        <v>0</v>
      </c>
      <c r="AC10" s="3065">
        <f t="shared" ref="AC10:AE10" si="25">SUM(AC9/AC8)</f>
        <v>0.19093019554048879</v>
      </c>
      <c r="AD10" s="3065">
        <f t="shared" si="25"/>
        <v>0.19098423773132545</v>
      </c>
      <c r="AE10" s="3065">
        <f t="shared" si="25"/>
        <v>0</v>
      </c>
      <c r="AF10" s="3065">
        <f t="shared" ref="AF10:AH10" si="26">SUM(AF9/AF8)</f>
        <v>6.8085828694624401E-2</v>
      </c>
      <c r="AG10" s="3065">
        <f t="shared" si="26"/>
        <v>6.8097985019834065E-2</v>
      </c>
      <c r="AH10" s="3065">
        <f t="shared" si="26"/>
        <v>0</v>
      </c>
      <c r="AI10" s="3116">
        <f t="shared" ref="AI10:AK10" si="27">SUM(AI9/AI8)</f>
        <v>0.15990633910576546</v>
      </c>
      <c r="AJ10" s="3116">
        <f t="shared" si="27"/>
        <v>0.15994860384594131</v>
      </c>
      <c r="AK10" s="3116">
        <f t="shared" si="27"/>
        <v>0</v>
      </c>
      <c r="AL10" s="3148">
        <f t="shared" ref="AL10" si="28">SUM(AF10-AC10)</f>
        <v>-0.12284436684586439</v>
      </c>
      <c r="AM10" s="3148">
        <f t="shared" ref="AM10" si="29">SUM(AG10-AD10)</f>
        <v>-0.12288625271149138</v>
      </c>
      <c r="AN10" s="3148">
        <f t="shared" ref="AN10" si="30">SUM(AH10-AE10)</f>
        <v>0</v>
      </c>
      <c r="AO10" s="3064">
        <f t="shared" ref="AO10:AP10" si="31">SUM(AO9/AO8)</f>
        <v>0.19093019554048879</v>
      </c>
      <c r="AP10" s="3064">
        <f t="shared" si="31"/>
        <v>0.19098423773132545</v>
      </c>
      <c r="AQ10" s="3064">
        <f t="shared" ref="AQ10" si="32">SUM(AQ9/AQ8)</f>
        <v>0</v>
      </c>
      <c r="AR10" s="3064">
        <f t="shared" ref="AR10:BO10" si="33">SUM(AR9/AR8)</f>
        <v>0.17981582403359955</v>
      </c>
      <c r="AS10" s="3064">
        <f t="shared" si="33"/>
        <v>0.17984292238601879</v>
      </c>
      <c r="AT10" s="3064">
        <f t="shared" si="33"/>
        <v>0</v>
      </c>
      <c r="AU10" s="3064">
        <f t="shared" si="33"/>
        <v>0.15328657881909957</v>
      </c>
      <c r="AV10" s="3064">
        <f t="shared" si="33"/>
        <v>0.15336878392623418</v>
      </c>
      <c r="AW10" s="3064">
        <f t="shared" si="33"/>
        <v>0</v>
      </c>
      <c r="AX10" s="3064">
        <f t="shared" si="33"/>
        <v>0.19093019554048879</v>
      </c>
      <c r="AY10" s="3064">
        <f t="shared" si="33"/>
        <v>0.19098423773132545</v>
      </c>
      <c r="AZ10" s="3064">
        <f t="shared" si="33"/>
        <v>0</v>
      </c>
      <c r="BA10" s="3064">
        <f t="shared" si="33"/>
        <v>0.23557889708166738</v>
      </c>
      <c r="BB10" s="3064">
        <f t="shared" si="33"/>
        <v>0.23561457747798384</v>
      </c>
      <c r="BC10" s="3064">
        <f t="shared" si="33"/>
        <v>0</v>
      </c>
      <c r="BD10" s="3064">
        <f t="shared" ref="BD10:BF10" si="34">SUM(BD9/BD8)</f>
        <v>0.24691712596361182</v>
      </c>
      <c r="BE10" s="3064">
        <f t="shared" si="34"/>
        <v>0.24695465301662231</v>
      </c>
      <c r="BF10" s="3064">
        <f t="shared" si="34"/>
        <v>0</v>
      </c>
      <c r="BG10" s="3064">
        <f t="shared" si="33"/>
        <v>0.19093019554048879</v>
      </c>
      <c r="BH10" s="3064">
        <f t="shared" si="33"/>
        <v>0.19098423773132545</v>
      </c>
      <c r="BI10" s="3064">
        <f t="shared" si="33"/>
        <v>0</v>
      </c>
      <c r="BJ10" s="3064">
        <f t="shared" si="33"/>
        <v>0.19744862608922473</v>
      </c>
      <c r="BK10" s="3064">
        <f t="shared" si="33"/>
        <v>0.19747470300694264</v>
      </c>
      <c r="BL10" s="3064">
        <f t="shared" si="33"/>
        <v>0</v>
      </c>
      <c r="BM10" s="3064">
        <f t="shared" si="33"/>
        <v>0.23733200999967333</v>
      </c>
      <c r="BN10" s="3064">
        <f t="shared" si="33"/>
        <v>0.23736524300212689</v>
      </c>
      <c r="BO10" s="3064">
        <f t="shared" si="33"/>
        <v>0</v>
      </c>
      <c r="BP10" s="3065">
        <f t="shared" ref="BP10:BV10" si="35">SUM(BP9/BP8)</f>
        <v>0.19093019554048879</v>
      </c>
      <c r="BQ10" s="3065">
        <f t="shared" si="35"/>
        <v>0.19098423773132545</v>
      </c>
      <c r="BR10" s="3065">
        <f t="shared" si="35"/>
        <v>0</v>
      </c>
      <c r="BS10" s="3065">
        <f t="shared" si="35"/>
        <v>0.20451004449123758</v>
      </c>
      <c r="BT10" s="3065">
        <f t="shared" si="35"/>
        <v>0.20453967665936182</v>
      </c>
      <c r="BU10" s="3065">
        <f t="shared" si="35"/>
        <v>0</v>
      </c>
      <c r="BV10" s="3116">
        <f t="shared" si="35"/>
        <v>0.21421763191213919</v>
      </c>
      <c r="BW10" s="3065">
        <f t="shared" ref="BW10:BX10" si="36">SUM(BW9/BW8)</f>
        <v>0.21427521119678972</v>
      </c>
      <c r="BX10" s="3065">
        <f t="shared" si="36"/>
        <v>0</v>
      </c>
      <c r="BY10" s="3148">
        <f t="shared" ref="BY10" si="37">SUM(BS10-BP10)</f>
        <v>1.3579848950748791E-2</v>
      </c>
      <c r="BZ10" s="3148">
        <f t="shared" ref="BZ10" si="38">SUM(BT10-BQ10)</f>
        <v>1.3555438928036373E-2</v>
      </c>
      <c r="CA10" s="3148">
        <f t="shared" ref="CA10" si="39">SUM(BU10-BR10)</f>
        <v>0</v>
      </c>
      <c r="CB10" s="3065">
        <f t="shared" ref="CB10:CD10" si="40">SUM(CB9/CB8)</f>
        <v>0.19093019554048879</v>
      </c>
      <c r="CC10" s="3065">
        <f t="shared" si="40"/>
        <v>0.19098423773132545</v>
      </c>
      <c r="CD10" s="3065">
        <f t="shared" si="40"/>
        <v>0</v>
      </c>
      <c r="CE10" s="3065">
        <f t="shared" ref="CE10:CG10" si="41">SUM(CE9/CE8)</f>
        <v>0.14193932969351711</v>
      </c>
      <c r="CF10" s="3065">
        <f t="shared" si="41"/>
        <v>0.14196208640016181</v>
      </c>
      <c r="CG10" s="3065">
        <f t="shared" si="41"/>
        <v>0</v>
      </c>
      <c r="CH10" s="3116">
        <f t="shared" ref="CH10:CJ10" si="42">SUM(CH9/CH8)</f>
        <v>0.18883591018636472</v>
      </c>
      <c r="CI10" s="3116">
        <f t="shared" si="42"/>
        <v>0.18888627184340098</v>
      </c>
      <c r="CJ10" s="3116">
        <f t="shared" si="42"/>
        <v>0</v>
      </c>
      <c r="CK10" s="3148">
        <f t="shared" ref="CK10" si="43">SUM(CE10-CB10)</f>
        <v>-4.8990865846971682E-2</v>
      </c>
      <c r="CL10" s="3148">
        <f t="shared" si="7"/>
        <v>-4.9022151331163638E-2</v>
      </c>
      <c r="CM10" s="3148">
        <f t="shared" si="7"/>
        <v>0</v>
      </c>
      <c r="CN10" s="3064">
        <f t="shared" ref="CN10:DN10" si="44">SUM(CN9/CN8)</f>
        <v>0.19093019554048879</v>
      </c>
      <c r="CO10" s="3064">
        <f t="shared" si="44"/>
        <v>0.19098423773132545</v>
      </c>
      <c r="CP10" s="3064">
        <f t="shared" si="44"/>
        <v>0</v>
      </c>
      <c r="CQ10" s="3064">
        <f t="shared" si="44"/>
        <v>0.20377046976088253</v>
      </c>
      <c r="CR10" s="3064">
        <f t="shared" si="44"/>
        <v>0.20379946552913086</v>
      </c>
      <c r="CS10" s="3064">
        <f t="shared" si="44"/>
        <v>0</v>
      </c>
      <c r="CT10" s="3064">
        <f t="shared" si="44"/>
        <v>0.19105108482693561</v>
      </c>
      <c r="CU10" s="3064">
        <f t="shared" si="44"/>
        <v>0.19107130437937886</v>
      </c>
      <c r="CV10" s="3064">
        <f t="shared" si="44"/>
        <v>0</v>
      </c>
      <c r="CW10" s="3064">
        <f t="shared" si="44"/>
        <v>0.19093019554048879</v>
      </c>
      <c r="CX10" s="3064">
        <f t="shared" si="44"/>
        <v>0.19098423773132545</v>
      </c>
      <c r="CY10" s="3064">
        <f t="shared" si="44"/>
        <v>0</v>
      </c>
      <c r="CZ10" s="3064">
        <f t="shared" si="44"/>
        <v>0.30374250875670172</v>
      </c>
      <c r="DA10" s="3064">
        <f t="shared" si="44"/>
        <v>0.30379184813114896</v>
      </c>
      <c r="DB10" s="3064">
        <f t="shared" si="44"/>
        <v>0</v>
      </c>
      <c r="DC10" s="3064">
        <f t="shared" ref="DC10:DE10" si="45">SUM(DC9/DC8)</f>
        <v>9.5653262302327666E-2</v>
      </c>
      <c r="DD10" s="3064">
        <f t="shared" si="45"/>
        <v>9.5666358927816969E-2</v>
      </c>
      <c r="DE10" s="3064">
        <f t="shared" si="45"/>
        <v>0</v>
      </c>
      <c r="DF10" s="3064">
        <f t="shared" si="44"/>
        <v>0.19093019554048879</v>
      </c>
      <c r="DG10" s="3064">
        <f t="shared" si="44"/>
        <v>0.19098423773132545</v>
      </c>
      <c r="DH10" s="3064">
        <f t="shared" si="44"/>
        <v>0</v>
      </c>
      <c r="DI10" s="3064">
        <f t="shared" si="44"/>
        <v>0.33427002062975947</v>
      </c>
      <c r="DJ10" s="3064">
        <f t="shared" si="44"/>
        <v>0.33432110925254516</v>
      </c>
      <c r="DK10" s="3064">
        <f t="shared" si="44"/>
        <v>0</v>
      </c>
      <c r="DL10" s="3064">
        <f t="shared" si="44"/>
        <v>9.1778674569401836E-2</v>
      </c>
      <c r="DM10" s="3064">
        <f t="shared" si="44"/>
        <v>9.1793010617905818E-2</v>
      </c>
      <c r="DN10" s="3064">
        <f t="shared" si="44"/>
        <v>0</v>
      </c>
      <c r="DO10" s="3065">
        <f t="shared" ref="DO10:DW10" si="46">SUM(DO9/DO8)</f>
        <v>0.19093019554048879</v>
      </c>
      <c r="DP10" s="3065">
        <f t="shared" si="46"/>
        <v>0.19098423773132545</v>
      </c>
      <c r="DQ10" s="3065">
        <f t="shared" si="46"/>
        <v>0</v>
      </c>
      <c r="DR10" s="3065">
        <f t="shared" si="46"/>
        <v>0.27795977346772094</v>
      </c>
      <c r="DS10" s="3065">
        <f t="shared" si="46"/>
        <v>0.27800203429806336</v>
      </c>
      <c r="DT10" s="3065">
        <f t="shared" si="46"/>
        <v>0</v>
      </c>
      <c r="DU10" s="3116">
        <f t="shared" si="46"/>
        <v>0.13177309685814503</v>
      </c>
      <c r="DV10" s="3065">
        <f t="shared" si="46"/>
        <v>0.13179031617187945</v>
      </c>
      <c r="DW10" s="3065">
        <f t="shared" si="46"/>
        <v>0</v>
      </c>
      <c r="DX10" s="3148">
        <f t="shared" ref="DX10" si="47">SUM(DR10-DO10)</f>
        <v>8.7029577927232149E-2</v>
      </c>
      <c r="DY10" s="3148">
        <f t="shared" si="11"/>
        <v>8.7017796566737915E-2</v>
      </c>
      <c r="DZ10" s="3148">
        <f t="shared" si="11"/>
        <v>0</v>
      </c>
      <c r="EA10" s="3065">
        <f t="shared" ref="EA10:EC10" si="48">SUM(EA9/EA8)</f>
        <v>0.19093019554048879</v>
      </c>
      <c r="EB10" s="3065">
        <f t="shared" si="48"/>
        <v>0.19098423773132545</v>
      </c>
      <c r="EC10" s="3065">
        <f t="shared" si="48"/>
        <v>0</v>
      </c>
      <c r="ED10" s="3065">
        <f t="shared" ref="ED10:EF10" si="49">SUM(ED9/ED8)</f>
        <v>0.18800702706430464</v>
      </c>
      <c r="EE10" s="3065">
        <f t="shared" si="49"/>
        <v>0.18803664195241335</v>
      </c>
      <c r="EF10" s="3065">
        <f t="shared" si="49"/>
        <v>0</v>
      </c>
      <c r="EG10" s="3065">
        <f t="shared" ref="EG10" si="50">SUM(EG9/EG8)</f>
        <v>0.1704671406712697</v>
      </c>
      <c r="EH10" s="3065">
        <f t="shared" ref="EH10:EI10" si="51">SUM(EH9/EH8)</f>
        <v>0.17050513872198478</v>
      </c>
      <c r="EI10" s="3065">
        <f t="shared" si="51"/>
        <v>0</v>
      </c>
      <c r="EJ10" s="3148">
        <f t="shared" ref="EJ10" si="52">SUM(ED10-EA10)</f>
        <v>-2.9231684761841514E-3</v>
      </c>
      <c r="EK10" s="3148">
        <f t="shared" si="14"/>
        <v>-2.9475957789120988E-3</v>
      </c>
      <c r="EL10" s="3148">
        <f t="shared" si="14"/>
        <v>0</v>
      </c>
      <c r="EM10" s="3064">
        <f t="shared" ref="EM10:FM10" si="53">SUM(EM9/EM8)</f>
        <v>0.19093019554048879</v>
      </c>
      <c r="EN10" s="3064">
        <f t="shared" si="53"/>
        <v>0.19098423773132545</v>
      </c>
      <c r="EO10" s="3064">
        <f t="shared" si="53"/>
        <v>0</v>
      </c>
      <c r="EP10" s="3064" t="e">
        <f t="shared" si="53"/>
        <v>#DIV/0!</v>
      </c>
      <c r="EQ10" s="3064" t="e">
        <f t="shared" si="53"/>
        <v>#DIV/0!</v>
      </c>
      <c r="ER10" s="3064" t="e">
        <f t="shared" si="53"/>
        <v>#DIV/0!</v>
      </c>
      <c r="ES10" s="3064">
        <f t="shared" si="53"/>
        <v>0.22387915294705141</v>
      </c>
      <c r="ET10" s="3064">
        <f t="shared" si="53"/>
        <v>0.22390710595726751</v>
      </c>
      <c r="EU10" s="3064">
        <f t="shared" si="53"/>
        <v>0</v>
      </c>
      <c r="EV10" s="3064">
        <f t="shared" si="53"/>
        <v>0.19093019554048879</v>
      </c>
      <c r="EW10" s="3064">
        <f t="shared" si="53"/>
        <v>0.19098423773132545</v>
      </c>
      <c r="EX10" s="3064">
        <f t="shared" si="53"/>
        <v>0</v>
      </c>
      <c r="EY10" s="3064" t="e">
        <f t="shared" si="53"/>
        <v>#DIV/0!</v>
      </c>
      <c r="EZ10" s="3064" t="e">
        <f t="shared" si="53"/>
        <v>#DIV/0!</v>
      </c>
      <c r="FA10" s="3064" t="e">
        <f t="shared" si="53"/>
        <v>#DIV/0!</v>
      </c>
      <c r="FB10" s="3064">
        <f t="shared" ref="FB10:FD10" si="54">SUM(FB9/FB8)</f>
        <v>0.21273158307888104</v>
      </c>
      <c r="FC10" s="3064">
        <f t="shared" si="54"/>
        <v>0.2127583586506587</v>
      </c>
      <c r="FD10" s="3064">
        <f t="shared" si="54"/>
        <v>0</v>
      </c>
      <c r="FE10" s="3064">
        <f t="shared" si="53"/>
        <v>0.19093019554048879</v>
      </c>
      <c r="FF10" s="3064">
        <f t="shared" si="53"/>
        <v>0.19098423773132545</v>
      </c>
      <c r="FG10" s="3064">
        <f t="shared" si="53"/>
        <v>0</v>
      </c>
      <c r="FH10" s="3064" t="e">
        <f t="shared" si="53"/>
        <v>#DIV/0!</v>
      </c>
      <c r="FI10" s="3064" t="e">
        <f t="shared" si="53"/>
        <v>#DIV/0!</v>
      </c>
      <c r="FJ10" s="3064" t="e">
        <f t="shared" si="53"/>
        <v>#DIV/0!</v>
      </c>
      <c r="FK10" s="3064">
        <f t="shared" si="53"/>
        <v>0.23052059897314181</v>
      </c>
      <c r="FL10" s="3064">
        <f t="shared" si="53"/>
        <v>0.23052059897314181</v>
      </c>
      <c r="FM10" s="3064" t="e">
        <f t="shared" si="53"/>
        <v>#DIV/0!</v>
      </c>
      <c r="FN10" s="3065">
        <f t="shared" ref="FN10:FT10" si="55">SUM(FN9/FN8)</f>
        <v>0.19093019554048879</v>
      </c>
      <c r="FO10" s="3065">
        <f t="shared" si="55"/>
        <v>0.19098423773132545</v>
      </c>
      <c r="FP10" s="3065">
        <f t="shared" si="55"/>
        <v>0</v>
      </c>
      <c r="FQ10" s="3065" t="e">
        <f t="shared" si="55"/>
        <v>#DIV/0!</v>
      </c>
      <c r="FR10" s="3065" t="e">
        <f t="shared" si="55"/>
        <v>#DIV/0!</v>
      </c>
      <c r="FS10" s="3065" t="e">
        <f t="shared" si="55"/>
        <v>#DIV/0!</v>
      </c>
      <c r="FT10" s="3116">
        <f t="shared" si="55"/>
        <v>0.22225591203030595</v>
      </c>
      <c r="FU10" s="3116">
        <f t="shared" ref="FU10:FV10" si="56">SUM(FU9/FU8)</f>
        <v>0.22227479695002855</v>
      </c>
      <c r="FV10" s="3116">
        <f t="shared" si="56"/>
        <v>0</v>
      </c>
      <c r="FW10" s="3148" t="e">
        <f t="shared" ref="FW10" si="57">SUM(FQ10-FN10)</f>
        <v>#DIV/0!</v>
      </c>
      <c r="FX10" s="3148" t="e">
        <f t="shared" si="18"/>
        <v>#DIV/0!</v>
      </c>
      <c r="FY10" s="3148" t="e">
        <f t="shared" si="18"/>
        <v>#DIV/0!</v>
      </c>
      <c r="FZ10" s="3224">
        <f t="shared" ref="FZ10:GC10" si="58">SUM(FZ9/FZ8)</f>
        <v>0.19093019554048876</v>
      </c>
      <c r="GA10" s="3224">
        <f t="shared" si="58"/>
        <v>0.19098423773132542</v>
      </c>
      <c r="GB10" s="3224">
        <f t="shared" si="58"/>
        <v>0</v>
      </c>
      <c r="GC10" s="3065">
        <f t="shared" si="58"/>
        <v>0.18800702706430464</v>
      </c>
      <c r="GD10" s="3225">
        <f t="shared" ref="GD10:GE10" si="59">SUM(GD9/GD8)</f>
        <v>0.18803664195241335</v>
      </c>
      <c r="GE10" s="3225">
        <f t="shared" si="59"/>
        <v>0</v>
      </c>
      <c r="GF10" s="3225">
        <f t="shared" ref="GF10" si="60">SUM(GF9/GF8)</f>
        <v>0.1841309416432208</v>
      </c>
      <c r="GG10" s="3225">
        <f t="shared" ref="GG10:GH10" si="61">SUM(GG9/GG8)</f>
        <v>0.1841652837298671</v>
      </c>
      <c r="GH10" s="3225">
        <f t="shared" si="61"/>
        <v>0</v>
      </c>
      <c r="GI10" s="3148">
        <f t="shared" ref="GI10" si="62">SUM(GC10-FZ10)</f>
        <v>-2.9231684761841237E-3</v>
      </c>
      <c r="GJ10" s="3246">
        <f t="shared" si="21"/>
        <v>-2.947595778912071E-3</v>
      </c>
      <c r="GK10" s="3246">
        <f t="shared" si="21"/>
        <v>0</v>
      </c>
      <c r="GL10" s="627"/>
    </row>
    <row r="11" spans="1:195" ht="18.75" x14ac:dyDescent="0.3">
      <c r="A11" s="3106" t="s">
        <v>3585</v>
      </c>
      <c r="B11" s="3207">
        <f>SUM(C11:D11)</f>
        <v>421.73786219407765</v>
      </c>
      <c r="C11" s="3207">
        <f>SUM(C8-C9)</f>
        <v>421.59036219407767</v>
      </c>
      <c r="D11" s="3207">
        <f>SUM(D8-D9)</f>
        <v>0.14749999999999999</v>
      </c>
      <c r="E11" s="3207">
        <f>SUM(F11:G11)</f>
        <v>527.46</v>
      </c>
      <c r="F11" s="3207">
        <f>SUM(F8-F9)</f>
        <v>527.34</v>
      </c>
      <c r="G11" s="3207">
        <f>SUM(G8-G9)</f>
        <v>0.12</v>
      </c>
      <c r="H11" s="3107">
        <f t="shared" ref="H11:GF11" si="63">SUM(H8-H9)</f>
        <v>499.93400000000003</v>
      </c>
      <c r="I11" s="3107">
        <f t="shared" ref="I11:J11" si="64">SUM(I8-I9)</f>
        <v>499.79400000000004</v>
      </c>
      <c r="J11" s="3107">
        <f t="shared" si="64"/>
        <v>0.14000000000000001</v>
      </c>
      <c r="K11" s="3207">
        <f>SUM(L11:M11)</f>
        <v>421.73786219407765</v>
      </c>
      <c r="L11" s="3207">
        <f>SUM(L8-L9)</f>
        <v>421.59036219407767</v>
      </c>
      <c r="M11" s="3207">
        <f>SUM(M8-M9)</f>
        <v>0.14749999999999999</v>
      </c>
      <c r="N11" s="3207">
        <f>SUM(O11:P11)</f>
        <v>458.71</v>
      </c>
      <c r="O11" s="3207">
        <f>SUM(O8-O9)</f>
        <v>458.62</v>
      </c>
      <c r="P11" s="3207">
        <f>SUM(P8-P9)</f>
        <v>0.09</v>
      </c>
      <c r="Q11" s="3107">
        <f t="shared" ref="Q11:S11" si="65">SUM(Q8-Q9)</f>
        <v>421.80099999999999</v>
      </c>
      <c r="R11" s="3107">
        <f t="shared" si="65"/>
        <v>421.62099999999998</v>
      </c>
      <c r="S11" s="3107">
        <f t="shared" si="65"/>
        <v>0.18</v>
      </c>
      <c r="T11" s="3207">
        <f>SUM(U11:V11)</f>
        <v>421.73786219407765</v>
      </c>
      <c r="U11" s="3207">
        <f>SUM(U8-U9)</f>
        <v>421.59036219407767</v>
      </c>
      <c r="V11" s="3207">
        <f>SUM(V8-V9)</f>
        <v>0.14749999999999999</v>
      </c>
      <c r="W11" s="3207">
        <f>SUM(X11:Y11)</f>
        <v>501.65800000000002</v>
      </c>
      <c r="X11" s="3207">
        <f>SUM(X8-X9)</f>
        <v>501.58300000000003</v>
      </c>
      <c r="Y11" s="3207">
        <f>SUM(Y8-Y9)</f>
        <v>7.4999999999999997E-2</v>
      </c>
      <c r="Z11" s="3107">
        <f t="shared" ref="Z11:AB11" si="66">SUM(Z8-Z9)</f>
        <v>477.15199999999999</v>
      </c>
      <c r="AA11" s="3107">
        <f t="shared" si="66"/>
        <v>477.03199999999998</v>
      </c>
      <c r="AB11" s="3107">
        <f t="shared" si="66"/>
        <v>0.12</v>
      </c>
      <c r="AC11" s="3206">
        <f>SUM(AD11:AE11)</f>
        <v>1265.2135865822331</v>
      </c>
      <c r="AD11" s="3206">
        <f>SUM(AD8-AD9)</f>
        <v>1264.771086582233</v>
      </c>
      <c r="AE11" s="3206">
        <f>SUM(AE8-AE9)</f>
        <v>0.4425</v>
      </c>
      <c r="AF11" s="3206">
        <f>SUM(AG11:AH11)</f>
        <v>1487.8280000000002</v>
      </c>
      <c r="AG11" s="3206">
        <f>SUM(AG8-AG9)</f>
        <v>1487.5430000000001</v>
      </c>
      <c r="AH11" s="3206">
        <f>SUM(AH8-AH9)</f>
        <v>0.28499999999999998</v>
      </c>
      <c r="AI11" s="3109">
        <f t="shared" si="63"/>
        <v>1398.8869999999999</v>
      </c>
      <c r="AJ11" s="3109">
        <f t="shared" si="63"/>
        <v>1398.4469999999999</v>
      </c>
      <c r="AK11" s="3109">
        <f t="shared" si="63"/>
        <v>0.44</v>
      </c>
      <c r="AL11" s="3206">
        <f>SUM(AM11:AN11)</f>
        <v>222.61441341776717</v>
      </c>
      <c r="AM11" s="3206">
        <f>SUM(AM8-AM9)</f>
        <v>222.77191341776717</v>
      </c>
      <c r="AN11" s="3206">
        <f>SUM(AN8-AN9)</f>
        <v>-0.15750000000000003</v>
      </c>
      <c r="AO11" s="3207">
        <f>SUM(AP11:AQ11)</f>
        <v>421.73786219407765</v>
      </c>
      <c r="AP11" s="3207">
        <f>SUM(AP8-AP9)</f>
        <v>421.59036219407767</v>
      </c>
      <c r="AQ11" s="3207">
        <f>SUM(AQ8-AQ9)</f>
        <v>0.14749999999999999</v>
      </c>
      <c r="AR11" s="3207">
        <f>SUM(AS11:AT11)</f>
        <v>517.11300000000006</v>
      </c>
      <c r="AS11" s="3207">
        <f>SUM(AS8-AS9)</f>
        <v>517.01800000000003</v>
      </c>
      <c r="AT11" s="3207">
        <f>SUM(AT8-AT9)</f>
        <v>9.5000000000000001E-2</v>
      </c>
      <c r="AU11" s="3107">
        <f t="shared" ref="AU11:AW11" si="67">SUM(AU8-AU9)</f>
        <v>505.50400000000002</v>
      </c>
      <c r="AV11" s="3107">
        <f t="shared" si="67"/>
        <v>505.18399999999997</v>
      </c>
      <c r="AW11" s="3107">
        <f t="shared" si="67"/>
        <v>0.32</v>
      </c>
      <c r="AX11" s="3207">
        <f>SUM(AY11:AZ11)</f>
        <v>421.73786219407765</v>
      </c>
      <c r="AY11" s="3207">
        <f>SUM(AY8-AY9)</f>
        <v>421.59036219407767</v>
      </c>
      <c r="AZ11" s="3207">
        <f>SUM(AZ8-AZ9)</f>
        <v>0.14749999999999999</v>
      </c>
      <c r="BA11" s="3207">
        <f>SUM(BB11:BC11)</f>
        <v>489.64000000000004</v>
      </c>
      <c r="BB11" s="3207">
        <f>SUM(BB8-BB9)</f>
        <v>489.54300000000006</v>
      </c>
      <c r="BC11" s="3207">
        <f>SUM(BC8-BC9)</f>
        <v>9.7000000000000003E-2</v>
      </c>
      <c r="BD11" s="3107">
        <f t="shared" ref="BD11:BF11" si="68">SUM(BD8-BD9)</f>
        <v>495.58199999999999</v>
      </c>
      <c r="BE11" s="3107">
        <f t="shared" si="68"/>
        <v>495.48199999999997</v>
      </c>
      <c r="BF11" s="3107">
        <f t="shared" si="68"/>
        <v>0.1</v>
      </c>
      <c r="BG11" s="3207">
        <f>SUM(BH11:BI11)</f>
        <v>421.73786219407765</v>
      </c>
      <c r="BH11" s="3207">
        <f>SUM(BH8-BH9)</f>
        <v>421.59036219407767</v>
      </c>
      <c r="BI11" s="3207">
        <f>SUM(BI8-BI9)</f>
        <v>0.14749999999999999</v>
      </c>
      <c r="BJ11" s="3207">
        <f>SUM(BK11:BL11)</f>
        <v>492.28099999999995</v>
      </c>
      <c r="BK11" s="3207">
        <f t="shared" ref="BK11:BO11" si="69">SUM(BK8-BK9)</f>
        <v>492.19999999999993</v>
      </c>
      <c r="BL11" s="3207">
        <f t="shared" si="69"/>
        <v>8.1000000000000003E-2</v>
      </c>
      <c r="BM11" s="3107">
        <f t="shared" si="69"/>
        <v>490.25900000000001</v>
      </c>
      <c r="BN11" s="3107">
        <f t="shared" si="69"/>
        <v>490.16899999999998</v>
      </c>
      <c r="BO11" s="3107">
        <f t="shared" si="69"/>
        <v>0.09</v>
      </c>
      <c r="BP11" s="3206">
        <f>SUM(BQ11:BR11)</f>
        <v>1265.2135865822331</v>
      </c>
      <c r="BQ11" s="3206">
        <f>SUM(BQ8-BQ9)</f>
        <v>1264.771086582233</v>
      </c>
      <c r="BR11" s="3206">
        <f>SUM(BR8-BR9)</f>
        <v>0.4425</v>
      </c>
      <c r="BS11" s="3206">
        <f>SUM(BT11:BU11)</f>
        <v>1499.0339999999999</v>
      </c>
      <c r="BT11" s="3206">
        <f>SUM(BT8-BT9)</f>
        <v>1498.761</v>
      </c>
      <c r="BU11" s="3206">
        <f>SUM(BU8-BU9)</f>
        <v>0.27300000000000002</v>
      </c>
      <c r="BV11" s="3109">
        <f t="shared" ref="BV11:BX11" si="70">SUM(BV8-BV9)</f>
        <v>1491.345</v>
      </c>
      <c r="BW11" s="3206">
        <f t="shared" si="70"/>
        <v>1490.835</v>
      </c>
      <c r="BX11" s="3206">
        <f t="shared" si="70"/>
        <v>0.51</v>
      </c>
      <c r="BY11" s="3206">
        <f>SUM(BZ11:CA11)</f>
        <v>233.82041341776713</v>
      </c>
      <c r="BZ11" s="3206">
        <f>SUM(BZ8-BZ9)</f>
        <v>233.98991341776713</v>
      </c>
      <c r="CA11" s="3206">
        <f>SUM(CA8-CA9)</f>
        <v>-0.16949999999999998</v>
      </c>
      <c r="CB11" s="3206">
        <f>SUM(CC11:CD11)</f>
        <v>2530.4271731644662</v>
      </c>
      <c r="CC11" s="3206">
        <f>SUM(CC8-CC9)</f>
        <v>2529.542173164466</v>
      </c>
      <c r="CD11" s="3206">
        <f>SUM(CD8-CD9)</f>
        <v>0.88500000000000001</v>
      </c>
      <c r="CE11" s="3206">
        <f>SUM(CF11:CG11)</f>
        <v>2986.8620000000001</v>
      </c>
      <c r="CF11" s="3206">
        <f>SUM(CF8-CF9)</f>
        <v>2986.3040000000001</v>
      </c>
      <c r="CG11" s="3206">
        <f>SUM(CG8-CG9)</f>
        <v>0.55800000000000005</v>
      </c>
      <c r="CH11" s="3109">
        <f t="shared" si="63"/>
        <v>2890.232</v>
      </c>
      <c r="CI11" s="3109">
        <f t="shared" ref="CI11:CJ11" si="71">SUM(CI8-CI9)</f>
        <v>2889.2820000000002</v>
      </c>
      <c r="CJ11" s="3109">
        <f t="shared" si="71"/>
        <v>0.95</v>
      </c>
      <c r="CK11" s="3206">
        <f>SUM(CL11:CM11)</f>
        <v>456.43482683553407</v>
      </c>
      <c r="CL11" s="3212">
        <f t="shared" si="7"/>
        <v>456.76182683553407</v>
      </c>
      <c r="CM11" s="3212">
        <f t="shared" si="7"/>
        <v>-0.32699999999999996</v>
      </c>
      <c r="CN11" s="3207">
        <f>SUM(CO11:CP11)</f>
        <v>421.73786219407765</v>
      </c>
      <c r="CO11" s="3207">
        <f>SUM(CO8-CO9)</f>
        <v>421.59036219407767</v>
      </c>
      <c r="CP11" s="3207">
        <f>SUM(CP8-CP9)</f>
        <v>0.14749999999999999</v>
      </c>
      <c r="CQ11" s="3207">
        <f>SUM(CR11:CS11)</f>
        <v>509.27</v>
      </c>
      <c r="CR11" s="3207">
        <f t="shared" ref="CR11:CV11" si="72">SUM(CR8-CR9)</f>
        <v>509.17899999999997</v>
      </c>
      <c r="CS11" s="3207">
        <f t="shared" si="72"/>
        <v>9.0999999999999998E-2</v>
      </c>
      <c r="CT11" s="3107">
        <f t="shared" si="72"/>
        <v>535.11</v>
      </c>
      <c r="CU11" s="3107">
        <f t="shared" si="72"/>
        <v>535.04</v>
      </c>
      <c r="CV11" s="3107">
        <f t="shared" si="72"/>
        <v>7.0000000000000007E-2</v>
      </c>
      <c r="CW11" s="3207">
        <f>SUM(CX11:CY11)</f>
        <v>421.73786219407765</v>
      </c>
      <c r="CX11" s="3207">
        <f>SUM(CX8-CX9)</f>
        <v>421.59036219407767</v>
      </c>
      <c r="CY11" s="3207">
        <f>SUM(CY8-CY9)</f>
        <v>0.14749999999999999</v>
      </c>
      <c r="CZ11" s="3207">
        <f>SUM(DA11:DB11)</f>
        <v>385.82900000000001</v>
      </c>
      <c r="DA11" s="3207">
        <f t="shared" ref="DA11:DE11" si="73">SUM(DA8-DA9)</f>
        <v>385.73900000000003</v>
      </c>
      <c r="DB11" s="3207">
        <f t="shared" si="73"/>
        <v>0.09</v>
      </c>
      <c r="DC11" s="3107">
        <f t="shared" si="73"/>
        <v>462.41600000000005</v>
      </c>
      <c r="DD11" s="3107">
        <f t="shared" si="73"/>
        <v>462.346</v>
      </c>
      <c r="DE11" s="3107">
        <f t="shared" si="73"/>
        <v>7.0000000000000007E-2</v>
      </c>
      <c r="DF11" s="3207">
        <f>SUM(DG11:DH11)</f>
        <v>421.73786219407765</v>
      </c>
      <c r="DG11" s="3207">
        <f>SUM(DG8-DG9)</f>
        <v>421.59036219407767</v>
      </c>
      <c r="DH11" s="3207">
        <f>SUM(DH8-DH9)</f>
        <v>0.14749999999999999</v>
      </c>
      <c r="DI11" s="3207">
        <f>SUM(DJ11:DK11)</f>
        <v>392.08499999999998</v>
      </c>
      <c r="DJ11" s="3207">
        <f t="shared" ref="DJ11:DN11" si="74">SUM(DJ8-DJ9)</f>
        <v>391.995</v>
      </c>
      <c r="DK11" s="3207">
        <f t="shared" si="74"/>
        <v>0.09</v>
      </c>
      <c r="DL11" s="3107">
        <f t="shared" si="74"/>
        <v>471.03899999999999</v>
      </c>
      <c r="DM11" s="3107">
        <f t="shared" si="74"/>
        <v>470.95799999999997</v>
      </c>
      <c r="DN11" s="3107">
        <f t="shared" si="74"/>
        <v>8.1000000000000003E-2</v>
      </c>
      <c r="DO11" s="3206">
        <f>SUM(DP11:DQ11)</f>
        <v>1265.2135865822331</v>
      </c>
      <c r="DP11" s="3206">
        <f>SUM(DP8-DP9)</f>
        <v>1264.771086582233</v>
      </c>
      <c r="DQ11" s="3206">
        <f>SUM(DQ8-DQ9)</f>
        <v>0.4425</v>
      </c>
      <c r="DR11" s="3206">
        <f>SUM(DS11:DT11)</f>
        <v>1287.184</v>
      </c>
      <c r="DS11" s="3206">
        <f>SUM(DS8-DS9)</f>
        <v>1286.913</v>
      </c>
      <c r="DT11" s="3206">
        <f>SUM(DT8-DT9)</f>
        <v>0.27100000000000002</v>
      </c>
      <c r="DU11" s="3109">
        <f t="shared" ref="DU11:DW11" si="75">SUM(DU8-DU9)</f>
        <v>1468.5650000000001</v>
      </c>
      <c r="DV11" s="3206">
        <f t="shared" si="75"/>
        <v>1468.3440000000001</v>
      </c>
      <c r="DW11" s="3206">
        <f t="shared" si="75"/>
        <v>0.22100000000000003</v>
      </c>
      <c r="DX11" s="3206">
        <f>SUM(DY11:DZ11)</f>
        <v>21.970413417766999</v>
      </c>
      <c r="DY11" s="3212">
        <f t="shared" si="11"/>
        <v>22.141913417767</v>
      </c>
      <c r="DZ11" s="3212">
        <f t="shared" si="11"/>
        <v>-0.17149999999999999</v>
      </c>
      <c r="EA11" s="3206">
        <f>SUM(EB11:EC11)</f>
        <v>3795.6407597466991</v>
      </c>
      <c r="EB11" s="3206">
        <f>SUM(EB8-EB9)</f>
        <v>3794.3132597466993</v>
      </c>
      <c r="EC11" s="3206">
        <f>SUM(EC8-EC9)</f>
        <v>1.3275000000000001</v>
      </c>
      <c r="ED11" s="3206">
        <f>SUM(EE11:EF11)</f>
        <v>4274.0459999999994</v>
      </c>
      <c r="EE11" s="3206">
        <f>SUM(EE8-EE9)</f>
        <v>4273.2169999999996</v>
      </c>
      <c r="EF11" s="3206">
        <f>SUM(EF8-EF9)</f>
        <v>0.82900000000000007</v>
      </c>
      <c r="EG11" s="3206">
        <f>SUM(EG8-EG9)</f>
        <v>4358.7970000000005</v>
      </c>
      <c r="EH11" s="3206">
        <f t="shared" ref="EH11:EI11" si="76">SUM(EH8-EH9)</f>
        <v>4357.6260000000002</v>
      </c>
      <c r="EI11" s="3206">
        <f t="shared" si="76"/>
        <v>1.171</v>
      </c>
      <c r="EJ11" s="3206">
        <f>SUM(EK11:EL11)</f>
        <v>478.40524025330041</v>
      </c>
      <c r="EK11" s="3212">
        <f t="shared" si="14"/>
        <v>478.90374025330038</v>
      </c>
      <c r="EL11" s="3212">
        <f t="shared" si="14"/>
        <v>-0.49850000000000005</v>
      </c>
      <c r="EM11" s="3207">
        <f>SUM(EN11:EO11)</f>
        <v>421.73786219407765</v>
      </c>
      <c r="EN11" s="3207">
        <f>SUM(EN8-EN9)</f>
        <v>421.59036219407767</v>
      </c>
      <c r="EO11" s="3207">
        <f>SUM(EO8-EO9)</f>
        <v>0.14749999999999999</v>
      </c>
      <c r="EP11" s="3207">
        <f>SUM(EQ11:ER11)</f>
        <v>0</v>
      </c>
      <c r="EQ11" s="3207">
        <f t="shared" ref="EQ11:EU11" si="77">SUM(EQ8-EQ9)</f>
        <v>0</v>
      </c>
      <c r="ER11" s="3207">
        <f t="shared" si="77"/>
        <v>0</v>
      </c>
      <c r="ES11" s="3107">
        <f t="shared" si="77"/>
        <v>497.34599999999995</v>
      </c>
      <c r="ET11" s="3107">
        <f t="shared" si="77"/>
        <v>497.26599999999991</v>
      </c>
      <c r="EU11" s="3107">
        <f t="shared" si="77"/>
        <v>0.08</v>
      </c>
      <c r="EV11" s="3207">
        <f>SUM(EW11:EX11)</f>
        <v>421.73786219407765</v>
      </c>
      <c r="EW11" s="3207">
        <f>SUM(EW8-EW9)</f>
        <v>421.59036219407767</v>
      </c>
      <c r="EX11" s="3207">
        <f>SUM(EX8-EX9)</f>
        <v>0.14749999999999999</v>
      </c>
      <c r="EY11" s="3207">
        <f>SUM(EZ11:FA11)</f>
        <v>0</v>
      </c>
      <c r="EZ11" s="3207">
        <f t="shared" ref="EZ11:FD11" si="78">SUM(EZ8-EZ9)</f>
        <v>0</v>
      </c>
      <c r="FA11" s="3207">
        <f t="shared" si="78"/>
        <v>0</v>
      </c>
      <c r="FB11" s="3107">
        <f t="shared" si="78"/>
        <v>500.44999999999993</v>
      </c>
      <c r="FC11" s="3107">
        <f t="shared" si="78"/>
        <v>500.36999999999989</v>
      </c>
      <c r="FD11" s="3107">
        <f t="shared" si="78"/>
        <v>0.08</v>
      </c>
      <c r="FE11" s="3207">
        <f>SUM(FF11:FG11)</f>
        <v>421.73786219407765</v>
      </c>
      <c r="FF11" s="3207">
        <f>SUM(FF8-FF9)</f>
        <v>421.59036219407767</v>
      </c>
      <c r="FG11" s="3207">
        <f>SUM(FG8-FG9)</f>
        <v>0.14749999999999999</v>
      </c>
      <c r="FH11" s="3207">
        <f>SUM(FI11:FJ11)</f>
        <v>0</v>
      </c>
      <c r="FI11" s="3207">
        <f t="shared" ref="FI11:FM11" si="79">SUM(FI8-FI9)</f>
        <v>0</v>
      </c>
      <c r="FJ11" s="3207">
        <f t="shared" si="79"/>
        <v>0</v>
      </c>
      <c r="FK11" s="3107">
        <f t="shared" si="79"/>
        <v>466.84700000000004</v>
      </c>
      <c r="FL11" s="3107">
        <f t="shared" si="79"/>
        <v>466.84700000000004</v>
      </c>
      <c r="FM11" s="3107">
        <f t="shared" si="79"/>
        <v>0</v>
      </c>
      <c r="FN11" s="3206">
        <f>SUM(FO11:FP11)</f>
        <v>1265.2135865822331</v>
      </c>
      <c r="FO11" s="3206">
        <f>SUM(FO8-FO9)</f>
        <v>1264.771086582233</v>
      </c>
      <c r="FP11" s="3206">
        <f>SUM(FP8-FP9)</f>
        <v>0.4425</v>
      </c>
      <c r="FQ11" s="3206">
        <f>SUM(FR11:FS11)</f>
        <v>0</v>
      </c>
      <c r="FR11" s="3206">
        <f>SUM(FR8-FR9)</f>
        <v>0</v>
      </c>
      <c r="FS11" s="3206">
        <f>SUM(FS8-FS9)</f>
        <v>0</v>
      </c>
      <c r="FT11" s="3109">
        <f t="shared" ref="FT11" si="80">SUM(FT8-FT9)</f>
        <v>1464.643</v>
      </c>
      <c r="FU11" s="3109">
        <f t="shared" ref="FU11:FV11" si="81">SUM(FU8-FU9)</f>
        <v>1464.4829999999997</v>
      </c>
      <c r="FV11" s="3109">
        <f t="shared" si="81"/>
        <v>0.16</v>
      </c>
      <c r="FW11" s="3206">
        <f>SUM(FX11:FY11)</f>
        <v>-1265.2135865822331</v>
      </c>
      <c r="FX11" s="3212">
        <f t="shared" si="18"/>
        <v>-1264.771086582233</v>
      </c>
      <c r="FY11" s="3212">
        <f t="shared" si="18"/>
        <v>-0.4425</v>
      </c>
      <c r="FZ11" s="3218">
        <f>SUM(GA11:GB11)</f>
        <v>5060.8543463289334</v>
      </c>
      <c r="GA11" s="3218">
        <f>SUM(GA8-GA9)</f>
        <v>5059.084346328933</v>
      </c>
      <c r="GB11" s="3218">
        <f>SUM(GB8-GB9)</f>
        <v>1.77</v>
      </c>
      <c r="GC11" s="3206">
        <f>SUM(GD11:GE11)</f>
        <v>4274.0459999999994</v>
      </c>
      <c r="GD11" s="3219">
        <f t="shared" ref="GD11:GE11" si="82">SUM(GD8-GD9)</f>
        <v>4273.2169999999996</v>
      </c>
      <c r="GE11" s="3219">
        <f t="shared" si="82"/>
        <v>0.82900000000000007</v>
      </c>
      <c r="GF11" s="3219">
        <f t="shared" si="63"/>
        <v>5823.44</v>
      </c>
      <c r="GG11" s="3219">
        <f t="shared" ref="GG11:GH11" si="83">SUM(GG8-GG9)</f>
        <v>5822.1089999999995</v>
      </c>
      <c r="GH11" s="3219">
        <f t="shared" si="83"/>
        <v>1.331</v>
      </c>
      <c r="GI11" s="3206">
        <f>SUM(GJ11:GK11)</f>
        <v>-786.80834632893334</v>
      </c>
      <c r="GJ11" s="3220">
        <f t="shared" si="21"/>
        <v>-785.86734632893331</v>
      </c>
      <c r="GK11" s="3220">
        <f t="shared" si="21"/>
        <v>-0.94099999999999995</v>
      </c>
      <c r="GL11" s="627"/>
    </row>
    <row r="12" spans="1:195" ht="18.75" x14ac:dyDescent="0.3">
      <c r="A12" s="3111" t="s">
        <v>51</v>
      </c>
      <c r="B12" s="3208">
        <f>SUM(C12:D12)</f>
        <v>116.53828524963325</v>
      </c>
      <c r="C12" s="3208">
        <f t="shared" ref="C12:G12" si="84">SUM(C11-C14)</f>
        <v>116.53828524963325</v>
      </c>
      <c r="D12" s="3208">
        <f t="shared" si="84"/>
        <v>0</v>
      </c>
      <c r="E12" s="3208">
        <f>SUM(F12:G12)</f>
        <v>215.90500000000003</v>
      </c>
      <c r="F12" s="3208">
        <f t="shared" si="84"/>
        <v>215.90500000000003</v>
      </c>
      <c r="G12" s="3208">
        <f t="shared" si="84"/>
        <v>0</v>
      </c>
      <c r="H12" s="3112">
        <f t="shared" ref="H12:GF12" si="85">SUM(H11-H14)</f>
        <v>180.60400000000004</v>
      </c>
      <c r="I12" s="3112">
        <f t="shared" ref="I12:J12" si="86">SUM(I11-I14)</f>
        <v>180.60400000000004</v>
      </c>
      <c r="J12" s="3112">
        <f t="shared" si="86"/>
        <v>0</v>
      </c>
      <c r="K12" s="3208">
        <f>SUM(L12:M12)</f>
        <v>116.53828524963325</v>
      </c>
      <c r="L12" s="3208">
        <f t="shared" ref="L12:M12" si="87">SUM(L11-L14)</f>
        <v>116.53828524963325</v>
      </c>
      <c r="M12" s="3208">
        <f t="shared" si="87"/>
        <v>0</v>
      </c>
      <c r="N12" s="3208">
        <f>SUM(O12:P12)</f>
        <v>161.70999999999998</v>
      </c>
      <c r="O12" s="3208">
        <f t="shared" ref="O12:S12" si="88">SUM(O11-O14)</f>
        <v>161.70999999999998</v>
      </c>
      <c r="P12" s="3208">
        <f t="shared" si="88"/>
        <v>0</v>
      </c>
      <c r="Q12" s="3112">
        <f t="shared" si="88"/>
        <v>106.23099999999999</v>
      </c>
      <c r="R12" s="3112">
        <f t="shared" si="88"/>
        <v>106.23099999999999</v>
      </c>
      <c r="S12" s="3112">
        <f t="shared" si="88"/>
        <v>0</v>
      </c>
      <c r="T12" s="3208">
        <f>SUM(U12:V12)</f>
        <v>116.53828524963325</v>
      </c>
      <c r="U12" s="3208">
        <f t="shared" ref="U12:V12" si="89">SUM(U11-U14)</f>
        <v>116.53828524963325</v>
      </c>
      <c r="V12" s="3208">
        <f t="shared" si="89"/>
        <v>0</v>
      </c>
      <c r="W12" s="3208">
        <f>SUM(X12:Y12)</f>
        <v>219.45400000000001</v>
      </c>
      <c r="X12" s="3208">
        <f t="shared" ref="X12:AB12" si="90">SUM(X11-X14)</f>
        <v>219.45400000000001</v>
      </c>
      <c r="Y12" s="3208">
        <f t="shared" si="90"/>
        <v>0</v>
      </c>
      <c r="Z12" s="3112">
        <f t="shared" si="90"/>
        <v>179.77199999999993</v>
      </c>
      <c r="AA12" s="3112">
        <f t="shared" si="90"/>
        <v>179.77199999999993</v>
      </c>
      <c r="AB12" s="3112">
        <f t="shared" si="90"/>
        <v>0</v>
      </c>
      <c r="AC12" s="3209">
        <f>SUM(AD12:AE12)</f>
        <v>349.61485574889969</v>
      </c>
      <c r="AD12" s="3209">
        <f t="shared" ref="AD12:AH12" si="91">SUM(AD11-AD14)</f>
        <v>349.61485574889969</v>
      </c>
      <c r="AE12" s="3209">
        <f t="shared" si="91"/>
        <v>0</v>
      </c>
      <c r="AF12" s="3209">
        <f>SUM(AG12:AH12)</f>
        <v>597.06900000000007</v>
      </c>
      <c r="AG12" s="3209">
        <f t="shared" si="91"/>
        <v>597.06900000000007</v>
      </c>
      <c r="AH12" s="3209">
        <f t="shared" si="91"/>
        <v>0</v>
      </c>
      <c r="AI12" s="3114">
        <f t="shared" si="85"/>
        <v>466.60699999999997</v>
      </c>
      <c r="AJ12" s="3114">
        <f t="shared" si="85"/>
        <v>466.60699999999997</v>
      </c>
      <c r="AK12" s="3114">
        <f t="shared" si="85"/>
        <v>0</v>
      </c>
      <c r="AL12" s="3209">
        <f>SUM(AM12:AN12)</f>
        <v>247.45414425110047</v>
      </c>
      <c r="AM12" s="3209">
        <f t="shared" ref="AM12" si="92">SUM(AM11-AM14)</f>
        <v>247.45414425110047</v>
      </c>
      <c r="AN12" s="3209">
        <f>SUM(AN11-AN14)</f>
        <v>0</v>
      </c>
      <c r="AO12" s="3208">
        <f>SUM(AP12:AQ12)</f>
        <v>116.53828524963325</v>
      </c>
      <c r="AP12" s="3208">
        <f t="shared" ref="AP12" si="93">SUM(AP11-AP14)</f>
        <v>116.53828524963325</v>
      </c>
      <c r="AQ12" s="3208">
        <f t="shared" ref="AQ12" si="94">SUM(AQ11-AQ14)</f>
        <v>0</v>
      </c>
      <c r="AR12" s="3208">
        <f>SUM(AS12:AT12)</f>
        <v>221.91800000000006</v>
      </c>
      <c r="AS12" s="3208">
        <f t="shared" ref="AS12:AW12" si="95">SUM(AS11-AS14)</f>
        <v>221.91800000000006</v>
      </c>
      <c r="AT12" s="3208">
        <f t="shared" si="95"/>
        <v>0</v>
      </c>
      <c r="AU12" s="3112">
        <f t="shared" si="95"/>
        <v>184.98400000000004</v>
      </c>
      <c r="AV12" s="3112">
        <f t="shared" si="95"/>
        <v>184.98399999999998</v>
      </c>
      <c r="AW12" s="3112">
        <f t="shared" si="95"/>
        <v>0</v>
      </c>
      <c r="AX12" s="3208">
        <f>SUM(AY12:AZ12)</f>
        <v>116.53828524963325</v>
      </c>
      <c r="AY12" s="3208">
        <f t="shared" ref="AY12:AZ12" si="96">SUM(AY11-AY14)</f>
        <v>116.53828524963325</v>
      </c>
      <c r="AZ12" s="3208">
        <f t="shared" si="96"/>
        <v>0</v>
      </c>
      <c r="BA12" s="3208">
        <f>SUM(BB12:BC12)</f>
        <v>205.90800000000007</v>
      </c>
      <c r="BB12" s="3208">
        <f t="shared" ref="BB12:BF12" si="97">SUM(BB11-BB14)</f>
        <v>205.90800000000007</v>
      </c>
      <c r="BC12" s="3208">
        <f t="shared" si="97"/>
        <v>0</v>
      </c>
      <c r="BD12" s="3112">
        <f t="shared" si="97"/>
        <v>190.49200000000002</v>
      </c>
      <c r="BE12" s="3112">
        <f t="shared" si="97"/>
        <v>190.49199999999996</v>
      </c>
      <c r="BF12" s="3112">
        <f t="shared" si="97"/>
        <v>0</v>
      </c>
      <c r="BG12" s="3208">
        <f>SUM(BH12:BI12)</f>
        <v>116.53828524963325</v>
      </c>
      <c r="BH12" s="3208">
        <f t="shared" ref="BH12:BI12" si="98">SUM(BH11-BH14)</f>
        <v>116.53828524963325</v>
      </c>
      <c r="BI12" s="3208">
        <f t="shared" si="98"/>
        <v>0</v>
      </c>
      <c r="BJ12" s="3208">
        <f>SUM(BK12:BL12)</f>
        <v>210.47799999999989</v>
      </c>
      <c r="BK12" s="3208">
        <f t="shared" ref="BK12:BO12" si="99">SUM(BK11-BK14)</f>
        <v>210.47799999999989</v>
      </c>
      <c r="BL12" s="3208">
        <f t="shared" si="99"/>
        <v>0</v>
      </c>
      <c r="BM12" s="3112">
        <f t="shared" si="99"/>
        <v>165.279</v>
      </c>
      <c r="BN12" s="3112">
        <f t="shared" si="99"/>
        <v>165.27899999999994</v>
      </c>
      <c r="BO12" s="3112">
        <f t="shared" si="99"/>
        <v>0</v>
      </c>
      <c r="BP12" s="3209">
        <f>SUM(BQ12:BR12)</f>
        <v>349.61485574889969</v>
      </c>
      <c r="BQ12" s="3209">
        <f t="shared" ref="BQ12:BR12" si="100">SUM(BQ11-BQ14)</f>
        <v>349.61485574889969</v>
      </c>
      <c r="BR12" s="3209">
        <f t="shared" si="100"/>
        <v>0</v>
      </c>
      <c r="BS12" s="3209">
        <f>SUM(BT12:BU12)</f>
        <v>638.30399999999997</v>
      </c>
      <c r="BT12" s="3209">
        <f t="shared" ref="BT12:BV12" si="101">SUM(BT11-BT14)</f>
        <v>638.30399999999997</v>
      </c>
      <c r="BU12" s="3209">
        <f t="shared" si="101"/>
        <v>0</v>
      </c>
      <c r="BV12" s="3114">
        <f t="shared" si="101"/>
        <v>540.75499999999988</v>
      </c>
      <c r="BW12" s="3209">
        <f t="shared" ref="BW12:BX12" si="102">SUM(BW11-BW14)</f>
        <v>540.75499999999988</v>
      </c>
      <c r="BX12" s="3209">
        <f t="shared" si="102"/>
        <v>0</v>
      </c>
      <c r="BY12" s="3209">
        <f>SUM(BZ12:CA12)</f>
        <v>288.68914425110046</v>
      </c>
      <c r="BZ12" s="3209">
        <f t="shared" ref="BZ12" si="103">SUM(BZ11-BZ14)</f>
        <v>288.68914425110046</v>
      </c>
      <c r="CA12" s="3209">
        <f>SUM(CA11-CA14)</f>
        <v>0</v>
      </c>
      <c r="CB12" s="3209">
        <f>SUM(CC12:CD12)</f>
        <v>699.22971149779937</v>
      </c>
      <c r="CC12" s="3209">
        <f t="shared" ref="CC12:CD12" si="104">SUM(CC11-CC14)</f>
        <v>699.22971149779937</v>
      </c>
      <c r="CD12" s="3209">
        <f t="shared" si="104"/>
        <v>0</v>
      </c>
      <c r="CE12" s="3209">
        <f>SUM(CF12:CG12)</f>
        <v>1235.373</v>
      </c>
      <c r="CF12" s="3209">
        <f t="shared" ref="CF12:CG12" si="105">SUM(CF11-CF14)</f>
        <v>1235.373</v>
      </c>
      <c r="CG12" s="3209">
        <f t="shared" si="105"/>
        <v>0</v>
      </c>
      <c r="CH12" s="3114">
        <f t="shared" si="85"/>
        <v>1007.3620000000001</v>
      </c>
      <c r="CI12" s="3114">
        <f t="shared" ref="CI12:CJ12" si="106">SUM(CI11-CI14)</f>
        <v>1007.3620000000001</v>
      </c>
      <c r="CJ12" s="3114">
        <f t="shared" si="106"/>
        <v>0</v>
      </c>
      <c r="CK12" s="3209">
        <f>SUM(CL12:CM12)</f>
        <v>536.14328850220068</v>
      </c>
      <c r="CL12" s="3213">
        <f t="shared" si="7"/>
        <v>536.14328850220068</v>
      </c>
      <c r="CM12" s="3213">
        <f t="shared" si="7"/>
        <v>0</v>
      </c>
      <c r="CN12" s="3208">
        <f>SUM(CO12:CP12)</f>
        <v>116.53828524963325</v>
      </c>
      <c r="CO12" s="3208">
        <f t="shared" ref="CO12:CP12" si="107">SUM(CO11-CO14)</f>
        <v>116.53828524963325</v>
      </c>
      <c r="CP12" s="3208">
        <f t="shared" si="107"/>
        <v>0</v>
      </c>
      <c r="CQ12" s="3208">
        <f>SUM(CR12:CS12)</f>
        <v>233.57799999999997</v>
      </c>
      <c r="CR12" s="3208">
        <f t="shared" ref="CR12:CV12" si="108">SUM(CR11-CR14)</f>
        <v>233.57799999999997</v>
      </c>
      <c r="CS12" s="3208">
        <f t="shared" si="108"/>
        <v>0</v>
      </c>
      <c r="CT12" s="3112">
        <f t="shared" si="108"/>
        <v>250.97000000000003</v>
      </c>
      <c r="CU12" s="3112">
        <f t="shared" si="108"/>
        <v>250.96999999999997</v>
      </c>
      <c r="CV12" s="3112">
        <f t="shared" si="108"/>
        <v>0</v>
      </c>
      <c r="CW12" s="3208">
        <f>SUM(CX12:CY12)</f>
        <v>116.53828524963325</v>
      </c>
      <c r="CX12" s="3208">
        <f t="shared" ref="CX12:DE12" si="109">SUM(CX11-CX14)</f>
        <v>116.53828524963325</v>
      </c>
      <c r="CY12" s="3208">
        <f t="shared" si="109"/>
        <v>0</v>
      </c>
      <c r="CZ12" s="3208">
        <f>SUM(DA12:DB12)</f>
        <v>74.87700000000001</v>
      </c>
      <c r="DA12" s="3208">
        <f t="shared" si="109"/>
        <v>74.87700000000001</v>
      </c>
      <c r="DB12" s="3208">
        <f t="shared" si="109"/>
        <v>0</v>
      </c>
      <c r="DC12" s="3112">
        <f t="shared" si="109"/>
        <v>166.61600000000004</v>
      </c>
      <c r="DD12" s="3112">
        <f t="shared" si="109"/>
        <v>166.61599999999999</v>
      </c>
      <c r="DE12" s="3112">
        <f t="shared" si="109"/>
        <v>0</v>
      </c>
      <c r="DF12" s="3208">
        <f>SUM(DG12:DH12)</f>
        <v>116.53828524963325</v>
      </c>
      <c r="DG12" s="3208">
        <f t="shared" ref="DG12:DN12" si="110">SUM(DG11-DG14)</f>
        <v>116.53828524963325</v>
      </c>
      <c r="DH12" s="3208">
        <f t="shared" si="110"/>
        <v>0</v>
      </c>
      <c r="DI12" s="3208">
        <f>SUM(DJ12:DK12)</f>
        <v>90.964000000000055</v>
      </c>
      <c r="DJ12" s="3208">
        <f t="shared" si="110"/>
        <v>90.964000000000055</v>
      </c>
      <c r="DK12" s="3208">
        <f t="shared" si="110"/>
        <v>0</v>
      </c>
      <c r="DL12" s="3112">
        <f t="shared" si="110"/>
        <v>165.78899999999999</v>
      </c>
      <c r="DM12" s="3112">
        <f t="shared" si="110"/>
        <v>165.78899999999999</v>
      </c>
      <c r="DN12" s="3112">
        <f t="shared" si="110"/>
        <v>0</v>
      </c>
      <c r="DO12" s="3209">
        <f>SUM(DP12:DQ12)</f>
        <v>349.61485574889969</v>
      </c>
      <c r="DP12" s="3209">
        <f t="shared" ref="DP12:DQ12" si="111">SUM(DP11-DP14)</f>
        <v>349.61485574889969</v>
      </c>
      <c r="DQ12" s="3209">
        <f t="shared" si="111"/>
        <v>0</v>
      </c>
      <c r="DR12" s="3209">
        <f>SUM(DS12:DT12)</f>
        <v>399.41899999999998</v>
      </c>
      <c r="DS12" s="3209">
        <f t="shared" ref="DS12:DW12" si="112">SUM(DS11-DS14)</f>
        <v>399.41899999999998</v>
      </c>
      <c r="DT12" s="3209">
        <f t="shared" si="112"/>
        <v>0</v>
      </c>
      <c r="DU12" s="3114">
        <f t="shared" si="112"/>
        <v>583.375</v>
      </c>
      <c r="DV12" s="3209">
        <f t="shared" si="112"/>
        <v>583.375</v>
      </c>
      <c r="DW12" s="3209">
        <f t="shared" si="112"/>
        <v>0</v>
      </c>
      <c r="DX12" s="3209">
        <f>SUM(DY12:DZ12)</f>
        <v>49.804144251100297</v>
      </c>
      <c r="DY12" s="3213">
        <f t="shared" si="11"/>
        <v>49.804144251100297</v>
      </c>
      <c r="DZ12" s="3213">
        <f t="shared" si="11"/>
        <v>0</v>
      </c>
      <c r="EA12" s="3209">
        <f>SUM(EB12:EC12)</f>
        <v>1048.8445672466996</v>
      </c>
      <c r="EB12" s="3209">
        <f t="shared" ref="EB12:EC12" si="113">SUM(EB11-EB14)</f>
        <v>1048.8445672466996</v>
      </c>
      <c r="EC12" s="3209">
        <f t="shared" si="113"/>
        <v>0</v>
      </c>
      <c r="ED12" s="3209">
        <f>SUM(EE12:EF12)</f>
        <v>1634.791999999999</v>
      </c>
      <c r="EE12" s="3209">
        <f t="shared" ref="EE12:EF12" si="114">SUM(EE11-EE14)</f>
        <v>1634.791999999999</v>
      </c>
      <c r="EF12" s="3209">
        <f t="shared" si="114"/>
        <v>0</v>
      </c>
      <c r="EG12" s="3209">
        <f t="shared" ref="EG12:EI12" si="115">SUM(EG11-EG14)</f>
        <v>1590.7370000000001</v>
      </c>
      <c r="EH12" s="3209">
        <f t="shared" si="115"/>
        <v>1590.7370000000001</v>
      </c>
      <c r="EI12" s="3209">
        <f t="shared" si="115"/>
        <v>0</v>
      </c>
      <c r="EJ12" s="3209">
        <f>SUM(EK12:EL12)</f>
        <v>585.94743275329938</v>
      </c>
      <c r="EK12" s="3213">
        <f t="shared" si="14"/>
        <v>585.94743275329938</v>
      </c>
      <c r="EL12" s="3213">
        <f t="shared" si="14"/>
        <v>0</v>
      </c>
      <c r="EM12" s="3208">
        <f>SUM(EN12:EO12)</f>
        <v>116.53828524963325</v>
      </c>
      <c r="EN12" s="3208">
        <f t="shared" ref="EN12:EO12" si="116">SUM(EN11-EN14)</f>
        <v>116.53828524963325</v>
      </c>
      <c r="EO12" s="3208">
        <f t="shared" si="116"/>
        <v>0</v>
      </c>
      <c r="EP12" s="3208">
        <f>SUM(EQ12:ER12)</f>
        <v>0</v>
      </c>
      <c r="EQ12" s="3208">
        <f t="shared" ref="EQ12:EU12" si="117">SUM(EQ11-EQ14)</f>
        <v>0</v>
      </c>
      <c r="ER12" s="3208">
        <f t="shared" si="117"/>
        <v>0</v>
      </c>
      <c r="ES12" s="3112">
        <f t="shared" si="117"/>
        <v>195.82999999999993</v>
      </c>
      <c r="ET12" s="3112">
        <f t="shared" si="117"/>
        <v>195.82999999999987</v>
      </c>
      <c r="EU12" s="3112">
        <f t="shared" si="117"/>
        <v>0</v>
      </c>
      <c r="EV12" s="3208">
        <f>SUM(EW12:EX12)</f>
        <v>116.53828524963325</v>
      </c>
      <c r="EW12" s="3208">
        <f t="shared" ref="EW12:FD12" si="118">SUM(EW11-EW14)</f>
        <v>116.53828524963325</v>
      </c>
      <c r="EX12" s="3208">
        <f t="shared" si="118"/>
        <v>0</v>
      </c>
      <c r="EY12" s="3208">
        <f>SUM(EZ12:FA12)</f>
        <v>0</v>
      </c>
      <c r="EZ12" s="3208">
        <f t="shared" si="118"/>
        <v>0</v>
      </c>
      <c r="FA12" s="3208">
        <f t="shared" si="118"/>
        <v>0</v>
      </c>
      <c r="FB12" s="3112">
        <f t="shared" si="118"/>
        <v>204.07999999999993</v>
      </c>
      <c r="FC12" s="3112">
        <f t="shared" si="118"/>
        <v>204.07999999999993</v>
      </c>
      <c r="FD12" s="3112">
        <f t="shared" si="118"/>
        <v>0</v>
      </c>
      <c r="FE12" s="3208">
        <f>SUM(FF12:FG12)</f>
        <v>116.53828524963325</v>
      </c>
      <c r="FF12" s="3208">
        <f t="shared" ref="FF12:FG12" si="119">SUM(FF11-FF14)</f>
        <v>116.53828524963325</v>
      </c>
      <c r="FG12" s="3208">
        <f t="shared" si="119"/>
        <v>0</v>
      </c>
      <c r="FH12" s="3208">
        <f>SUM(FI12:FJ12)</f>
        <v>0</v>
      </c>
      <c r="FI12" s="3208">
        <f t="shared" ref="FI12:FM12" si="120">SUM(FI11-FI14)</f>
        <v>0</v>
      </c>
      <c r="FJ12" s="3208">
        <f t="shared" si="120"/>
        <v>0</v>
      </c>
      <c r="FK12" s="3112">
        <f t="shared" si="120"/>
        <v>172.93700000000001</v>
      </c>
      <c r="FL12" s="3112">
        <f t="shared" si="120"/>
        <v>172.93700000000001</v>
      </c>
      <c r="FM12" s="3112">
        <f t="shared" si="120"/>
        <v>0</v>
      </c>
      <c r="FN12" s="3209">
        <f>SUM(FO12:FP12)</f>
        <v>349.61485574889969</v>
      </c>
      <c r="FO12" s="3209">
        <f t="shared" ref="FO12:FP12" si="121">SUM(FO11-FO14)</f>
        <v>349.61485574889969</v>
      </c>
      <c r="FP12" s="3209">
        <f t="shared" si="121"/>
        <v>0</v>
      </c>
      <c r="FQ12" s="3209">
        <f>SUM(FR12:FS12)</f>
        <v>0</v>
      </c>
      <c r="FR12" s="3209">
        <f t="shared" ref="FR12:FT12" si="122">SUM(FR11-FR14)</f>
        <v>0</v>
      </c>
      <c r="FS12" s="3209">
        <f t="shared" si="122"/>
        <v>0</v>
      </c>
      <c r="FT12" s="3114">
        <f t="shared" si="122"/>
        <v>572.84699999999998</v>
      </c>
      <c r="FU12" s="3114">
        <f t="shared" ref="FU12:FV12" si="123">SUM(FU11-FU14)</f>
        <v>572.84699999999964</v>
      </c>
      <c r="FV12" s="3114">
        <f t="shared" si="123"/>
        <v>0</v>
      </c>
      <c r="FW12" s="3209">
        <f>SUM(FX12:FY12)</f>
        <v>-349.61485574889969</v>
      </c>
      <c r="FX12" s="3213">
        <f t="shared" si="18"/>
        <v>-349.61485574889969</v>
      </c>
      <c r="FY12" s="3213">
        <f t="shared" si="18"/>
        <v>0</v>
      </c>
      <c r="FZ12" s="3221">
        <f>SUM(GA12:GB12)</f>
        <v>1398.4594229955997</v>
      </c>
      <c r="GA12" s="3221">
        <f t="shared" ref="GA12:GB12" si="124">SUM(GA11-GA14)</f>
        <v>1398.4594229955997</v>
      </c>
      <c r="GB12" s="3221">
        <f t="shared" si="124"/>
        <v>0</v>
      </c>
      <c r="GC12" s="3209">
        <f>SUM(GD12:GE12)</f>
        <v>1634.791999999999</v>
      </c>
      <c r="GD12" s="3222">
        <f t="shared" ref="GD12:GE12" si="125">SUM(GD11-GD14)</f>
        <v>1634.791999999999</v>
      </c>
      <c r="GE12" s="3222">
        <f t="shared" si="125"/>
        <v>0</v>
      </c>
      <c r="GF12" s="3222">
        <f t="shared" si="85"/>
        <v>2163.5839999999998</v>
      </c>
      <c r="GG12" s="3222">
        <f t="shared" ref="GG12:GH12" si="126">SUM(GG11-GG14)</f>
        <v>2163.5839999999998</v>
      </c>
      <c r="GH12" s="3222">
        <f t="shared" si="126"/>
        <v>0</v>
      </c>
      <c r="GI12" s="3209">
        <f>SUM(GJ12:GK12)</f>
        <v>236.33257700439935</v>
      </c>
      <c r="GJ12" s="3223">
        <f t="shared" si="21"/>
        <v>236.33257700439935</v>
      </c>
      <c r="GK12" s="3223">
        <f t="shared" si="21"/>
        <v>0</v>
      </c>
      <c r="GL12" s="627"/>
    </row>
    <row r="13" spans="1:195" ht="18.75" x14ac:dyDescent="0.3">
      <c r="A13" s="3081" t="s">
        <v>114</v>
      </c>
      <c r="B13" s="3064">
        <f t="shared" ref="B13:C13" si="127">SUM(B12/B11)</f>
        <v>0.27632872382703932</v>
      </c>
      <c r="C13" s="3064">
        <f t="shared" si="127"/>
        <v>0.27642540176472358</v>
      </c>
      <c r="D13" s="3064">
        <f t="shared" ref="D13:AB13" si="128">SUM(D12/D11)</f>
        <v>0</v>
      </c>
      <c r="E13" s="3064">
        <f t="shared" si="128"/>
        <v>0.40932961741174689</v>
      </c>
      <c r="F13" s="3064">
        <f t="shared" si="128"/>
        <v>0.40942276330261312</v>
      </c>
      <c r="G13" s="3064">
        <f t="shared" si="128"/>
        <v>0</v>
      </c>
      <c r="H13" s="3064">
        <f t="shared" si="128"/>
        <v>0.36125568575051914</v>
      </c>
      <c r="I13" s="3064">
        <f t="shared" si="128"/>
        <v>0.36135687903416214</v>
      </c>
      <c r="J13" s="3064">
        <f t="shared" si="128"/>
        <v>0</v>
      </c>
      <c r="K13" s="3064">
        <f t="shared" si="128"/>
        <v>0.27632872382703932</v>
      </c>
      <c r="L13" s="3064">
        <f t="shared" si="128"/>
        <v>0.27642540176472358</v>
      </c>
      <c r="M13" s="3064">
        <f t="shared" si="128"/>
        <v>0</v>
      </c>
      <c r="N13" s="3064">
        <f t="shared" ref="N13:S13" si="129">SUM(N12/N11)</f>
        <v>0.35253210089163084</v>
      </c>
      <c r="O13" s="3064">
        <f t="shared" si="129"/>
        <v>0.35260128210719111</v>
      </c>
      <c r="P13" s="3064">
        <f t="shared" si="129"/>
        <v>0</v>
      </c>
      <c r="Q13" s="3064">
        <f t="shared" si="129"/>
        <v>0.25185099134425948</v>
      </c>
      <c r="R13" s="3064">
        <f t="shared" si="129"/>
        <v>0.25195851250293511</v>
      </c>
      <c r="S13" s="3064">
        <f t="shared" si="129"/>
        <v>0</v>
      </c>
      <c r="T13" s="3064">
        <f t="shared" si="128"/>
        <v>0.27632872382703932</v>
      </c>
      <c r="U13" s="3064">
        <f t="shared" si="128"/>
        <v>0.27642540176472358</v>
      </c>
      <c r="V13" s="3064">
        <f t="shared" si="128"/>
        <v>0</v>
      </c>
      <c r="W13" s="3064">
        <f t="shared" si="128"/>
        <v>0.43745739129048078</v>
      </c>
      <c r="X13" s="3064">
        <f t="shared" si="128"/>
        <v>0.43752280280631523</v>
      </c>
      <c r="Y13" s="3064">
        <f t="shared" si="128"/>
        <v>0</v>
      </c>
      <c r="Z13" s="3064">
        <f t="shared" si="128"/>
        <v>0.37676044530883229</v>
      </c>
      <c r="AA13" s="3064">
        <f t="shared" si="128"/>
        <v>0.37685522145264877</v>
      </c>
      <c r="AB13" s="3064">
        <f t="shared" si="128"/>
        <v>0</v>
      </c>
      <c r="AC13" s="3065">
        <f t="shared" ref="AC13:AE13" si="130">SUM(AC12/AC11)</f>
        <v>0.27632872382703921</v>
      </c>
      <c r="AD13" s="3065">
        <f t="shared" si="130"/>
        <v>0.27642540176472352</v>
      </c>
      <c r="AE13" s="3065">
        <f t="shared" si="130"/>
        <v>0</v>
      </c>
      <c r="AF13" s="3065">
        <f t="shared" ref="AF13:AH13" si="131">SUM(AF12/AF11)</f>
        <v>0.40130243549657624</v>
      </c>
      <c r="AG13" s="3065">
        <f t="shared" si="131"/>
        <v>0.40137932147171546</v>
      </c>
      <c r="AH13" s="3065">
        <f t="shared" si="131"/>
        <v>0</v>
      </c>
      <c r="AI13" s="3116">
        <f t="shared" ref="AI13:GF13" si="132">SUM(AI12/AI11)</f>
        <v>0.33355589121923357</v>
      </c>
      <c r="AJ13" s="3116">
        <f t="shared" si="132"/>
        <v>0.33366083948837533</v>
      </c>
      <c r="AK13" s="3116">
        <f t="shared" si="132"/>
        <v>0</v>
      </c>
      <c r="AL13" s="3148">
        <f t="shared" ref="AL13" si="133">SUM(AF13-AC13)</f>
        <v>0.12497371166953702</v>
      </c>
      <c r="AM13" s="3148">
        <f t="shared" ref="AM13" si="134">SUM(AG13-AD13)</f>
        <v>0.12495391970699193</v>
      </c>
      <c r="AN13" s="3148">
        <f t="shared" ref="AN13" si="135">SUM(AH13-AE13)</f>
        <v>0</v>
      </c>
      <c r="AO13" s="3064">
        <f t="shared" ref="AO13:AP13" si="136">SUM(AO12/AO11)</f>
        <v>0.27632872382703932</v>
      </c>
      <c r="AP13" s="3064">
        <f t="shared" si="136"/>
        <v>0.27642540176472358</v>
      </c>
      <c r="AQ13" s="3064">
        <f t="shared" ref="AQ13" si="137">SUM(AQ12/AQ11)</f>
        <v>0</v>
      </c>
      <c r="AR13" s="3064">
        <f t="shared" ref="AR13:BO13" si="138">SUM(AR12/AR11)</f>
        <v>0.42914798119559949</v>
      </c>
      <c r="AS13" s="3064">
        <f t="shared" si="138"/>
        <v>0.42922683542932749</v>
      </c>
      <c r="AT13" s="3064">
        <f t="shared" si="138"/>
        <v>0</v>
      </c>
      <c r="AU13" s="3064">
        <f t="shared" si="138"/>
        <v>0.36593973539279617</v>
      </c>
      <c r="AV13" s="3064">
        <f t="shared" si="138"/>
        <v>0.36617153354025461</v>
      </c>
      <c r="AW13" s="3064">
        <f t="shared" si="138"/>
        <v>0</v>
      </c>
      <c r="AX13" s="3064">
        <f t="shared" si="138"/>
        <v>0.27632872382703932</v>
      </c>
      <c r="AY13" s="3064">
        <f t="shared" si="138"/>
        <v>0.27642540176472358</v>
      </c>
      <c r="AZ13" s="3064">
        <f t="shared" si="138"/>
        <v>0</v>
      </c>
      <c r="BA13" s="3064">
        <f t="shared" si="138"/>
        <v>0.42052936851564426</v>
      </c>
      <c r="BB13" s="3064">
        <f t="shared" si="138"/>
        <v>0.42061269387980227</v>
      </c>
      <c r="BC13" s="3064">
        <f t="shared" si="138"/>
        <v>0</v>
      </c>
      <c r="BD13" s="3064">
        <f t="shared" ref="BD13:BF13" si="139">SUM(BD12/BD11)</f>
        <v>0.38438038508258981</v>
      </c>
      <c r="BE13" s="3064">
        <f t="shared" si="139"/>
        <v>0.38445796214595074</v>
      </c>
      <c r="BF13" s="3064">
        <f t="shared" si="139"/>
        <v>0</v>
      </c>
      <c r="BG13" s="3064">
        <f t="shared" si="138"/>
        <v>0.27632872382703932</v>
      </c>
      <c r="BH13" s="3064">
        <f t="shared" si="138"/>
        <v>0.27642540176472358</v>
      </c>
      <c r="BI13" s="3064">
        <f t="shared" si="138"/>
        <v>0</v>
      </c>
      <c r="BJ13" s="3064">
        <f t="shared" si="138"/>
        <v>0.42755661908544085</v>
      </c>
      <c r="BK13" s="3064">
        <f t="shared" si="138"/>
        <v>0.42762698090207218</v>
      </c>
      <c r="BL13" s="3064">
        <f t="shared" si="138"/>
        <v>0</v>
      </c>
      <c r="BM13" s="3064">
        <f t="shared" si="138"/>
        <v>0.33712588652120612</v>
      </c>
      <c r="BN13" s="3064">
        <f t="shared" si="138"/>
        <v>0.33718778625331253</v>
      </c>
      <c r="BO13" s="3064">
        <f t="shared" si="138"/>
        <v>0</v>
      </c>
      <c r="BP13" s="3065">
        <f t="shared" ref="BP13:BV13" si="140">SUM(BP12/BP11)</f>
        <v>0.27632872382703921</v>
      </c>
      <c r="BQ13" s="3065">
        <f t="shared" si="140"/>
        <v>0.27642540176472352</v>
      </c>
      <c r="BR13" s="3065">
        <f t="shared" si="140"/>
        <v>0</v>
      </c>
      <c r="BS13" s="3065">
        <f t="shared" si="140"/>
        <v>0.42581022178282818</v>
      </c>
      <c r="BT13" s="3065">
        <f t="shared" si="140"/>
        <v>0.42588778330901322</v>
      </c>
      <c r="BU13" s="3065">
        <f t="shared" si="140"/>
        <v>0</v>
      </c>
      <c r="BV13" s="3116">
        <f t="shared" si="140"/>
        <v>0.36259550942270224</v>
      </c>
      <c r="BW13" s="3065">
        <f t="shared" ref="BW13:BX13" si="141">SUM(BW12/BW11)</f>
        <v>0.36271954978250437</v>
      </c>
      <c r="BX13" s="3065">
        <f t="shared" si="141"/>
        <v>0</v>
      </c>
      <c r="BY13" s="3148">
        <f t="shared" ref="BY13" si="142">SUM(BS13-BP13)</f>
        <v>0.14948149795578897</v>
      </c>
      <c r="BZ13" s="3148">
        <f t="shared" ref="BZ13" si="143">SUM(BT13-BQ13)</f>
        <v>0.1494623815442897</v>
      </c>
      <c r="CA13" s="3148">
        <f t="shared" ref="CA13" si="144">SUM(BU13-BR13)</f>
        <v>0</v>
      </c>
      <c r="CB13" s="3065">
        <f t="shared" ref="CB13:CD13" si="145">SUM(CB12/CB11)</f>
        <v>0.27632872382703921</v>
      </c>
      <c r="CC13" s="3065">
        <f t="shared" si="145"/>
        <v>0.27642540176472352</v>
      </c>
      <c r="CD13" s="3065">
        <f t="shared" si="145"/>
        <v>0</v>
      </c>
      <c r="CE13" s="3065">
        <f t="shared" ref="CE13:CG13" si="146">SUM(CE12/CE11)</f>
        <v>0.41360230234942225</v>
      </c>
      <c r="CF13" s="3065">
        <f t="shared" si="146"/>
        <v>0.41367958519963138</v>
      </c>
      <c r="CG13" s="3065">
        <f t="shared" si="146"/>
        <v>0</v>
      </c>
      <c r="CH13" s="3116">
        <f t="shared" si="132"/>
        <v>0.34854018639334144</v>
      </c>
      <c r="CI13" s="3116">
        <f t="shared" si="132"/>
        <v>0.34865478689861357</v>
      </c>
      <c r="CJ13" s="3116">
        <f t="shared" si="132"/>
        <v>0</v>
      </c>
      <c r="CK13" s="3148">
        <f t="shared" ref="CK13" si="147">SUM(CE13-CB13)</f>
        <v>0.13727357852238303</v>
      </c>
      <c r="CL13" s="3148">
        <f t="shared" si="7"/>
        <v>0.13725418343490786</v>
      </c>
      <c r="CM13" s="3148">
        <f t="shared" si="7"/>
        <v>0</v>
      </c>
      <c r="CN13" s="3064">
        <f t="shared" ref="CN13:DN13" si="148">SUM(CN12/CN11)</f>
        <v>0.27632872382703932</v>
      </c>
      <c r="CO13" s="3064">
        <f t="shared" si="148"/>
        <v>0.27642540176472358</v>
      </c>
      <c r="CP13" s="3064">
        <f t="shared" si="148"/>
        <v>0</v>
      </c>
      <c r="CQ13" s="3064">
        <f t="shared" si="148"/>
        <v>0.45865258114556123</v>
      </c>
      <c r="CR13" s="3064">
        <f t="shared" si="148"/>
        <v>0.45873455111070954</v>
      </c>
      <c r="CS13" s="3064">
        <f t="shared" si="148"/>
        <v>0</v>
      </c>
      <c r="CT13" s="3064">
        <f t="shared" si="148"/>
        <v>0.46900637252153765</v>
      </c>
      <c r="CU13" s="3064">
        <f t="shared" si="148"/>
        <v>0.46906773325358847</v>
      </c>
      <c r="CV13" s="3064">
        <f t="shared" si="148"/>
        <v>0</v>
      </c>
      <c r="CW13" s="3064">
        <f t="shared" si="148"/>
        <v>0.27632872382703932</v>
      </c>
      <c r="CX13" s="3064">
        <f t="shared" si="148"/>
        <v>0.27642540176472358</v>
      </c>
      <c r="CY13" s="3064">
        <f t="shared" si="148"/>
        <v>0</v>
      </c>
      <c r="CZ13" s="3064">
        <f t="shared" si="148"/>
        <v>0.19406783834289285</v>
      </c>
      <c r="DA13" s="3064">
        <f t="shared" si="148"/>
        <v>0.19411311793725811</v>
      </c>
      <c r="DB13" s="3064">
        <f t="shared" si="148"/>
        <v>0</v>
      </c>
      <c r="DC13" s="3064">
        <f t="shared" ref="DC13:DE13" si="149">SUM(DC12/DC11)</f>
        <v>0.36031625203280171</v>
      </c>
      <c r="DD13" s="3064">
        <f t="shared" si="149"/>
        <v>0.36037080454897413</v>
      </c>
      <c r="DE13" s="3064">
        <f t="shared" si="149"/>
        <v>0</v>
      </c>
      <c r="DF13" s="3064">
        <f t="shared" si="148"/>
        <v>0.27632872382703932</v>
      </c>
      <c r="DG13" s="3064">
        <f t="shared" si="148"/>
        <v>0.27642540176472358</v>
      </c>
      <c r="DH13" s="3064">
        <f t="shared" si="148"/>
        <v>0</v>
      </c>
      <c r="DI13" s="3064">
        <f t="shared" si="148"/>
        <v>0.23200071413086462</v>
      </c>
      <c r="DJ13" s="3064">
        <f t="shared" si="148"/>
        <v>0.23205398028036087</v>
      </c>
      <c r="DK13" s="3064">
        <f t="shared" si="148"/>
        <v>0</v>
      </c>
      <c r="DL13" s="3064">
        <f t="shared" si="148"/>
        <v>0.35196448701699856</v>
      </c>
      <c r="DM13" s="3064">
        <f t="shared" si="148"/>
        <v>0.35202502133948249</v>
      </c>
      <c r="DN13" s="3064">
        <f t="shared" si="148"/>
        <v>0</v>
      </c>
      <c r="DO13" s="3065">
        <f t="shared" ref="DO13:DW13" si="150">SUM(DO12/DO11)</f>
        <v>0.27632872382703921</v>
      </c>
      <c r="DP13" s="3065">
        <f t="shared" si="150"/>
        <v>0.27642540176472352</v>
      </c>
      <c r="DQ13" s="3065">
        <f t="shared" si="150"/>
        <v>0</v>
      </c>
      <c r="DR13" s="3065">
        <f t="shared" si="150"/>
        <v>0.3103045096893684</v>
      </c>
      <c r="DS13" s="3065">
        <f t="shared" si="150"/>
        <v>0.31036985406161877</v>
      </c>
      <c r="DT13" s="3065">
        <f t="shared" si="150"/>
        <v>0</v>
      </c>
      <c r="DU13" s="3116">
        <f t="shared" si="150"/>
        <v>0.39724152488994358</v>
      </c>
      <c r="DV13" s="3065">
        <f t="shared" si="150"/>
        <v>0.39730131358864135</v>
      </c>
      <c r="DW13" s="3065">
        <f t="shared" si="150"/>
        <v>0</v>
      </c>
      <c r="DX13" s="3148">
        <f t="shared" ref="DX13" si="151">SUM(DR13-DO13)</f>
        <v>3.3975785862329189E-2</v>
      </c>
      <c r="DY13" s="3148">
        <f t="shared" si="11"/>
        <v>3.3944452296895244E-2</v>
      </c>
      <c r="DZ13" s="3148">
        <f t="shared" si="11"/>
        <v>0</v>
      </c>
      <c r="EA13" s="3065">
        <f t="shared" ref="EA13:EC13" si="152">SUM(EA12/EA11)</f>
        <v>0.27632872382703938</v>
      </c>
      <c r="EB13" s="3065">
        <f t="shared" si="152"/>
        <v>0.27642540176472363</v>
      </c>
      <c r="EC13" s="3065">
        <f t="shared" si="152"/>
        <v>0</v>
      </c>
      <c r="ED13" s="3065">
        <f t="shared" ref="ED13:EF13" si="153">SUM(ED12/ED11)</f>
        <v>0.38249284167741743</v>
      </c>
      <c r="EE13" s="3065">
        <f t="shared" si="153"/>
        <v>0.38256704492189353</v>
      </c>
      <c r="EF13" s="3065">
        <f t="shared" si="153"/>
        <v>0</v>
      </c>
      <c r="EG13" s="3065">
        <f t="shared" ref="EG13" si="154">SUM(EG12/EG11)</f>
        <v>0.36494863146872863</v>
      </c>
      <c r="EH13" s="3065">
        <f t="shared" ref="EH13:EI13" si="155">SUM(EH12/EH11)</f>
        <v>0.36504670203454814</v>
      </c>
      <c r="EI13" s="3065">
        <f t="shared" si="155"/>
        <v>0</v>
      </c>
      <c r="EJ13" s="3148">
        <f t="shared" ref="EJ13" si="156">SUM(ED13-EA13)</f>
        <v>0.10616411785037805</v>
      </c>
      <c r="EK13" s="3148">
        <f t="shared" si="14"/>
        <v>0.1061416431571699</v>
      </c>
      <c r="EL13" s="3148">
        <f t="shared" si="14"/>
        <v>0</v>
      </c>
      <c r="EM13" s="3064">
        <f t="shared" ref="EM13:FA13" si="157">SUM(EM12/EM11)</f>
        <v>0.27632872382703932</v>
      </c>
      <c r="EN13" s="3064">
        <f t="shared" si="157"/>
        <v>0.27642540176472358</v>
      </c>
      <c r="EO13" s="3064">
        <f t="shared" si="157"/>
        <v>0</v>
      </c>
      <c r="EP13" s="3064" t="e">
        <f t="shared" si="157"/>
        <v>#DIV/0!</v>
      </c>
      <c r="EQ13" s="3064" t="e">
        <f t="shared" si="157"/>
        <v>#DIV/0!</v>
      </c>
      <c r="ER13" s="3064" t="e">
        <f t="shared" si="157"/>
        <v>#DIV/0!</v>
      </c>
      <c r="ES13" s="3064">
        <f t="shared" si="157"/>
        <v>0.39375002513340801</v>
      </c>
      <c r="ET13" s="3064">
        <f t="shared" si="157"/>
        <v>0.39381337151544626</v>
      </c>
      <c r="EU13" s="3064">
        <f t="shared" si="157"/>
        <v>0</v>
      </c>
      <c r="EV13" s="3064">
        <f t="shared" si="157"/>
        <v>0.27632872382703932</v>
      </c>
      <c r="EW13" s="3064">
        <f t="shared" si="157"/>
        <v>0.27642540176472358</v>
      </c>
      <c r="EX13" s="3064">
        <f t="shared" si="157"/>
        <v>0</v>
      </c>
      <c r="EY13" s="3064" t="e">
        <f t="shared" si="157"/>
        <v>#DIV/0!</v>
      </c>
      <c r="EZ13" s="3064" t="e">
        <f t="shared" si="157"/>
        <v>#DIV/0!</v>
      </c>
      <c r="FA13" s="3064" t="e">
        <f t="shared" si="157"/>
        <v>#DIV/0!</v>
      </c>
      <c r="FB13" s="3064">
        <f t="shared" ref="FB13:FD13" si="158">SUM(FB12/FB11)</f>
        <v>0.40779298631231881</v>
      </c>
      <c r="FC13" s="3064">
        <f t="shared" si="158"/>
        <v>0.40785818494314202</v>
      </c>
      <c r="FD13" s="3064">
        <f t="shared" si="158"/>
        <v>0</v>
      </c>
      <c r="FE13" s="3064">
        <f t="shared" ref="FE13:FM13" si="159">SUM(FE12/FE11)</f>
        <v>0.27632872382703932</v>
      </c>
      <c r="FF13" s="3064">
        <f t="shared" si="159"/>
        <v>0.27642540176472358</v>
      </c>
      <c r="FG13" s="3064">
        <f t="shared" si="159"/>
        <v>0</v>
      </c>
      <c r="FH13" s="3064" t="e">
        <f t="shared" si="159"/>
        <v>#DIV/0!</v>
      </c>
      <c r="FI13" s="3064" t="e">
        <f t="shared" si="159"/>
        <v>#DIV/0!</v>
      </c>
      <c r="FJ13" s="3064" t="e">
        <f t="shared" si="159"/>
        <v>#DIV/0!</v>
      </c>
      <c r="FK13" s="3064">
        <f t="shared" si="159"/>
        <v>0.37043613860643848</v>
      </c>
      <c r="FL13" s="3064">
        <f t="shared" si="159"/>
        <v>0.37043613860643848</v>
      </c>
      <c r="FM13" s="3064" t="e">
        <f t="shared" si="159"/>
        <v>#DIV/0!</v>
      </c>
      <c r="FN13" s="3065">
        <f t="shared" ref="FN13:FT13" si="160">SUM(FN12/FN11)</f>
        <v>0.27632872382703921</v>
      </c>
      <c r="FO13" s="3065">
        <f t="shared" si="160"/>
        <v>0.27642540176472352</v>
      </c>
      <c r="FP13" s="3065">
        <f t="shared" si="160"/>
        <v>0</v>
      </c>
      <c r="FQ13" s="3065" t="e">
        <f t="shared" si="160"/>
        <v>#DIV/0!</v>
      </c>
      <c r="FR13" s="3065" t="e">
        <f t="shared" si="160"/>
        <v>#DIV/0!</v>
      </c>
      <c r="FS13" s="3065" t="e">
        <f t="shared" si="160"/>
        <v>#DIV/0!</v>
      </c>
      <c r="FT13" s="3116">
        <f t="shared" si="160"/>
        <v>0.39111715278057518</v>
      </c>
      <c r="FU13" s="3116">
        <f t="shared" ref="FU13:FV13" si="161">SUM(FU12/FU11)</f>
        <v>0.39115988372688504</v>
      </c>
      <c r="FV13" s="3116">
        <f t="shared" si="161"/>
        <v>0</v>
      </c>
      <c r="FW13" s="3148" t="e">
        <f t="shared" ref="FW13" si="162">SUM(FQ13-FN13)</f>
        <v>#DIV/0!</v>
      </c>
      <c r="FX13" s="3148" t="e">
        <f t="shared" si="18"/>
        <v>#DIV/0!</v>
      </c>
      <c r="FY13" s="3148" t="e">
        <f t="shared" si="18"/>
        <v>#DIV/0!</v>
      </c>
      <c r="FZ13" s="3224">
        <f t="shared" ref="FZ13:GC13" si="163">SUM(FZ12/FZ11)</f>
        <v>0.27632872382703938</v>
      </c>
      <c r="GA13" s="3224">
        <f t="shared" si="163"/>
        <v>0.27642540176472363</v>
      </c>
      <c r="GB13" s="3224">
        <f t="shared" si="163"/>
        <v>0</v>
      </c>
      <c r="GC13" s="3065">
        <f t="shared" si="163"/>
        <v>0.38249284167741743</v>
      </c>
      <c r="GD13" s="3225">
        <f t="shared" ref="GD13:GE13" si="164">SUM(GD12/GD11)</f>
        <v>0.38256704492189353</v>
      </c>
      <c r="GE13" s="3225">
        <f t="shared" si="164"/>
        <v>0</v>
      </c>
      <c r="GF13" s="3225">
        <f t="shared" si="132"/>
        <v>0.37153022955503961</v>
      </c>
      <c r="GG13" s="3225">
        <f t="shared" ref="GG13:GH13" si="165">SUM(GG12/GG11)</f>
        <v>0.3716151655697274</v>
      </c>
      <c r="GH13" s="3225">
        <f t="shared" si="165"/>
        <v>0</v>
      </c>
      <c r="GI13" s="3148">
        <f t="shared" ref="GI13" si="166">SUM(GC13-FZ13)</f>
        <v>0.10616411785037805</v>
      </c>
      <c r="GJ13" s="3246">
        <f t="shared" si="21"/>
        <v>0.1061416431571699</v>
      </c>
      <c r="GK13" s="3246">
        <f t="shared" si="21"/>
        <v>0</v>
      </c>
      <c r="GL13" s="627"/>
    </row>
    <row r="14" spans="1:195" ht="18.75" x14ac:dyDescent="0.3">
      <c r="A14" s="3106" t="s">
        <v>3586</v>
      </c>
      <c r="B14" s="3207">
        <f>SUM(C14:D14)</f>
        <v>305.1995769444444</v>
      </c>
      <c r="C14" s="3207">
        <f>SUM(C15:C17)</f>
        <v>305.05207694444442</v>
      </c>
      <c r="D14" s="3207">
        <f>SUM(D15:D17)</f>
        <v>0.14749999999999999</v>
      </c>
      <c r="E14" s="3207">
        <f>SUM(F14:G14)</f>
        <v>311.55500000000001</v>
      </c>
      <c r="F14" s="3207">
        <f t="shared" ref="F14:G14" si="167">SUM(F15:F17)</f>
        <v>311.435</v>
      </c>
      <c r="G14" s="3207">
        <f t="shared" si="167"/>
        <v>0.12</v>
      </c>
      <c r="H14" s="3107">
        <f>SUM(H15+H16+H17)</f>
        <v>319.33</v>
      </c>
      <c r="I14" s="3107">
        <f t="shared" ref="I14:J14" si="168">SUM(I15+I16+I17)</f>
        <v>319.19</v>
      </c>
      <c r="J14" s="3107">
        <f t="shared" si="168"/>
        <v>0.14000000000000001</v>
      </c>
      <c r="K14" s="3207">
        <f>SUM(L14:M14)</f>
        <v>305.1995769444444</v>
      </c>
      <c r="L14" s="3207">
        <f>SUM(L15:L17)</f>
        <v>305.05207694444442</v>
      </c>
      <c r="M14" s="3207">
        <f>SUM(M15:M17)</f>
        <v>0.14749999999999999</v>
      </c>
      <c r="N14" s="3207">
        <f>SUM(O14:P14)</f>
        <v>297</v>
      </c>
      <c r="O14" s="3207">
        <f t="shared" ref="O14" si="169">SUM(O15:O17)</f>
        <v>296.91000000000003</v>
      </c>
      <c r="P14" s="3207">
        <f t="shared" ref="P14" si="170">SUM(P15:P17)</f>
        <v>0.09</v>
      </c>
      <c r="Q14" s="3107">
        <f>SUM(Q15+Q16+Q17)</f>
        <v>315.57</v>
      </c>
      <c r="R14" s="3107">
        <f t="shared" ref="R14:S14" si="171">SUM(R15+R16+R17)</f>
        <v>315.39</v>
      </c>
      <c r="S14" s="3107">
        <f t="shared" si="171"/>
        <v>0.18</v>
      </c>
      <c r="T14" s="3207">
        <f>SUM(U14:V14)</f>
        <v>305.1995769444444</v>
      </c>
      <c r="U14" s="3207">
        <f>SUM(U15:U17)</f>
        <v>305.05207694444442</v>
      </c>
      <c r="V14" s="3207">
        <f>SUM(V15:V17)</f>
        <v>0.14749999999999999</v>
      </c>
      <c r="W14" s="3207">
        <f>SUM(X14:Y14)</f>
        <v>282.20400000000001</v>
      </c>
      <c r="X14" s="3207">
        <f t="shared" ref="X14" si="172">SUM(X15:X17)</f>
        <v>282.12900000000002</v>
      </c>
      <c r="Y14" s="3207">
        <f t="shared" ref="Y14" si="173">SUM(Y15:Y17)</f>
        <v>7.4999999999999997E-2</v>
      </c>
      <c r="Z14" s="3107">
        <f>SUM(Z15+Z16+Z17)</f>
        <v>297.38000000000005</v>
      </c>
      <c r="AA14" s="3107">
        <f t="shared" ref="AA14:AB14" si="174">SUM(AA15+AA16+AA17)</f>
        <v>297.26000000000005</v>
      </c>
      <c r="AB14" s="3107">
        <f t="shared" si="174"/>
        <v>0.12</v>
      </c>
      <c r="AC14" s="3206">
        <f>SUM(AD14:AE14)</f>
        <v>915.59873083333332</v>
      </c>
      <c r="AD14" s="3206">
        <f>SUM(AD15:AD17)</f>
        <v>915.15623083333332</v>
      </c>
      <c r="AE14" s="3206">
        <f>SUM(AE15:AE17)</f>
        <v>0.4425</v>
      </c>
      <c r="AF14" s="3206">
        <f>SUM(AG14:AH14)</f>
        <v>890.75900000000001</v>
      </c>
      <c r="AG14" s="3206">
        <f>SUM(AG15:AG17)</f>
        <v>890.47400000000005</v>
      </c>
      <c r="AH14" s="3206">
        <f>SUM(AH15:AH17)</f>
        <v>0.28499999999999998</v>
      </c>
      <c r="AI14" s="3109">
        <f>SUM(AI15+AI16+AI17)</f>
        <v>932.28</v>
      </c>
      <c r="AJ14" s="3109">
        <f t="shared" ref="AJ14:AK14" si="175">SUM(AJ15+AJ16+AJ17)</f>
        <v>931.83999999999992</v>
      </c>
      <c r="AK14" s="3109">
        <f t="shared" si="175"/>
        <v>0.44</v>
      </c>
      <c r="AL14" s="3206">
        <f>SUM(AM14:AN14)</f>
        <v>-24.839730833333316</v>
      </c>
      <c r="AM14" s="3206">
        <f>SUM(AM15:AM17)</f>
        <v>-24.682230833333318</v>
      </c>
      <c r="AN14" s="3206">
        <f>SUM(AN15:AN17)</f>
        <v>-0.15750000000000003</v>
      </c>
      <c r="AO14" s="3207">
        <f>SUM(AP14:AQ14)</f>
        <v>305.1995769444444</v>
      </c>
      <c r="AP14" s="3207">
        <f>SUM(AP15:AP17)</f>
        <v>305.05207694444442</v>
      </c>
      <c r="AQ14" s="3207">
        <f>SUM(AQ15:AQ17)</f>
        <v>0.14749999999999999</v>
      </c>
      <c r="AR14" s="3207">
        <f>SUM(AS14:AT14)</f>
        <v>295.19499999999999</v>
      </c>
      <c r="AS14" s="3207">
        <f t="shared" ref="AS14" si="176">SUM(AS15:AS17)</f>
        <v>295.09999999999997</v>
      </c>
      <c r="AT14" s="3207">
        <f t="shared" ref="AT14" si="177">SUM(AT15:AT17)</f>
        <v>9.5000000000000001E-2</v>
      </c>
      <c r="AU14" s="3107">
        <f>SUM(AU15+AU16+AU17)</f>
        <v>320.52</v>
      </c>
      <c r="AV14" s="3107">
        <f t="shared" ref="AV14:AW14" si="178">SUM(AV15+AV16+AV17)</f>
        <v>320.2</v>
      </c>
      <c r="AW14" s="3107">
        <f t="shared" si="178"/>
        <v>0.32</v>
      </c>
      <c r="AX14" s="3207">
        <f>SUM(AY14:AZ14)</f>
        <v>305.1995769444444</v>
      </c>
      <c r="AY14" s="3207">
        <f>SUM(AY15:AY17)</f>
        <v>305.05207694444442</v>
      </c>
      <c r="AZ14" s="3207">
        <f>SUM(AZ15:AZ17)</f>
        <v>0.14749999999999999</v>
      </c>
      <c r="BA14" s="3207">
        <f>SUM(BB14:BC14)</f>
        <v>283.73199999999997</v>
      </c>
      <c r="BB14" s="3207">
        <f t="shared" ref="BB14:BC14" si="179">SUM(BB15:BB17)</f>
        <v>283.63499999999999</v>
      </c>
      <c r="BC14" s="3207">
        <f t="shared" si="179"/>
        <v>9.7000000000000003E-2</v>
      </c>
      <c r="BD14" s="3107">
        <f>SUM(BD15+BD16+BD17)</f>
        <v>305.08999999999997</v>
      </c>
      <c r="BE14" s="3107">
        <f t="shared" ref="BE14:BF14" si="180">SUM(BE15+BE16+BE17)</f>
        <v>304.99</v>
      </c>
      <c r="BF14" s="3107">
        <f t="shared" si="180"/>
        <v>0.1</v>
      </c>
      <c r="BG14" s="3207">
        <f>SUM(BH14:BI14)</f>
        <v>305.1995769444444</v>
      </c>
      <c r="BH14" s="3207">
        <f>SUM(BH15:BH17)</f>
        <v>305.05207694444442</v>
      </c>
      <c r="BI14" s="3207">
        <f>SUM(BI15:BI17)</f>
        <v>0.14749999999999999</v>
      </c>
      <c r="BJ14" s="3207">
        <f>SUM(BK14:BL14)</f>
        <v>281.80300000000005</v>
      </c>
      <c r="BK14" s="3207">
        <f t="shared" ref="BK14:BL14" si="181">SUM(BK15:BK17)</f>
        <v>281.72200000000004</v>
      </c>
      <c r="BL14" s="3207">
        <f t="shared" si="181"/>
        <v>8.1000000000000003E-2</v>
      </c>
      <c r="BM14" s="3107">
        <f>SUM(BM15+BM16+BM17)</f>
        <v>324.98</v>
      </c>
      <c r="BN14" s="3107">
        <f t="shared" ref="BN14:BO14" si="182">SUM(BN15+BN16+BN17)</f>
        <v>324.89000000000004</v>
      </c>
      <c r="BO14" s="3107">
        <f t="shared" si="182"/>
        <v>0.09</v>
      </c>
      <c r="BP14" s="3206">
        <f>SUM(BQ14:BR14)</f>
        <v>915.59873083333332</v>
      </c>
      <c r="BQ14" s="3206">
        <f>SUM(BQ15:BQ17)</f>
        <v>915.15623083333332</v>
      </c>
      <c r="BR14" s="3206">
        <f>SUM(BR15:BR17)</f>
        <v>0.4425</v>
      </c>
      <c r="BS14" s="3206">
        <f>SUM(BT14:BU14)</f>
        <v>860.73</v>
      </c>
      <c r="BT14" s="3206">
        <f>SUM(BT15:BT17)</f>
        <v>860.45699999999999</v>
      </c>
      <c r="BU14" s="3206">
        <f>SUM(BU15:BU17)</f>
        <v>0.27300000000000002</v>
      </c>
      <c r="BV14" s="3109">
        <f>SUM(BV15+BV16+BV17)</f>
        <v>950.59000000000015</v>
      </c>
      <c r="BW14" s="3206">
        <f t="shared" ref="BW14:BX14" si="183">SUM(BW15:BW17)</f>
        <v>950.08000000000015</v>
      </c>
      <c r="BX14" s="3206">
        <f t="shared" si="183"/>
        <v>0.51</v>
      </c>
      <c r="BY14" s="3206">
        <f>SUM(BZ14:CA14)</f>
        <v>-54.868730833333331</v>
      </c>
      <c r="BZ14" s="3206">
        <f>SUM(BZ15:BZ17)</f>
        <v>-54.699230833333331</v>
      </c>
      <c r="CA14" s="3206">
        <f>SUM(CA15:CA17)</f>
        <v>-0.16949999999999998</v>
      </c>
      <c r="CB14" s="3206">
        <f>SUM(CC14:CD14)</f>
        <v>1831.1974616666666</v>
      </c>
      <c r="CC14" s="3206">
        <f>SUM(CC15:CC17)</f>
        <v>1830.3124616666666</v>
      </c>
      <c r="CD14" s="3206">
        <f>SUM(CD15:CD17)</f>
        <v>0.88500000000000001</v>
      </c>
      <c r="CE14" s="3206">
        <f>SUM(CF14:CG14)</f>
        <v>1751.489</v>
      </c>
      <c r="CF14" s="3206">
        <f>SUM(CF15:CF17)</f>
        <v>1750.931</v>
      </c>
      <c r="CG14" s="3206">
        <f>SUM(CG15:CG17)</f>
        <v>0.55800000000000005</v>
      </c>
      <c r="CH14" s="3109">
        <f>SUM(CH15+CH16+CH17)</f>
        <v>1882.87</v>
      </c>
      <c r="CI14" s="3109">
        <f t="shared" ref="CI14:CJ14" si="184">SUM(CI15+CI16+CI17)</f>
        <v>1881.92</v>
      </c>
      <c r="CJ14" s="3109">
        <f t="shared" si="184"/>
        <v>0.95</v>
      </c>
      <c r="CK14" s="3206">
        <f>SUM(CL14:CM14)</f>
        <v>-79.708461666666608</v>
      </c>
      <c r="CL14" s="3212">
        <f t="shared" si="7"/>
        <v>-79.38146166666661</v>
      </c>
      <c r="CM14" s="3212">
        <f t="shared" si="7"/>
        <v>-0.32699999999999996</v>
      </c>
      <c r="CN14" s="3207">
        <f>SUM(CO14:CP14)</f>
        <v>305.1995769444444</v>
      </c>
      <c r="CO14" s="3207">
        <f>SUM(CO15:CO17)</f>
        <v>305.05207694444442</v>
      </c>
      <c r="CP14" s="3207">
        <f>SUM(CP15:CP17)</f>
        <v>0.14749999999999999</v>
      </c>
      <c r="CQ14" s="3207">
        <f>SUM(CR14:CS14)</f>
        <v>275.69200000000001</v>
      </c>
      <c r="CR14" s="3207">
        <f t="shared" ref="CR14:CS14" si="185">SUM(CR15:CR17)</f>
        <v>275.601</v>
      </c>
      <c r="CS14" s="3207">
        <f t="shared" si="185"/>
        <v>9.0999999999999998E-2</v>
      </c>
      <c r="CT14" s="3107">
        <f>SUM(CT15+CT16+CT17)</f>
        <v>284.14</v>
      </c>
      <c r="CU14" s="3107">
        <f t="shared" ref="CU14:CV14" si="186">SUM(CU15+CU16+CU17)</f>
        <v>284.07</v>
      </c>
      <c r="CV14" s="3107">
        <f t="shared" si="186"/>
        <v>7.0000000000000007E-2</v>
      </c>
      <c r="CW14" s="3207">
        <f>SUM(CX14:CY14)</f>
        <v>305.1995769444444</v>
      </c>
      <c r="CX14" s="3207">
        <f>SUM(CX15:CX17)</f>
        <v>305.05207694444442</v>
      </c>
      <c r="CY14" s="3207">
        <f>SUM(CY15:CY17)</f>
        <v>0.14749999999999999</v>
      </c>
      <c r="CZ14" s="3207">
        <f>SUM(DA14:DB14)</f>
        <v>310.952</v>
      </c>
      <c r="DA14" s="3207">
        <f t="shared" ref="DA14:DB14" si="187">SUM(DA15:DA17)</f>
        <v>310.86200000000002</v>
      </c>
      <c r="DB14" s="3207">
        <f t="shared" si="187"/>
        <v>0.09</v>
      </c>
      <c r="DC14" s="3107">
        <f>SUM(DC15+DC16+DC17)</f>
        <v>295.8</v>
      </c>
      <c r="DD14" s="3107">
        <f t="shared" ref="DD14:DE14" si="188">SUM(DD15+DD16+DD17)</f>
        <v>295.73</v>
      </c>
      <c r="DE14" s="3107">
        <f t="shared" si="188"/>
        <v>7.0000000000000007E-2</v>
      </c>
      <c r="DF14" s="3207">
        <f>SUM(DG14:DH14)</f>
        <v>305.1995769444444</v>
      </c>
      <c r="DG14" s="3207">
        <f>SUM(DG15:DG17)</f>
        <v>305.05207694444442</v>
      </c>
      <c r="DH14" s="3207">
        <f>SUM(DH15:DH17)</f>
        <v>0.14749999999999999</v>
      </c>
      <c r="DI14" s="3207">
        <f>SUM(DJ14:DK14)</f>
        <v>301.12099999999992</v>
      </c>
      <c r="DJ14" s="3207">
        <f t="shared" ref="DJ14:DK14" si="189">SUM(DJ15:DJ17)</f>
        <v>301.03099999999995</v>
      </c>
      <c r="DK14" s="3207">
        <f t="shared" si="189"/>
        <v>0.09</v>
      </c>
      <c r="DL14" s="3107">
        <f>SUM(DL15+DL16+DL17)</f>
        <v>305.25</v>
      </c>
      <c r="DM14" s="3107">
        <f t="shared" ref="DM14:DN14" si="190">SUM(DM15+DM16+DM17)</f>
        <v>305.16899999999998</v>
      </c>
      <c r="DN14" s="3107">
        <f t="shared" si="190"/>
        <v>8.1000000000000003E-2</v>
      </c>
      <c r="DO14" s="3206">
        <f>SUM(DP14:DQ14)</f>
        <v>915.59873083333332</v>
      </c>
      <c r="DP14" s="3206">
        <f>SUM(DP15:DP17)</f>
        <v>915.15623083333332</v>
      </c>
      <c r="DQ14" s="3206">
        <f>SUM(DQ15:DQ17)</f>
        <v>0.4425</v>
      </c>
      <c r="DR14" s="3206">
        <f>SUM(DS14:DT14)</f>
        <v>887.76499999999999</v>
      </c>
      <c r="DS14" s="3206">
        <f>SUM(DS15:DS17)</f>
        <v>887.49400000000003</v>
      </c>
      <c r="DT14" s="3206">
        <f>SUM(DT15:DT17)</f>
        <v>0.27100000000000002</v>
      </c>
      <c r="DU14" s="3109">
        <f>SUM(DU15+DU16+DU17)</f>
        <v>885.19</v>
      </c>
      <c r="DV14" s="3206">
        <f t="shared" ref="DV14" si="191">SUM(DV15:DV17)</f>
        <v>884.96900000000005</v>
      </c>
      <c r="DW14" s="3206">
        <f t="shared" ref="DW14" si="192">SUM(DW15:DW17)</f>
        <v>0.22100000000000003</v>
      </c>
      <c r="DX14" s="3206">
        <f>SUM(DY14:DZ14)</f>
        <v>-27.833730833333298</v>
      </c>
      <c r="DY14" s="3212">
        <f t="shared" si="11"/>
        <v>-27.662230833333297</v>
      </c>
      <c r="DZ14" s="3212">
        <f t="shared" si="11"/>
        <v>-0.17149999999999999</v>
      </c>
      <c r="EA14" s="3206">
        <f>SUM(EB14:EC14)</f>
        <v>2746.7961924999995</v>
      </c>
      <c r="EB14" s="3206">
        <f>SUM(EB15:EB17)</f>
        <v>2745.4686924999996</v>
      </c>
      <c r="EC14" s="3206">
        <f>SUM(EC15:EC17)</f>
        <v>1.3275000000000001</v>
      </c>
      <c r="ED14" s="3206">
        <f>SUM(EE14:EF14)</f>
        <v>2639.2540000000008</v>
      </c>
      <c r="EE14" s="3206">
        <f>SUM(EE15:EE17)</f>
        <v>2638.4250000000006</v>
      </c>
      <c r="EF14" s="3206">
        <f>SUM(EF15:EF17)</f>
        <v>0.82900000000000007</v>
      </c>
      <c r="EG14" s="3206">
        <f>SUM(EG15:EG17)</f>
        <v>2768.0600000000004</v>
      </c>
      <c r="EH14" s="3206">
        <f t="shared" ref="EH14:EI14" si="193">SUM(EH15:EH17)</f>
        <v>2766.8890000000001</v>
      </c>
      <c r="EI14" s="3206">
        <f t="shared" si="193"/>
        <v>1.171</v>
      </c>
      <c r="EJ14" s="3206">
        <f>SUM(EK14:EL14)</f>
        <v>-107.542192499999</v>
      </c>
      <c r="EK14" s="3212">
        <f t="shared" si="14"/>
        <v>-107.043692499999</v>
      </c>
      <c r="EL14" s="3212">
        <f t="shared" si="14"/>
        <v>-0.49850000000000005</v>
      </c>
      <c r="EM14" s="3207">
        <f>SUM(EN14:EO14)</f>
        <v>305.1995769444444</v>
      </c>
      <c r="EN14" s="3207">
        <f>SUM(EN15:EN17)</f>
        <v>305.05207694444442</v>
      </c>
      <c r="EO14" s="3207">
        <f>SUM(EO15:EO17)</f>
        <v>0.14749999999999999</v>
      </c>
      <c r="EP14" s="3207">
        <f>SUM(EQ14:ER14)</f>
        <v>0</v>
      </c>
      <c r="EQ14" s="3207">
        <f t="shared" ref="EQ14:ER14" si="194">SUM(EQ15:EQ17)</f>
        <v>0</v>
      </c>
      <c r="ER14" s="3207">
        <f t="shared" si="194"/>
        <v>0</v>
      </c>
      <c r="ES14" s="3107">
        <f>SUM(ES15+ES16+ES17)</f>
        <v>301.51600000000002</v>
      </c>
      <c r="ET14" s="3107">
        <f t="shared" ref="ET14:EU14" si="195">SUM(ET15+ET16+ET17)</f>
        <v>301.43600000000004</v>
      </c>
      <c r="EU14" s="3107">
        <f t="shared" si="195"/>
        <v>0.08</v>
      </c>
      <c r="EV14" s="3207">
        <f>SUM(EW14:EX14)</f>
        <v>305.1995769444444</v>
      </c>
      <c r="EW14" s="3207">
        <f>SUM(EW15:EW17)</f>
        <v>305.05207694444442</v>
      </c>
      <c r="EX14" s="3207">
        <f>SUM(EX15:EX17)</f>
        <v>0.14749999999999999</v>
      </c>
      <c r="EY14" s="3207">
        <f>SUM(EZ14:FA14)</f>
        <v>0</v>
      </c>
      <c r="EZ14" s="3207">
        <f t="shared" ref="EZ14:FA14" si="196">SUM(EZ15:EZ17)</f>
        <v>0</v>
      </c>
      <c r="FA14" s="3207">
        <f t="shared" si="196"/>
        <v>0</v>
      </c>
      <c r="FB14" s="3107">
        <f>SUM(FB15+FB16+FB17)</f>
        <v>296.37</v>
      </c>
      <c r="FC14" s="3107">
        <f t="shared" ref="FC14:FD14" si="197">SUM(FC15+FC16+FC17)</f>
        <v>296.28999999999996</v>
      </c>
      <c r="FD14" s="3107">
        <f t="shared" si="197"/>
        <v>0.08</v>
      </c>
      <c r="FE14" s="3207">
        <f>SUM(FF14:FG14)</f>
        <v>305.1995769444444</v>
      </c>
      <c r="FF14" s="3207">
        <f>SUM(FF15:FF17)</f>
        <v>305.05207694444442</v>
      </c>
      <c r="FG14" s="3207">
        <f>SUM(FG15:FG17)</f>
        <v>0.14749999999999999</v>
      </c>
      <c r="FH14" s="3207">
        <f>SUM(FI14:FJ14)</f>
        <v>0</v>
      </c>
      <c r="FI14" s="3207">
        <f t="shared" ref="FI14:FJ14" si="198">SUM(FI15:FI17)</f>
        <v>0</v>
      </c>
      <c r="FJ14" s="3207">
        <f t="shared" si="198"/>
        <v>0</v>
      </c>
      <c r="FK14" s="3107">
        <f>SUM(FK15+FK16+FK17)</f>
        <v>293.91000000000003</v>
      </c>
      <c r="FL14" s="3107">
        <f t="shared" ref="FL14:FM14" si="199">SUM(FL15+FL16+FL17)</f>
        <v>293.91000000000003</v>
      </c>
      <c r="FM14" s="3107">
        <f t="shared" si="199"/>
        <v>0</v>
      </c>
      <c r="FN14" s="3206">
        <f>SUM(FO14:FP14)</f>
        <v>915.59873083333332</v>
      </c>
      <c r="FO14" s="3206">
        <f>SUM(FO15:FO17)</f>
        <v>915.15623083333332</v>
      </c>
      <c r="FP14" s="3206">
        <f>SUM(FP15:FP17)</f>
        <v>0.4425</v>
      </c>
      <c r="FQ14" s="3206">
        <f>SUM(FR14:FS14)</f>
        <v>0</v>
      </c>
      <c r="FR14" s="3206">
        <f>SUM(FR15:FR17)</f>
        <v>0</v>
      </c>
      <c r="FS14" s="3206">
        <f>SUM(FS15:FS17)</f>
        <v>0</v>
      </c>
      <c r="FT14" s="3109">
        <f>SUM(FT15+FT16+FT17)</f>
        <v>891.79600000000005</v>
      </c>
      <c r="FU14" s="3109">
        <f t="shared" ref="FU14:FV14" si="200">SUM(FU15+FU16+FU17)</f>
        <v>891.63600000000008</v>
      </c>
      <c r="FV14" s="3109">
        <f t="shared" si="200"/>
        <v>0.16</v>
      </c>
      <c r="FW14" s="3206">
        <f>SUM(FX14:FY14)</f>
        <v>-915.59873083333332</v>
      </c>
      <c r="FX14" s="3212">
        <f t="shared" si="18"/>
        <v>-915.15623083333332</v>
      </c>
      <c r="FY14" s="3212">
        <f t="shared" si="18"/>
        <v>-0.4425</v>
      </c>
      <c r="FZ14" s="3218">
        <f>SUM(GA14:GB14)</f>
        <v>3662.3949233333333</v>
      </c>
      <c r="GA14" s="3218">
        <f>SUM(GA15:GA17)</f>
        <v>3660.6249233333333</v>
      </c>
      <c r="GB14" s="3218">
        <f>SUM(GB15:GB17)</f>
        <v>1.77</v>
      </c>
      <c r="GC14" s="3206">
        <f>SUM(GD14:GE14)</f>
        <v>2639.2540000000008</v>
      </c>
      <c r="GD14" s="3219">
        <f t="shared" ref="GD14:GE14" si="201">SUM(GD15+GD16+GD17)</f>
        <v>2638.4250000000006</v>
      </c>
      <c r="GE14" s="3219">
        <f t="shared" si="201"/>
        <v>0.82900000000000007</v>
      </c>
      <c r="GF14" s="3219">
        <f>SUM(GF15+GF16+GF17)</f>
        <v>3659.8559999999998</v>
      </c>
      <c r="GG14" s="3219">
        <f t="shared" ref="GG14:GH14" si="202">SUM(GG15+GG16+GG17)</f>
        <v>3658.5249999999996</v>
      </c>
      <c r="GH14" s="3219">
        <f t="shared" si="202"/>
        <v>1.331</v>
      </c>
      <c r="GI14" s="3206">
        <f>SUM(GJ14:GK14)</f>
        <v>-1023.1409233333327</v>
      </c>
      <c r="GJ14" s="3220">
        <f t="shared" si="21"/>
        <v>-1022.1999233333327</v>
      </c>
      <c r="GK14" s="3220">
        <f t="shared" si="21"/>
        <v>-0.94099999999999995</v>
      </c>
      <c r="GL14" s="627"/>
    </row>
    <row r="15" spans="1:195" ht="18.75" x14ac:dyDescent="0.3">
      <c r="A15" s="3111" t="s">
        <v>24</v>
      </c>
      <c r="B15" s="3208">
        <f t="shared" ref="B15:B16" si="203">SUM(C15:D15)</f>
        <v>205.04777777777778</v>
      </c>
      <c r="C15" s="3208">
        <f t="shared" ref="C15:D19" si="204">SUM(GA15/12)</f>
        <v>205.04777777777778</v>
      </c>
      <c r="D15" s="3208">
        <f t="shared" si="204"/>
        <v>0</v>
      </c>
      <c r="E15" s="3208">
        <f t="shared" ref="E15:E16" si="205">SUM(F15:G15)</f>
        <v>215.489</v>
      </c>
      <c r="F15" s="3112">
        <f>SUM('ПОЛНАЯ СЕБЕСТОИМОСТЬ ВОДА 2019'!F15)</f>
        <v>215.489</v>
      </c>
      <c r="G15" s="3112">
        <f>SUM('ПОЛНАЯ СЕБЕСТОИМОСТЬ ВОДА 2019'!G15)</f>
        <v>0</v>
      </c>
      <c r="H15" s="3113">
        <v>213.77</v>
      </c>
      <c r="I15" s="3113">
        <f>SUM(H15)</f>
        <v>213.77</v>
      </c>
      <c r="J15" s="3113">
        <v>0</v>
      </c>
      <c r="K15" s="3208">
        <f t="shared" ref="K15:K16" si="206">SUM(L15:M15)</f>
        <v>205.04777777777778</v>
      </c>
      <c r="L15" s="3208">
        <f>SUM(GA15/12)</f>
        <v>205.04777777777778</v>
      </c>
      <c r="M15" s="3208">
        <f>SUM(GB15/12)</f>
        <v>0</v>
      </c>
      <c r="N15" s="3208">
        <f t="shared" ref="N15:N16" si="207">SUM(O15:P15)</f>
        <v>198.96</v>
      </c>
      <c r="O15" s="3112">
        <f>SUM('ПОЛНАЯ СЕБЕСТОИМОСТЬ ВОДА 2019'!I15)</f>
        <v>198.96</v>
      </c>
      <c r="P15" s="3112">
        <f>SUM('ПОЛНАЯ СЕБЕСТОИМОСТЬ ВОДА 2019'!J15)</f>
        <v>0</v>
      </c>
      <c r="Q15" s="3113">
        <v>207.75</v>
      </c>
      <c r="R15" s="3113">
        <f>SUM(Q15)</f>
        <v>207.75</v>
      </c>
      <c r="S15" s="3113">
        <v>0</v>
      </c>
      <c r="T15" s="3208">
        <f t="shared" ref="T15:T16" si="208">SUM(U15:V15)</f>
        <v>205.04777777777778</v>
      </c>
      <c r="U15" s="3208">
        <f>SUM(GA15/12)</f>
        <v>205.04777777777778</v>
      </c>
      <c r="V15" s="3208">
        <f>SUM(GB15/12)</f>
        <v>0</v>
      </c>
      <c r="W15" s="3208">
        <f t="shared" ref="W15:W16" si="209">SUM(X15:Y15)</f>
        <v>191.499</v>
      </c>
      <c r="X15" s="3112">
        <f>SUM('ПОЛНАЯ СЕБЕСТОИМОСТЬ ВОДА 2019'!L15)</f>
        <v>191.499</v>
      </c>
      <c r="Y15" s="3112">
        <f>SUM('ПОЛНАЯ СЕБЕСТОИМОСТЬ ВОДА 2019'!M15)</f>
        <v>0</v>
      </c>
      <c r="Z15" s="3113">
        <v>196.9</v>
      </c>
      <c r="AA15" s="3113">
        <f>SUM(Z15)</f>
        <v>196.9</v>
      </c>
      <c r="AB15" s="3113">
        <v>0</v>
      </c>
      <c r="AC15" s="3209">
        <f t="shared" ref="AC15:AC16" si="210">SUM(AD15:AE15)</f>
        <v>615.14333333333332</v>
      </c>
      <c r="AD15" s="3209">
        <f>SUM(C15+L15+U15)</f>
        <v>615.14333333333332</v>
      </c>
      <c r="AE15" s="3209">
        <f>SUM(D15+M15+V15)</f>
        <v>0</v>
      </c>
      <c r="AF15" s="3209">
        <f t="shared" ref="AF15:AF16" si="211">SUM(AG15:AH15)</f>
        <v>605.94799999999998</v>
      </c>
      <c r="AG15" s="3209">
        <f>SUM(F15+O15+X15)</f>
        <v>605.94799999999998</v>
      </c>
      <c r="AH15" s="3209">
        <f>SUM(G15+P15+Y15)</f>
        <v>0</v>
      </c>
      <c r="AI15" s="3114">
        <f t="shared" ref="AI15:AI16" si="212">SUM(H15+Q15+Z15)</f>
        <v>618.41999999999996</v>
      </c>
      <c r="AJ15" s="3114">
        <f t="shared" ref="AJ15:AJ16" si="213">SUM(I15+R15+AA15)</f>
        <v>618.41999999999996</v>
      </c>
      <c r="AK15" s="3114">
        <f t="shared" ref="AK15:AK16" si="214">SUM(J15+S15+AB15)</f>
        <v>0</v>
      </c>
      <c r="AL15" s="3209">
        <f t="shared" ref="AL15:AL16" si="215">SUM(AM15:AN15)</f>
        <v>-9.1953333333333376</v>
      </c>
      <c r="AM15" s="3209">
        <f>SUM(AG15-AD15)</f>
        <v>-9.1953333333333376</v>
      </c>
      <c r="AN15" s="3209">
        <f t="shared" ref="AN15:AN16" si="216">SUM(AH15-AE15)</f>
        <v>0</v>
      </c>
      <c r="AO15" s="3208">
        <f t="shared" ref="AO15:AO16" si="217">SUM(AP15:AQ15)</f>
        <v>205.04777777777778</v>
      </c>
      <c r="AP15" s="3208">
        <f>SUM(GA15/12)</f>
        <v>205.04777777777778</v>
      </c>
      <c r="AQ15" s="3208">
        <f>SUM(GB15/12)</f>
        <v>0</v>
      </c>
      <c r="AR15" s="3208">
        <f t="shared" ref="AR15:AR16" si="218">SUM(AS15:AT15)</f>
        <v>196.1</v>
      </c>
      <c r="AS15" s="3112">
        <f>SUM('ПОЛНАЯ СЕБЕСТОИМОСТЬ ВОДА 2019'!U15)</f>
        <v>196.1</v>
      </c>
      <c r="AT15" s="3112">
        <f>SUM('ПОЛНАЯ СЕБЕСТОИМОСТЬ ВОДА 2019'!V15)</f>
        <v>0</v>
      </c>
      <c r="AU15" s="3113">
        <v>209.84</v>
      </c>
      <c r="AV15" s="3113">
        <f>SUM(AU15)</f>
        <v>209.84</v>
      </c>
      <c r="AW15" s="3113">
        <v>0</v>
      </c>
      <c r="AX15" s="3208">
        <f t="shared" ref="AX15:AX16" si="219">SUM(AY15:AZ15)</f>
        <v>205.04777777777778</v>
      </c>
      <c r="AY15" s="3208">
        <f>SUM(GA15/12)</f>
        <v>205.04777777777778</v>
      </c>
      <c r="AZ15" s="3208">
        <f>SUM(GB15/12)</f>
        <v>0</v>
      </c>
      <c r="BA15" s="3208">
        <f t="shared" ref="BA15:BA16" si="220">SUM(BB15:BC15)</f>
        <v>196.53399999999999</v>
      </c>
      <c r="BB15" s="3112">
        <f>SUM('ПОЛНАЯ СЕБЕСТОИМОСТЬ ВОДА 2019'!X15)</f>
        <v>196.53399999999999</v>
      </c>
      <c r="BC15" s="3112">
        <f>SUM('ПОЛНАЯ СЕБЕСТОИМОСТЬ ВОДА 2019'!Y15)</f>
        <v>0</v>
      </c>
      <c r="BD15" s="3113">
        <v>200.96</v>
      </c>
      <c r="BE15" s="3113">
        <f>SUM(BD15)</f>
        <v>200.96</v>
      </c>
      <c r="BF15" s="3113">
        <v>0</v>
      </c>
      <c r="BG15" s="3208">
        <f t="shared" ref="BG15:BG16" si="221">SUM(BH15:BI15)</f>
        <v>205.04777777777778</v>
      </c>
      <c r="BH15" s="3208">
        <f>SUM(GA15/12)</f>
        <v>205.04777777777778</v>
      </c>
      <c r="BI15" s="3208">
        <f>SUM(GB15/12)</f>
        <v>0</v>
      </c>
      <c r="BJ15" s="3208">
        <f t="shared" ref="BJ15:BJ16" si="222">SUM(BK15:BL15)</f>
        <v>193.012</v>
      </c>
      <c r="BK15" s="3112">
        <f>SUM('ПОЛНАЯ СЕБЕСТОИМОСТЬ ВОДА 2019'!AA15)</f>
        <v>193.012</v>
      </c>
      <c r="BL15" s="3112">
        <f>SUM('ПОЛНАЯ СЕБЕСТОИМОСТЬ ВОДА 2019'!AB15)</f>
        <v>0</v>
      </c>
      <c r="BM15" s="3113">
        <v>217.77</v>
      </c>
      <c r="BN15" s="3113">
        <f>SUM(BM15)</f>
        <v>217.77</v>
      </c>
      <c r="BO15" s="3113">
        <v>0</v>
      </c>
      <c r="BP15" s="3209">
        <f t="shared" ref="BP15:BP16" si="223">SUM(BQ15:BR15)</f>
        <v>615.14333333333332</v>
      </c>
      <c r="BQ15" s="3209">
        <f>SUM(AP15+AY15+BH15)</f>
        <v>615.14333333333332</v>
      </c>
      <c r="BR15" s="3209">
        <f>SUM(AQ15+AZ15+BI15)</f>
        <v>0</v>
      </c>
      <c r="BS15" s="3209">
        <f t="shared" ref="BS15:BS16" si="224">SUM(BT15:BU15)</f>
        <v>585.64599999999996</v>
      </c>
      <c r="BT15" s="3209">
        <f>SUM(AS15+BB15+BK15)</f>
        <v>585.64599999999996</v>
      </c>
      <c r="BU15" s="3209">
        <f>SUM(AT15+BC15+BL15)</f>
        <v>0</v>
      </c>
      <c r="BV15" s="3114">
        <f t="shared" ref="BV15:BV16" si="225">SUM(AU15+BD15+BM15)</f>
        <v>628.57000000000005</v>
      </c>
      <c r="BW15" s="3209">
        <f t="shared" ref="BW15:BX16" si="226">SUM(AV15+BE15+BN15)</f>
        <v>628.57000000000005</v>
      </c>
      <c r="BX15" s="3209">
        <f t="shared" si="226"/>
        <v>0</v>
      </c>
      <c r="BY15" s="3209">
        <f t="shared" ref="BY15:BY16" si="227">SUM(BZ15:CA15)</f>
        <v>-29.497333333333358</v>
      </c>
      <c r="BZ15" s="3209">
        <f>SUM(BT15-BQ15)</f>
        <v>-29.497333333333358</v>
      </c>
      <c r="CA15" s="3209">
        <f t="shared" ref="CA15:CA16" si="228">SUM(BU15-BR15)</f>
        <v>0</v>
      </c>
      <c r="CB15" s="3209">
        <f t="shared" ref="CB15:CB16" si="229">SUM(CC15:CD15)</f>
        <v>1230.2866666666666</v>
      </c>
      <c r="CC15" s="3209">
        <f>SUM(AD15+BQ15)</f>
        <v>1230.2866666666666</v>
      </c>
      <c r="CD15" s="3209">
        <f>SUM(AE15+BR15)</f>
        <v>0</v>
      </c>
      <c r="CE15" s="3209">
        <f t="shared" ref="CE15:CE16" si="230">SUM(CF15:CG15)</f>
        <v>1191.5940000000001</v>
      </c>
      <c r="CF15" s="3209">
        <f t="shared" ref="CF15:CH16" si="231">SUM(AG15+BT15)</f>
        <v>1191.5940000000001</v>
      </c>
      <c r="CG15" s="3209">
        <f t="shared" si="231"/>
        <v>0</v>
      </c>
      <c r="CH15" s="3114">
        <f t="shared" si="231"/>
        <v>1246.99</v>
      </c>
      <c r="CI15" s="3114">
        <f t="shared" ref="CI15:CJ16" si="232">SUM(AJ15+BW15)</f>
        <v>1246.99</v>
      </c>
      <c r="CJ15" s="3114">
        <f t="shared" si="232"/>
        <v>0</v>
      </c>
      <c r="CK15" s="3209">
        <f t="shared" ref="CK15:CK16" si="233">SUM(CL15:CM15)</f>
        <v>-38.692666666666582</v>
      </c>
      <c r="CL15" s="3213">
        <f t="shared" si="7"/>
        <v>-38.692666666666582</v>
      </c>
      <c r="CM15" s="3213">
        <f t="shared" si="7"/>
        <v>0</v>
      </c>
      <c r="CN15" s="3208">
        <f t="shared" ref="CN15:CN16" si="234">SUM(CO15:CP15)</f>
        <v>205.04777777777778</v>
      </c>
      <c r="CO15" s="3208">
        <f t="shared" ref="CO15:CO16" si="235">SUM(GA15/12)</f>
        <v>205.04777777777778</v>
      </c>
      <c r="CP15" s="3208">
        <f t="shared" ref="CP15:CP16" si="236">SUM(GB15/12)</f>
        <v>0</v>
      </c>
      <c r="CQ15" s="3208">
        <f t="shared" ref="CQ15:CQ16" si="237">SUM(CR15:CS15)</f>
        <v>196.077</v>
      </c>
      <c r="CR15" s="3112">
        <f>SUM('ПОЛНАЯ СЕБЕСТОИМОСТЬ ВОДА 2019'!AS15)</f>
        <v>196.077</v>
      </c>
      <c r="CS15" s="3112">
        <f>SUM('ПОЛНАЯ СЕБЕСТОИМОСТЬ ВОДА 2019'!AT15)</f>
        <v>0</v>
      </c>
      <c r="CT15" s="3113">
        <v>191.27</v>
      </c>
      <c r="CU15" s="3113">
        <f>SUM(CT15)</f>
        <v>191.27</v>
      </c>
      <c r="CV15" s="3113">
        <v>0</v>
      </c>
      <c r="CW15" s="3208">
        <f t="shared" ref="CW15:CW16" si="238">SUM(CX15:CY15)</f>
        <v>205.04777777777778</v>
      </c>
      <c r="CX15" s="3208">
        <f t="shared" ref="CX15:CX16" si="239">SUM(GA15/12)</f>
        <v>205.04777777777778</v>
      </c>
      <c r="CY15" s="3208">
        <f t="shared" ref="CY15:CY16" si="240">SUM(GB15/12)</f>
        <v>0</v>
      </c>
      <c r="CZ15" s="3208">
        <f t="shared" ref="CZ15:CZ16" si="241">SUM(DA15:DB15)</f>
        <v>224.065</v>
      </c>
      <c r="DA15" s="3112">
        <f>SUM('ПОЛНАЯ СЕБЕСТОИМОСТЬ ВОДА 2019'!AV15)</f>
        <v>224.065</v>
      </c>
      <c r="DB15" s="3112">
        <f>SUM('ПОЛНАЯ СЕБЕСТОИМОСТЬ ВОДА 2019'!AW15)</f>
        <v>0</v>
      </c>
      <c r="DC15" s="3113">
        <v>210.21</v>
      </c>
      <c r="DD15" s="3113">
        <f>SUM(DC15)</f>
        <v>210.21</v>
      </c>
      <c r="DE15" s="3113">
        <v>0</v>
      </c>
      <c r="DF15" s="3208">
        <f t="shared" ref="DF15:DF16" si="242">SUM(DG15:DH15)</f>
        <v>205.04777777777778</v>
      </c>
      <c r="DG15" s="3208">
        <f t="shared" ref="DG15:DG19" si="243">SUM(GA15/12)</f>
        <v>205.04777777777778</v>
      </c>
      <c r="DH15" s="3208">
        <f t="shared" ref="DH15:DH16" si="244">SUM(GB15/12)</f>
        <v>0</v>
      </c>
      <c r="DI15" s="3208">
        <f t="shared" ref="DI15:DI16" si="245">SUM(DJ15:DK15)</f>
        <v>184.267</v>
      </c>
      <c r="DJ15" s="3112">
        <f>SUM('ПОЛНАЯ СЕБЕСТОИМОСТЬ ВОДА 2019'!AY15)</f>
        <v>184.267</v>
      </c>
      <c r="DK15" s="3112">
        <f>SUM('ПОЛНАЯ СЕБЕСТОИМОСТЬ ВОДА 2019'!AZ15)</f>
        <v>0</v>
      </c>
      <c r="DL15" s="3113">
        <v>196.96</v>
      </c>
      <c r="DM15" s="3113">
        <f>SUM(DL15)</f>
        <v>196.96</v>
      </c>
      <c r="DN15" s="3113">
        <v>0</v>
      </c>
      <c r="DO15" s="3209">
        <f t="shared" ref="DO15:DO16" si="246">SUM(DP15:DQ15)</f>
        <v>615.14333333333332</v>
      </c>
      <c r="DP15" s="3209">
        <f>SUM(CO15+CX15+DG15)</f>
        <v>615.14333333333332</v>
      </c>
      <c r="DQ15" s="3209">
        <f>SUM(CP15+CY15+DH15)</f>
        <v>0</v>
      </c>
      <c r="DR15" s="3209">
        <f t="shared" ref="DR15:DR16" si="247">SUM(DS15:DT15)</f>
        <v>604.40899999999999</v>
      </c>
      <c r="DS15" s="3209">
        <f>SUM(CR15+DA15+DJ15)</f>
        <v>604.40899999999999</v>
      </c>
      <c r="DT15" s="3209">
        <f>SUM(CS15+DB15+DK15)</f>
        <v>0</v>
      </c>
      <c r="DU15" s="3114">
        <f t="shared" ref="DU15:DU16" si="248">SUM(CT15+DC15+DL15)</f>
        <v>598.44000000000005</v>
      </c>
      <c r="DV15" s="3209">
        <f t="shared" ref="DV15:DV16" si="249">SUM(CU15+DD15+DM15)</f>
        <v>598.44000000000005</v>
      </c>
      <c r="DW15" s="3209">
        <f t="shared" ref="DW15:DW16" si="250">SUM(CV15+DE15+DN15)</f>
        <v>0</v>
      </c>
      <c r="DX15" s="3209">
        <f t="shared" ref="DX15:DX16" si="251">SUM(DY15:DZ15)</f>
        <v>-10.734333333333325</v>
      </c>
      <c r="DY15" s="3213">
        <f t="shared" si="11"/>
        <v>-10.734333333333325</v>
      </c>
      <c r="DZ15" s="3213">
        <f t="shared" si="11"/>
        <v>0</v>
      </c>
      <c r="EA15" s="3209">
        <f t="shared" ref="EA15:EA16" si="252">SUM(EB15:EC15)</f>
        <v>1845.4299999999998</v>
      </c>
      <c r="EB15" s="3209">
        <f t="shared" ref="EB15:EB16" si="253">SUM(CC15+DP15)</f>
        <v>1845.4299999999998</v>
      </c>
      <c r="EC15" s="3209">
        <f t="shared" ref="EC15:EC16" si="254">SUM(CD15+DQ15)</f>
        <v>0</v>
      </c>
      <c r="ED15" s="3209">
        <f t="shared" ref="ED15:ED16" si="255">SUM(EE15:EF15)</f>
        <v>1796.0030000000002</v>
      </c>
      <c r="EE15" s="3209">
        <f t="shared" ref="EE15:EE16" si="256">SUM(CF15+DS15)</f>
        <v>1796.0030000000002</v>
      </c>
      <c r="EF15" s="3209">
        <f t="shared" ref="EF15:EG16" si="257">SUM(CG15+DT15)</f>
        <v>0</v>
      </c>
      <c r="EG15" s="3209">
        <f t="shared" si="257"/>
        <v>1845.43</v>
      </c>
      <c r="EH15" s="3209">
        <f t="shared" ref="EH15:EH16" si="258">SUM(CI15+DV15)</f>
        <v>1845.43</v>
      </c>
      <c r="EI15" s="3209">
        <f t="shared" ref="EI15:EI16" si="259">SUM(CJ15+DW15)</f>
        <v>0</v>
      </c>
      <c r="EJ15" s="3209">
        <f t="shared" ref="EJ15:EJ16" si="260">SUM(EK15:EL15)</f>
        <v>-49.42699999999968</v>
      </c>
      <c r="EK15" s="3213">
        <f t="shared" si="14"/>
        <v>-49.42699999999968</v>
      </c>
      <c r="EL15" s="3213">
        <f t="shared" si="14"/>
        <v>0</v>
      </c>
      <c r="EM15" s="3208">
        <f t="shared" ref="EM15:EM16" si="261">SUM(EN15:EO15)</f>
        <v>205.04777777777778</v>
      </c>
      <c r="EN15" s="3208">
        <f>SUM(GA15/12)</f>
        <v>205.04777777777778</v>
      </c>
      <c r="EO15" s="3208">
        <f>SUM(GB15/12)</f>
        <v>0</v>
      </c>
      <c r="EP15" s="3208">
        <f t="shared" ref="EP15:EP16" si="262">SUM(EQ15:ER15)</f>
        <v>0</v>
      </c>
      <c r="EQ15" s="3112">
        <f>SUM('ПОЛНАЯ СЕБЕСТОИМОСТЬ ВОДА 2019'!BQ15)</f>
        <v>0</v>
      </c>
      <c r="ER15" s="3112">
        <f>SUM('ПОЛНАЯ СЕБЕСТОИМОСТЬ ВОДА 2019'!BR15)</f>
        <v>0</v>
      </c>
      <c r="ES15" s="3113">
        <v>200.48599999999999</v>
      </c>
      <c r="ET15" s="3113">
        <f>SUM(ES15)</f>
        <v>200.48599999999999</v>
      </c>
      <c r="EU15" s="3113">
        <v>0</v>
      </c>
      <c r="EV15" s="3208">
        <f t="shared" ref="EV15:EV16" si="263">SUM(EW15:EX15)</f>
        <v>205.04777777777778</v>
      </c>
      <c r="EW15" s="3208">
        <f t="shared" ref="EW15:EW16" si="264">SUM(GA15/12)</f>
        <v>205.04777777777778</v>
      </c>
      <c r="EX15" s="3208">
        <f t="shared" ref="EX15:EX16" si="265">SUM(GB15/12)</f>
        <v>0</v>
      </c>
      <c r="EY15" s="3208">
        <f t="shared" ref="EY15:EY16" si="266">SUM(EZ15:FA15)</f>
        <v>0</v>
      </c>
      <c r="EZ15" s="3112">
        <f>SUM('ПОЛНАЯ СЕБЕСТОИМОСТЬ ВОДА 2019'!BT15)</f>
        <v>0</v>
      </c>
      <c r="FA15" s="3112">
        <f>SUM('ПОЛНАЯ СЕБЕСТОИМОСТЬ ВОДА 2019'!BU15)</f>
        <v>0</v>
      </c>
      <c r="FB15" s="3113">
        <v>194.12</v>
      </c>
      <c r="FC15" s="3113">
        <f>SUM(FB15)</f>
        <v>194.12</v>
      </c>
      <c r="FD15" s="3113">
        <v>0</v>
      </c>
      <c r="FE15" s="3208">
        <f t="shared" ref="FE15:FE16" si="267">SUM(FF15:FG15)</f>
        <v>205.04777777777778</v>
      </c>
      <c r="FF15" s="3208">
        <f t="shared" ref="FF15:FF16" si="268">SUM(GA15/12)</f>
        <v>205.04777777777778</v>
      </c>
      <c r="FG15" s="3208">
        <f t="shared" ref="FG15:FG16" si="269">SUM(GB15/12)</f>
        <v>0</v>
      </c>
      <c r="FH15" s="3208">
        <f t="shared" ref="FH15:FH16" si="270">SUM(FI15:FJ15)</f>
        <v>0</v>
      </c>
      <c r="FI15" s="3112">
        <f>SUM('ПОЛНАЯ СЕБЕСТОИМОСТЬ ВОДА 2019'!BW15)</f>
        <v>0</v>
      </c>
      <c r="FJ15" s="3112">
        <f>SUM('ПОЛНАЯ СЕБЕСТОИМОСТЬ ВОДА 2019'!BX15)</f>
        <v>0</v>
      </c>
      <c r="FK15" s="3113">
        <v>183.94</v>
      </c>
      <c r="FL15" s="3113">
        <f>SUM(FK15)</f>
        <v>183.94</v>
      </c>
      <c r="FM15" s="3113">
        <v>0</v>
      </c>
      <c r="FN15" s="3209">
        <f t="shared" ref="FN15:FN16" si="271">SUM(FO15:FP15)</f>
        <v>615.14333333333332</v>
      </c>
      <c r="FO15" s="3209">
        <f>SUM(EN15+EW15+FF15)</f>
        <v>615.14333333333332</v>
      </c>
      <c r="FP15" s="3209">
        <f>SUM(EO15+EX15+FG15)</f>
        <v>0</v>
      </c>
      <c r="FQ15" s="3209">
        <f t="shared" ref="FQ15:FQ16" si="272">SUM(FR15:FS15)</f>
        <v>0</v>
      </c>
      <c r="FR15" s="3209">
        <f>SUM(EQ15+EZ15+FI15)</f>
        <v>0</v>
      </c>
      <c r="FS15" s="3209">
        <f>SUM(ER15+FA15+FJ15)</f>
        <v>0</v>
      </c>
      <c r="FT15" s="3114">
        <f t="shared" ref="FT15:FT16" si="273">SUM(ES15+FB15+FK15)</f>
        <v>578.54600000000005</v>
      </c>
      <c r="FU15" s="3114">
        <f t="shared" ref="FU15:FU16" si="274">SUM(ET15+FC15+FL15)</f>
        <v>578.54600000000005</v>
      </c>
      <c r="FV15" s="3114">
        <f t="shared" ref="FV15:FV16" si="275">SUM(EU15+FD15+FM15)</f>
        <v>0</v>
      </c>
      <c r="FW15" s="3209">
        <f t="shared" ref="FW15:FW16" si="276">SUM(FX15:FY15)</f>
        <v>-615.14333333333332</v>
      </c>
      <c r="FX15" s="3213">
        <f t="shared" si="18"/>
        <v>-615.14333333333332</v>
      </c>
      <c r="FY15" s="3213">
        <f t="shared" si="18"/>
        <v>0</v>
      </c>
      <c r="FZ15" s="3221">
        <f t="shared" ref="FZ15:FZ16" si="277">SUM(GA15:GB15)</f>
        <v>2460.5733333333333</v>
      </c>
      <c r="GA15" s="3221">
        <f>SUM(объемы!AX49)</f>
        <v>2460.5733333333333</v>
      </c>
      <c r="GB15" s="3221">
        <f>SUM(объемы!AY49)</f>
        <v>0</v>
      </c>
      <c r="GC15" s="3209">
        <f t="shared" ref="GC15:GC16" si="278">SUM(GD15:GE15)</f>
        <v>1796.0030000000002</v>
      </c>
      <c r="GD15" s="3222">
        <f t="shared" ref="GD15:GE16" si="279">SUM(EE15+FR15)</f>
        <v>1796.0030000000002</v>
      </c>
      <c r="GE15" s="3222">
        <f t="shared" si="279"/>
        <v>0</v>
      </c>
      <c r="GF15" s="3222">
        <f>SUM(EG15+FT15)</f>
        <v>2423.9760000000001</v>
      </c>
      <c r="GG15" s="3222">
        <f t="shared" ref="GG15:GH16" si="280">SUM(EH15+FU15)</f>
        <v>2423.9760000000001</v>
      </c>
      <c r="GH15" s="3222">
        <f t="shared" si="280"/>
        <v>0</v>
      </c>
      <c r="GI15" s="3209">
        <f t="shared" ref="GI15:GI16" si="281">SUM(GJ15:GK15)</f>
        <v>-664.57033333333311</v>
      </c>
      <c r="GJ15" s="3223">
        <f t="shared" si="21"/>
        <v>-664.57033333333311</v>
      </c>
      <c r="GK15" s="3223">
        <f t="shared" si="21"/>
        <v>0</v>
      </c>
      <c r="GL15" s="627"/>
    </row>
    <row r="16" spans="1:195" ht="18.75" x14ac:dyDescent="0.3">
      <c r="A16" s="3111" t="s">
        <v>26</v>
      </c>
      <c r="B16" s="3208">
        <f t="shared" si="203"/>
        <v>74.754166666666663</v>
      </c>
      <c r="C16" s="3208">
        <f t="shared" si="204"/>
        <v>74.606666666666669</v>
      </c>
      <c r="D16" s="3208">
        <f t="shared" si="204"/>
        <v>0.14749999999999999</v>
      </c>
      <c r="E16" s="3208">
        <f t="shared" si="205"/>
        <v>71.009</v>
      </c>
      <c r="F16" s="3112">
        <f>SUM('ПОЛНАЯ СЕБЕСТОИМОСТЬ ВОДА 2019'!F16)</f>
        <v>70.888999999999996</v>
      </c>
      <c r="G16" s="3112">
        <f>SUM('ПОЛНАЯ СЕБЕСТОИМОСТЬ ВОДА 2019'!G16)</f>
        <v>0.12</v>
      </c>
      <c r="H16" s="3113">
        <v>77.41</v>
      </c>
      <c r="I16" s="3113">
        <f>SUM(H16-J16)</f>
        <v>77.27</v>
      </c>
      <c r="J16" s="3113">
        <v>0.14000000000000001</v>
      </c>
      <c r="K16" s="3208">
        <f t="shared" si="206"/>
        <v>74.754166666666663</v>
      </c>
      <c r="L16" s="3208">
        <f>SUM(GA16/12)</f>
        <v>74.606666666666669</v>
      </c>
      <c r="M16" s="3208">
        <f>SUM(GB16/12)</f>
        <v>0.14749999999999999</v>
      </c>
      <c r="N16" s="3208">
        <f t="shared" si="207"/>
        <v>72.710000000000008</v>
      </c>
      <c r="O16" s="3112">
        <f>SUM('ПОЛНАЯ СЕБЕСТОИМОСТЬ ВОДА 2019'!I16)</f>
        <v>72.62</v>
      </c>
      <c r="P16" s="3112">
        <f>SUM('ПОЛНАЯ СЕБЕСТОИМОСТЬ ВОДА 2019'!J16)</f>
        <v>0.09</v>
      </c>
      <c r="Q16" s="3113">
        <v>79.62</v>
      </c>
      <c r="R16" s="3113">
        <f>SUM(Q16-S16)</f>
        <v>79.44</v>
      </c>
      <c r="S16" s="3113">
        <f>SUM(S8)</f>
        <v>0.18</v>
      </c>
      <c r="T16" s="3208">
        <f t="shared" si="208"/>
        <v>74.754166666666663</v>
      </c>
      <c r="U16" s="3208">
        <f>SUM(GA16/12)</f>
        <v>74.606666666666669</v>
      </c>
      <c r="V16" s="3208">
        <f>SUM(GB16/12)</f>
        <v>0.14749999999999999</v>
      </c>
      <c r="W16" s="3208">
        <f t="shared" si="209"/>
        <v>69.045000000000002</v>
      </c>
      <c r="X16" s="3112">
        <f>SUM('ПОЛНАЯ СЕБЕСТОИМОСТЬ ВОДА 2019'!L16)</f>
        <v>68.97</v>
      </c>
      <c r="Y16" s="3112">
        <f>SUM('ПОЛНАЯ СЕБЕСТОИМОСТЬ ВОДА 2019'!M16)</f>
        <v>7.4999999999999997E-2</v>
      </c>
      <c r="Z16" s="3113">
        <v>75.680000000000007</v>
      </c>
      <c r="AA16" s="3113">
        <f>SUM(Z16-AB16)</f>
        <v>75.56</v>
      </c>
      <c r="AB16" s="3113">
        <f>SUM(AB8)</f>
        <v>0.12</v>
      </c>
      <c r="AC16" s="3209">
        <f t="shared" si="210"/>
        <v>224.26249999999999</v>
      </c>
      <c r="AD16" s="3209">
        <f>SUM(C16+L16+U16)</f>
        <v>223.82</v>
      </c>
      <c r="AE16" s="3209">
        <f>SUM(D16+M16+V16)</f>
        <v>0.4425</v>
      </c>
      <c r="AF16" s="3209">
        <f t="shared" si="211"/>
        <v>212.76400000000001</v>
      </c>
      <c r="AG16" s="3209">
        <f>SUM(F16+O16+X16)</f>
        <v>212.47900000000001</v>
      </c>
      <c r="AH16" s="3209">
        <f>SUM(G16+P16+Y16)</f>
        <v>0.28499999999999998</v>
      </c>
      <c r="AI16" s="3114">
        <f t="shared" si="212"/>
        <v>232.71</v>
      </c>
      <c r="AJ16" s="3114">
        <f t="shared" si="213"/>
        <v>232.26999999999998</v>
      </c>
      <c r="AK16" s="3114">
        <f t="shared" si="214"/>
        <v>0.44</v>
      </c>
      <c r="AL16" s="3209">
        <f t="shared" si="215"/>
        <v>-11.49849999999998</v>
      </c>
      <c r="AM16" s="3209">
        <f t="shared" ref="AM16" si="282">SUM(AG16-AD16)</f>
        <v>-11.34099999999998</v>
      </c>
      <c r="AN16" s="3209">
        <f t="shared" si="216"/>
        <v>-0.15750000000000003</v>
      </c>
      <c r="AO16" s="3208">
        <f t="shared" si="217"/>
        <v>74.754166666666663</v>
      </c>
      <c r="AP16" s="3208">
        <f>SUM(GA16/12)</f>
        <v>74.606666666666669</v>
      </c>
      <c r="AQ16" s="3208">
        <f>SUM(GB16/12)</f>
        <v>0.14749999999999999</v>
      </c>
      <c r="AR16" s="3208">
        <f t="shared" si="218"/>
        <v>73.385000000000005</v>
      </c>
      <c r="AS16" s="3112">
        <f>SUM('ПОЛНАЯ СЕБЕСТОИМОСТЬ ВОДА 2019'!U16)</f>
        <v>73.290000000000006</v>
      </c>
      <c r="AT16" s="3112">
        <f>SUM('ПОЛНАЯ СЕБЕСТОИМОСТЬ ВОДА 2019'!V16)</f>
        <v>9.5000000000000001E-2</v>
      </c>
      <c r="AU16" s="3113">
        <v>84.91</v>
      </c>
      <c r="AV16" s="3113">
        <f>SUM(AU16-AW16)</f>
        <v>84.59</v>
      </c>
      <c r="AW16" s="3113">
        <f>SUM(AW8)</f>
        <v>0.32</v>
      </c>
      <c r="AX16" s="3208">
        <f t="shared" si="219"/>
        <v>74.754166666666663</v>
      </c>
      <c r="AY16" s="3208">
        <f>SUM(GA16/12)</f>
        <v>74.606666666666669</v>
      </c>
      <c r="AZ16" s="3208">
        <f>SUM(GB16/12)</f>
        <v>0.14749999999999999</v>
      </c>
      <c r="BA16" s="3208">
        <f t="shared" si="220"/>
        <v>65.137999999999991</v>
      </c>
      <c r="BB16" s="3112">
        <f>SUM('ПОЛНАЯ СЕБЕСТОИМОСТЬ ВОДА 2019'!X16)</f>
        <v>65.040999999999997</v>
      </c>
      <c r="BC16" s="3112">
        <f>SUM('ПОЛНАЯ СЕБЕСТОИМОСТЬ ВОДА 2019'!Y16)</f>
        <v>9.7000000000000003E-2</v>
      </c>
      <c r="BD16" s="3113">
        <v>78.23</v>
      </c>
      <c r="BE16" s="3113">
        <f>SUM(BD16-BF16)</f>
        <v>78.13000000000001</v>
      </c>
      <c r="BF16" s="3113">
        <f>SUM(BF8)</f>
        <v>0.1</v>
      </c>
      <c r="BG16" s="3208">
        <f t="shared" si="221"/>
        <v>74.754166666666663</v>
      </c>
      <c r="BH16" s="3208">
        <f>SUM(GA16/12)</f>
        <v>74.606666666666669</v>
      </c>
      <c r="BI16" s="3208">
        <f>SUM(GB16/12)</f>
        <v>0.14749999999999999</v>
      </c>
      <c r="BJ16" s="3208">
        <f t="shared" si="222"/>
        <v>71.00500000000001</v>
      </c>
      <c r="BK16" s="3112">
        <f>SUM('ПОЛНАЯ СЕБЕСТОИМОСТЬ ВОДА 2019'!AA16)</f>
        <v>70.924000000000007</v>
      </c>
      <c r="BL16" s="3112">
        <f>SUM('ПОЛНАЯ СЕБЕСТОИМОСТЬ ВОДА 2019'!AB16)</f>
        <v>8.1000000000000003E-2</v>
      </c>
      <c r="BM16" s="3113">
        <v>80.42</v>
      </c>
      <c r="BN16" s="3113">
        <f>SUM(BM16-BO16)</f>
        <v>80.33</v>
      </c>
      <c r="BO16" s="3113">
        <f>SUM(BO8)</f>
        <v>0.09</v>
      </c>
      <c r="BP16" s="3209">
        <f t="shared" si="223"/>
        <v>224.26249999999999</v>
      </c>
      <c r="BQ16" s="3209">
        <f>SUM(AP16+AY16+BH16)</f>
        <v>223.82</v>
      </c>
      <c r="BR16" s="3209">
        <f>SUM(AQ16+AZ16+BI16)</f>
        <v>0.4425</v>
      </c>
      <c r="BS16" s="3209">
        <f t="shared" si="224"/>
        <v>209.52800000000002</v>
      </c>
      <c r="BT16" s="3209">
        <f>SUM(AS16+BB16+BK16)</f>
        <v>209.25500000000002</v>
      </c>
      <c r="BU16" s="3209">
        <f>SUM(AT16+BC16+BL16)</f>
        <v>0.27300000000000002</v>
      </c>
      <c r="BV16" s="3114">
        <f t="shared" si="225"/>
        <v>243.56</v>
      </c>
      <c r="BW16" s="3209">
        <f t="shared" si="226"/>
        <v>243.05</v>
      </c>
      <c r="BX16" s="3209">
        <f t="shared" si="226"/>
        <v>0.51</v>
      </c>
      <c r="BY16" s="3209">
        <f t="shared" si="227"/>
        <v>-14.734499999999969</v>
      </c>
      <c r="BZ16" s="3209">
        <f t="shared" ref="BZ16" si="283">SUM(BT16-BQ16)</f>
        <v>-14.564999999999969</v>
      </c>
      <c r="CA16" s="3209">
        <f t="shared" si="228"/>
        <v>-0.16949999999999998</v>
      </c>
      <c r="CB16" s="3209">
        <f t="shared" si="229"/>
        <v>448.52499999999998</v>
      </c>
      <c r="CC16" s="3209">
        <f>SUM(AD16+BQ16)</f>
        <v>447.64</v>
      </c>
      <c r="CD16" s="3209">
        <f>SUM(AE16+BR16)</f>
        <v>0.88500000000000001</v>
      </c>
      <c r="CE16" s="3209">
        <f t="shared" si="230"/>
        <v>422.29200000000003</v>
      </c>
      <c r="CF16" s="3209">
        <f t="shared" si="231"/>
        <v>421.73400000000004</v>
      </c>
      <c r="CG16" s="3209">
        <f t="shared" si="231"/>
        <v>0.55800000000000005</v>
      </c>
      <c r="CH16" s="3114">
        <f t="shared" si="231"/>
        <v>476.27</v>
      </c>
      <c r="CI16" s="3114">
        <f t="shared" si="232"/>
        <v>475.32</v>
      </c>
      <c r="CJ16" s="3114">
        <f t="shared" si="232"/>
        <v>0.95</v>
      </c>
      <c r="CK16" s="3209">
        <f t="shared" si="233"/>
        <v>-26.232999999999947</v>
      </c>
      <c r="CL16" s="3213">
        <f t="shared" si="7"/>
        <v>-25.905999999999949</v>
      </c>
      <c r="CM16" s="3213">
        <f t="shared" si="7"/>
        <v>-0.32699999999999996</v>
      </c>
      <c r="CN16" s="3208">
        <f t="shared" si="234"/>
        <v>74.754166666666663</v>
      </c>
      <c r="CO16" s="3208">
        <f t="shared" si="235"/>
        <v>74.606666666666669</v>
      </c>
      <c r="CP16" s="3208">
        <f t="shared" si="236"/>
        <v>0.14749999999999999</v>
      </c>
      <c r="CQ16" s="3208">
        <f t="shared" si="237"/>
        <v>63.698999999999998</v>
      </c>
      <c r="CR16" s="3112">
        <f>SUM('ПОЛНАЯ СЕБЕСТОИМОСТЬ ВОДА 2019'!AS16)</f>
        <v>63.607999999999997</v>
      </c>
      <c r="CS16" s="3112">
        <f>SUM('ПОЛНАЯ СЕБЕСТОИМОСТЬ ВОДА 2019'!AT16)</f>
        <v>9.0999999999999998E-2</v>
      </c>
      <c r="CT16" s="3113">
        <v>70.3</v>
      </c>
      <c r="CU16" s="3113">
        <f>SUM(CT16-CV16)</f>
        <v>70.23</v>
      </c>
      <c r="CV16" s="3113">
        <f>SUM(CV8)</f>
        <v>7.0000000000000007E-2</v>
      </c>
      <c r="CW16" s="3208">
        <f t="shared" si="238"/>
        <v>74.754166666666663</v>
      </c>
      <c r="CX16" s="3208">
        <f t="shared" si="239"/>
        <v>74.606666666666669</v>
      </c>
      <c r="CY16" s="3208">
        <f t="shared" si="240"/>
        <v>0.14749999999999999</v>
      </c>
      <c r="CZ16" s="3208">
        <f t="shared" si="241"/>
        <v>67.442000000000007</v>
      </c>
      <c r="DA16" s="3112">
        <f>SUM('ПОЛНАЯ СЕБЕСТОИМОСТЬ ВОДА 2019'!AV16)</f>
        <v>67.352000000000004</v>
      </c>
      <c r="DB16" s="3112">
        <f>SUM('ПОЛНАЯ СЕБЕСТОИМОСТЬ ВОДА 2019'!AW16)</f>
        <v>0.09</v>
      </c>
      <c r="DC16" s="3113">
        <v>66.209999999999994</v>
      </c>
      <c r="DD16" s="3113">
        <f>SUM(DC16-DE16)</f>
        <v>66.14</v>
      </c>
      <c r="DE16" s="3113">
        <f>SUM(DE8)</f>
        <v>7.0000000000000007E-2</v>
      </c>
      <c r="DF16" s="3208">
        <f t="shared" si="242"/>
        <v>74.754166666666663</v>
      </c>
      <c r="DG16" s="3208">
        <f t="shared" si="243"/>
        <v>74.606666666666669</v>
      </c>
      <c r="DH16" s="3208">
        <f t="shared" si="244"/>
        <v>0.14749999999999999</v>
      </c>
      <c r="DI16" s="3208">
        <f t="shared" si="245"/>
        <v>91.44</v>
      </c>
      <c r="DJ16" s="3112">
        <f>SUM('ПОЛНАЯ СЕБЕСТОИМОСТЬ ВОДА 2019'!AY16)</f>
        <v>91.35</v>
      </c>
      <c r="DK16" s="3112">
        <f>SUM('ПОЛНАЯ СЕБЕСТОИМОСТЬ ВОДА 2019'!AZ16)</f>
        <v>0.09</v>
      </c>
      <c r="DL16" s="3113">
        <v>81.05</v>
      </c>
      <c r="DM16" s="3113">
        <f>SUM(DL16-DN16)</f>
        <v>80.968999999999994</v>
      </c>
      <c r="DN16" s="3113">
        <f>SUM(DN8)</f>
        <v>8.1000000000000003E-2</v>
      </c>
      <c r="DO16" s="3209">
        <f t="shared" si="246"/>
        <v>224.26249999999999</v>
      </c>
      <c r="DP16" s="3209">
        <f>SUM(CO16+CX16+DG16)</f>
        <v>223.82</v>
      </c>
      <c r="DQ16" s="3209">
        <f>SUM(CP16+CY16+DH16)</f>
        <v>0.4425</v>
      </c>
      <c r="DR16" s="3209">
        <f t="shared" si="247"/>
        <v>222.58099999999999</v>
      </c>
      <c r="DS16" s="3209">
        <f>SUM(CR16+DA16+DJ16)</f>
        <v>222.31</v>
      </c>
      <c r="DT16" s="3209">
        <f>SUM(CS16+DB16+DK16)</f>
        <v>0.27100000000000002</v>
      </c>
      <c r="DU16" s="3114">
        <f t="shared" si="248"/>
        <v>217.56</v>
      </c>
      <c r="DV16" s="3209">
        <f t="shared" si="249"/>
        <v>217.339</v>
      </c>
      <c r="DW16" s="3209">
        <f t="shared" si="250"/>
        <v>0.22100000000000003</v>
      </c>
      <c r="DX16" s="3209">
        <f t="shared" si="251"/>
        <v>-1.6814999999999909</v>
      </c>
      <c r="DY16" s="3213">
        <f t="shared" si="11"/>
        <v>-1.5099999999999909</v>
      </c>
      <c r="DZ16" s="3213">
        <f t="shared" si="11"/>
        <v>-0.17149999999999999</v>
      </c>
      <c r="EA16" s="3209">
        <f t="shared" si="252"/>
        <v>672.78750000000002</v>
      </c>
      <c r="EB16" s="3209">
        <f t="shared" si="253"/>
        <v>671.46</v>
      </c>
      <c r="EC16" s="3209">
        <f t="shared" si="254"/>
        <v>1.3275000000000001</v>
      </c>
      <c r="ED16" s="3209">
        <f t="shared" si="255"/>
        <v>644.87300000000005</v>
      </c>
      <c r="EE16" s="3209">
        <f t="shared" si="256"/>
        <v>644.0440000000001</v>
      </c>
      <c r="EF16" s="3209">
        <f t="shared" si="257"/>
        <v>0.82900000000000007</v>
      </c>
      <c r="EG16" s="3209">
        <f t="shared" si="257"/>
        <v>693.82999999999993</v>
      </c>
      <c r="EH16" s="3209">
        <f t="shared" si="258"/>
        <v>692.65899999999999</v>
      </c>
      <c r="EI16" s="3209">
        <f t="shared" si="259"/>
        <v>1.171</v>
      </c>
      <c r="EJ16" s="3209">
        <f t="shared" si="260"/>
        <v>-27.91449999999994</v>
      </c>
      <c r="EK16" s="3213">
        <f t="shared" si="14"/>
        <v>-27.41599999999994</v>
      </c>
      <c r="EL16" s="3213">
        <f t="shared" si="14"/>
        <v>-0.49850000000000005</v>
      </c>
      <c r="EM16" s="3208">
        <f t="shared" si="261"/>
        <v>74.754166666666663</v>
      </c>
      <c r="EN16" s="3208">
        <f>SUM(GA16/12)</f>
        <v>74.606666666666669</v>
      </c>
      <c r="EO16" s="3208">
        <f>SUM(GB16/12)</f>
        <v>0.14749999999999999</v>
      </c>
      <c r="EP16" s="3208">
        <f t="shared" si="262"/>
        <v>0</v>
      </c>
      <c r="EQ16" s="3112">
        <f>SUM('ПОЛНАЯ СЕБЕСТОИМОСТЬ ВОДА 2019'!BQ16)</f>
        <v>0</v>
      </c>
      <c r="ER16" s="3112">
        <f>SUM('ПОЛНАЯ СЕБЕСТОИМОСТЬ ВОДА 2019'!BR16)</f>
        <v>0</v>
      </c>
      <c r="ES16" s="3113">
        <v>73.8</v>
      </c>
      <c r="ET16" s="3113">
        <f>SUM(ES16-EU16)</f>
        <v>73.72</v>
      </c>
      <c r="EU16" s="3113">
        <f>SUM(EU8)</f>
        <v>0.08</v>
      </c>
      <c r="EV16" s="3208">
        <f t="shared" si="263"/>
        <v>74.754166666666663</v>
      </c>
      <c r="EW16" s="3208">
        <f t="shared" si="264"/>
        <v>74.606666666666669</v>
      </c>
      <c r="EX16" s="3208">
        <f t="shared" si="265"/>
        <v>0.14749999999999999</v>
      </c>
      <c r="EY16" s="3208">
        <f t="shared" si="266"/>
        <v>0</v>
      </c>
      <c r="EZ16" s="3112">
        <f>SUM('ПОЛНАЯ СЕБЕСТОИМОСТЬ ВОДА 2019'!BT16)</f>
        <v>0</v>
      </c>
      <c r="FA16" s="3112">
        <f>SUM('ПОЛНАЯ СЕБЕСТОИМОСТЬ ВОДА 2019'!BU16)</f>
        <v>0</v>
      </c>
      <c r="FB16" s="3113">
        <v>75.599999999999994</v>
      </c>
      <c r="FC16" s="3113">
        <f>SUM(FB16-FD16)</f>
        <v>75.52</v>
      </c>
      <c r="FD16" s="3113">
        <f>SUM(FD8)</f>
        <v>0.08</v>
      </c>
      <c r="FE16" s="3208">
        <f t="shared" si="267"/>
        <v>74.754166666666663</v>
      </c>
      <c r="FF16" s="3208">
        <f t="shared" si="268"/>
        <v>74.606666666666669</v>
      </c>
      <c r="FG16" s="3208">
        <f t="shared" si="269"/>
        <v>0.14749999999999999</v>
      </c>
      <c r="FH16" s="3208">
        <f t="shared" si="270"/>
        <v>0</v>
      </c>
      <c r="FI16" s="3112">
        <f>SUM('ПОЛНАЯ СЕБЕСТОИМОСТЬ ВОДА 2019'!BW16)</f>
        <v>0</v>
      </c>
      <c r="FJ16" s="3112">
        <f>SUM('ПОЛНАЯ СЕБЕСТОИМОСТЬ ВОДА 2019'!BX16)</f>
        <v>0</v>
      </c>
      <c r="FK16" s="3113">
        <v>82.37</v>
      </c>
      <c r="FL16" s="3113">
        <f>SUM(FK16-FM16)</f>
        <v>82.37</v>
      </c>
      <c r="FM16" s="3113">
        <f>SUM(FM8)</f>
        <v>0</v>
      </c>
      <c r="FN16" s="3209">
        <f t="shared" si="271"/>
        <v>224.26249999999999</v>
      </c>
      <c r="FO16" s="3209">
        <f>SUM(EN16+EW16+FF16)</f>
        <v>223.82</v>
      </c>
      <c r="FP16" s="3209">
        <f>SUM(EO16+EX16+FG16)</f>
        <v>0.4425</v>
      </c>
      <c r="FQ16" s="3209">
        <f t="shared" si="272"/>
        <v>0</v>
      </c>
      <c r="FR16" s="3209">
        <f>SUM(EQ16+EZ16+FI16)</f>
        <v>0</v>
      </c>
      <c r="FS16" s="3209">
        <f>SUM(ER16+FA16+FJ16)</f>
        <v>0</v>
      </c>
      <c r="FT16" s="3114">
        <f t="shared" si="273"/>
        <v>231.76999999999998</v>
      </c>
      <c r="FU16" s="3114">
        <f t="shared" si="274"/>
        <v>231.61</v>
      </c>
      <c r="FV16" s="3114">
        <f t="shared" si="275"/>
        <v>0.16</v>
      </c>
      <c r="FW16" s="3209">
        <f t="shared" si="276"/>
        <v>-224.26249999999999</v>
      </c>
      <c r="FX16" s="3213">
        <f t="shared" si="18"/>
        <v>-223.82</v>
      </c>
      <c r="FY16" s="3213">
        <f t="shared" si="18"/>
        <v>-0.4425</v>
      </c>
      <c r="FZ16" s="3221">
        <f t="shared" si="277"/>
        <v>897.05</v>
      </c>
      <c r="GA16" s="3221">
        <f>SUM(объемы!AX51)</f>
        <v>895.28</v>
      </c>
      <c r="GB16" s="3222">
        <f>SUM(объемы!AY50)</f>
        <v>1.77</v>
      </c>
      <c r="GC16" s="3209">
        <f t="shared" si="278"/>
        <v>644.87300000000005</v>
      </c>
      <c r="GD16" s="3222">
        <f t="shared" si="279"/>
        <v>644.0440000000001</v>
      </c>
      <c r="GE16" s="3222">
        <f t="shared" si="279"/>
        <v>0.82900000000000007</v>
      </c>
      <c r="GF16" s="3222">
        <f>SUM(EG16+FT16)</f>
        <v>925.59999999999991</v>
      </c>
      <c r="GG16" s="3222">
        <f t="shared" si="280"/>
        <v>924.26900000000001</v>
      </c>
      <c r="GH16" s="3222">
        <f t="shared" si="280"/>
        <v>1.331</v>
      </c>
      <c r="GI16" s="3209">
        <f t="shared" si="281"/>
        <v>-252.17699999999988</v>
      </c>
      <c r="GJ16" s="3223">
        <f t="shared" si="21"/>
        <v>-251.23599999999988</v>
      </c>
      <c r="GK16" s="3223">
        <f t="shared" si="21"/>
        <v>-0.94099999999999995</v>
      </c>
      <c r="GL16" s="627"/>
    </row>
    <row r="17" spans="1:194" ht="18.75" x14ac:dyDescent="0.3">
      <c r="A17" s="3111" t="s">
        <v>3587</v>
      </c>
      <c r="B17" s="3207">
        <f>SUM(C17:D17)</f>
        <v>25.397632499999997</v>
      </c>
      <c r="C17" s="3207">
        <f>SUM(C18:C19)</f>
        <v>25.397632499999997</v>
      </c>
      <c r="D17" s="3207">
        <f>SUM(D18:D19)</f>
        <v>0</v>
      </c>
      <c r="E17" s="3207">
        <f>SUM(F17:G17)</f>
        <v>25.056999999999999</v>
      </c>
      <c r="F17" s="3207">
        <f t="shared" ref="F17:G17" si="284">SUM(F18:F19)</f>
        <v>25.056999999999999</v>
      </c>
      <c r="G17" s="3207">
        <f t="shared" si="284"/>
        <v>0</v>
      </c>
      <c r="H17" s="3107">
        <f t="shared" ref="H17:GF17" si="285">SUM(H18:H19)</f>
        <v>28.15</v>
      </c>
      <c r="I17" s="3107">
        <f t="shared" si="285"/>
        <v>28.15</v>
      </c>
      <c r="J17" s="3107">
        <f t="shared" si="285"/>
        <v>0</v>
      </c>
      <c r="K17" s="3207">
        <f>SUM(L17:M17)</f>
        <v>25.397632499999997</v>
      </c>
      <c r="L17" s="3207">
        <f>SUM(L18:L19)</f>
        <v>25.397632499999997</v>
      </c>
      <c r="M17" s="3207">
        <f>SUM(M18:M19)</f>
        <v>0</v>
      </c>
      <c r="N17" s="3207">
        <f>SUM(O17:P17)</f>
        <v>25.33</v>
      </c>
      <c r="O17" s="3207">
        <f t="shared" ref="O17" si="286">SUM(O18:O19)</f>
        <v>25.33</v>
      </c>
      <c r="P17" s="3207">
        <f t="shared" ref="P17:S17" si="287">SUM(P18:P19)</f>
        <v>0</v>
      </c>
      <c r="Q17" s="3107">
        <f t="shared" si="287"/>
        <v>28.2</v>
      </c>
      <c r="R17" s="3107">
        <f t="shared" si="287"/>
        <v>28.2</v>
      </c>
      <c r="S17" s="3107">
        <f t="shared" si="287"/>
        <v>0</v>
      </c>
      <c r="T17" s="3207">
        <f>SUM(U17:V17)</f>
        <v>25.397632499999997</v>
      </c>
      <c r="U17" s="3207">
        <f>SUM(U18:U19)</f>
        <v>25.397632499999997</v>
      </c>
      <c r="V17" s="3207">
        <f>SUM(V18:V19)</f>
        <v>0</v>
      </c>
      <c r="W17" s="3207">
        <f>SUM(X17:Y17)</f>
        <v>21.66</v>
      </c>
      <c r="X17" s="3207">
        <f t="shared" ref="X17" si="288">SUM(X18:X19)</f>
        <v>21.66</v>
      </c>
      <c r="Y17" s="3207">
        <f t="shared" ref="Y17:AB17" si="289">SUM(Y18:Y19)</f>
        <v>0</v>
      </c>
      <c r="Z17" s="3107">
        <f t="shared" si="289"/>
        <v>24.8</v>
      </c>
      <c r="AA17" s="3107">
        <f t="shared" si="289"/>
        <v>24.8</v>
      </c>
      <c r="AB17" s="3107">
        <f t="shared" si="289"/>
        <v>0</v>
      </c>
      <c r="AC17" s="3206">
        <f>SUM(AD17:AE17)</f>
        <v>76.192897500000001</v>
      </c>
      <c r="AD17" s="3206">
        <f>SUM(AD18:AD19)</f>
        <v>76.192897500000001</v>
      </c>
      <c r="AE17" s="3206">
        <f>SUM(AE18:AE19)</f>
        <v>0</v>
      </c>
      <c r="AF17" s="3206">
        <f>SUM(AG17:AH17)</f>
        <v>72.046999999999997</v>
      </c>
      <c r="AG17" s="3206">
        <f>SUM(AG18:AG19)</f>
        <v>72.046999999999997</v>
      </c>
      <c r="AH17" s="3206">
        <f>SUM(AH18:AH19)</f>
        <v>0</v>
      </c>
      <c r="AI17" s="3109">
        <f t="shared" si="285"/>
        <v>81.149999999999991</v>
      </c>
      <c r="AJ17" s="3109">
        <f t="shared" si="285"/>
        <v>81.149999999999991</v>
      </c>
      <c r="AK17" s="3109">
        <f t="shared" si="285"/>
        <v>0</v>
      </c>
      <c r="AL17" s="3206">
        <f>SUM(AM17:AN17)</f>
        <v>-4.1458975000000002</v>
      </c>
      <c r="AM17" s="3206">
        <f>SUM(AM18:AM19)</f>
        <v>-4.1458975000000002</v>
      </c>
      <c r="AN17" s="3206">
        <f>SUM(AN18:AN19)</f>
        <v>0</v>
      </c>
      <c r="AO17" s="3207">
        <f>SUM(AP17:AQ17)</f>
        <v>25.397632499999997</v>
      </c>
      <c r="AP17" s="3207">
        <f>SUM(AP18:AP19)</f>
        <v>25.397632499999997</v>
      </c>
      <c r="AQ17" s="3207">
        <f>SUM(AQ18:AQ19)</f>
        <v>0</v>
      </c>
      <c r="AR17" s="3207">
        <f>SUM(AS17:AT17)</f>
        <v>25.71</v>
      </c>
      <c r="AS17" s="3207">
        <f t="shared" ref="AS17" si="290">SUM(AS18:AS19)</f>
        <v>25.71</v>
      </c>
      <c r="AT17" s="3207">
        <f t="shared" ref="AT17:AW17" si="291">SUM(AT18:AT19)</f>
        <v>0</v>
      </c>
      <c r="AU17" s="3107">
        <f t="shared" si="291"/>
        <v>25.77</v>
      </c>
      <c r="AV17" s="3107">
        <f t="shared" si="291"/>
        <v>25.77</v>
      </c>
      <c r="AW17" s="3107">
        <f t="shared" si="291"/>
        <v>0</v>
      </c>
      <c r="AX17" s="3107">
        <f t="shared" si="285"/>
        <v>25.397632499999997</v>
      </c>
      <c r="AY17" s="3207">
        <f>SUM(AY18:AY19)</f>
        <v>25.397632499999997</v>
      </c>
      <c r="AZ17" s="3207">
        <f>SUM(AZ18:AZ19)</f>
        <v>0</v>
      </c>
      <c r="BA17" s="3207">
        <f>SUM(BB17:BC17)</f>
        <v>22.06</v>
      </c>
      <c r="BB17" s="3207">
        <f>SUM(BB18:BB19)</f>
        <v>22.06</v>
      </c>
      <c r="BC17" s="3207">
        <f>SUM(BC18:BC19)</f>
        <v>0</v>
      </c>
      <c r="BD17" s="3107">
        <f t="shared" ref="BD17:BF17" si="292">SUM(BD18:BD19)</f>
        <v>25.9</v>
      </c>
      <c r="BE17" s="3107">
        <f t="shared" si="292"/>
        <v>25.9</v>
      </c>
      <c r="BF17" s="3107">
        <f t="shared" si="292"/>
        <v>0</v>
      </c>
      <c r="BG17" s="3207">
        <f>SUM(BH17:BI17)</f>
        <v>25.397632499999997</v>
      </c>
      <c r="BH17" s="3207">
        <f>SUM(BH18:BH19)</f>
        <v>25.397632499999997</v>
      </c>
      <c r="BI17" s="3207">
        <f>SUM(BI18:BI19)</f>
        <v>0</v>
      </c>
      <c r="BJ17" s="3207">
        <f>SUM(BK17:BL17)</f>
        <v>17.786000000000001</v>
      </c>
      <c r="BK17" s="3207">
        <f t="shared" ref="BK17:BO17" si="293">SUM(BK18:BK19)</f>
        <v>17.786000000000001</v>
      </c>
      <c r="BL17" s="3207">
        <f t="shared" si="293"/>
        <v>0</v>
      </c>
      <c r="BM17" s="3107">
        <f t="shared" si="293"/>
        <v>26.79</v>
      </c>
      <c r="BN17" s="3107">
        <f t="shared" si="293"/>
        <v>26.79</v>
      </c>
      <c r="BO17" s="3107">
        <f t="shared" si="293"/>
        <v>0</v>
      </c>
      <c r="BP17" s="3206">
        <f>SUM(BQ17:BR17)</f>
        <v>76.192897500000001</v>
      </c>
      <c r="BQ17" s="3206">
        <f>SUM(BQ18:BQ19)</f>
        <v>76.192897500000001</v>
      </c>
      <c r="BR17" s="3206">
        <f>SUM(BR18:BR19)</f>
        <v>0</v>
      </c>
      <c r="BS17" s="3206">
        <f>SUM(BT17:BU17)</f>
        <v>65.555999999999997</v>
      </c>
      <c r="BT17" s="3206">
        <f>SUM(BT18:BT19)</f>
        <v>65.555999999999997</v>
      </c>
      <c r="BU17" s="3206">
        <f>SUM(BU18:BU19)</f>
        <v>0</v>
      </c>
      <c r="BV17" s="3109">
        <f t="shared" ref="BV17:BX17" si="294">SUM(BV18:BV19)</f>
        <v>78.460000000000008</v>
      </c>
      <c r="BW17" s="3206">
        <f t="shared" si="294"/>
        <v>78.460000000000008</v>
      </c>
      <c r="BX17" s="3206">
        <f t="shared" si="294"/>
        <v>0</v>
      </c>
      <c r="BY17" s="3206">
        <f>SUM(BZ17:CA17)</f>
        <v>-10.6368975</v>
      </c>
      <c r="BZ17" s="3206">
        <f>SUM(BZ18:BZ19)</f>
        <v>-10.6368975</v>
      </c>
      <c r="CA17" s="3206">
        <f>SUM(CA18:CA19)</f>
        <v>0</v>
      </c>
      <c r="CB17" s="3206">
        <f>SUM(CC17:CD17)</f>
        <v>152.385795</v>
      </c>
      <c r="CC17" s="3206">
        <f>SUM(CC18:CC19)</f>
        <v>152.385795</v>
      </c>
      <c r="CD17" s="3206">
        <f>SUM(CD18:CD19)</f>
        <v>0</v>
      </c>
      <c r="CE17" s="3206">
        <f>SUM(CF17:CG17)</f>
        <v>137.60300000000001</v>
      </c>
      <c r="CF17" s="3206">
        <f>SUM(CF18:CF19)</f>
        <v>137.60300000000001</v>
      </c>
      <c r="CG17" s="3206">
        <f>SUM(CG18:CG19)</f>
        <v>0</v>
      </c>
      <c r="CH17" s="3109">
        <f t="shared" si="285"/>
        <v>159.61000000000001</v>
      </c>
      <c r="CI17" s="3109">
        <f t="shared" si="285"/>
        <v>159.61000000000001</v>
      </c>
      <c r="CJ17" s="3109">
        <f t="shared" si="285"/>
        <v>0</v>
      </c>
      <c r="CK17" s="3206">
        <f>SUM(CL17:CM17)</f>
        <v>-14.782794999999993</v>
      </c>
      <c r="CL17" s="3212">
        <f t="shared" si="7"/>
        <v>-14.782794999999993</v>
      </c>
      <c r="CM17" s="3212">
        <f t="shared" si="7"/>
        <v>0</v>
      </c>
      <c r="CN17" s="3207">
        <f>SUM(CO17:CP17)</f>
        <v>25.397632499999997</v>
      </c>
      <c r="CO17" s="3207">
        <f>SUM(CO18:CO19)</f>
        <v>25.397632499999997</v>
      </c>
      <c r="CP17" s="3207">
        <f>SUM(CP18:CP19)</f>
        <v>0</v>
      </c>
      <c r="CQ17" s="3207">
        <f>SUM(CR17:CS17)</f>
        <v>15.916</v>
      </c>
      <c r="CR17" s="3207">
        <f t="shared" ref="CR17:CV17" si="295">SUM(CR18:CR19)</f>
        <v>15.916</v>
      </c>
      <c r="CS17" s="3207">
        <f t="shared" si="295"/>
        <v>0</v>
      </c>
      <c r="CT17" s="3107">
        <f t="shared" si="295"/>
        <v>22.57</v>
      </c>
      <c r="CU17" s="3107">
        <f t="shared" si="295"/>
        <v>22.57</v>
      </c>
      <c r="CV17" s="3107">
        <f t="shared" si="295"/>
        <v>0</v>
      </c>
      <c r="CW17" s="3207">
        <f>SUM(CX17:CY17)</f>
        <v>25.397632499999997</v>
      </c>
      <c r="CX17" s="3207">
        <f>SUM(CX18:CX19)</f>
        <v>25.397632499999997</v>
      </c>
      <c r="CY17" s="3207">
        <f>SUM(CY18:CY19)</f>
        <v>0</v>
      </c>
      <c r="CZ17" s="3207">
        <f>SUM(DA17:DB17)</f>
        <v>19.445</v>
      </c>
      <c r="DA17" s="3207">
        <f t="shared" ref="DA17:DE17" si="296">SUM(DA18:DA19)</f>
        <v>19.445</v>
      </c>
      <c r="DB17" s="3207">
        <f t="shared" si="296"/>
        <v>0</v>
      </c>
      <c r="DC17" s="3107">
        <f t="shared" si="296"/>
        <v>19.38</v>
      </c>
      <c r="DD17" s="3107">
        <f t="shared" si="296"/>
        <v>19.38</v>
      </c>
      <c r="DE17" s="3107">
        <f t="shared" si="296"/>
        <v>0</v>
      </c>
      <c r="DF17" s="3207">
        <f>SUM(DG17:DH17)</f>
        <v>25.397632499999997</v>
      </c>
      <c r="DG17" s="3207">
        <f>SUM(DG18:DG19)</f>
        <v>25.397632499999997</v>
      </c>
      <c r="DH17" s="3207">
        <f>SUM(DH18:DH19)</f>
        <v>0</v>
      </c>
      <c r="DI17" s="3207">
        <f>SUM(DJ17:DK17)</f>
        <v>25.414000000000001</v>
      </c>
      <c r="DJ17" s="3207">
        <f t="shared" ref="DJ17:DN17" si="297">SUM(DJ18:DJ19)</f>
        <v>25.414000000000001</v>
      </c>
      <c r="DK17" s="3207">
        <f t="shared" si="297"/>
        <v>0</v>
      </c>
      <c r="DL17" s="3107">
        <f t="shared" si="297"/>
        <v>27.24</v>
      </c>
      <c r="DM17" s="3107">
        <f t="shared" si="297"/>
        <v>27.24</v>
      </c>
      <c r="DN17" s="3107">
        <f t="shared" si="297"/>
        <v>0</v>
      </c>
      <c r="DO17" s="3206">
        <f>SUM(DP17:DQ17)</f>
        <v>76.192897500000001</v>
      </c>
      <c r="DP17" s="3206">
        <f>SUM(DP18:DP19)</f>
        <v>76.192897500000001</v>
      </c>
      <c r="DQ17" s="3206">
        <f>SUM(DQ18:DQ19)</f>
        <v>0</v>
      </c>
      <c r="DR17" s="3206">
        <f>SUM(DS17:DT17)</f>
        <v>60.775000000000006</v>
      </c>
      <c r="DS17" s="3206">
        <f>SUM(DS18:DS19)</f>
        <v>60.775000000000006</v>
      </c>
      <c r="DT17" s="3206">
        <f>SUM(DT18:DT19)</f>
        <v>0</v>
      </c>
      <c r="DU17" s="3109">
        <f t="shared" ref="DU17:DW17" si="298">SUM(DU18:DU19)</f>
        <v>69.19</v>
      </c>
      <c r="DV17" s="3206">
        <f t="shared" si="298"/>
        <v>69.19</v>
      </c>
      <c r="DW17" s="3206">
        <f t="shared" si="298"/>
        <v>0</v>
      </c>
      <c r="DX17" s="3206">
        <f>SUM(DY17:DZ17)</f>
        <v>-15.417897499999995</v>
      </c>
      <c r="DY17" s="3212">
        <f t="shared" si="11"/>
        <v>-15.417897499999995</v>
      </c>
      <c r="DZ17" s="3212">
        <f t="shared" si="11"/>
        <v>0</v>
      </c>
      <c r="EA17" s="3206">
        <f>SUM(EB17:EC17)</f>
        <v>228.57869249999999</v>
      </c>
      <c r="EB17" s="3206">
        <f>SUM(EB18:EB19)</f>
        <v>228.57869249999999</v>
      </c>
      <c r="EC17" s="3206">
        <f>SUM(EC18:EC19)</f>
        <v>0</v>
      </c>
      <c r="ED17" s="3206">
        <f>SUM(EE17:EF17)</f>
        <v>198.37800000000001</v>
      </c>
      <c r="EE17" s="3206">
        <f>SUM(EE18:EE19)</f>
        <v>198.37800000000001</v>
      </c>
      <c r="EF17" s="3206">
        <f>SUM(EF18:EF19)</f>
        <v>0</v>
      </c>
      <c r="EG17" s="3206">
        <f>SUM(EG18:EG19)</f>
        <v>228.8</v>
      </c>
      <c r="EH17" s="3206">
        <f t="shared" ref="EH17:EI17" si="299">SUM(EH18:EH19)</f>
        <v>228.8</v>
      </c>
      <c r="EI17" s="3206">
        <f t="shared" si="299"/>
        <v>0</v>
      </c>
      <c r="EJ17" s="3206">
        <f>SUM(EK17:EL17)</f>
        <v>-30.200692499999974</v>
      </c>
      <c r="EK17" s="3212">
        <f t="shared" si="14"/>
        <v>-30.200692499999974</v>
      </c>
      <c r="EL17" s="3212">
        <f t="shared" si="14"/>
        <v>0</v>
      </c>
      <c r="EM17" s="3207">
        <f>SUM(EN17:EO17)</f>
        <v>25.397632499999997</v>
      </c>
      <c r="EN17" s="3207">
        <f>SUM(EN18:EN19)</f>
        <v>25.397632499999997</v>
      </c>
      <c r="EO17" s="3207">
        <f>SUM(EO18:EO19)</f>
        <v>0</v>
      </c>
      <c r="EP17" s="3207">
        <f>SUM(EQ17:ER17)</f>
        <v>0</v>
      </c>
      <c r="EQ17" s="3207">
        <f t="shared" ref="EQ17:EU17" si="300">SUM(EQ18:EQ19)</f>
        <v>0</v>
      </c>
      <c r="ER17" s="3207">
        <f t="shared" si="300"/>
        <v>0</v>
      </c>
      <c r="ES17" s="3107">
        <f t="shared" si="300"/>
        <v>27.23</v>
      </c>
      <c r="ET17" s="3107">
        <f t="shared" si="300"/>
        <v>27.23</v>
      </c>
      <c r="EU17" s="3107">
        <f t="shared" si="300"/>
        <v>0</v>
      </c>
      <c r="EV17" s="3207">
        <f>SUM(EW17:EX17)</f>
        <v>25.397632499999997</v>
      </c>
      <c r="EW17" s="3207">
        <f>SUM(EW18:EW19)</f>
        <v>25.397632499999997</v>
      </c>
      <c r="EX17" s="3207">
        <f>SUM(EX18:EX19)</f>
        <v>0</v>
      </c>
      <c r="EY17" s="3207">
        <f>SUM(EZ17:FA17)</f>
        <v>0</v>
      </c>
      <c r="EZ17" s="3207">
        <f t="shared" ref="EZ17:FD17" si="301">SUM(EZ18:EZ19)</f>
        <v>0</v>
      </c>
      <c r="FA17" s="3207">
        <f t="shared" si="301"/>
        <v>0</v>
      </c>
      <c r="FB17" s="3107">
        <f t="shared" si="301"/>
        <v>26.65</v>
      </c>
      <c r="FC17" s="3107">
        <f t="shared" si="301"/>
        <v>26.65</v>
      </c>
      <c r="FD17" s="3107">
        <f t="shared" si="301"/>
        <v>0</v>
      </c>
      <c r="FE17" s="3207">
        <f>SUM(FF17:FG17)</f>
        <v>25.397632499999997</v>
      </c>
      <c r="FF17" s="3207">
        <f>SUM(FF18:FF19)</f>
        <v>25.397632499999997</v>
      </c>
      <c r="FG17" s="3207">
        <f>SUM(FG18:FG19)</f>
        <v>0</v>
      </c>
      <c r="FH17" s="3207">
        <f>SUM(FI17:FJ17)</f>
        <v>0</v>
      </c>
      <c r="FI17" s="3207">
        <f t="shared" ref="FI17:FM17" si="302">SUM(FI18:FI19)</f>
        <v>0</v>
      </c>
      <c r="FJ17" s="3207">
        <f t="shared" si="302"/>
        <v>0</v>
      </c>
      <c r="FK17" s="3107">
        <f t="shared" si="302"/>
        <v>27.6</v>
      </c>
      <c r="FL17" s="3107">
        <f t="shared" si="302"/>
        <v>27.6</v>
      </c>
      <c r="FM17" s="3107">
        <f t="shared" si="302"/>
        <v>0</v>
      </c>
      <c r="FN17" s="3206">
        <f>SUM(FO17:FP17)</f>
        <v>76.192897500000001</v>
      </c>
      <c r="FO17" s="3206">
        <f>SUM(FO18:FO19)</f>
        <v>76.192897500000001</v>
      </c>
      <c r="FP17" s="3206">
        <f>SUM(FP18:FP19)</f>
        <v>0</v>
      </c>
      <c r="FQ17" s="3206">
        <f>SUM(FR17:FS17)</f>
        <v>0</v>
      </c>
      <c r="FR17" s="3206">
        <f>SUM(FR18:FR19)</f>
        <v>0</v>
      </c>
      <c r="FS17" s="3206">
        <f>SUM(FS18:FS19)</f>
        <v>0</v>
      </c>
      <c r="FT17" s="3109">
        <f t="shared" ref="FT17" si="303">SUM(FT18:FT19)</f>
        <v>81.47999999999999</v>
      </c>
      <c r="FU17" s="3109">
        <f t="shared" ref="FU17:FV17" si="304">SUM(FU18:FU19)</f>
        <v>81.47999999999999</v>
      </c>
      <c r="FV17" s="3109">
        <f t="shared" si="304"/>
        <v>0</v>
      </c>
      <c r="FW17" s="3206">
        <f>SUM(FX17:FY17)</f>
        <v>-76.192897500000001</v>
      </c>
      <c r="FX17" s="3212">
        <f t="shared" si="18"/>
        <v>-76.192897500000001</v>
      </c>
      <c r="FY17" s="3212">
        <f t="shared" si="18"/>
        <v>0</v>
      </c>
      <c r="FZ17" s="3218">
        <f>SUM(GA17:GB17)</f>
        <v>304.77159</v>
      </c>
      <c r="GA17" s="3218">
        <f>SUM(GA18:GA19)</f>
        <v>304.77159</v>
      </c>
      <c r="GB17" s="3218">
        <f>SUM(GB18:GB19)</f>
        <v>0</v>
      </c>
      <c r="GC17" s="3206">
        <f>SUM(GD17:GE17)</f>
        <v>198.37800000000001</v>
      </c>
      <c r="GD17" s="3219">
        <f t="shared" ref="GD17:GE17" si="305">SUM(GD18:GD19)</f>
        <v>198.37800000000001</v>
      </c>
      <c r="GE17" s="3219">
        <f t="shared" si="305"/>
        <v>0</v>
      </c>
      <c r="GF17" s="3219">
        <f t="shared" si="285"/>
        <v>310.27999999999997</v>
      </c>
      <c r="GG17" s="3219">
        <f t="shared" ref="GG17:GH17" si="306">SUM(GG18:GG19)</f>
        <v>310.27999999999997</v>
      </c>
      <c r="GH17" s="3219">
        <f t="shared" si="306"/>
        <v>0</v>
      </c>
      <c r="GI17" s="3206">
        <f>SUM(GJ17:GK17)</f>
        <v>-106.39358999999999</v>
      </c>
      <c r="GJ17" s="3220">
        <f t="shared" si="21"/>
        <v>-106.39358999999999</v>
      </c>
      <c r="GK17" s="3220">
        <f t="shared" si="21"/>
        <v>0</v>
      </c>
      <c r="GL17" s="627"/>
    </row>
    <row r="18" spans="1:194" ht="18.75" x14ac:dyDescent="0.3">
      <c r="A18" s="3081" t="s">
        <v>650</v>
      </c>
      <c r="B18" s="3210">
        <f>SUM(C18:D18)</f>
        <v>22.194965833333331</v>
      </c>
      <c r="C18" s="3210">
        <f t="shared" si="204"/>
        <v>22.194965833333331</v>
      </c>
      <c r="D18" s="3210">
        <f t="shared" si="204"/>
        <v>0</v>
      </c>
      <c r="E18" s="3210">
        <f>SUM(F18:G18)</f>
        <v>25.056999999999999</v>
      </c>
      <c r="F18" s="3118">
        <f>SUM('ПОЛНАЯ СЕБЕСТОИМОСТЬ ВОДА 2019'!F18)</f>
        <v>25.056999999999999</v>
      </c>
      <c r="G18" s="3118">
        <f>SUM('ПОЛНАЯ СЕБЕСТОИМОСТЬ ВОДА 2019'!G18)</f>
        <v>0</v>
      </c>
      <c r="H18" s="3119">
        <v>28.15</v>
      </c>
      <c r="I18" s="3119">
        <f>SUM(H18)</f>
        <v>28.15</v>
      </c>
      <c r="J18" s="3119">
        <v>0</v>
      </c>
      <c r="K18" s="3210">
        <f>SUM(L18:M18)</f>
        <v>22.194965833333331</v>
      </c>
      <c r="L18" s="3210">
        <f>SUM(GA18/12)</f>
        <v>22.194965833333331</v>
      </c>
      <c r="M18" s="3210">
        <f>SUM(GB18/12)</f>
        <v>0</v>
      </c>
      <c r="N18" s="3210">
        <f>SUM(O18:P18)</f>
        <v>25.33</v>
      </c>
      <c r="O18" s="3118">
        <f>SUM('ПОЛНАЯ СЕБЕСТОИМОСТЬ ВОДА 2019'!I18)</f>
        <v>25.33</v>
      </c>
      <c r="P18" s="3118">
        <f>SUM('ПОЛНАЯ СЕБЕСТОИМОСТЬ ВОДА 2019'!J18)</f>
        <v>0</v>
      </c>
      <c r="Q18" s="3119">
        <v>28.2</v>
      </c>
      <c r="R18" s="3119">
        <f>SUM(Q18)</f>
        <v>28.2</v>
      </c>
      <c r="S18" s="3119">
        <v>0</v>
      </c>
      <c r="T18" s="3210">
        <f>SUM(U18:V18)</f>
        <v>22.194965833333331</v>
      </c>
      <c r="U18" s="3210">
        <f>SUM(GA18/12)</f>
        <v>22.194965833333331</v>
      </c>
      <c r="V18" s="3210">
        <f>SUM(GB18/12)</f>
        <v>0</v>
      </c>
      <c r="W18" s="3210">
        <f>SUM(X18:Y18)</f>
        <v>21.66</v>
      </c>
      <c r="X18" s="3118">
        <f>SUM('ПОЛНАЯ СЕБЕСТОИМОСТЬ ВОДА 2019'!L18)</f>
        <v>21.66</v>
      </c>
      <c r="Y18" s="3118">
        <f>SUM('ПОЛНАЯ СЕБЕСТОИМОСТЬ ВОДА 2019'!M18)</f>
        <v>0</v>
      </c>
      <c r="Z18" s="3119">
        <v>24.8</v>
      </c>
      <c r="AA18" s="3119">
        <f>SUM(Z18)</f>
        <v>24.8</v>
      </c>
      <c r="AB18" s="3119">
        <v>0</v>
      </c>
      <c r="AC18" s="3211">
        <f>SUM(AD18:AE18)</f>
        <v>66.584897499999997</v>
      </c>
      <c r="AD18" s="3209">
        <f t="shared" ref="AD18:AD19" si="307">SUM(C18+L18+U18)</f>
        <v>66.584897499999997</v>
      </c>
      <c r="AE18" s="3209">
        <f t="shared" ref="AE18:AE19" si="308">SUM(D18+M18+V18)</f>
        <v>0</v>
      </c>
      <c r="AF18" s="3211">
        <f>SUM(AG18:AH18)</f>
        <v>72.046999999999997</v>
      </c>
      <c r="AG18" s="3209">
        <f t="shared" ref="AG18:AG19" si="309">SUM(F18+O18+X18)</f>
        <v>72.046999999999997</v>
      </c>
      <c r="AH18" s="3209">
        <f t="shared" ref="AH18:AH19" si="310">SUM(G18+P18+Y18)</f>
        <v>0</v>
      </c>
      <c r="AI18" s="3120">
        <f t="shared" ref="AI18:AI19" si="311">SUM(H18+Q18+Z18)</f>
        <v>81.149999999999991</v>
      </c>
      <c r="AJ18" s="3120">
        <f t="shared" ref="AJ18:AJ19" si="312">SUM(I18+R18+AA18)</f>
        <v>81.149999999999991</v>
      </c>
      <c r="AK18" s="3120">
        <f t="shared" ref="AK18:AK19" si="313">SUM(J18+S18+AB18)</f>
        <v>0</v>
      </c>
      <c r="AL18" s="3211">
        <f>SUM(AM18:AN18)</f>
        <v>5.4621025000000003</v>
      </c>
      <c r="AM18" s="3209">
        <f t="shared" ref="AM18:AM19" si="314">SUM(AG18-AD18)</f>
        <v>5.4621025000000003</v>
      </c>
      <c r="AN18" s="3209">
        <f t="shared" ref="AN18:AN19" si="315">SUM(AH18-AE18)</f>
        <v>0</v>
      </c>
      <c r="AO18" s="3210">
        <f>SUM(AP18:AQ18)</f>
        <v>22.194965833333331</v>
      </c>
      <c r="AP18" s="3210">
        <f>SUM(GA18/12)</f>
        <v>22.194965833333331</v>
      </c>
      <c r="AQ18" s="3210">
        <f>SUM(GB18/12)</f>
        <v>0</v>
      </c>
      <c r="AR18" s="3210">
        <f>SUM(AS18:AT18)</f>
        <v>25.71</v>
      </c>
      <c r="AS18" s="3112">
        <f>SUM('ПОЛНАЯ СЕБЕСТОИМОСТЬ ВОДА 2019'!U18)</f>
        <v>25.71</v>
      </c>
      <c r="AT18" s="3112">
        <f>SUM('ПОЛНАЯ СЕБЕСТОИМОСТЬ ВОДА 2019'!V18)</f>
        <v>0</v>
      </c>
      <c r="AU18" s="3119">
        <v>25.77</v>
      </c>
      <c r="AV18" s="3119">
        <f>SUM(AU18)</f>
        <v>25.77</v>
      </c>
      <c r="AW18" s="3119">
        <v>0</v>
      </c>
      <c r="AX18" s="3210">
        <f>SUM(AY18:AZ18)</f>
        <v>22.194965833333331</v>
      </c>
      <c r="AY18" s="3210">
        <f>SUM(GA18/12)</f>
        <v>22.194965833333331</v>
      </c>
      <c r="AZ18" s="3210">
        <f>SUM(GB18/12)</f>
        <v>0</v>
      </c>
      <c r="BA18" s="3210">
        <f>SUM(BB18:BC18)</f>
        <v>22.06</v>
      </c>
      <c r="BB18" s="3112">
        <f>SUM('ПОЛНАЯ СЕБЕСТОИМОСТЬ ВОДА 2019'!X18)</f>
        <v>22.06</v>
      </c>
      <c r="BC18" s="3112">
        <f>SUM('ПОЛНАЯ СЕБЕСТОИМОСТЬ ВОДА 2019'!Y18)</f>
        <v>0</v>
      </c>
      <c r="BD18" s="3119">
        <v>25.9</v>
      </c>
      <c r="BE18" s="3119">
        <f>SUM(BD18)</f>
        <v>25.9</v>
      </c>
      <c r="BF18" s="3119">
        <v>0</v>
      </c>
      <c r="BG18" s="3210">
        <f>SUM(BH18:BI18)</f>
        <v>22.194965833333331</v>
      </c>
      <c r="BH18" s="3210">
        <f>SUM(GA18/12)</f>
        <v>22.194965833333331</v>
      </c>
      <c r="BI18" s="3210">
        <f>SUM(GB18/12)</f>
        <v>0</v>
      </c>
      <c r="BJ18" s="3210">
        <f>SUM(BK18:BL18)</f>
        <v>17.786000000000001</v>
      </c>
      <c r="BK18" s="3112">
        <f>SUM('ПОЛНАЯ СЕБЕСТОИМОСТЬ ВОДА 2019'!AA18)</f>
        <v>17.786000000000001</v>
      </c>
      <c r="BL18" s="3112">
        <f>SUM('ПОЛНАЯ СЕБЕСТОИМОСТЬ ВОДА 2019'!AB18)</f>
        <v>0</v>
      </c>
      <c r="BM18" s="3119">
        <v>26.79</v>
      </c>
      <c r="BN18" s="3119">
        <f>SUM(BM18)</f>
        <v>26.79</v>
      </c>
      <c r="BO18" s="3119">
        <v>0</v>
      </c>
      <c r="BP18" s="3211">
        <f>SUM(BQ18:BR18)</f>
        <v>66.584897499999997</v>
      </c>
      <c r="BQ18" s="3209">
        <f t="shared" ref="BQ18:BQ19" si="316">SUM(AP18+AY18+BH18)</f>
        <v>66.584897499999997</v>
      </c>
      <c r="BR18" s="3209">
        <f t="shared" ref="BR18:BR19" si="317">SUM(AQ18+AZ18+BI18)</f>
        <v>0</v>
      </c>
      <c r="BS18" s="3211">
        <f>SUM(BT18:BU18)</f>
        <v>65.555999999999997</v>
      </c>
      <c r="BT18" s="3209">
        <f t="shared" ref="BT18:BT19" si="318">SUM(AS18+BB18+BK18)</f>
        <v>65.555999999999997</v>
      </c>
      <c r="BU18" s="3209">
        <f t="shared" ref="BU18:BU19" si="319">SUM(AT18+BC18+BL18)</f>
        <v>0</v>
      </c>
      <c r="BV18" s="3120">
        <f t="shared" ref="BV18:BV19" si="320">SUM(AU18+BD18+BM18)</f>
        <v>78.460000000000008</v>
      </c>
      <c r="BW18" s="3209">
        <f t="shared" ref="BW18:BW19" si="321">SUM(AV18+BE18+BN18)</f>
        <v>78.460000000000008</v>
      </c>
      <c r="BX18" s="3209">
        <f t="shared" ref="BX18:BX19" si="322">SUM(AW18+BF18+BO18)</f>
        <v>0</v>
      </c>
      <c r="BY18" s="3211">
        <f>SUM(BZ18:CA18)</f>
        <v>-1.0288974999999994</v>
      </c>
      <c r="BZ18" s="3209">
        <f t="shared" ref="BZ18:BZ19" si="323">SUM(BT18-BQ18)</f>
        <v>-1.0288974999999994</v>
      </c>
      <c r="CA18" s="3209">
        <f t="shared" ref="CA18:CA19" si="324">SUM(BU18-BR18)</f>
        <v>0</v>
      </c>
      <c r="CB18" s="3211">
        <f>SUM(CC18:CD18)</f>
        <v>133.16979499999999</v>
      </c>
      <c r="CC18" s="3209">
        <f t="shared" ref="CC18:CC19" si="325">SUM(AD18+BQ18)</f>
        <v>133.16979499999999</v>
      </c>
      <c r="CD18" s="3209">
        <f t="shared" ref="CD18:CD19" si="326">SUM(AE18+BR18)</f>
        <v>0</v>
      </c>
      <c r="CE18" s="3211">
        <f>SUM(CF18:CG18)</f>
        <v>137.60300000000001</v>
      </c>
      <c r="CF18" s="3209">
        <f t="shared" ref="CF18:CF19" si="327">SUM(AG18+BT18)</f>
        <v>137.60300000000001</v>
      </c>
      <c r="CG18" s="3209">
        <f t="shared" ref="CG18:CG19" si="328">SUM(AH18+BU18)</f>
        <v>0</v>
      </c>
      <c r="CH18" s="3120">
        <f>SUM(AI18+BV18)</f>
        <v>159.61000000000001</v>
      </c>
      <c r="CI18" s="3120">
        <f t="shared" ref="CI18:CJ19" si="329">SUM(AJ18+BW18)</f>
        <v>159.61000000000001</v>
      </c>
      <c r="CJ18" s="3120">
        <f t="shared" si="329"/>
        <v>0</v>
      </c>
      <c r="CK18" s="3211">
        <f>SUM(CL18:CM18)</f>
        <v>4.4332050000000152</v>
      </c>
      <c r="CL18" s="3214">
        <f t="shared" si="7"/>
        <v>4.4332050000000152</v>
      </c>
      <c r="CM18" s="3214">
        <f t="shared" si="7"/>
        <v>0</v>
      </c>
      <c r="CN18" s="3210">
        <f>SUM(CO18:CP18)</f>
        <v>22.194965833333331</v>
      </c>
      <c r="CO18" s="3208">
        <f t="shared" ref="CO18:CO19" si="330">SUM(GA18/12)</f>
        <v>22.194965833333331</v>
      </c>
      <c r="CP18" s="3208">
        <f t="shared" ref="CP18:CP19" si="331">SUM(GB18/12)</f>
        <v>0</v>
      </c>
      <c r="CQ18" s="3210">
        <f>SUM(CR18:CS18)</f>
        <v>15.916</v>
      </c>
      <c r="CR18" s="3112">
        <f>SUM('ПОЛНАЯ СЕБЕСТОИМОСТЬ ВОДА 2019'!AS18)</f>
        <v>15.916</v>
      </c>
      <c r="CS18" s="3112">
        <f>SUM('ПОЛНАЯ СЕБЕСТОИМОСТЬ ВОДА 2019'!AT18)</f>
        <v>0</v>
      </c>
      <c r="CT18" s="3119">
        <v>22.57</v>
      </c>
      <c r="CU18" s="3119">
        <f>SUM(CT18)</f>
        <v>22.57</v>
      </c>
      <c r="CV18" s="3119">
        <v>0</v>
      </c>
      <c r="CW18" s="3210">
        <f>SUM(CX18:CY18)</f>
        <v>22.194965833333331</v>
      </c>
      <c r="CX18" s="3208">
        <f t="shared" ref="CX18:CX19" si="332">SUM(GA18/12)</f>
        <v>22.194965833333331</v>
      </c>
      <c r="CY18" s="3208">
        <f t="shared" ref="CY18:CY19" si="333">SUM(GB18/12)</f>
        <v>0</v>
      </c>
      <c r="CZ18" s="3210">
        <f>SUM(DA18:DB18)</f>
        <v>19.445</v>
      </c>
      <c r="DA18" s="3112">
        <f>SUM('ПОЛНАЯ СЕБЕСТОИМОСТЬ ВОДА 2019'!AV18)</f>
        <v>19.445</v>
      </c>
      <c r="DB18" s="3112">
        <f>SUM('ПОЛНАЯ СЕБЕСТОИМОСТЬ ВОДА 2019'!AW18)</f>
        <v>0</v>
      </c>
      <c r="DC18" s="3119">
        <v>19.38</v>
      </c>
      <c r="DD18" s="3119">
        <f>SUM(DC18)</f>
        <v>19.38</v>
      </c>
      <c r="DE18" s="3119">
        <v>0</v>
      </c>
      <c r="DF18" s="3210">
        <f>SUM(DG18:DH18)</f>
        <v>22.194965833333331</v>
      </c>
      <c r="DG18" s="3208">
        <f t="shared" si="243"/>
        <v>22.194965833333331</v>
      </c>
      <c r="DH18" s="3208">
        <f t="shared" ref="DH18:DH19" si="334">SUM(GS18/12)</f>
        <v>0</v>
      </c>
      <c r="DI18" s="3210">
        <f>SUM(DJ18:DK18)</f>
        <v>25.414000000000001</v>
      </c>
      <c r="DJ18" s="3112">
        <f>SUM('ПОЛНАЯ СЕБЕСТОИМОСТЬ ВОДА 2019'!AY18)</f>
        <v>25.414000000000001</v>
      </c>
      <c r="DK18" s="3112">
        <f>SUM('ПОЛНАЯ СЕБЕСТОИМОСТЬ ВОДА 2019'!AZ18)</f>
        <v>0</v>
      </c>
      <c r="DL18" s="3119">
        <v>27.24</v>
      </c>
      <c r="DM18" s="3119">
        <f>SUM(DL18)</f>
        <v>27.24</v>
      </c>
      <c r="DN18" s="3119">
        <v>0</v>
      </c>
      <c r="DO18" s="3211">
        <f>SUM(DP18:DQ18)</f>
        <v>66.584897499999997</v>
      </c>
      <c r="DP18" s="3209">
        <f t="shared" ref="DP18:DP19" si="335">SUM(CO18+CX18+DG18)</f>
        <v>66.584897499999997</v>
      </c>
      <c r="DQ18" s="3209">
        <f t="shared" ref="DQ18:DQ19" si="336">SUM(CP18+CY18+DH18)</f>
        <v>0</v>
      </c>
      <c r="DR18" s="3211">
        <f>SUM(DS18:DT18)</f>
        <v>60.775000000000006</v>
      </c>
      <c r="DS18" s="3209">
        <f t="shared" ref="DS18:DS19" si="337">SUM(CR18+DA18+DJ18)</f>
        <v>60.775000000000006</v>
      </c>
      <c r="DT18" s="3209">
        <f t="shared" ref="DT18:DT19" si="338">SUM(CS18+DB18+DK18)</f>
        <v>0</v>
      </c>
      <c r="DU18" s="3120">
        <f t="shared" ref="DU18:DU19" si="339">SUM(CT18+DC18+DL18)</f>
        <v>69.19</v>
      </c>
      <c r="DV18" s="3209">
        <f t="shared" ref="DV18:DV19" si="340">SUM(CU18+DD18+DM18)</f>
        <v>69.19</v>
      </c>
      <c r="DW18" s="3209">
        <f t="shared" ref="DW18:DW19" si="341">SUM(CV18+DE18+DN18)</f>
        <v>0</v>
      </c>
      <c r="DX18" s="3211">
        <f>SUM(DY18:DZ18)</f>
        <v>-5.8098974999999911</v>
      </c>
      <c r="DY18" s="3214">
        <f t="shared" si="11"/>
        <v>-5.8098974999999911</v>
      </c>
      <c r="DZ18" s="3214">
        <f t="shared" si="11"/>
        <v>0</v>
      </c>
      <c r="EA18" s="3211">
        <f>SUM(EB18:EC18)</f>
        <v>199.75469249999998</v>
      </c>
      <c r="EB18" s="3209">
        <f t="shared" ref="EB18:EB19" si="342">SUM(CC18+DP18)</f>
        <v>199.75469249999998</v>
      </c>
      <c r="EC18" s="3209">
        <f t="shared" ref="EC18:EC19" si="343">SUM(CD18+DQ18)</f>
        <v>0</v>
      </c>
      <c r="ED18" s="3211">
        <f>SUM(EE18:EF18)</f>
        <v>198.37800000000001</v>
      </c>
      <c r="EE18" s="3209">
        <f t="shared" ref="EE18:EE19" si="344">SUM(CF18+DS18)</f>
        <v>198.37800000000001</v>
      </c>
      <c r="EF18" s="3209">
        <f t="shared" ref="EF18:EG19" si="345">SUM(CG18+DT18)</f>
        <v>0</v>
      </c>
      <c r="EG18" s="3209">
        <f t="shared" si="345"/>
        <v>228.8</v>
      </c>
      <c r="EH18" s="3209">
        <f t="shared" ref="EH18:EH19" si="346">SUM(CI18+DV18)</f>
        <v>228.8</v>
      </c>
      <c r="EI18" s="3209">
        <f t="shared" ref="EI18:EI19" si="347">SUM(CJ18+DW18)</f>
        <v>0</v>
      </c>
      <c r="EJ18" s="3211">
        <f>SUM(EK18:EL18)</f>
        <v>-1.3766924999999617</v>
      </c>
      <c r="EK18" s="3214">
        <f t="shared" si="14"/>
        <v>-1.3766924999999617</v>
      </c>
      <c r="EL18" s="3214">
        <f t="shared" si="14"/>
        <v>0</v>
      </c>
      <c r="EM18" s="3210">
        <f>SUM(EN18:EO18)</f>
        <v>22.194965833333331</v>
      </c>
      <c r="EN18" s="3208">
        <f t="shared" ref="EN18:EN19" si="348">SUM(GA18/12)</f>
        <v>22.194965833333331</v>
      </c>
      <c r="EO18" s="3208">
        <f t="shared" ref="EO18:EO19" si="349">SUM(GB18/12)</f>
        <v>0</v>
      </c>
      <c r="EP18" s="3210">
        <f>SUM(EQ18:ER18)</f>
        <v>0</v>
      </c>
      <c r="EQ18" s="3112">
        <f>SUM('ПОЛНАЯ СЕБЕСТОИМОСТЬ ВОДА 2019'!BQ18)</f>
        <v>0</v>
      </c>
      <c r="ER18" s="3112">
        <f>SUM('ПОЛНАЯ СЕБЕСТОИМОСТЬ ВОДА 2019'!BR18)</f>
        <v>0</v>
      </c>
      <c r="ES18" s="3119">
        <v>27.23</v>
      </c>
      <c r="ET18" s="3119">
        <f>SUM(ES18)</f>
        <v>27.23</v>
      </c>
      <c r="EU18" s="3119">
        <v>0</v>
      </c>
      <c r="EV18" s="3210">
        <f>SUM(EW18:EX18)</f>
        <v>22.194965833333331</v>
      </c>
      <c r="EW18" s="3208">
        <f t="shared" ref="EW18:EW19" si="350">SUM(GA18/12)</f>
        <v>22.194965833333331</v>
      </c>
      <c r="EX18" s="3208">
        <f t="shared" ref="EX18:EX19" si="351">SUM(GB18/12)</f>
        <v>0</v>
      </c>
      <c r="EY18" s="3210">
        <f>SUM(EZ18:FA18)</f>
        <v>0</v>
      </c>
      <c r="EZ18" s="3112">
        <f>SUM('ПОЛНАЯ СЕБЕСТОИМОСТЬ ВОДА 2019'!BT18)</f>
        <v>0</v>
      </c>
      <c r="FA18" s="3112">
        <f>SUM('ПОЛНАЯ СЕБЕСТОИМОСТЬ ВОДА 2019'!BU18)</f>
        <v>0</v>
      </c>
      <c r="FB18" s="3119">
        <v>26.65</v>
      </c>
      <c r="FC18" s="3119">
        <f>SUM(FB18)</f>
        <v>26.65</v>
      </c>
      <c r="FD18" s="3119">
        <v>0</v>
      </c>
      <c r="FE18" s="3210">
        <f>SUM(FF18:FG18)</f>
        <v>22.194965833333331</v>
      </c>
      <c r="FF18" s="3208">
        <f t="shared" ref="FF18:FF19" si="352">SUM(GA18/12)</f>
        <v>22.194965833333331</v>
      </c>
      <c r="FG18" s="3208">
        <f t="shared" ref="FG18:FG19" si="353">SUM(GB18/12)</f>
        <v>0</v>
      </c>
      <c r="FH18" s="3210">
        <f>SUM(FI18:FJ18)</f>
        <v>0</v>
      </c>
      <c r="FI18" s="3112">
        <f>SUM('ПОЛНАЯ СЕБЕСТОИМОСТЬ ВОДА 2019'!BW18)</f>
        <v>0</v>
      </c>
      <c r="FJ18" s="3112">
        <f>SUM('ПОЛНАЯ СЕБЕСТОИМОСТЬ ВОДА 2019'!BX18)</f>
        <v>0</v>
      </c>
      <c r="FK18" s="3119">
        <v>27.6</v>
      </c>
      <c r="FL18" s="3119">
        <f>SUM(FK18)</f>
        <v>27.6</v>
      </c>
      <c r="FM18" s="3119">
        <v>0</v>
      </c>
      <c r="FN18" s="3211">
        <f>SUM(FO18:FP18)</f>
        <v>66.584897499999997</v>
      </c>
      <c r="FO18" s="3209">
        <f t="shared" ref="FO18:FO19" si="354">SUM(EN18+EW18+FF18)</f>
        <v>66.584897499999997</v>
      </c>
      <c r="FP18" s="3209">
        <f t="shared" ref="FP18:FP19" si="355">SUM(EO18+EX18+FG18)</f>
        <v>0</v>
      </c>
      <c r="FQ18" s="3211">
        <f>SUM(FR18:FS18)</f>
        <v>0</v>
      </c>
      <c r="FR18" s="3209">
        <f t="shared" ref="FR18:FR19" si="356">SUM(EQ18+EZ18+FI18)</f>
        <v>0</v>
      </c>
      <c r="FS18" s="3209">
        <f t="shared" ref="FS18:FS19" si="357">SUM(ER18+FA18+FJ18)</f>
        <v>0</v>
      </c>
      <c r="FT18" s="3120">
        <f t="shared" ref="FT18:FT19" si="358">SUM(ES18+FB18+FK18)</f>
        <v>81.47999999999999</v>
      </c>
      <c r="FU18" s="3120">
        <f t="shared" ref="FU18:FU19" si="359">SUM(ET18+FC18+FL18)</f>
        <v>81.47999999999999</v>
      </c>
      <c r="FV18" s="3120">
        <f t="shared" ref="FV18:FV19" si="360">SUM(EU18+FD18+FM18)</f>
        <v>0</v>
      </c>
      <c r="FW18" s="3211">
        <f>SUM(FX18:FY18)</f>
        <v>-66.584897499999997</v>
      </c>
      <c r="FX18" s="3214">
        <f t="shared" si="18"/>
        <v>-66.584897499999997</v>
      </c>
      <c r="FY18" s="3214">
        <f t="shared" si="18"/>
        <v>0</v>
      </c>
      <c r="FZ18" s="3226">
        <f>SUM(GA18:GB18)</f>
        <v>266.33958999999999</v>
      </c>
      <c r="GA18" s="3226">
        <f>SUM(объемы!AX53)</f>
        <v>266.33958999999999</v>
      </c>
      <c r="GB18" s="3226">
        <f>SUM(объемы!AY53)</f>
        <v>0</v>
      </c>
      <c r="GC18" s="3211">
        <f>SUM(GD18:GE18)</f>
        <v>198.37800000000001</v>
      </c>
      <c r="GD18" s="3227">
        <f t="shared" ref="GD18:GE19" si="361">SUM(EE18+FR18)</f>
        <v>198.37800000000001</v>
      </c>
      <c r="GE18" s="3227">
        <f t="shared" si="361"/>
        <v>0</v>
      </c>
      <c r="GF18" s="3227">
        <f>SUM(EG18+FT18)</f>
        <v>310.27999999999997</v>
      </c>
      <c r="GG18" s="3227">
        <f t="shared" ref="GG18:GH19" si="362">SUM(EH18+FU18)</f>
        <v>310.27999999999997</v>
      </c>
      <c r="GH18" s="3227">
        <f t="shared" si="362"/>
        <v>0</v>
      </c>
      <c r="GI18" s="3211">
        <f>SUM(GJ18:GK18)</f>
        <v>-67.961589999999973</v>
      </c>
      <c r="GJ18" s="3228">
        <f t="shared" si="21"/>
        <v>-67.961589999999973</v>
      </c>
      <c r="GK18" s="3228">
        <f t="shared" si="21"/>
        <v>0</v>
      </c>
      <c r="GL18" s="627"/>
    </row>
    <row r="19" spans="1:194" ht="18.75" x14ac:dyDescent="0.3">
      <c r="A19" s="3081" t="s">
        <v>651</v>
      </c>
      <c r="B19" s="3210">
        <f>SUM(C19:D19)</f>
        <v>3.202666666666667</v>
      </c>
      <c r="C19" s="3210">
        <f t="shared" si="204"/>
        <v>3.202666666666667</v>
      </c>
      <c r="D19" s="3210">
        <f t="shared" si="204"/>
        <v>0</v>
      </c>
      <c r="E19" s="3210">
        <f>SUM(F19:G19)</f>
        <v>0</v>
      </c>
      <c r="F19" s="3118">
        <f>SUM('ПОЛНАЯ СЕБЕСТОИМОСТЬ ВОДА 2019'!F19)</f>
        <v>0</v>
      </c>
      <c r="G19" s="3118">
        <f>SUM('ПОЛНАЯ СЕБЕСТОИМОСТЬ ВОДА 2019'!G19)</f>
        <v>0</v>
      </c>
      <c r="H19" s="3119">
        <v>0</v>
      </c>
      <c r="I19" s="3119">
        <v>0</v>
      </c>
      <c r="J19" s="3119">
        <v>0</v>
      </c>
      <c r="K19" s="3210">
        <f>SUM(L19:M19)</f>
        <v>3.202666666666667</v>
      </c>
      <c r="L19" s="3210">
        <f>SUM(GA19/12)</f>
        <v>3.202666666666667</v>
      </c>
      <c r="M19" s="3210">
        <f>SUM(GB19/12)</f>
        <v>0</v>
      </c>
      <c r="N19" s="3210">
        <f>SUM(O19:P19)</f>
        <v>0</v>
      </c>
      <c r="O19" s="3118">
        <f>SUM('ПОЛНАЯ СЕБЕСТОИМОСТЬ ВОДА 2019'!I19)</f>
        <v>0</v>
      </c>
      <c r="P19" s="3118">
        <f>SUM('ПОЛНАЯ СЕБЕСТОИМОСТЬ ВОДА 2019'!J19)</f>
        <v>0</v>
      </c>
      <c r="Q19" s="3119">
        <v>0</v>
      </c>
      <c r="R19" s="3119">
        <v>0</v>
      </c>
      <c r="S19" s="3119">
        <v>0</v>
      </c>
      <c r="T19" s="3210">
        <f>SUM(U19:V19)</f>
        <v>3.202666666666667</v>
      </c>
      <c r="U19" s="3210">
        <f>SUM(GA19/12)</f>
        <v>3.202666666666667</v>
      </c>
      <c r="V19" s="3210">
        <f>SUM(GB19/12)</f>
        <v>0</v>
      </c>
      <c r="W19" s="3210">
        <f>SUM(X19:Y19)</f>
        <v>0</v>
      </c>
      <c r="X19" s="3118">
        <f>SUM('ПОЛНАЯ СЕБЕСТОИМОСТЬ ВОДА 2019'!L19)</f>
        <v>0</v>
      </c>
      <c r="Y19" s="3118">
        <f>SUM('ПОЛНАЯ СЕБЕСТОИМОСТЬ ВОДА 2019'!M19)</f>
        <v>0</v>
      </c>
      <c r="Z19" s="3119">
        <v>0</v>
      </c>
      <c r="AA19" s="3119">
        <v>0</v>
      </c>
      <c r="AB19" s="3119">
        <v>0</v>
      </c>
      <c r="AC19" s="3211">
        <f>SUM(AD19:AE19)</f>
        <v>9.6080000000000005</v>
      </c>
      <c r="AD19" s="3209">
        <f t="shared" si="307"/>
        <v>9.6080000000000005</v>
      </c>
      <c r="AE19" s="3209">
        <f t="shared" si="308"/>
        <v>0</v>
      </c>
      <c r="AF19" s="3211">
        <f>SUM(AG19:AH19)</f>
        <v>0</v>
      </c>
      <c r="AG19" s="3209">
        <f t="shared" si="309"/>
        <v>0</v>
      </c>
      <c r="AH19" s="3209">
        <f t="shared" si="310"/>
        <v>0</v>
      </c>
      <c r="AI19" s="3120">
        <f t="shared" si="311"/>
        <v>0</v>
      </c>
      <c r="AJ19" s="3120">
        <f t="shared" si="312"/>
        <v>0</v>
      </c>
      <c r="AK19" s="3120">
        <f t="shared" si="313"/>
        <v>0</v>
      </c>
      <c r="AL19" s="3211">
        <f>SUM(AM19:AN19)</f>
        <v>-9.6080000000000005</v>
      </c>
      <c r="AM19" s="3209">
        <f t="shared" si="314"/>
        <v>-9.6080000000000005</v>
      </c>
      <c r="AN19" s="3209">
        <f t="shared" si="315"/>
        <v>0</v>
      </c>
      <c r="AO19" s="3210">
        <f>SUM(AP19:AQ19)</f>
        <v>3.202666666666667</v>
      </c>
      <c r="AP19" s="3210">
        <f>SUM(GA19/12)</f>
        <v>3.202666666666667</v>
      </c>
      <c r="AQ19" s="3210">
        <f>SUM(GB19/12)</f>
        <v>0</v>
      </c>
      <c r="AR19" s="3210">
        <f>SUM(AS19:AT19)</f>
        <v>0</v>
      </c>
      <c r="AS19" s="3112">
        <f>SUM('ПОЛНАЯ СЕБЕСТОИМОСТЬ ВОДА 2019'!U19)</f>
        <v>0</v>
      </c>
      <c r="AT19" s="3112">
        <f>SUM('ПОЛНАЯ СЕБЕСТОИМОСТЬ ВОДА 2019'!V19)</f>
        <v>0</v>
      </c>
      <c r="AU19" s="3119">
        <v>0</v>
      </c>
      <c r="AV19" s="3119">
        <v>0</v>
      </c>
      <c r="AW19" s="3119">
        <v>0</v>
      </c>
      <c r="AX19" s="3210">
        <f>SUM(AY19:AZ19)</f>
        <v>3.202666666666667</v>
      </c>
      <c r="AY19" s="3210">
        <f>SUM(GA19/12)</f>
        <v>3.202666666666667</v>
      </c>
      <c r="AZ19" s="3210">
        <f>SUM(GB19/12)</f>
        <v>0</v>
      </c>
      <c r="BA19" s="3210">
        <f>SUM(BB19:BC19)</f>
        <v>0</v>
      </c>
      <c r="BB19" s="3112">
        <f>SUM('ПОЛНАЯ СЕБЕСТОИМОСТЬ ВОДА 2019'!X19)</f>
        <v>0</v>
      </c>
      <c r="BC19" s="3112">
        <f>SUM('ПОЛНАЯ СЕБЕСТОИМОСТЬ ВОДА 2019'!Y19)</f>
        <v>0</v>
      </c>
      <c r="BD19" s="3119">
        <v>0</v>
      </c>
      <c r="BE19" s="3119">
        <v>0</v>
      </c>
      <c r="BF19" s="3119">
        <v>0</v>
      </c>
      <c r="BG19" s="3210">
        <f>SUM(BH19:BI19)</f>
        <v>3.202666666666667</v>
      </c>
      <c r="BH19" s="3210">
        <f>SUM(GA19/12)</f>
        <v>3.202666666666667</v>
      </c>
      <c r="BI19" s="3210">
        <f>SUM(GB19/12)</f>
        <v>0</v>
      </c>
      <c r="BJ19" s="3210">
        <f>SUM(BK19:BL19)</f>
        <v>0</v>
      </c>
      <c r="BK19" s="3112">
        <f>SUM('ПОЛНАЯ СЕБЕСТОИМОСТЬ ВОДА 2019'!AA19)</f>
        <v>0</v>
      </c>
      <c r="BL19" s="3112">
        <f>SUM('ПОЛНАЯ СЕБЕСТОИМОСТЬ ВОДА 2019'!AB19)</f>
        <v>0</v>
      </c>
      <c r="BM19" s="3119">
        <v>0</v>
      </c>
      <c r="BN19" s="3119">
        <v>0</v>
      </c>
      <c r="BO19" s="3119">
        <v>0</v>
      </c>
      <c r="BP19" s="3211">
        <f>SUM(BQ19:BR19)</f>
        <v>9.6080000000000005</v>
      </c>
      <c r="BQ19" s="3209">
        <f t="shared" si="316"/>
        <v>9.6080000000000005</v>
      </c>
      <c r="BR19" s="3209">
        <f t="shared" si="317"/>
        <v>0</v>
      </c>
      <c r="BS19" s="3211">
        <f>SUM(BT19:BU19)</f>
        <v>0</v>
      </c>
      <c r="BT19" s="3209">
        <f t="shared" si="318"/>
        <v>0</v>
      </c>
      <c r="BU19" s="3209">
        <f t="shared" si="319"/>
        <v>0</v>
      </c>
      <c r="BV19" s="3120">
        <f t="shared" si="320"/>
        <v>0</v>
      </c>
      <c r="BW19" s="3209">
        <f t="shared" si="321"/>
        <v>0</v>
      </c>
      <c r="BX19" s="3209">
        <f t="shared" si="322"/>
        <v>0</v>
      </c>
      <c r="BY19" s="3211">
        <f>SUM(BZ19:CA19)</f>
        <v>-9.6080000000000005</v>
      </c>
      <c r="BZ19" s="3209">
        <f t="shared" si="323"/>
        <v>-9.6080000000000005</v>
      </c>
      <c r="CA19" s="3209">
        <f t="shared" si="324"/>
        <v>0</v>
      </c>
      <c r="CB19" s="3211">
        <f>SUM(CC19:CD19)</f>
        <v>19.216000000000001</v>
      </c>
      <c r="CC19" s="3209">
        <f t="shared" si="325"/>
        <v>19.216000000000001</v>
      </c>
      <c r="CD19" s="3209">
        <f t="shared" si="326"/>
        <v>0</v>
      </c>
      <c r="CE19" s="3211">
        <f>SUM(CF19:CG19)</f>
        <v>0</v>
      </c>
      <c r="CF19" s="3209">
        <f t="shared" si="327"/>
        <v>0</v>
      </c>
      <c r="CG19" s="3209">
        <f t="shared" si="328"/>
        <v>0</v>
      </c>
      <c r="CH19" s="3120">
        <f>SUM(AI19+BV19)</f>
        <v>0</v>
      </c>
      <c r="CI19" s="3120">
        <f t="shared" si="329"/>
        <v>0</v>
      </c>
      <c r="CJ19" s="3120">
        <f t="shared" si="329"/>
        <v>0</v>
      </c>
      <c r="CK19" s="3211">
        <f>SUM(CL19:CM19)</f>
        <v>-19.216000000000001</v>
      </c>
      <c r="CL19" s="3214">
        <f t="shared" si="7"/>
        <v>-19.216000000000001</v>
      </c>
      <c r="CM19" s="3214">
        <f t="shared" si="7"/>
        <v>0</v>
      </c>
      <c r="CN19" s="3210">
        <f>SUM(CO19:CP19)</f>
        <v>3.202666666666667</v>
      </c>
      <c r="CO19" s="3208">
        <f t="shared" si="330"/>
        <v>3.202666666666667</v>
      </c>
      <c r="CP19" s="3208">
        <f t="shared" si="331"/>
        <v>0</v>
      </c>
      <c r="CQ19" s="3210">
        <f>SUM(CR19:CS19)</f>
        <v>0</v>
      </c>
      <c r="CR19" s="3112">
        <f>SUM('ПОЛНАЯ СЕБЕСТОИМОСТЬ ВОДА 2019'!AS19)</f>
        <v>0</v>
      </c>
      <c r="CS19" s="3112">
        <f>SUM('ПОЛНАЯ СЕБЕСТОИМОСТЬ ВОДА 2019'!AT19)</f>
        <v>0</v>
      </c>
      <c r="CT19" s="3119">
        <v>0</v>
      </c>
      <c r="CU19" s="3119">
        <v>0</v>
      </c>
      <c r="CV19" s="3119">
        <v>0</v>
      </c>
      <c r="CW19" s="3210">
        <f>SUM(CX19:CY19)</f>
        <v>3.202666666666667</v>
      </c>
      <c r="CX19" s="3208">
        <f t="shared" si="332"/>
        <v>3.202666666666667</v>
      </c>
      <c r="CY19" s="3208">
        <f t="shared" si="333"/>
        <v>0</v>
      </c>
      <c r="CZ19" s="3210">
        <f>SUM(DA19:DB19)</f>
        <v>0</v>
      </c>
      <c r="DA19" s="3112">
        <f>SUM('ПОЛНАЯ СЕБЕСТОИМОСТЬ ВОДА 2019'!AV19)</f>
        <v>0</v>
      </c>
      <c r="DB19" s="3112">
        <f>SUM('ПОЛНАЯ СЕБЕСТОИМОСТЬ ВОДА 2019'!AW19)</f>
        <v>0</v>
      </c>
      <c r="DC19" s="3119">
        <v>0</v>
      </c>
      <c r="DD19" s="3119">
        <v>0</v>
      </c>
      <c r="DE19" s="3119">
        <v>0</v>
      </c>
      <c r="DF19" s="3210">
        <f>SUM(DG19:DH19)</f>
        <v>3.202666666666667</v>
      </c>
      <c r="DG19" s="3208">
        <f t="shared" si="243"/>
        <v>3.202666666666667</v>
      </c>
      <c r="DH19" s="3208">
        <f t="shared" si="334"/>
        <v>0</v>
      </c>
      <c r="DI19" s="3210">
        <f>SUM(DJ19:DK19)</f>
        <v>0</v>
      </c>
      <c r="DJ19" s="3112">
        <f>SUM('ПОЛНАЯ СЕБЕСТОИМОСТЬ ВОДА 2019'!AY19)</f>
        <v>0</v>
      </c>
      <c r="DK19" s="3112">
        <f>SUM('ПОЛНАЯ СЕБЕСТОИМОСТЬ ВОДА 2019'!AZ19)</f>
        <v>0</v>
      </c>
      <c r="DL19" s="3119">
        <v>0</v>
      </c>
      <c r="DM19" s="3119">
        <v>0</v>
      </c>
      <c r="DN19" s="3119">
        <v>0</v>
      </c>
      <c r="DO19" s="3211">
        <f>SUM(DP19:DQ19)</f>
        <v>9.6080000000000005</v>
      </c>
      <c r="DP19" s="3209">
        <f t="shared" si="335"/>
        <v>9.6080000000000005</v>
      </c>
      <c r="DQ19" s="3209">
        <f t="shared" si="336"/>
        <v>0</v>
      </c>
      <c r="DR19" s="3211">
        <f>SUM(DS19:DT19)</f>
        <v>0</v>
      </c>
      <c r="DS19" s="3209">
        <f t="shared" si="337"/>
        <v>0</v>
      </c>
      <c r="DT19" s="3209">
        <f t="shared" si="338"/>
        <v>0</v>
      </c>
      <c r="DU19" s="3120">
        <f t="shared" si="339"/>
        <v>0</v>
      </c>
      <c r="DV19" s="3209">
        <f t="shared" si="340"/>
        <v>0</v>
      </c>
      <c r="DW19" s="3209">
        <f t="shared" si="341"/>
        <v>0</v>
      </c>
      <c r="DX19" s="3211">
        <f>SUM(DY19:DZ19)</f>
        <v>-9.6080000000000005</v>
      </c>
      <c r="DY19" s="3214">
        <f t="shared" si="11"/>
        <v>-9.6080000000000005</v>
      </c>
      <c r="DZ19" s="3214">
        <f t="shared" si="11"/>
        <v>0</v>
      </c>
      <c r="EA19" s="3211">
        <f>SUM(EB19:EC19)</f>
        <v>28.824000000000002</v>
      </c>
      <c r="EB19" s="3209">
        <f t="shared" si="342"/>
        <v>28.824000000000002</v>
      </c>
      <c r="EC19" s="3209">
        <f t="shared" si="343"/>
        <v>0</v>
      </c>
      <c r="ED19" s="3211">
        <f>SUM(EE19:EF19)</f>
        <v>0</v>
      </c>
      <c r="EE19" s="3209">
        <f t="shared" si="344"/>
        <v>0</v>
      </c>
      <c r="EF19" s="3209">
        <f t="shared" si="345"/>
        <v>0</v>
      </c>
      <c r="EG19" s="3209">
        <f t="shared" si="345"/>
        <v>0</v>
      </c>
      <c r="EH19" s="3209">
        <f t="shared" si="346"/>
        <v>0</v>
      </c>
      <c r="EI19" s="3209">
        <f t="shared" si="347"/>
        <v>0</v>
      </c>
      <c r="EJ19" s="3211">
        <f>SUM(EK19:EL19)</f>
        <v>-28.824000000000002</v>
      </c>
      <c r="EK19" s="3214">
        <f t="shared" si="14"/>
        <v>-28.824000000000002</v>
      </c>
      <c r="EL19" s="3214">
        <f t="shared" si="14"/>
        <v>0</v>
      </c>
      <c r="EM19" s="3210">
        <f>SUM(EN19:EO19)</f>
        <v>3.202666666666667</v>
      </c>
      <c r="EN19" s="3208">
        <f t="shared" si="348"/>
        <v>3.202666666666667</v>
      </c>
      <c r="EO19" s="3208">
        <f t="shared" si="349"/>
        <v>0</v>
      </c>
      <c r="EP19" s="3210">
        <f>SUM(EQ19:ER19)</f>
        <v>0</v>
      </c>
      <c r="EQ19" s="3112">
        <f>SUM('ПОЛНАЯ СЕБЕСТОИМОСТЬ ВОДА 2019'!BQ19)</f>
        <v>0</v>
      </c>
      <c r="ER19" s="3112">
        <f>SUM('ПОЛНАЯ СЕБЕСТОИМОСТЬ ВОДА 2019'!BR19)</f>
        <v>0</v>
      </c>
      <c r="ES19" s="3119">
        <v>0</v>
      </c>
      <c r="ET19" s="3119">
        <v>0</v>
      </c>
      <c r="EU19" s="3119">
        <v>0</v>
      </c>
      <c r="EV19" s="3210">
        <f>SUM(EW19:EX19)</f>
        <v>3.202666666666667</v>
      </c>
      <c r="EW19" s="3208">
        <f t="shared" si="350"/>
        <v>3.202666666666667</v>
      </c>
      <c r="EX19" s="3208">
        <f t="shared" si="351"/>
        <v>0</v>
      </c>
      <c r="EY19" s="3210">
        <f>SUM(EZ19:FA19)</f>
        <v>0</v>
      </c>
      <c r="EZ19" s="3112">
        <f>SUM('ПОЛНАЯ СЕБЕСТОИМОСТЬ ВОДА 2019'!BT19)</f>
        <v>0</v>
      </c>
      <c r="FA19" s="3112">
        <f>SUM('ПОЛНАЯ СЕБЕСТОИМОСТЬ ВОДА 2019'!BU19)</f>
        <v>0</v>
      </c>
      <c r="FB19" s="3119">
        <v>0</v>
      </c>
      <c r="FC19" s="3119">
        <v>0</v>
      </c>
      <c r="FD19" s="3119">
        <v>0</v>
      </c>
      <c r="FE19" s="3210">
        <f>SUM(FF19:FG19)</f>
        <v>3.202666666666667</v>
      </c>
      <c r="FF19" s="3208">
        <f t="shared" si="352"/>
        <v>3.202666666666667</v>
      </c>
      <c r="FG19" s="3208">
        <f t="shared" si="353"/>
        <v>0</v>
      </c>
      <c r="FH19" s="3210">
        <f>SUM(FI19:FJ19)</f>
        <v>0</v>
      </c>
      <c r="FI19" s="3112">
        <f>SUM('ПОЛНАЯ СЕБЕСТОИМОСТЬ ВОДА 2019'!BW19)</f>
        <v>0</v>
      </c>
      <c r="FJ19" s="3112">
        <f>SUM('ПОЛНАЯ СЕБЕСТОИМОСТЬ ВОДА 2019'!BX19)</f>
        <v>0</v>
      </c>
      <c r="FK19" s="3119">
        <v>0</v>
      </c>
      <c r="FL19" s="3119">
        <v>0</v>
      </c>
      <c r="FM19" s="3119">
        <v>0</v>
      </c>
      <c r="FN19" s="3211">
        <f>SUM(FO19:FP19)</f>
        <v>9.6080000000000005</v>
      </c>
      <c r="FO19" s="3209">
        <f t="shared" si="354"/>
        <v>9.6080000000000005</v>
      </c>
      <c r="FP19" s="3209">
        <f t="shared" si="355"/>
        <v>0</v>
      </c>
      <c r="FQ19" s="3211">
        <f>SUM(FR19:FS19)</f>
        <v>0</v>
      </c>
      <c r="FR19" s="3209">
        <f t="shared" si="356"/>
        <v>0</v>
      </c>
      <c r="FS19" s="3209">
        <f t="shared" si="357"/>
        <v>0</v>
      </c>
      <c r="FT19" s="3120">
        <f t="shared" si="358"/>
        <v>0</v>
      </c>
      <c r="FU19" s="3120">
        <f t="shared" si="359"/>
        <v>0</v>
      </c>
      <c r="FV19" s="3120">
        <f t="shared" si="360"/>
        <v>0</v>
      </c>
      <c r="FW19" s="3211">
        <f>SUM(FX19:FY19)</f>
        <v>-9.6080000000000005</v>
      </c>
      <c r="FX19" s="3214">
        <f t="shared" si="18"/>
        <v>-9.6080000000000005</v>
      </c>
      <c r="FY19" s="3214">
        <f t="shared" si="18"/>
        <v>0</v>
      </c>
      <c r="FZ19" s="3226">
        <f>SUM(GA19:GB19)</f>
        <v>38.432000000000002</v>
      </c>
      <c r="GA19" s="3226">
        <f>SUM(объемы!AX54)</f>
        <v>38.432000000000002</v>
      </c>
      <c r="GB19" s="3226">
        <f>SUM(объемы!AY54)</f>
        <v>0</v>
      </c>
      <c r="GC19" s="3211">
        <f>SUM(GD19:GE19)</f>
        <v>0</v>
      </c>
      <c r="GD19" s="3227">
        <f t="shared" si="361"/>
        <v>0</v>
      </c>
      <c r="GE19" s="3227">
        <f t="shared" si="361"/>
        <v>0</v>
      </c>
      <c r="GF19" s="3229">
        <f>SUM(EG19+FT19)</f>
        <v>0</v>
      </c>
      <c r="GG19" s="3229">
        <f t="shared" si="362"/>
        <v>0</v>
      </c>
      <c r="GH19" s="3229">
        <f t="shared" si="362"/>
        <v>0</v>
      </c>
      <c r="GI19" s="3211">
        <f>SUM(GJ19:GK19)</f>
        <v>-38.432000000000002</v>
      </c>
      <c r="GJ19" s="3228">
        <f t="shared" si="21"/>
        <v>-38.432000000000002</v>
      </c>
      <c r="GK19" s="3228">
        <f t="shared" si="21"/>
        <v>0</v>
      </c>
      <c r="GL19" s="627"/>
    </row>
    <row r="20" spans="1:194" ht="18.75" x14ac:dyDescent="0.3">
      <c r="A20" s="3104" t="s">
        <v>3640</v>
      </c>
      <c r="B20" s="3105"/>
      <c r="C20" s="3105"/>
      <c r="D20" s="3105"/>
      <c r="E20" s="3105"/>
      <c r="F20" s="3105"/>
      <c r="G20" s="3105"/>
      <c r="H20" s="3105"/>
      <c r="I20" s="3105"/>
      <c r="J20" s="3105"/>
      <c r="K20" s="3105"/>
      <c r="L20" s="3105"/>
      <c r="M20" s="3105"/>
      <c r="N20" s="3105"/>
      <c r="O20" s="3105"/>
      <c r="P20" s="3105"/>
      <c r="Q20" s="3105"/>
      <c r="R20" s="3105"/>
      <c r="S20" s="3105"/>
      <c r="T20" s="3105"/>
      <c r="U20" s="3105"/>
      <c r="V20" s="3105"/>
      <c r="W20" s="3105"/>
      <c r="X20" s="3105"/>
      <c r="Y20" s="3105"/>
      <c r="Z20" s="3105"/>
      <c r="AA20" s="3105"/>
      <c r="AB20" s="3105"/>
      <c r="AC20" s="3105"/>
      <c r="AD20" s="3105"/>
      <c r="AE20" s="3105"/>
      <c r="AF20" s="3105"/>
      <c r="AG20" s="3105"/>
      <c r="AH20" s="3105"/>
      <c r="AI20" s="3105"/>
      <c r="AJ20" s="3105"/>
      <c r="AK20" s="3105"/>
      <c r="AL20" s="3105"/>
      <c r="AM20" s="3105"/>
      <c r="AN20" s="3105"/>
      <c r="AO20" s="3105"/>
      <c r="AP20" s="3105"/>
      <c r="AQ20" s="3105"/>
      <c r="AR20" s="3105"/>
      <c r="AS20" s="3105"/>
      <c r="AT20" s="3105"/>
      <c r="AU20" s="3105"/>
      <c r="AV20" s="3105"/>
      <c r="AW20" s="3105"/>
      <c r="AX20" s="3105"/>
      <c r="AY20" s="3105"/>
      <c r="AZ20" s="3105"/>
      <c r="BA20" s="3105"/>
      <c r="BB20" s="3105"/>
      <c r="BC20" s="3105"/>
      <c r="BD20" s="3105"/>
      <c r="BE20" s="3105"/>
      <c r="BF20" s="3105"/>
      <c r="BG20" s="3105"/>
      <c r="BH20" s="3105"/>
      <c r="BI20" s="3105"/>
      <c r="BJ20" s="3105"/>
      <c r="BK20" s="3105"/>
      <c r="BL20" s="3105"/>
      <c r="BM20" s="3105"/>
      <c r="BN20" s="3105"/>
      <c r="BO20" s="3105"/>
      <c r="BP20" s="3105"/>
      <c r="BQ20" s="3105"/>
      <c r="BR20" s="3105"/>
      <c r="BS20" s="3105"/>
      <c r="BT20" s="3105"/>
      <c r="BU20" s="3105"/>
      <c r="BV20" s="3105"/>
      <c r="BW20" s="3105"/>
      <c r="BX20" s="3105"/>
      <c r="BY20" s="3105"/>
      <c r="BZ20" s="3105"/>
      <c r="CA20" s="3105"/>
      <c r="CB20" s="3105"/>
      <c r="CC20" s="3105"/>
      <c r="CD20" s="3105"/>
      <c r="CE20" s="3105"/>
      <c r="CF20" s="3105"/>
      <c r="CG20" s="3105"/>
      <c r="CH20" s="3105"/>
      <c r="CI20" s="3105"/>
      <c r="CJ20" s="3105"/>
      <c r="CK20" s="3105"/>
      <c r="CL20" s="3105"/>
      <c r="CM20" s="3105"/>
      <c r="CN20" s="3105"/>
      <c r="CO20" s="3105"/>
      <c r="CP20" s="3105"/>
      <c r="CQ20" s="3105"/>
      <c r="CR20" s="3105"/>
      <c r="CS20" s="3105"/>
      <c r="CT20" s="3105"/>
      <c r="CU20" s="3105"/>
      <c r="CV20" s="3105"/>
      <c r="CW20" s="3105"/>
      <c r="CX20" s="3105"/>
      <c r="CY20" s="3105"/>
      <c r="CZ20" s="3105"/>
      <c r="DA20" s="3105"/>
      <c r="DB20" s="3105"/>
      <c r="DC20" s="3105"/>
      <c r="DD20" s="3105"/>
      <c r="DE20" s="3105"/>
      <c r="DF20" s="3105"/>
      <c r="DG20" s="3105"/>
      <c r="DH20" s="3105"/>
      <c r="DI20" s="3105"/>
      <c r="DJ20" s="3105"/>
      <c r="DK20" s="3105"/>
      <c r="DL20" s="3105"/>
      <c r="DM20" s="3105"/>
      <c r="DN20" s="3105"/>
      <c r="DO20" s="3105"/>
      <c r="DP20" s="3105"/>
      <c r="DQ20" s="3105"/>
      <c r="DR20" s="3105"/>
      <c r="DS20" s="3105"/>
      <c r="DT20" s="3105"/>
      <c r="DU20" s="3105"/>
      <c r="DV20" s="3105"/>
      <c r="DW20" s="3105"/>
      <c r="DX20" s="3105"/>
      <c r="DY20" s="3105"/>
      <c r="DZ20" s="3105"/>
      <c r="EA20" s="3105"/>
      <c r="EB20" s="3105"/>
      <c r="EC20" s="3105"/>
      <c r="ED20" s="3105"/>
      <c r="EE20" s="3105"/>
      <c r="EF20" s="3105"/>
      <c r="EG20" s="3105"/>
      <c r="EH20" s="3105"/>
      <c r="EI20" s="3105"/>
      <c r="EJ20" s="3105"/>
      <c r="EK20" s="3105"/>
      <c r="EL20" s="3105"/>
      <c r="EM20" s="3105"/>
      <c r="EN20" s="3105"/>
      <c r="EO20" s="3105"/>
      <c r="EP20" s="3105"/>
      <c r="EQ20" s="3105"/>
      <c r="ER20" s="3105"/>
      <c r="ES20" s="3105"/>
      <c r="ET20" s="3105"/>
      <c r="EU20" s="3105"/>
      <c r="EV20" s="3105"/>
      <c r="EW20" s="3105"/>
      <c r="EX20" s="3105"/>
      <c r="EY20" s="3105"/>
      <c r="EZ20" s="3105"/>
      <c r="FA20" s="3105"/>
      <c r="FB20" s="3105"/>
      <c r="FC20" s="3105"/>
      <c r="FD20" s="3105"/>
      <c r="FE20" s="3105"/>
      <c r="FF20" s="3105"/>
      <c r="FG20" s="3105"/>
      <c r="FH20" s="3105"/>
      <c r="FI20" s="3105"/>
      <c r="FJ20" s="3105"/>
      <c r="FK20" s="3105"/>
      <c r="FL20" s="3105"/>
      <c r="FM20" s="3105"/>
      <c r="FN20" s="3105"/>
      <c r="FO20" s="3105"/>
      <c r="FP20" s="3105"/>
      <c r="FQ20" s="3105"/>
      <c r="FR20" s="3105"/>
      <c r="FS20" s="3105"/>
      <c r="FT20" s="3105"/>
      <c r="FU20" s="3105"/>
      <c r="FV20" s="3105"/>
      <c r="FW20" s="3105"/>
      <c r="FX20" s="3105"/>
      <c r="FY20" s="3105"/>
      <c r="FZ20" s="3215"/>
      <c r="GA20" s="3215"/>
      <c r="GB20" s="3215"/>
      <c r="GC20" s="3215"/>
      <c r="GD20" s="3215"/>
      <c r="GE20" s="3215"/>
      <c r="GF20" s="3215"/>
      <c r="GG20" s="3215"/>
      <c r="GH20" s="3215"/>
      <c r="GI20" s="3215"/>
      <c r="GJ20" s="3215"/>
      <c r="GK20" s="3216"/>
      <c r="GL20" s="627"/>
    </row>
    <row r="21" spans="1:194" ht="20.25" customHeight="1" x14ac:dyDescent="0.2">
      <c r="A21" s="3637" t="s">
        <v>536</v>
      </c>
      <c r="B21" s="3647" t="s">
        <v>3628</v>
      </c>
      <c r="C21" s="3648"/>
      <c r="D21" s="3648"/>
      <c r="E21" s="3649"/>
      <c r="F21" s="3649"/>
      <c r="G21" s="3649"/>
      <c r="H21" s="3649"/>
      <c r="I21" s="3655"/>
      <c r="J21" s="3656"/>
      <c r="K21" s="3647" t="s">
        <v>3629</v>
      </c>
      <c r="L21" s="3648"/>
      <c r="M21" s="3648"/>
      <c r="N21" s="3649"/>
      <c r="O21" s="3649"/>
      <c r="P21" s="3649"/>
      <c r="Q21" s="3649"/>
      <c r="R21" s="3655"/>
      <c r="S21" s="3656"/>
      <c r="T21" s="3647" t="s">
        <v>3630</v>
      </c>
      <c r="U21" s="3648"/>
      <c r="V21" s="3648"/>
      <c r="W21" s="3649"/>
      <c r="X21" s="3649"/>
      <c r="Y21" s="3649"/>
      <c r="Z21" s="3649"/>
      <c r="AA21" s="3650"/>
      <c r="AB21" s="3651"/>
      <c r="AC21" s="3652" t="s">
        <v>3575</v>
      </c>
      <c r="AD21" s="3653"/>
      <c r="AE21" s="3653"/>
      <c r="AF21" s="3654"/>
      <c r="AG21" s="3654"/>
      <c r="AH21" s="3654"/>
      <c r="AI21" s="3654"/>
      <c r="AJ21" s="3654"/>
      <c r="AK21" s="3654"/>
      <c r="AL21" s="3654"/>
      <c r="AM21" s="3654"/>
      <c r="AN21" s="3654"/>
      <c r="AO21" s="3647" t="s">
        <v>3631</v>
      </c>
      <c r="AP21" s="3648"/>
      <c r="AQ21" s="3648"/>
      <c r="AR21" s="3649"/>
      <c r="AS21" s="3649"/>
      <c r="AT21" s="3649"/>
      <c r="AU21" s="3649"/>
      <c r="AV21" s="3650"/>
      <c r="AW21" s="3651"/>
      <c r="AX21" s="3647" t="s">
        <v>3632</v>
      </c>
      <c r="AY21" s="3648"/>
      <c r="AZ21" s="3648"/>
      <c r="BA21" s="3649"/>
      <c r="BB21" s="3649"/>
      <c r="BC21" s="3649"/>
      <c r="BD21" s="3649"/>
      <c r="BE21" s="3655"/>
      <c r="BF21" s="3656"/>
      <c r="BG21" s="3647" t="s">
        <v>3633</v>
      </c>
      <c r="BH21" s="3648"/>
      <c r="BI21" s="3648"/>
      <c r="BJ21" s="3649"/>
      <c r="BK21" s="3649"/>
      <c r="BL21" s="3649"/>
      <c r="BM21" s="3649"/>
      <c r="BN21" s="3655"/>
      <c r="BO21" s="3656"/>
      <c r="BP21" s="3652" t="s">
        <v>3576</v>
      </c>
      <c r="BQ21" s="3653"/>
      <c r="BR21" s="3653"/>
      <c r="BS21" s="3654"/>
      <c r="BT21" s="3654"/>
      <c r="BU21" s="3654"/>
      <c r="BV21" s="3654"/>
      <c r="BW21" s="3654"/>
      <c r="BX21" s="3654"/>
      <c r="BY21" s="3655"/>
      <c r="BZ21" s="3655"/>
      <c r="CA21" s="3655"/>
      <c r="CB21" s="3652" t="s">
        <v>3577</v>
      </c>
      <c r="CC21" s="3653"/>
      <c r="CD21" s="3653"/>
      <c r="CE21" s="3654"/>
      <c r="CF21" s="3654"/>
      <c r="CG21" s="3654"/>
      <c r="CH21" s="3654"/>
      <c r="CI21" s="3654"/>
      <c r="CJ21" s="3654"/>
      <c r="CK21" s="3655"/>
      <c r="CL21" s="3655"/>
      <c r="CM21" s="3655"/>
      <c r="CN21" s="3647" t="s">
        <v>1373</v>
      </c>
      <c r="CO21" s="3648"/>
      <c r="CP21" s="3648"/>
      <c r="CQ21" s="3649"/>
      <c r="CR21" s="3649"/>
      <c r="CS21" s="3649"/>
      <c r="CT21" s="3649"/>
      <c r="CU21" s="3655"/>
      <c r="CV21" s="3656"/>
      <c r="CW21" s="3647" t="s">
        <v>3634</v>
      </c>
      <c r="CX21" s="3648"/>
      <c r="CY21" s="3648"/>
      <c r="CZ21" s="3649"/>
      <c r="DA21" s="3649"/>
      <c r="DB21" s="3649"/>
      <c r="DC21" s="3649"/>
      <c r="DD21" s="3655"/>
      <c r="DE21" s="3656"/>
      <c r="DF21" s="3647" t="s">
        <v>3635</v>
      </c>
      <c r="DG21" s="3648"/>
      <c r="DH21" s="3648"/>
      <c r="DI21" s="3649"/>
      <c r="DJ21" s="3649"/>
      <c r="DK21" s="3649"/>
      <c r="DL21" s="3649"/>
      <c r="DM21" s="3655"/>
      <c r="DN21" s="3656"/>
      <c r="DO21" s="3652" t="s">
        <v>3578</v>
      </c>
      <c r="DP21" s="3653"/>
      <c r="DQ21" s="3653"/>
      <c r="DR21" s="3654"/>
      <c r="DS21" s="3654"/>
      <c r="DT21" s="3654"/>
      <c r="DU21" s="3654"/>
      <c r="DV21" s="3654"/>
      <c r="DW21" s="3654"/>
      <c r="DX21" s="3655"/>
      <c r="DY21" s="3655"/>
      <c r="DZ21" s="3655"/>
      <c r="EA21" s="3652" t="s">
        <v>3579</v>
      </c>
      <c r="EB21" s="3653"/>
      <c r="EC21" s="3653"/>
      <c r="ED21" s="3654"/>
      <c r="EE21" s="3654"/>
      <c r="EF21" s="3654"/>
      <c r="EG21" s="3654"/>
      <c r="EH21" s="3654"/>
      <c r="EI21" s="3654"/>
      <c r="EJ21" s="3655"/>
      <c r="EK21" s="3655"/>
      <c r="EL21" s="3655"/>
      <c r="EM21" s="3647" t="s">
        <v>3636</v>
      </c>
      <c r="EN21" s="3648"/>
      <c r="EO21" s="3648"/>
      <c r="EP21" s="3649"/>
      <c r="EQ21" s="3649"/>
      <c r="ER21" s="3649"/>
      <c r="ES21" s="3649"/>
      <c r="ET21" s="3655"/>
      <c r="EU21" s="3656"/>
      <c r="EV21" s="3647" t="s">
        <v>3637</v>
      </c>
      <c r="EW21" s="3648"/>
      <c r="EX21" s="3648"/>
      <c r="EY21" s="3649"/>
      <c r="EZ21" s="3649"/>
      <c r="FA21" s="3649"/>
      <c r="FB21" s="3649"/>
      <c r="FC21" s="3655"/>
      <c r="FD21" s="3656"/>
      <c r="FE21" s="3647" t="s">
        <v>3638</v>
      </c>
      <c r="FF21" s="3648"/>
      <c r="FG21" s="3648"/>
      <c r="FH21" s="3649"/>
      <c r="FI21" s="3649"/>
      <c r="FJ21" s="3649"/>
      <c r="FK21" s="3649"/>
      <c r="FL21" s="3655"/>
      <c r="FM21" s="3656"/>
      <c r="FN21" s="3652" t="s">
        <v>3580</v>
      </c>
      <c r="FO21" s="3653"/>
      <c r="FP21" s="3653"/>
      <c r="FQ21" s="3654"/>
      <c r="FR21" s="3654"/>
      <c r="FS21" s="3654"/>
      <c r="FT21" s="3654"/>
      <c r="FU21" s="3654"/>
      <c r="FV21" s="3654"/>
      <c r="FW21" s="3655"/>
      <c r="FX21" s="3655"/>
      <c r="FY21" s="3655"/>
      <c r="FZ21" s="3657" t="s">
        <v>2019</v>
      </c>
      <c r="GA21" s="3658"/>
      <c r="GB21" s="3658"/>
      <c r="GC21" s="3659"/>
      <c r="GD21" s="3659"/>
      <c r="GE21" s="3659"/>
      <c r="GF21" s="3659"/>
      <c r="GG21" s="3659"/>
      <c r="GH21" s="3659"/>
      <c r="GI21" s="3660"/>
      <c r="GJ21" s="3660"/>
      <c r="GK21" s="3661"/>
      <c r="GL21" s="627"/>
    </row>
    <row r="22" spans="1:194" ht="20.25" customHeight="1" x14ac:dyDescent="0.2">
      <c r="A22" s="3637"/>
      <c r="B22" s="3638" t="s">
        <v>3581</v>
      </c>
      <c r="C22" s="3639"/>
      <c r="D22" s="3640"/>
      <c r="E22" s="3638" t="s">
        <v>1692</v>
      </c>
      <c r="F22" s="3639"/>
      <c r="G22" s="3640"/>
      <c r="H22" s="3638" t="s">
        <v>3639</v>
      </c>
      <c r="I22" s="3639"/>
      <c r="J22" s="3640"/>
      <c r="K22" s="3638" t="s">
        <v>3581</v>
      </c>
      <c r="L22" s="3639"/>
      <c r="M22" s="3640"/>
      <c r="N22" s="3638" t="s">
        <v>1692</v>
      </c>
      <c r="O22" s="3639"/>
      <c r="P22" s="3640"/>
      <c r="Q22" s="3638" t="s">
        <v>3639</v>
      </c>
      <c r="R22" s="3639"/>
      <c r="S22" s="3640"/>
      <c r="T22" s="3638" t="s">
        <v>3581</v>
      </c>
      <c r="U22" s="3639"/>
      <c r="V22" s="3640"/>
      <c r="W22" s="3638" t="s">
        <v>1692</v>
      </c>
      <c r="X22" s="3639"/>
      <c r="Y22" s="3640"/>
      <c r="Z22" s="3638" t="s">
        <v>3639</v>
      </c>
      <c r="AA22" s="3639"/>
      <c r="AB22" s="3640"/>
      <c r="AC22" s="3644" t="s">
        <v>3581</v>
      </c>
      <c r="AD22" s="3645"/>
      <c r="AE22" s="3646"/>
      <c r="AF22" s="3641" t="s">
        <v>1692</v>
      </c>
      <c r="AG22" s="3642"/>
      <c r="AH22" s="3643"/>
      <c r="AI22" s="3641" t="s">
        <v>3639</v>
      </c>
      <c r="AJ22" s="3642"/>
      <c r="AK22" s="3643"/>
      <c r="AL22" s="3644" t="s">
        <v>3654</v>
      </c>
      <c r="AM22" s="3645"/>
      <c r="AN22" s="3646"/>
      <c r="AO22" s="3638" t="s">
        <v>3581</v>
      </c>
      <c r="AP22" s="3639"/>
      <c r="AQ22" s="3640"/>
      <c r="AR22" s="3638" t="s">
        <v>1692</v>
      </c>
      <c r="AS22" s="3639"/>
      <c r="AT22" s="3640"/>
      <c r="AU22" s="3638" t="s">
        <v>3639</v>
      </c>
      <c r="AV22" s="3639"/>
      <c r="AW22" s="3640"/>
      <c r="AX22" s="3638" t="s">
        <v>3581</v>
      </c>
      <c r="AY22" s="3639"/>
      <c r="AZ22" s="3640"/>
      <c r="BA22" s="3638" t="s">
        <v>1692</v>
      </c>
      <c r="BB22" s="3639"/>
      <c r="BC22" s="3640"/>
      <c r="BD22" s="3638" t="s">
        <v>3639</v>
      </c>
      <c r="BE22" s="3639"/>
      <c r="BF22" s="3640"/>
      <c r="BG22" s="3638" t="s">
        <v>3581</v>
      </c>
      <c r="BH22" s="3639"/>
      <c r="BI22" s="3640"/>
      <c r="BJ22" s="3638" t="s">
        <v>1692</v>
      </c>
      <c r="BK22" s="3639"/>
      <c r="BL22" s="3640"/>
      <c r="BM22" s="3638" t="s">
        <v>3639</v>
      </c>
      <c r="BN22" s="3639"/>
      <c r="BO22" s="3640"/>
      <c r="BP22" s="3644" t="s">
        <v>3581</v>
      </c>
      <c r="BQ22" s="3645"/>
      <c r="BR22" s="3646"/>
      <c r="BS22" s="3641" t="s">
        <v>1692</v>
      </c>
      <c r="BT22" s="3642"/>
      <c r="BU22" s="3643"/>
      <c r="BV22" s="3641" t="s">
        <v>3639</v>
      </c>
      <c r="BW22" s="3642"/>
      <c r="BX22" s="3643"/>
      <c r="BY22" s="3644" t="s">
        <v>3654</v>
      </c>
      <c r="BZ22" s="3645"/>
      <c r="CA22" s="3646"/>
      <c r="CB22" s="3644" t="s">
        <v>3581</v>
      </c>
      <c r="CC22" s="3645"/>
      <c r="CD22" s="3646"/>
      <c r="CE22" s="3641" t="s">
        <v>1692</v>
      </c>
      <c r="CF22" s="3642"/>
      <c r="CG22" s="3643"/>
      <c r="CH22" s="3641" t="s">
        <v>3639</v>
      </c>
      <c r="CI22" s="3642"/>
      <c r="CJ22" s="3643"/>
      <c r="CK22" s="3644" t="s">
        <v>3654</v>
      </c>
      <c r="CL22" s="3645"/>
      <c r="CM22" s="3646"/>
      <c r="CN22" s="3638" t="s">
        <v>3581</v>
      </c>
      <c r="CO22" s="3639"/>
      <c r="CP22" s="3640"/>
      <c r="CQ22" s="3638" t="s">
        <v>1692</v>
      </c>
      <c r="CR22" s="3639"/>
      <c r="CS22" s="3640"/>
      <c r="CT22" s="3638" t="s">
        <v>3639</v>
      </c>
      <c r="CU22" s="3639"/>
      <c r="CV22" s="3640"/>
      <c r="CW22" s="3638" t="s">
        <v>3581</v>
      </c>
      <c r="CX22" s="3639"/>
      <c r="CY22" s="3640"/>
      <c r="CZ22" s="3638" t="s">
        <v>1692</v>
      </c>
      <c r="DA22" s="3639"/>
      <c r="DB22" s="3640"/>
      <c r="DC22" s="3638" t="s">
        <v>3639</v>
      </c>
      <c r="DD22" s="3639"/>
      <c r="DE22" s="3640"/>
      <c r="DF22" s="3638" t="s">
        <v>3581</v>
      </c>
      <c r="DG22" s="3639"/>
      <c r="DH22" s="3640"/>
      <c r="DI22" s="3638" t="s">
        <v>1692</v>
      </c>
      <c r="DJ22" s="3639"/>
      <c r="DK22" s="3640"/>
      <c r="DL22" s="3638" t="s">
        <v>3639</v>
      </c>
      <c r="DM22" s="3639"/>
      <c r="DN22" s="3640"/>
      <c r="DO22" s="3644" t="s">
        <v>3581</v>
      </c>
      <c r="DP22" s="3645"/>
      <c r="DQ22" s="3646"/>
      <c r="DR22" s="3641" t="s">
        <v>1692</v>
      </c>
      <c r="DS22" s="3642"/>
      <c r="DT22" s="3643"/>
      <c r="DU22" s="3641" t="s">
        <v>3639</v>
      </c>
      <c r="DV22" s="3642"/>
      <c r="DW22" s="3643"/>
      <c r="DX22" s="3644" t="s">
        <v>3654</v>
      </c>
      <c r="DY22" s="3645"/>
      <c r="DZ22" s="3646"/>
      <c r="EA22" s="3644" t="s">
        <v>3581</v>
      </c>
      <c r="EB22" s="3645"/>
      <c r="EC22" s="3646"/>
      <c r="ED22" s="3641" t="s">
        <v>1692</v>
      </c>
      <c r="EE22" s="3642"/>
      <c r="EF22" s="3643"/>
      <c r="EG22" s="3641" t="s">
        <v>3639</v>
      </c>
      <c r="EH22" s="3642"/>
      <c r="EI22" s="3643"/>
      <c r="EJ22" s="3644" t="s">
        <v>3654</v>
      </c>
      <c r="EK22" s="3645"/>
      <c r="EL22" s="3646"/>
      <c r="EM22" s="3638" t="s">
        <v>3581</v>
      </c>
      <c r="EN22" s="3639"/>
      <c r="EO22" s="3640"/>
      <c r="EP22" s="3638" t="s">
        <v>1692</v>
      </c>
      <c r="EQ22" s="3639"/>
      <c r="ER22" s="3640"/>
      <c r="ES22" s="3638" t="s">
        <v>3639</v>
      </c>
      <c r="ET22" s="3639"/>
      <c r="EU22" s="3640"/>
      <c r="EV22" s="3638" t="s">
        <v>3581</v>
      </c>
      <c r="EW22" s="3639"/>
      <c r="EX22" s="3640"/>
      <c r="EY22" s="3638" t="s">
        <v>1692</v>
      </c>
      <c r="EZ22" s="3639"/>
      <c r="FA22" s="3640"/>
      <c r="FB22" s="3638" t="s">
        <v>3639</v>
      </c>
      <c r="FC22" s="3639"/>
      <c r="FD22" s="3640"/>
      <c r="FE22" s="3638" t="s">
        <v>3581</v>
      </c>
      <c r="FF22" s="3639"/>
      <c r="FG22" s="3640"/>
      <c r="FH22" s="3638" t="s">
        <v>1692</v>
      </c>
      <c r="FI22" s="3639"/>
      <c r="FJ22" s="3640"/>
      <c r="FK22" s="3638" t="s">
        <v>3639</v>
      </c>
      <c r="FL22" s="3639"/>
      <c r="FM22" s="3640"/>
      <c r="FN22" s="3644" t="s">
        <v>3581</v>
      </c>
      <c r="FO22" s="3645"/>
      <c r="FP22" s="3646"/>
      <c r="FQ22" s="3641" t="s">
        <v>1692</v>
      </c>
      <c r="FR22" s="3642"/>
      <c r="FS22" s="3643"/>
      <c r="FT22" s="3641" t="s">
        <v>3639</v>
      </c>
      <c r="FU22" s="3642"/>
      <c r="FV22" s="3643"/>
      <c r="FW22" s="3644" t="s">
        <v>3654</v>
      </c>
      <c r="FX22" s="3645"/>
      <c r="FY22" s="3646"/>
      <c r="FZ22" s="3662" t="s">
        <v>3581</v>
      </c>
      <c r="GA22" s="3663"/>
      <c r="GB22" s="3664"/>
      <c r="GC22" s="3665" t="s">
        <v>1692</v>
      </c>
      <c r="GD22" s="3666"/>
      <c r="GE22" s="3667"/>
      <c r="GF22" s="3665" t="s">
        <v>3639</v>
      </c>
      <c r="GG22" s="3666"/>
      <c r="GH22" s="3667"/>
      <c r="GI22" s="3662" t="s">
        <v>3654</v>
      </c>
      <c r="GJ22" s="3663"/>
      <c r="GK22" s="3664"/>
      <c r="GL22" s="627"/>
    </row>
    <row r="23" spans="1:194" ht="25.5" customHeight="1" x14ac:dyDescent="0.2">
      <c r="A23" s="3637"/>
      <c r="B23" s="3095" t="s">
        <v>627</v>
      </c>
      <c r="C23" s="3095" t="s">
        <v>3625</v>
      </c>
      <c r="D23" s="3095" t="s">
        <v>3626</v>
      </c>
      <c r="E23" s="3095" t="s">
        <v>627</v>
      </c>
      <c r="F23" s="3095" t="s">
        <v>3625</v>
      </c>
      <c r="G23" s="3095" t="s">
        <v>3626</v>
      </c>
      <c r="H23" s="3095" t="s">
        <v>627</v>
      </c>
      <c r="I23" s="3095" t="s">
        <v>3625</v>
      </c>
      <c r="J23" s="3095" t="s">
        <v>3626</v>
      </c>
      <c r="K23" s="3095" t="s">
        <v>627</v>
      </c>
      <c r="L23" s="3095" t="s">
        <v>3625</v>
      </c>
      <c r="M23" s="3095" t="s">
        <v>3626</v>
      </c>
      <c r="N23" s="3095" t="s">
        <v>627</v>
      </c>
      <c r="O23" s="3095" t="s">
        <v>3625</v>
      </c>
      <c r="P23" s="3095" t="s">
        <v>3626</v>
      </c>
      <c r="Q23" s="3095" t="s">
        <v>627</v>
      </c>
      <c r="R23" s="3095" t="s">
        <v>3625</v>
      </c>
      <c r="S23" s="3095" t="s">
        <v>3626</v>
      </c>
      <c r="T23" s="3095" t="s">
        <v>627</v>
      </c>
      <c r="U23" s="3095" t="s">
        <v>3625</v>
      </c>
      <c r="V23" s="3095" t="s">
        <v>3626</v>
      </c>
      <c r="W23" s="3095" t="s">
        <v>627</v>
      </c>
      <c r="X23" s="3095" t="s">
        <v>3625</v>
      </c>
      <c r="Y23" s="3095" t="s">
        <v>3626</v>
      </c>
      <c r="Z23" s="3095" t="s">
        <v>627</v>
      </c>
      <c r="AA23" s="3095" t="s">
        <v>3625</v>
      </c>
      <c r="AB23" s="3095" t="s">
        <v>3626</v>
      </c>
      <c r="AC23" s="3096" t="s">
        <v>627</v>
      </c>
      <c r="AD23" s="3096" t="s">
        <v>3625</v>
      </c>
      <c r="AE23" s="3096" t="s">
        <v>3626</v>
      </c>
      <c r="AF23" s="3096" t="s">
        <v>627</v>
      </c>
      <c r="AG23" s="3096" t="s">
        <v>3625</v>
      </c>
      <c r="AH23" s="3096" t="s">
        <v>3626</v>
      </c>
      <c r="AI23" s="3096" t="s">
        <v>627</v>
      </c>
      <c r="AJ23" s="3096" t="s">
        <v>3625</v>
      </c>
      <c r="AK23" s="3096" t="s">
        <v>3626</v>
      </c>
      <c r="AL23" s="3096" t="s">
        <v>627</v>
      </c>
      <c r="AM23" s="3096" t="s">
        <v>3625</v>
      </c>
      <c r="AN23" s="3096" t="s">
        <v>3626</v>
      </c>
      <c r="AO23" s="3095" t="s">
        <v>627</v>
      </c>
      <c r="AP23" s="3095" t="s">
        <v>3625</v>
      </c>
      <c r="AQ23" s="3095" t="s">
        <v>3626</v>
      </c>
      <c r="AR23" s="3095" t="s">
        <v>627</v>
      </c>
      <c r="AS23" s="3095" t="s">
        <v>3625</v>
      </c>
      <c r="AT23" s="3095" t="s">
        <v>3626</v>
      </c>
      <c r="AU23" s="3095" t="s">
        <v>627</v>
      </c>
      <c r="AV23" s="3095" t="s">
        <v>3625</v>
      </c>
      <c r="AW23" s="3095" t="s">
        <v>3626</v>
      </c>
      <c r="AX23" s="3095" t="s">
        <v>627</v>
      </c>
      <c r="AY23" s="3095" t="s">
        <v>3625</v>
      </c>
      <c r="AZ23" s="3095" t="s">
        <v>3626</v>
      </c>
      <c r="BA23" s="3095" t="s">
        <v>627</v>
      </c>
      <c r="BB23" s="3095" t="s">
        <v>3625</v>
      </c>
      <c r="BC23" s="3095" t="s">
        <v>3626</v>
      </c>
      <c r="BD23" s="3095" t="s">
        <v>627</v>
      </c>
      <c r="BE23" s="3095" t="s">
        <v>3625</v>
      </c>
      <c r="BF23" s="3095" t="s">
        <v>3626</v>
      </c>
      <c r="BG23" s="3095" t="s">
        <v>627</v>
      </c>
      <c r="BH23" s="3095" t="s">
        <v>3625</v>
      </c>
      <c r="BI23" s="3095" t="s">
        <v>3626</v>
      </c>
      <c r="BJ23" s="3095" t="s">
        <v>627</v>
      </c>
      <c r="BK23" s="3095" t="s">
        <v>3625</v>
      </c>
      <c r="BL23" s="3095" t="s">
        <v>3626</v>
      </c>
      <c r="BM23" s="3095" t="s">
        <v>627</v>
      </c>
      <c r="BN23" s="3095" t="s">
        <v>3625</v>
      </c>
      <c r="BO23" s="3095" t="s">
        <v>3626</v>
      </c>
      <c r="BP23" s="3096" t="s">
        <v>627</v>
      </c>
      <c r="BQ23" s="3096" t="s">
        <v>3625</v>
      </c>
      <c r="BR23" s="3096" t="s">
        <v>3626</v>
      </c>
      <c r="BS23" s="3096" t="s">
        <v>627</v>
      </c>
      <c r="BT23" s="3096" t="s">
        <v>3625</v>
      </c>
      <c r="BU23" s="3096" t="s">
        <v>3626</v>
      </c>
      <c r="BV23" s="3096" t="s">
        <v>627</v>
      </c>
      <c r="BW23" s="3096" t="s">
        <v>3625</v>
      </c>
      <c r="BX23" s="3096" t="s">
        <v>3626</v>
      </c>
      <c r="BY23" s="3096" t="s">
        <v>627</v>
      </c>
      <c r="BZ23" s="3096" t="s">
        <v>3625</v>
      </c>
      <c r="CA23" s="3096" t="s">
        <v>3626</v>
      </c>
      <c r="CB23" s="3096" t="s">
        <v>627</v>
      </c>
      <c r="CC23" s="3096" t="s">
        <v>3625</v>
      </c>
      <c r="CD23" s="3096" t="s">
        <v>3626</v>
      </c>
      <c r="CE23" s="3096" t="s">
        <v>627</v>
      </c>
      <c r="CF23" s="3096" t="s">
        <v>3625</v>
      </c>
      <c r="CG23" s="3096" t="s">
        <v>3626</v>
      </c>
      <c r="CH23" s="3096" t="s">
        <v>627</v>
      </c>
      <c r="CI23" s="3096" t="s">
        <v>3625</v>
      </c>
      <c r="CJ23" s="3096" t="s">
        <v>3626</v>
      </c>
      <c r="CK23" s="3096" t="s">
        <v>627</v>
      </c>
      <c r="CL23" s="3096" t="s">
        <v>3625</v>
      </c>
      <c r="CM23" s="3096" t="s">
        <v>3626</v>
      </c>
      <c r="CN23" s="3095" t="s">
        <v>627</v>
      </c>
      <c r="CO23" s="3095" t="s">
        <v>3625</v>
      </c>
      <c r="CP23" s="3095" t="s">
        <v>3626</v>
      </c>
      <c r="CQ23" s="3095" t="s">
        <v>627</v>
      </c>
      <c r="CR23" s="3095" t="s">
        <v>3625</v>
      </c>
      <c r="CS23" s="3095" t="s">
        <v>3626</v>
      </c>
      <c r="CT23" s="3095" t="s">
        <v>627</v>
      </c>
      <c r="CU23" s="3095" t="s">
        <v>3625</v>
      </c>
      <c r="CV23" s="3095" t="s">
        <v>3626</v>
      </c>
      <c r="CW23" s="3095" t="s">
        <v>627</v>
      </c>
      <c r="CX23" s="3095" t="s">
        <v>3625</v>
      </c>
      <c r="CY23" s="3095" t="s">
        <v>3626</v>
      </c>
      <c r="CZ23" s="3095" t="s">
        <v>627</v>
      </c>
      <c r="DA23" s="3095" t="s">
        <v>3625</v>
      </c>
      <c r="DB23" s="3095" t="s">
        <v>3626</v>
      </c>
      <c r="DC23" s="3095" t="s">
        <v>627</v>
      </c>
      <c r="DD23" s="3095" t="s">
        <v>3625</v>
      </c>
      <c r="DE23" s="3095" t="s">
        <v>3626</v>
      </c>
      <c r="DF23" s="3095" t="s">
        <v>627</v>
      </c>
      <c r="DG23" s="3095" t="s">
        <v>3625</v>
      </c>
      <c r="DH23" s="3095" t="s">
        <v>3626</v>
      </c>
      <c r="DI23" s="3095" t="s">
        <v>627</v>
      </c>
      <c r="DJ23" s="3095" t="s">
        <v>3625</v>
      </c>
      <c r="DK23" s="3095" t="s">
        <v>3626</v>
      </c>
      <c r="DL23" s="3095" t="s">
        <v>627</v>
      </c>
      <c r="DM23" s="3095" t="s">
        <v>3625</v>
      </c>
      <c r="DN23" s="3095" t="s">
        <v>3626</v>
      </c>
      <c r="DO23" s="3096" t="s">
        <v>627</v>
      </c>
      <c r="DP23" s="3096" t="s">
        <v>3625</v>
      </c>
      <c r="DQ23" s="3096" t="s">
        <v>3626</v>
      </c>
      <c r="DR23" s="3096" t="s">
        <v>627</v>
      </c>
      <c r="DS23" s="3096" t="s">
        <v>3625</v>
      </c>
      <c r="DT23" s="3096" t="s">
        <v>3626</v>
      </c>
      <c r="DU23" s="3096" t="s">
        <v>627</v>
      </c>
      <c r="DV23" s="3096" t="s">
        <v>3625</v>
      </c>
      <c r="DW23" s="3096" t="s">
        <v>3626</v>
      </c>
      <c r="DX23" s="3096" t="s">
        <v>627</v>
      </c>
      <c r="DY23" s="3096" t="s">
        <v>3625</v>
      </c>
      <c r="DZ23" s="3096" t="s">
        <v>3626</v>
      </c>
      <c r="EA23" s="3096" t="s">
        <v>627</v>
      </c>
      <c r="EB23" s="3096" t="s">
        <v>3625</v>
      </c>
      <c r="EC23" s="3096" t="s">
        <v>3626</v>
      </c>
      <c r="ED23" s="3096" t="s">
        <v>627</v>
      </c>
      <c r="EE23" s="3096" t="s">
        <v>3625</v>
      </c>
      <c r="EF23" s="3096" t="s">
        <v>3626</v>
      </c>
      <c r="EG23" s="3096" t="s">
        <v>627</v>
      </c>
      <c r="EH23" s="3096" t="s">
        <v>3625</v>
      </c>
      <c r="EI23" s="3096" t="s">
        <v>3626</v>
      </c>
      <c r="EJ23" s="3096" t="s">
        <v>627</v>
      </c>
      <c r="EK23" s="3096" t="s">
        <v>3625</v>
      </c>
      <c r="EL23" s="3096" t="s">
        <v>3626</v>
      </c>
      <c r="EM23" s="3095" t="s">
        <v>627</v>
      </c>
      <c r="EN23" s="3095" t="s">
        <v>3625</v>
      </c>
      <c r="EO23" s="3095" t="s">
        <v>3626</v>
      </c>
      <c r="EP23" s="3095" t="s">
        <v>627</v>
      </c>
      <c r="EQ23" s="3095" t="s">
        <v>3625</v>
      </c>
      <c r="ER23" s="3095" t="s">
        <v>3626</v>
      </c>
      <c r="ES23" s="3095" t="s">
        <v>627</v>
      </c>
      <c r="ET23" s="3095" t="s">
        <v>3625</v>
      </c>
      <c r="EU23" s="3095" t="s">
        <v>3626</v>
      </c>
      <c r="EV23" s="3095" t="s">
        <v>627</v>
      </c>
      <c r="EW23" s="3095" t="s">
        <v>3625</v>
      </c>
      <c r="EX23" s="3095" t="s">
        <v>3626</v>
      </c>
      <c r="EY23" s="3095" t="s">
        <v>627</v>
      </c>
      <c r="EZ23" s="3095" t="s">
        <v>3625</v>
      </c>
      <c r="FA23" s="3095" t="s">
        <v>3626</v>
      </c>
      <c r="FB23" s="3095" t="s">
        <v>627</v>
      </c>
      <c r="FC23" s="3095" t="s">
        <v>3625</v>
      </c>
      <c r="FD23" s="3095" t="s">
        <v>3626</v>
      </c>
      <c r="FE23" s="3095" t="s">
        <v>627</v>
      </c>
      <c r="FF23" s="3095" t="s">
        <v>3625</v>
      </c>
      <c r="FG23" s="3095" t="s">
        <v>3626</v>
      </c>
      <c r="FH23" s="3095" t="s">
        <v>627</v>
      </c>
      <c r="FI23" s="3095" t="s">
        <v>3625</v>
      </c>
      <c r="FJ23" s="3095" t="s">
        <v>3626</v>
      </c>
      <c r="FK23" s="3095" t="s">
        <v>627</v>
      </c>
      <c r="FL23" s="3095" t="s">
        <v>3625</v>
      </c>
      <c r="FM23" s="3095" t="s">
        <v>3626</v>
      </c>
      <c r="FN23" s="3096" t="s">
        <v>627</v>
      </c>
      <c r="FO23" s="3096" t="s">
        <v>3625</v>
      </c>
      <c r="FP23" s="3096" t="s">
        <v>3626</v>
      </c>
      <c r="FQ23" s="3096" t="s">
        <v>627</v>
      </c>
      <c r="FR23" s="3096" t="s">
        <v>3625</v>
      </c>
      <c r="FS23" s="3096" t="s">
        <v>3626</v>
      </c>
      <c r="FT23" s="3096" t="s">
        <v>627</v>
      </c>
      <c r="FU23" s="3096" t="s">
        <v>3625</v>
      </c>
      <c r="FV23" s="3096" t="s">
        <v>3626</v>
      </c>
      <c r="FW23" s="3096" t="s">
        <v>627</v>
      </c>
      <c r="FX23" s="3096" t="s">
        <v>3625</v>
      </c>
      <c r="FY23" s="3096" t="s">
        <v>3626</v>
      </c>
      <c r="FZ23" s="3217" t="s">
        <v>627</v>
      </c>
      <c r="GA23" s="3217" t="s">
        <v>3625</v>
      </c>
      <c r="GB23" s="3217" t="s">
        <v>3626</v>
      </c>
      <c r="GC23" s="3217" t="s">
        <v>627</v>
      </c>
      <c r="GD23" s="3217" t="s">
        <v>3625</v>
      </c>
      <c r="GE23" s="3217" t="s">
        <v>3626</v>
      </c>
      <c r="GF23" s="3217" t="s">
        <v>627</v>
      </c>
      <c r="GG23" s="3217" t="s">
        <v>3625</v>
      </c>
      <c r="GH23" s="3217" t="s">
        <v>3626</v>
      </c>
      <c r="GI23" s="3217" t="s">
        <v>627</v>
      </c>
      <c r="GJ23" s="3217" t="s">
        <v>3625</v>
      </c>
      <c r="GK23" s="3217" t="s">
        <v>3626</v>
      </c>
      <c r="GL23" s="627"/>
    </row>
    <row r="24" spans="1:194" ht="18.75" x14ac:dyDescent="0.3">
      <c r="A24" s="3072" t="s">
        <v>3641</v>
      </c>
      <c r="B24" s="3060">
        <f t="shared" ref="B24:B31" si="363">SUM(C24:D24)</f>
        <v>6212.2125530064031</v>
      </c>
      <c r="C24" s="3122">
        <f>SUM(C15*C33)</f>
        <v>6212.2125530064031</v>
      </c>
      <c r="D24" s="3122"/>
      <c r="E24" s="3060">
        <f t="shared" ref="E24:E31" si="364">SUM(F24:G24)</f>
        <v>6529.32</v>
      </c>
      <c r="F24" s="3182">
        <v>6529.32</v>
      </c>
      <c r="G24" s="3182"/>
      <c r="H24" s="3061">
        <f>SUM(I24:J24)</f>
        <v>6190.3</v>
      </c>
      <c r="I24" s="3061">
        <v>6190.3</v>
      </c>
      <c r="J24" s="3061"/>
      <c r="K24" s="3060">
        <f t="shared" ref="K24:K31" si="365">SUM(L24:M24)</f>
        <v>6212.2125530064031</v>
      </c>
      <c r="L24" s="3122">
        <f>SUM(L15*L33)</f>
        <v>6212.2125530064031</v>
      </c>
      <c r="M24" s="3122"/>
      <c r="N24" s="3060">
        <f t="shared" ref="N24:N31" si="366">SUM(O24:P24)</f>
        <v>6028.38</v>
      </c>
      <c r="O24" s="3182">
        <v>6028.38</v>
      </c>
      <c r="P24" s="3182"/>
      <c r="Q24" s="3061">
        <f>SUM(R24:S24)</f>
        <v>6016.06</v>
      </c>
      <c r="R24" s="3061">
        <v>6016.06</v>
      </c>
      <c r="S24" s="3061"/>
      <c r="T24" s="3060">
        <f t="shared" ref="T24:T31" si="367">SUM(U24:V24)</f>
        <v>6212.2125530064031</v>
      </c>
      <c r="U24" s="3122">
        <f>SUM(U15*U33)</f>
        <v>6212.2125530064031</v>
      </c>
      <c r="V24" s="3122"/>
      <c r="W24" s="3060">
        <f t="shared" ref="W24:W31" si="368">SUM(X24:Y24)</f>
        <v>5802.42</v>
      </c>
      <c r="X24" s="3182">
        <v>5802.42</v>
      </c>
      <c r="Y24" s="3182"/>
      <c r="Z24" s="3061">
        <f>SUM(AA24:AB24)</f>
        <v>5701.6</v>
      </c>
      <c r="AA24" s="3061">
        <v>5701.6</v>
      </c>
      <c r="AB24" s="3061"/>
      <c r="AC24" s="3123">
        <f t="shared" ref="AC24:AE31" si="369">SUM(B24+K24+T24)</f>
        <v>18636.637659019209</v>
      </c>
      <c r="AD24" s="3123">
        <f t="shared" si="369"/>
        <v>18636.637659019209</v>
      </c>
      <c r="AE24" s="3123">
        <f t="shared" si="369"/>
        <v>0</v>
      </c>
      <c r="AF24" s="3123">
        <f t="shared" ref="AF24:AF31" si="370">SUM(E24+N24+W24)</f>
        <v>18360.120000000003</v>
      </c>
      <c r="AG24" s="3123">
        <f t="shared" ref="AG24:AG31" si="371">SUM(F24+O24+X24)</f>
        <v>18360.120000000003</v>
      </c>
      <c r="AH24" s="3123">
        <f t="shared" ref="AH24:AH31" si="372">SUM(G24+P24+Y24)</f>
        <v>0</v>
      </c>
      <c r="AI24" s="3123">
        <f t="shared" ref="AI24:AI31" si="373">SUM(H24+Q24+Z24)</f>
        <v>17907.96</v>
      </c>
      <c r="AJ24" s="3123">
        <f t="shared" ref="AJ24:AJ31" si="374">SUM(I24+R24+AA24)</f>
        <v>17907.96</v>
      </c>
      <c r="AK24" s="3123">
        <f t="shared" ref="AK24:AK31" si="375">SUM(J24+S24+AB24)</f>
        <v>0</v>
      </c>
      <c r="AL24" s="3115">
        <f t="shared" ref="AL24:AL36" si="376">SUM(AF24-AC24)</f>
        <v>-276.51765901920589</v>
      </c>
      <c r="AM24" s="3115">
        <f t="shared" ref="AM24:AM35" si="377">SUM(AG24-AD24)</f>
        <v>-276.51765901920589</v>
      </c>
      <c r="AN24" s="3115">
        <f t="shared" ref="AN24:AN36" si="378">SUM(AH24-AE24)</f>
        <v>0</v>
      </c>
      <c r="AO24" s="3060">
        <f t="shared" ref="AO24:AO31" si="379">SUM(AP24:AQ24)</f>
        <v>6212.2125530064031</v>
      </c>
      <c r="AP24" s="3122">
        <f>SUM(AP15*AP33)</f>
        <v>6212.2125530064031</v>
      </c>
      <c r="AQ24" s="3122"/>
      <c r="AR24" s="3060">
        <f t="shared" ref="AR24:AR31" si="380">SUM(AS24:AT24)</f>
        <v>5941.93</v>
      </c>
      <c r="AS24" s="3182">
        <v>5941.93</v>
      </c>
      <c r="AT24" s="3182"/>
      <c r="AU24" s="3061">
        <f>SUM(AV24:AW24)</f>
        <v>6076.44</v>
      </c>
      <c r="AV24" s="3061">
        <v>6076.44</v>
      </c>
      <c r="AW24" s="3061"/>
      <c r="AX24" s="3060">
        <f t="shared" ref="AX24:AX31" si="381">SUM(AY24:AZ24)</f>
        <v>6212.2125530064031</v>
      </c>
      <c r="AY24" s="3122">
        <f>SUM(AY15*AY33)</f>
        <v>6212.2125530064031</v>
      </c>
      <c r="AZ24" s="3122"/>
      <c r="BA24" s="3060">
        <f t="shared" ref="BA24:BA30" si="382">SUM(BB24:BC24)</f>
        <v>5955</v>
      </c>
      <c r="BB24" s="3182">
        <v>5955</v>
      </c>
      <c r="BC24" s="3182"/>
      <c r="BD24" s="3061">
        <f>SUM(BE24:BF24)</f>
        <v>5819.48</v>
      </c>
      <c r="BE24" s="3061">
        <v>5819.48</v>
      </c>
      <c r="BF24" s="3061"/>
      <c r="BG24" s="3060">
        <f t="shared" ref="BG24:BG31" si="383">SUM(BH24:BI24)</f>
        <v>6212.2125530064031</v>
      </c>
      <c r="BH24" s="3122">
        <f>SUM(BH15*BH33)</f>
        <v>6212.2125530064031</v>
      </c>
      <c r="BI24" s="3122"/>
      <c r="BJ24" s="3060">
        <f t="shared" ref="BJ24:BJ31" si="384">SUM(BK24:BL24)</f>
        <v>5848.25</v>
      </c>
      <c r="BK24" s="3182">
        <v>5848.25</v>
      </c>
      <c r="BL24" s="3182"/>
      <c r="BM24" s="3061">
        <f>SUM(BN24:BO24)</f>
        <v>6306.23</v>
      </c>
      <c r="BN24" s="3061">
        <v>6306.23</v>
      </c>
      <c r="BO24" s="3061"/>
      <c r="BP24" s="3123">
        <f t="shared" ref="BP24:BP31" si="385">SUM(AO24+AX24+BG24)</f>
        <v>18636.637659019209</v>
      </c>
      <c r="BQ24" s="3123">
        <f t="shared" ref="BQ24:BQ31" si="386">SUM(AP24+AY24+BH24)</f>
        <v>18636.637659019209</v>
      </c>
      <c r="BR24" s="3123">
        <f t="shared" ref="BR24:BR31" si="387">SUM(AQ24+AZ24+BI24)</f>
        <v>0</v>
      </c>
      <c r="BS24" s="3123">
        <f t="shared" ref="BS24:BS31" si="388">SUM(AR24+BA24+BJ24)</f>
        <v>17745.18</v>
      </c>
      <c r="BT24" s="3123">
        <f t="shared" ref="BT24:BT31" si="389">SUM(AS24+BB24+BK24)</f>
        <v>17745.18</v>
      </c>
      <c r="BU24" s="3123">
        <f t="shared" ref="BU24:BU31" si="390">SUM(AT24+BC24+BL24)</f>
        <v>0</v>
      </c>
      <c r="BV24" s="3123">
        <f t="shared" ref="BV24:BV31" si="391">SUM(AU24+BD24+BM24)</f>
        <v>18202.149999999998</v>
      </c>
      <c r="BW24" s="3123">
        <f t="shared" ref="BW24:BW31" si="392">SUM(AV24+BE24+BN24)</f>
        <v>18202.149999999998</v>
      </c>
      <c r="BX24" s="3123">
        <f t="shared" ref="BX24:BX31" si="393">SUM(AW24+BF24+BO24)</f>
        <v>0</v>
      </c>
      <c r="BY24" s="3115">
        <f t="shared" ref="BY24:BY32" si="394">SUM(BS24-BP24)</f>
        <v>-891.45765901920822</v>
      </c>
      <c r="BZ24" s="3115">
        <f t="shared" ref="BZ24:BZ35" si="395">SUM(BT24-BQ24)</f>
        <v>-891.45765901920822</v>
      </c>
      <c r="CA24" s="3115">
        <f t="shared" ref="CA24:CA36" si="396">SUM(BU24-BR24)</f>
        <v>0</v>
      </c>
      <c r="CB24" s="3123">
        <f t="shared" ref="CB24:CB31" si="397">SUM(AC24+BP24)</f>
        <v>37273.275318038417</v>
      </c>
      <c r="CC24" s="3123">
        <f t="shared" ref="CC24:CC31" si="398">SUM(AD24+BQ24)</f>
        <v>37273.275318038417</v>
      </c>
      <c r="CD24" s="3123">
        <f t="shared" ref="CD24:CD31" si="399">SUM(AE24+BR24)</f>
        <v>0</v>
      </c>
      <c r="CE24" s="3123">
        <f t="shared" ref="CE24:CE31" si="400">SUM(AF24+BS24)</f>
        <v>36105.300000000003</v>
      </c>
      <c r="CF24" s="3123">
        <f t="shared" ref="CF24:CF31" si="401">SUM(AG24+BT24)</f>
        <v>36105.300000000003</v>
      </c>
      <c r="CG24" s="3123">
        <f t="shared" ref="CG24:CG31" si="402">SUM(AH24+BU24)</f>
        <v>0</v>
      </c>
      <c r="CH24" s="3123">
        <f t="shared" ref="CH24:CH31" si="403">SUM(AI24+BV24)</f>
        <v>36110.11</v>
      </c>
      <c r="CI24" s="3123">
        <f t="shared" ref="CI24:CI31" si="404">SUM(AJ24+BW24)</f>
        <v>36110.11</v>
      </c>
      <c r="CJ24" s="3123">
        <f t="shared" ref="CJ24:CJ31" si="405">SUM(AK24+BX24)</f>
        <v>0</v>
      </c>
      <c r="CK24" s="3115">
        <f t="shared" ref="CK24:CK36" si="406">SUM(CE24-CB24)</f>
        <v>-1167.9753180384141</v>
      </c>
      <c r="CL24" s="3115">
        <f t="shared" ref="CL24:CL35" si="407">SUM(CF24-CC24)</f>
        <v>-1167.9753180384141</v>
      </c>
      <c r="CM24" s="3115">
        <f t="shared" ref="CM24:CM36" si="408">SUM(CG24-CD24)</f>
        <v>0</v>
      </c>
      <c r="CN24" s="3060">
        <f t="shared" ref="CN24:CN31" si="409">SUM(CO24:CP24)</f>
        <v>6355.0934417255503</v>
      </c>
      <c r="CO24" s="3122">
        <f>SUM(CO15*CO33)</f>
        <v>6355.0934417255503</v>
      </c>
      <c r="CP24" s="3122"/>
      <c r="CQ24" s="3060">
        <f t="shared" ref="CQ24:CQ31" si="410">SUM(CR24:CS24)</f>
        <v>6076.79</v>
      </c>
      <c r="CR24" s="3182">
        <v>6076.79</v>
      </c>
      <c r="CS24" s="3182"/>
      <c r="CT24" s="3061">
        <f>SUM(CU24:CV24)</f>
        <v>5795.55</v>
      </c>
      <c r="CU24" s="3061">
        <v>5795.55</v>
      </c>
      <c r="CV24" s="3061"/>
      <c r="CW24" s="3060">
        <f t="shared" ref="CW24:CW31" si="411">SUM(CX24:CY24)</f>
        <v>6355.0934417255503</v>
      </c>
      <c r="CX24" s="3122">
        <f>SUM(CX15*CX33)</f>
        <v>6355.0934417255503</v>
      </c>
      <c r="CY24" s="3122"/>
      <c r="CZ24" s="3060">
        <f t="shared" ref="CZ24:CZ31" si="412">SUM(DA24:DB24)</f>
        <v>6944.15</v>
      </c>
      <c r="DA24" s="3182">
        <v>6944.15</v>
      </c>
      <c r="DB24" s="3182"/>
      <c r="DC24" s="3061">
        <f>SUM(DD24:DE24)</f>
        <v>6368.85</v>
      </c>
      <c r="DD24" s="3061">
        <v>6368.85</v>
      </c>
      <c r="DE24" s="3061"/>
      <c r="DF24" s="3060">
        <f t="shared" ref="DF24:DF31" si="413">SUM(DG24:DH24)</f>
        <v>6355.0934417255503</v>
      </c>
      <c r="DG24" s="3122">
        <f>SUM(DG15*DG33)</f>
        <v>6355.0934417255503</v>
      </c>
      <c r="DH24" s="3122"/>
      <c r="DI24" s="3060">
        <f t="shared" ref="DI24:DI31" si="414">SUM(DJ24:DK24)</f>
        <v>5710.7280000000001</v>
      </c>
      <c r="DJ24" s="3182">
        <v>5710.7280000000001</v>
      </c>
      <c r="DK24" s="3182"/>
      <c r="DL24" s="3061">
        <f>SUM(DM24:DN24)</f>
        <v>5967.04</v>
      </c>
      <c r="DM24" s="3061">
        <v>5967.04</v>
      </c>
      <c r="DN24" s="3061"/>
      <c r="DO24" s="3123">
        <f t="shared" ref="DO24:DO31" si="415">SUM(CN24+CW24+DF24)</f>
        <v>19065.280325176653</v>
      </c>
      <c r="DP24" s="3123">
        <f t="shared" ref="DP24:DP31" si="416">SUM(CO24+CX24+DG24)</f>
        <v>19065.280325176653</v>
      </c>
      <c r="DQ24" s="3123">
        <f t="shared" ref="DQ24:DQ31" si="417">SUM(CP24+CY24+DH24)</f>
        <v>0</v>
      </c>
      <c r="DR24" s="3123">
        <f t="shared" ref="DR24:DR31" si="418">SUM(CQ24+CZ24+DI24)</f>
        <v>18731.667999999998</v>
      </c>
      <c r="DS24" s="3123">
        <f t="shared" ref="DS24:DS31" si="419">SUM(CR24+DA24+DJ24)</f>
        <v>18731.667999999998</v>
      </c>
      <c r="DT24" s="3123">
        <f t="shared" ref="DT24:DT31" si="420">SUM(CS24+DB24+DK24)</f>
        <v>0</v>
      </c>
      <c r="DU24" s="3123">
        <f t="shared" ref="DU24:DU31" si="421">SUM(CT24+DC24+DL24)</f>
        <v>18131.440000000002</v>
      </c>
      <c r="DV24" s="3123">
        <f t="shared" ref="DV24:DV31" si="422">SUM(CU24+DD24+DM24)</f>
        <v>18131.440000000002</v>
      </c>
      <c r="DW24" s="3123">
        <f t="shared" ref="DW24:DW31" si="423">SUM(CV24+DE24+DN24)</f>
        <v>0</v>
      </c>
      <c r="DX24" s="3115">
        <f t="shared" ref="DX24:DX32" si="424">SUM(DR24-DO24)</f>
        <v>-333.61232517665485</v>
      </c>
      <c r="DY24" s="3115">
        <f t="shared" ref="DY24:DY35" si="425">SUM(DS24-DP24)</f>
        <v>-333.61232517665485</v>
      </c>
      <c r="DZ24" s="3115">
        <f t="shared" ref="DZ24:DZ36" si="426">SUM(DT24-DQ24)</f>
        <v>0</v>
      </c>
      <c r="EA24" s="3123">
        <f t="shared" ref="EA24:EA31" si="427">SUM(CB24+DO24)</f>
        <v>56338.55564321507</v>
      </c>
      <c r="EB24" s="3123">
        <f t="shared" ref="EB24:EB31" si="428">SUM(CC24+DP24)</f>
        <v>56338.55564321507</v>
      </c>
      <c r="EC24" s="3123">
        <f t="shared" ref="EC24:EC31" si="429">SUM(CD24+DQ24)</f>
        <v>0</v>
      </c>
      <c r="ED24" s="3123">
        <f t="shared" ref="ED24:ED31" si="430">SUM(CE24+DR24)</f>
        <v>54836.968000000001</v>
      </c>
      <c r="EE24" s="3123">
        <f t="shared" ref="EE24:EE31" si="431">SUM(CF24+DS24)</f>
        <v>54836.968000000001</v>
      </c>
      <c r="EF24" s="3123">
        <f t="shared" ref="EF24:EF31" si="432">SUM(CG24+DT24)</f>
        <v>0</v>
      </c>
      <c r="EG24" s="3123">
        <f t="shared" ref="EG24:EG31" si="433">SUM(CH24+DU24)</f>
        <v>54241.55</v>
      </c>
      <c r="EH24" s="3123">
        <f t="shared" ref="EH24:EH31" si="434">SUM(CI24+DV24)</f>
        <v>54241.55</v>
      </c>
      <c r="EI24" s="3123">
        <f t="shared" ref="EI24:EI31" si="435">SUM(CJ24+DW24)</f>
        <v>0</v>
      </c>
      <c r="EJ24" s="3115">
        <f t="shared" ref="EJ24:EL36" si="436">SUM(ED24-EA24)</f>
        <v>-1501.587643215069</v>
      </c>
      <c r="EK24" s="3115">
        <f t="shared" si="436"/>
        <v>-1501.587643215069</v>
      </c>
      <c r="EL24" s="3115">
        <f t="shared" si="436"/>
        <v>0</v>
      </c>
      <c r="EM24" s="3060">
        <f t="shared" ref="EM24:EM31" si="437">SUM(EN24:EO24)</f>
        <v>6355.0934417255503</v>
      </c>
      <c r="EN24" s="3122">
        <f>SUM(EN15*EN33)</f>
        <v>6355.0934417255503</v>
      </c>
      <c r="EO24" s="3122"/>
      <c r="EP24" s="3060">
        <f t="shared" ref="EP24:EP31" si="438">SUM(EQ24:ER24)</f>
        <v>0</v>
      </c>
      <c r="EQ24" s="3182"/>
      <c r="ER24" s="3182"/>
      <c r="ES24" s="3061">
        <f>SUM(ET24:EU24)</f>
        <v>6074.15</v>
      </c>
      <c r="ET24" s="3061">
        <v>6074.15</v>
      </c>
      <c r="EU24" s="3061"/>
      <c r="EV24" s="3060">
        <f t="shared" ref="EV24:EV31" si="439">SUM(EW24:EX24)</f>
        <v>6355.0934417255503</v>
      </c>
      <c r="EW24" s="3122">
        <f>SUM(EW15*EW33)</f>
        <v>6355.0934417255503</v>
      </c>
      <c r="EX24" s="3122"/>
      <c r="EY24" s="3060">
        <f t="shared" ref="EY24:EY31" si="440">SUM(EZ24:FA24)</f>
        <v>0</v>
      </c>
      <c r="EZ24" s="3182"/>
      <c r="FA24" s="3182"/>
      <c r="FB24" s="3061">
        <f>SUM(FC24:FD24)</f>
        <v>5881.31</v>
      </c>
      <c r="FC24" s="3061">
        <v>5881.31</v>
      </c>
      <c r="FD24" s="3061"/>
      <c r="FE24" s="3060">
        <f t="shared" ref="FE24:FE30" si="441">SUM(FF24:FG24)</f>
        <v>6355.0934417255503</v>
      </c>
      <c r="FF24" s="3122">
        <f>SUM(FF15*FF33)</f>
        <v>6355.0934417255503</v>
      </c>
      <c r="FG24" s="3122"/>
      <c r="FH24" s="3060">
        <f t="shared" ref="FH24:FH30" si="442">SUM(FI24:FJ24)</f>
        <v>0</v>
      </c>
      <c r="FI24" s="3182"/>
      <c r="FJ24" s="3182"/>
      <c r="FK24" s="3061">
        <f>SUM(FL24:FM24)</f>
        <v>5573.05</v>
      </c>
      <c r="FL24" s="3061">
        <v>5573.05</v>
      </c>
      <c r="FM24" s="3061"/>
      <c r="FN24" s="3123">
        <f t="shared" ref="FN24:FN31" si="443">SUM(EM24+EV24+FE24)</f>
        <v>19065.280325176653</v>
      </c>
      <c r="FO24" s="3123">
        <f t="shared" ref="FO24:FO25" si="444">SUM(EN24+EW24+FF24)</f>
        <v>19065.280325176653</v>
      </c>
      <c r="FP24" s="3123">
        <f t="shared" ref="FP24:FP25" si="445">SUM(EO24+EX24+FG24)</f>
        <v>0</v>
      </c>
      <c r="FQ24" s="3123">
        <f t="shared" ref="FQ24:FQ31" si="446">SUM(EP24+EY24+FH24)</f>
        <v>0</v>
      </c>
      <c r="FR24" s="3123">
        <f t="shared" ref="FR24:FR25" si="447">SUM(EQ24+EZ24+FI24)</f>
        <v>0</v>
      </c>
      <c r="FS24" s="3123">
        <f t="shared" ref="FS24:FS25" si="448">SUM(ER24+FA24+FJ24)</f>
        <v>0</v>
      </c>
      <c r="FT24" s="3123">
        <f t="shared" ref="FT24:FT31" si="449">SUM(ES24+FB24+FK24)</f>
        <v>17528.509999999998</v>
      </c>
      <c r="FU24" s="3123">
        <f t="shared" ref="FU24:FU25" si="450">SUM(ET24+FC24+FL24)</f>
        <v>17528.509999999998</v>
      </c>
      <c r="FV24" s="3123">
        <f t="shared" ref="FV24:FV25" si="451">SUM(EU24+FD24+FM24)</f>
        <v>0</v>
      </c>
      <c r="FW24" s="3115">
        <f t="shared" ref="FW24:FW32" si="452">SUM(FQ24-FN24)</f>
        <v>-19065.280325176653</v>
      </c>
      <c r="FX24" s="3115">
        <f t="shared" ref="FX24:FX36" si="453">SUM(FR24-FO24)</f>
        <v>-19065.280325176653</v>
      </c>
      <c r="FY24" s="3115">
        <f t="shared" ref="FY24:FY36" si="454">SUM(FS24-FP24)</f>
        <v>0</v>
      </c>
      <c r="FZ24" s="3230">
        <f t="shared" ref="FZ24:FZ31" si="455">SUM(EA24+FN24)</f>
        <v>75403.835968391722</v>
      </c>
      <c r="GA24" s="3230">
        <f>SUM(EB24+FO24)</f>
        <v>75403.835968391722</v>
      </c>
      <c r="GB24" s="3230">
        <f t="shared" ref="GB24:GB31" si="456">SUM(EC24+FP24)</f>
        <v>0</v>
      </c>
      <c r="GC24" s="3230">
        <f t="shared" ref="GC24:GC31" si="457">SUM(ED24+FQ24)</f>
        <v>54836.968000000001</v>
      </c>
      <c r="GD24" s="3230">
        <f t="shared" ref="GD24:GD31" si="458">SUM(EE24+FR24)</f>
        <v>54836.968000000001</v>
      </c>
      <c r="GE24" s="3230">
        <f t="shared" ref="GE24:GE31" si="459">SUM(EF24+FS24)</f>
        <v>0</v>
      </c>
      <c r="GF24" s="3230">
        <f t="shared" ref="GF24:GF31" si="460">SUM(EG24+FT24)</f>
        <v>71770.06</v>
      </c>
      <c r="GG24" s="3230">
        <f t="shared" ref="GG24:GG31" si="461">SUM(EH24+FU24)</f>
        <v>71770.06</v>
      </c>
      <c r="GH24" s="3230">
        <f t="shared" ref="GH24:GH31" si="462">SUM(EI24+FV24)</f>
        <v>0</v>
      </c>
      <c r="GI24" s="3231">
        <f t="shared" ref="GI24:GI36" si="463">SUM(GC24-FZ24)</f>
        <v>-20566.867968391722</v>
      </c>
      <c r="GJ24" s="3231">
        <f t="shared" ref="GJ24:GJ36" si="464">SUM(GD24-GA24)</f>
        <v>-20566.867968391722</v>
      </c>
      <c r="GK24" s="3231">
        <f t="shared" ref="GK24:GK36" si="465">SUM(GE24-GB24)</f>
        <v>0</v>
      </c>
      <c r="GL24" s="627"/>
    </row>
    <row r="25" spans="1:194" ht="18.75" x14ac:dyDescent="0.3">
      <c r="A25" s="3072" t="s">
        <v>3642</v>
      </c>
      <c r="B25" s="3060">
        <f t="shared" si="363"/>
        <v>1344.0821573969995</v>
      </c>
      <c r="C25" s="3122">
        <f>SUM(C15*C34)</f>
        <v>1344.0821573969995</v>
      </c>
      <c r="D25" s="3122"/>
      <c r="E25" s="3060">
        <f t="shared" si="364"/>
        <v>1411.46</v>
      </c>
      <c r="F25" s="3182">
        <v>1411.46</v>
      </c>
      <c r="G25" s="3182"/>
      <c r="H25" s="3061">
        <f t="shared" ref="H25:H30" si="466">SUM(I25:J25)</f>
        <v>1511.36</v>
      </c>
      <c r="I25" s="3061">
        <v>1511.36</v>
      </c>
      <c r="J25" s="3061"/>
      <c r="K25" s="3060">
        <f t="shared" si="365"/>
        <v>1344.0821573969995</v>
      </c>
      <c r="L25" s="3122">
        <f>SUM(L15*L34)</f>
        <v>1344.0821573969995</v>
      </c>
      <c r="M25" s="3122"/>
      <c r="N25" s="3060">
        <f t="shared" si="366"/>
        <v>1303.1600000000001</v>
      </c>
      <c r="O25" s="3182">
        <v>1303.1600000000001</v>
      </c>
      <c r="P25" s="3182"/>
      <c r="Q25" s="3061">
        <f t="shared" ref="Q25:Q27" si="467">SUM(R25:S25)</f>
        <v>1468.81</v>
      </c>
      <c r="R25" s="3061">
        <v>1468.81</v>
      </c>
      <c r="S25" s="3061"/>
      <c r="T25" s="3060">
        <f t="shared" si="367"/>
        <v>1344.0821573969995</v>
      </c>
      <c r="U25" s="3122">
        <f>SUM(U15*U34)</f>
        <v>1344.0821573969995</v>
      </c>
      <c r="V25" s="3122"/>
      <c r="W25" s="3060">
        <f t="shared" si="368"/>
        <v>1254.32</v>
      </c>
      <c r="X25" s="3182">
        <v>1254.32</v>
      </c>
      <c r="Y25" s="3182"/>
      <c r="Z25" s="3061">
        <f t="shared" ref="Z25:Z27" si="468">SUM(AA25:AB25)</f>
        <v>1392.04</v>
      </c>
      <c r="AA25" s="3061">
        <v>1392.04</v>
      </c>
      <c r="AB25" s="3061"/>
      <c r="AC25" s="3123">
        <f t="shared" si="369"/>
        <v>4032.2464721909982</v>
      </c>
      <c r="AD25" s="3123">
        <f t="shared" si="369"/>
        <v>4032.2464721909982</v>
      </c>
      <c r="AE25" s="3123">
        <f t="shared" si="369"/>
        <v>0</v>
      </c>
      <c r="AF25" s="3123">
        <f t="shared" si="370"/>
        <v>3968.9399999999996</v>
      </c>
      <c r="AG25" s="3123">
        <f t="shared" si="371"/>
        <v>3968.9399999999996</v>
      </c>
      <c r="AH25" s="3123">
        <f t="shared" si="372"/>
        <v>0</v>
      </c>
      <c r="AI25" s="3123">
        <f t="shared" si="373"/>
        <v>4372.21</v>
      </c>
      <c r="AJ25" s="3123">
        <f t="shared" si="374"/>
        <v>4372.21</v>
      </c>
      <c r="AK25" s="3123">
        <f t="shared" si="375"/>
        <v>0</v>
      </c>
      <c r="AL25" s="3115">
        <f t="shared" si="376"/>
        <v>-63.306472190998647</v>
      </c>
      <c r="AM25" s="3115">
        <f t="shared" si="377"/>
        <v>-63.306472190998647</v>
      </c>
      <c r="AN25" s="3115">
        <f t="shared" si="378"/>
        <v>0</v>
      </c>
      <c r="AO25" s="3060">
        <f t="shared" si="379"/>
        <v>1344.0821573969995</v>
      </c>
      <c r="AP25" s="3122">
        <f>SUM(AP15*AP34)</f>
        <v>1344.0821573969995</v>
      </c>
      <c r="AQ25" s="3122"/>
      <c r="AR25" s="3060">
        <f t="shared" si="380"/>
        <v>1284.47</v>
      </c>
      <c r="AS25" s="3182">
        <v>1284.47</v>
      </c>
      <c r="AT25" s="3182"/>
      <c r="AU25" s="3061">
        <f t="shared" ref="AU25:AU27" si="469">SUM(AV25:AW25)</f>
        <v>1483.56</v>
      </c>
      <c r="AV25" s="3061">
        <v>1483.56</v>
      </c>
      <c r="AW25" s="3061"/>
      <c r="AX25" s="3060">
        <f t="shared" si="381"/>
        <v>1344.0821573969995</v>
      </c>
      <c r="AY25" s="3122">
        <f>SUM(AY15*AY34)</f>
        <v>1344.0821573969995</v>
      </c>
      <c r="AZ25" s="3122"/>
      <c r="BA25" s="3060">
        <f t="shared" si="382"/>
        <v>1287.3</v>
      </c>
      <c r="BB25" s="3182">
        <v>1287.3</v>
      </c>
      <c r="BC25" s="3182"/>
      <c r="BD25" s="3061">
        <f t="shared" ref="BD25:BD27" si="470">SUM(BE25:BF25)</f>
        <v>1420.82</v>
      </c>
      <c r="BE25" s="3061">
        <v>1420.82</v>
      </c>
      <c r="BF25" s="3061"/>
      <c r="BG25" s="3060">
        <f t="shared" si="383"/>
        <v>1344.0821573969995</v>
      </c>
      <c r="BH25" s="3122">
        <f>SUM(BH15*BH34)</f>
        <v>1344.0821573969995</v>
      </c>
      <c r="BI25" s="3122"/>
      <c r="BJ25" s="3060">
        <f t="shared" si="384"/>
        <v>1264.23</v>
      </c>
      <c r="BK25" s="3182">
        <v>1264.23</v>
      </c>
      <c r="BL25" s="3182"/>
      <c r="BM25" s="3061">
        <f t="shared" ref="BM25:BM27" si="471">SUM(BN25:BO25)</f>
        <v>1539.66</v>
      </c>
      <c r="BN25" s="3061">
        <v>1539.66</v>
      </c>
      <c r="BO25" s="3061"/>
      <c r="BP25" s="3123">
        <f t="shared" si="385"/>
        <v>4032.2464721909982</v>
      </c>
      <c r="BQ25" s="3123">
        <f t="shared" si="386"/>
        <v>4032.2464721909982</v>
      </c>
      <c r="BR25" s="3123">
        <f t="shared" si="387"/>
        <v>0</v>
      </c>
      <c r="BS25" s="3123">
        <f t="shared" si="388"/>
        <v>3836</v>
      </c>
      <c r="BT25" s="3123">
        <f t="shared" si="389"/>
        <v>3836</v>
      </c>
      <c r="BU25" s="3123">
        <f t="shared" si="390"/>
        <v>0</v>
      </c>
      <c r="BV25" s="3123">
        <f t="shared" si="391"/>
        <v>4444.04</v>
      </c>
      <c r="BW25" s="3123">
        <f t="shared" si="392"/>
        <v>4444.04</v>
      </c>
      <c r="BX25" s="3123">
        <f t="shared" si="393"/>
        <v>0</v>
      </c>
      <c r="BY25" s="3115">
        <f t="shared" si="394"/>
        <v>-196.24647219099825</v>
      </c>
      <c r="BZ25" s="3115">
        <f t="shared" si="395"/>
        <v>-196.24647219099825</v>
      </c>
      <c r="CA25" s="3115">
        <f t="shared" si="396"/>
        <v>0</v>
      </c>
      <c r="CB25" s="3123">
        <f t="shared" si="397"/>
        <v>8064.4929443819965</v>
      </c>
      <c r="CC25" s="3123">
        <f t="shared" si="398"/>
        <v>8064.4929443819965</v>
      </c>
      <c r="CD25" s="3123">
        <f t="shared" si="399"/>
        <v>0</v>
      </c>
      <c r="CE25" s="3123">
        <f t="shared" si="400"/>
        <v>7804.94</v>
      </c>
      <c r="CF25" s="3123">
        <f t="shared" si="401"/>
        <v>7804.94</v>
      </c>
      <c r="CG25" s="3123">
        <f t="shared" si="402"/>
        <v>0</v>
      </c>
      <c r="CH25" s="3123">
        <f t="shared" si="403"/>
        <v>8816.25</v>
      </c>
      <c r="CI25" s="3123">
        <f t="shared" si="404"/>
        <v>8816.25</v>
      </c>
      <c r="CJ25" s="3123">
        <f t="shared" si="405"/>
        <v>0</v>
      </c>
      <c r="CK25" s="3115">
        <f t="shared" si="406"/>
        <v>-259.55294438199689</v>
      </c>
      <c r="CL25" s="3115">
        <f t="shared" si="407"/>
        <v>-259.55294438199689</v>
      </c>
      <c r="CM25" s="3115">
        <f t="shared" si="408"/>
        <v>0</v>
      </c>
      <c r="CN25" s="3060">
        <f t="shared" si="409"/>
        <v>1459.7410236111059</v>
      </c>
      <c r="CO25" s="3122">
        <f>SUM(CO15*CO34)</f>
        <v>1459.7410236111059</v>
      </c>
      <c r="CP25" s="3122"/>
      <c r="CQ25" s="3060">
        <f t="shared" si="410"/>
        <v>1396.11</v>
      </c>
      <c r="CR25" s="3182">
        <v>1396.11</v>
      </c>
      <c r="CS25" s="3182"/>
      <c r="CT25" s="3061">
        <f t="shared" ref="CT25:CT27" si="472">SUM(CU25:CV25)</f>
        <v>1252.81</v>
      </c>
      <c r="CU25" s="3061">
        <v>1252.81</v>
      </c>
      <c r="CV25" s="3061"/>
      <c r="CW25" s="3060">
        <f t="shared" si="411"/>
        <v>1459.7410236111059</v>
      </c>
      <c r="CX25" s="3122">
        <f>SUM(CX15*CX34)</f>
        <v>1459.7410236111059</v>
      </c>
      <c r="CY25" s="3122"/>
      <c r="CZ25" s="3060">
        <f t="shared" si="412"/>
        <v>1595.35</v>
      </c>
      <c r="DA25" s="3182">
        <v>1595.35</v>
      </c>
      <c r="DB25" s="3182"/>
      <c r="DC25" s="3061">
        <f t="shared" ref="DC25:DC27" si="473">SUM(DD25:DE25)</f>
        <v>1376.91</v>
      </c>
      <c r="DD25" s="3061">
        <v>1376.91</v>
      </c>
      <c r="DE25" s="3061"/>
      <c r="DF25" s="3060">
        <f t="shared" si="413"/>
        <v>1459.7410236111059</v>
      </c>
      <c r="DG25" s="3122">
        <f>SUM(DG15*DG34)</f>
        <v>1459.7410236111059</v>
      </c>
      <c r="DH25" s="3122"/>
      <c r="DI25" s="3060">
        <f t="shared" si="414"/>
        <v>1311.98</v>
      </c>
      <c r="DJ25" s="3182">
        <v>1311.98</v>
      </c>
      <c r="DK25" s="3182"/>
      <c r="DL25" s="3061">
        <f t="shared" ref="DL25:DL27" si="474">SUM(DM25:DN25)</f>
        <v>1290.05</v>
      </c>
      <c r="DM25" s="3061">
        <v>1290.05</v>
      </c>
      <c r="DN25" s="3061"/>
      <c r="DO25" s="3123">
        <f t="shared" si="415"/>
        <v>4379.2230708333173</v>
      </c>
      <c r="DP25" s="3123">
        <f t="shared" si="416"/>
        <v>4379.2230708333173</v>
      </c>
      <c r="DQ25" s="3123">
        <f t="shared" si="417"/>
        <v>0</v>
      </c>
      <c r="DR25" s="3123">
        <f t="shared" si="418"/>
        <v>4303.4400000000005</v>
      </c>
      <c r="DS25" s="3123">
        <f t="shared" si="419"/>
        <v>4303.4400000000005</v>
      </c>
      <c r="DT25" s="3123">
        <f t="shared" si="420"/>
        <v>0</v>
      </c>
      <c r="DU25" s="3123">
        <f t="shared" si="421"/>
        <v>3919.7700000000004</v>
      </c>
      <c r="DV25" s="3123">
        <f t="shared" si="422"/>
        <v>3919.7700000000004</v>
      </c>
      <c r="DW25" s="3123">
        <f t="shared" si="423"/>
        <v>0</v>
      </c>
      <c r="DX25" s="3115">
        <f t="shared" si="424"/>
        <v>-75.783070833316742</v>
      </c>
      <c r="DY25" s="3115">
        <f t="shared" si="425"/>
        <v>-75.783070833316742</v>
      </c>
      <c r="DZ25" s="3115">
        <f t="shared" si="426"/>
        <v>0</v>
      </c>
      <c r="EA25" s="3123">
        <f t="shared" si="427"/>
        <v>12443.716015215314</v>
      </c>
      <c r="EB25" s="3123">
        <f t="shared" si="428"/>
        <v>12443.716015215314</v>
      </c>
      <c r="EC25" s="3123">
        <f t="shared" si="429"/>
        <v>0</v>
      </c>
      <c r="ED25" s="3123">
        <f t="shared" si="430"/>
        <v>12108.380000000001</v>
      </c>
      <c r="EE25" s="3123">
        <f t="shared" si="431"/>
        <v>12108.380000000001</v>
      </c>
      <c r="EF25" s="3123">
        <f t="shared" si="432"/>
        <v>0</v>
      </c>
      <c r="EG25" s="3123">
        <f t="shared" si="433"/>
        <v>12736.02</v>
      </c>
      <c r="EH25" s="3123">
        <f t="shared" si="434"/>
        <v>12736.02</v>
      </c>
      <c r="EI25" s="3123">
        <f t="shared" si="435"/>
        <v>0</v>
      </c>
      <c r="EJ25" s="3115">
        <f t="shared" si="436"/>
        <v>-335.33601521531273</v>
      </c>
      <c r="EK25" s="3115">
        <f t="shared" si="436"/>
        <v>-335.33601521531273</v>
      </c>
      <c r="EL25" s="3115">
        <f t="shared" si="436"/>
        <v>0</v>
      </c>
      <c r="EM25" s="3060">
        <f t="shared" si="437"/>
        <v>1459.7410236111059</v>
      </c>
      <c r="EN25" s="3122">
        <f>SUM(EN15*EN34)</f>
        <v>1459.7410236111059</v>
      </c>
      <c r="EO25" s="3122"/>
      <c r="EP25" s="3060">
        <f t="shared" si="438"/>
        <v>0</v>
      </c>
      <c r="EQ25" s="3182"/>
      <c r="ER25" s="3182"/>
      <c r="ES25" s="3061">
        <f t="shared" ref="ES25:ES27" si="475">SUM(ET25:EU25)</f>
        <v>1313.18</v>
      </c>
      <c r="ET25" s="3061">
        <v>1313.18</v>
      </c>
      <c r="EU25" s="3061"/>
      <c r="EV25" s="3060">
        <f t="shared" si="439"/>
        <v>1459.7410236111059</v>
      </c>
      <c r="EW25" s="3122">
        <f>SUM(EW15*EW34)</f>
        <v>1459.7410236111059</v>
      </c>
      <c r="EX25" s="3122"/>
      <c r="EY25" s="3060">
        <f t="shared" si="440"/>
        <v>0</v>
      </c>
      <c r="EZ25" s="3182"/>
      <c r="FA25" s="3182"/>
      <c r="FB25" s="3061">
        <f t="shared" ref="FB25:FB27" si="476">SUM(FC25:FD25)</f>
        <v>1271.5</v>
      </c>
      <c r="FC25" s="3061">
        <v>1271.5</v>
      </c>
      <c r="FD25" s="3061"/>
      <c r="FE25" s="3060">
        <f t="shared" si="441"/>
        <v>1459.7410236111059</v>
      </c>
      <c r="FF25" s="3122">
        <f>SUM(FF15*FF34)</f>
        <v>1459.7410236111059</v>
      </c>
      <c r="FG25" s="3122"/>
      <c r="FH25" s="3060">
        <f t="shared" si="442"/>
        <v>0</v>
      </c>
      <c r="FI25" s="3182"/>
      <c r="FJ25" s="3182"/>
      <c r="FK25" s="3061">
        <f t="shared" ref="FK25:FK27" si="477">SUM(FL25:FM25)</f>
        <v>1206.18</v>
      </c>
      <c r="FL25" s="3061">
        <v>1206.18</v>
      </c>
      <c r="FM25" s="3061"/>
      <c r="FN25" s="3123">
        <f t="shared" si="443"/>
        <v>4379.2230708333173</v>
      </c>
      <c r="FO25" s="3123">
        <f t="shared" si="444"/>
        <v>4379.2230708333173</v>
      </c>
      <c r="FP25" s="3123">
        <f t="shared" si="445"/>
        <v>0</v>
      </c>
      <c r="FQ25" s="3123">
        <f t="shared" si="446"/>
        <v>0</v>
      </c>
      <c r="FR25" s="3123">
        <f t="shared" si="447"/>
        <v>0</v>
      </c>
      <c r="FS25" s="3123">
        <f t="shared" si="448"/>
        <v>0</v>
      </c>
      <c r="FT25" s="3123">
        <f t="shared" si="449"/>
        <v>3790.8600000000006</v>
      </c>
      <c r="FU25" s="3123">
        <f t="shared" si="450"/>
        <v>3790.8600000000006</v>
      </c>
      <c r="FV25" s="3123">
        <f t="shared" si="451"/>
        <v>0</v>
      </c>
      <c r="FW25" s="3115">
        <f t="shared" si="452"/>
        <v>-4379.2230708333173</v>
      </c>
      <c r="FX25" s="3115">
        <f t="shared" si="453"/>
        <v>-4379.2230708333173</v>
      </c>
      <c r="FY25" s="3115">
        <f t="shared" si="454"/>
        <v>0</v>
      </c>
      <c r="FZ25" s="3230">
        <f t="shared" si="455"/>
        <v>16822.939086048631</v>
      </c>
      <c r="GA25" s="3230">
        <f t="shared" ref="GA25:GA31" si="478">SUM(EB25+FO25)</f>
        <v>16822.939086048631</v>
      </c>
      <c r="GB25" s="3230">
        <f t="shared" si="456"/>
        <v>0</v>
      </c>
      <c r="GC25" s="3230">
        <f t="shared" si="457"/>
        <v>12108.380000000001</v>
      </c>
      <c r="GD25" s="3230">
        <f t="shared" si="458"/>
        <v>12108.380000000001</v>
      </c>
      <c r="GE25" s="3230">
        <f t="shared" si="459"/>
        <v>0</v>
      </c>
      <c r="GF25" s="3230">
        <f t="shared" si="460"/>
        <v>16526.88</v>
      </c>
      <c r="GG25" s="3230">
        <f t="shared" si="461"/>
        <v>16526.88</v>
      </c>
      <c r="GH25" s="3230">
        <f t="shared" si="462"/>
        <v>0</v>
      </c>
      <c r="GI25" s="3231">
        <f t="shared" si="463"/>
        <v>-4714.55908604863</v>
      </c>
      <c r="GJ25" s="3231">
        <f t="shared" si="464"/>
        <v>-4714.55908604863</v>
      </c>
      <c r="GK25" s="3231">
        <f t="shared" si="465"/>
        <v>0</v>
      </c>
      <c r="GL25" s="627"/>
    </row>
    <row r="26" spans="1:194" ht="18.75" x14ac:dyDescent="0.3">
      <c r="A26" s="3072" t="s">
        <v>3643</v>
      </c>
      <c r="B26" s="3060">
        <f t="shared" si="363"/>
        <v>2749.3590362395048</v>
      </c>
      <c r="C26" s="3122">
        <f>SUM(C16*C35)</f>
        <v>2749.3590362395048</v>
      </c>
      <c r="D26" s="3122"/>
      <c r="E26" s="3060">
        <f t="shared" si="364"/>
        <v>2612.2399999999998</v>
      </c>
      <c r="F26" s="3182">
        <v>2612.2399999999998</v>
      </c>
      <c r="G26" s="3182"/>
      <c r="H26" s="3061">
        <f t="shared" si="466"/>
        <v>2783.93</v>
      </c>
      <c r="I26" s="3061">
        <v>2783.93</v>
      </c>
      <c r="J26" s="3061"/>
      <c r="K26" s="3060">
        <f t="shared" si="365"/>
        <v>2749.3590362395048</v>
      </c>
      <c r="L26" s="3122">
        <f>SUM(L16*L35)</f>
        <v>2749.3590362395048</v>
      </c>
      <c r="M26" s="3122"/>
      <c r="N26" s="3060">
        <f t="shared" si="366"/>
        <v>2676.18</v>
      </c>
      <c r="O26" s="3182">
        <v>2676.18</v>
      </c>
      <c r="P26" s="3182"/>
      <c r="Q26" s="3061">
        <f t="shared" si="467"/>
        <v>2862.23</v>
      </c>
      <c r="R26" s="3061">
        <v>2862.23</v>
      </c>
      <c r="S26" s="3061"/>
      <c r="T26" s="3060">
        <f t="shared" si="367"/>
        <v>2749.3590362395048</v>
      </c>
      <c r="U26" s="3122">
        <f>SUM(U16*U35)</f>
        <v>2749.3590362395048</v>
      </c>
      <c r="V26" s="3122"/>
      <c r="W26" s="3060">
        <f t="shared" si="368"/>
        <v>2541.2399999999998</v>
      </c>
      <c r="X26" s="3182">
        <v>2541.2399999999998</v>
      </c>
      <c r="Y26" s="3182"/>
      <c r="Z26" s="3061">
        <f t="shared" si="468"/>
        <v>2722.34</v>
      </c>
      <c r="AA26" s="3061">
        <v>2722.34</v>
      </c>
      <c r="AB26" s="3061"/>
      <c r="AC26" s="3123">
        <f t="shared" si="369"/>
        <v>8248.0771087185149</v>
      </c>
      <c r="AD26" s="3123">
        <f t="shared" si="369"/>
        <v>8248.0771087185149</v>
      </c>
      <c r="AE26" s="3123">
        <f t="shared" si="369"/>
        <v>0</v>
      </c>
      <c r="AF26" s="3123">
        <f t="shared" si="370"/>
        <v>7829.66</v>
      </c>
      <c r="AG26" s="3123">
        <f t="shared" si="371"/>
        <v>7829.66</v>
      </c>
      <c r="AH26" s="3123">
        <f t="shared" si="372"/>
        <v>0</v>
      </c>
      <c r="AI26" s="3123">
        <f t="shared" si="373"/>
        <v>8368.5</v>
      </c>
      <c r="AJ26" s="3123">
        <f t="shared" si="374"/>
        <v>8368.5</v>
      </c>
      <c r="AK26" s="3123">
        <f t="shared" si="375"/>
        <v>0</v>
      </c>
      <c r="AL26" s="3115">
        <f t="shared" si="376"/>
        <v>-418.41710871851501</v>
      </c>
      <c r="AM26" s="3115">
        <f t="shared" si="377"/>
        <v>-418.41710871851501</v>
      </c>
      <c r="AN26" s="3115">
        <f t="shared" si="378"/>
        <v>0</v>
      </c>
      <c r="AO26" s="3208">
        <f t="shared" si="379"/>
        <v>2749.3590362395048</v>
      </c>
      <c r="AP26" s="3112">
        <f>SUM(AP16*AP35)</f>
        <v>2749.3590362395048</v>
      </c>
      <c r="AQ26" s="3112"/>
      <c r="AR26" s="3208">
        <f t="shared" si="380"/>
        <v>2700.72</v>
      </c>
      <c r="AS26" s="3465">
        <v>2700.72</v>
      </c>
      <c r="AT26" s="3465"/>
      <c r="AU26" s="3113">
        <f t="shared" si="469"/>
        <v>3047.97</v>
      </c>
      <c r="AV26" s="3113">
        <v>3047.97</v>
      </c>
      <c r="AW26" s="3113"/>
      <c r="AX26" s="3060">
        <f t="shared" si="381"/>
        <v>2749.3590362395048</v>
      </c>
      <c r="AY26" s="3122">
        <f>SUM(AY16*AY35)</f>
        <v>2749.3590362395048</v>
      </c>
      <c r="AZ26" s="3122"/>
      <c r="BA26" s="3060">
        <f t="shared" si="382"/>
        <v>2396.92</v>
      </c>
      <c r="BB26" s="3182">
        <v>2396.92</v>
      </c>
      <c r="BC26" s="3182"/>
      <c r="BD26" s="3061">
        <f t="shared" si="470"/>
        <v>2814.87</v>
      </c>
      <c r="BE26" s="3061">
        <v>2814.87</v>
      </c>
      <c r="BF26" s="3061"/>
      <c r="BG26" s="3060">
        <f t="shared" si="383"/>
        <v>2749.3590362395048</v>
      </c>
      <c r="BH26" s="3122">
        <f>SUM(BH16*BH35)</f>
        <v>2749.3590362395048</v>
      </c>
      <c r="BI26" s="3122"/>
      <c r="BJ26" s="3060">
        <f t="shared" si="384"/>
        <v>2613.56</v>
      </c>
      <c r="BK26" s="3182">
        <v>2613.56</v>
      </c>
      <c r="BL26" s="3182"/>
      <c r="BM26" s="3061">
        <f t="shared" si="471"/>
        <v>2894.63</v>
      </c>
      <c r="BN26" s="3061">
        <v>2894.63</v>
      </c>
      <c r="BO26" s="3061"/>
      <c r="BP26" s="3123">
        <f t="shared" si="385"/>
        <v>8248.0771087185149</v>
      </c>
      <c r="BQ26" s="3123">
        <f t="shared" si="386"/>
        <v>8248.0771087185149</v>
      </c>
      <c r="BR26" s="3123">
        <f t="shared" si="387"/>
        <v>0</v>
      </c>
      <c r="BS26" s="3123">
        <f t="shared" si="388"/>
        <v>7711.1999999999989</v>
      </c>
      <c r="BT26" s="3123">
        <f t="shared" si="389"/>
        <v>7711.1999999999989</v>
      </c>
      <c r="BU26" s="3123">
        <f t="shared" si="390"/>
        <v>0</v>
      </c>
      <c r="BV26" s="3123">
        <f t="shared" si="391"/>
        <v>8757.4700000000012</v>
      </c>
      <c r="BW26" s="3123">
        <f t="shared" si="392"/>
        <v>8757.4700000000012</v>
      </c>
      <c r="BX26" s="3123">
        <f t="shared" si="393"/>
        <v>0</v>
      </c>
      <c r="BY26" s="3115">
        <f t="shared" si="394"/>
        <v>-536.87710871851596</v>
      </c>
      <c r="BZ26" s="3115">
        <f t="shared" si="395"/>
        <v>-536.87710871851596</v>
      </c>
      <c r="CA26" s="3115">
        <f t="shared" si="396"/>
        <v>0</v>
      </c>
      <c r="CB26" s="3123">
        <f t="shared" si="397"/>
        <v>16496.15421743703</v>
      </c>
      <c r="CC26" s="3123">
        <f t="shared" si="398"/>
        <v>16496.15421743703</v>
      </c>
      <c r="CD26" s="3123">
        <f t="shared" si="399"/>
        <v>0</v>
      </c>
      <c r="CE26" s="3123">
        <f t="shared" si="400"/>
        <v>15540.859999999999</v>
      </c>
      <c r="CF26" s="3123">
        <f t="shared" si="401"/>
        <v>15540.859999999999</v>
      </c>
      <c r="CG26" s="3123">
        <f t="shared" si="402"/>
        <v>0</v>
      </c>
      <c r="CH26" s="3123">
        <f t="shared" si="403"/>
        <v>17125.97</v>
      </c>
      <c r="CI26" s="3123">
        <f t="shared" si="404"/>
        <v>17125.97</v>
      </c>
      <c r="CJ26" s="3123">
        <f t="shared" si="405"/>
        <v>0</v>
      </c>
      <c r="CK26" s="3115">
        <f t="shared" si="406"/>
        <v>-955.29421743703097</v>
      </c>
      <c r="CL26" s="3115">
        <f t="shared" si="407"/>
        <v>-955.29421743703097</v>
      </c>
      <c r="CM26" s="3115">
        <f t="shared" si="408"/>
        <v>0</v>
      </c>
      <c r="CN26" s="3060">
        <f t="shared" si="409"/>
        <v>2843.4287673306226</v>
      </c>
      <c r="CO26" s="3122">
        <f>SUM(CO16*CO35)</f>
        <v>2843.4287673306226</v>
      </c>
      <c r="CP26" s="3122"/>
      <c r="CQ26" s="3060">
        <f t="shared" si="410"/>
        <v>2422.52</v>
      </c>
      <c r="CR26" s="3182">
        <v>2422.52</v>
      </c>
      <c r="CS26" s="3182"/>
      <c r="CT26" s="3061">
        <f t="shared" si="472"/>
        <v>2587.84</v>
      </c>
      <c r="CU26" s="3061">
        <v>2587.84</v>
      </c>
      <c r="CV26" s="3061"/>
      <c r="CW26" s="3060">
        <f t="shared" si="411"/>
        <v>2843.4287673306226</v>
      </c>
      <c r="CX26" s="3122">
        <f>SUM(CX16*CX35)</f>
        <v>2843.4287673306226</v>
      </c>
      <c r="CY26" s="3122"/>
      <c r="CZ26" s="3060">
        <f t="shared" si="412"/>
        <v>2566.89</v>
      </c>
      <c r="DA26" s="3182">
        <v>2566.89</v>
      </c>
      <c r="DB26" s="3182"/>
      <c r="DC26" s="3061">
        <f t="shared" si="473"/>
        <v>2437.04</v>
      </c>
      <c r="DD26" s="3061">
        <v>2437.04</v>
      </c>
      <c r="DE26" s="3061"/>
      <c r="DF26" s="3060">
        <f t="shared" si="413"/>
        <v>2843.4287673306226</v>
      </c>
      <c r="DG26" s="3122">
        <f>SUM(DG16*DG35)</f>
        <v>2843.4287673306226</v>
      </c>
      <c r="DH26" s="3122"/>
      <c r="DI26" s="3060">
        <f t="shared" si="414"/>
        <v>3481.3609999999999</v>
      </c>
      <c r="DJ26" s="3182">
        <v>3481.3609999999999</v>
      </c>
      <c r="DK26" s="3182"/>
      <c r="DL26" s="3061">
        <f t="shared" si="474"/>
        <v>2983.62</v>
      </c>
      <c r="DM26" s="3061">
        <v>2983.62</v>
      </c>
      <c r="DN26" s="3061"/>
      <c r="DO26" s="3123">
        <f t="shared" si="415"/>
        <v>8530.2863019918677</v>
      </c>
      <c r="DP26" s="3123">
        <f t="shared" si="416"/>
        <v>8530.2863019918677</v>
      </c>
      <c r="DQ26" s="3123">
        <f t="shared" si="417"/>
        <v>0</v>
      </c>
      <c r="DR26" s="3123">
        <f t="shared" si="418"/>
        <v>8470.7710000000006</v>
      </c>
      <c r="DS26" s="3123">
        <f t="shared" si="419"/>
        <v>8470.7710000000006</v>
      </c>
      <c r="DT26" s="3123">
        <f t="shared" si="420"/>
        <v>0</v>
      </c>
      <c r="DU26" s="3123">
        <f t="shared" si="421"/>
        <v>8008.5</v>
      </c>
      <c r="DV26" s="3123">
        <f t="shared" si="422"/>
        <v>8008.5</v>
      </c>
      <c r="DW26" s="3123">
        <f t="shared" si="423"/>
        <v>0</v>
      </c>
      <c r="DX26" s="3115">
        <f t="shared" si="424"/>
        <v>-59.515301991867091</v>
      </c>
      <c r="DY26" s="3115">
        <f t="shared" si="425"/>
        <v>-59.515301991867091</v>
      </c>
      <c r="DZ26" s="3115">
        <f t="shared" si="426"/>
        <v>0</v>
      </c>
      <c r="EA26" s="3123">
        <f t="shared" si="427"/>
        <v>25026.440519428899</v>
      </c>
      <c r="EB26" s="3123">
        <f t="shared" si="428"/>
        <v>25026.440519428899</v>
      </c>
      <c r="EC26" s="3123">
        <f t="shared" si="429"/>
        <v>0</v>
      </c>
      <c r="ED26" s="3123">
        <f t="shared" si="430"/>
        <v>24011.631000000001</v>
      </c>
      <c r="EE26" s="3123">
        <f t="shared" si="431"/>
        <v>24011.631000000001</v>
      </c>
      <c r="EF26" s="3123">
        <f t="shared" si="432"/>
        <v>0</v>
      </c>
      <c r="EG26" s="3123">
        <f t="shared" si="433"/>
        <v>25134.47</v>
      </c>
      <c r="EH26" s="3123">
        <f t="shared" si="434"/>
        <v>25134.47</v>
      </c>
      <c r="EI26" s="3123">
        <f t="shared" si="435"/>
        <v>0</v>
      </c>
      <c r="EJ26" s="3115">
        <f t="shared" si="436"/>
        <v>-1014.8095194288981</v>
      </c>
      <c r="EK26" s="3115">
        <f t="shared" si="436"/>
        <v>-1014.8095194288981</v>
      </c>
      <c r="EL26" s="3115">
        <f t="shared" si="436"/>
        <v>0</v>
      </c>
      <c r="EM26" s="3060">
        <f t="shared" si="437"/>
        <v>2843.4287673306226</v>
      </c>
      <c r="EN26" s="3122">
        <f>SUM(EN16*EN35)</f>
        <v>2843.4287673306226</v>
      </c>
      <c r="EO26" s="3122"/>
      <c r="EP26" s="3060">
        <f t="shared" si="438"/>
        <v>0</v>
      </c>
      <c r="EQ26" s="3182"/>
      <c r="ER26" s="3182"/>
      <c r="ES26" s="3061">
        <f t="shared" si="475"/>
        <v>2716.43</v>
      </c>
      <c r="ET26" s="3061">
        <v>2716.43</v>
      </c>
      <c r="EU26" s="3061"/>
      <c r="EV26" s="3060">
        <f t="shared" si="439"/>
        <v>2843.4287673306226</v>
      </c>
      <c r="EW26" s="3122">
        <f>SUM(EW16*EW35)</f>
        <v>2843.4287673306226</v>
      </c>
      <c r="EX26" s="3122"/>
      <c r="EY26" s="3060">
        <f t="shared" si="440"/>
        <v>0</v>
      </c>
      <c r="EZ26" s="3182"/>
      <c r="FA26" s="3182"/>
      <c r="FB26" s="3061">
        <f t="shared" si="476"/>
        <v>2782.8</v>
      </c>
      <c r="FC26" s="3061">
        <v>2782.8</v>
      </c>
      <c r="FD26" s="3061"/>
      <c r="FE26" s="3060">
        <f t="shared" si="441"/>
        <v>2843.4287673306226</v>
      </c>
      <c r="FF26" s="3122">
        <f>SUM(FF16*FF35)</f>
        <v>2843.4287673306226</v>
      </c>
      <c r="FG26" s="3122"/>
      <c r="FH26" s="3060">
        <f t="shared" si="442"/>
        <v>0</v>
      </c>
      <c r="FI26" s="3182"/>
      <c r="FJ26" s="3182"/>
      <c r="FK26" s="3061">
        <f t="shared" si="477"/>
        <v>3035.55</v>
      </c>
      <c r="FL26" s="3061">
        <v>3035.55</v>
      </c>
      <c r="FM26" s="3061"/>
      <c r="FN26" s="3123">
        <f t="shared" si="443"/>
        <v>8530.2863019918677</v>
      </c>
      <c r="FO26" s="3123">
        <f t="shared" ref="FO26:FO31" si="479">SUM(EN26+EW26+FF26)</f>
        <v>8530.2863019918677</v>
      </c>
      <c r="FP26" s="3123">
        <f t="shared" ref="FP26:FP31" si="480">SUM(EO26+EX26+FG26)</f>
        <v>0</v>
      </c>
      <c r="FQ26" s="3123">
        <f t="shared" si="446"/>
        <v>0</v>
      </c>
      <c r="FR26" s="3123">
        <f t="shared" ref="FR26:FR31" si="481">SUM(EQ26+EZ26+FI26)</f>
        <v>0</v>
      </c>
      <c r="FS26" s="3123">
        <f t="shared" ref="FS26:FS31" si="482">SUM(ER26+FA26+FJ26)</f>
        <v>0</v>
      </c>
      <c r="FT26" s="3123">
        <f t="shared" si="449"/>
        <v>8534.7799999999988</v>
      </c>
      <c r="FU26" s="3123">
        <f t="shared" ref="FU26:FU31" si="483">SUM(ET26+FC26+FL26)</f>
        <v>8534.7799999999988</v>
      </c>
      <c r="FV26" s="3123">
        <f t="shared" ref="FV26:FV31" si="484">SUM(EU26+FD26+FM26)</f>
        <v>0</v>
      </c>
      <c r="FW26" s="3115">
        <f t="shared" si="452"/>
        <v>-8530.2863019918677</v>
      </c>
      <c r="FX26" s="3115">
        <f t="shared" si="453"/>
        <v>-8530.2863019918677</v>
      </c>
      <c r="FY26" s="3115">
        <f t="shared" si="454"/>
        <v>0</v>
      </c>
      <c r="FZ26" s="3230">
        <f t="shared" si="455"/>
        <v>33556.726821420765</v>
      </c>
      <c r="GA26" s="3230">
        <f t="shared" si="478"/>
        <v>33556.726821420765</v>
      </c>
      <c r="GB26" s="3230">
        <f t="shared" si="456"/>
        <v>0</v>
      </c>
      <c r="GC26" s="3230">
        <f t="shared" si="457"/>
        <v>24011.631000000001</v>
      </c>
      <c r="GD26" s="3230">
        <f t="shared" si="458"/>
        <v>24011.631000000001</v>
      </c>
      <c r="GE26" s="3230">
        <f t="shared" si="459"/>
        <v>0</v>
      </c>
      <c r="GF26" s="3230">
        <f t="shared" si="460"/>
        <v>33669.25</v>
      </c>
      <c r="GG26" s="3230">
        <f t="shared" si="461"/>
        <v>33669.25</v>
      </c>
      <c r="GH26" s="3230">
        <f t="shared" si="462"/>
        <v>0</v>
      </c>
      <c r="GI26" s="3231">
        <f t="shared" si="463"/>
        <v>-9545.095821420764</v>
      </c>
      <c r="GJ26" s="3231">
        <f t="shared" si="464"/>
        <v>-9545.095821420764</v>
      </c>
      <c r="GK26" s="3231">
        <f t="shared" si="465"/>
        <v>0</v>
      </c>
      <c r="GL26" s="627"/>
    </row>
    <row r="27" spans="1:194" ht="18.75" x14ac:dyDescent="0.3">
      <c r="A27" s="3072" t="s">
        <v>1711</v>
      </c>
      <c r="B27" s="3060">
        <f t="shared" si="363"/>
        <v>2.5676035386232714</v>
      </c>
      <c r="C27" s="3122"/>
      <c r="D27" s="3122">
        <f>SUM(D16*D36)</f>
        <v>2.5676035386232714</v>
      </c>
      <c r="E27" s="3060">
        <f t="shared" si="364"/>
        <v>2.09</v>
      </c>
      <c r="F27" s="3182"/>
      <c r="G27" s="3182">
        <v>2.09</v>
      </c>
      <c r="H27" s="3061">
        <f t="shared" si="466"/>
        <v>2.46</v>
      </c>
      <c r="I27" s="3061"/>
      <c r="J27" s="3061">
        <v>2.46</v>
      </c>
      <c r="K27" s="3060">
        <f t="shared" si="365"/>
        <v>2.5676035386232714</v>
      </c>
      <c r="L27" s="3122"/>
      <c r="M27" s="3122">
        <f>SUM(M16*M36)</f>
        <v>2.5676035386232714</v>
      </c>
      <c r="N27" s="3060">
        <f t="shared" si="366"/>
        <v>1.57</v>
      </c>
      <c r="O27" s="3182"/>
      <c r="P27" s="3182">
        <v>1.57</v>
      </c>
      <c r="Q27" s="3061">
        <f t="shared" si="467"/>
        <v>3.19</v>
      </c>
      <c r="R27" s="3061"/>
      <c r="S27" s="3061">
        <v>3.19</v>
      </c>
      <c r="T27" s="3060">
        <f t="shared" si="367"/>
        <v>2.5676035386232714</v>
      </c>
      <c r="U27" s="3122"/>
      <c r="V27" s="3122">
        <f>SUM(V16*V36)</f>
        <v>2.5676035386232714</v>
      </c>
      <c r="W27" s="3060">
        <f t="shared" si="368"/>
        <v>1.3</v>
      </c>
      <c r="X27" s="3182"/>
      <c r="Y27" s="3182">
        <v>1.3</v>
      </c>
      <c r="Z27" s="3061">
        <f t="shared" si="468"/>
        <v>2.29</v>
      </c>
      <c r="AA27" s="3061">
        <v>0</v>
      </c>
      <c r="AB27" s="3061">
        <v>2.29</v>
      </c>
      <c r="AC27" s="3123">
        <f t="shared" si="369"/>
        <v>7.7028106158698142</v>
      </c>
      <c r="AD27" s="3123">
        <f t="shared" si="369"/>
        <v>0</v>
      </c>
      <c r="AE27" s="3123">
        <f t="shared" si="369"/>
        <v>7.7028106158698142</v>
      </c>
      <c r="AF27" s="3123">
        <f t="shared" si="370"/>
        <v>4.96</v>
      </c>
      <c r="AG27" s="3123">
        <f t="shared" si="371"/>
        <v>0</v>
      </c>
      <c r="AH27" s="3123">
        <f t="shared" si="372"/>
        <v>4.96</v>
      </c>
      <c r="AI27" s="3123">
        <f t="shared" si="373"/>
        <v>7.94</v>
      </c>
      <c r="AJ27" s="3123">
        <f t="shared" si="374"/>
        <v>0</v>
      </c>
      <c r="AK27" s="3123">
        <f t="shared" si="375"/>
        <v>7.94</v>
      </c>
      <c r="AL27" s="3115">
        <f t="shared" si="376"/>
        <v>-2.7428106158698142</v>
      </c>
      <c r="AM27" s="3115">
        <f t="shared" si="377"/>
        <v>0</v>
      </c>
      <c r="AN27" s="3115">
        <f t="shared" si="378"/>
        <v>-2.7428106158698142</v>
      </c>
      <c r="AO27" s="3208">
        <f t="shared" si="379"/>
        <v>2.5676035386232714</v>
      </c>
      <c r="AP27" s="3112"/>
      <c r="AQ27" s="3112">
        <f>SUM(AQ16*AQ36)</f>
        <v>2.5676035386232714</v>
      </c>
      <c r="AR27" s="3208">
        <f t="shared" si="380"/>
        <v>1.65</v>
      </c>
      <c r="AS27" s="3465"/>
      <c r="AT27" s="3465">
        <v>1.65</v>
      </c>
      <c r="AU27" s="3113">
        <f t="shared" si="469"/>
        <v>5.67</v>
      </c>
      <c r="AV27" s="3113"/>
      <c r="AW27" s="3113">
        <v>5.67</v>
      </c>
      <c r="AX27" s="3060">
        <f t="shared" si="381"/>
        <v>2.5676035386232714</v>
      </c>
      <c r="AY27" s="3122"/>
      <c r="AZ27" s="3122">
        <f>SUM(AZ16*AZ36)</f>
        <v>2.5676035386232714</v>
      </c>
      <c r="BA27" s="3060">
        <f t="shared" si="382"/>
        <v>1.69</v>
      </c>
      <c r="BB27" s="3182"/>
      <c r="BC27" s="3182">
        <v>1.69</v>
      </c>
      <c r="BD27" s="3061">
        <f t="shared" si="470"/>
        <v>1.81</v>
      </c>
      <c r="BE27" s="3061"/>
      <c r="BF27" s="3061">
        <v>1.81</v>
      </c>
      <c r="BG27" s="3060">
        <f t="shared" si="383"/>
        <v>2.5676035386232714</v>
      </c>
      <c r="BH27" s="3122"/>
      <c r="BI27" s="3122">
        <f>SUM(BI16*BI36)</f>
        <v>2.5676035386232714</v>
      </c>
      <c r="BJ27" s="3060">
        <f t="shared" si="384"/>
        <v>1.41</v>
      </c>
      <c r="BK27" s="3182"/>
      <c r="BL27" s="3182">
        <v>1.41</v>
      </c>
      <c r="BM27" s="3061">
        <f t="shared" si="471"/>
        <v>1.53</v>
      </c>
      <c r="BN27" s="3061"/>
      <c r="BO27" s="3061">
        <v>1.53</v>
      </c>
      <c r="BP27" s="3123">
        <f t="shared" si="385"/>
        <v>7.7028106158698142</v>
      </c>
      <c r="BQ27" s="3123">
        <f t="shared" si="386"/>
        <v>0</v>
      </c>
      <c r="BR27" s="3123">
        <f t="shared" si="387"/>
        <v>7.7028106158698142</v>
      </c>
      <c r="BS27" s="3123">
        <f t="shared" si="388"/>
        <v>4.75</v>
      </c>
      <c r="BT27" s="3123">
        <f t="shared" si="389"/>
        <v>0</v>
      </c>
      <c r="BU27" s="3123">
        <f t="shared" si="390"/>
        <v>4.75</v>
      </c>
      <c r="BV27" s="3123">
        <f t="shared" si="391"/>
        <v>9.01</v>
      </c>
      <c r="BW27" s="3123">
        <f t="shared" si="392"/>
        <v>0</v>
      </c>
      <c r="BX27" s="3123">
        <f t="shared" si="393"/>
        <v>9.01</v>
      </c>
      <c r="BY27" s="3115">
        <f t="shared" si="394"/>
        <v>-2.9528106158698142</v>
      </c>
      <c r="BZ27" s="3115">
        <f t="shared" si="395"/>
        <v>0</v>
      </c>
      <c r="CA27" s="3115">
        <f t="shared" si="396"/>
        <v>-2.9528106158698142</v>
      </c>
      <c r="CB27" s="3123">
        <f t="shared" si="397"/>
        <v>15.405621231739628</v>
      </c>
      <c r="CC27" s="3123">
        <f t="shared" si="398"/>
        <v>0</v>
      </c>
      <c r="CD27" s="3123">
        <f t="shared" si="399"/>
        <v>15.405621231739628</v>
      </c>
      <c r="CE27" s="3123">
        <f t="shared" si="400"/>
        <v>9.7100000000000009</v>
      </c>
      <c r="CF27" s="3123">
        <f t="shared" si="401"/>
        <v>0</v>
      </c>
      <c r="CG27" s="3123">
        <f t="shared" si="402"/>
        <v>9.7100000000000009</v>
      </c>
      <c r="CH27" s="3123">
        <f t="shared" si="403"/>
        <v>16.95</v>
      </c>
      <c r="CI27" s="3123">
        <f t="shared" si="404"/>
        <v>0</v>
      </c>
      <c r="CJ27" s="3123">
        <f t="shared" si="405"/>
        <v>16.95</v>
      </c>
      <c r="CK27" s="3115">
        <f t="shared" si="406"/>
        <v>-5.6956212317396275</v>
      </c>
      <c r="CL27" s="3115">
        <f t="shared" si="407"/>
        <v>0</v>
      </c>
      <c r="CM27" s="3115">
        <f t="shared" si="408"/>
        <v>-5.6956212317396275</v>
      </c>
      <c r="CN27" s="3060">
        <f t="shared" si="409"/>
        <v>2.5676035386232714</v>
      </c>
      <c r="CO27" s="3122"/>
      <c r="CP27" s="3122">
        <f>SUM(CP16*CP36)</f>
        <v>2.5676035386232714</v>
      </c>
      <c r="CQ27" s="3060">
        <f t="shared" si="410"/>
        <v>1.58</v>
      </c>
      <c r="CR27" s="3182">
        <v>0</v>
      </c>
      <c r="CS27" s="3182">
        <v>1.58</v>
      </c>
      <c r="CT27" s="3061">
        <f t="shared" si="472"/>
        <v>2.82</v>
      </c>
      <c r="CU27" s="3061"/>
      <c r="CV27" s="3061">
        <v>2.82</v>
      </c>
      <c r="CW27" s="3060">
        <f t="shared" si="411"/>
        <v>2.5676035386232714</v>
      </c>
      <c r="CX27" s="3122"/>
      <c r="CY27" s="3122">
        <f>SUM(CY16*CY36)</f>
        <v>2.5676035386232714</v>
      </c>
      <c r="CZ27" s="3060">
        <f t="shared" si="412"/>
        <v>1.57</v>
      </c>
      <c r="DA27" s="3182"/>
      <c r="DB27" s="3182">
        <v>1.57</v>
      </c>
      <c r="DC27" s="3061">
        <f t="shared" si="473"/>
        <v>2.82</v>
      </c>
      <c r="DD27" s="3061"/>
      <c r="DE27" s="3061">
        <v>2.82</v>
      </c>
      <c r="DF27" s="3060">
        <f t="shared" si="413"/>
        <v>2.5676035386232714</v>
      </c>
      <c r="DG27" s="3122"/>
      <c r="DH27" s="3122">
        <f>SUM(DH16*DH36)</f>
        <v>2.5676035386232714</v>
      </c>
      <c r="DI27" s="3060">
        <f t="shared" si="414"/>
        <v>1.5660000000000001</v>
      </c>
      <c r="DJ27" s="3182"/>
      <c r="DK27" s="3182">
        <v>1.5660000000000001</v>
      </c>
      <c r="DL27" s="3061">
        <f t="shared" si="474"/>
        <v>3.22</v>
      </c>
      <c r="DM27" s="3061"/>
      <c r="DN27" s="3061">
        <v>3.22</v>
      </c>
      <c r="DO27" s="3123">
        <f t="shared" si="415"/>
        <v>7.7028106158698142</v>
      </c>
      <c r="DP27" s="3123">
        <f t="shared" si="416"/>
        <v>0</v>
      </c>
      <c r="DQ27" s="3123">
        <f t="shared" si="417"/>
        <v>7.7028106158698142</v>
      </c>
      <c r="DR27" s="3123">
        <f t="shared" si="418"/>
        <v>4.7160000000000002</v>
      </c>
      <c r="DS27" s="3123">
        <f t="shared" si="419"/>
        <v>0</v>
      </c>
      <c r="DT27" s="3123">
        <f t="shared" si="420"/>
        <v>4.7160000000000002</v>
      </c>
      <c r="DU27" s="3123">
        <f t="shared" si="421"/>
        <v>8.86</v>
      </c>
      <c r="DV27" s="3123">
        <f t="shared" si="422"/>
        <v>0</v>
      </c>
      <c r="DW27" s="3123">
        <f t="shared" si="423"/>
        <v>8.86</v>
      </c>
      <c r="DX27" s="3115">
        <f t="shared" si="424"/>
        <v>-2.986810615869814</v>
      </c>
      <c r="DY27" s="3115">
        <f t="shared" si="425"/>
        <v>0</v>
      </c>
      <c r="DZ27" s="3115">
        <f t="shared" si="426"/>
        <v>-2.986810615869814</v>
      </c>
      <c r="EA27" s="3123">
        <f t="shared" si="427"/>
        <v>23.108431847609442</v>
      </c>
      <c r="EB27" s="3123">
        <f t="shared" si="428"/>
        <v>0</v>
      </c>
      <c r="EC27" s="3123">
        <f t="shared" si="429"/>
        <v>23.108431847609442</v>
      </c>
      <c r="ED27" s="3123">
        <f t="shared" si="430"/>
        <v>14.426000000000002</v>
      </c>
      <c r="EE27" s="3123">
        <f t="shared" si="431"/>
        <v>0</v>
      </c>
      <c r="EF27" s="3123">
        <f t="shared" si="432"/>
        <v>14.426000000000002</v>
      </c>
      <c r="EG27" s="3123">
        <f t="shared" si="433"/>
        <v>25.81</v>
      </c>
      <c r="EH27" s="3123">
        <f t="shared" si="434"/>
        <v>0</v>
      </c>
      <c r="EI27" s="3123">
        <f t="shared" si="435"/>
        <v>25.81</v>
      </c>
      <c r="EJ27" s="3115">
        <f t="shared" si="436"/>
        <v>-8.6824318476094398</v>
      </c>
      <c r="EK27" s="3115">
        <f t="shared" si="436"/>
        <v>0</v>
      </c>
      <c r="EL27" s="3115">
        <f t="shared" si="436"/>
        <v>-8.6824318476094398</v>
      </c>
      <c r="EM27" s="3060">
        <f t="shared" si="437"/>
        <v>2.5676035386232714</v>
      </c>
      <c r="EN27" s="3122"/>
      <c r="EO27" s="3122">
        <f>SUM(EO16*EO36)</f>
        <v>2.5676035386232714</v>
      </c>
      <c r="EP27" s="3060">
        <f t="shared" si="438"/>
        <v>0</v>
      </c>
      <c r="EQ27" s="3182"/>
      <c r="ER27" s="3182"/>
      <c r="ES27" s="3061">
        <f t="shared" si="475"/>
        <v>3.18</v>
      </c>
      <c r="ET27" s="3061"/>
      <c r="EU27" s="3061">
        <v>3.18</v>
      </c>
      <c r="EV27" s="3060">
        <f t="shared" si="439"/>
        <v>2.5676035386232714</v>
      </c>
      <c r="EW27" s="3122"/>
      <c r="EX27" s="3122">
        <f>SUM(EX16*EX36)</f>
        <v>2.5676035386232714</v>
      </c>
      <c r="EY27" s="3060">
        <f t="shared" si="440"/>
        <v>0</v>
      </c>
      <c r="EZ27" s="3182"/>
      <c r="FA27" s="3182"/>
      <c r="FB27" s="3061">
        <f t="shared" si="476"/>
        <v>3.26</v>
      </c>
      <c r="FC27" s="3061"/>
      <c r="FD27" s="3061">
        <v>3.26</v>
      </c>
      <c r="FE27" s="3060">
        <f t="shared" si="441"/>
        <v>2.5676035386232714</v>
      </c>
      <c r="FF27" s="3122"/>
      <c r="FG27" s="3122">
        <f>SUM(FG16*FG36)</f>
        <v>2.5676035386232714</v>
      </c>
      <c r="FH27" s="3060">
        <f t="shared" si="442"/>
        <v>0</v>
      </c>
      <c r="FI27" s="3182"/>
      <c r="FJ27" s="3182"/>
      <c r="FK27" s="3061">
        <f t="shared" si="477"/>
        <v>0</v>
      </c>
      <c r="FL27" s="3061"/>
      <c r="FM27" s="3061">
        <v>0</v>
      </c>
      <c r="FN27" s="3123">
        <f t="shared" si="443"/>
        <v>7.7028106158698142</v>
      </c>
      <c r="FO27" s="3123">
        <f t="shared" si="479"/>
        <v>0</v>
      </c>
      <c r="FP27" s="3123">
        <f t="shared" si="480"/>
        <v>7.7028106158698142</v>
      </c>
      <c r="FQ27" s="3123">
        <f t="shared" si="446"/>
        <v>0</v>
      </c>
      <c r="FR27" s="3123">
        <f t="shared" si="481"/>
        <v>0</v>
      </c>
      <c r="FS27" s="3123">
        <f t="shared" si="482"/>
        <v>0</v>
      </c>
      <c r="FT27" s="3123">
        <f t="shared" si="449"/>
        <v>6.4399999999999995</v>
      </c>
      <c r="FU27" s="3123">
        <f t="shared" si="483"/>
        <v>0</v>
      </c>
      <c r="FV27" s="3123">
        <f t="shared" si="484"/>
        <v>6.4399999999999995</v>
      </c>
      <c r="FW27" s="3115">
        <f t="shared" si="452"/>
        <v>-7.7028106158698142</v>
      </c>
      <c r="FX27" s="3115">
        <f t="shared" si="453"/>
        <v>0</v>
      </c>
      <c r="FY27" s="3115">
        <f t="shared" si="454"/>
        <v>-7.7028106158698142</v>
      </c>
      <c r="FZ27" s="3230">
        <f t="shared" si="455"/>
        <v>30.811242463479257</v>
      </c>
      <c r="GA27" s="3230">
        <f t="shared" si="478"/>
        <v>0</v>
      </c>
      <c r="GB27" s="3230">
        <f t="shared" si="456"/>
        <v>30.811242463479257</v>
      </c>
      <c r="GC27" s="3230">
        <f t="shared" si="457"/>
        <v>14.426000000000002</v>
      </c>
      <c r="GD27" s="3230">
        <f t="shared" si="458"/>
        <v>0</v>
      </c>
      <c r="GE27" s="3230">
        <f t="shared" si="459"/>
        <v>14.426000000000002</v>
      </c>
      <c r="GF27" s="3230">
        <f t="shared" si="460"/>
        <v>32.25</v>
      </c>
      <c r="GG27" s="3230">
        <f t="shared" si="461"/>
        <v>0</v>
      </c>
      <c r="GH27" s="3230">
        <f t="shared" si="462"/>
        <v>32.25</v>
      </c>
      <c r="GI27" s="3231">
        <f t="shared" si="463"/>
        <v>-16.385242463479255</v>
      </c>
      <c r="GJ27" s="3231">
        <f t="shared" si="464"/>
        <v>0</v>
      </c>
      <c r="GK27" s="3231">
        <f t="shared" si="465"/>
        <v>-16.385242463479255</v>
      </c>
      <c r="GL27" s="627"/>
    </row>
    <row r="28" spans="1:194" ht="18.75" x14ac:dyDescent="0.3">
      <c r="A28" s="3072" t="s">
        <v>3644</v>
      </c>
      <c r="B28" s="3060">
        <f t="shared" si="363"/>
        <v>935.937946737983</v>
      </c>
      <c r="C28" s="3122">
        <f>SUM(C29:C30)</f>
        <v>935.937946737983</v>
      </c>
      <c r="D28" s="3122"/>
      <c r="E28" s="3060">
        <f t="shared" si="364"/>
        <v>923.35</v>
      </c>
      <c r="F28" s="3122">
        <f>SUM(F29:F30)</f>
        <v>923.35</v>
      </c>
      <c r="G28" s="3122"/>
      <c r="H28" s="3122">
        <f>SUM(H29:H30)</f>
        <v>1014.32</v>
      </c>
      <c r="I28" s="3122">
        <f>SUM(I29:I30)</f>
        <v>1014.32</v>
      </c>
      <c r="J28" s="3122"/>
      <c r="K28" s="3060">
        <f t="shared" si="365"/>
        <v>935.937946737983</v>
      </c>
      <c r="L28" s="3122">
        <f>SUM(L29:L30)</f>
        <v>935.937946737983</v>
      </c>
      <c r="M28" s="3122"/>
      <c r="N28" s="3060">
        <f t="shared" si="366"/>
        <v>933.48</v>
      </c>
      <c r="O28" s="3122">
        <f>SUM(O29:O30)</f>
        <v>933.48</v>
      </c>
      <c r="P28" s="3122"/>
      <c r="Q28" s="3122">
        <f>SUM(Q29:Q30)</f>
        <v>1016.01</v>
      </c>
      <c r="R28" s="3122">
        <f>SUM(R29:R30)</f>
        <v>1016.01</v>
      </c>
      <c r="S28" s="3122"/>
      <c r="T28" s="3060">
        <f t="shared" si="367"/>
        <v>935.937946737983</v>
      </c>
      <c r="U28" s="3122">
        <f>SUM(U29:U30)</f>
        <v>935.937946737983</v>
      </c>
      <c r="V28" s="3122"/>
      <c r="W28" s="3060">
        <f t="shared" si="368"/>
        <v>798.25</v>
      </c>
      <c r="X28" s="3122">
        <f>SUM(X29:X30)</f>
        <v>798.25</v>
      </c>
      <c r="Y28" s="3122"/>
      <c r="Z28" s="3122">
        <f>SUM(Z29:Z30)</f>
        <v>893.54</v>
      </c>
      <c r="AA28" s="3122">
        <f>SUM(AA29:AA30)</f>
        <v>893.54</v>
      </c>
      <c r="AB28" s="3122"/>
      <c r="AC28" s="3123">
        <f t="shared" si="369"/>
        <v>2807.8138402139489</v>
      </c>
      <c r="AD28" s="3123">
        <f t="shared" si="369"/>
        <v>2807.8138402139489</v>
      </c>
      <c r="AE28" s="3123">
        <f t="shared" si="369"/>
        <v>0</v>
      </c>
      <c r="AF28" s="3123">
        <f t="shared" si="370"/>
        <v>2655.08</v>
      </c>
      <c r="AG28" s="3123">
        <f t="shared" si="371"/>
        <v>2655.08</v>
      </c>
      <c r="AH28" s="3123">
        <f t="shared" si="372"/>
        <v>0</v>
      </c>
      <c r="AI28" s="3123">
        <f t="shared" si="373"/>
        <v>2923.87</v>
      </c>
      <c r="AJ28" s="3123">
        <f t="shared" si="374"/>
        <v>2923.87</v>
      </c>
      <c r="AK28" s="3123">
        <f t="shared" si="375"/>
        <v>0</v>
      </c>
      <c r="AL28" s="3115">
        <f t="shared" si="376"/>
        <v>-152.73384021394895</v>
      </c>
      <c r="AM28" s="3115">
        <f t="shared" si="377"/>
        <v>-152.73384021394895</v>
      </c>
      <c r="AN28" s="3115">
        <f t="shared" si="378"/>
        <v>0</v>
      </c>
      <c r="AO28" s="3208">
        <f t="shared" si="379"/>
        <v>935.937946737983</v>
      </c>
      <c r="AP28" s="3112">
        <f>SUM(AP29:AP30)</f>
        <v>935.937946737983</v>
      </c>
      <c r="AQ28" s="3112"/>
      <c r="AR28" s="3208">
        <f t="shared" si="380"/>
        <v>947.34</v>
      </c>
      <c r="AS28" s="3112">
        <f>SUM(AS29:AS30)</f>
        <v>947.34</v>
      </c>
      <c r="AT28" s="3112"/>
      <c r="AU28" s="3112">
        <f>SUM(AU29:AU30)</f>
        <v>928.49</v>
      </c>
      <c r="AV28" s="3112">
        <f>SUM(AV29:AV30)</f>
        <v>928.49</v>
      </c>
      <c r="AW28" s="3112"/>
      <c r="AX28" s="3060">
        <f t="shared" si="381"/>
        <v>935.937946737983</v>
      </c>
      <c r="AY28" s="3122">
        <f>SUM(AY29:AY30)</f>
        <v>935.937946737983</v>
      </c>
      <c r="AZ28" s="3122"/>
      <c r="BA28" s="3060">
        <f t="shared" si="382"/>
        <v>812.84</v>
      </c>
      <c r="BB28" s="3122">
        <f>SUM(BB29:BB30)</f>
        <v>812.84</v>
      </c>
      <c r="BC28" s="3122"/>
      <c r="BD28" s="3122">
        <f>SUM(BD29:BD30)</f>
        <v>933.21</v>
      </c>
      <c r="BE28" s="3122">
        <f>SUM(BE29:BE30)</f>
        <v>933.21</v>
      </c>
      <c r="BF28" s="3122"/>
      <c r="BG28" s="3060">
        <f t="shared" si="383"/>
        <v>935.937946737983</v>
      </c>
      <c r="BH28" s="3122">
        <f>SUM(BH29:BH30)</f>
        <v>935.937946737983</v>
      </c>
      <c r="BI28" s="3122"/>
      <c r="BJ28" s="3060">
        <f t="shared" si="384"/>
        <v>655.41</v>
      </c>
      <c r="BK28" s="3122">
        <f>SUM(BK29:BK30)</f>
        <v>655.41</v>
      </c>
      <c r="BL28" s="3122"/>
      <c r="BM28" s="3122">
        <f>SUM(BM29:BM30)</f>
        <v>965.03</v>
      </c>
      <c r="BN28" s="3122">
        <f>SUM(BN29:BN30)</f>
        <v>965.03</v>
      </c>
      <c r="BO28" s="3122"/>
      <c r="BP28" s="3123">
        <f t="shared" si="385"/>
        <v>2807.8138402139489</v>
      </c>
      <c r="BQ28" s="3123">
        <f t="shared" si="386"/>
        <v>2807.8138402139489</v>
      </c>
      <c r="BR28" s="3123">
        <f t="shared" si="387"/>
        <v>0</v>
      </c>
      <c r="BS28" s="3123">
        <f t="shared" si="388"/>
        <v>2415.59</v>
      </c>
      <c r="BT28" s="3123">
        <f t="shared" si="389"/>
        <v>2415.59</v>
      </c>
      <c r="BU28" s="3123">
        <f t="shared" si="390"/>
        <v>0</v>
      </c>
      <c r="BV28" s="3123">
        <f t="shared" si="391"/>
        <v>2826.73</v>
      </c>
      <c r="BW28" s="3123">
        <f t="shared" si="392"/>
        <v>2826.73</v>
      </c>
      <c r="BX28" s="3123">
        <f t="shared" si="393"/>
        <v>0</v>
      </c>
      <c r="BY28" s="3115">
        <f t="shared" si="394"/>
        <v>-392.22384021394873</v>
      </c>
      <c r="BZ28" s="3115">
        <f t="shared" si="395"/>
        <v>-392.22384021394873</v>
      </c>
      <c r="CA28" s="3115">
        <f t="shared" si="396"/>
        <v>0</v>
      </c>
      <c r="CB28" s="3123">
        <f t="shared" si="397"/>
        <v>5615.6276804278978</v>
      </c>
      <c r="CC28" s="3123">
        <f t="shared" si="398"/>
        <v>5615.6276804278978</v>
      </c>
      <c r="CD28" s="3123">
        <f t="shared" si="399"/>
        <v>0</v>
      </c>
      <c r="CE28" s="3123">
        <f t="shared" si="400"/>
        <v>5070.67</v>
      </c>
      <c r="CF28" s="3123">
        <f t="shared" si="401"/>
        <v>5070.67</v>
      </c>
      <c r="CG28" s="3123">
        <f t="shared" si="402"/>
        <v>0</v>
      </c>
      <c r="CH28" s="3123">
        <f t="shared" si="403"/>
        <v>5750.6</v>
      </c>
      <c r="CI28" s="3123">
        <f t="shared" si="404"/>
        <v>5750.6</v>
      </c>
      <c r="CJ28" s="3123">
        <f t="shared" si="405"/>
        <v>0</v>
      </c>
      <c r="CK28" s="3115">
        <f t="shared" si="406"/>
        <v>-544.95768042789769</v>
      </c>
      <c r="CL28" s="3115">
        <f t="shared" si="407"/>
        <v>-544.95768042789769</v>
      </c>
      <c r="CM28" s="3115">
        <f t="shared" si="408"/>
        <v>0</v>
      </c>
      <c r="CN28" s="3060">
        <f t="shared" si="409"/>
        <v>967.96120372519636</v>
      </c>
      <c r="CO28" s="3122">
        <f>SUM(CO29:CO30)</f>
        <v>967.96120372519636</v>
      </c>
      <c r="CP28" s="3122"/>
      <c r="CQ28" s="3060">
        <f t="shared" si="410"/>
        <v>606.55999999999995</v>
      </c>
      <c r="CR28" s="3122">
        <f>SUM(CR29:CR30)</f>
        <v>606.55999999999995</v>
      </c>
      <c r="CS28" s="3122"/>
      <c r="CT28" s="3122">
        <f>SUM(CT29:CT30)</f>
        <v>831.85</v>
      </c>
      <c r="CU28" s="3122">
        <f>SUM(CU29:CU30)</f>
        <v>831.85</v>
      </c>
      <c r="CV28" s="3122"/>
      <c r="CW28" s="3060">
        <f t="shared" si="411"/>
        <v>967.96120372519636</v>
      </c>
      <c r="CX28" s="3122">
        <f>SUM(CX29:CX30)</f>
        <v>967.96120372519636</v>
      </c>
      <c r="CY28" s="3122"/>
      <c r="CZ28" s="3060">
        <f t="shared" si="412"/>
        <v>741.05</v>
      </c>
      <c r="DA28" s="3122">
        <f>SUM(DA29:DA30)</f>
        <v>741.05</v>
      </c>
      <c r="DB28" s="3122"/>
      <c r="DC28" s="3122">
        <f>SUM(DC29:DC30)</f>
        <v>714.2</v>
      </c>
      <c r="DD28" s="3122">
        <f>SUM(DD29:DD30)</f>
        <v>714.2</v>
      </c>
      <c r="DE28" s="3122"/>
      <c r="DF28" s="3060">
        <f t="shared" si="413"/>
        <v>967.96120372519636</v>
      </c>
      <c r="DG28" s="3122">
        <f>SUM(DG29:DG30)</f>
        <v>967.96120372519636</v>
      </c>
      <c r="DH28" s="3122"/>
      <c r="DI28" s="3060">
        <f t="shared" si="414"/>
        <v>968.52800000000002</v>
      </c>
      <c r="DJ28" s="3122">
        <f>SUM(DJ29:DJ30)</f>
        <v>968.52800000000002</v>
      </c>
      <c r="DK28" s="3122"/>
      <c r="DL28" s="3122">
        <f>SUM(DL29:DL30)</f>
        <v>1003.64</v>
      </c>
      <c r="DM28" s="3122">
        <f>SUM(DM29:DM30)</f>
        <v>1003.64</v>
      </c>
      <c r="DN28" s="3122"/>
      <c r="DO28" s="3123">
        <f t="shared" si="415"/>
        <v>2903.8836111755891</v>
      </c>
      <c r="DP28" s="3123">
        <f t="shared" si="416"/>
        <v>2903.8836111755891</v>
      </c>
      <c r="DQ28" s="3123">
        <f t="shared" si="417"/>
        <v>0</v>
      </c>
      <c r="DR28" s="3123">
        <f t="shared" si="418"/>
        <v>2316.1379999999999</v>
      </c>
      <c r="DS28" s="3123">
        <f t="shared" si="419"/>
        <v>2316.1379999999999</v>
      </c>
      <c r="DT28" s="3123">
        <f t="shared" si="420"/>
        <v>0</v>
      </c>
      <c r="DU28" s="3123">
        <f t="shared" si="421"/>
        <v>2549.69</v>
      </c>
      <c r="DV28" s="3123">
        <f t="shared" si="422"/>
        <v>2549.69</v>
      </c>
      <c r="DW28" s="3123">
        <f t="shared" si="423"/>
        <v>0</v>
      </c>
      <c r="DX28" s="3115">
        <f t="shared" si="424"/>
        <v>-587.74561117558915</v>
      </c>
      <c r="DY28" s="3115">
        <f t="shared" si="425"/>
        <v>-587.74561117558915</v>
      </c>
      <c r="DZ28" s="3115">
        <f t="shared" si="426"/>
        <v>0</v>
      </c>
      <c r="EA28" s="3123">
        <f t="shared" si="427"/>
        <v>8519.5112916034868</v>
      </c>
      <c r="EB28" s="3123">
        <f t="shared" si="428"/>
        <v>8519.5112916034868</v>
      </c>
      <c r="EC28" s="3123">
        <f t="shared" si="429"/>
        <v>0</v>
      </c>
      <c r="ED28" s="3123">
        <f t="shared" si="430"/>
        <v>7386.808</v>
      </c>
      <c r="EE28" s="3123">
        <f t="shared" si="431"/>
        <v>7386.808</v>
      </c>
      <c r="EF28" s="3123">
        <f t="shared" si="432"/>
        <v>0</v>
      </c>
      <c r="EG28" s="3123">
        <f t="shared" si="433"/>
        <v>8300.2900000000009</v>
      </c>
      <c r="EH28" s="3123">
        <f t="shared" si="434"/>
        <v>8300.2900000000009</v>
      </c>
      <c r="EI28" s="3123">
        <f t="shared" si="435"/>
        <v>0</v>
      </c>
      <c r="EJ28" s="3115">
        <f t="shared" si="436"/>
        <v>-1132.7032916034868</v>
      </c>
      <c r="EK28" s="3115">
        <f t="shared" si="436"/>
        <v>-1132.7032916034868</v>
      </c>
      <c r="EL28" s="3115">
        <f t="shared" si="436"/>
        <v>0</v>
      </c>
      <c r="EM28" s="3060">
        <f t="shared" si="437"/>
        <v>967.96120372519636</v>
      </c>
      <c r="EN28" s="3122">
        <f>SUM(EN29:EN30)</f>
        <v>967.96120372519636</v>
      </c>
      <c r="EO28" s="3122"/>
      <c r="EP28" s="3060">
        <f t="shared" si="438"/>
        <v>0</v>
      </c>
      <c r="EQ28" s="3122">
        <f>SUM(EQ29:EQ30)</f>
        <v>0</v>
      </c>
      <c r="ER28" s="3122"/>
      <c r="ES28" s="3122">
        <f>SUM(ES29:ES30)</f>
        <v>1003.35</v>
      </c>
      <c r="ET28" s="3122">
        <f>SUM(ET29:ET30)</f>
        <v>1003.35</v>
      </c>
      <c r="EU28" s="3122"/>
      <c r="EV28" s="3060">
        <f t="shared" si="439"/>
        <v>967.96120372519636</v>
      </c>
      <c r="EW28" s="3122">
        <f>SUM(EW29:EW30)</f>
        <v>967.96120372519636</v>
      </c>
      <c r="EX28" s="3122"/>
      <c r="EY28" s="3060">
        <f t="shared" si="440"/>
        <v>0</v>
      </c>
      <c r="EZ28" s="3122">
        <f>SUM(EZ29:EZ30)</f>
        <v>0</v>
      </c>
      <c r="FA28" s="3122"/>
      <c r="FB28" s="3122">
        <f>SUM(FB29:FB30)</f>
        <v>982.35</v>
      </c>
      <c r="FC28" s="3122">
        <f>SUM(FC29:FC30)</f>
        <v>982.35</v>
      </c>
      <c r="FD28" s="3122"/>
      <c r="FE28" s="3060">
        <f t="shared" si="441"/>
        <v>967.96120372519636</v>
      </c>
      <c r="FF28" s="3122">
        <f>SUM(FF29:FF30)</f>
        <v>967.96120372519636</v>
      </c>
      <c r="FG28" s="3122"/>
      <c r="FH28" s="3060">
        <f t="shared" si="442"/>
        <v>0</v>
      </c>
      <c r="FI28" s="3122">
        <f>SUM(FI29:FI30)</f>
        <v>0</v>
      </c>
      <c r="FJ28" s="3122"/>
      <c r="FK28" s="3122">
        <f>SUM(FK29:FK30)</f>
        <v>1017.02</v>
      </c>
      <c r="FL28" s="3122">
        <f>SUM(FL29:FL30)</f>
        <v>1017.02</v>
      </c>
      <c r="FM28" s="3122"/>
      <c r="FN28" s="3123">
        <f t="shared" si="443"/>
        <v>2903.8836111755891</v>
      </c>
      <c r="FO28" s="3123">
        <f t="shared" si="479"/>
        <v>2903.8836111755891</v>
      </c>
      <c r="FP28" s="3123">
        <f t="shared" si="480"/>
        <v>0</v>
      </c>
      <c r="FQ28" s="3123">
        <f t="shared" si="446"/>
        <v>0</v>
      </c>
      <c r="FR28" s="3123">
        <f t="shared" si="481"/>
        <v>0</v>
      </c>
      <c r="FS28" s="3123">
        <f t="shared" si="482"/>
        <v>0</v>
      </c>
      <c r="FT28" s="3123">
        <f t="shared" si="449"/>
        <v>3002.7200000000003</v>
      </c>
      <c r="FU28" s="3123">
        <f t="shared" si="483"/>
        <v>3002.7200000000003</v>
      </c>
      <c r="FV28" s="3123">
        <f t="shared" si="484"/>
        <v>0</v>
      </c>
      <c r="FW28" s="3115">
        <f t="shared" si="452"/>
        <v>-2903.8836111755891</v>
      </c>
      <c r="FX28" s="3115">
        <f t="shared" si="453"/>
        <v>-2903.8836111755891</v>
      </c>
      <c r="FY28" s="3115">
        <f t="shared" si="454"/>
        <v>0</v>
      </c>
      <c r="FZ28" s="3230">
        <f t="shared" si="455"/>
        <v>11423.394902779077</v>
      </c>
      <c r="GA28" s="3230">
        <f t="shared" si="478"/>
        <v>11423.394902779077</v>
      </c>
      <c r="GB28" s="3230">
        <f t="shared" si="456"/>
        <v>0</v>
      </c>
      <c r="GC28" s="3230">
        <f t="shared" si="457"/>
        <v>7386.808</v>
      </c>
      <c r="GD28" s="3230">
        <f t="shared" si="458"/>
        <v>7386.808</v>
      </c>
      <c r="GE28" s="3230">
        <f t="shared" si="459"/>
        <v>0</v>
      </c>
      <c r="GF28" s="3230">
        <f t="shared" si="460"/>
        <v>11303.010000000002</v>
      </c>
      <c r="GG28" s="3230">
        <f t="shared" si="461"/>
        <v>11303.010000000002</v>
      </c>
      <c r="GH28" s="3230">
        <f t="shared" si="462"/>
        <v>0</v>
      </c>
      <c r="GI28" s="3231">
        <f t="shared" si="463"/>
        <v>-4036.5869027790768</v>
      </c>
      <c r="GJ28" s="3231">
        <f t="shared" si="464"/>
        <v>-4036.5869027790768</v>
      </c>
      <c r="GK28" s="3231">
        <f t="shared" si="465"/>
        <v>0</v>
      </c>
      <c r="GL28" s="627"/>
    </row>
    <row r="29" spans="1:194" ht="18.75" x14ac:dyDescent="0.3">
      <c r="A29" s="3124" t="s">
        <v>650</v>
      </c>
      <c r="B29" s="3067">
        <f t="shared" si="363"/>
        <v>817.91524268924218</v>
      </c>
      <c r="C29" s="3125">
        <f>SUM(C18*C35)</f>
        <v>817.91524268924218</v>
      </c>
      <c r="D29" s="3125"/>
      <c r="E29" s="3067">
        <f t="shared" si="364"/>
        <v>923.35</v>
      </c>
      <c r="F29" s="3174">
        <v>923.35</v>
      </c>
      <c r="G29" s="3174"/>
      <c r="H29" s="3066">
        <f t="shared" si="466"/>
        <v>1014.32</v>
      </c>
      <c r="I29" s="3066">
        <v>1014.32</v>
      </c>
      <c r="J29" s="3066"/>
      <c r="K29" s="3067">
        <f t="shared" si="365"/>
        <v>817.91524268924218</v>
      </c>
      <c r="L29" s="3125">
        <f>SUM(L18*L35)</f>
        <v>817.91524268924218</v>
      </c>
      <c r="M29" s="3125"/>
      <c r="N29" s="3067">
        <f t="shared" si="366"/>
        <v>933.48</v>
      </c>
      <c r="O29" s="3174">
        <v>933.48</v>
      </c>
      <c r="P29" s="3174"/>
      <c r="Q29" s="3066">
        <f t="shared" ref="Q29:Q30" si="485">SUM(R29:S29)</f>
        <v>1016.01</v>
      </c>
      <c r="R29" s="3066">
        <v>1016.01</v>
      </c>
      <c r="S29" s="3066"/>
      <c r="T29" s="3067">
        <f t="shared" si="367"/>
        <v>817.91524268924218</v>
      </c>
      <c r="U29" s="3125">
        <f>SUM(U18*U35)</f>
        <v>817.91524268924218</v>
      </c>
      <c r="V29" s="3125"/>
      <c r="W29" s="3067">
        <f t="shared" si="368"/>
        <v>798.25</v>
      </c>
      <c r="X29" s="3174">
        <v>798.25</v>
      </c>
      <c r="Y29" s="3174"/>
      <c r="Z29" s="3066">
        <f t="shared" ref="Z29:Z30" si="486">SUM(AA29:AB29)</f>
        <v>893.54</v>
      </c>
      <c r="AA29" s="3066">
        <v>893.54</v>
      </c>
      <c r="AB29" s="3066"/>
      <c r="AC29" s="3126">
        <f t="shared" si="369"/>
        <v>2453.7457280677263</v>
      </c>
      <c r="AD29" s="3126">
        <f t="shared" si="369"/>
        <v>2453.7457280677263</v>
      </c>
      <c r="AE29" s="3126">
        <f t="shared" si="369"/>
        <v>0</v>
      </c>
      <c r="AF29" s="3126">
        <f>SUM(E29+N29+W29)</f>
        <v>2655.08</v>
      </c>
      <c r="AG29" s="3126">
        <f t="shared" si="371"/>
        <v>2655.08</v>
      </c>
      <c r="AH29" s="3126">
        <f t="shared" si="372"/>
        <v>0</v>
      </c>
      <c r="AI29" s="3126">
        <f t="shared" si="373"/>
        <v>2923.87</v>
      </c>
      <c r="AJ29" s="3126">
        <f t="shared" si="374"/>
        <v>2923.87</v>
      </c>
      <c r="AK29" s="3126">
        <f t="shared" si="375"/>
        <v>0</v>
      </c>
      <c r="AL29" s="3121">
        <f t="shared" si="376"/>
        <v>201.33427193227362</v>
      </c>
      <c r="AM29" s="3121">
        <f t="shared" si="377"/>
        <v>201.33427193227362</v>
      </c>
      <c r="AN29" s="3121">
        <f t="shared" si="378"/>
        <v>0</v>
      </c>
      <c r="AO29" s="3210">
        <f t="shared" si="379"/>
        <v>817.91524268924218</v>
      </c>
      <c r="AP29" s="3118">
        <f>SUM(AP18*AP35)</f>
        <v>817.91524268924218</v>
      </c>
      <c r="AQ29" s="3118"/>
      <c r="AR29" s="3210">
        <f t="shared" si="380"/>
        <v>947.34</v>
      </c>
      <c r="AS29" s="3466">
        <v>947.34</v>
      </c>
      <c r="AT29" s="3466"/>
      <c r="AU29" s="3119">
        <f t="shared" ref="AU29:AU30" si="487">SUM(AV29:AW29)</f>
        <v>928.49</v>
      </c>
      <c r="AV29" s="3119">
        <v>928.49</v>
      </c>
      <c r="AW29" s="3119"/>
      <c r="AX29" s="3067">
        <f t="shared" si="381"/>
        <v>817.91524268924218</v>
      </c>
      <c r="AY29" s="3125">
        <f>SUM(AY18*AY35)</f>
        <v>817.91524268924218</v>
      </c>
      <c r="AZ29" s="3125"/>
      <c r="BA29" s="3067">
        <f t="shared" si="382"/>
        <v>812.84</v>
      </c>
      <c r="BB29" s="3174">
        <v>812.84</v>
      </c>
      <c r="BC29" s="3174"/>
      <c r="BD29" s="3066">
        <f t="shared" ref="BD29:BD30" si="488">SUM(BE29:BF29)</f>
        <v>933.21</v>
      </c>
      <c r="BE29" s="3066">
        <v>933.21</v>
      </c>
      <c r="BF29" s="3066"/>
      <c r="BG29" s="3067">
        <f t="shared" si="383"/>
        <v>817.91524268924218</v>
      </c>
      <c r="BH29" s="3125">
        <f>SUM(BH18*BH35)</f>
        <v>817.91524268924218</v>
      </c>
      <c r="BI29" s="3125"/>
      <c r="BJ29" s="3067">
        <f t="shared" si="384"/>
        <v>655.41</v>
      </c>
      <c r="BK29" s="3174">
        <v>655.41</v>
      </c>
      <c r="BL29" s="3174"/>
      <c r="BM29" s="3066">
        <f t="shared" ref="BM29:BM30" si="489">SUM(BN29:BO29)</f>
        <v>965.03</v>
      </c>
      <c r="BN29" s="3066">
        <v>965.03</v>
      </c>
      <c r="BO29" s="3066"/>
      <c r="BP29" s="3126">
        <f t="shared" si="385"/>
        <v>2453.7457280677263</v>
      </c>
      <c r="BQ29" s="3126">
        <f t="shared" si="386"/>
        <v>2453.7457280677263</v>
      </c>
      <c r="BR29" s="3126">
        <f t="shared" si="387"/>
        <v>0</v>
      </c>
      <c r="BS29" s="3126">
        <f t="shared" si="388"/>
        <v>2415.59</v>
      </c>
      <c r="BT29" s="3126">
        <f t="shared" si="389"/>
        <v>2415.59</v>
      </c>
      <c r="BU29" s="3126">
        <f t="shared" si="390"/>
        <v>0</v>
      </c>
      <c r="BV29" s="3126">
        <f t="shared" si="391"/>
        <v>2826.73</v>
      </c>
      <c r="BW29" s="3126">
        <f t="shared" si="392"/>
        <v>2826.73</v>
      </c>
      <c r="BX29" s="3126">
        <f t="shared" si="393"/>
        <v>0</v>
      </c>
      <c r="BY29" s="3121">
        <f t="shared" si="394"/>
        <v>-38.155728067726159</v>
      </c>
      <c r="BZ29" s="3121">
        <f t="shared" si="395"/>
        <v>-38.155728067726159</v>
      </c>
      <c r="CA29" s="3121">
        <f t="shared" si="396"/>
        <v>0</v>
      </c>
      <c r="CB29" s="3126">
        <f t="shared" si="397"/>
        <v>4907.4914561354526</v>
      </c>
      <c r="CC29" s="3126">
        <f t="shared" si="398"/>
        <v>4907.4914561354526</v>
      </c>
      <c r="CD29" s="3126">
        <f t="shared" si="399"/>
        <v>0</v>
      </c>
      <c r="CE29" s="3126">
        <f t="shared" si="400"/>
        <v>5070.67</v>
      </c>
      <c r="CF29" s="3126">
        <f t="shared" si="401"/>
        <v>5070.67</v>
      </c>
      <c r="CG29" s="3126">
        <f t="shared" si="402"/>
        <v>0</v>
      </c>
      <c r="CH29" s="3126">
        <f t="shared" si="403"/>
        <v>5750.6</v>
      </c>
      <c r="CI29" s="3126">
        <f t="shared" si="404"/>
        <v>5750.6</v>
      </c>
      <c r="CJ29" s="3126">
        <f t="shared" si="405"/>
        <v>0</v>
      </c>
      <c r="CK29" s="3121">
        <f t="shared" si="406"/>
        <v>163.17854386454746</v>
      </c>
      <c r="CL29" s="3121">
        <f t="shared" si="407"/>
        <v>163.17854386454746</v>
      </c>
      <c r="CM29" s="3121">
        <f t="shared" si="408"/>
        <v>0</v>
      </c>
      <c r="CN29" s="3067">
        <f t="shared" si="409"/>
        <v>845.90033518568862</v>
      </c>
      <c r="CO29" s="3125">
        <f>SUM(CO18*CO35)</f>
        <v>845.90033518568862</v>
      </c>
      <c r="CP29" s="3125"/>
      <c r="CQ29" s="3067">
        <f t="shared" si="410"/>
        <v>606.55999999999995</v>
      </c>
      <c r="CR29" s="3174">
        <v>606.55999999999995</v>
      </c>
      <c r="CS29" s="3174"/>
      <c r="CT29" s="3066">
        <f t="shared" ref="CT29:CT30" si="490">SUM(CU29:CV29)</f>
        <v>831.85</v>
      </c>
      <c r="CU29" s="3066">
        <v>831.85</v>
      </c>
      <c r="CV29" s="3066"/>
      <c r="CW29" s="3067">
        <f t="shared" si="411"/>
        <v>845.90033518568862</v>
      </c>
      <c r="CX29" s="3125">
        <f>SUM(CX18*CX35)</f>
        <v>845.90033518568862</v>
      </c>
      <c r="CY29" s="3125"/>
      <c r="CZ29" s="3067">
        <f t="shared" si="412"/>
        <v>741.05</v>
      </c>
      <c r="DA29" s="3174">
        <v>741.05</v>
      </c>
      <c r="DB29" s="3174"/>
      <c r="DC29" s="3066">
        <f t="shared" ref="DC29:DC30" si="491">SUM(DD29:DE29)</f>
        <v>714.2</v>
      </c>
      <c r="DD29" s="3066">
        <v>714.2</v>
      </c>
      <c r="DE29" s="3066"/>
      <c r="DF29" s="3067">
        <f t="shared" si="413"/>
        <v>845.90033518568862</v>
      </c>
      <c r="DG29" s="3125">
        <f>SUM(DG18*DG35)</f>
        <v>845.90033518568862</v>
      </c>
      <c r="DH29" s="3125"/>
      <c r="DI29" s="3067">
        <f t="shared" si="414"/>
        <v>968.52800000000002</v>
      </c>
      <c r="DJ29" s="3174">
        <v>968.52800000000002</v>
      </c>
      <c r="DK29" s="3174"/>
      <c r="DL29" s="3066">
        <f t="shared" ref="DL29:DL30" si="492">SUM(DM29:DN29)</f>
        <v>1003.64</v>
      </c>
      <c r="DM29" s="3066">
        <v>1003.64</v>
      </c>
      <c r="DN29" s="3066"/>
      <c r="DO29" s="3126">
        <f t="shared" si="415"/>
        <v>2537.7010055570659</v>
      </c>
      <c r="DP29" s="3126">
        <f t="shared" si="416"/>
        <v>2537.7010055570659</v>
      </c>
      <c r="DQ29" s="3126">
        <f t="shared" si="417"/>
        <v>0</v>
      </c>
      <c r="DR29" s="3126">
        <f t="shared" si="418"/>
        <v>2316.1379999999999</v>
      </c>
      <c r="DS29" s="3126">
        <f t="shared" si="419"/>
        <v>2316.1379999999999</v>
      </c>
      <c r="DT29" s="3126">
        <f t="shared" si="420"/>
        <v>0</v>
      </c>
      <c r="DU29" s="3126">
        <f t="shared" si="421"/>
        <v>2549.69</v>
      </c>
      <c r="DV29" s="3126">
        <f t="shared" si="422"/>
        <v>2549.69</v>
      </c>
      <c r="DW29" s="3126">
        <f t="shared" si="423"/>
        <v>0</v>
      </c>
      <c r="DX29" s="3121">
        <f t="shared" si="424"/>
        <v>-221.56300555706594</v>
      </c>
      <c r="DY29" s="3121">
        <f t="shared" si="425"/>
        <v>-221.56300555706594</v>
      </c>
      <c r="DZ29" s="3121">
        <f t="shared" si="426"/>
        <v>0</v>
      </c>
      <c r="EA29" s="3126">
        <f t="shared" si="427"/>
        <v>7445.1924616925189</v>
      </c>
      <c r="EB29" s="3126">
        <f t="shared" si="428"/>
        <v>7445.1924616925189</v>
      </c>
      <c r="EC29" s="3126">
        <f t="shared" si="429"/>
        <v>0</v>
      </c>
      <c r="ED29" s="3126">
        <f t="shared" si="430"/>
        <v>7386.808</v>
      </c>
      <c r="EE29" s="3126">
        <f t="shared" si="431"/>
        <v>7386.808</v>
      </c>
      <c r="EF29" s="3126">
        <f t="shared" si="432"/>
        <v>0</v>
      </c>
      <c r="EG29" s="3126">
        <f t="shared" si="433"/>
        <v>8300.2900000000009</v>
      </c>
      <c r="EH29" s="3126">
        <f t="shared" si="434"/>
        <v>8300.2900000000009</v>
      </c>
      <c r="EI29" s="3126">
        <f t="shared" si="435"/>
        <v>0</v>
      </c>
      <c r="EJ29" s="3121">
        <f t="shared" si="436"/>
        <v>-58.384461692518926</v>
      </c>
      <c r="EK29" s="3121">
        <f t="shared" si="436"/>
        <v>-58.384461692518926</v>
      </c>
      <c r="EL29" s="3121">
        <f t="shared" si="436"/>
        <v>0</v>
      </c>
      <c r="EM29" s="3067">
        <f t="shared" si="437"/>
        <v>845.90033518568862</v>
      </c>
      <c r="EN29" s="3125">
        <f>SUM(EN18*EN35)</f>
        <v>845.90033518568862</v>
      </c>
      <c r="EO29" s="3125"/>
      <c r="EP29" s="3067">
        <f t="shared" si="438"/>
        <v>0</v>
      </c>
      <c r="EQ29" s="3174"/>
      <c r="ER29" s="3174"/>
      <c r="ES29" s="3066">
        <f t="shared" ref="ES29:ES30" si="493">SUM(ET29:EU29)</f>
        <v>1003.35</v>
      </c>
      <c r="ET29" s="3066">
        <v>1003.35</v>
      </c>
      <c r="EU29" s="3066"/>
      <c r="EV29" s="3067">
        <f t="shared" si="439"/>
        <v>845.90033518568862</v>
      </c>
      <c r="EW29" s="3125">
        <f>SUM(EW18*EW35)</f>
        <v>845.90033518568862</v>
      </c>
      <c r="EX29" s="3125"/>
      <c r="EY29" s="3067">
        <f t="shared" si="440"/>
        <v>0</v>
      </c>
      <c r="EZ29" s="3174"/>
      <c r="FA29" s="3174"/>
      <c r="FB29" s="3066">
        <f t="shared" ref="FB29:FB30" si="494">SUM(FC29:FD29)</f>
        <v>982.35</v>
      </c>
      <c r="FC29" s="3066">
        <v>982.35</v>
      </c>
      <c r="FD29" s="3066"/>
      <c r="FE29" s="3067">
        <f t="shared" si="441"/>
        <v>845.90033518568862</v>
      </c>
      <c r="FF29" s="3125">
        <f>SUM(FF18*FF35)</f>
        <v>845.90033518568862</v>
      </c>
      <c r="FG29" s="3125"/>
      <c r="FH29" s="3067">
        <f t="shared" si="442"/>
        <v>0</v>
      </c>
      <c r="FI29" s="3174"/>
      <c r="FJ29" s="3174"/>
      <c r="FK29" s="3066">
        <f t="shared" ref="FK29:FK30" si="495">SUM(FL29:FM29)</f>
        <v>1017.02</v>
      </c>
      <c r="FL29" s="3066">
        <v>1017.02</v>
      </c>
      <c r="FM29" s="3066"/>
      <c r="FN29" s="3126">
        <f t="shared" si="443"/>
        <v>2537.7010055570659</v>
      </c>
      <c r="FO29" s="3126">
        <f t="shared" si="479"/>
        <v>2537.7010055570659</v>
      </c>
      <c r="FP29" s="3126">
        <f t="shared" si="480"/>
        <v>0</v>
      </c>
      <c r="FQ29" s="3126">
        <f t="shared" si="446"/>
        <v>0</v>
      </c>
      <c r="FR29" s="3126">
        <f t="shared" si="481"/>
        <v>0</v>
      </c>
      <c r="FS29" s="3126">
        <f t="shared" si="482"/>
        <v>0</v>
      </c>
      <c r="FT29" s="3126">
        <f t="shared" si="449"/>
        <v>3002.7200000000003</v>
      </c>
      <c r="FU29" s="3126">
        <f t="shared" si="483"/>
        <v>3002.7200000000003</v>
      </c>
      <c r="FV29" s="3126">
        <f t="shared" si="484"/>
        <v>0</v>
      </c>
      <c r="FW29" s="3121">
        <f t="shared" si="452"/>
        <v>-2537.7010055570659</v>
      </c>
      <c r="FX29" s="3121">
        <f t="shared" si="453"/>
        <v>-2537.7010055570659</v>
      </c>
      <c r="FY29" s="3121">
        <f t="shared" si="454"/>
        <v>0</v>
      </c>
      <c r="FZ29" s="3232">
        <f t="shared" si="455"/>
        <v>9982.8934672495852</v>
      </c>
      <c r="GA29" s="3232">
        <f t="shared" si="478"/>
        <v>9982.8934672495852</v>
      </c>
      <c r="GB29" s="3232">
        <f t="shared" si="456"/>
        <v>0</v>
      </c>
      <c r="GC29" s="3232">
        <f t="shared" si="457"/>
        <v>7386.808</v>
      </c>
      <c r="GD29" s="3232">
        <f t="shared" si="458"/>
        <v>7386.808</v>
      </c>
      <c r="GE29" s="3232">
        <f t="shared" si="459"/>
        <v>0</v>
      </c>
      <c r="GF29" s="3232">
        <f t="shared" si="460"/>
        <v>11303.010000000002</v>
      </c>
      <c r="GG29" s="3232">
        <f t="shared" si="461"/>
        <v>11303.010000000002</v>
      </c>
      <c r="GH29" s="3232">
        <f t="shared" si="462"/>
        <v>0</v>
      </c>
      <c r="GI29" s="3233">
        <f t="shared" si="463"/>
        <v>-2596.0854672495852</v>
      </c>
      <c r="GJ29" s="3233">
        <f t="shared" si="464"/>
        <v>-2596.0854672495852</v>
      </c>
      <c r="GK29" s="3233">
        <f t="shared" si="465"/>
        <v>0</v>
      </c>
      <c r="GL29" s="627"/>
    </row>
    <row r="30" spans="1:194" ht="18.75" x14ac:dyDescent="0.3">
      <c r="A30" s="3124" t="s">
        <v>651</v>
      </c>
      <c r="B30" s="3067">
        <f t="shared" si="363"/>
        <v>118.02270404874078</v>
      </c>
      <c r="C30" s="3125">
        <f>SUM(C19*C35)</f>
        <v>118.02270404874078</v>
      </c>
      <c r="D30" s="3125"/>
      <c r="E30" s="3067">
        <f t="shared" si="364"/>
        <v>0</v>
      </c>
      <c r="F30" s="3174">
        <v>0</v>
      </c>
      <c r="G30" s="3174"/>
      <c r="H30" s="3066">
        <f t="shared" si="466"/>
        <v>0</v>
      </c>
      <c r="I30" s="3066">
        <v>0</v>
      </c>
      <c r="J30" s="3066"/>
      <c r="K30" s="3067">
        <f t="shared" si="365"/>
        <v>118.02270404874078</v>
      </c>
      <c r="L30" s="3125">
        <f>SUM(L19*L35)</f>
        <v>118.02270404874078</v>
      </c>
      <c r="M30" s="3125"/>
      <c r="N30" s="3067">
        <f t="shared" si="366"/>
        <v>0</v>
      </c>
      <c r="O30" s="3174">
        <v>0</v>
      </c>
      <c r="P30" s="3174"/>
      <c r="Q30" s="3066">
        <f t="shared" si="485"/>
        <v>0</v>
      </c>
      <c r="R30" s="3066">
        <v>0</v>
      </c>
      <c r="S30" s="3066"/>
      <c r="T30" s="3067">
        <f t="shared" si="367"/>
        <v>118.02270404874078</v>
      </c>
      <c r="U30" s="3125">
        <f>SUM(U19*U35)</f>
        <v>118.02270404874078</v>
      </c>
      <c r="V30" s="3125"/>
      <c r="W30" s="3067">
        <f t="shared" si="368"/>
        <v>0</v>
      </c>
      <c r="X30" s="3174"/>
      <c r="Y30" s="3174"/>
      <c r="Z30" s="3066">
        <f t="shared" si="486"/>
        <v>0</v>
      </c>
      <c r="AA30" s="3066">
        <v>0</v>
      </c>
      <c r="AB30" s="3066"/>
      <c r="AC30" s="3126">
        <f t="shared" si="369"/>
        <v>354.06811214622235</v>
      </c>
      <c r="AD30" s="3126">
        <f t="shared" si="369"/>
        <v>354.06811214622235</v>
      </c>
      <c r="AE30" s="3126">
        <f t="shared" si="369"/>
        <v>0</v>
      </c>
      <c r="AF30" s="3126">
        <f t="shared" si="370"/>
        <v>0</v>
      </c>
      <c r="AG30" s="3126">
        <f t="shared" si="371"/>
        <v>0</v>
      </c>
      <c r="AH30" s="3126">
        <f t="shared" si="372"/>
        <v>0</v>
      </c>
      <c r="AI30" s="3126">
        <f t="shared" si="373"/>
        <v>0</v>
      </c>
      <c r="AJ30" s="3126">
        <f t="shared" si="374"/>
        <v>0</v>
      </c>
      <c r="AK30" s="3126">
        <f t="shared" si="375"/>
        <v>0</v>
      </c>
      <c r="AL30" s="3121">
        <f t="shared" si="376"/>
        <v>-354.06811214622235</v>
      </c>
      <c r="AM30" s="3121">
        <f t="shared" si="377"/>
        <v>-354.06811214622235</v>
      </c>
      <c r="AN30" s="3121">
        <f t="shared" si="378"/>
        <v>0</v>
      </c>
      <c r="AO30" s="3210">
        <f t="shared" si="379"/>
        <v>118.02270404874078</v>
      </c>
      <c r="AP30" s="3118">
        <f>SUM(AP19*AP35)</f>
        <v>118.02270404874078</v>
      </c>
      <c r="AQ30" s="3118"/>
      <c r="AR30" s="3210">
        <f t="shared" si="380"/>
        <v>0</v>
      </c>
      <c r="AS30" s="3466">
        <v>0</v>
      </c>
      <c r="AT30" s="3466"/>
      <c r="AU30" s="3119">
        <f t="shared" si="487"/>
        <v>0</v>
      </c>
      <c r="AV30" s="3119">
        <v>0</v>
      </c>
      <c r="AW30" s="3119"/>
      <c r="AX30" s="3067">
        <f t="shared" si="381"/>
        <v>118.02270404874078</v>
      </c>
      <c r="AY30" s="3125">
        <f>SUM(AY19*AY35)</f>
        <v>118.02270404874078</v>
      </c>
      <c r="AZ30" s="3125"/>
      <c r="BA30" s="3067">
        <f t="shared" si="382"/>
        <v>0</v>
      </c>
      <c r="BB30" s="3174">
        <v>0</v>
      </c>
      <c r="BC30" s="3174"/>
      <c r="BD30" s="3066">
        <f t="shared" si="488"/>
        <v>0</v>
      </c>
      <c r="BE30" s="3066">
        <v>0</v>
      </c>
      <c r="BF30" s="3066"/>
      <c r="BG30" s="3067">
        <f t="shared" si="383"/>
        <v>118.02270404874078</v>
      </c>
      <c r="BH30" s="3125">
        <f>SUM(BH19*BH35)</f>
        <v>118.02270404874078</v>
      </c>
      <c r="BI30" s="3125"/>
      <c r="BJ30" s="3067">
        <f t="shared" si="384"/>
        <v>0</v>
      </c>
      <c r="BK30" s="3174">
        <v>0</v>
      </c>
      <c r="BL30" s="3174"/>
      <c r="BM30" s="3066">
        <f t="shared" si="489"/>
        <v>0</v>
      </c>
      <c r="BN30" s="3066">
        <v>0</v>
      </c>
      <c r="BO30" s="3066"/>
      <c r="BP30" s="3126">
        <f t="shared" si="385"/>
        <v>354.06811214622235</v>
      </c>
      <c r="BQ30" s="3126">
        <f t="shared" si="386"/>
        <v>354.06811214622235</v>
      </c>
      <c r="BR30" s="3126">
        <f t="shared" si="387"/>
        <v>0</v>
      </c>
      <c r="BS30" s="3126">
        <f t="shared" si="388"/>
        <v>0</v>
      </c>
      <c r="BT30" s="3126">
        <f t="shared" si="389"/>
        <v>0</v>
      </c>
      <c r="BU30" s="3126">
        <f t="shared" si="390"/>
        <v>0</v>
      </c>
      <c r="BV30" s="3126">
        <f t="shared" si="391"/>
        <v>0</v>
      </c>
      <c r="BW30" s="3126">
        <f t="shared" si="392"/>
        <v>0</v>
      </c>
      <c r="BX30" s="3126">
        <f t="shared" si="393"/>
        <v>0</v>
      </c>
      <c r="BY30" s="3121">
        <f t="shared" si="394"/>
        <v>-354.06811214622235</v>
      </c>
      <c r="BZ30" s="3121">
        <f t="shared" si="395"/>
        <v>-354.06811214622235</v>
      </c>
      <c r="CA30" s="3121">
        <f t="shared" si="396"/>
        <v>0</v>
      </c>
      <c r="CB30" s="3126">
        <f t="shared" si="397"/>
        <v>708.13622429244469</v>
      </c>
      <c r="CC30" s="3126">
        <f t="shared" si="398"/>
        <v>708.13622429244469</v>
      </c>
      <c r="CD30" s="3126">
        <f t="shared" si="399"/>
        <v>0</v>
      </c>
      <c r="CE30" s="3126">
        <f t="shared" si="400"/>
        <v>0</v>
      </c>
      <c r="CF30" s="3126">
        <f t="shared" si="401"/>
        <v>0</v>
      </c>
      <c r="CG30" s="3126">
        <f t="shared" si="402"/>
        <v>0</v>
      </c>
      <c r="CH30" s="3126">
        <f t="shared" si="403"/>
        <v>0</v>
      </c>
      <c r="CI30" s="3126">
        <f t="shared" si="404"/>
        <v>0</v>
      </c>
      <c r="CJ30" s="3126">
        <f t="shared" si="405"/>
        <v>0</v>
      </c>
      <c r="CK30" s="3121">
        <f t="shared" si="406"/>
        <v>-708.13622429244469</v>
      </c>
      <c r="CL30" s="3121">
        <f t="shared" si="407"/>
        <v>-708.13622429244469</v>
      </c>
      <c r="CM30" s="3121">
        <f t="shared" si="408"/>
        <v>0</v>
      </c>
      <c r="CN30" s="3067">
        <f t="shared" si="409"/>
        <v>122.06086853950775</v>
      </c>
      <c r="CO30" s="3125">
        <f>SUM(CO19*CO35)</f>
        <v>122.06086853950775</v>
      </c>
      <c r="CP30" s="3125"/>
      <c r="CQ30" s="3067">
        <f t="shared" si="410"/>
        <v>0</v>
      </c>
      <c r="CR30" s="3174">
        <v>0</v>
      </c>
      <c r="CS30" s="3174"/>
      <c r="CT30" s="3066">
        <f t="shared" si="490"/>
        <v>0</v>
      </c>
      <c r="CU30" s="3066">
        <v>0</v>
      </c>
      <c r="CV30" s="3066"/>
      <c r="CW30" s="3067">
        <f t="shared" si="411"/>
        <v>122.06086853950775</v>
      </c>
      <c r="CX30" s="3125">
        <f>SUM(CX19*CX35)</f>
        <v>122.06086853950775</v>
      </c>
      <c r="CY30" s="3125"/>
      <c r="CZ30" s="3067">
        <f t="shared" si="412"/>
        <v>0</v>
      </c>
      <c r="DA30" s="3174">
        <v>0</v>
      </c>
      <c r="DB30" s="3174"/>
      <c r="DC30" s="3066">
        <f t="shared" si="491"/>
        <v>0</v>
      </c>
      <c r="DD30" s="3066">
        <v>0</v>
      </c>
      <c r="DE30" s="3066"/>
      <c r="DF30" s="3067">
        <f t="shared" si="413"/>
        <v>122.06086853950775</v>
      </c>
      <c r="DG30" s="3125">
        <f>SUM(DG19*DG35)</f>
        <v>122.06086853950775</v>
      </c>
      <c r="DH30" s="3125"/>
      <c r="DI30" s="3067">
        <f t="shared" si="414"/>
        <v>0</v>
      </c>
      <c r="DJ30" s="3174">
        <v>0</v>
      </c>
      <c r="DK30" s="3174"/>
      <c r="DL30" s="3066">
        <f t="shared" si="492"/>
        <v>0</v>
      </c>
      <c r="DM30" s="3066">
        <v>0</v>
      </c>
      <c r="DN30" s="3066"/>
      <c r="DO30" s="3126">
        <f t="shared" si="415"/>
        <v>366.18260561852327</v>
      </c>
      <c r="DP30" s="3126">
        <f t="shared" si="416"/>
        <v>366.18260561852327</v>
      </c>
      <c r="DQ30" s="3126">
        <f t="shared" si="417"/>
        <v>0</v>
      </c>
      <c r="DR30" s="3126">
        <f t="shared" si="418"/>
        <v>0</v>
      </c>
      <c r="DS30" s="3126">
        <f t="shared" si="419"/>
        <v>0</v>
      </c>
      <c r="DT30" s="3126">
        <f t="shared" si="420"/>
        <v>0</v>
      </c>
      <c r="DU30" s="3126">
        <f t="shared" si="421"/>
        <v>0</v>
      </c>
      <c r="DV30" s="3126">
        <f t="shared" si="422"/>
        <v>0</v>
      </c>
      <c r="DW30" s="3126">
        <f t="shared" si="423"/>
        <v>0</v>
      </c>
      <c r="DX30" s="3121">
        <f t="shared" si="424"/>
        <v>-366.18260561852327</v>
      </c>
      <c r="DY30" s="3121">
        <f t="shared" si="425"/>
        <v>-366.18260561852327</v>
      </c>
      <c r="DZ30" s="3121">
        <f t="shared" si="426"/>
        <v>0</v>
      </c>
      <c r="EA30" s="3126">
        <f t="shared" si="427"/>
        <v>1074.3188299109679</v>
      </c>
      <c r="EB30" s="3126">
        <f t="shared" si="428"/>
        <v>1074.3188299109679</v>
      </c>
      <c r="EC30" s="3126">
        <f t="shared" si="429"/>
        <v>0</v>
      </c>
      <c r="ED30" s="3126">
        <f t="shared" si="430"/>
        <v>0</v>
      </c>
      <c r="EE30" s="3126">
        <f t="shared" si="431"/>
        <v>0</v>
      </c>
      <c r="EF30" s="3126">
        <f t="shared" si="432"/>
        <v>0</v>
      </c>
      <c r="EG30" s="3126">
        <f t="shared" si="433"/>
        <v>0</v>
      </c>
      <c r="EH30" s="3126">
        <f t="shared" si="434"/>
        <v>0</v>
      </c>
      <c r="EI30" s="3126">
        <f t="shared" si="435"/>
        <v>0</v>
      </c>
      <c r="EJ30" s="3121">
        <f t="shared" si="436"/>
        <v>-1074.3188299109679</v>
      </c>
      <c r="EK30" s="3121">
        <f t="shared" si="436"/>
        <v>-1074.3188299109679</v>
      </c>
      <c r="EL30" s="3121">
        <f t="shared" si="436"/>
        <v>0</v>
      </c>
      <c r="EM30" s="3067">
        <f t="shared" si="437"/>
        <v>122.06086853950775</v>
      </c>
      <c r="EN30" s="3125">
        <f>SUM(EN19*EN35)</f>
        <v>122.06086853950775</v>
      </c>
      <c r="EO30" s="3125"/>
      <c r="EP30" s="3067">
        <f t="shared" si="438"/>
        <v>0</v>
      </c>
      <c r="EQ30" s="3174"/>
      <c r="ER30" s="3174"/>
      <c r="ES30" s="3066">
        <f t="shared" si="493"/>
        <v>0</v>
      </c>
      <c r="ET30" s="3066">
        <v>0</v>
      </c>
      <c r="EU30" s="3066"/>
      <c r="EV30" s="3067">
        <f t="shared" si="439"/>
        <v>122.06086853950775</v>
      </c>
      <c r="EW30" s="3125">
        <f>SUM(EW19*EW35)</f>
        <v>122.06086853950775</v>
      </c>
      <c r="EX30" s="3125"/>
      <c r="EY30" s="3067">
        <f t="shared" si="440"/>
        <v>0</v>
      </c>
      <c r="EZ30" s="3174"/>
      <c r="FA30" s="3174"/>
      <c r="FB30" s="3066">
        <f t="shared" si="494"/>
        <v>0</v>
      </c>
      <c r="FC30" s="3066">
        <v>0</v>
      </c>
      <c r="FD30" s="3066"/>
      <c r="FE30" s="3067">
        <f t="shared" si="441"/>
        <v>122.06086853950775</v>
      </c>
      <c r="FF30" s="3125">
        <f>SUM(FF19*FF35)</f>
        <v>122.06086853950775</v>
      </c>
      <c r="FG30" s="3125"/>
      <c r="FH30" s="3067">
        <f t="shared" si="442"/>
        <v>0</v>
      </c>
      <c r="FI30" s="3174"/>
      <c r="FJ30" s="3174"/>
      <c r="FK30" s="3066">
        <f t="shared" si="495"/>
        <v>0</v>
      </c>
      <c r="FL30" s="3066">
        <v>0</v>
      </c>
      <c r="FM30" s="3066"/>
      <c r="FN30" s="3126">
        <f t="shared" si="443"/>
        <v>366.18260561852327</v>
      </c>
      <c r="FO30" s="3126">
        <f t="shared" si="479"/>
        <v>366.18260561852327</v>
      </c>
      <c r="FP30" s="3126">
        <f t="shared" si="480"/>
        <v>0</v>
      </c>
      <c r="FQ30" s="3126">
        <f t="shared" si="446"/>
        <v>0</v>
      </c>
      <c r="FR30" s="3126">
        <f t="shared" si="481"/>
        <v>0</v>
      </c>
      <c r="FS30" s="3126">
        <f t="shared" si="482"/>
        <v>0</v>
      </c>
      <c r="FT30" s="3126">
        <f t="shared" si="449"/>
        <v>0</v>
      </c>
      <c r="FU30" s="3126">
        <f t="shared" si="483"/>
        <v>0</v>
      </c>
      <c r="FV30" s="3126">
        <f t="shared" si="484"/>
        <v>0</v>
      </c>
      <c r="FW30" s="3121">
        <f t="shared" si="452"/>
        <v>-366.18260561852327</v>
      </c>
      <c r="FX30" s="3121">
        <f t="shared" si="453"/>
        <v>-366.18260561852327</v>
      </c>
      <c r="FY30" s="3121">
        <f t="shared" si="454"/>
        <v>0</v>
      </c>
      <c r="FZ30" s="3232">
        <f t="shared" si="455"/>
        <v>1440.5014355294911</v>
      </c>
      <c r="GA30" s="3232">
        <f t="shared" si="478"/>
        <v>1440.5014355294911</v>
      </c>
      <c r="GB30" s="3232">
        <f t="shared" si="456"/>
        <v>0</v>
      </c>
      <c r="GC30" s="3232">
        <f t="shared" si="457"/>
        <v>0</v>
      </c>
      <c r="GD30" s="3232">
        <f t="shared" si="458"/>
        <v>0</v>
      </c>
      <c r="GE30" s="3232">
        <f t="shared" si="459"/>
        <v>0</v>
      </c>
      <c r="GF30" s="3232">
        <f t="shared" si="460"/>
        <v>0</v>
      </c>
      <c r="GG30" s="3232">
        <f t="shared" si="461"/>
        <v>0</v>
      </c>
      <c r="GH30" s="3232">
        <f t="shared" si="462"/>
        <v>0</v>
      </c>
      <c r="GI30" s="3233">
        <f t="shared" si="463"/>
        <v>-1440.5014355294911</v>
      </c>
      <c r="GJ30" s="3233">
        <f t="shared" si="464"/>
        <v>-1440.5014355294911</v>
      </c>
      <c r="GK30" s="3233">
        <f t="shared" si="465"/>
        <v>0</v>
      </c>
      <c r="GL30" s="627"/>
    </row>
    <row r="31" spans="1:194" ht="18.75" x14ac:dyDescent="0.3">
      <c r="A31" s="3127" t="s">
        <v>3645</v>
      </c>
      <c r="B31" s="3057">
        <f t="shared" si="363"/>
        <v>11244.159296919514</v>
      </c>
      <c r="C31" s="3128">
        <f>SUM(C24:C28)</f>
        <v>11241.591693380889</v>
      </c>
      <c r="D31" s="3128">
        <f>SUM(D24:D28)</f>
        <v>2.5676035386232714</v>
      </c>
      <c r="E31" s="3057">
        <f t="shared" si="364"/>
        <v>11478.460000000001</v>
      </c>
      <c r="F31" s="3128">
        <f>SUM(F24:F28)</f>
        <v>11476.37</v>
      </c>
      <c r="G31" s="3128">
        <f>SUM(G24:G28)</f>
        <v>2.09</v>
      </c>
      <c r="H31" s="3057">
        <f t="shared" ref="H31" si="496">SUM(I31:J31)</f>
        <v>11502.369999999999</v>
      </c>
      <c r="I31" s="3128">
        <f>SUM(I24:I28)</f>
        <v>11499.91</v>
      </c>
      <c r="J31" s="3128">
        <f>SUM(J24:J28)</f>
        <v>2.46</v>
      </c>
      <c r="K31" s="3057">
        <f t="shared" si="365"/>
        <v>11244.159296919514</v>
      </c>
      <c r="L31" s="3128">
        <f>SUM(L24:L28)</f>
        <v>11241.591693380889</v>
      </c>
      <c r="M31" s="3128">
        <f>SUM(M24:M28)</f>
        <v>2.5676035386232714</v>
      </c>
      <c r="N31" s="3057">
        <f t="shared" si="366"/>
        <v>10942.769999999999</v>
      </c>
      <c r="O31" s="3128">
        <f>SUM(O24:O28)</f>
        <v>10941.199999999999</v>
      </c>
      <c r="P31" s="3128">
        <f>SUM(P24:P28)</f>
        <v>1.57</v>
      </c>
      <c r="Q31" s="3057">
        <f t="shared" ref="Q31" si="497">SUM(R31:S31)</f>
        <v>11366.300000000001</v>
      </c>
      <c r="R31" s="3128">
        <f>SUM(R24:R28)</f>
        <v>11363.11</v>
      </c>
      <c r="S31" s="3128">
        <f>SUM(S24:S28)</f>
        <v>3.19</v>
      </c>
      <c r="T31" s="3057">
        <f t="shared" si="367"/>
        <v>11244.159296919514</v>
      </c>
      <c r="U31" s="3128">
        <f>SUM(U24:U28)</f>
        <v>11241.591693380889</v>
      </c>
      <c r="V31" s="3128">
        <f>SUM(V24:V28)</f>
        <v>2.5676035386232714</v>
      </c>
      <c r="W31" s="3057">
        <f t="shared" si="368"/>
        <v>10397.529999999999</v>
      </c>
      <c r="X31" s="3128">
        <f>SUM(X24:X28)</f>
        <v>10396.23</v>
      </c>
      <c r="Y31" s="3128">
        <f>SUM(Y24:Y28)</f>
        <v>1.3</v>
      </c>
      <c r="Z31" s="3057">
        <f t="shared" ref="Z31" si="498">SUM(AA31:AB31)</f>
        <v>10711.810000000001</v>
      </c>
      <c r="AA31" s="3128">
        <f>SUM(AA24:AA28)</f>
        <v>10709.52</v>
      </c>
      <c r="AB31" s="3128">
        <f>SUM(AB24:AB28)</f>
        <v>2.29</v>
      </c>
      <c r="AC31" s="3129">
        <f t="shared" si="369"/>
        <v>33732.477890758542</v>
      </c>
      <c r="AD31" s="3129">
        <f t="shared" ref="AD31" si="499">SUM(C31+L31+U31)</f>
        <v>33724.775080142666</v>
      </c>
      <c r="AE31" s="3129">
        <f t="shared" ref="AE31" si="500">SUM(D31+M31+V31)</f>
        <v>7.7028106158698142</v>
      </c>
      <c r="AF31" s="3129">
        <f t="shared" si="370"/>
        <v>32818.759999999995</v>
      </c>
      <c r="AG31" s="3129">
        <f t="shared" si="371"/>
        <v>32813.800000000003</v>
      </c>
      <c r="AH31" s="3129">
        <f t="shared" si="372"/>
        <v>4.96</v>
      </c>
      <c r="AI31" s="3129">
        <f t="shared" si="373"/>
        <v>33580.479999999996</v>
      </c>
      <c r="AJ31" s="3129">
        <f t="shared" si="374"/>
        <v>33572.54</v>
      </c>
      <c r="AK31" s="3129">
        <f t="shared" si="375"/>
        <v>7.94</v>
      </c>
      <c r="AL31" s="3110">
        <f t="shared" si="376"/>
        <v>-913.71789075854758</v>
      </c>
      <c r="AM31" s="3110">
        <f t="shared" si="377"/>
        <v>-910.9750801426635</v>
      </c>
      <c r="AN31" s="3110">
        <f t="shared" si="378"/>
        <v>-2.7428106158698142</v>
      </c>
      <c r="AO31" s="3207">
        <f t="shared" si="379"/>
        <v>11244.159296919514</v>
      </c>
      <c r="AP31" s="3107">
        <f>SUM(AP24:AP28)</f>
        <v>11241.591693380889</v>
      </c>
      <c r="AQ31" s="3107">
        <f>SUM(AQ24:AQ28)</f>
        <v>2.5676035386232714</v>
      </c>
      <c r="AR31" s="3207">
        <f t="shared" si="380"/>
        <v>10876.11</v>
      </c>
      <c r="AS31" s="3107">
        <f>SUM(AS24:AS28)</f>
        <v>10874.460000000001</v>
      </c>
      <c r="AT31" s="3107">
        <f>SUM(AT24:AT28)</f>
        <v>1.65</v>
      </c>
      <c r="AU31" s="3207">
        <f>SUM(AV31:AW31)</f>
        <v>11542.13</v>
      </c>
      <c r="AV31" s="3107">
        <f>SUM(AV24:AV28)</f>
        <v>11536.46</v>
      </c>
      <c r="AW31" s="3107">
        <f>SUM(AW24:AW28)</f>
        <v>5.67</v>
      </c>
      <c r="AX31" s="3057">
        <f t="shared" si="381"/>
        <v>11244.159296919514</v>
      </c>
      <c r="AY31" s="3128">
        <f>SUM(AY24:AY28)</f>
        <v>11241.591693380889</v>
      </c>
      <c r="AZ31" s="3128">
        <f>SUM(AZ24:AZ28)</f>
        <v>2.5676035386232714</v>
      </c>
      <c r="BA31" s="3057">
        <f>SUM(BB31:BC31)</f>
        <v>10453.750000000002</v>
      </c>
      <c r="BB31" s="3128">
        <f>SUM(BB24:BB28)</f>
        <v>10452.060000000001</v>
      </c>
      <c r="BC31" s="3128">
        <f>SUM(BC24:BC28)</f>
        <v>1.69</v>
      </c>
      <c r="BD31" s="3057">
        <f t="shared" ref="BD31" si="501">SUM(BE31:BF31)</f>
        <v>10990.189999999997</v>
      </c>
      <c r="BE31" s="3128">
        <f>SUM(BE24:BE28)</f>
        <v>10988.379999999997</v>
      </c>
      <c r="BF31" s="3128">
        <f>SUM(BF24:BF28)</f>
        <v>1.81</v>
      </c>
      <c r="BG31" s="3057">
        <f t="shared" si="383"/>
        <v>11244.159296919514</v>
      </c>
      <c r="BH31" s="3128">
        <f>SUM(BH24:BH28)</f>
        <v>11241.591693380889</v>
      </c>
      <c r="BI31" s="3128">
        <f>SUM(BI24:BI28)</f>
        <v>2.5676035386232714</v>
      </c>
      <c r="BJ31" s="3057">
        <f t="shared" si="384"/>
        <v>10382.859999999999</v>
      </c>
      <c r="BK31" s="3128">
        <f>SUM(BK24:BK28)</f>
        <v>10381.449999999999</v>
      </c>
      <c r="BL31" s="3128">
        <f>SUM(BL24:BL28)</f>
        <v>1.41</v>
      </c>
      <c r="BM31" s="3057">
        <f t="shared" ref="BM31" si="502">SUM(BN31:BO31)</f>
        <v>11707.080000000002</v>
      </c>
      <c r="BN31" s="3128">
        <f>SUM(BN24:BN28)</f>
        <v>11705.550000000001</v>
      </c>
      <c r="BO31" s="3128">
        <f>SUM(BO24:BO28)</f>
        <v>1.53</v>
      </c>
      <c r="BP31" s="3129">
        <f t="shared" si="385"/>
        <v>33732.477890758542</v>
      </c>
      <c r="BQ31" s="3129">
        <f t="shared" si="386"/>
        <v>33724.775080142666</v>
      </c>
      <c r="BR31" s="3129">
        <f t="shared" si="387"/>
        <v>7.7028106158698142</v>
      </c>
      <c r="BS31" s="3129">
        <f t="shared" si="388"/>
        <v>31712.720000000001</v>
      </c>
      <c r="BT31" s="3129">
        <f t="shared" si="389"/>
        <v>31707.97</v>
      </c>
      <c r="BU31" s="3129">
        <f t="shared" si="390"/>
        <v>4.75</v>
      </c>
      <c r="BV31" s="3129">
        <f t="shared" si="391"/>
        <v>34239.399999999994</v>
      </c>
      <c r="BW31" s="3129">
        <f t="shared" si="392"/>
        <v>34230.39</v>
      </c>
      <c r="BX31" s="3129">
        <f t="shared" si="393"/>
        <v>9.01</v>
      </c>
      <c r="BY31" s="3110">
        <f t="shared" si="394"/>
        <v>-2019.7578907585412</v>
      </c>
      <c r="BZ31" s="3110">
        <f t="shared" si="395"/>
        <v>-2016.8050801426652</v>
      </c>
      <c r="CA31" s="3110">
        <f t="shared" si="396"/>
        <v>-2.9528106158698142</v>
      </c>
      <c r="CB31" s="3129">
        <f t="shared" si="397"/>
        <v>67464.955781517085</v>
      </c>
      <c r="CC31" s="3129">
        <f t="shared" si="398"/>
        <v>67449.550160285333</v>
      </c>
      <c r="CD31" s="3129">
        <f t="shared" si="399"/>
        <v>15.405621231739628</v>
      </c>
      <c r="CE31" s="3129">
        <f t="shared" si="400"/>
        <v>64531.479999999996</v>
      </c>
      <c r="CF31" s="3129">
        <f t="shared" si="401"/>
        <v>64521.770000000004</v>
      </c>
      <c r="CG31" s="3129">
        <f t="shared" si="402"/>
        <v>9.7100000000000009</v>
      </c>
      <c r="CH31" s="3129">
        <f t="shared" si="403"/>
        <v>67819.87999999999</v>
      </c>
      <c r="CI31" s="3129">
        <f t="shared" si="404"/>
        <v>67802.929999999993</v>
      </c>
      <c r="CJ31" s="3129">
        <f t="shared" si="405"/>
        <v>16.95</v>
      </c>
      <c r="CK31" s="3110">
        <f t="shared" si="406"/>
        <v>-2933.4757815170888</v>
      </c>
      <c r="CL31" s="3110">
        <f t="shared" si="407"/>
        <v>-2927.7801602853287</v>
      </c>
      <c r="CM31" s="3110">
        <f t="shared" si="408"/>
        <v>-5.6956212317396275</v>
      </c>
      <c r="CN31" s="3057">
        <f t="shared" si="409"/>
        <v>11628.792039931101</v>
      </c>
      <c r="CO31" s="3128">
        <f>SUM(CO24:CO28)</f>
        <v>11626.224436392476</v>
      </c>
      <c r="CP31" s="3128">
        <f>SUM(CP24:CP28)</f>
        <v>2.5676035386232714</v>
      </c>
      <c r="CQ31" s="3057">
        <f t="shared" si="410"/>
        <v>10503.56</v>
      </c>
      <c r="CR31" s="3128">
        <f>SUM(CR24:CR28)</f>
        <v>10501.98</v>
      </c>
      <c r="CS31" s="3128">
        <f>SUM(CS24:CS28)</f>
        <v>1.58</v>
      </c>
      <c r="CT31" s="3057">
        <f t="shared" ref="CT31" si="503">SUM(CU31:CV31)</f>
        <v>10470.870000000001</v>
      </c>
      <c r="CU31" s="3128">
        <f>SUM(CU24:CU28)</f>
        <v>10468.050000000001</v>
      </c>
      <c r="CV31" s="3128">
        <f>SUM(CV24:CV28)</f>
        <v>2.82</v>
      </c>
      <c r="CW31" s="3057">
        <f t="shared" si="411"/>
        <v>11628.792039931101</v>
      </c>
      <c r="CX31" s="3128">
        <f>SUM(CX24:CX28)</f>
        <v>11626.224436392476</v>
      </c>
      <c r="CY31" s="3128">
        <f>SUM(CY24:CY28)</f>
        <v>2.5676035386232714</v>
      </c>
      <c r="CZ31" s="3057">
        <f t="shared" si="412"/>
        <v>11849.009999999998</v>
      </c>
      <c r="DA31" s="3128">
        <f>SUM(DA24:DA28)</f>
        <v>11847.439999999999</v>
      </c>
      <c r="DB31" s="3128">
        <f>SUM(DB24:DB28)</f>
        <v>1.57</v>
      </c>
      <c r="DC31" s="3057">
        <f t="shared" ref="DC31" si="504">SUM(DD31:DE31)</f>
        <v>10899.82</v>
      </c>
      <c r="DD31" s="3128">
        <f>SUM(DD24:DD28)</f>
        <v>10897</v>
      </c>
      <c r="DE31" s="3128">
        <f>SUM(DE24:DE28)</f>
        <v>2.82</v>
      </c>
      <c r="DF31" s="3057">
        <f t="shared" si="413"/>
        <v>11628.792039931101</v>
      </c>
      <c r="DG31" s="3128">
        <f>SUM(DG24:DG28)</f>
        <v>11626.224436392476</v>
      </c>
      <c r="DH31" s="3128">
        <f>SUM(DH24:DH28)</f>
        <v>2.5676035386232714</v>
      </c>
      <c r="DI31" s="3057">
        <f t="shared" si="414"/>
        <v>11474.163</v>
      </c>
      <c r="DJ31" s="3128">
        <f>SUM(DJ24:DJ28)</f>
        <v>11472.597</v>
      </c>
      <c r="DK31" s="3128">
        <f>SUM(DK24:DK28)</f>
        <v>1.5660000000000001</v>
      </c>
      <c r="DL31" s="3057">
        <f t="shared" ref="DL31" si="505">SUM(DM31:DN31)</f>
        <v>11247.569999999998</v>
      </c>
      <c r="DM31" s="3128">
        <f>SUM(DM24:DM28)</f>
        <v>11244.349999999999</v>
      </c>
      <c r="DN31" s="3128">
        <f>SUM(DN24:DN28)</f>
        <v>3.22</v>
      </c>
      <c r="DO31" s="3129">
        <f t="shared" si="415"/>
        <v>34886.376119793305</v>
      </c>
      <c r="DP31" s="3129">
        <f t="shared" si="416"/>
        <v>34878.673309177429</v>
      </c>
      <c r="DQ31" s="3129">
        <f t="shared" si="417"/>
        <v>7.7028106158698142</v>
      </c>
      <c r="DR31" s="3129">
        <f t="shared" si="418"/>
        <v>33826.733</v>
      </c>
      <c r="DS31" s="3129">
        <f t="shared" si="419"/>
        <v>33822.017</v>
      </c>
      <c r="DT31" s="3129">
        <f t="shared" si="420"/>
        <v>4.7160000000000002</v>
      </c>
      <c r="DU31" s="3129">
        <f t="shared" si="421"/>
        <v>32618.260000000002</v>
      </c>
      <c r="DV31" s="3129">
        <f t="shared" si="422"/>
        <v>32609.4</v>
      </c>
      <c r="DW31" s="3129">
        <f t="shared" si="423"/>
        <v>8.86</v>
      </c>
      <c r="DX31" s="3110">
        <f t="shared" si="424"/>
        <v>-1059.6431197933052</v>
      </c>
      <c r="DY31" s="3110">
        <f t="shared" si="425"/>
        <v>-1056.6563091774296</v>
      </c>
      <c r="DZ31" s="3110">
        <f t="shared" si="426"/>
        <v>-2.986810615869814</v>
      </c>
      <c r="EA31" s="3129">
        <f t="shared" si="427"/>
        <v>102351.33190131039</v>
      </c>
      <c r="EB31" s="3129">
        <f t="shared" si="428"/>
        <v>102328.22346946277</v>
      </c>
      <c r="EC31" s="3129">
        <f t="shared" si="429"/>
        <v>23.108431847609442</v>
      </c>
      <c r="ED31" s="3129">
        <f t="shared" si="430"/>
        <v>98358.212999999989</v>
      </c>
      <c r="EE31" s="3129">
        <f t="shared" si="431"/>
        <v>98343.787000000011</v>
      </c>
      <c r="EF31" s="3129">
        <f t="shared" si="432"/>
        <v>14.426000000000002</v>
      </c>
      <c r="EG31" s="3129">
        <f t="shared" si="433"/>
        <v>100438.13999999998</v>
      </c>
      <c r="EH31" s="3129">
        <f t="shared" si="434"/>
        <v>100412.32999999999</v>
      </c>
      <c r="EI31" s="3129">
        <f t="shared" si="435"/>
        <v>25.81</v>
      </c>
      <c r="EJ31" s="3110">
        <f t="shared" si="436"/>
        <v>-3993.1189013104013</v>
      </c>
      <c r="EK31" s="3110">
        <f t="shared" si="436"/>
        <v>-3984.4364694627584</v>
      </c>
      <c r="EL31" s="3110">
        <f t="shared" si="436"/>
        <v>-8.6824318476094398</v>
      </c>
      <c r="EM31" s="3057">
        <f t="shared" si="437"/>
        <v>11628.792039931101</v>
      </c>
      <c r="EN31" s="3128">
        <f>SUM(EN24:EN28)</f>
        <v>11626.224436392476</v>
      </c>
      <c r="EO31" s="3128">
        <f>SUM(EO24:EO28)</f>
        <v>2.5676035386232714</v>
      </c>
      <c r="EP31" s="3057">
        <f t="shared" si="438"/>
        <v>0</v>
      </c>
      <c r="EQ31" s="3128">
        <f>SUM(EQ24:EQ28)</f>
        <v>0</v>
      </c>
      <c r="ER31" s="3128">
        <f>SUM(ER24:ER28)</f>
        <v>0</v>
      </c>
      <c r="ES31" s="3057">
        <f t="shared" ref="ES31" si="506">SUM(ET31:EU31)</f>
        <v>11110.29</v>
      </c>
      <c r="ET31" s="3128">
        <f>SUM(ET24:ET28)</f>
        <v>11107.11</v>
      </c>
      <c r="EU31" s="3128">
        <f>SUM(EU24:EU28)</f>
        <v>3.18</v>
      </c>
      <c r="EV31" s="3057">
        <f t="shared" si="439"/>
        <v>11628.792039931101</v>
      </c>
      <c r="EW31" s="3128">
        <f>SUM(EW24:EW28)</f>
        <v>11626.224436392476</v>
      </c>
      <c r="EX31" s="3128">
        <f>SUM(EX24:EX28)</f>
        <v>2.5676035386232714</v>
      </c>
      <c r="EY31" s="3057">
        <f t="shared" si="440"/>
        <v>0</v>
      </c>
      <c r="EZ31" s="3128">
        <f>SUM(EZ24:EZ28)</f>
        <v>0</v>
      </c>
      <c r="FA31" s="3128">
        <f>SUM(FA24:FA28)</f>
        <v>0</v>
      </c>
      <c r="FB31" s="3057">
        <f t="shared" ref="FB31" si="507">SUM(FC31:FD31)</f>
        <v>10921.220000000001</v>
      </c>
      <c r="FC31" s="3128">
        <f>SUM(FC24:FC28)</f>
        <v>10917.960000000001</v>
      </c>
      <c r="FD31" s="3128">
        <f>SUM(FD24:FD28)</f>
        <v>3.26</v>
      </c>
      <c r="FE31" s="3057">
        <f t="shared" ref="FE31" si="508">SUM(FF31:FG31)</f>
        <v>11628.792039931101</v>
      </c>
      <c r="FF31" s="3128">
        <f>SUM(FF24:FF28)</f>
        <v>11626.224436392476</v>
      </c>
      <c r="FG31" s="3128">
        <f>SUM(FG24:FG28)</f>
        <v>2.5676035386232714</v>
      </c>
      <c r="FH31" s="3057">
        <f t="shared" ref="FH31" si="509">SUM(FI31:FJ31)</f>
        <v>0</v>
      </c>
      <c r="FI31" s="3128">
        <f>SUM(FI24:FI28)</f>
        <v>0</v>
      </c>
      <c r="FJ31" s="3128">
        <f>SUM(FJ24:FJ28)</f>
        <v>0</v>
      </c>
      <c r="FK31" s="3057">
        <f t="shared" ref="FK31" si="510">SUM(FL31:FM31)</f>
        <v>10831.800000000001</v>
      </c>
      <c r="FL31" s="3128">
        <f>SUM(FL24:FL28)</f>
        <v>10831.800000000001</v>
      </c>
      <c r="FM31" s="3128">
        <f>SUM(FM24:FM28)</f>
        <v>0</v>
      </c>
      <c r="FN31" s="3129">
        <f t="shared" si="443"/>
        <v>34886.376119793305</v>
      </c>
      <c r="FO31" s="3129">
        <f t="shared" si="479"/>
        <v>34878.673309177429</v>
      </c>
      <c r="FP31" s="3129">
        <f t="shared" si="480"/>
        <v>7.7028106158698142</v>
      </c>
      <c r="FQ31" s="3129">
        <f t="shared" si="446"/>
        <v>0</v>
      </c>
      <c r="FR31" s="3129">
        <f t="shared" si="481"/>
        <v>0</v>
      </c>
      <c r="FS31" s="3129">
        <f t="shared" si="482"/>
        <v>0</v>
      </c>
      <c r="FT31" s="3129">
        <f t="shared" si="449"/>
        <v>32863.310000000005</v>
      </c>
      <c r="FU31" s="3129">
        <f t="shared" si="483"/>
        <v>32856.870000000003</v>
      </c>
      <c r="FV31" s="3129">
        <f t="shared" si="484"/>
        <v>6.4399999999999995</v>
      </c>
      <c r="FW31" s="3110">
        <f t="shared" si="452"/>
        <v>-34886.376119793305</v>
      </c>
      <c r="FX31" s="3110">
        <f t="shared" si="453"/>
        <v>-34878.673309177429</v>
      </c>
      <c r="FY31" s="3110">
        <f t="shared" si="454"/>
        <v>-7.7028106158698142</v>
      </c>
      <c r="FZ31" s="3234">
        <f t="shared" si="455"/>
        <v>137237.7080211037</v>
      </c>
      <c r="GA31" s="3234">
        <f t="shared" si="478"/>
        <v>137206.89677864019</v>
      </c>
      <c r="GB31" s="3234">
        <f t="shared" si="456"/>
        <v>30.811242463479257</v>
      </c>
      <c r="GC31" s="3234">
        <f t="shared" si="457"/>
        <v>98358.212999999989</v>
      </c>
      <c r="GD31" s="3234">
        <f t="shared" si="458"/>
        <v>98343.787000000011</v>
      </c>
      <c r="GE31" s="3234">
        <f t="shared" si="459"/>
        <v>14.426000000000002</v>
      </c>
      <c r="GF31" s="3234">
        <f t="shared" si="460"/>
        <v>133301.44999999998</v>
      </c>
      <c r="GG31" s="3234">
        <f t="shared" si="461"/>
        <v>133269.19999999998</v>
      </c>
      <c r="GH31" s="3234">
        <f t="shared" si="462"/>
        <v>32.25</v>
      </c>
      <c r="GI31" s="3235">
        <f t="shared" si="463"/>
        <v>-38879.495021103707</v>
      </c>
      <c r="GJ31" s="3235">
        <f t="shared" si="464"/>
        <v>-38863.109778640181</v>
      </c>
      <c r="GK31" s="3235">
        <f t="shared" si="465"/>
        <v>-16.385242463479255</v>
      </c>
      <c r="GL31" s="627"/>
    </row>
    <row r="32" spans="1:194" ht="18.75" x14ac:dyDescent="0.3">
      <c r="A32" s="3127" t="s">
        <v>3646</v>
      </c>
      <c r="B32" s="3128">
        <f t="shared" ref="B32:AK32" si="511">SUM(B31/B14)</f>
        <v>36.841988476826401</v>
      </c>
      <c r="C32" s="3128">
        <f t="shared" si="511"/>
        <v>36.851385527292081</v>
      </c>
      <c r="D32" s="3128">
        <f t="shared" si="511"/>
        <v>17.407481617784892</v>
      </c>
      <c r="E32" s="3128">
        <f t="shared" si="511"/>
        <v>36.842483670619956</v>
      </c>
      <c r="F32" s="3128">
        <f t="shared" si="511"/>
        <v>36.849968693306792</v>
      </c>
      <c r="G32" s="3128">
        <f t="shared" si="511"/>
        <v>17.416666666666668</v>
      </c>
      <c r="H32" s="3128">
        <f t="shared" si="511"/>
        <v>36.020323802962452</v>
      </c>
      <c r="I32" s="3128">
        <f t="shared" si="511"/>
        <v>36.028415677182871</v>
      </c>
      <c r="J32" s="3128">
        <f t="shared" si="511"/>
        <v>17.571428571428569</v>
      </c>
      <c r="K32" s="3128">
        <f t="shared" si="511"/>
        <v>36.841988476826401</v>
      </c>
      <c r="L32" s="3128">
        <f t="shared" si="511"/>
        <v>36.851385527292081</v>
      </c>
      <c r="M32" s="3128">
        <f t="shared" si="511"/>
        <v>17.407481617784892</v>
      </c>
      <c r="N32" s="3128">
        <f t="shared" si="511"/>
        <v>36.844343434343429</v>
      </c>
      <c r="O32" s="3128">
        <f t="shared" si="511"/>
        <v>36.850223973594687</v>
      </c>
      <c r="P32" s="3128">
        <f t="shared" si="511"/>
        <v>17.444444444444446</v>
      </c>
      <c r="Q32" s="3128">
        <f t="shared" ref="Q32:S32" si="512">SUM(Q31/Q14)</f>
        <v>36.018316062997123</v>
      </c>
      <c r="R32" s="3128">
        <f t="shared" si="512"/>
        <v>36.028758045594344</v>
      </c>
      <c r="S32" s="3128">
        <f t="shared" si="512"/>
        <v>17.722222222222221</v>
      </c>
      <c r="T32" s="3128">
        <f t="shared" si="511"/>
        <v>36.841988476826401</v>
      </c>
      <c r="U32" s="3128">
        <f t="shared" si="511"/>
        <v>36.851385527292081</v>
      </c>
      <c r="V32" s="3128">
        <f t="shared" si="511"/>
        <v>17.407481617784892</v>
      </c>
      <c r="W32" s="3128">
        <f t="shared" si="511"/>
        <v>36.844020637552973</v>
      </c>
      <c r="X32" s="3128">
        <f t="shared" si="511"/>
        <v>36.849207277521984</v>
      </c>
      <c r="Y32" s="3128">
        <f t="shared" si="511"/>
        <v>17.333333333333336</v>
      </c>
      <c r="Z32" s="3128">
        <f t="shared" si="511"/>
        <v>36.020613356648056</v>
      </c>
      <c r="AA32" s="3128">
        <f t="shared" si="511"/>
        <v>36.027450716544436</v>
      </c>
      <c r="AB32" s="3128">
        <f t="shared" si="511"/>
        <v>19.083333333333336</v>
      </c>
      <c r="AC32" s="3129">
        <f t="shared" si="511"/>
        <v>36.841988476826401</v>
      </c>
      <c r="AD32" s="3129">
        <f t="shared" si="511"/>
        <v>36.851385527292074</v>
      </c>
      <c r="AE32" s="3129">
        <f t="shared" si="511"/>
        <v>17.407481617784892</v>
      </c>
      <c r="AF32" s="3129">
        <f t="shared" si="511"/>
        <v>36.843590690635729</v>
      </c>
      <c r="AG32" s="3129">
        <f t="shared" si="511"/>
        <v>36.849812571731462</v>
      </c>
      <c r="AH32" s="3129">
        <f t="shared" si="511"/>
        <v>17.403508771929825</v>
      </c>
      <c r="AI32" s="3129">
        <f t="shared" si="511"/>
        <v>36.019736559831806</v>
      </c>
      <c r="AJ32" s="3129">
        <f t="shared" si="511"/>
        <v>36.028223729395606</v>
      </c>
      <c r="AK32" s="3129">
        <f t="shared" si="511"/>
        <v>18.045454545454547</v>
      </c>
      <c r="AL32" s="3110">
        <f t="shared" si="376"/>
        <v>1.6022138093276794E-3</v>
      </c>
      <c r="AM32" s="3110">
        <f t="shared" si="377"/>
        <v>-1.5729555606114332E-3</v>
      </c>
      <c r="AN32" s="3110">
        <f t="shared" si="378"/>
        <v>-3.9728458550669643E-3</v>
      </c>
      <c r="AO32" s="3107">
        <f t="shared" ref="AO32:BX32" si="513">SUM(AO31/AO14)</f>
        <v>36.841988476826401</v>
      </c>
      <c r="AP32" s="3107">
        <f t="shared" si="513"/>
        <v>36.851385527292081</v>
      </c>
      <c r="AQ32" s="3107">
        <f t="shared" si="513"/>
        <v>17.407481617784892</v>
      </c>
      <c r="AR32" s="3107">
        <f t="shared" si="513"/>
        <v>36.8438151052694</v>
      </c>
      <c r="AS32" s="3107">
        <f t="shared" si="513"/>
        <v>36.850084717045078</v>
      </c>
      <c r="AT32" s="3107">
        <f t="shared" si="513"/>
        <v>17.368421052631579</v>
      </c>
      <c r="AU32" s="3107">
        <f t="shared" si="513"/>
        <v>36.010638961687256</v>
      </c>
      <c r="AV32" s="3107">
        <f t="shared" si="513"/>
        <v>36.028919425359149</v>
      </c>
      <c r="AW32" s="3107">
        <f t="shared" si="513"/>
        <v>17.71875</v>
      </c>
      <c r="AX32" s="3128">
        <f t="shared" si="513"/>
        <v>36.841988476826401</v>
      </c>
      <c r="AY32" s="3128">
        <f t="shared" si="513"/>
        <v>36.851385527292081</v>
      </c>
      <c r="AZ32" s="3128">
        <f t="shared" si="513"/>
        <v>17.407481617784892</v>
      </c>
      <c r="BA32" s="3128">
        <f t="shared" si="513"/>
        <v>36.843746916103939</v>
      </c>
      <c r="BB32" s="3128">
        <f t="shared" si="513"/>
        <v>36.85038870379185</v>
      </c>
      <c r="BC32" s="3128">
        <f t="shared" si="513"/>
        <v>17.422680412371133</v>
      </c>
      <c r="BD32" s="3128">
        <f t="shared" ref="BD32:BF32" si="514">SUM(BD31/BD14)</f>
        <v>36.022780163230514</v>
      </c>
      <c r="BE32" s="3128">
        <f t="shared" si="514"/>
        <v>36.028656677268096</v>
      </c>
      <c r="BF32" s="3128">
        <f t="shared" si="514"/>
        <v>18.099999999999998</v>
      </c>
      <c r="BG32" s="3128">
        <f t="shared" si="513"/>
        <v>36.841988476826401</v>
      </c>
      <c r="BH32" s="3128">
        <f t="shared" si="513"/>
        <v>36.851385527292081</v>
      </c>
      <c r="BI32" s="3128">
        <f t="shared" si="513"/>
        <v>17.407481617784892</v>
      </c>
      <c r="BJ32" s="3128">
        <f t="shared" si="513"/>
        <v>36.844391294627798</v>
      </c>
      <c r="BK32" s="3128">
        <f t="shared" si="513"/>
        <v>36.84997976728831</v>
      </c>
      <c r="BL32" s="3128">
        <f t="shared" si="513"/>
        <v>17.407407407407405</v>
      </c>
      <c r="BM32" s="3128">
        <f t="shared" si="513"/>
        <v>36.024001477013975</v>
      </c>
      <c r="BN32" s="3128">
        <f t="shared" si="513"/>
        <v>36.029271445720092</v>
      </c>
      <c r="BO32" s="3128">
        <f t="shared" si="513"/>
        <v>17</v>
      </c>
      <c r="BP32" s="3129">
        <f t="shared" si="513"/>
        <v>36.841988476826401</v>
      </c>
      <c r="BQ32" s="3129">
        <f t="shared" si="513"/>
        <v>36.851385527292074</v>
      </c>
      <c r="BR32" s="3129">
        <f t="shared" si="513"/>
        <v>17.407481617784892</v>
      </c>
      <c r="BS32" s="3129">
        <f t="shared" si="513"/>
        <v>36.843981271711222</v>
      </c>
      <c r="BT32" s="3129">
        <f t="shared" si="513"/>
        <v>36.850150559528252</v>
      </c>
      <c r="BU32" s="3129">
        <f t="shared" si="513"/>
        <v>17.399267399267398</v>
      </c>
      <c r="BV32" s="3129">
        <f t="shared" si="513"/>
        <v>36.019103924930818</v>
      </c>
      <c r="BW32" s="3129">
        <f t="shared" si="513"/>
        <v>36.028955456382612</v>
      </c>
      <c r="BX32" s="3129">
        <f t="shared" si="513"/>
        <v>17.666666666666664</v>
      </c>
      <c r="BY32" s="3110">
        <f t="shared" si="394"/>
        <v>1.9927948848206256E-3</v>
      </c>
      <c r="BZ32" s="3110">
        <f t="shared" si="395"/>
        <v>-1.2349677638212597E-3</v>
      </c>
      <c r="CA32" s="3110">
        <f t="shared" si="396"/>
        <v>-8.2142185174944871E-3</v>
      </c>
      <c r="CB32" s="3129">
        <f t="shared" ref="CB32:CJ32" si="515">SUM(CB31/CB14)</f>
        <v>36.841988476826401</v>
      </c>
      <c r="CC32" s="3129">
        <f t="shared" si="515"/>
        <v>36.851385527292074</v>
      </c>
      <c r="CD32" s="3129">
        <f t="shared" si="515"/>
        <v>17.407481617784892</v>
      </c>
      <c r="CE32" s="3129">
        <f t="shared" si="515"/>
        <v>36.843782632948304</v>
      </c>
      <c r="CF32" s="3129">
        <f t="shared" si="515"/>
        <v>36.849978668491218</v>
      </c>
      <c r="CG32" s="3129">
        <f t="shared" si="515"/>
        <v>17.401433691756271</v>
      </c>
      <c r="CH32" s="3129">
        <f t="shared" si="515"/>
        <v>36.019417166347118</v>
      </c>
      <c r="CI32" s="3129">
        <f t="shared" si="515"/>
        <v>36.028593138921948</v>
      </c>
      <c r="CJ32" s="3129">
        <f t="shared" si="515"/>
        <v>17.842105263157894</v>
      </c>
      <c r="CK32" s="3110">
        <f t="shared" si="406"/>
        <v>1.7941561219032565E-3</v>
      </c>
      <c r="CL32" s="3110">
        <f t="shared" si="407"/>
        <v>-1.4068588008555594E-3</v>
      </c>
      <c r="CM32" s="3110">
        <f t="shared" si="408"/>
        <v>-6.0479260286214753E-3</v>
      </c>
      <c r="CN32" s="3128">
        <f t="shared" ref="CN32:DW32" si="516">SUM(CN31/CN14)</f>
        <v>38.102254781460246</v>
      </c>
      <c r="CO32" s="3128">
        <f t="shared" si="516"/>
        <v>38.112261200928735</v>
      </c>
      <c r="CP32" s="3128">
        <f t="shared" si="516"/>
        <v>17.407481617784892</v>
      </c>
      <c r="CQ32" s="3128">
        <f t="shared" si="516"/>
        <v>38.098892967514473</v>
      </c>
      <c r="CR32" s="3128">
        <f t="shared" si="516"/>
        <v>38.105739819521702</v>
      </c>
      <c r="CS32" s="3128">
        <f t="shared" si="516"/>
        <v>17.362637362637365</v>
      </c>
      <c r="CT32" s="3128">
        <f t="shared" si="516"/>
        <v>36.851094530865069</v>
      </c>
      <c r="CU32" s="3128">
        <f t="shared" si="516"/>
        <v>36.850248178265922</v>
      </c>
      <c r="CV32" s="3128">
        <f t="shared" si="516"/>
        <v>40.285714285714278</v>
      </c>
      <c r="CW32" s="3128">
        <f t="shared" si="516"/>
        <v>38.102254781460246</v>
      </c>
      <c r="CX32" s="3128">
        <f t="shared" si="516"/>
        <v>38.112261200928735</v>
      </c>
      <c r="CY32" s="3128">
        <f t="shared" si="516"/>
        <v>17.407481617784892</v>
      </c>
      <c r="CZ32" s="3128">
        <f t="shared" si="516"/>
        <v>38.105591859836885</v>
      </c>
      <c r="DA32" s="3128">
        <f t="shared" si="516"/>
        <v>38.111573624309173</v>
      </c>
      <c r="DB32" s="3128">
        <f t="shared" si="516"/>
        <v>17.444444444444446</v>
      </c>
      <c r="DC32" s="3128">
        <f t="shared" ref="DC32:DE32" si="517">SUM(DC31/DC14)</f>
        <v>36.848613928329954</v>
      </c>
      <c r="DD32" s="3128">
        <f t="shared" si="517"/>
        <v>36.847800358435059</v>
      </c>
      <c r="DE32" s="3128">
        <f t="shared" si="517"/>
        <v>40.285714285714278</v>
      </c>
      <c r="DF32" s="3128">
        <f t="shared" si="516"/>
        <v>38.102254781460246</v>
      </c>
      <c r="DG32" s="3128">
        <f t="shared" si="516"/>
        <v>38.112261200928735</v>
      </c>
      <c r="DH32" s="3128">
        <f t="shared" si="516"/>
        <v>17.407481617784892</v>
      </c>
      <c r="DI32" s="3128">
        <f t="shared" si="516"/>
        <v>38.104824970692853</v>
      </c>
      <c r="DJ32" s="3128">
        <f t="shared" si="516"/>
        <v>38.111015144619664</v>
      </c>
      <c r="DK32" s="3128">
        <f t="shared" si="516"/>
        <v>17.400000000000002</v>
      </c>
      <c r="DL32" s="3128">
        <f t="shared" si="516"/>
        <v>36.84707616707616</v>
      </c>
      <c r="DM32" s="3128">
        <f t="shared" si="516"/>
        <v>36.846304834370464</v>
      </c>
      <c r="DN32" s="3128">
        <f t="shared" si="516"/>
        <v>39.753086419753089</v>
      </c>
      <c r="DO32" s="3129">
        <f t="shared" si="516"/>
        <v>38.102254781460246</v>
      </c>
      <c r="DP32" s="3129">
        <f t="shared" si="516"/>
        <v>38.112261200928735</v>
      </c>
      <c r="DQ32" s="3129">
        <f t="shared" si="516"/>
        <v>17.407481617784892</v>
      </c>
      <c r="DR32" s="3129">
        <f t="shared" si="516"/>
        <v>38.103251423518614</v>
      </c>
      <c r="DS32" s="3129">
        <f t="shared" si="516"/>
        <v>38.109572571758228</v>
      </c>
      <c r="DT32" s="3129">
        <f t="shared" si="516"/>
        <v>17.402214022140221</v>
      </c>
      <c r="DU32" s="3129">
        <f t="shared" si="516"/>
        <v>36.848879901490072</v>
      </c>
      <c r="DV32" s="3129">
        <f t="shared" si="516"/>
        <v>36.848070384386347</v>
      </c>
      <c r="DW32" s="3129">
        <f t="shared" si="516"/>
        <v>40.090497737556554</v>
      </c>
      <c r="DX32" s="3110">
        <f t="shared" si="424"/>
        <v>9.9664205836802466E-4</v>
      </c>
      <c r="DY32" s="3110">
        <f t="shared" si="425"/>
        <v>-2.6886291705068288E-3</v>
      </c>
      <c r="DZ32" s="3110">
        <f t="shared" si="426"/>
        <v>-5.2675956446712746E-3</v>
      </c>
      <c r="EA32" s="3129">
        <f t="shared" ref="EA32:EI32" si="518">SUM(EA31/EA14)</f>
        <v>37.262077245037688</v>
      </c>
      <c r="EB32" s="3129">
        <f t="shared" si="518"/>
        <v>37.271677418504304</v>
      </c>
      <c r="EC32" s="3129">
        <f t="shared" si="518"/>
        <v>17.407481617784889</v>
      </c>
      <c r="ED32" s="3129">
        <f t="shared" si="518"/>
        <v>37.267429735826852</v>
      </c>
      <c r="EE32" s="3129">
        <f t="shared" si="518"/>
        <v>37.273671603323947</v>
      </c>
      <c r="EF32" s="3129">
        <f t="shared" si="518"/>
        <v>17.401688781664657</v>
      </c>
      <c r="EG32" s="3129">
        <f t="shared" si="518"/>
        <v>36.28466868492734</v>
      </c>
      <c r="EH32" s="3129">
        <f t="shared" si="518"/>
        <v>36.290696880142278</v>
      </c>
      <c r="EI32" s="3129">
        <f t="shared" si="518"/>
        <v>22.040990606319383</v>
      </c>
      <c r="EJ32" s="3110">
        <f t="shared" si="436"/>
        <v>5.3524907891642215E-3</v>
      </c>
      <c r="EK32" s="3110">
        <f t="shared" si="436"/>
        <v>1.9941848196438627E-3</v>
      </c>
      <c r="EL32" s="3110">
        <f t="shared" si="436"/>
        <v>-5.792836120232181E-3</v>
      </c>
      <c r="EM32" s="3128">
        <f t="shared" ref="EM32:FV32" si="519">SUM(EM31/EM14)</f>
        <v>38.102254781460246</v>
      </c>
      <c r="EN32" s="3128">
        <f t="shared" si="519"/>
        <v>38.112261200928735</v>
      </c>
      <c r="EO32" s="3128">
        <f t="shared" si="519"/>
        <v>17.407481617784892</v>
      </c>
      <c r="EP32" s="3128" t="e">
        <f t="shared" si="519"/>
        <v>#DIV/0!</v>
      </c>
      <c r="EQ32" s="3128" t="e">
        <f t="shared" si="519"/>
        <v>#DIV/0!</v>
      </c>
      <c r="ER32" s="3128" t="e">
        <f t="shared" si="519"/>
        <v>#DIV/0!</v>
      </c>
      <c r="ES32" s="3128">
        <f t="shared" si="519"/>
        <v>36.848094296820072</v>
      </c>
      <c r="ET32" s="3128">
        <f t="shared" si="519"/>
        <v>36.847324141774706</v>
      </c>
      <c r="EU32" s="3128">
        <f t="shared" si="519"/>
        <v>39.75</v>
      </c>
      <c r="EV32" s="3128">
        <f t="shared" si="519"/>
        <v>38.102254781460246</v>
      </c>
      <c r="EW32" s="3128">
        <f t="shared" si="519"/>
        <v>38.112261200928735</v>
      </c>
      <c r="EX32" s="3128">
        <f t="shared" si="519"/>
        <v>17.407481617784892</v>
      </c>
      <c r="EY32" s="3128" t="e">
        <f t="shared" si="519"/>
        <v>#DIV/0!</v>
      </c>
      <c r="EZ32" s="3128" t="e">
        <f t="shared" si="519"/>
        <v>#DIV/0!</v>
      </c>
      <c r="FA32" s="3128" t="e">
        <f t="shared" si="519"/>
        <v>#DIV/0!</v>
      </c>
      <c r="FB32" s="3128">
        <f t="shared" ref="FB32:FD32" si="520">SUM(FB31/FB14)</f>
        <v>36.84995107467018</v>
      </c>
      <c r="FC32" s="3128">
        <f t="shared" si="520"/>
        <v>36.848898039083338</v>
      </c>
      <c r="FD32" s="3128">
        <f t="shared" si="520"/>
        <v>40.75</v>
      </c>
      <c r="FE32" s="3128">
        <f t="shared" si="519"/>
        <v>38.102254781460246</v>
      </c>
      <c r="FF32" s="3128">
        <f t="shared" si="519"/>
        <v>38.112261200928735</v>
      </c>
      <c r="FG32" s="3128">
        <f t="shared" si="519"/>
        <v>17.407481617784892</v>
      </c>
      <c r="FH32" s="3128" t="e">
        <f t="shared" si="519"/>
        <v>#DIV/0!</v>
      </c>
      <c r="FI32" s="3128" t="e">
        <f t="shared" si="519"/>
        <v>#DIV/0!</v>
      </c>
      <c r="FJ32" s="3128" t="e">
        <f t="shared" si="519"/>
        <v>#DIV/0!</v>
      </c>
      <c r="FK32" s="3128">
        <f t="shared" si="519"/>
        <v>36.854139022149639</v>
      </c>
      <c r="FL32" s="3128">
        <f t="shared" si="519"/>
        <v>36.854139022149639</v>
      </c>
      <c r="FM32" s="3128" t="e">
        <f t="shared" si="519"/>
        <v>#DIV/0!</v>
      </c>
      <c r="FN32" s="3129">
        <f t="shared" si="519"/>
        <v>38.102254781460246</v>
      </c>
      <c r="FO32" s="3129">
        <f t="shared" si="519"/>
        <v>38.112261200928735</v>
      </c>
      <c r="FP32" s="3129">
        <f t="shared" si="519"/>
        <v>17.407481617784892</v>
      </c>
      <c r="FQ32" s="3129" t="e">
        <f t="shared" si="519"/>
        <v>#DIV/0!</v>
      </c>
      <c r="FR32" s="3129" t="e">
        <f t="shared" si="519"/>
        <v>#DIV/0!</v>
      </c>
      <c r="FS32" s="3129" t="e">
        <f t="shared" si="519"/>
        <v>#DIV/0!</v>
      </c>
      <c r="FT32" s="3129">
        <f t="shared" si="519"/>
        <v>36.850703524124356</v>
      </c>
      <c r="FU32" s="3129">
        <f t="shared" si="519"/>
        <v>36.850093535927215</v>
      </c>
      <c r="FV32" s="3129">
        <f t="shared" si="519"/>
        <v>40.249999999999993</v>
      </c>
      <c r="FW32" s="3110" t="e">
        <f t="shared" si="452"/>
        <v>#DIV/0!</v>
      </c>
      <c r="FX32" s="3110" t="e">
        <f t="shared" si="453"/>
        <v>#DIV/0!</v>
      </c>
      <c r="FY32" s="3110" t="e">
        <f t="shared" si="454"/>
        <v>#DIV/0!</v>
      </c>
      <c r="FZ32" s="3129">
        <f t="shared" ref="FZ32:GH32" si="521">SUM(FZ31/FZ14)</f>
        <v>37.472121629143324</v>
      </c>
      <c r="GA32" s="3129">
        <f t="shared" si="521"/>
        <v>37.481823364110404</v>
      </c>
      <c r="GB32" s="3129">
        <f t="shared" si="521"/>
        <v>17.407481617784892</v>
      </c>
      <c r="GC32" s="3129">
        <f t="shared" si="521"/>
        <v>37.267429735826852</v>
      </c>
      <c r="GD32" s="3129">
        <f t="shared" si="521"/>
        <v>37.273671603323947</v>
      </c>
      <c r="GE32" s="3129">
        <f t="shared" si="521"/>
        <v>17.401688781664657</v>
      </c>
      <c r="GF32" s="3129">
        <f t="shared" si="521"/>
        <v>36.422594222286342</v>
      </c>
      <c r="GG32" s="3129">
        <f t="shared" si="521"/>
        <v>36.427030018928392</v>
      </c>
      <c r="GH32" s="3129">
        <f t="shared" si="521"/>
        <v>24.229902329075884</v>
      </c>
      <c r="GI32" s="3110">
        <f t="shared" si="463"/>
        <v>-0.20469189331647186</v>
      </c>
      <c r="GJ32" s="3110">
        <f t="shared" si="464"/>
        <v>-0.20815176078645692</v>
      </c>
      <c r="GK32" s="3110">
        <f t="shared" si="465"/>
        <v>-5.7928361202357337E-3</v>
      </c>
      <c r="GL32" s="627"/>
    </row>
    <row r="33" spans="1:194" ht="19.5" x14ac:dyDescent="0.35">
      <c r="A33" s="3130" t="s">
        <v>261</v>
      </c>
      <c r="B33" s="3125">
        <f>SUM(C33)</f>
        <v>30.296414915254239</v>
      </c>
      <c r="C33" s="3125">
        <f>SUM('вода 2018 коррект'!W46)</f>
        <v>30.296414915254239</v>
      </c>
      <c r="D33" s="3125"/>
      <c r="E33" s="3125">
        <f>SUM(E24/E15)</f>
        <v>30.300015314006746</v>
      </c>
      <c r="F33" s="3125">
        <f>SUM(F24/F15)</f>
        <v>30.300015314006746</v>
      </c>
      <c r="G33" s="3174"/>
      <c r="H33" s="3125">
        <f>SUM(H24/H15)</f>
        <v>28.957758338401085</v>
      </c>
      <c r="I33" s="3125">
        <f>SUM(I24/I15)</f>
        <v>28.957758338401085</v>
      </c>
      <c r="J33" s="3174"/>
      <c r="K33" s="3125">
        <f>SUM(L33)</f>
        <v>30.296414915254239</v>
      </c>
      <c r="L33" s="3125">
        <f>SUM(C33)</f>
        <v>30.296414915254239</v>
      </c>
      <c r="M33" s="3125"/>
      <c r="N33" s="3125">
        <f>SUM(N24/N15)</f>
        <v>30.299457177322076</v>
      </c>
      <c r="O33" s="3125">
        <f>SUM(O24/O15)</f>
        <v>30.299457177322076</v>
      </c>
      <c r="P33" s="3174"/>
      <c r="Q33" s="3125">
        <f>SUM(Q24/Q15)</f>
        <v>28.95817087845969</v>
      </c>
      <c r="R33" s="3125">
        <f>SUM(R24/R15)</f>
        <v>28.95817087845969</v>
      </c>
      <c r="S33" s="3174"/>
      <c r="T33" s="3125">
        <f>SUM(U33)</f>
        <v>30.296414915254239</v>
      </c>
      <c r="U33" s="3125">
        <f>SUM(C33)</f>
        <v>30.296414915254239</v>
      </c>
      <c r="V33" s="3125"/>
      <c r="W33" s="3125">
        <f>SUM(W24/W15)</f>
        <v>30.300001566587817</v>
      </c>
      <c r="X33" s="3125">
        <f>SUM(X24/X15)</f>
        <v>30.300001566587817</v>
      </c>
      <c r="Y33" s="3174"/>
      <c r="Z33" s="3125">
        <f>SUM(Z24/Z15)</f>
        <v>28.95683087861859</v>
      </c>
      <c r="AA33" s="3125">
        <f>SUM(AA24/AA15)</f>
        <v>28.95683087861859</v>
      </c>
      <c r="AB33" s="3174"/>
      <c r="AC33" s="3132">
        <f>SUM(AC24/AC15)</f>
        <v>30.296414915254239</v>
      </c>
      <c r="AD33" s="3132">
        <f>SUM(AD24/AD15)</f>
        <v>30.296414915254239</v>
      </c>
      <c r="AE33" s="3132"/>
      <c r="AF33" s="3132">
        <f>SUM(AF24/AF15)</f>
        <v>30.29982770798815</v>
      </c>
      <c r="AG33" s="3132">
        <f>SUM(AG24/AG15)</f>
        <v>30.29982770798815</v>
      </c>
      <c r="AH33" s="3132"/>
      <c r="AI33" s="3132">
        <f>SUM(AI24/AI15)</f>
        <v>28.957601629960223</v>
      </c>
      <c r="AJ33" s="3132">
        <f>SUM(AJ24/AJ15)</f>
        <v>28.957601629960223</v>
      </c>
      <c r="AK33" s="3132"/>
      <c r="AL33" s="3133">
        <f t="shared" si="376"/>
        <v>3.4127927339113739E-3</v>
      </c>
      <c r="AM33" s="3133">
        <f t="shared" si="377"/>
        <v>3.4127927339113739E-3</v>
      </c>
      <c r="AN33" s="3133">
        <f t="shared" si="378"/>
        <v>0</v>
      </c>
      <c r="AO33" s="3118">
        <f>SUM(AP33)</f>
        <v>30.296414915254239</v>
      </c>
      <c r="AP33" s="3118">
        <f>SUM(C33)</f>
        <v>30.296414915254239</v>
      </c>
      <c r="AQ33" s="3118"/>
      <c r="AR33" s="3118">
        <f>SUM(AR24/AR15)</f>
        <v>30.300509943906171</v>
      </c>
      <c r="AS33" s="3118">
        <f>SUM(AS24/AS15)</f>
        <v>30.300509943906171</v>
      </c>
      <c r="AT33" s="3466"/>
      <c r="AU33" s="3118">
        <f>SUM(AU24/AU15)</f>
        <v>28.957491422035833</v>
      </c>
      <c r="AV33" s="3118">
        <f>SUM(AV24/AV15)</f>
        <v>28.957491422035833</v>
      </c>
      <c r="AW33" s="3466"/>
      <c r="AX33" s="3125">
        <f>SUM(AY33)</f>
        <v>30.296414915254239</v>
      </c>
      <c r="AY33" s="3125">
        <f>SUM(C33)</f>
        <v>30.296414915254239</v>
      </c>
      <c r="AZ33" s="3125"/>
      <c r="BA33" s="3125">
        <f>SUM(BA24/BA15)</f>
        <v>30.300100745926915</v>
      </c>
      <c r="BB33" s="3125">
        <f>SUM(BB24/BB15)</f>
        <v>30.300100745926915</v>
      </c>
      <c r="BC33" s="3174"/>
      <c r="BD33" s="3125">
        <f>SUM(BD24/BD15)</f>
        <v>28.958399681528658</v>
      </c>
      <c r="BE33" s="3125">
        <f>SUM(BE24/BE15)</f>
        <v>28.958399681528658</v>
      </c>
      <c r="BF33" s="3174"/>
      <c r="BG33" s="3125">
        <f>SUM(BH33)</f>
        <v>30.296414915254239</v>
      </c>
      <c r="BH33" s="3125">
        <f>SUM(C33)</f>
        <v>30.296414915254239</v>
      </c>
      <c r="BI33" s="3125"/>
      <c r="BJ33" s="3125">
        <f>SUM(BJ24/BJ15)</f>
        <v>30.299929538059811</v>
      </c>
      <c r="BK33" s="3125">
        <f>SUM(BK24/BK15)</f>
        <v>30.299929538059811</v>
      </c>
      <c r="BL33" s="3174"/>
      <c r="BM33" s="3125">
        <f>SUM(BM24/BM15)</f>
        <v>28.958212793314043</v>
      </c>
      <c r="BN33" s="3125">
        <f>SUM(BN24/BN15)</f>
        <v>28.958212793314043</v>
      </c>
      <c r="BO33" s="3174"/>
      <c r="BP33" s="3132">
        <f>SUM(BP24/BP15)</f>
        <v>30.296414915254239</v>
      </c>
      <c r="BQ33" s="3132">
        <f>SUM(BQ24/BQ15)</f>
        <v>30.296414915254239</v>
      </c>
      <c r="BR33" s="3132"/>
      <c r="BS33" s="3132">
        <f>SUM(BS24/BS15)</f>
        <v>30.300181338214557</v>
      </c>
      <c r="BT33" s="3132">
        <f>SUM(BT24/BT15)</f>
        <v>30.300181338214557</v>
      </c>
      <c r="BU33" s="3132"/>
      <c r="BV33" s="3132">
        <f>SUM(BV24/BV15)</f>
        <v>28.958031722799365</v>
      </c>
      <c r="BW33" s="3132">
        <f>SUM(BW24/BW15)</f>
        <v>28.958031722799365</v>
      </c>
      <c r="BX33" s="3132"/>
      <c r="BY33" s="3133">
        <f t="shared" ref="BY33:BY36" si="522">SUM(BS33-BP33)</f>
        <v>3.7664229603180388E-3</v>
      </c>
      <c r="BZ33" s="3133">
        <f t="shared" si="395"/>
        <v>3.7664229603180388E-3</v>
      </c>
      <c r="CA33" s="3133">
        <f t="shared" si="396"/>
        <v>0</v>
      </c>
      <c r="CB33" s="3132">
        <f>SUM(CB24/CB15)</f>
        <v>30.296414915254239</v>
      </c>
      <c r="CC33" s="3132">
        <f>SUM(CC24/CC15)</f>
        <v>30.296414915254239</v>
      </c>
      <c r="CD33" s="3132"/>
      <c r="CE33" s="3132">
        <f>SUM(CE24/CE15)</f>
        <v>30.300001510581627</v>
      </c>
      <c r="CF33" s="3132">
        <f>SUM(CF24/CF15)</f>
        <v>30.300001510581627</v>
      </c>
      <c r="CG33" s="3132"/>
      <c r="CH33" s="3132">
        <f>SUM(CH24/CH15)</f>
        <v>28.957818426771667</v>
      </c>
      <c r="CI33" s="3132">
        <f>SUM(CI24/CI15)</f>
        <v>28.957818426771667</v>
      </c>
      <c r="CJ33" s="3132"/>
      <c r="CK33" s="3133">
        <f t="shared" si="406"/>
        <v>3.5865953273876983E-3</v>
      </c>
      <c r="CL33" s="3133">
        <f t="shared" si="407"/>
        <v>3.5865953273876983E-3</v>
      </c>
      <c r="CM33" s="3133">
        <f t="shared" si="408"/>
        <v>0</v>
      </c>
      <c r="CN33" s="3125">
        <f>SUM(CO33)</f>
        <v>30.993232458305084</v>
      </c>
      <c r="CO33" s="3125">
        <f>SUM('вода 2018 коррект'!W47)</f>
        <v>30.993232458305084</v>
      </c>
      <c r="CP33" s="3125"/>
      <c r="CQ33" s="3125">
        <f>SUM(CQ24/CQ15)</f>
        <v>30.991855240543256</v>
      </c>
      <c r="CR33" s="3125">
        <f>SUM(CR24/CR15)</f>
        <v>30.991855240543256</v>
      </c>
      <c r="CS33" s="3174"/>
      <c r="CT33" s="3125">
        <f>SUM(CT24/CT15)</f>
        <v>30.300360746588591</v>
      </c>
      <c r="CU33" s="3125">
        <f>SUM(CU24/CU15)</f>
        <v>30.300360746588591</v>
      </c>
      <c r="CV33" s="3174"/>
      <c r="CW33" s="3125">
        <f>SUM(CX33)</f>
        <v>30.993232458305084</v>
      </c>
      <c r="CX33" s="3125">
        <f>SUM(CO33)</f>
        <v>30.993232458305084</v>
      </c>
      <c r="CY33" s="3125"/>
      <c r="CZ33" s="3125">
        <f>SUM(CZ24/CZ15)</f>
        <v>30.991676522437682</v>
      </c>
      <c r="DA33" s="3125">
        <f>SUM(DA24/DA15)</f>
        <v>30.991676522437682</v>
      </c>
      <c r="DB33" s="3174"/>
      <c r="DC33" s="3125">
        <f>SUM(DC24/DC15)</f>
        <v>30.29755958327387</v>
      </c>
      <c r="DD33" s="3125">
        <f>SUM(DD24/DD15)</f>
        <v>30.29755958327387</v>
      </c>
      <c r="DE33" s="3174"/>
      <c r="DF33" s="3125">
        <f>SUM(DG33)</f>
        <v>30.993232458305084</v>
      </c>
      <c r="DG33" s="3125">
        <f>SUM(CO33)</f>
        <v>30.993232458305084</v>
      </c>
      <c r="DH33" s="3125"/>
      <c r="DI33" s="3125">
        <f>SUM(DI24/DI15)</f>
        <v>30.991593719982419</v>
      </c>
      <c r="DJ33" s="3125">
        <f>SUM(DJ24/DJ15)</f>
        <v>30.991593719982419</v>
      </c>
      <c r="DK33" s="3174"/>
      <c r="DL33" s="3125">
        <f>SUM(DL24/DL15)</f>
        <v>30.295694557270512</v>
      </c>
      <c r="DM33" s="3125">
        <f>SUM(DM24/DM15)</f>
        <v>30.295694557270512</v>
      </c>
      <c r="DN33" s="3174"/>
      <c r="DO33" s="3132">
        <f>SUM(DO24/DO15)</f>
        <v>30.993232458305087</v>
      </c>
      <c r="DP33" s="3132">
        <f>SUM(DP24/DP15)</f>
        <v>30.993232458305087</v>
      </c>
      <c r="DQ33" s="3132"/>
      <c r="DR33" s="3132">
        <f>SUM(DR24/DR15)</f>
        <v>30.991709256480295</v>
      </c>
      <c r="DS33" s="3132">
        <f>SUM(DS24/DS15)</f>
        <v>30.991709256480295</v>
      </c>
      <c r="DT33" s="3132"/>
      <c r="DU33" s="3132">
        <f>SUM(DU24/DU15)</f>
        <v>30.297841053405524</v>
      </c>
      <c r="DV33" s="3132">
        <f>SUM(DV24/DV15)</f>
        <v>30.297841053405524</v>
      </c>
      <c r="DW33" s="3132"/>
      <c r="DX33" s="3110">
        <f t="shared" ref="DX33:DX36" si="523">SUM(DR33-DO33)</f>
        <v>-1.523201824792153E-3</v>
      </c>
      <c r="DY33" s="3110">
        <f t="shared" si="425"/>
        <v>-1.523201824792153E-3</v>
      </c>
      <c r="DZ33" s="3110">
        <f t="shared" si="426"/>
        <v>0</v>
      </c>
      <c r="EA33" s="3132">
        <f>SUM(EA24/EA15)</f>
        <v>30.528687429604524</v>
      </c>
      <c r="EB33" s="3132">
        <f>SUM(EB24/EB15)</f>
        <v>30.528687429604524</v>
      </c>
      <c r="EC33" s="3132"/>
      <c r="ED33" s="3132">
        <f>SUM(ED24/ED15)</f>
        <v>30.532781960831912</v>
      </c>
      <c r="EE33" s="3132">
        <f>SUM(EE24/EE15)</f>
        <v>30.532781960831912</v>
      </c>
      <c r="EF33" s="3132"/>
      <c r="EG33" s="3132">
        <f>SUM(EG24/EG15)</f>
        <v>29.392363839322002</v>
      </c>
      <c r="EH33" s="3132">
        <f>SUM(EH24/EH15)</f>
        <v>29.392363839322002</v>
      </c>
      <c r="EI33" s="3132"/>
      <c r="EJ33" s="3110">
        <f t="shared" si="436"/>
        <v>4.0945312273876766E-3</v>
      </c>
      <c r="EK33" s="3110">
        <f t="shared" si="436"/>
        <v>4.0945312273876766E-3</v>
      </c>
      <c r="EL33" s="3110">
        <f t="shared" si="436"/>
        <v>0</v>
      </c>
      <c r="EM33" s="3125">
        <f>SUM(EN33)</f>
        <v>30.993232458305084</v>
      </c>
      <c r="EN33" s="3125">
        <f>SUM(CO33)</f>
        <v>30.993232458305084</v>
      </c>
      <c r="EO33" s="3125"/>
      <c r="EP33" s="3125" t="e">
        <f>SUM(EP24/EP15)</f>
        <v>#DIV/0!</v>
      </c>
      <c r="EQ33" s="3125" t="e">
        <f>SUM(EQ24/EQ15)</f>
        <v>#DIV/0!</v>
      </c>
      <c r="ER33" s="3174"/>
      <c r="ES33" s="3125">
        <f>SUM(ES24/ES15)</f>
        <v>30.297127979011002</v>
      </c>
      <c r="ET33" s="3125">
        <f>SUM(ET24/ET15)</f>
        <v>30.297127979011002</v>
      </c>
      <c r="EU33" s="3174"/>
      <c r="EV33" s="3125">
        <f>SUM(EW33)</f>
        <v>30.993232458305084</v>
      </c>
      <c r="EW33" s="3125">
        <f>SUM(CO33)</f>
        <v>30.993232458305084</v>
      </c>
      <c r="EX33" s="3125"/>
      <c r="EY33" s="3125" t="e">
        <f>SUM(EY24/EY15)</f>
        <v>#DIV/0!</v>
      </c>
      <c r="EZ33" s="3125" t="e">
        <f>SUM(EZ24/EZ15)</f>
        <v>#DIV/0!</v>
      </c>
      <c r="FA33" s="3174"/>
      <c r="FB33" s="3125">
        <f>SUM(FB24/FB15)</f>
        <v>30.297290335874717</v>
      </c>
      <c r="FC33" s="3125">
        <f>SUM(FC24/FC15)</f>
        <v>30.297290335874717</v>
      </c>
      <c r="FD33" s="3174"/>
      <c r="FE33" s="3125">
        <f>SUM(FF33)</f>
        <v>30.993232458305084</v>
      </c>
      <c r="FF33" s="3125">
        <f>SUM(CO33)</f>
        <v>30.993232458305084</v>
      </c>
      <c r="FG33" s="3125"/>
      <c r="FH33" s="3125" t="e">
        <f>SUM(FH24/FH15)</f>
        <v>#DIV/0!</v>
      </c>
      <c r="FI33" s="3125" t="e">
        <f>SUM(FI24/FI15)</f>
        <v>#DIV/0!</v>
      </c>
      <c r="FJ33" s="3174"/>
      <c r="FK33" s="3125">
        <f>SUM(FK24/FK15)</f>
        <v>30.2981950636077</v>
      </c>
      <c r="FL33" s="3125">
        <f>SUM(FL24/FL15)</f>
        <v>30.2981950636077</v>
      </c>
      <c r="FM33" s="3174"/>
      <c r="FN33" s="3132">
        <f>SUM(FN24/FN15)</f>
        <v>30.993232458305087</v>
      </c>
      <c r="FO33" s="3132">
        <f>SUM(FO24/FO15)</f>
        <v>30.993232458305087</v>
      </c>
      <c r="FP33" s="3132"/>
      <c r="FQ33" s="3132" t="e">
        <f>SUM(FQ24/FQ15)</f>
        <v>#DIV/0!</v>
      </c>
      <c r="FR33" s="3132" t="e">
        <f>SUM(FR24/FR15)</f>
        <v>#DIV/0!</v>
      </c>
      <c r="FS33" s="3132"/>
      <c r="FT33" s="3132">
        <f>SUM(FT24/FT15)</f>
        <v>30.297521718238475</v>
      </c>
      <c r="FU33" s="3132">
        <f>SUM(FU24/FU15)</f>
        <v>30.297521718238475</v>
      </c>
      <c r="FV33" s="3132"/>
      <c r="FW33" s="3110" t="e">
        <f t="shared" ref="FW33:FW36" si="524">SUM(FQ33-FN33)</f>
        <v>#DIV/0!</v>
      </c>
      <c r="FX33" s="3110" t="e">
        <f t="shared" si="453"/>
        <v>#DIV/0!</v>
      </c>
      <c r="FY33" s="3110">
        <f t="shared" si="454"/>
        <v>0</v>
      </c>
      <c r="FZ33" s="3132">
        <f>SUM(FZ24/FZ15)</f>
        <v>30.644823686779663</v>
      </c>
      <c r="GA33" s="3132">
        <f>SUM(GA24/GA15)</f>
        <v>30.644823686779663</v>
      </c>
      <c r="GB33" s="3132"/>
      <c r="GC33" s="3132">
        <f>SUM(GC24/GC15)</f>
        <v>30.532781960831912</v>
      </c>
      <c r="GD33" s="3132">
        <f>SUM(GD24/GD15)</f>
        <v>30.532781960831912</v>
      </c>
      <c r="GE33" s="3132"/>
      <c r="GF33" s="3132">
        <f>SUM(GF24/GF15)</f>
        <v>29.608403713568119</v>
      </c>
      <c r="GG33" s="3132">
        <f>SUM(GG24/GG15)</f>
        <v>29.608403713568119</v>
      </c>
      <c r="GH33" s="3132"/>
      <c r="GI33" s="3110">
        <f t="shared" si="463"/>
        <v>-0.1120417259477513</v>
      </c>
      <c r="GJ33" s="3110">
        <f t="shared" si="464"/>
        <v>-0.1120417259477513</v>
      </c>
      <c r="GK33" s="3110">
        <f t="shared" si="465"/>
        <v>0</v>
      </c>
      <c r="GL33" s="627"/>
    </row>
    <row r="34" spans="1:194" ht="19.5" x14ac:dyDescent="0.35">
      <c r="A34" s="3130" t="s">
        <v>3647</v>
      </c>
      <c r="B34" s="3125">
        <f>SUM(C34)</f>
        <v>6.5549706120378417</v>
      </c>
      <c r="C34" s="3125">
        <f>SUM(C35-C33)</f>
        <v>6.5549706120378417</v>
      </c>
      <c r="D34" s="3125"/>
      <c r="E34" s="3125">
        <f>SUM(E25/E15)</f>
        <v>6.5500327162871423</v>
      </c>
      <c r="F34" s="3125">
        <f>SUM(F25/F15)</f>
        <v>6.5500327162871423</v>
      </c>
      <c r="G34" s="3174"/>
      <c r="H34" s="3125">
        <f>SUM(H25/H15)</f>
        <v>7.0700285353417218</v>
      </c>
      <c r="I34" s="3125">
        <f>SUM(I25/I15)</f>
        <v>7.0700285353417218</v>
      </c>
      <c r="J34" s="3174"/>
      <c r="K34" s="3125">
        <f>SUM(L34)</f>
        <v>6.5549706120378417</v>
      </c>
      <c r="L34" s="3125">
        <f t="shared" ref="L34:L35" si="525">SUM(C34)</f>
        <v>6.5549706120378417</v>
      </c>
      <c r="M34" s="3125"/>
      <c r="N34" s="3125">
        <f>SUM(N25/N15)</f>
        <v>6.5498592681946119</v>
      </c>
      <c r="O34" s="3125">
        <f>SUM(O25/O15)</f>
        <v>6.5498592681946119</v>
      </c>
      <c r="P34" s="3174"/>
      <c r="Q34" s="3125">
        <f>SUM(Q25/Q15)</f>
        <v>7.070084235860409</v>
      </c>
      <c r="R34" s="3125">
        <f>SUM(R25/R15)</f>
        <v>7.070084235860409</v>
      </c>
      <c r="S34" s="3174"/>
      <c r="T34" s="3125">
        <f>SUM(U34)</f>
        <v>6.5549706120378417</v>
      </c>
      <c r="U34" s="3125">
        <f t="shared" ref="U34:U35" si="526">SUM(C34)</f>
        <v>6.5549706120378417</v>
      </c>
      <c r="V34" s="3125"/>
      <c r="W34" s="3125">
        <f>SUM(W25/W15)</f>
        <v>6.550008094037044</v>
      </c>
      <c r="X34" s="3125">
        <f>SUM(X25/X15)</f>
        <v>6.550008094037044</v>
      </c>
      <c r="Y34" s="3174"/>
      <c r="Z34" s="3125">
        <f>SUM(Z25/Z15)</f>
        <v>7.0697816150330111</v>
      </c>
      <c r="AA34" s="3125">
        <f>SUM(AA25/AA15)</f>
        <v>7.0697816150330111</v>
      </c>
      <c r="AB34" s="3174"/>
      <c r="AC34" s="3132">
        <f>SUM(AC25/AC15)</f>
        <v>6.5549706120378426</v>
      </c>
      <c r="AD34" s="3132">
        <f>SUM(AD25/AD15)</f>
        <v>6.5549706120378426</v>
      </c>
      <c r="AE34" s="3132"/>
      <c r="AF34" s="3132">
        <f>SUM(AF25/AF15)</f>
        <v>6.5499679840514364</v>
      </c>
      <c r="AG34" s="3132">
        <f>SUM(AG25/AG15)</f>
        <v>6.5499679840514364</v>
      </c>
      <c r="AH34" s="3132"/>
      <c r="AI34" s="3132">
        <f>SUM(AI25/AI15)</f>
        <v>7.0699686297338387</v>
      </c>
      <c r="AJ34" s="3132">
        <f>SUM(AJ25/AJ15)</f>
        <v>7.0699686297338387</v>
      </c>
      <c r="AK34" s="3132"/>
      <c r="AL34" s="3133">
        <f t="shared" si="376"/>
        <v>-5.0026279864061607E-3</v>
      </c>
      <c r="AM34" s="3133">
        <f t="shared" si="377"/>
        <v>-5.0026279864061607E-3</v>
      </c>
      <c r="AN34" s="3133">
        <f t="shared" si="378"/>
        <v>0</v>
      </c>
      <c r="AO34" s="3118">
        <f>SUM(AP34)</f>
        <v>6.5549706120378417</v>
      </c>
      <c r="AP34" s="3118">
        <f>SUM(C34)</f>
        <v>6.5549706120378417</v>
      </c>
      <c r="AQ34" s="3118"/>
      <c r="AR34" s="3118">
        <f>SUM(AR25/AR15)</f>
        <v>6.5500764915859255</v>
      </c>
      <c r="AS34" s="3118">
        <f>SUM(AS25/AS15)</f>
        <v>6.5500764915859255</v>
      </c>
      <c r="AT34" s="3466"/>
      <c r="AU34" s="3118">
        <f>SUM(AU25/AU15)</f>
        <v>7.0699580632863128</v>
      </c>
      <c r="AV34" s="3118">
        <f>SUM(AV25/AV15)</f>
        <v>7.0699580632863128</v>
      </c>
      <c r="AW34" s="3466"/>
      <c r="AX34" s="3125">
        <f>SUM(AY34)</f>
        <v>6.5549706120378417</v>
      </c>
      <c r="AY34" s="3125">
        <f>SUM(C34)</f>
        <v>6.5549706120378417</v>
      </c>
      <c r="AZ34" s="3125"/>
      <c r="BA34" s="3125">
        <f>SUM(BA25/BA15)</f>
        <v>6.5500117028096918</v>
      </c>
      <c r="BB34" s="3125">
        <f>SUM(BB25/BB15)</f>
        <v>6.5500117028096918</v>
      </c>
      <c r="BC34" s="3174"/>
      <c r="BD34" s="3125">
        <f>SUM(BD25/BD15)</f>
        <v>7.0701632165605091</v>
      </c>
      <c r="BE34" s="3125">
        <f>SUM(BE25/BE15)</f>
        <v>7.0701632165605091</v>
      </c>
      <c r="BF34" s="3174"/>
      <c r="BG34" s="3125">
        <f>SUM(BH34)</f>
        <v>6.5549706120378417</v>
      </c>
      <c r="BH34" s="3125">
        <f>SUM(C34)</f>
        <v>6.5549706120378417</v>
      </c>
      <c r="BI34" s="3125"/>
      <c r="BJ34" s="3125">
        <f>SUM(BJ25/BJ15)</f>
        <v>6.5500072534350195</v>
      </c>
      <c r="BK34" s="3125">
        <f>SUM(BK25/BK15)</f>
        <v>6.5500072534350195</v>
      </c>
      <c r="BL34" s="3174"/>
      <c r="BM34" s="3125">
        <f>SUM(BM25/BM15)</f>
        <v>7.0701198512191761</v>
      </c>
      <c r="BN34" s="3125">
        <f>SUM(BN25/BN15)</f>
        <v>7.0701198512191761</v>
      </c>
      <c r="BO34" s="3174"/>
      <c r="BP34" s="3132">
        <f>SUM(BP25/BP15)</f>
        <v>6.5549706120378426</v>
      </c>
      <c r="BQ34" s="3132">
        <f>SUM(BQ25/BQ15)</f>
        <v>6.5549706120378426</v>
      </c>
      <c r="BR34" s="3132"/>
      <c r="BS34" s="3132">
        <f>SUM(BS25/BS15)</f>
        <v>6.5500319305519037</v>
      </c>
      <c r="BT34" s="3132">
        <f>SUM(BT25/BT15)</f>
        <v>6.5500319305519037</v>
      </c>
      <c r="BU34" s="3132"/>
      <c r="BV34" s="3132">
        <f>SUM(BV25/BV15)</f>
        <v>7.0700797047266013</v>
      </c>
      <c r="BW34" s="3132">
        <f>SUM(BW25/BW15)</f>
        <v>7.0700797047266013</v>
      </c>
      <c r="BX34" s="3132"/>
      <c r="BY34" s="3133">
        <f t="shared" si="522"/>
        <v>-4.9386814859389006E-3</v>
      </c>
      <c r="BZ34" s="3133">
        <f t="shared" si="395"/>
        <v>-4.9386814859389006E-3</v>
      </c>
      <c r="CA34" s="3133">
        <f t="shared" si="396"/>
        <v>0</v>
      </c>
      <c r="CB34" s="3132">
        <f>SUM(CB25/CB15)</f>
        <v>6.5549706120378426</v>
      </c>
      <c r="CC34" s="3132">
        <f>SUM(CC25/CC15)</f>
        <v>6.5549706120378426</v>
      </c>
      <c r="CD34" s="3132"/>
      <c r="CE34" s="3132">
        <f>SUM(CE25/CE15)</f>
        <v>6.5499994125515899</v>
      </c>
      <c r="CF34" s="3132">
        <f>SUM(CF25/CF15)</f>
        <v>6.5499994125515899</v>
      </c>
      <c r="CG34" s="3132"/>
      <c r="CH34" s="3132">
        <f>SUM(CH25/CH15)</f>
        <v>7.0700246192832337</v>
      </c>
      <c r="CI34" s="3132">
        <f>SUM(CI25/CI15)</f>
        <v>7.0700246192832337</v>
      </c>
      <c r="CJ34" s="3132"/>
      <c r="CK34" s="3133">
        <f t="shared" si="406"/>
        <v>-4.9711994862526865E-3</v>
      </c>
      <c r="CL34" s="3133">
        <f t="shared" si="407"/>
        <v>-4.9711994862526865E-3</v>
      </c>
      <c r="CM34" s="3133">
        <f t="shared" si="408"/>
        <v>0</v>
      </c>
      <c r="CN34" s="3125">
        <f>SUM(CO34)</f>
        <v>7.1190287426236445</v>
      </c>
      <c r="CO34" s="3125">
        <f>SUM(CO35-CO33)</f>
        <v>7.1190287426236445</v>
      </c>
      <c r="CP34" s="3125"/>
      <c r="CQ34" s="3125">
        <f>SUM(CQ25/CQ15)</f>
        <v>7.1202129775547354</v>
      </c>
      <c r="CR34" s="3125">
        <f>SUM(CR25/CR15)</f>
        <v>7.1202129775547354</v>
      </c>
      <c r="CS34" s="3174"/>
      <c r="CT34" s="3125">
        <f>SUM(CT25/CT15)</f>
        <v>6.5499555602028536</v>
      </c>
      <c r="CU34" s="3125">
        <f>SUM(CU25/CU15)</f>
        <v>6.5499555602028536</v>
      </c>
      <c r="CV34" s="3174"/>
      <c r="CW34" s="3125">
        <f>SUM(CX34)</f>
        <v>7.1190287426236445</v>
      </c>
      <c r="CX34" s="3125">
        <f t="shared" ref="CX34:CX35" si="527">SUM(CO34)</f>
        <v>7.1190287426236445</v>
      </c>
      <c r="CY34" s="3125"/>
      <c r="CZ34" s="3125">
        <f>SUM(CZ25/CZ15)</f>
        <v>7.1200321335326802</v>
      </c>
      <c r="DA34" s="3125">
        <f>SUM(DA25/DA15)</f>
        <v>7.1200321335326802</v>
      </c>
      <c r="DB34" s="3174"/>
      <c r="DC34" s="3125">
        <f>SUM(DC25/DC15)</f>
        <v>6.5501641215926929</v>
      </c>
      <c r="DD34" s="3125">
        <f>SUM(DD25/DD15)</f>
        <v>6.5501641215926929</v>
      </c>
      <c r="DE34" s="3174"/>
      <c r="DF34" s="3125">
        <f>SUM(DG34)</f>
        <v>7.1190287426236445</v>
      </c>
      <c r="DG34" s="3125">
        <f t="shared" ref="DG34:DG35" si="528">SUM(CO34)</f>
        <v>7.1190287426236445</v>
      </c>
      <c r="DH34" s="3125"/>
      <c r="DI34" s="3125">
        <f>SUM(DI25/DI15)</f>
        <v>7.1199943560159991</v>
      </c>
      <c r="DJ34" s="3125">
        <f>SUM(DJ25/DJ15)</f>
        <v>7.1199943560159991</v>
      </c>
      <c r="DK34" s="3174"/>
      <c r="DL34" s="3125">
        <f>SUM(DL25/DL15)</f>
        <v>6.5498070674248572</v>
      </c>
      <c r="DM34" s="3125">
        <f>SUM(DM25/DM15)</f>
        <v>6.5498070674248572</v>
      </c>
      <c r="DN34" s="3174"/>
      <c r="DO34" s="3132">
        <f>SUM(DO25/DO15)</f>
        <v>7.1190287426236445</v>
      </c>
      <c r="DP34" s="3132">
        <f>SUM(DP25/DP15)</f>
        <v>7.1190287426236445</v>
      </c>
      <c r="DQ34" s="3132"/>
      <c r="DR34" s="3132">
        <f>SUM(DR25/DR15)</f>
        <v>7.1200792840609592</v>
      </c>
      <c r="DS34" s="3132">
        <f>SUM(DS25/DS15)</f>
        <v>7.1200792840609592</v>
      </c>
      <c r="DT34" s="3132"/>
      <c r="DU34" s="3132">
        <f>SUM(DU25/DU15)</f>
        <v>6.5499799478644478</v>
      </c>
      <c r="DV34" s="3132">
        <f>SUM(DV25/DV15)</f>
        <v>6.5499799478644478</v>
      </c>
      <c r="DW34" s="3132"/>
      <c r="DX34" s="3110">
        <f t="shared" si="523"/>
        <v>1.0505414373147559E-3</v>
      </c>
      <c r="DY34" s="3110">
        <f t="shared" si="425"/>
        <v>1.0505414373147559E-3</v>
      </c>
      <c r="DZ34" s="3110">
        <f t="shared" si="426"/>
        <v>0</v>
      </c>
      <c r="EA34" s="3132">
        <f>SUM(EA25/EA15)</f>
        <v>6.7429899888997769</v>
      </c>
      <c r="EB34" s="3132">
        <f>SUM(EB25/EB15)</f>
        <v>6.7429899888997769</v>
      </c>
      <c r="EC34" s="3132"/>
      <c r="ED34" s="3132">
        <f>SUM(ED25/ED15)</f>
        <v>6.7418484267565253</v>
      </c>
      <c r="EE34" s="3132">
        <f>SUM(EE25/EE15)</f>
        <v>6.7418484267565253</v>
      </c>
      <c r="EF34" s="3132"/>
      <c r="EG34" s="3132">
        <f>SUM(EG25/EG15)</f>
        <v>6.9013834174149116</v>
      </c>
      <c r="EH34" s="3132">
        <f>SUM(EH25/EH15)</f>
        <v>6.9013834174149116</v>
      </c>
      <c r="EI34" s="3132"/>
      <c r="EJ34" s="3110">
        <f t="shared" si="436"/>
        <v>-1.1415621432515621E-3</v>
      </c>
      <c r="EK34" s="3110">
        <f t="shared" si="436"/>
        <v>-1.1415621432515621E-3</v>
      </c>
      <c r="EL34" s="3110">
        <f t="shared" si="436"/>
        <v>0</v>
      </c>
      <c r="EM34" s="3125">
        <f>SUM(EN34)</f>
        <v>7.1190287426236445</v>
      </c>
      <c r="EN34" s="3125">
        <f t="shared" ref="EN34:EN35" si="529">SUM(CO34)</f>
        <v>7.1190287426236445</v>
      </c>
      <c r="EO34" s="3125"/>
      <c r="EP34" s="3125" t="e">
        <f>SUM(EP25/EP15)</f>
        <v>#DIV/0!</v>
      </c>
      <c r="EQ34" s="3125" t="e">
        <f>SUM(EQ25/EQ15)</f>
        <v>#DIV/0!</v>
      </c>
      <c r="ER34" s="3174"/>
      <c r="ES34" s="3125">
        <f>SUM(ES25/ES15)</f>
        <v>6.5499835399978057</v>
      </c>
      <c r="ET34" s="3125">
        <f>SUM(ET25/ET15)</f>
        <v>6.5499835399978057</v>
      </c>
      <c r="EU34" s="3174"/>
      <c r="EV34" s="3125">
        <f>SUM(EW34)</f>
        <v>7.1190287426236445</v>
      </c>
      <c r="EW34" s="3125">
        <f t="shared" ref="EW34:EW35" si="530">SUM(CO34)</f>
        <v>7.1190287426236445</v>
      </c>
      <c r="EX34" s="3125"/>
      <c r="EY34" s="3125" t="e">
        <f>SUM(EY25/EY15)</f>
        <v>#DIV/0!</v>
      </c>
      <c r="EZ34" s="3125" t="e">
        <f>SUM(EZ25/EZ15)</f>
        <v>#DIV/0!</v>
      </c>
      <c r="FA34" s="3174"/>
      <c r="FB34" s="3125">
        <f>SUM(FB25/FB15)</f>
        <v>6.5500721203379353</v>
      </c>
      <c r="FC34" s="3125">
        <f>SUM(FC25/FC15)</f>
        <v>6.5500721203379353</v>
      </c>
      <c r="FD34" s="3174"/>
      <c r="FE34" s="3125">
        <f>SUM(FF34)</f>
        <v>7.1190287426236445</v>
      </c>
      <c r="FF34" s="3125">
        <f t="shared" ref="FF34:FF35" si="531">SUM(CO34)</f>
        <v>7.1190287426236445</v>
      </c>
      <c r="FG34" s="3125"/>
      <c r="FH34" s="3125" t="e">
        <f>SUM(FH25/FH15)</f>
        <v>#DIV/0!</v>
      </c>
      <c r="FI34" s="3125" t="e">
        <f>SUM(FI25/FI15)</f>
        <v>#DIV/0!</v>
      </c>
      <c r="FJ34" s="3174"/>
      <c r="FK34" s="3125">
        <f>SUM(FK25/FK15)</f>
        <v>6.5574643905621404</v>
      </c>
      <c r="FL34" s="3125">
        <f>SUM(FL25/FL15)</f>
        <v>6.5574643905621404</v>
      </c>
      <c r="FM34" s="3174"/>
      <c r="FN34" s="3132">
        <f>SUM(FN25/FN15)</f>
        <v>7.1190287426236445</v>
      </c>
      <c r="FO34" s="3132">
        <f>SUM(FO25/FO15)</f>
        <v>7.1190287426236445</v>
      </c>
      <c r="FP34" s="3132"/>
      <c r="FQ34" s="3132" t="e">
        <f>SUM(FQ25/FQ15)</f>
        <v>#DIV/0!</v>
      </c>
      <c r="FR34" s="3132" t="e">
        <f>SUM(FR25/FR15)</f>
        <v>#DIV/0!</v>
      </c>
      <c r="FS34" s="3132"/>
      <c r="FT34" s="3132">
        <f>SUM(FT25/FT15)</f>
        <v>6.552391685362962</v>
      </c>
      <c r="FU34" s="3132">
        <f>SUM(FU25/FU15)</f>
        <v>6.552391685362962</v>
      </c>
      <c r="FV34" s="3132"/>
      <c r="FW34" s="3110" t="e">
        <f t="shared" si="524"/>
        <v>#DIV/0!</v>
      </c>
      <c r="FX34" s="3110" t="e">
        <f t="shared" si="453"/>
        <v>#DIV/0!</v>
      </c>
      <c r="FY34" s="3110">
        <f t="shared" si="454"/>
        <v>0</v>
      </c>
      <c r="FZ34" s="3132">
        <f>SUM(FZ25/FZ15)</f>
        <v>6.8369996773307431</v>
      </c>
      <c r="GA34" s="3132">
        <f>SUM(GA25/GA15)</f>
        <v>6.8369996773307431</v>
      </c>
      <c r="GB34" s="3132"/>
      <c r="GC34" s="3132">
        <f>SUM(GC25/GC15)</f>
        <v>6.7418484267565253</v>
      </c>
      <c r="GD34" s="3132">
        <f>SUM(GD25/GD15)</f>
        <v>6.7418484267565253</v>
      </c>
      <c r="GE34" s="3132"/>
      <c r="GF34" s="3132">
        <f>SUM(GF25/GF15)</f>
        <v>6.8180873077951265</v>
      </c>
      <c r="GG34" s="3132">
        <f>SUM(GG25/GG15)</f>
        <v>6.8180873077951265</v>
      </c>
      <c r="GH34" s="3132"/>
      <c r="GI34" s="3110">
        <f t="shared" si="463"/>
        <v>-9.5151250574217805E-2</v>
      </c>
      <c r="GJ34" s="3110">
        <f t="shared" si="464"/>
        <v>-9.5151250574217805E-2</v>
      </c>
      <c r="GK34" s="3110">
        <f t="shared" si="465"/>
        <v>0</v>
      </c>
      <c r="GL34" s="627"/>
    </row>
    <row r="35" spans="1:194" ht="19.5" x14ac:dyDescent="0.35">
      <c r="A35" s="3130" t="s">
        <v>262</v>
      </c>
      <c r="B35" s="3125">
        <f>SUM(C35)</f>
        <v>36.851385527292081</v>
      </c>
      <c r="C35" s="3125">
        <f>SUM('вода 2018 коррект'!W39)</f>
        <v>36.851385527292081</v>
      </c>
      <c r="D35" s="3125"/>
      <c r="E35" s="3125">
        <f>SUM(E26+E28)/(E16+E17-G16)</f>
        <v>36.849790507160279</v>
      </c>
      <c r="F35" s="3125">
        <f>SUM(F26+F28)/(F16+F17)</f>
        <v>36.849790507160279</v>
      </c>
      <c r="G35" s="3174"/>
      <c r="H35" s="3125">
        <f>SUM(H26+H28)/(H16+H17-J16)</f>
        <v>36.029690760766456</v>
      </c>
      <c r="I35" s="3125">
        <f>SUM(I26+I28)/(I16+I17)</f>
        <v>36.029690760766464</v>
      </c>
      <c r="J35" s="3174"/>
      <c r="K35" s="3125">
        <f>SUM(L35)</f>
        <v>36.851385527292081</v>
      </c>
      <c r="L35" s="3125">
        <f t="shared" si="525"/>
        <v>36.851385527292081</v>
      </c>
      <c r="M35" s="3125"/>
      <c r="N35" s="3125">
        <f>SUM(N26+N28)/(N16+N17-P16)</f>
        <v>36.852067381316999</v>
      </c>
      <c r="O35" s="3125">
        <f>SUM(O26+O28)/(O16+O17)</f>
        <v>36.852067381316999</v>
      </c>
      <c r="P35" s="3174"/>
      <c r="Q35" s="3125">
        <f>SUM(Q26+Q28)/(Q16+Q17-S16)</f>
        <v>36.029728725380899</v>
      </c>
      <c r="R35" s="3125">
        <f>SUM(R26+R28)/(R16+R17)</f>
        <v>36.029728725380899</v>
      </c>
      <c r="S35" s="3174"/>
      <c r="T35" s="3125">
        <f>SUM(U35)</f>
        <v>36.851385527292081</v>
      </c>
      <c r="U35" s="3125">
        <f t="shared" si="526"/>
        <v>36.851385527292081</v>
      </c>
      <c r="V35" s="3125"/>
      <c r="W35" s="3125">
        <f>SUM(W26+W28)/(W16+W17-Y16)</f>
        <v>36.847511861414539</v>
      </c>
      <c r="X35" s="3125">
        <f>SUM(X26+X28)/(X16+X17)</f>
        <v>36.847511861414539</v>
      </c>
      <c r="Y35" s="3174"/>
      <c r="Z35" s="3125">
        <f>SUM(Z26+Z28)/(Z16+Z17-AB16)</f>
        <v>36.02909525707453</v>
      </c>
      <c r="AA35" s="3125">
        <f>SUM(AA26+AA28)/(AA16+AA17)</f>
        <v>36.02909525707453</v>
      </c>
      <c r="AB35" s="3174"/>
      <c r="AC35" s="3126">
        <f>SUM(AC26+AC28)/(AC16+AC17-AE16)</f>
        <v>36.851385527292081</v>
      </c>
      <c r="AD35" s="3126">
        <f>SUM(AD26+AD28)/(AD16+AD17)</f>
        <v>36.851385527292081</v>
      </c>
      <c r="AE35" s="3132"/>
      <c r="AF35" s="3126">
        <f>SUM(AF26+AF28)/(AF16+AF17-AH16)</f>
        <v>36.849848519994659</v>
      </c>
      <c r="AG35" s="3126">
        <f>SUM(AG26+AG28)/(AG16+AG17)</f>
        <v>36.849848519994659</v>
      </c>
      <c r="AH35" s="3132"/>
      <c r="AI35" s="3126">
        <f>SUM(AI26+AI28)/(AI16+AI17-AK16)</f>
        <v>36.02951311339416</v>
      </c>
      <c r="AJ35" s="3126">
        <f>SUM(AJ26+AJ28)/(AJ16+AJ17)</f>
        <v>36.029513113394167</v>
      </c>
      <c r="AK35" s="3132"/>
      <c r="AL35" s="3133">
        <f t="shared" si="376"/>
        <v>-1.5370072974221216E-3</v>
      </c>
      <c r="AM35" s="3133">
        <f t="shared" si="377"/>
        <v>-1.5370072974221216E-3</v>
      </c>
      <c r="AN35" s="3133">
        <f t="shared" si="378"/>
        <v>0</v>
      </c>
      <c r="AO35" s="3118">
        <f>SUM(AP35)</f>
        <v>36.851385527292081</v>
      </c>
      <c r="AP35" s="3118">
        <f>SUM(C35)</f>
        <v>36.851385527292081</v>
      </c>
      <c r="AQ35" s="3118"/>
      <c r="AR35" s="3118">
        <f>SUM(AR26+AR28)/(AR16+AR17-AT16)</f>
        <v>36.849090909090911</v>
      </c>
      <c r="AS35" s="3118">
        <f>SUM(AS26+AS28)/(AS16+AS17)</f>
        <v>36.849090909090911</v>
      </c>
      <c r="AT35" s="3466"/>
      <c r="AU35" s="3118">
        <f>SUM(AU26+AU28)/(AU16+AU17-AW16)</f>
        <v>36.031714389271478</v>
      </c>
      <c r="AV35" s="3118">
        <f>SUM(AV26+AV28)/(AV16+AV17)</f>
        <v>36.031714389271478</v>
      </c>
      <c r="AW35" s="3466"/>
      <c r="AX35" s="3125">
        <f>SUM(AY35)</f>
        <v>36.851385527292081</v>
      </c>
      <c r="AY35" s="3125">
        <f>SUM(C35)</f>
        <v>36.851385527292081</v>
      </c>
      <c r="AZ35" s="3125"/>
      <c r="BA35" s="3125">
        <f>SUM(BA26+BA28)/(BA16+BA17-BC16)</f>
        <v>36.851012043489746</v>
      </c>
      <c r="BB35" s="3125">
        <f>SUM(BB26+BB28)/(BB16+BB17)</f>
        <v>36.851012043489746</v>
      </c>
      <c r="BC35" s="3174"/>
      <c r="BD35" s="3125">
        <f>SUM(BD26+BD28)/(BD16+BD17-BF16)</f>
        <v>36.028837835239834</v>
      </c>
      <c r="BE35" s="3125">
        <f>SUM(BE26+BE28)/(BE16+BE17)</f>
        <v>36.028837835239834</v>
      </c>
      <c r="BF35" s="3174"/>
      <c r="BG35" s="3125">
        <f>SUM(BH35)</f>
        <v>36.851385527292081</v>
      </c>
      <c r="BH35" s="3125">
        <f>SUM(C35)</f>
        <v>36.851385527292081</v>
      </c>
      <c r="BI35" s="3125"/>
      <c r="BJ35" s="3125">
        <f>SUM(BJ26+BJ28)/(BJ16+BJ17-BL16)</f>
        <v>36.850073272460818</v>
      </c>
      <c r="BK35" s="3125">
        <f>SUM(BK26+BK28)/(BK16+BK17)</f>
        <v>36.850073272460818</v>
      </c>
      <c r="BL35" s="3174"/>
      <c r="BM35" s="3125">
        <f>SUM(BM26+BM28)/(BM16+BM17-BO16)</f>
        <v>36.031179985063474</v>
      </c>
      <c r="BN35" s="3125">
        <f>SUM(BN26+BN28)/(BN16+BN17)</f>
        <v>36.031179985063474</v>
      </c>
      <c r="BO35" s="3174"/>
      <c r="BP35" s="3126">
        <f>SUM(BP26+BP28)/(BP16+BP17-BR16)</f>
        <v>36.851385527292081</v>
      </c>
      <c r="BQ35" s="3126">
        <f>SUM(BQ26+BQ28)/(BQ16+BQ17)</f>
        <v>36.851385527292081</v>
      </c>
      <c r="BR35" s="3132"/>
      <c r="BS35" s="3126">
        <f>SUM(BS26+BS28)/(BS16+BS17-BU16)</f>
        <v>36.850016920720059</v>
      </c>
      <c r="BT35" s="3126">
        <f>SUM(BT26+BT28)/(BT16+BT17)</f>
        <v>36.850016920720051</v>
      </c>
      <c r="BU35" s="3132"/>
      <c r="BV35" s="3126">
        <f>SUM(BV26+BV28)/(BV16+BV17-BX16)</f>
        <v>36.030605579919758</v>
      </c>
      <c r="BW35" s="3126">
        <f>SUM(BW26+BW28)/(BW16+BW17)</f>
        <v>36.030605579919758</v>
      </c>
      <c r="BX35" s="3132"/>
      <c r="BY35" s="3133">
        <f t="shared" si="522"/>
        <v>-1.3686065720222018E-3</v>
      </c>
      <c r="BZ35" s="3133">
        <f t="shared" si="395"/>
        <v>-1.3686065720293072E-3</v>
      </c>
      <c r="CA35" s="3133">
        <f t="shared" si="396"/>
        <v>0</v>
      </c>
      <c r="CB35" s="3126">
        <f>SUM(CB26+CB28)/(CB16+CB17-CD16)</f>
        <v>36.851385527292081</v>
      </c>
      <c r="CC35" s="3126">
        <f>SUM(CC26+CC28)/(CC16+CC17)</f>
        <v>36.851385527292081</v>
      </c>
      <c r="CD35" s="3132"/>
      <c r="CE35" s="3126">
        <f>SUM(CE26+CE28)/(CE16+CE17-CG16)</f>
        <v>36.849931257899975</v>
      </c>
      <c r="CF35" s="3126">
        <f>SUM(CF26+CF28)/(CF16+CF17)</f>
        <v>36.849931257899975</v>
      </c>
      <c r="CG35" s="3132"/>
      <c r="CH35" s="3126">
        <f>SUM(CH26+CH28)/(CH16+CH17-CJ16)</f>
        <v>36.030066306521981</v>
      </c>
      <c r="CI35" s="3126">
        <f>SUM(CI26+CI28)/(CI16+CI17)</f>
        <v>36.030066306521974</v>
      </c>
      <c r="CJ35" s="3132"/>
      <c r="CK35" s="3133">
        <f t="shared" si="406"/>
        <v>-1.4542693921058003E-3</v>
      </c>
      <c r="CL35" s="3133">
        <f t="shared" si="407"/>
        <v>-1.4542693921058003E-3</v>
      </c>
      <c r="CM35" s="3133">
        <f t="shared" si="408"/>
        <v>0</v>
      </c>
      <c r="CN35" s="3125">
        <f>SUM(CO35)</f>
        <v>38.112261200928728</v>
      </c>
      <c r="CO35" s="3125">
        <f>SUM('вода 2018 коррект'!W40)</f>
        <v>38.112261200928728</v>
      </c>
      <c r="CP35" s="3125"/>
      <c r="CQ35" s="3125">
        <f>SUM(CQ26+CQ28)/(CQ16+CQ17-CS16)</f>
        <v>38.090136311050749</v>
      </c>
      <c r="CR35" s="3125">
        <f>SUM(CR26+CR28)/(CR16+CR17)</f>
        <v>38.090136311050749</v>
      </c>
      <c r="CS35" s="3174"/>
      <c r="CT35" s="3125">
        <f>SUM(CT26+CT28)/(CT16+CT17-CV16)</f>
        <v>36.850107758620688</v>
      </c>
      <c r="CU35" s="3125">
        <f>SUM(CU26+CU28)/(CU16+CU17)</f>
        <v>36.850107758620688</v>
      </c>
      <c r="CV35" s="3174"/>
      <c r="CW35" s="3125">
        <f>SUM(CX35)</f>
        <v>38.112261200928728</v>
      </c>
      <c r="CX35" s="3125">
        <f t="shared" si="527"/>
        <v>38.112261200928728</v>
      </c>
      <c r="CY35" s="3125"/>
      <c r="CZ35" s="3125">
        <f>SUM(CZ26+CZ28)/(CZ16+CZ17-DB16)</f>
        <v>38.111225042340173</v>
      </c>
      <c r="DA35" s="3125">
        <f>SUM(DA26+DA28)/(DA16+DA17)</f>
        <v>38.111225042340173</v>
      </c>
      <c r="DB35" s="3174"/>
      <c r="DC35" s="3125">
        <f>SUM(DC26+DC28)/(DC16+DC17-DE16)</f>
        <v>36.84798877455566</v>
      </c>
      <c r="DD35" s="3125">
        <f>SUM(DD26+DD28)/(DD16+DD17)</f>
        <v>36.84798877455566</v>
      </c>
      <c r="DE35" s="3174"/>
      <c r="DF35" s="3125">
        <f>SUM(DG35)</f>
        <v>38.112261200928728</v>
      </c>
      <c r="DG35" s="3125">
        <f t="shared" si="528"/>
        <v>38.112261200928728</v>
      </c>
      <c r="DH35" s="3125"/>
      <c r="DI35" s="3125">
        <f>SUM(DI26+DI28)/(DI16+DI17-DK16)</f>
        <v>38.110110993114318</v>
      </c>
      <c r="DJ35" s="3125">
        <f>SUM(DJ26+DJ28)/(DJ16+DJ17)</f>
        <v>38.110110993114318</v>
      </c>
      <c r="DK35" s="3174"/>
      <c r="DL35" s="3125">
        <f>SUM(DL26+DL28)/(DL16+DL17-DN16)</f>
        <v>36.847766821613732</v>
      </c>
      <c r="DM35" s="3125">
        <f>SUM(DM26+DM28)/(DM16+DM17)</f>
        <v>36.847766821613732</v>
      </c>
      <c r="DN35" s="3174"/>
      <c r="DO35" s="3126">
        <f>SUM(DO26+DO28)/(DO16+DO17-DQ16)</f>
        <v>38.112261200928728</v>
      </c>
      <c r="DP35" s="3126">
        <f>SUM(DP26+DP28)/(DP16+DP17)</f>
        <v>38.112261200928728</v>
      </c>
      <c r="DQ35" s="3132"/>
      <c r="DR35" s="3126">
        <f>SUM(DR26+DR28)/(DR16+DR17-DT16)</f>
        <v>38.104841302082413</v>
      </c>
      <c r="DS35" s="3126">
        <f>SUM(DS26+DS28)/(DS16+DS17)</f>
        <v>38.104841302082406</v>
      </c>
      <c r="DT35" s="3132"/>
      <c r="DU35" s="3126">
        <f>SUM(DU26+DU28)/(DU16+DU17-DW16)</f>
        <v>36.848591242073233</v>
      </c>
      <c r="DV35" s="3126">
        <f>SUM(DV26+DV28)/(DV16+DV17)</f>
        <v>36.848591242073233</v>
      </c>
      <c r="DW35" s="3132"/>
      <c r="DX35" s="3110">
        <f t="shared" si="523"/>
        <v>-7.4198988463152205E-3</v>
      </c>
      <c r="DY35" s="3110">
        <f t="shared" si="425"/>
        <v>-7.4198988463223259E-3</v>
      </c>
      <c r="DZ35" s="3110">
        <f t="shared" si="426"/>
        <v>0</v>
      </c>
      <c r="EA35" s="3126">
        <f>SUM(EA26+EA28)/(EA16+EA17-EC16)</f>
        <v>37.271677418504296</v>
      </c>
      <c r="EB35" s="3126">
        <f>SUM(EB26+EB28)/(EB16+EB17)</f>
        <v>37.271677418504296</v>
      </c>
      <c r="EC35" s="3132"/>
      <c r="ED35" s="3126">
        <f>SUM(ED26+ED28)/(ED16+ED17-EF16)</f>
        <v>37.271627521598433</v>
      </c>
      <c r="EE35" s="3126">
        <f>SUM(EE26+EE28)/(EE16+EE17)</f>
        <v>37.271627521598433</v>
      </c>
      <c r="EF35" s="3132"/>
      <c r="EG35" s="3126">
        <f>SUM(EG26+EG28)/(EG16+EG17-EI16)</f>
        <v>36.284587811286244</v>
      </c>
      <c r="EH35" s="3126">
        <f>SUM(EH26+EH28)/(EH16+EH17)</f>
        <v>36.284587811286229</v>
      </c>
      <c r="EI35" s="3132"/>
      <c r="EJ35" s="3110">
        <f t="shared" si="436"/>
        <v>-4.989690586398865E-5</v>
      </c>
      <c r="EK35" s="3110">
        <f t="shared" si="436"/>
        <v>-4.989690586398865E-5</v>
      </c>
      <c r="EL35" s="3110">
        <f t="shared" si="436"/>
        <v>0</v>
      </c>
      <c r="EM35" s="3125">
        <f>SUM(EN35)</f>
        <v>38.112261200928728</v>
      </c>
      <c r="EN35" s="3125">
        <f t="shared" si="529"/>
        <v>38.112261200928728</v>
      </c>
      <c r="EO35" s="3125"/>
      <c r="EP35" s="3125" t="e">
        <f>SUM(EP26+EP28)/(EP16+EP17-ER16)</f>
        <v>#DIV/0!</v>
      </c>
      <c r="EQ35" s="3125" t="e">
        <f>SUM(EQ26+EQ28)/(EQ16+EQ17)</f>
        <v>#DIV/0!</v>
      </c>
      <c r="ER35" s="3174"/>
      <c r="ES35" s="3125">
        <f>SUM(ES26+ES28)/(ES16+ES17-EU16)</f>
        <v>36.847746409113419</v>
      </c>
      <c r="ET35" s="3125">
        <f>SUM(ET26+ET28)/(ET16+ET17)</f>
        <v>36.847746409113419</v>
      </c>
      <c r="EU35" s="3174"/>
      <c r="EV35" s="3125">
        <f>SUM(EW35)</f>
        <v>38.112261200928728</v>
      </c>
      <c r="EW35" s="3125">
        <f t="shared" si="530"/>
        <v>38.112261200928728</v>
      </c>
      <c r="EX35" s="3125"/>
      <c r="EY35" s="3125" t="e">
        <f>SUM(EY26+EY28)/(EY16+EY17-FA16)</f>
        <v>#DIV/0!</v>
      </c>
      <c r="EZ35" s="3125" t="e">
        <f>SUM(EZ26+EZ28)/(EZ16+EZ17)</f>
        <v>#DIV/0!</v>
      </c>
      <c r="FA35" s="3174"/>
      <c r="FB35" s="3125">
        <f>SUM(FB26+FB28)/(FB16+FB17-FD16)</f>
        <v>36.851815601448564</v>
      </c>
      <c r="FC35" s="3125">
        <f>SUM(FC26+FC28)/(FC16+FC17)</f>
        <v>36.851815601448571</v>
      </c>
      <c r="FD35" s="3174"/>
      <c r="FE35" s="3125">
        <f>SUM(FF35)</f>
        <v>38.112261200928728</v>
      </c>
      <c r="FF35" s="3125">
        <f t="shared" si="531"/>
        <v>38.112261200928728</v>
      </c>
      <c r="FG35" s="3125"/>
      <c r="FH35" s="3125" t="e">
        <f>SUM(FH26+FH28)/(FH16+FH17-FJ16)</f>
        <v>#DIV/0!</v>
      </c>
      <c r="FI35" s="3125" t="e">
        <f>SUM(FI26+FI28)/(FI16+FI17)</f>
        <v>#DIV/0!</v>
      </c>
      <c r="FJ35" s="3174"/>
      <c r="FK35" s="3125">
        <f>SUM(FK26+FK28)/(FK16+FK17-FM16)</f>
        <v>36.851595889788129</v>
      </c>
      <c r="FL35" s="3125">
        <f>SUM(FL26+FL28)/(FL16+FL17)</f>
        <v>36.851595889788129</v>
      </c>
      <c r="FM35" s="3174"/>
      <c r="FN35" s="3126">
        <f>SUM(FN26+FN28)/(FN16+FN17-FP16)</f>
        <v>38.112261200928728</v>
      </c>
      <c r="FO35" s="3126">
        <f>SUM(FO26+FO28)/(FO16+FO17)</f>
        <v>38.112261200928728</v>
      </c>
      <c r="FP35" s="3132"/>
      <c r="FQ35" s="3126" t="e">
        <f>SUM(FQ26+FQ28)/(FQ16+FQ17-FS16)</f>
        <v>#DIV/0!</v>
      </c>
      <c r="FR35" s="3126" t="e">
        <f>SUM(FR26+FR28)/(FR16+FR17)</f>
        <v>#DIV/0!</v>
      </c>
      <c r="FS35" s="3132"/>
      <c r="FT35" s="3126">
        <f>SUM(FT26+FT28)/(FT16+FT17-FV16)</f>
        <v>36.850426394966306</v>
      </c>
      <c r="FU35" s="3126">
        <f>SUM(FU26+FU28)/(FU16+FU17)</f>
        <v>36.850426394966298</v>
      </c>
      <c r="FV35" s="3132"/>
      <c r="FW35" s="3110" t="e">
        <f t="shared" si="524"/>
        <v>#DIV/0!</v>
      </c>
      <c r="FX35" s="3110" t="e">
        <f t="shared" si="453"/>
        <v>#DIV/0!</v>
      </c>
      <c r="FY35" s="3110">
        <f t="shared" si="454"/>
        <v>0</v>
      </c>
      <c r="FZ35" s="3126">
        <f>SUM(FZ26+FZ28)/(FZ16+FZ17-GB16)</f>
        <v>37.481823364110404</v>
      </c>
      <c r="GA35" s="3126">
        <f>SUM(GA26+GA28)/(GA16+GA17)</f>
        <v>37.481823364110404</v>
      </c>
      <c r="GB35" s="3132"/>
      <c r="GC35" s="3126">
        <f>SUM(GC26+GC28)/(GC16+GC17-GE16)</f>
        <v>37.271627521598433</v>
      </c>
      <c r="GD35" s="3126">
        <f>SUM(GD26+GD28)/(GD16+GD17)</f>
        <v>37.271627521598433</v>
      </c>
      <c r="GE35" s="3132"/>
      <c r="GF35" s="3126">
        <f>SUM(GF26+GF28)/(GF16+GF17-GH16)</f>
        <v>36.428088314032088</v>
      </c>
      <c r="GG35" s="3126">
        <f>SUM(GG26+GG28)/(GG16+GG17)</f>
        <v>36.428088314032088</v>
      </c>
      <c r="GH35" s="3132"/>
      <c r="GI35" s="3110">
        <f t="shared" si="463"/>
        <v>-0.21019584251197188</v>
      </c>
      <c r="GJ35" s="3110">
        <f t="shared" si="464"/>
        <v>-0.21019584251197188</v>
      </c>
      <c r="GK35" s="3110">
        <f t="shared" si="465"/>
        <v>0</v>
      </c>
      <c r="GL35" s="627"/>
    </row>
    <row r="36" spans="1:194" ht="19.5" x14ac:dyDescent="0.35">
      <c r="A36" s="3124" t="s">
        <v>25</v>
      </c>
      <c r="B36" s="3125">
        <f>SUM(D36)</f>
        <v>17.407481617784892</v>
      </c>
      <c r="C36" s="3125"/>
      <c r="D36" s="3125">
        <f>SUM('тех вода 2018'!W38)</f>
        <v>17.407481617784892</v>
      </c>
      <c r="E36" s="3125">
        <f>SUM(E27/G16)</f>
        <v>17.416666666666668</v>
      </c>
      <c r="F36" s="3174"/>
      <c r="G36" s="3125">
        <f>SUM(G27/G16)</f>
        <v>17.416666666666668</v>
      </c>
      <c r="H36" s="3125">
        <f>SUM(H27/J16)</f>
        <v>17.571428571428569</v>
      </c>
      <c r="I36" s="3174"/>
      <c r="J36" s="3125">
        <f>SUM(J27/J16)</f>
        <v>17.571428571428569</v>
      </c>
      <c r="K36" s="3125">
        <f>SUM(M36)</f>
        <v>17.407481617784892</v>
      </c>
      <c r="L36" s="3125"/>
      <c r="M36" s="3125">
        <f>SUM(D36)</f>
        <v>17.407481617784892</v>
      </c>
      <c r="N36" s="3125">
        <f>SUM(N27/P16)</f>
        <v>17.444444444444446</v>
      </c>
      <c r="O36" s="3174"/>
      <c r="P36" s="3125">
        <f>SUM(P27/P16)</f>
        <v>17.444444444444446</v>
      </c>
      <c r="Q36" s="3125">
        <f>SUM(Q27/S16)</f>
        <v>17.722222222222221</v>
      </c>
      <c r="R36" s="3174"/>
      <c r="S36" s="3125">
        <f>SUM(S27/S16)</f>
        <v>17.722222222222221</v>
      </c>
      <c r="T36" s="3125">
        <f>SUM(V36)</f>
        <v>17.407481617784892</v>
      </c>
      <c r="U36" s="3125"/>
      <c r="V36" s="3125">
        <f>SUM(D36)</f>
        <v>17.407481617784892</v>
      </c>
      <c r="W36" s="3125">
        <f>SUM(W27/Y16)</f>
        <v>17.333333333333336</v>
      </c>
      <c r="X36" s="3174"/>
      <c r="Y36" s="3125">
        <f>SUM(Y27/Y16)</f>
        <v>17.333333333333336</v>
      </c>
      <c r="Z36" s="3125">
        <f>SUM(Z27/AB16)</f>
        <v>19.083333333333336</v>
      </c>
      <c r="AA36" s="3174"/>
      <c r="AB36" s="3125">
        <f>SUM(AB27/AB16)</f>
        <v>19.083333333333336</v>
      </c>
      <c r="AC36" s="3126">
        <f>SUM(AC27/AE16)</f>
        <v>17.407481617784892</v>
      </c>
      <c r="AD36" s="3132"/>
      <c r="AE36" s="3126">
        <f>SUM(AE27/AE16)</f>
        <v>17.407481617784892</v>
      </c>
      <c r="AF36" s="3126">
        <f>SUM(AF27/AH16)</f>
        <v>17.403508771929825</v>
      </c>
      <c r="AG36" s="3132"/>
      <c r="AH36" s="3126">
        <f>SUM(AH27/AH16)</f>
        <v>17.403508771929825</v>
      </c>
      <c r="AI36" s="3126">
        <f>SUM(AI27/AK16)</f>
        <v>18.045454545454547</v>
      </c>
      <c r="AJ36" s="3132"/>
      <c r="AK36" s="3126">
        <f>SUM(AK27/AK16)</f>
        <v>18.045454545454547</v>
      </c>
      <c r="AL36" s="3133">
        <f t="shared" si="376"/>
        <v>-3.9728458550669643E-3</v>
      </c>
      <c r="AM36" s="3133"/>
      <c r="AN36" s="3133">
        <f t="shared" si="378"/>
        <v>-3.9728458550669643E-3</v>
      </c>
      <c r="AO36" s="3118">
        <f>SUM(AQ36)</f>
        <v>17.407481617784892</v>
      </c>
      <c r="AP36" s="3118"/>
      <c r="AQ36" s="3118">
        <f>SUM(D36)</f>
        <v>17.407481617784892</v>
      </c>
      <c r="AR36" s="3118">
        <f>SUM(AR27/AT16)</f>
        <v>17.368421052631579</v>
      </c>
      <c r="AS36" s="3466"/>
      <c r="AT36" s="3118">
        <f>SUM(AT27/AT16)</f>
        <v>17.368421052631579</v>
      </c>
      <c r="AU36" s="3118">
        <f>SUM(AU27/AW16)</f>
        <v>17.71875</v>
      </c>
      <c r="AV36" s="3466"/>
      <c r="AW36" s="3118">
        <f>SUM(AW27/AW16)</f>
        <v>17.71875</v>
      </c>
      <c r="AX36" s="3125">
        <f>SUM(AZ36)</f>
        <v>17.407481617784892</v>
      </c>
      <c r="AY36" s="3125"/>
      <c r="AZ36" s="3125">
        <f>SUM(D36)</f>
        <v>17.407481617784892</v>
      </c>
      <c r="BA36" s="3125">
        <f>SUM(BA27/BC16)</f>
        <v>17.422680412371133</v>
      </c>
      <c r="BB36" s="3174"/>
      <c r="BC36" s="3125">
        <f>SUM(BC27/BC16)</f>
        <v>17.422680412371133</v>
      </c>
      <c r="BD36" s="3125">
        <f>SUM(BD27/BF16)</f>
        <v>18.099999999999998</v>
      </c>
      <c r="BE36" s="3174"/>
      <c r="BF36" s="3125">
        <f>SUM(BF27/BF16)</f>
        <v>18.099999999999998</v>
      </c>
      <c r="BG36" s="3125">
        <f>SUM(BI36)</f>
        <v>17.407481617784892</v>
      </c>
      <c r="BH36" s="3125"/>
      <c r="BI36" s="3125">
        <f>SUM(D36)</f>
        <v>17.407481617784892</v>
      </c>
      <c r="BJ36" s="3125">
        <f>SUM(BJ27/BL16)</f>
        <v>17.407407407407405</v>
      </c>
      <c r="BK36" s="3174"/>
      <c r="BL36" s="3125">
        <f>SUM(BL27/BL16)</f>
        <v>17.407407407407405</v>
      </c>
      <c r="BM36" s="3125">
        <f>SUM(BM27/BO16)</f>
        <v>17</v>
      </c>
      <c r="BN36" s="3174"/>
      <c r="BO36" s="3125">
        <f>SUM(BO27/BO16)</f>
        <v>17</v>
      </c>
      <c r="BP36" s="3126">
        <f>SUM(BP27/BR16)</f>
        <v>17.407481617784892</v>
      </c>
      <c r="BQ36" s="3132"/>
      <c r="BR36" s="3126">
        <f>SUM(BR27/BR16)</f>
        <v>17.407481617784892</v>
      </c>
      <c r="BS36" s="3126">
        <f>SUM(BS27/BU16)</f>
        <v>17.399267399267398</v>
      </c>
      <c r="BT36" s="3132"/>
      <c r="BU36" s="3126">
        <f>SUM(BU27/BU16)</f>
        <v>17.399267399267398</v>
      </c>
      <c r="BV36" s="3126">
        <f>SUM(BV27/BX16)</f>
        <v>17.666666666666664</v>
      </c>
      <c r="BW36" s="3132"/>
      <c r="BX36" s="3126">
        <f>SUM(BX27/BX16)</f>
        <v>17.666666666666664</v>
      </c>
      <c r="BY36" s="3133">
        <f t="shared" si="522"/>
        <v>-8.2142185174944871E-3</v>
      </c>
      <c r="BZ36" s="3133"/>
      <c r="CA36" s="3133">
        <f t="shared" si="396"/>
        <v>-8.2142185174944871E-3</v>
      </c>
      <c r="CB36" s="3126">
        <f>SUM(CB27/CD16)</f>
        <v>17.407481617784892</v>
      </c>
      <c r="CC36" s="3132"/>
      <c r="CD36" s="3126">
        <f>SUM(CD27/CD16)</f>
        <v>17.407481617784892</v>
      </c>
      <c r="CE36" s="3126">
        <f>SUM(CE27/CG16)</f>
        <v>17.401433691756271</v>
      </c>
      <c r="CF36" s="3132"/>
      <c r="CG36" s="3126">
        <f>SUM(CG27/CG16)</f>
        <v>17.401433691756271</v>
      </c>
      <c r="CH36" s="3126">
        <f>SUM(CH27/CJ16)</f>
        <v>17.842105263157894</v>
      </c>
      <c r="CI36" s="3132"/>
      <c r="CJ36" s="3126">
        <f>SUM(CJ27/CJ16)</f>
        <v>17.842105263157894</v>
      </c>
      <c r="CK36" s="3133">
        <f t="shared" si="406"/>
        <v>-6.0479260286214753E-3</v>
      </c>
      <c r="CL36" s="3133"/>
      <c r="CM36" s="3133">
        <f t="shared" si="408"/>
        <v>-6.0479260286214753E-3</v>
      </c>
      <c r="CN36" s="3125">
        <f>SUM(CP36)</f>
        <v>17.407481617784892</v>
      </c>
      <c r="CO36" s="3125"/>
      <c r="CP36" s="3125">
        <f>SUM('тех вода 2018'!W39)</f>
        <v>17.407481617784892</v>
      </c>
      <c r="CQ36" s="3125">
        <f>SUM(CQ27/CS16)</f>
        <v>17.362637362637365</v>
      </c>
      <c r="CR36" s="3174"/>
      <c r="CS36" s="3125">
        <f>SUM(CS27/CS16)</f>
        <v>17.362637362637365</v>
      </c>
      <c r="CT36" s="3125">
        <f>SUM(CT27/CV16)</f>
        <v>40.285714285714278</v>
      </c>
      <c r="CU36" s="3174"/>
      <c r="CV36" s="3125">
        <f>SUM(CV27/CV16)</f>
        <v>40.285714285714278</v>
      </c>
      <c r="CW36" s="3125">
        <f>SUM(CY36)</f>
        <v>17.407481617784892</v>
      </c>
      <c r="CX36" s="3125"/>
      <c r="CY36" s="3125">
        <f>SUM(CP36)</f>
        <v>17.407481617784892</v>
      </c>
      <c r="CZ36" s="3125">
        <f>SUM(CZ27/DB16)</f>
        <v>17.444444444444446</v>
      </c>
      <c r="DA36" s="3174"/>
      <c r="DB36" s="3125">
        <f>SUM(DB27/DB16)</f>
        <v>17.444444444444446</v>
      </c>
      <c r="DC36" s="3125">
        <f>SUM(DC27/DE16)</f>
        <v>40.285714285714278</v>
      </c>
      <c r="DD36" s="3174"/>
      <c r="DE36" s="3125">
        <f>SUM(DE27/DE16)</f>
        <v>40.285714285714278</v>
      </c>
      <c r="DF36" s="3125">
        <f>SUM(DH36)</f>
        <v>17.407481617784892</v>
      </c>
      <c r="DG36" s="3125"/>
      <c r="DH36" s="3125">
        <f>SUM(CP36)</f>
        <v>17.407481617784892</v>
      </c>
      <c r="DI36" s="3125">
        <f>SUM(DI27/DK16)</f>
        <v>17.400000000000002</v>
      </c>
      <c r="DJ36" s="3174"/>
      <c r="DK36" s="3125">
        <f>SUM(DK27/DK16)</f>
        <v>17.400000000000002</v>
      </c>
      <c r="DL36" s="3125">
        <f>SUM(DL27/DN16)</f>
        <v>39.753086419753089</v>
      </c>
      <c r="DM36" s="3174"/>
      <c r="DN36" s="3125">
        <f>SUM(DN27/DN16)</f>
        <v>39.753086419753089</v>
      </c>
      <c r="DO36" s="3126">
        <f>SUM(DO27/DQ16)</f>
        <v>17.407481617784892</v>
      </c>
      <c r="DP36" s="3132"/>
      <c r="DQ36" s="3126">
        <f>SUM(DQ27/DQ16)</f>
        <v>17.407481617784892</v>
      </c>
      <c r="DR36" s="3126">
        <f>SUM(DR27/DT16)</f>
        <v>17.402214022140221</v>
      </c>
      <c r="DS36" s="3132"/>
      <c r="DT36" s="3126">
        <f>SUM(DT27/DT16)</f>
        <v>17.402214022140221</v>
      </c>
      <c r="DU36" s="3126">
        <f>SUM(DU27/DW16)</f>
        <v>40.090497737556554</v>
      </c>
      <c r="DV36" s="3132"/>
      <c r="DW36" s="3126">
        <f>SUM(DW27/DW16)</f>
        <v>40.090497737556554</v>
      </c>
      <c r="DX36" s="3110">
        <f t="shared" si="523"/>
        <v>-5.2675956446712746E-3</v>
      </c>
      <c r="DY36" s="3110"/>
      <c r="DZ36" s="3110">
        <f t="shared" si="426"/>
        <v>-5.2675956446712746E-3</v>
      </c>
      <c r="EA36" s="3126">
        <f>SUM(EA27/EC16)</f>
        <v>17.407481617784889</v>
      </c>
      <c r="EB36" s="3132"/>
      <c r="EC36" s="3126">
        <f>SUM(EC27/EC16)</f>
        <v>17.407481617784889</v>
      </c>
      <c r="ED36" s="3126">
        <f>SUM(ED27/EF16)</f>
        <v>17.401688781664657</v>
      </c>
      <c r="EE36" s="3132"/>
      <c r="EF36" s="3126">
        <f>SUM(EF27/EF16)</f>
        <v>17.401688781664657</v>
      </c>
      <c r="EG36" s="3126">
        <f>SUM(EG27/EI16)</f>
        <v>22.040990606319383</v>
      </c>
      <c r="EH36" s="3132"/>
      <c r="EI36" s="3126">
        <f>SUM(EI27/EI16)</f>
        <v>22.040990606319383</v>
      </c>
      <c r="EJ36" s="3110">
        <f t="shared" si="436"/>
        <v>-5.792836120232181E-3</v>
      </c>
      <c r="EK36" s="3110"/>
      <c r="EL36" s="3110">
        <f t="shared" si="436"/>
        <v>-5.792836120232181E-3</v>
      </c>
      <c r="EM36" s="3125">
        <f>SUM(EO36)</f>
        <v>17.407481617784892</v>
      </c>
      <c r="EN36" s="3125"/>
      <c r="EO36" s="3125">
        <f>SUM(CP36)</f>
        <v>17.407481617784892</v>
      </c>
      <c r="EP36" s="3125" t="e">
        <f>SUM(EP27/ER16)</f>
        <v>#DIV/0!</v>
      </c>
      <c r="EQ36" s="3174"/>
      <c r="ER36" s="3125" t="e">
        <f>SUM(ER27/ER16)</f>
        <v>#DIV/0!</v>
      </c>
      <c r="ES36" s="3125">
        <f>SUM(ES27/EU16)</f>
        <v>39.75</v>
      </c>
      <c r="ET36" s="3174"/>
      <c r="EU36" s="3125">
        <f>SUM(EU27/EU16)</f>
        <v>39.75</v>
      </c>
      <c r="EV36" s="3125">
        <f>SUM(EX36)</f>
        <v>17.407481617784892</v>
      </c>
      <c r="EW36" s="3125"/>
      <c r="EX36" s="3125">
        <f>SUM(CP36)</f>
        <v>17.407481617784892</v>
      </c>
      <c r="EY36" s="3125" t="e">
        <f>SUM(EY27/FA16)</f>
        <v>#DIV/0!</v>
      </c>
      <c r="EZ36" s="3174"/>
      <c r="FA36" s="3125" t="e">
        <f>SUM(FA27/FA16)</f>
        <v>#DIV/0!</v>
      </c>
      <c r="FB36" s="3125">
        <f>SUM(FB27/FD16)</f>
        <v>40.75</v>
      </c>
      <c r="FC36" s="3174"/>
      <c r="FD36" s="3125">
        <f>SUM(FD27/FD16)</f>
        <v>40.75</v>
      </c>
      <c r="FE36" s="3125">
        <f>SUM(FG36)</f>
        <v>17.407481617784892</v>
      </c>
      <c r="FF36" s="3125"/>
      <c r="FG36" s="3125">
        <f>SUM(CP36)</f>
        <v>17.407481617784892</v>
      </c>
      <c r="FH36" s="3125" t="e">
        <f>SUM(FH27/FJ16)</f>
        <v>#DIV/0!</v>
      </c>
      <c r="FI36" s="3174"/>
      <c r="FJ36" s="3125" t="e">
        <f>SUM(FJ27/FJ16)</f>
        <v>#DIV/0!</v>
      </c>
      <c r="FK36" s="3125" t="e">
        <f>SUM(FK27/FM16)</f>
        <v>#DIV/0!</v>
      </c>
      <c r="FL36" s="3174"/>
      <c r="FM36" s="3125" t="e">
        <f>SUM(FM27/FM16)</f>
        <v>#DIV/0!</v>
      </c>
      <c r="FN36" s="3126">
        <f>SUM(FN27/FP16)</f>
        <v>17.407481617784892</v>
      </c>
      <c r="FO36" s="3132"/>
      <c r="FP36" s="3126">
        <f>SUM(FP27/FP16)</f>
        <v>17.407481617784892</v>
      </c>
      <c r="FQ36" s="3126" t="e">
        <f>SUM(FQ27/FS16)</f>
        <v>#DIV/0!</v>
      </c>
      <c r="FR36" s="3132"/>
      <c r="FS36" s="3126" t="e">
        <f>SUM(FS27/FS16)</f>
        <v>#DIV/0!</v>
      </c>
      <c r="FT36" s="3126">
        <f>SUM(FT27/FV16)</f>
        <v>40.249999999999993</v>
      </c>
      <c r="FU36" s="3132"/>
      <c r="FV36" s="3126">
        <f>SUM(FV27/FV16)</f>
        <v>40.249999999999993</v>
      </c>
      <c r="FW36" s="3110" t="e">
        <f t="shared" si="524"/>
        <v>#DIV/0!</v>
      </c>
      <c r="FX36" s="3110">
        <f t="shared" si="453"/>
        <v>0</v>
      </c>
      <c r="FY36" s="3110" t="e">
        <f t="shared" si="454"/>
        <v>#DIV/0!</v>
      </c>
      <c r="FZ36" s="3126">
        <f>SUM(FZ27/GB16)</f>
        <v>17.407481617784892</v>
      </c>
      <c r="GA36" s="3132"/>
      <c r="GB36" s="3126">
        <f>SUM(GB27/GB16)</f>
        <v>17.407481617784892</v>
      </c>
      <c r="GC36" s="3126">
        <f>SUM(GC27/GE16)</f>
        <v>17.401688781664657</v>
      </c>
      <c r="GD36" s="3132"/>
      <c r="GE36" s="3126">
        <f>SUM(GE27/GE16)</f>
        <v>17.401688781664657</v>
      </c>
      <c r="GF36" s="3126">
        <f>SUM(GF27/GH16)</f>
        <v>24.229902329075884</v>
      </c>
      <c r="GG36" s="3132"/>
      <c r="GH36" s="3126">
        <f>SUM(GH27/GH16)</f>
        <v>24.229902329075884</v>
      </c>
      <c r="GI36" s="3110">
        <f t="shared" si="463"/>
        <v>-5.7928361202357337E-3</v>
      </c>
      <c r="GJ36" s="3110">
        <f t="shared" si="464"/>
        <v>0</v>
      </c>
      <c r="GK36" s="3110">
        <f t="shared" si="465"/>
        <v>-5.7928361202357337E-3</v>
      </c>
      <c r="GL36" s="627"/>
    </row>
    <row r="37" spans="1:194" ht="18" customHeight="1" x14ac:dyDescent="0.3">
      <c r="A37" s="3104" t="s">
        <v>3588</v>
      </c>
      <c r="B37" s="3134"/>
      <c r="C37" s="3134"/>
      <c r="D37" s="3134"/>
      <c r="E37" s="3134"/>
      <c r="F37" s="3134"/>
      <c r="G37" s="3134"/>
      <c r="H37" s="3134"/>
      <c r="I37" s="3134"/>
      <c r="J37" s="3134"/>
      <c r="K37" s="3134"/>
      <c r="L37" s="3134"/>
      <c r="M37" s="3134"/>
      <c r="N37" s="3134"/>
      <c r="O37" s="3134"/>
      <c r="P37" s="3134"/>
      <c r="Q37" s="3134"/>
      <c r="R37" s="3134"/>
      <c r="S37" s="3134"/>
      <c r="T37" s="3134"/>
      <c r="U37" s="3134"/>
      <c r="V37" s="3134"/>
      <c r="W37" s="3134"/>
      <c r="X37" s="3134"/>
      <c r="Y37" s="3134"/>
      <c r="Z37" s="3134"/>
      <c r="AA37" s="3134"/>
      <c r="AB37" s="3134"/>
      <c r="AC37" s="3134"/>
      <c r="AD37" s="3134"/>
      <c r="AE37" s="3134"/>
      <c r="AF37" s="3134"/>
      <c r="AG37" s="3134"/>
      <c r="AH37" s="3134"/>
      <c r="AI37" s="3134"/>
      <c r="AJ37" s="3134"/>
      <c r="AK37" s="3134"/>
      <c r="AL37" s="3134"/>
      <c r="AM37" s="3134"/>
      <c r="AN37" s="3134"/>
      <c r="AO37" s="3467"/>
      <c r="AP37" s="3467"/>
      <c r="AQ37" s="3467"/>
      <c r="AR37" s="3467"/>
      <c r="AS37" s="3467"/>
      <c r="AT37" s="3467"/>
      <c r="AU37" s="3467"/>
      <c r="AV37" s="3467"/>
      <c r="AW37" s="3467"/>
      <c r="AX37" s="3134"/>
      <c r="AY37" s="3134"/>
      <c r="AZ37" s="3134"/>
      <c r="BA37" s="3134"/>
      <c r="BB37" s="3134"/>
      <c r="BC37" s="3134"/>
      <c r="BD37" s="3134"/>
      <c r="BE37" s="3134"/>
      <c r="BF37" s="3134"/>
      <c r="BG37" s="3134"/>
      <c r="BH37" s="3134"/>
      <c r="BI37" s="3134"/>
      <c r="BJ37" s="3134"/>
      <c r="BK37" s="3134"/>
      <c r="BL37" s="3134"/>
      <c r="BM37" s="3134"/>
      <c r="BN37" s="3134"/>
      <c r="BO37" s="3134"/>
      <c r="BP37" s="3105"/>
      <c r="BQ37" s="3105"/>
      <c r="BR37" s="3105"/>
      <c r="BS37" s="3105"/>
      <c r="BT37" s="3105"/>
      <c r="BU37" s="3105"/>
      <c r="BV37" s="3105"/>
      <c r="BW37" s="3105"/>
      <c r="BX37" s="3105"/>
      <c r="BY37" s="3105"/>
      <c r="BZ37" s="3105"/>
      <c r="CA37" s="3105"/>
      <c r="CB37" s="3105"/>
      <c r="CC37" s="3105"/>
      <c r="CD37" s="3105"/>
      <c r="CE37" s="3105"/>
      <c r="CF37" s="3105"/>
      <c r="CG37" s="3105"/>
      <c r="CH37" s="3105"/>
      <c r="CI37" s="3105"/>
      <c r="CJ37" s="3105"/>
      <c r="CK37" s="3105"/>
      <c r="CL37" s="3105"/>
      <c r="CM37" s="3105"/>
      <c r="CN37" s="3105"/>
      <c r="CO37" s="3105"/>
      <c r="CP37" s="3105"/>
      <c r="CQ37" s="3105"/>
      <c r="CR37" s="3105"/>
      <c r="CS37" s="3105"/>
      <c r="CT37" s="3105"/>
      <c r="CU37" s="3105"/>
      <c r="CV37" s="3105"/>
      <c r="CW37" s="3105"/>
      <c r="CX37" s="3105"/>
      <c r="CY37" s="3105"/>
      <c r="CZ37" s="3105"/>
      <c r="DA37" s="3105"/>
      <c r="DB37" s="3105"/>
      <c r="DC37" s="3105"/>
      <c r="DD37" s="3105"/>
      <c r="DE37" s="3105"/>
      <c r="DF37" s="3105"/>
      <c r="DG37" s="3105"/>
      <c r="DH37" s="3105"/>
      <c r="DI37" s="3105"/>
      <c r="DJ37" s="3105"/>
      <c r="DK37" s="3105"/>
      <c r="DL37" s="3105"/>
      <c r="DM37" s="3105"/>
      <c r="DN37" s="3105"/>
      <c r="DO37" s="3105"/>
      <c r="DP37" s="3105"/>
      <c r="DQ37" s="3105"/>
      <c r="DR37" s="3105"/>
      <c r="DS37" s="3105"/>
      <c r="DT37" s="3105"/>
      <c r="DU37" s="3105"/>
      <c r="DV37" s="3105"/>
      <c r="DW37" s="3105"/>
      <c r="DX37" s="3105"/>
      <c r="DY37" s="3105"/>
      <c r="DZ37" s="3105"/>
      <c r="EA37" s="3105"/>
      <c r="EB37" s="3105"/>
      <c r="EC37" s="3105"/>
      <c r="ED37" s="3105"/>
      <c r="EE37" s="3105"/>
      <c r="EF37" s="3105"/>
      <c r="EG37" s="3105"/>
      <c r="EH37" s="3105"/>
      <c r="EI37" s="3105"/>
      <c r="EJ37" s="3105"/>
      <c r="EK37" s="3105"/>
      <c r="EL37" s="3105"/>
      <c r="EM37" s="3105"/>
      <c r="EN37" s="3105"/>
      <c r="EO37" s="3105"/>
      <c r="EP37" s="3105"/>
      <c r="EQ37" s="3105"/>
      <c r="ER37" s="3105"/>
      <c r="ES37" s="3105"/>
      <c r="ET37" s="3105"/>
      <c r="EU37" s="3105"/>
      <c r="EV37" s="3105"/>
      <c r="EW37" s="3105"/>
      <c r="EX37" s="3105"/>
      <c r="EY37" s="3105"/>
      <c r="EZ37" s="3105"/>
      <c r="FA37" s="3105"/>
      <c r="FB37" s="3105"/>
      <c r="FC37" s="3105"/>
      <c r="FD37" s="3105"/>
      <c r="FE37" s="3105"/>
      <c r="FF37" s="3105"/>
      <c r="FG37" s="3105"/>
      <c r="FH37" s="3105"/>
      <c r="FI37" s="3105"/>
      <c r="FJ37" s="3105"/>
      <c r="FK37" s="3105"/>
      <c r="FL37" s="3105"/>
      <c r="FM37" s="3105"/>
      <c r="FN37" s="3105"/>
      <c r="FO37" s="3105"/>
      <c r="FP37" s="3105"/>
      <c r="FQ37" s="3105"/>
      <c r="FR37" s="3105"/>
      <c r="FS37" s="3105"/>
      <c r="FT37" s="3105"/>
      <c r="FU37" s="3105"/>
      <c r="FV37" s="3105"/>
      <c r="FW37" s="3105"/>
      <c r="FX37" s="3105"/>
      <c r="FY37" s="3105"/>
      <c r="FZ37" s="3215"/>
      <c r="GA37" s="3215"/>
      <c r="GB37" s="3215"/>
      <c r="GC37" s="3215"/>
      <c r="GD37" s="3215"/>
      <c r="GE37" s="3215"/>
      <c r="GF37" s="3215"/>
      <c r="GG37" s="3215"/>
      <c r="GH37" s="3215"/>
      <c r="GI37" s="3215"/>
      <c r="GJ37" s="3215"/>
      <c r="GK37" s="3216"/>
      <c r="GL37" s="627"/>
    </row>
    <row r="38" spans="1:194" ht="20.25" customHeight="1" x14ac:dyDescent="0.2">
      <c r="A38" s="3637" t="s">
        <v>536</v>
      </c>
      <c r="B38" s="3647" t="s">
        <v>3628</v>
      </c>
      <c r="C38" s="3648"/>
      <c r="D38" s="3648"/>
      <c r="E38" s="3649"/>
      <c r="F38" s="3649"/>
      <c r="G38" s="3649"/>
      <c r="H38" s="3649"/>
      <c r="I38" s="3655"/>
      <c r="J38" s="3656"/>
      <c r="K38" s="3647" t="s">
        <v>3629</v>
      </c>
      <c r="L38" s="3648"/>
      <c r="M38" s="3648"/>
      <c r="N38" s="3649"/>
      <c r="O38" s="3649"/>
      <c r="P38" s="3649"/>
      <c r="Q38" s="3649"/>
      <c r="R38" s="3655"/>
      <c r="S38" s="3656"/>
      <c r="T38" s="3647" t="s">
        <v>3630</v>
      </c>
      <c r="U38" s="3648"/>
      <c r="V38" s="3648"/>
      <c r="W38" s="3649"/>
      <c r="X38" s="3649"/>
      <c r="Y38" s="3649"/>
      <c r="Z38" s="3649"/>
      <c r="AA38" s="3650"/>
      <c r="AB38" s="3651"/>
      <c r="AC38" s="3652" t="s">
        <v>3575</v>
      </c>
      <c r="AD38" s="3653"/>
      <c r="AE38" s="3653"/>
      <c r="AF38" s="3654"/>
      <c r="AG38" s="3654"/>
      <c r="AH38" s="3654"/>
      <c r="AI38" s="3654"/>
      <c r="AJ38" s="3654"/>
      <c r="AK38" s="3654"/>
      <c r="AL38" s="3654"/>
      <c r="AM38" s="3654"/>
      <c r="AN38" s="3654"/>
      <c r="AO38" s="3744" t="s">
        <v>3631</v>
      </c>
      <c r="AP38" s="3745"/>
      <c r="AQ38" s="3745"/>
      <c r="AR38" s="3746"/>
      <c r="AS38" s="3746"/>
      <c r="AT38" s="3746"/>
      <c r="AU38" s="3746"/>
      <c r="AV38" s="3747"/>
      <c r="AW38" s="3748"/>
      <c r="AX38" s="3647" t="s">
        <v>3632</v>
      </c>
      <c r="AY38" s="3648"/>
      <c r="AZ38" s="3648"/>
      <c r="BA38" s="3649"/>
      <c r="BB38" s="3649"/>
      <c r="BC38" s="3649"/>
      <c r="BD38" s="3649"/>
      <c r="BE38" s="3655"/>
      <c r="BF38" s="3656"/>
      <c r="BG38" s="3647" t="s">
        <v>3633</v>
      </c>
      <c r="BH38" s="3648"/>
      <c r="BI38" s="3648"/>
      <c r="BJ38" s="3649"/>
      <c r="BK38" s="3649"/>
      <c r="BL38" s="3649"/>
      <c r="BM38" s="3649"/>
      <c r="BN38" s="3655"/>
      <c r="BO38" s="3656"/>
      <c r="BP38" s="3652" t="s">
        <v>3576</v>
      </c>
      <c r="BQ38" s="3653"/>
      <c r="BR38" s="3653"/>
      <c r="BS38" s="3654"/>
      <c r="BT38" s="3654"/>
      <c r="BU38" s="3654"/>
      <c r="BV38" s="3654"/>
      <c r="BW38" s="3654"/>
      <c r="BX38" s="3654"/>
      <c r="BY38" s="3655"/>
      <c r="BZ38" s="3655"/>
      <c r="CA38" s="3655"/>
      <c r="CB38" s="3652" t="s">
        <v>3577</v>
      </c>
      <c r="CC38" s="3653"/>
      <c r="CD38" s="3653"/>
      <c r="CE38" s="3654"/>
      <c r="CF38" s="3654"/>
      <c r="CG38" s="3654"/>
      <c r="CH38" s="3654"/>
      <c r="CI38" s="3654"/>
      <c r="CJ38" s="3654"/>
      <c r="CK38" s="3655"/>
      <c r="CL38" s="3655"/>
      <c r="CM38" s="3655"/>
      <c r="CN38" s="3647" t="s">
        <v>1373</v>
      </c>
      <c r="CO38" s="3648"/>
      <c r="CP38" s="3648"/>
      <c r="CQ38" s="3649"/>
      <c r="CR38" s="3649"/>
      <c r="CS38" s="3649"/>
      <c r="CT38" s="3649"/>
      <c r="CU38" s="3655"/>
      <c r="CV38" s="3656"/>
      <c r="CW38" s="3647" t="s">
        <v>3634</v>
      </c>
      <c r="CX38" s="3648"/>
      <c r="CY38" s="3648"/>
      <c r="CZ38" s="3649"/>
      <c r="DA38" s="3649"/>
      <c r="DB38" s="3649"/>
      <c r="DC38" s="3649"/>
      <c r="DD38" s="3655"/>
      <c r="DE38" s="3656"/>
      <c r="DF38" s="3647" t="s">
        <v>3635</v>
      </c>
      <c r="DG38" s="3648"/>
      <c r="DH38" s="3648"/>
      <c r="DI38" s="3649"/>
      <c r="DJ38" s="3649"/>
      <c r="DK38" s="3649"/>
      <c r="DL38" s="3649"/>
      <c r="DM38" s="3655"/>
      <c r="DN38" s="3656"/>
      <c r="DO38" s="3652" t="s">
        <v>3578</v>
      </c>
      <c r="DP38" s="3653"/>
      <c r="DQ38" s="3653"/>
      <c r="DR38" s="3654"/>
      <c r="DS38" s="3654"/>
      <c r="DT38" s="3654"/>
      <c r="DU38" s="3654"/>
      <c r="DV38" s="3654"/>
      <c r="DW38" s="3654"/>
      <c r="DX38" s="3655"/>
      <c r="DY38" s="3655"/>
      <c r="DZ38" s="3655"/>
      <c r="EA38" s="3652" t="s">
        <v>3579</v>
      </c>
      <c r="EB38" s="3653"/>
      <c r="EC38" s="3653"/>
      <c r="ED38" s="3654"/>
      <c r="EE38" s="3654"/>
      <c r="EF38" s="3654"/>
      <c r="EG38" s="3654"/>
      <c r="EH38" s="3654"/>
      <c r="EI38" s="3654"/>
      <c r="EJ38" s="3655"/>
      <c r="EK38" s="3655"/>
      <c r="EL38" s="3655"/>
      <c r="EM38" s="3647" t="s">
        <v>3636</v>
      </c>
      <c r="EN38" s="3648"/>
      <c r="EO38" s="3648"/>
      <c r="EP38" s="3649"/>
      <c r="EQ38" s="3649"/>
      <c r="ER38" s="3649"/>
      <c r="ES38" s="3649"/>
      <c r="ET38" s="3655"/>
      <c r="EU38" s="3656"/>
      <c r="EV38" s="3647" t="s">
        <v>3637</v>
      </c>
      <c r="EW38" s="3648"/>
      <c r="EX38" s="3648"/>
      <c r="EY38" s="3649"/>
      <c r="EZ38" s="3649"/>
      <c r="FA38" s="3649"/>
      <c r="FB38" s="3649"/>
      <c r="FC38" s="3655"/>
      <c r="FD38" s="3656"/>
      <c r="FE38" s="3647" t="s">
        <v>3638</v>
      </c>
      <c r="FF38" s="3648"/>
      <c r="FG38" s="3648"/>
      <c r="FH38" s="3649"/>
      <c r="FI38" s="3649"/>
      <c r="FJ38" s="3649"/>
      <c r="FK38" s="3649"/>
      <c r="FL38" s="3655"/>
      <c r="FM38" s="3656"/>
      <c r="FN38" s="3652" t="s">
        <v>3580</v>
      </c>
      <c r="FO38" s="3653"/>
      <c r="FP38" s="3653"/>
      <c r="FQ38" s="3654"/>
      <c r="FR38" s="3654"/>
      <c r="FS38" s="3654"/>
      <c r="FT38" s="3654"/>
      <c r="FU38" s="3654"/>
      <c r="FV38" s="3654"/>
      <c r="FW38" s="3655"/>
      <c r="FX38" s="3655"/>
      <c r="FY38" s="3655"/>
      <c r="FZ38" s="3657" t="s">
        <v>2019</v>
      </c>
      <c r="GA38" s="3658"/>
      <c r="GB38" s="3658"/>
      <c r="GC38" s="3659"/>
      <c r="GD38" s="3659"/>
      <c r="GE38" s="3659"/>
      <c r="GF38" s="3659"/>
      <c r="GG38" s="3659"/>
      <c r="GH38" s="3659"/>
      <c r="GI38" s="3660"/>
      <c r="GJ38" s="3660"/>
      <c r="GK38" s="3661"/>
      <c r="GL38" s="627"/>
    </row>
    <row r="39" spans="1:194" ht="20.25" customHeight="1" x14ac:dyDescent="0.3">
      <c r="A39" s="3637"/>
      <c r="B39" s="3638" t="s">
        <v>3581</v>
      </c>
      <c r="C39" s="3639"/>
      <c r="D39" s="3640"/>
      <c r="E39" s="3638" t="s">
        <v>1692</v>
      </c>
      <c r="F39" s="3639"/>
      <c r="G39" s="3640"/>
      <c r="H39" s="3638" t="s">
        <v>3639</v>
      </c>
      <c r="I39" s="3639"/>
      <c r="J39" s="3640"/>
      <c r="K39" s="3638" t="s">
        <v>3581</v>
      </c>
      <c r="L39" s="3639"/>
      <c r="M39" s="3640"/>
      <c r="N39" s="3638" t="s">
        <v>1692</v>
      </c>
      <c r="O39" s="3639"/>
      <c r="P39" s="3640"/>
      <c r="Q39" s="3638" t="s">
        <v>3639</v>
      </c>
      <c r="R39" s="3639"/>
      <c r="S39" s="3640"/>
      <c r="T39" s="3638" t="s">
        <v>3581</v>
      </c>
      <c r="U39" s="3639"/>
      <c r="V39" s="3640"/>
      <c r="W39" s="3638" t="s">
        <v>1692</v>
      </c>
      <c r="X39" s="3639"/>
      <c r="Y39" s="3640"/>
      <c r="Z39" s="3638" t="s">
        <v>3639</v>
      </c>
      <c r="AA39" s="3639"/>
      <c r="AB39" s="3640"/>
      <c r="AC39" s="3644" t="s">
        <v>3581</v>
      </c>
      <c r="AD39" s="3645"/>
      <c r="AE39" s="3646"/>
      <c r="AF39" s="3641" t="s">
        <v>1692</v>
      </c>
      <c r="AG39" s="3642"/>
      <c r="AH39" s="3643"/>
      <c r="AI39" s="3641" t="s">
        <v>3639</v>
      </c>
      <c r="AJ39" s="3642"/>
      <c r="AK39" s="3643"/>
      <c r="AL39" s="3644" t="s">
        <v>3654</v>
      </c>
      <c r="AM39" s="3645"/>
      <c r="AN39" s="3646"/>
      <c r="AO39" s="3741" t="s">
        <v>3581</v>
      </c>
      <c r="AP39" s="3742"/>
      <c r="AQ39" s="3743"/>
      <c r="AR39" s="3741" t="s">
        <v>1692</v>
      </c>
      <c r="AS39" s="3742"/>
      <c r="AT39" s="3743"/>
      <c r="AU39" s="3741" t="s">
        <v>3639</v>
      </c>
      <c r="AV39" s="3742"/>
      <c r="AW39" s="3743"/>
      <c r="AX39" s="3638" t="s">
        <v>3581</v>
      </c>
      <c r="AY39" s="3639"/>
      <c r="AZ39" s="3640"/>
      <c r="BA39" s="3638" t="s">
        <v>1692</v>
      </c>
      <c r="BB39" s="3639"/>
      <c r="BC39" s="3640"/>
      <c r="BD39" s="3638" t="s">
        <v>3639</v>
      </c>
      <c r="BE39" s="3639"/>
      <c r="BF39" s="3640"/>
      <c r="BG39" s="3638" t="s">
        <v>3581</v>
      </c>
      <c r="BH39" s="3639"/>
      <c r="BI39" s="3640"/>
      <c r="BJ39" s="3638" t="s">
        <v>1692</v>
      </c>
      <c r="BK39" s="3639"/>
      <c r="BL39" s="3640"/>
      <c r="BM39" s="3638" t="s">
        <v>3639</v>
      </c>
      <c r="BN39" s="3639"/>
      <c r="BO39" s="3640"/>
      <c r="BP39" s="3644" t="s">
        <v>3581</v>
      </c>
      <c r="BQ39" s="3645"/>
      <c r="BR39" s="3646"/>
      <c r="BS39" s="3641" t="s">
        <v>1692</v>
      </c>
      <c r="BT39" s="3642"/>
      <c r="BU39" s="3643"/>
      <c r="BV39" s="3641" t="s">
        <v>3639</v>
      </c>
      <c r="BW39" s="3642"/>
      <c r="BX39" s="3643"/>
      <c r="BY39" s="3644" t="s">
        <v>3654</v>
      </c>
      <c r="BZ39" s="3645"/>
      <c r="CA39" s="3646"/>
      <c r="CB39" s="3644" t="s">
        <v>3581</v>
      </c>
      <c r="CC39" s="3645"/>
      <c r="CD39" s="3646"/>
      <c r="CE39" s="3641" t="s">
        <v>1692</v>
      </c>
      <c r="CF39" s="3642"/>
      <c r="CG39" s="3643"/>
      <c r="CH39" s="3641" t="s">
        <v>3639</v>
      </c>
      <c r="CI39" s="3642"/>
      <c r="CJ39" s="3643"/>
      <c r="CK39" s="3644" t="s">
        <v>3654</v>
      </c>
      <c r="CL39" s="3645"/>
      <c r="CM39" s="3646"/>
      <c r="CN39" s="3638" t="s">
        <v>3581</v>
      </c>
      <c r="CO39" s="3639"/>
      <c r="CP39" s="3640"/>
      <c r="CQ39" s="3638" t="s">
        <v>1692</v>
      </c>
      <c r="CR39" s="3639"/>
      <c r="CS39" s="3640"/>
      <c r="CT39" s="3638" t="s">
        <v>3639</v>
      </c>
      <c r="CU39" s="3639"/>
      <c r="CV39" s="3640"/>
      <c r="CW39" s="3638" t="s">
        <v>3581</v>
      </c>
      <c r="CX39" s="3639"/>
      <c r="CY39" s="3640"/>
      <c r="CZ39" s="3638" t="s">
        <v>1692</v>
      </c>
      <c r="DA39" s="3639"/>
      <c r="DB39" s="3640"/>
      <c r="DC39" s="3638" t="s">
        <v>3639</v>
      </c>
      <c r="DD39" s="3639"/>
      <c r="DE39" s="3640"/>
      <c r="DF39" s="3638" t="s">
        <v>3581</v>
      </c>
      <c r="DG39" s="3639"/>
      <c r="DH39" s="3640"/>
      <c r="DI39" s="3638" t="s">
        <v>1692</v>
      </c>
      <c r="DJ39" s="3639"/>
      <c r="DK39" s="3640"/>
      <c r="DL39" s="3638" t="s">
        <v>3639</v>
      </c>
      <c r="DM39" s="3639"/>
      <c r="DN39" s="3640"/>
      <c r="DO39" s="3644" t="s">
        <v>3581</v>
      </c>
      <c r="DP39" s="3645"/>
      <c r="DQ39" s="3646"/>
      <c r="DR39" s="3641" t="s">
        <v>1692</v>
      </c>
      <c r="DS39" s="3642"/>
      <c r="DT39" s="3643"/>
      <c r="DU39" s="3641" t="s">
        <v>3639</v>
      </c>
      <c r="DV39" s="3642"/>
      <c r="DW39" s="3643"/>
      <c r="DX39" s="3644" t="s">
        <v>3654</v>
      </c>
      <c r="DY39" s="3645"/>
      <c r="DZ39" s="3646"/>
      <c r="EA39" s="3644" t="s">
        <v>3581</v>
      </c>
      <c r="EB39" s="3645"/>
      <c r="EC39" s="3646"/>
      <c r="ED39" s="3641" t="s">
        <v>1692</v>
      </c>
      <c r="EE39" s="3642"/>
      <c r="EF39" s="3643"/>
      <c r="EG39" s="3641" t="s">
        <v>3639</v>
      </c>
      <c r="EH39" s="3642"/>
      <c r="EI39" s="3643"/>
      <c r="EJ39" s="3644" t="s">
        <v>3654</v>
      </c>
      <c r="EK39" s="3645"/>
      <c r="EL39" s="3646"/>
      <c r="EM39" s="3638" t="s">
        <v>3581</v>
      </c>
      <c r="EN39" s="3639"/>
      <c r="EO39" s="3640"/>
      <c r="EP39" s="3638" t="s">
        <v>1692</v>
      </c>
      <c r="EQ39" s="3639"/>
      <c r="ER39" s="3640"/>
      <c r="ES39" s="3638" t="s">
        <v>3639</v>
      </c>
      <c r="ET39" s="3639"/>
      <c r="EU39" s="3640"/>
      <c r="EV39" s="3638" t="s">
        <v>3581</v>
      </c>
      <c r="EW39" s="3639"/>
      <c r="EX39" s="3640"/>
      <c r="EY39" s="3638" t="s">
        <v>1692</v>
      </c>
      <c r="EZ39" s="3639"/>
      <c r="FA39" s="3640"/>
      <c r="FB39" s="3638" t="s">
        <v>3639</v>
      </c>
      <c r="FC39" s="3639"/>
      <c r="FD39" s="3640"/>
      <c r="FE39" s="3638" t="s">
        <v>3581</v>
      </c>
      <c r="FF39" s="3639"/>
      <c r="FG39" s="3640"/>
      <c r="FH39" s="3638" t="s">
        <v>1692</v>
      </c>
      <c r="FI39" s="3639"/>
      <c r="FJ39" s="3640"/>
      <c r="FK39" s="3638" t="s">
        <v>3639</v>
      </c>
      <c r="FL39" s="3639"/>
      <c r="FM39" s="3640"/>
      <c r="FN39" s="3644" t="s">
        <v>3581</v>
      </c>
      <c r="FO39" s="3645"/>
      <c r="FP39" s="3646"/>
      <c r="FQ39" s="3641" t="s">
        <v>1692</v>
      </c>
      <c r="FR39" s="3642"/>
      <c r="FS39" s="3643"/>
      <c r="FT39" s="3641" t="s">
        <v>3639</v>
      </c>
      <c r="FU39" s="3642"/>
      <c r="FV39" s="3643"/>
      <c r="FW39" s="3644" t="s">
        <v>3654</v>
      </c>
      <c r="FX39" s="3645"/>
      <c r="FY39" s="3646"/>
      <c r="FZ39" s="3662" t="s">
        <v>3581</v>
      </c>
      <c r="GA39" s="3663"/>
      <c r="GB39" s="3664"/>
      <c r="GC39" s="3665" t="s">
        <v>1692</v>
      </c>
      <c r="GD39" s="3666"/>
      <c r="GE39" s="3667"/>
      <c r="GF39" s="3665" t="s">
        <v>3639</v>
      </c>
      <c r="GG39" s="3666"/>
      <c r="GH39" s="3667"/>
      <c r="GI39" s="3662" t="s">
        <v>3654</v>
      </c>
      <c r="GJ39" s="3663"/>
      <c r="GK39" s="3664"/>
      <c r="GL39" s="396"/>
    </row>
    <row r="40" spans="1:194" ht="25.5" customHeight="1" x14ac:dyDescent="0.3">
      <c r="A40" s="3637"/>
      <c r="B40" s="3095" t="s">
        <v>627</v>
      </c>
      <c r="C40" s="3095" t="s">
        <v>3625</v>
      </c>
      <c r="D40" s="3095" t="s">
        <v>3626</v>
      </c>
      <c r="E40" s="3095" t="s">
        <v>627</v>
      </c>
      <c r="F40" s="3095" t="s">
        <v>3625</v>
      </c>
      <c r="G40" s="3095" t="s">
        <v>3626</v>
      </c>
      <c r="H40" s="3095" t="s">
        <v>627</v>
      </c>
      <c r="I40" s="3095" t="s">
        <v>3625</v>
      </c>
      <c r="J40" s="3095" t="s">
        <v>3626</v>
      </c>
      <c r="K40" s="3095" t="s">
        <v>627</v>
      </c>
      <c r="L40" s="3095" t="s">
        <v>3625</v>
      </c>
      <c r="M40" s="3095" t="s">
        <v>3626</v>
      </c>
      <c r="N40" s="3095" t="s">
        <v>627</v>
      </c>
      <c r="O40" s="3095" t="s">
        <v>3625</v>
      </c>
      <c r="P40" s="3095" t="s">
        <v>3626</v>
      </c>
      <c r="Q40" s="3095" t="s">
        <v>627</v>
      </c>
      <c r="R40" s="3095" t="s">
        <v>3625</v>
      </c>
      <c r="S40" s="3095" t="s">
        <v>3626</v>
      </c>
      <c r="T40" s="3095" t="s">
        <v>627</v>
      </c>
      <c r="U40" s="3095" t="s">
        <v>3625</v>
      </c>
      <c r="V40" s="3095" t="s">
        <v>3626</v>
      </c>
      <c r="W40" s="3095" t="s">
        <v>627</v>
      </c>
      <c r="X40" s="3095" t="s">
        <v>3625</v>
      </c>
      <c r="Y40" s="3095" t="s">
        <v>3626</v>
      </c>
      <c r="Z40" s="3095" t="s">
        <v>627</v>
      </c>
      <c r="AA40" s="3095" t="s">
        <v>3625</v>
      </c>
      <c r="AB40" s="3095" t="s">
        <v>3626</v>
      </c>
      <c r="AC40" s="3096" t="s">
        <v>627</v>
      </c>
      <c r="AD40" s="3096" t="s">
        <v>3625</v>
      </c>
      <c r="AE40" s="3096" t="s">
        <v>3626</v>
      </c>
      <c r="AF40" s="3096" t="s">
        <v>627</v>
      </c>
      <c r="AG40" s="3096" t="s">
        <v>3625</v>
      </c>
      <c r="AH40" s="3096" t="s">
        <v>3626</v>
      </c>
      <c r="AI40" s="3096" t="s">
        <v>627</v>
      </c>
      <c r="AJ40" s="3096" t="s">
        <v>3625</v>
      </c>
      <c r="AK40" s="3096" t="s">
        <v>3626</v>
      </c>
      <c r="AL40" s="3096" t="s">
        <v>627</v>
      </c>
      <c r="AM40" s="3096" t="s">
        <v>3625</v>
      </c>
      <c r="AN40" s="3096" t="s">
        <v>3626</v>
      </c>
      <c r="AO40" s="3468" t="s">
        <v>627</v>
      </c>
      <c r="AP40" s="3468" t="s">
        <v>3625</v>
      </c>
      <c r="AQ40" s="3468" t="s">
        <v>3626</v>
      </c>
      <c r="AR40" s="3468" t="s">
        <v>627</v>
      </c>
      <c r="AS40" s="3468" t="s">
        <v>3625</v>
      </c>
      <c r="AT40" s="3468" t="s">
        <v>3626</v>
      </c>
      <c r="AU40" s="3468" t="s">
        <v>627</v>
      </c>
      <c r="AV40" s="3468" t="s">
        <v>3625</v>
      </c>
      <c r="AW40" s="3468" t="s">
        <v>3626</v>
      </c>
      <c r="AX40" s="3095" t="s">
        <v>627</v>
      </c>
      <c r="AY40" s="3095" t="s">
        <v>3625</v>
      </c>
      <c r="AZ40" s="3095" t="s">
        <v>3626</v>
      </c>
      <c r="BA40" s="3095" t="s">
        <v>627</v>
      </c>
      <c r="BB40" s="3095" t="s">
        <v>3625</v>
      </c>
      <c r="BC40" s="3095" t="s">
        <v>3626</v>
      </c>
      <c r="BD40" s="3095" t="s">
        <v>627</v>
      </c>
      <c r="BE40" s="3095" t="s">
        <v>3625</v>
      </c>
      <c r="BF40" s="3095" t="s">
        <v>3626</v>
      </c>
      <c r="BG40" s="3095" t="s">
        <v>627</v>
      </c>
      <c r="BH40" s="3095" t="s">
        <v>3625</v>
      </c>
      <c r="BI40" s="3095" t="s">
        <v>3626</v>
      </c>
      <c r="BJ40" s="3095" t="s">
        <v>627</v>
      </c>
      <c r="BK40" s="3095" t="s">
        <v>3625</v>
      </c>
      <c r="BL40" s="3095" t="s">
        <v>3626</v>
      </c>
      <c r="BM40" s="3095" t="s">
        <v>627</v>
      </c>
      <c r="BN40" s="3095" t="s">
        <v>3625</v>
      </c>
      <c r="BO40" s="3095" t="s">
        <v>3626</v>
      </c>
      <c r="BP40" s="3096" t="s">
        <v>627</v>
      </c>
      <c r="BQ40" s="3096" t="s">
        <v>3625</v>
      </c>
      <c r="BR40" s="3096" t="s">
        <v>3626</v>
      </c>
      <c r="BS40" s="3096" t="s">
        <v>627</v>
      </c>
      <c r="BT40" s="3096" t="s">
        <v>3625</v>
      </c>
      <c r="BU40" s="3096" t="s">
        <v>3626</v>
      </c>
      <c r="BV40" s="3096" t="s">
        <v>627</v>
      </c>
      <c r="BW40" s="3096" t="s">
        <v>3625</v>
      </c>
      <c r="BX40" s="3096" t="s">
        <v>3626</v>
      </c>
      <c r="BY40" s="3096" t="s">
        <v>627</v>
      </c>
      <c r="BZ40" s="3096" t="s">
        <v>3625</v>
      </c>
      <c r="CA40" s="3096" t="s">
        <v>3626</v>
      </c>
      <c r="CB40" s="3096" t="s">
        <v>627</v>
      </c>
      <c r="CC40" s="3096" t="s">
        <v>3625</v>
      </c>
      <c r="CD40" s="3096" t="s">
        <v>3626</v>
      </c>
      <c r="CE40" s="3096" t="s">
        <v>627</v>
      </c>
      <c r="CF40" s="3096" t="s">
        <v>3625</v>
      </c>
      <c r="CG40" s="3096" t="s">
        <v>3626</v>
      </c>
      <c r="CH40" s="3096" t="s">
        <v>627</v>
      </c>
      <c r="CI40" s="3096" t="s">
        <v>3625</v>
      </c>
      <c r="CJ40" s="3096" t="s">
        <v>3626</v>
      </c>
      <c r="CK40" s="3096" t="s">
        <v>627</v>
      </c>
      <c r="CL40" s="3096" t="s">
        <v>3625</v>
      </c>
      <c r="CM40" s="3096" t="s">
        <v>3626</v>
      </c>
      <c r="CN40" s="3095" t="s">
        <v>627</v>
      </c>
      <c r="CO40" s="3095" t="s">
        <v>3625</v>
      </c>
      <c r="CP40" s="3095" t="s">
        <v>3626</v>
      </c>
      <c r="CQ40" s="3095" t="s">
        <v>627</v>
      </c>
      <c r="CR40" s="3095" t="s">
        <v>3625</v>
      </c>
      <c r="CS40" s="3095" t="s">
        <v>3626</v>
      </c>
      <c r="CT40" s="3095" t="s">
        <v>627</v>
      </c>
      <c r="CU40" s="3095" t="s">
        <v>3625</v>
      </c>
      <c r="CV40" s="3095" t="s">
        <v>3626</v>
      </c>
      <c r="CW40" s="3095" t="s">
        <v>627</v>
      </c>
      <c r="CX40" s="3095" t="s">
        <v>3625</v>
      </c>
      <c r="CY40" s="3095" t="s">
        <v>3626</v>
      </c>
      <c r="CZ40" s="3095" t="s">
        <v>627</v>
      </c>
      <c r="DA40" s="3095" t="s">
        <v>3625</v>
      </c>
      <c r="DB40" s="3095" t="s">
        <v>3626</v>
      </c>
      <c r="DC40" s="3095" t="s">
        <v>627</v>
      </c>
      <c r="DD40" s="3095" t="s">
        <v>3625</v>
      </c>
      <c r="DE40" s="3095" t="s">
        <v>3626</v>
      </c>
      <c r="DF40" s="3095" t="s">
        <v>627</v>
      </c>
      <c r="DG40" s="3095" t="s">
        <v>3625</v>
      </c>
      <c r="DH40" s="3095" t="s">
        <v>3626</v>
      </c>
      <c r="DI40" s="3095" t="s">
        <v>627</v>
      </c>
      <c r="DJ40" s="3095" t="s">
        <v>3625</v>
      </c>
      <c r="DK40" s="3095" t="s">
        <v>3626</v>
      </c>
      <c r="DL40" s="3095" t="s">
        <v>627</v>
      </c>
      <c r="DM40" s="3095" t="s">
        <v>3625</v>
      </c>
      <c r="DN40" s="3095" t="s">
        <v>3626</v>
      </c>
      <c r="DO40" s="3096" t="s">
        <v>627</v>
      </c>
      <c r="DP40" s="3096" t="s">
        <v>3625</v>
      </c>
      <c r="DQ40" s="3096" t="s">
        <v>3626</v>
      </c>
      <c r="DR40" s="3096" t="s">
        <v>627</v>
      </c>
      <c r="DS40" s="3096" t="s">
        <v>3625</v>
      </c>
      <c r="DT40" s="3096" t="s">
        <v>3626</v>
      </c>
      <c r="DU40" s="3096" t="s">
        <v>627</v>
      </c>
      <c r="DV40" s="3096" t="s">
        <v>3625</v>
      </c>
      <c r="DW40" s="3096" t="s">
        <v>3626</v>
      </c>
      <c r="DX40" s="3096" t="s">
        <v>627</v>
      </c>
      <c r="DY40" s="3096" t="s">
        <v>3625</v>
      </c>
      <c r="DZ40" s="3096" t="s">
        <v>3626</v>
      </c>
      <c r="EA40" s="3096" t="s">
        <v>627</v>
      </c>
      <c r="EB40" s="3096" t="s">
        <v>3625</v>
      </c>
      <c r="EC40" s="3096" t="s">
        <v>3626</v>
      </c>
      <c r="ED40" s="3096" t="s">
        <v>627</v>
      </c>
      <c r="EE40" s="3096" t="s">
        <v>3625</v>
      </c>
      <c r="EF40" s="3096" t="s">
        <v>3626</v>
      </c>
      <c r="EG40" s="3096" t="s">
        <v>627</v>
      </c>
      <c r="EH40" s="3096" t="s">
        <v>3625</v>
      </c>
      <c r="EI40" s="3096" t="s">
        <v>3626</v>
      </c>
      <c r="EJ40" s="3096" t="s">
        <v>627</v>
      </c>
      <c r="EK40" s="3096" t="s">
        <v>3625</v>
      </c>
      <c r="EL40" s="3096" t="s">
        <v>3626</v>
      </c>
      <c r="EM40" s="3095" t="s">
        <v>627</v>
      </c>
      <c r="EN40" s="3095" t="s">
        <v>3625</v>
      </c>
      <c r="EO40" s="3095" t="s">
        <v>3626</v>
      </c>
      <c r="EP40" s="3095" t="s">
        <v>627</v>
      </c>
      <c r="EQ40" s="3095" t="s">
        <v>3625</v>
      </c>
      <c r="ER40" s="3095" t="s">
        <v>3626</v>
      </c>
      <c r="ES40" s="3095" t="s">
        <v>627</v>
      </c>
      <c r="ET40" s="3095" t="s">
        <v>3625</v>
      </c>
      <c r="EU40" s="3095" t="s">
        <v>3626</v>
      </c>
      <c r="EV40" s="3095" t="s">
        <v>627</v>
      </c>
      <c r="EW40" s="3095" t="s">
        <v>3625</v>
      </c>
      <c r="EX40" s="3095" t="s">
        <v>3626</v>
      </c>
      <c r="EY40" s="3095" t="s">
        <v>627</v>
      </c>
      <c r="EZ40" s="3095" t="s">
        <v>3625</v>
      </c>
      <c r="FA40" s="3095" t="s">
        <v>3626</v>
      </c>
      <c r="FB40" s="3095" t="s">
        <v>627</v>
      </c>
      <c r="FC40" s="3095" t="s">
        <v>3625</v>
      </c>
      <c r="FD40" s="3095" t="s">
        <v>3626</v>
      </c>
      <c r="FE40" s="3095" t="s">
        <v>627</v>
      </c>
      <c r="FF40" s="3095" t="s">
        <v>3625</v>
      </c>
      <c r="FG40" s="3095" t="s">
        <v>3626</v>
      </c>
      <c r="FH40" s="3095" t="s">
        <v>627</v>
      </c>
      <c r="FI40" s="3095" t="s">
        <v>3625</v>
      </c>
      <c r="FJ40" s="3095" t="s">
        <v>3626</v>
      </c>
      <c r="FK40" s="3095" t="s">
        <v>627</v>
      </c>
      <c r="FL40" s="3095" t="s">
        <v>3625</v>
      </c>
      <c r="FM40" s="3095" t="s">
        <v>3626</v>
      </c>
      <c r="FN40" s="3096" t="s">
        <v>627</v>
      </c>
      <c r="FO40" s="3096" t="s">
        <v>3625</v>
      </c>
      <c r="FP40" s="3096" t="s">
        <v>3626</v>
      </c>
      <c r="FQ40" s="3096" t="s">
        <v>627</v>
      </c>
      <c r="FR40" s="3096" t="s">
        <v>3625</v>
      </c>
      <c r="FS40" s="3096" t="s">
        <v>3626</v>
      </c>
      <c r="FT40" s="3096" t="s">
        <v>627</v>
      </c>
      <c r="FU40" s="3096" t="s">
        <v>3625</v>
      </c>
      <c r="FV40" s="3096" t="s">
        <v>3626</v>
      </c>
      <c r="FW40" s="3096" t="s">
        <v>627</v>
      </c>
      <c r="FX40" s="3096" t="s">
        <v>3625</v>
      </c>
      <c r="FY40" s="3096" t="s">
        <v>3626</v>
      </c>
      <c r="FZ40" s="3217" t="s">
        <v>627</v>
      </c>
      <c r="GA40" s="3217" t="s">
        <v>3625</v>
      </c>
      <c r="GB40" s="3217" t="s">
        <v>3626</v>
      </c>
      <c r="GC40" s="3217" t="s">
        <v>627</v>
      </c>
      <c r="GD40" s="3217" t="s">
        <v>3625</v>
      </c>
      <c r="GE40" s="3217" t="s">
        <v>3626</v>
      </c>
      <c r="GF40" s="3217" t="s">
        <v>627</v>
      </c>
      <c r="GG40" s="3217" t="s">
        <v>3625</v>
      </c>
      <c r="GH40" s="3217" t="s">
        <v>3626</v>
      </c>
      <c r="GI40" s="3217" t="s">
        <v>627</v>
      </c>
      <c r="GJ40" s="3217" t="s">
        <v>3625</v>
      </c>
      <c r="GK40" s="3217" t="s">
        <v>3626</v>
      </c>
      <c r="GL40" s="396"/>
    </row>
    <row r="41" spans="1:194" ht="18.75" x14ac:dyDescent="0.3">
      <c r="A41" s="3135" t="s">
        <v>1</v>
      </c>
      <c r="B41" s="3277">
        <f>SUM(C41:D41)</f>
        <v>1082.0043662759665</v>
      </c>
      <c r="C41" s="3277">
        <f>SUM('ПОЛНАЯ СЕБЕСТОИМОСТЬ ВОДА 2019'!C186/3)</f>
        <v>1081.9057440078752</v>
      </c>
      <c r="D41" s="3277">
        <f>SUM('ПОЛНАЯ СЕБЕСТОИМОСТЬ ВОДА 2019'!D186/3)</f>
        <v>9.8622268091306434E-2</v>
      </c>
      <c r="E41" s="3136">
        <f>SUM(F41:G41)</f>
        <v>912.30799999999999</v>
      </c>
      <c r="F41" s="3136">
        <f>SUM('ПОЛНАЯ СЕБЕСТОИМОСТЬ ВОДА 2019'!F186)</f>
        <v>912.22</v>
      </c>
      <c r="G41" s="3136">
        <f>SUM('ПОЛНАЯ СЕБЕСТОИМОСТЬ ВОДА 2019'!G186)</f>
        <v>8.7999999999999995E-2</v>
      </c>
      <c r="H41" s="3137">
        <v>941.03</v>
      </c>
      <c r="I41" s="3137">
        <f>SUM(H41-J41)</f>
        <v>940.91167568327432</v>
      </c>
      <c r="J41" s="3137">
        <f>SUM(H41/H14*J14)*0.28680203045</f>
        <v>0.11832431672567845</v>
      </c>
      <c r="K41" s="3277">
        <f>SUM(L41:M41)</f>
        <v>1082.0043662759665</v>
      </c>
      <c r="L41" s="3277">
        <f>SUM(C41)</f>
        <v>1081.9057440078752</v>
      </c>
      <c r="M41" s="3277">
        <f>SUM(D41)</f>
        <v>9.8622268091306434E-2</v>
      </c>
      <c r="N41" s="3136">
        <f>SUM(O41:P41)</f>
        <v>779.13000000000011</v>
      </c>
      <c r="O41" s="3136">
        <f>SUM('ПОЛНАЯ СЕБЕСТОИМОСТЬ ВОДА 2019'!I186)</f>
        <v>779.06000000000006</v>
      </c>
      <c r="P41" s="3136">
        <f>SUM('ПОЛНАЯ СЕБЕСТОИМОСТЬ ВОДА 2019'!J186)</f>
        <v>7.0000000000000007E-2</v>
      </c>
      <c r="Q41" s="3137">
        <v>860.23</v>
      </c>
      <c r="R41" s="3137">
        <f>SUM(Q41-S41)</f>
        <v>860.08927424052445</v>
      </c>
      <c r="S41" s="3137">
        <f>SUM(Q41/Q14*S14)*0.28680203045</f>
        <v>0.14072575947561758</v>
      </c>
      <c r="T41" s="3277">
        <f>SUM(U41:V41)</f>
        <v>1082.0043662759665</v>
      </c>
      <c r="U41" s="3277">
        <f t="shared" ref="U41:V41" si="532">SUM(L41)</f>
        <v>1081.9057440078752</v>
      </c>
      <c r="V41" s="3277">
        <f t="shared" si="532"/>
        <v>9.8622268091306434E-2</v>
      </c>
      <c r="W41" s="3136">
        <f>SUM(X41:Y41)</f>
        <v>835.11</v>
      </c>
      <c r="X41" s="3136">
        <f>SUM('ПОЛНАЯ СЕБЕСТОИМОСТЬ ВОДА 2019'!L186)</f>
        <v>835.06000000000006</v>
      </c>
      <c r="Y41" s="3136">
        <f>SUM('ПОЛНАЯ СЕБЕСТОИМОСТЬ ВОДА 2019'!M186)</f>
        <v>0.05</v>
      </c>
      <c r="Z41" s="3137">
        <v>880.24</v>
      </c>
      <c r="AA41" s="3137">
        <f>SUM(Z41-AB41)</f>
        <v>880.13812847429551</v>
      </c>
      <c r="AB41" s="3137">
        <f>SUM(Z41/Z14*AB14)*0.28680203045</f>
        <v>0.10187152570447561</v>
      </c>
      <c r="AC41" s="3114">
        <f t="shared" ref="AC41:AC47" si="533">SUM(B41+K41+T41)</f>
        <v>3246.0130988278997</v>
      </c>
      <c r="AD41" s="3114">
        <f t="shared" ref="AD41:AD47" si="534">SUM(C41+L41+U41)</f>
        <v>3245.7172320236259</v>
      </c>
      <c r="AE41" s="3114">
        <f t="shared" ref="AE41:AE47" si="535">SUM(D41+M41+V41)</f>
        <v>0.29586680427391931</v>
      </c>
      <c r="AF41" s="3123">
        <f t="shared" ref="AF41" si="536">SUM(E41+N41+W41)</f>
        <v>2526.5480000000002</v>
      </c>
      <c r="AG41" s="3123">
        <f t="shared" ref="AG41" si="537">SUM(F41+O41+X41)</f>
        <v>2526.34</v>
      </c>
      <c r="AH41" s="3123">
        <f t="shared" ref="AH41" si="538">SUM(G41+P41+Y41)</f>
        <v>0.20800000000000002</v>
      </c>
      <c r="AI41" s="3123">
        <f t="shared" ref="AI41" si="539">SUM(H41+Q41+Z41)</f>
        <v>2681.5</v>
      </c>
      <c r="AJ41" s="3123">
        <f t="shared" ref="AJ41" si="540">SUM(I41+R41+AA41)</f>
        <v>2681.1390783980942</v>
      </c>
      <c r="AK41" s="3123">
        <f t="shared" ref="AK41" si="541">SUM(J41+S41+AB41)</f>
        <v>0.36092160190577166</v>
      </c>
      <c r="AL41" s="3115">
        <f t="shared" ref="AL41" si="542">SUM(AF41-AC41)</f>
        <v>-719.46509882789951</v>
      </c>
      <c r="AM41" s="3115">
        <f t="shared" ref="AM41" si="543">SUM(AG41-AD41)</f>
        <v>-719.37723202362577</v>
      </c>
      <c r="AN41" s="3115">
        <f t="shared" ref="AN41" si="544">SUM(AH41-AE41)</f>
        <v>-8.7866804273919297E-2</v>
      </c>
      <c r="AO41" s="3277">
        <f>SUM(AP41:AQ41)</f>
        <v>1082.0043662759665</v>
      </c>
      <c r="AP41" s="3277">
        <f>SUM('ПОЛНАЯ СЕБЕСТОИМОСТЬ ВОДА 2019'!R186/3)</f>
        <v>1081.9057440078752</v>
      </c>
      <c r="AQ41" s="3277">
        <f>SUM('ПОЛНАЯ СЕБЕСТОИМОСТЬ ВОДА 2019'!S186/3)</f>
        <v>9.8622268091306434E-2</v>
      </c>
      <c r="AR41" s="3277">
        <f>SUM(AS41:AT41)</f>
        <v>1054.8399999999999</v>
      </c>
      <c r="AS41" s="3277">
        <f>SUM('ПОЛНАЯ СЕБЕСТОИМОСТЬ ВОДА 2019'!U186)</f>
        <v>1054.77</v>
      </c>
      <c r="AT41" s="3277">
        <f>SUM('ПОЛНАЯ СЕБЕСТОИМОСТЬ ВОДА 2019'!V186)</f>
        <v>7.0000000000000007E-2</v>
      </c>
      <c r="AU41" s="3464">
        <v>909.62</v>
      </c>
      <c r="AV41" s="3464">
        <f>SUM(AU41-AW41)</f>
        <v>909.35954238069348</v>
      </c>
      <c r="AW41" s="3464">
        <f>SUM(AU41/AU14*AW14)*0.28680203045</f>
        <v>0.26045761930655592</v>
      </c>
      <c r="AX41" s="3277">
        <f>SUM(AY41:AZ41)</f>
        <v>1082.0043662759665</v>
      </c>
      <c r="AY41" s="3277">
        <f>SUM(AP41)</f>
        <v>1081.9057440078752</v>
      </c>
      <c r="AZ41" s="3277">
        <f>SUM(AQ41)</f>
        <v>9.8622268091306434E-2</v>
      </c>
      <c r="BA41" s="3277">
        <f>SUM(BB41:BC41)</f>
        <v>1060.06</v>
      </c>
      <c r="BB41" s="3277">
        <f>SUM('ПОЛНАЯ СЕБЕСТОИМОСТЬ ВОДА 2019'!X186)</f>
        <v>1059.99</v>
      </c>
      <c r="BC41" s="3277">
        <f>SUM('ПОЛНАЯ СЕБЕСТОИМОСТЬ ВОДА 2019'!Y186)</f>
        <v>7.0000000000000007E-2</v>
      </c>
      <c r="BD41" s="3137">
        <v>1146.6099999999999</v>
      </c>
      <c r="BE41" s="3137">
        <f>SUM(BD41-BF41)</f>
        <v>1146.5022121091695</v>
      </c>
      <c r="BF41" s="3137">
        <f>SUM(BD41/BD14*BF14)*0.28680203045</f>
        <v>0.1077878908303368</v>
      </c>
      <c r="BG41" s="3277">
        <f>SUM(BH41:BI41)</f>
        <v>1082.0043662759665</v>
      </c>
      <c r="BH41" s="3277">
        <f>SUM(AY41)</f>
        <v>1081.9057440078752</v>
      </c>
      <c r="BI41" s="3277">
        <f>SUM(AZ41)</f>
        <v>9.8622268091306434E-2</v>
      </c>
      <c r="BJ41" s="3136">
        <f>SUM(BK41:BL41)</f>
        <v>940.82</v>
      </c>
      <c r="BK41" s="3136">
        <f>SUM('ПОЛНАЯ СЕБЕСТОИМОСТЬ ВОДА 2019'!AA186)</f>
        <v>940.7600000000001</v>
      </c>
      <c r="BL41" s="3136">
        <f>SUM('ПОЛНАЯ СЕБЕСТОИМОСТЬ ВОДА 2019'!AB186)</f>
        <v>0.06</v>
      </c>
      <c r="BM41" s="3137">
        <v>953.07</v>
      </c>
      <c r="BN41" s="3137">
        <f>SUM(BM41-BO41)</f>
        <v>952.99430052001821</v>
      </c>
      <c r="BO41" s="3137">
        <f>SUM(BM41/BM14*BO14)*0.28680203045</f>
        <v>7.5699479981809148E-2</v>
      </c>
      <c r="BP41" s="3114">
        <f t="shared" ref="BP41:BP47" si="545">SUM(AO41+AX41+BG41)</f>
        <v>3246.0130988278997</v>
      </c>
      <c r="BQ41" s="3114">
        <f t="shared" ref="BQ41:BQ47" si="546">SUM(AP41+AY41+BH41)</f>
        <v>3245.7172320236259</v>
      </c>
      <c r="BR41" s="3114">
        <f t="shared" ref="BR41:BR47" si="547">SUM(AQ41+AZ41+BI41)</f>
        <v>0.29586680427391931</v>
      </c>
      <c r="BS41" s="3123">
        <f t="shared" ref="BS41:BS47" si="548">SUM(AR41+BA41+BJ41)</f>
        <v>3055.72</v>
      </c>
      <c r="BT41" s="3123">
        <f t="shared" ref="BT41:BT47" si="549">SUM(AS41+BB41+BK41)</f>
        <v>3055.5200000000004</v>
      </c>
      <c r="BU41" s="3123">
        <f t="shared" ref="BU41:BU47" si="550">SUM(AT41+BC41+BL41)</f>
        <v>0.2</v>
      </c>
      <c r="BV41" s="3123">
        <f t="shared" ref="BV41:BV47" si="551">SUM(AU41+BD41+BM41)</f>
        <v>3009.3</v>
      </c>
      <c r="BW41" s="3123">
        <f t="shared" ref="BW41:BW47" si="552">SUM(AV41+BE41+BN41)</f>
        <v>3008.8560550098809</v>
      </c>
      <c r="BX41" s="3123">
        <f t="shared" ref="BX41:BX47" si="553">SUM(AW41+BF41+BO41)</f>
        <v>0.44394499011870187</v>
      </c>
      <c r="BY41" s="3115">
        <f t="shared" ref="BY41:BY71" si="554">SUM(BS41-BP41)</f>
        <v>-190.29309882789994</v>
      </c>
      <c r="BZ41" s="3115">
        <f t="shared" ref="BZ41:BZ47" si="555">SUM(BT41-BQ41)</f>
        <v>-190.19723202362547</v>
      </c>
      <c r="CA41" s="3115">
        <f t="shared" ref="CA41:CA47" si="556">SUM(BU41-BR41)</f>
        <v>-9.5866804273919304E-2</v>
      </c>
      <c r="CB41" s="3114">
        <f t="shared" ref="CB41:CB47" si="557">SUM(AC41+BP41)</f>
        <v>6492.0261976557995</v>
      </c>
      <c r="CC41" s="3114">
        <f t="shared" ref="CC41:CC47" si="558">SUM(AD41+BQ41)</f>
        <v>6491.4344640472518</v>
      </c>
      <c r="CD41" s="3114">
        <f t="shared" ref="CD41:CD47" si="559">SUM(AE41+BR41)</f>
        <v>0.59173360854783863</v>
      </c>
      <c r="CE41" s="3123">
        <f t="shared" ref="CE41:CE47" si="560">SUM(AF41+BS41)</f>
        <v>5582.268</v>
      </c>
      <c r="CF41" s="3123">
        <f t="shared" ref="CF41:CF47" si="561">SUM(AG41+BT41)</f>
        <v>5581.8600000000006</v>
      </c>
      <c r="CG41" s="3123">
        <f t="shared" ref="CG41:CG47" si="562">SUM(AH41+BU41)</f>
        <v>0.40800000000000003</v>
      </c>
      <c r="CH41" s="3123">
        <f t="shared" ref="CH41:CH47" si="563">SUM(AI41+BV41)</f>
        <v>5690.8</v>
      </c>
      <c r="CI41" s="3123">
        <f t="shared" ref="CI41:CI47" si="564">SUM(AJ41+BW41)</f>
        <v>5689.9951334079751</v>
      </c>
      <c r="CJ41" s="3123">
        <f t="shared" ref="CJ41:CJ47" si="565">SUM(AK41+BX41)</f>
        <v>0.80486659202447353</v>
      </c>
      <c r="CK41" s="3115">
        <f t="shared" ref="CK41:CK71" si="566">SUM(CE41-CB41)</f>
        <v>-909.75819765579945</v>
      </c>
      <c r="CL41" s="3115">
        <f t="shared" ref="CL41:CL47" si="567">SUM(CF41-CC41)</f>
        <v>-909.57446404725124</v>
      </c>
      <c r="CM41" s="3115">
        <f t="shared" ref="CM41:CM47" si="568">SUM(CG41-CD41)</f>
        <v>-0.1837336085478386</v>
      </c>
      <c r="CN41" s="3277">
        <f>SUM(CO41:CP41)</f>
        <v>1139.4122876362485</v>
      </c>
      <c r="CO41" s="3277">
        <f>SUM('ПОЛНАЯ СЕБЕСТОИМОСТЬ ВОДА 2019'!AP186/3)</f>
        <v>1139.3078466543398</v>
      </c>
      <c r="CP41" s="3277">
        <f>SUM('ПОЛНАЯ СЕБЕСТОИМОСТЬ ВОДА 2019'!AQ186/3)</f>
        <v>0.10444098190869355</v>
      </c>
      <c r="CQ41" s="3136">
        <f>SUM(CR41:CS41)</f>
        <v>1018.9270000000001</v>
      </c>
      <c r="CR41" s="3136">
        <f>SUM('ПОЛНАЯ СЕБЕСТОИМОСТЬ ВОДА 2019'!AS186)</f>
        <v>1018.8600000000001</v>
      </c>
      <c r="CS41" s="3136">
        <f>SUM('ПОЛНАЯ СЕБЕСТОИМОСТЬ ВОДА 2019'!AT186)</f>
        <v>6.7000000000000004E-2</v>
      </c>
      <c r="CT41" s="3137">
        <v>899.28</v>
      </c>
      <c r="CU41" s="3137">
        <f>SUM(CT41-CV41)</f>
        <v>899.21646064230299</v>
      </c>
      <c r="CV41" s="3137">
        <f>SUM(CT41/CT14*CV14)*0.28680203045</f>
        <v>6.3539357696963908E-2</v>
      </c>
      <c r="CW41" s="3277">
        <f>SUM(CX41:CY41)</f>
        <v>1139.4122876362485</v>
      </c>
      <c r="CX41" s="3277">
        <f>SUM(CO41)</f>
        <v>1139.3078466543398</v>
      </c>
      <c r="CY41" s="3277">
        <f>SUM(CP41)</f>
        <v>0.10444098190869355</v>
      </c>
      <c r="CZ41" s="3136">
        <f>SUM(DA41:DB41)</f>
        <v>1297.1770000000001</v>
      </c>
      <c r="DA41" s="3136">
        <f>SUM('ПОЛНАЯ СЕБЕСТОИМОСТЬ ВОДА 2019'!AV186)</f>
        <v>1297.1100000000001</v>
      </c>
      <c r="DB41" s="3136">
        <f>SUM('ПОЛНАЯ СЕБЕСТОИМОСТЬ ВОДА 2019'!AW186)</f>
        <v>6.7000000000000004E-2</v>
      </c>
      <c r="DC41" s="3137">
        <v>704.77</v>
      </c>
      <c r="DD41" s="3137">
        <f>SUM(DC41-DE41)</f>
        <v>704.72216679279916</v>
      </c>
      <c r="DE41" s="3137">
        <f>SUM(DC41/DC14*DE14)*0.28680203045</f>
        <v>4.7833207200869698E-2</v>
      </c>
      <c r="DF41" s="3277">
        <f>SUM(DG41:DH41)</f>
        <v>1139.4122876362485</v>
      </c>
      <c r="DG41" s="3277">
        <f>SUM(CX41)</f>
        <v>1139.3078466543398</v>
      </c>
      <c r="DH41" s="3277">
        <f>SUM(CY41)</f>
        <v>0.10444098190869355</v>
      </c>
      <c r="DI41" s="3136">
        <f>SUM(DJ41:DK41)</f>
        <v>1315.4999999999998</v>
      </c>
      <c r="DJ41" s="3136">
        <f>SUM('ПОЛНАЯ СЕБЕСТОИМОСТЬ ВОДА 2019'!AY186)</f>
        <v>1315.4299999999998</v>
      </c>
      <c r="DK41" s="3136">
        <f>SUM('ПОЛНАЯ СЕБЕСТОИМОСТЬ ВОДА 2019'!AZ186)</f>
        <v>7.0000000000000007E-2</v>
      </c>
      <c r="DL41" s="3137">
        <v>735.11</v>
      </c>
      <c r="DM41" s="3137">
        <f>SUM(DL41-DN41)</f>
        <v>735.05405466244417</v>
      </c>
      <c r="DN41" s="3137">
        <f>SUM(DL41/DL14*DN14)*0.28680203045</f>
        <v>5.5945337555878986E-2</v>
      </c>
      <c r="DO41" s="3114">
        <f t="shared" ref="DO41:DO47" si="569">SUM(CN41+CW41+DF41)</f>
        <v>3418.2368629087455</v>
      </c>
      <c r="DP41" s="3114">
        <f t="shared" ref="DP41:DP47" si="570">SUM(CO41+CX41+DG41)</f>
        <v>3417.9235399630193</v>
      </c>
      <c r="DQ41" s="3114">
        <f t="shared" ref="DQ41:DQ47" si="571">SUM(CP41+CY41+DH41)</f>
        <v>0.31332294572608066</v>
      </c>
      <c r="DR41" s="3123">
        <f t="shared" ref="DR41:DR47" si="572">SUM(CQ41+CZ41+DI41)</f>
        <v>3631.6040000000003</v>
      </c>
      <c r="DS41" s="3123">
        <f t="shared" ref="DS41:DS47" si="573">SUM(CR41+DA41+DJ41)</f>
        <v>3631.4</v>
      </c>
      <c r="DT41" s="3123">
        <f t="shared" ref="DT41:DT47" si="574">SUM(CS41+DB41+DK41)</f>
        <v>0.20400000000000001</v>
      </c>
      <c r="DU41" s="3123">
        <f t="shared" ref="DU41:DU47" si="575">SUM(CT41+DC41+DL41)</f>
        <v>2339.16</v>
      </c>
      <c r="DV41" s="3123">
        <f t="shared" ref="DV41:DV47" si="576">SUM(CU41+DD41+DM41)</f>
        <v>2338.9926820975465</v>
      </c>
      <c r="DW41" s="3123">
        <f t="shared" ref="DW41:DW47" si="577">SUM(CV41+DE41+DN41)</f>
        <v>0.16731790245371259</v>
      </c>
      <c r="DX41" s="3115">
        <f t="shared" ref="DX41:DX71" si="578">SUM(DR41-DO41)</f>
        <v>213.36713709125479</v>
      </c>
      <c r="DY41" s="3115">
        <f t="shared" ref="DY41:DY47" si="579">SUM(DS41-DP41)</f>
        <v>213.47646003698082</v>
      </c>
      <c r="DZ41" s="3115">
        <f t="shared" ref="DZ41:DZ47" si="580">SUM(DT41-DQ41)</f>
        <v>-0.10932294572608064</v>
      </c>
      <c r="EA41" s="3114">
        <f t="shared" ref="EA41:EA47" si="581">SUM(CB41+DO41)</f>
        <v>9910.2630605645445</v>
      </c>
      <c r="EB41" s="3114">
        <f t="shared" ref="EB41:EB47" si="582">SUM(CC41+DP41)</f>
        <v>9909.3580040102715</v>
      </c>
      <c r="EC41" s="3114">
        <f t="shared" ref="EC41:EC47" si="583">SUM(CD41+DQ41)</f>
        <v>0.90505655427391929</v>
      </c>
      <c r="ED41" s="3123">
        <f t="shared" ref="ED41:ED47" si="584">SUM(CE41+DR41)</f>
        <v>9213.8719999999994</v>
      </c>
      <c r="EE41" s="3123">
        <f t="shared" ref="EE41:EE47" si="585">SUM(CF41+DS41)</f>
        <v>9213.26</v>
      </c>
      <c r="EF41" s="3123">
        <f t="shared" ref="EF41:EF47" si="586">SUM(CG41+DT41)</f>
        <v>0.6120000000000001</v>
      </c>
      <c r="EG41" s="3123">
        <f t="shared" ref="EG41:EG47" si="587">SUM(CH41+DU41)</f>
        <v>8029.96</v>
      </c>
      <c r="EH41" s="3123">
        <f t="shared" ref="EH41:EH47" si="588">SUM(CI41+DV41)</f>
        <v>8028.9878155055212</v>
      </c>
      <c r="EI41" s="3123">
        <f t="shared" ref="EI41:EI47" si="589">SUM(CJ41+DW41)</f>
        <v>0.97218449447818611</v>
      </c>
      <c r="EJ41" s="3115">
        <f t="shared" ref="EJ41:EL71" si="590">SUM(ED41-EA41)</f>
        <v>-696.39106056454511</v>
      </c>
      <c r="EK41" s="3115">
        <f t="shared" si="590"/>
        <v>-696.09800401027132</v>
      </c>
      <c r="EL41" s="3115">
        <f t="shared" si="590"/>
        <v>-0.29305655427391919</v>
      </c>
      <c r="EM41" s="3277">
        <f>SUM(EN41:EO41)</f>
        <v>1139.4122876362485</v>
      </c>
      <c r="EN41" s="3277">
        <f>SUM('ПОЛНАЯ СЕБЕСТОИМОСТЬ ВОДА 2019'!BN186/3)</f>
        <v>1139.3078466543398</v>
      </c>
      <c r="EO41" s="3277">
        <f>SUM('ПОЛНАЯ СЕБЕСТОИМОСТЬ ВОДА 2019'!BO186/3)</f>
        <v>0.10444098190869355</v>
      </c>
      <c r="EP41" s="3136">
        <f>SUM(EQ41:ER41)</f>
        <v>0</v>
      </c>
      <c r="EQ41" s="3136">
        <f>SUM('ПОЛНАЯ СЕБЕСТОИМОСТЬ ВОДА 2019'!BQ186)</f>
        <v>0</v>
      </c>
      <c r="ER41" s="3136">
        <f>SUM('ПОЛНАЯ СЕБЕСТОИМОСТЬ ВОДА 2019'!BR186)</f>
        <v>0</v>
      </c>
      <c r="ES41" s="3137">
        <v>1011.54</v>
      </c>
      <c r="ET41" s="3137">
        <f>SUM(ES41-EU41)</f>
        <v>1011.4630258491406</v>
      </c>
      <c r="EU41" s="3137">
        <f>SUM(ES41/ES14*EU14)*0.28680203045</f>
        <v>7.6974150859362156E-2</v>
      </c>
      <c r="EV41" s="3277">
        <f>SUM(EW41:EX41)</f>
        <v>1139.4122876362485</v>
      </c>
      <c r="EW41" s="3277">
        <f>SUM(EN41)</f>
        <v>1139.3078466543398</v>
      </c>
      <c r="EX41" s="3277">
        <f>SUM(EO41)</f>
        <v>0.10444098190869355</v>
      </c>
      <c r="EY41" s="3136">
        <f>SUM(EZ41:FA41)</f>
        <v>0</v>
      </c>
      <c r="EZ41" s="3136">
        <f>SUM('ПОЛНАЯ СЕБЕСТОИМОСТЬ ВОДА 2019'!BT186)</f>
        <v>0</v>
      </c>
      <c r="FA41" s="3136">
        <f>SUM('ПОЛНАЯ СЕБЕСТОИМОСТЬ ВОДА 2019'!BU186)</f>
        <v>0</v>
      </c>
      <c r="FB41" s="3137">
        <v>1060.3499999999999</v>
      </c>
      <c r="FC41" s="3137">
        <f>SUM(FB41-FD41)</f>
        <v>1060.2679105758375</v>
      </c>
      <c r="FD41" s="3137">
        <f>SUM(FB41/FB14*FD14)*0.28680203045</f>
        <v>8.2089424162407137E-2</v>
      </c>
      <c r="FE41" s="3277">
        <f>SUM(FF41:FG41)</f>
        <v>1139.4122876362485</v>
      </c>
      <c r="FF41" s="3277">
        <f>SUM(EW41)</f>
        <v>1139.3078466543398</v>
      </c>
      <c r="FG41" s="3277">
        <f>SUM(EX41)</f>
        <v>0.10444098190869355</v>
      </c>
      <c r="FH41" s="3136">
        <f>SUM('[19]ПОЛНАЯ СЕБЕСТОИМОСТЬ ВОДА 2018'!Z187)</f>
        <v>0</v>
      </c>
      <c r="FI41" s="3136">
        <f>SUM('ПОЛНАЯ СЕБЕСТОИМОСТЬ ВОДА 2019'!BW186)</f>
        <v>0</v>
      </c>
      <c r="FJ41" s="3136">
        <f>SUM('ПОЛНАЯ СЕБЕСТОИМОСТЬ ВОДА 2019'!BX186)</f>
        <v>0</v>
      </c>
      <c r="FK41" s="3137">
        <v>912.41</v>
      </c>
      <c r="FL41" s="3137">
        <f>SUM(FK41-FM41)</f>
        <v>912.41</v>
      </c>
      <c r="FM41" s="3137">
        <f>SUM(FK41/FK14*FM14)*0.28680203045</f>
        <v>0</v>
      </c>
      <c r="FN41" s="3114">
        <f t="shared" ref="FN41:FN47" si="591">SUM(EM41+EV41+FE41)</f>
        <v>3418.2368629087455</v>
      </c>
      <c r="FO41" s="3114">
        <f t="shared" ref="FO41:FO47" si="592">SUM(EN41+EW41+FF41)</f>
        <v>3417.9235399630193</v>
      </c>
      <c r="FP41" s="3114">
        <f t="shared" ref="FP41:FP47" si="593">SUM(EO41+EX41+FG41)</f>
        <v>0.31332294572608066</v>
      </c>
      <c r="FQ41" s="3123">
        <f t="shared" ref="FQ41:FQ47" si="594">SUM(EP41+EY41+FH41)</f>
        <v>0</v>
      </c>
      <c r="FR41" s="3123">
        <f t="shared" ref="FR41:FR47" si="595">SUM(EQ41+EZ41+FI41)</f>
        <v>0</v>
      </c>
      <c r="FS41" s="3123">
        <f t="shared" ref="FS41:FS47" si="596">SUM(ER41+FA41+FJ41)</f>
        <v>0</v>
      </c>
      <c r="FT41" s="3123">
        <f t="shared" ref="FT41" si="597">SUM(ES41+FB41+FK41)</f>
        <v>2984.2999999999997</v>
      </c>
      <c r="FU41" s="3123">
        <f t="shared" ref="FU41" si="598">SUM(ET41+FC41+FL41)</f>
        <v>2984.140936424978</v>
      </c>
      <c r="FV41" s="3123">
        <f t="shared" ref="FV41" si="599">SUM(EU41+FD41+FM41)</f>
        <v>0.15906357502176929</v>
      </c>
      <c r="FW41" s="3115">
        <f t="shared" ref="FW41:FW71" si="600">SUM(FQ41-FN41)</f>
        <v>-3418.2368629087455</v>
      </c>
      <c r="FX41" s="3115">
        <f t="shared" ref="FX41:FX47" si="601">SUM(FR41-FO41)</f>
        <v>-3417.9235399630193</v>
      </c>
      <c r="FY41" s="3115">
        <f t="shared" ref="FY41:FY47" si="602">SUM(FS41-FP41)</f>
        <v>-0.31332294572608066</v>
      </c>
      <c r="FZ41" s="3222">
        <f t="shared" ref="FZ41:FZ47" si="603">SUM(EA41+FN41)</f>
        <v>13328.49992347329</v>
      </c>
      <c r="GA41" s="3222">
        <f t="shared" ref="GA41:GA47" si="604">SUM(EB41+FO41)</f>
        <v>13327.281543973291</v>
      </c>
      <c r="GB41" s="3222">
        <f t="shared" ref="GB41:GB47" si="605">SUM(EC41+FP41)</f>
        <v>1.2183794999999999</v>
      </c>
      <c r="GC41" s="3230">
        <f t="shared" ref="GC41:GC47" si="606">SUM(ED41+FQ41)</f>
        <v>9213.8719999999994</v>
      </c>
      <c r="GD41" s="3230">
        <f t="shared" ref="GD41:GD47" si="607">SUM(EE41+FR41)</f>
        <v>9213.26</v>
      </c>
      <c r="GE41" s="3230">
        <f t="shared" ref="GE41:GE47" si="608">SUM(EF41+FS41)</f>
        <v>0.6120000000000001</v>
      </c>
      <c r="GF41" s="3230">
        <f t="shared" ref="GF41:GF47" si="609">SUM(EG41+FT41)</f>
        <v>11014.26</v>
      </c>
      <c r="GG41" s="3230">
        <f t="shared" ref="GG41:GG47" si="610">SUM(EH41+FU41)</f>
        <v>11013.128751930499</v>
      </c>
      <c r="GH41" s="3230">
        <f t="shared" ref="GH41:GH47" si="611">SUM(EI41+FV41)</f>
        <v>1.1312480694999554</v>
      </c>
      <c r="GI41" s="3231">
        <f t="shared" ref="GI41:GI77" si="612">SUM(GC41-FZ41)</f>
        <v>-4114.6279234732901</v>
      </c>
      <c r="GJ41" s="3231">
        <f t="shared" ref="GJ41:GJ47" si="613">SUM(GD41-GA41)</f>
        <v>-4114.021543973291</v>
      </c>
      <c r="GK41" s="3231">
        <f t="shared" ref="GK41:GK47" si="614">SUM(GE41-GB41)</f>
        <v>-0.60637949999999985</v>
      </c>
      <c r="GL41" s="396"/>
    </row>
    <row r="42" spans="1:194" ht="18.75" x14ac:dyDescent="0.3">
      <c r="A42" s="3135" t="s">
        <v>2</v>
      </c>
      <c r="B42" s="3277">
        <f t="shared" ref="B42:B47" si="615">SUM(C42:D42)</f>
        <v>832.03166666666664</v>
      </c>
      <c r="C42" s="3277">
        <f>SUM('ПОЛНАЯ СЕБЕСТОИМОСТЬ ВОДА 2019'!C187/3)</f>
        <v>831.88470653913612</v>
      </c>
      <c r="D42" s="3277">
        <f>SUM('ПОЛНАЯ СЕБЕСТОИМОСТЬ ВОДА 2019'!D187/3)</f>
        <v>0.14696012753046658</v>
      </c>
      <c r="E42" s="3136">
        <f t="shared" ref="E42:E47" si="616">SUM(F42:G42)</f>
        <v>1413.0400000000002</v>
      </c>
      <c r="F42" s="3136">
        <f>SUM('ПОЛНАЯ СЕБЕСТОИМОСТЬ ВОДА 2019'!F187)</f>
        <v>1413.0400000000002</v>
      </c>
      <c r="G42" s="3136">
        <f>SUM('ПОЛНАЯ СЕБЕСТОИМОСТЬ ВОДА 2019'!G187)</f>
        <v>0</v>
      </c>
      <c r="H42" s="3137">
        <v>745.78</v>
      </c>
      <c r="I42" s="3137">
        <f t="shared" ref="I42:I47" si="617">SUM(H42-J42)</f>
        <v>745.54533262539712</v>
      </c>
      <c r="J42" s="3137">
        <f>SUM(H42/H14*J14)*0.71771771771</f>
        <v>0.23466737460284642</v>
      </c>
      <c r="K42" s="3277">
        <f t="shared" ref="K42:K47" si="618">SUM(L42:M42)</f>
        <v>832.03166666666664</v>
      </c>
      <c r="L42" s="3277">
        <f t="shared" ref="L42:L47" si="619">SUM(C42)</f>
        <v>831.88470653913612</v>
      </c>
      <c r="M42" s="3277">
        <f t="shared" ref="M42:M47" si="620">SUM(D42)</f>
        <v>0.14696012753046658</v>
      </c>
      <c r="N42" s="3136">
        <f t="shared" ref="N42:N47" si="621">SUM(O42:P42)</f>
        <v>1408.1</v>
      </c>
      <c r="O42" s="3136">
        <f>SUM('ПОЛНАЯ СЕБЕСТОИМОСТЬ ВОДА 2019'!I187)</f>
        <v>1408.1</v>
      </c>
      <c r="P42" s="3136">
        <f>SUM('ПОЛНАЯ СЕБЕСТОИМОСТЬ ВОДА 2019'!J187)</f>
        <v>0</v>
      </c>
      <c r="Q42" s="3137">
        <v>743.83</v>
      </c>
      <c r="R42" s="3137">
        <f t="shared" ref="R42:R47" si="622">SUM(Q42-S42)</f>
        <v>743.52548818140656</v>
      </c>
      <c r="S42" s="3137">
        <f>SUM(Q42/Q14*S14)*0.71771771771</f>
        <v>0.30451181859353321</v>
      </c>
      <c r="T42" s="3277">
        <f t="shared" ref="T42:T47" si="623">SUM(U42:V42)</f>
        <v>832.03166666666664</v>
      </c>
      <c r="U42" s="3277">
        <f t="shared" ref="U42:U47" si="624">SUM(L42)</f>
        <v>831.88470653913612</v>
      </c>
      <c r="V42" s="3277">
        <f t="shared" ref="V42:V47" si="625">SUM(M42)</f>
        <v>0.14696012753046658</v>
      </c>
      <c r="W42" s="3136">
        <f t="shared" ref="W42:W47" si="626">SUM(X42:Y42)</f>
        <v>1407.88</v>
      </c>
      <c r="X42" s="3136">
        <f>SUM('ПОЛНАЯ СЕБЕСТОИМОСТЬ ВОДА 2019'!L187)</f>
        <v>1407.88</v>
      </c>
      <c r="Y42" s="3136">
        <f>SUM('ПОЛНАЯ СЕБЕСТОИМОСТЬ ВОДА 2019'!M187)</f>
        <v>0</v>
      </c>
      <c r="Z42" s="3137">
        <v>743.83</v>
      </c>
      <c r="AA42" s="3137">
        <f t="shared" ref="AA42:AA47" si="627">SUM(Z42-AB42)</f>
        <v>743.6145746304536</v>
      </c>
      <c r="AB42" s="3137">
        <f>SUM(Z42/Z14*AB14)*0.71771771771</f>
        <v>0.21542536954639693</v>
      </c>
      <c r="AC42" s="3114">
        <f t="shared" si="533"/>
        <v>2496.0949999999998</v>
      </c>
      <c r="AD42" s="3114">
        <f t="shared" si="534"/>
        <v>2495.6541196174085</v>
      </c>
      <c r="AE42" s="3114">
        <f t="shared" si="535"/>
        <v>0.44088038259139972</v>
      </c>
      <c r="AF42" s="3123">
        <f t="shared" ref="AF42:AF47" si="628">SUM(E42+N42+W42)</f>
        <v>4229.0200000000004</v>
      </c>
      <c r="AG42" s="3123">
        <f t="shared" ref="AG42:AG47" si="629">SUM(F42+O42+X42)</f>
        <v>4229.0200000000004</v>
      </c>
      <c r="AH42" s="3123">
        <f t="shared" ref="AH42:AH47" si="630">SUM(G42+P42+Y42)</f>
        <v>0</v>
      </c>
      <c r="AI42" s="3123">
        <f t="shared" ref="AI42:AI47" si="631">SUM(H42+Q42+Z42)</f>
        <v>2233.44</v>
      </c>
      <c r="AJ42" s="3123">
        <f t="shared" ref="AJ42:AJ47" si="632">SUM(I42+R42+AA42)</f>
        <v>2232.6853954372573</v>
      </c>
      <c r="AK42" s="3123">
        <f t="shared" ref="AK42:AK47" si="633">SUM(J42+S42+AB42)</f>
        <v>0.75460456274277654</v>
      </c>
      <c r="AL42" s="3115">
        <f t="shared" ref="AL42:AL47" si="634">SUM(AF42-AC42)</f>
        <v>1732.9250000000006</v>
      </c>
      <c r="AM42" s="3115">
        <f t="shared" ref="AM42:AM47" si="635">SUM(AG42-AD42)</f>
        <v>1733.365880382592</v>
      </c>
      <c r="AN42" s="3115">
        <f t="shared" ref="AN42:AN47" si="636">SUM(AH42-AE42)</f>
        <v>-0.44088038259139972</v>
      </c>
      <c r="AO42" s="3277">
        <f t="shared" ref="AO42:AO47" si="637">SUM(AP42:AQ42)</f>
        <v>832.03166666666664</v>
      </c>
      <c r="AP42" s="3277">
        <f>SUM('ПОЛНАЯ СЕБЕСТОИМОСТЬ ВОДА 2019'!R187/3)</f>
        <v>831.88470653913612</v>
      </c>
      <c r="AQ42" s="3277">
        <f>SUM('ПОЛНАЯ СЕБЕСТОИМОСТЬ ВОДА 2019'!S187/3)</f>
        <v>0.14696012753046658</v>
      </c>
      <c r="AR42" s="3277">
        <f t="shared" ref="AR42:AR47" si="638">SUM(AS42:AT42)</f>
        <v>1417.0500000000002</v>
      </c>
      <c r="AS42" s="3277">
        <f>SUM('ПОЛНАЯ СЕБЕСТОИМОСТЬ ВОДА 2019'!U187)</f>
        <v>1417.0500000000002</v>
      </c>
      <c r="AT42" s="3277">
        <f>SUM('ПОЛНАЯ СЕБЕСТОИМОСТЬ ВОДА 2019'!V187)</f>
        <v>0</v>
      </c>
      <c r="AU42" s="3464">
        <v>798.78</v>
      </c>
      <c r="AV42" s="3464">
        <f t="shared" ref="AV42:AV47" si="639">SUM(AU42-AW42)</f>
        <v>798.20763154019471</v>
      </c>
      <c r="AW42" s="3464">
        <f>SUM(AU42/AU14*AW14)*0.71771771771</f>
        <v>0.57236845980521034</v>
      </c>
      <c r="AX42" s="3277">
        <f t="shared" ref="AX42:AX47" si="640">SUM(AY42:AZ42)</f>
        <v>832.03166666666664</v>
      </c>
      <c r="AY42" s="3277">
        <f t="shared" ref="AY42:AY47" si="641">SUM(AP42)</f>
        <v>831.88470653913612</v>
      </c>
      <c r="AZ42" s="3277">
        <f t="shared" ref="AZ42:AZ47" si="642">SUM(AQ42)</f>
        <v>0.14696012753046658</v>
      </c>
      <c r="BA42" s="3277">
        <f t="shared" ref="BA42:BA47" si="643">SUM(BB42:BC42)</f>
        <v>1299.22</v>
      </c>
      <c r="BB42" s="3277">
        <f>SUM('ПОЛНАЯ СЕБЕСТОИМОСТЬ ВОДА 2019'!X187)</f>
        <v>1299.22</v>
      </c>
      <c r="BC42" s="3277">
        <f>SUM('ПОЛНАЯ СЕБЕСТОИМОСТЬ ВОДА 2019'!Y187)</f>
        <v>0</v>
      </c>
      <c r="BD42" s="3137">
        <v>798.77</v>
      </c>
      <c r="BE42" s="3137">
        <f t="shared" ref="BE42:BE47" si="644">SUM(BD42-BF42)</f>
        <v>798.58209106120319</v>
      </c>
      <c r="BF42" s="3137">
        <f>SUM(BD42/BD14*BF14)*0.71771771771</f>
        <v>0.18790893879681955</v>
      </c>
      <c r="BG42" s="3277">
        <f t="shared" ref="BG42:BG47" si="645">SUM(BH42:BI42)</f>
        <v>832.03166666666664</v>
      </c>
      <c r="BH42" s="3277">
        <f t="shared" ref="BH42:BH47" si="646">SUM(AY42)</f>
        <v>831.88470653913612</v>
      </c>
      <c r="BI42" s="3277">
        <f t="shared" ref="BI42:BI47" si="647">SUM(AZ42)</f>
        <v>0.14696012753046658</v>
      </c>
      <c r="BJ42" s="3136">
        <f t="shared" ref="BJ42:BJ47" si="648">SUM(BK42:BL42)</f>
        <v>1301.1600000000001</v>
      </c>
      <c r="BK42" s="3136">
        <f>SUM('ПОЛНАЯ СЕБЕСТОИМОСТЬ ВОДА 2019'!AA187)</f>
        <v>1301.1600000000001</v>
      </c>
      <c r="BL42" s="3136">
        <f>SUM('ПОЛНАЯ СЕБЕСТОИМОСТЬ ВОДА 2019'!AB187)</f>
        <v>0</v>
      </c>
      <c r="BM42" s="3137">
        <v>801.94</v>
      </c>
      <c r="BN42" s="3137">
        <f t="shared" ref="BN42:BN47" si="649">SUM(BM42-BO42)</f>
        <v>801.78060253188312</v>
      </c>
      <c r="BO42" s="3137">
        <f>SUM(BM42/BM14*BO14)*0.71771771771</f>
        <v>0.15939746811690617</v>
      </c>
      <c r="BP42" s="3114">
        <f t="shared" si="545"/>
        <v>2496.0949999999998</v>
      </c>
      <c r="BQ42" s="3114">
        <f t="shared" si="546"/>
        <v>2495.6541196174085</v>
      </c>
      <c r="BR42" s="3114">
        <f t="shared" si="547"/>
        <v>0.44088038259139972</v>
      </c>
      <c r="BS42" s="3123">
        <f t="shared" si="548"/>
        <v>4017.4300000000003</v>
      </c>
      <c r="BT42" s="3123">
        <f t="shared" si="549"/>
        <v>4017.4300000000003</v>
      </c>
      <c r="BU42" s="3123">
        <f t="shared" si="550"/>
        <v>0</v>
      </c>
      <c r="BV42" s="3123">
        <f t="shared" si="551"/>
        <v>2399.4899999999998</v>
      </c>
      <c r="BW42" s="3123">
        <f t="shared" si="552"/>
        <v>2398.5703251332811</v>
      </c>
      <c r="BX42" s="3123">
        <f t="shared" si="553"/>
        <v>0.91967486671893606</v>
      </c>
      <c r="BY42" s="3115">
        <f t="shared" si="554"/>
        <v>1521.3350000000005</v>
      </c>
      <c r="BZ42" s="3115">
        <f t="shared" si="555"/>
        <v>1521.7758803825918</v>
      </c>
      <c r="CA42" s="3115">
        <f t="shared" si="556"/>
        <v>-0.44088038259139972</v>
      </c>
      <c r="CB42" s="3114">
        <f t="shared" si="557"/>
        <v>4992.1899999999996</v>
      </c>
      <c r="CC42" s="3114">
        <f t="shared" si="558"/>
        <v>4991.3082392348169</v>
      </c>
      <c r="CD42" s="3114">
        <f t="shared" si="559"/>
        <v>0.88176076518279944</v>
      </c>
      <c r="CE42" s="3123">
        <f t="shared" si="560"/>
        <v>8246.4500000000007</v>
      </c>
      <c r="CF42" s="3123">
        <f t="shared" si="561"/>
        <v>8246.4500000000007</v>
      </c>
      <c r="CG42" s="3123">
        <f t="shared" si="562"/>
        <v>0</v>
      </c>
      <c r="CH42" s="3123">
        <f t="shared" si="563"/>
        <v>4632.93</v>
      </c>
      <c r="CI42" s="3123">
        <f t="shared" si="564"/>
        <v>4631.255720570538</v>
      </c>
      <c r="CJ42" s="3123">
        <f t="shared" si="565"/>
        <v>1.6742794294617127</v>
      </c>
      <c r="CK42" s="3115">
        <f t="shared" si="566"/>
        <v>3254.2600000000011</v>
      </c>
      <c r="CL42" s="3115">
        <f t="shared" si="567"/>
        <v>3255.1417607651838</v>
      </c>
      <c r="CM42" s="3115">
        <f t="shared" si="568"/>
        <v>-0.88176076518279944</v>
      </c>
      <c r="CN42" s="3277">
        <f t="shared" ref="CN42:CN47" si="650">SUM(CO42:CP42)</f>
        <v>832.03166666666664</v>
      </c>
      <c r="CO42" s="3277">
        <f>SUM('ПОЛНАЯ СЕБЕСТОИМОСТЬ ВОДА 2019'!AP187/3)</f>
        <v>831.88470653913612</v>
      </c>
      <c r="CP42" s="3277">
        <f>SUM('ПОЛНАЯ СЕБЕСТОИМОСТЬ ВОДА 2019'!AQ187/3)</f>
        <v>0.14696012753046658</v>
      </c>
      <c r="CQ42" s="3136">
        <f t="shared" ref="CQ42:CQ47" si="651">SUM(CR42:CS42)</f>
        <v>1307.02</v>
      </c>
      <c r="CR42" s="3136">
        <f>SUM('ПОЛНАЯ СЕБЕСТОИМОСТЬ ВОДА 2019'!AS187)</f>
        <v>1307.02</v>
      </c>
      <c r="CS42" s="3136">
        <f>SUM('ПОЛНАЯ СЕБЕСТОИМОСТЬ ВОДА 2019'!AT187)</f>
        <v>0</v>
      </c>
      <c r="CT42" s="3137">
        <v>698.05</v>
      </c>
      <c r="CU42" s="3137">
        <f t="shared" ref="CU42:CU47" si="652">SUM(CT42-CV42)</f>
        <v>697.92657422503225</v>
      </c>
      <c r="CV42" s="3137">
        <f>SUM(CT42/CT14*CV14)*0.71771771771</f>
        <v>0.12342577496770109</v>
      </c>
      <c r="CW42" s="3277">
        <f t="shared" ref="CW42:CW47" si="653">SUM(CX42:CY42)</f>
        <v>832.03166666666664</v>
      </c>
      <c r="CX42" s="3277">
        <f t="shared" ref="CX42:CX47" si="654">SUM(CO42)</f>
        <v>831.88470653913612</v>
      </c>
      <c r="CY42" s="3277">
        <f t="shared" ref="CY42:CY47" si="655">SUM(CP42)</f>
        <v>0.14696012753046658</v>
      </c>
      <c r="CZ42" s="3136">
        <f t="shared" ref="CZ42:CZ47" si="656">SUM(DA42:DB42)</f>
        <v>1304.93</v>
      </c>
      <c r="DA42" s="3136">
        <f>SUM('ПОЛНАЯ СЕБЕСТОИМОСТЬ ВОДА 2019'!AV187)</f>
        <v>1304.93</v>
      </c>
      <c r="DB42" s="3136">
        <f>SUM('ПОЛНАЯ СЕБЕСТОИМОСТЬ ВОДА 2019'!AW187)</f>
        <v>0</v>
      </c>
      <c r="DC42" s="3137">
        <v>698.05</v>
      </c>
      <c r="DD42" s="3137">
        <f t="shared" ref="DD42:DD47" si="657">SUM(DC42-DE42)</f>
        <v>697.93143948715567</v>
      </c>
      <c r="DE42" s="3137">
        <f>SUM(DC42/DC14*DE14)*0.71771771771</f>
        <v>0.11856051284422781</v>
      </c>
      <c r="DF42" s="3277">
        <f t="shared" ref="DF42:DF47" si="658">SUM(DG42:DH42)</f>
        <v>832.03166666666664</v>
      </c>
      <c r="DG42" s="3277">
        <f t="shared" ref="DG42:DG47" si="659">SUM(CX42)</f>
        <v>831.88470653913612</v>
      </c>
      <c r="DH42" s="3277">
        <f t="shared" ref="DH42:DH47" si="660">SUM(CY42)</f>
        <v>0.14696012753046658</v>
      </c>
      <c r="DI42" s="3136">
        <f t="shared" ref="DI42:DI47" si="661">SUM(DJ42:DK42)</f>
        <v>1311.57</v>
      </c>
      <c r="DJ42" s="3136">
        <f>SUM('ПОЛНАЯ СЕБЕСТОИМОСТЬ ВОДА 2019'!AY187)</f>
        <v>1311.57</v>
      </c>
      <c r="DK42" s="3136">
        <f>SUM('ПОЛНАЯ СЕБЕСТОИМОСТЬ ВОДА 2019'!AZ187)</f>
        <v>0</v>
      </c>
      <c r="DL42" s="3137">
        <v>698.05</v>
      </c>
      <c r="DM42" s="3137">
        <f t="shared" ref="DM42:DM47" si="662">SUM(DL42-DN42)</f>
        <v>697.91705575403557</v>
      </c>
      <c r="DN42" s="3137">
        <f>SUM(DL42/DL14*DN14)*0.71771771771</f>
        <v>0.13294424596443802</v>
      </c>
      <c r="DO42" s="3114">
        <f t="shared" si="569"/>
        <v>2496.0949999999998</v>
      </c>
      <c r="DP42" s="3114">
        <f t="shared" si="570"/>
        <v>2495.6541196174085</v>
      </c>
      <c r="DQ42" s="3114">
        <f t="shared" si="571"/>
        <v>0.44088038259139972</v>
      </c>
      <c r="DR42" s="3123">
        <f t="shared" si="572"/>
        <v>3923.5199999999995</v>
      </c>
      <c r="DS42" s="3123">
        <f t="shared" si="573"/>
        <v>3923.5199999999995</v>
      </c>
      <c r="DT42" s="3123">
        <f t="shared" si="574"/>
        <v>0</v>
      </c>
      <c r="DU42" s="3123">
        <f t="shared" si="575"/>
        <v>2094.1499999999996</v>
      </c>
      <c r="DV42" s="3123">
        <f t="shared" si="576"/>
        <v>2093.7750694662236</v>
      </c>
      <c r="DW42" s="3123">
        <f t="shared" si="577"/>
        <v>0.37493053377636687</v>
      </c>
      <c r="DX42" s="3115">
        <f t="shared" si="578"/>
        <v>1427.4249999999997</v>
      </c>
      <c r="DY42" s="3115">
        <f t="shared" si="579"/>
        <v>1427.8658803825911</v>
      </c>
      <c r="DZ42" s="3115">
        <f t="shared" si="580"/>
        <v>-0.44088038259139972</v>
      </c>
      <c r="EA42" s="3114">
        <f t="shared" si="581"/>
        <v>7488.2849999999999</v>
      </c>
      <c r="EB42" s="3114">
        <f t="shared" si="582"/>
        <v>7486.9623588522254</v>
      </c>
      <c r="EC42" s="3114">
        <f t="shared" si="583"/>
        <v>1.3226411477741991</v>
      </c>
      <c r="ED42" s="3123">
        <f t="shared" si="584"/>
        <v>12169.970000000001</v>
      </c>
      <c r="EE42" s="3123">
        <f t="shared" si="585"/>
        <v>12169.970000000001</v>
      </c>
      <c r="EF42" s="3123">
        <f t="shared" si="586"/>
        <v>0</v>
      </c>
      <c r="EG42" s="3123">
        <f t="shared" si="587"/>
        <v>6727.08</v>
      </c>
      <c r="EH42" s="3123">
        <f t="shared" si="588"/>
        <v>6725.0307900367616</v>
      </c>
      <c r="EI42" s="3123">
        <f t="shared" si="589"/>
        <v>2.0492099632380798</v>
      </c>
      <c r="EJ42" s="3115">
        <f t="shared" si="590"/>
        <v>4681.6850000000013</v>
      </c>
      <c r="EK42" s="3115">
        <f t="shared" si="590"/>
        <v>4683.0076411477758</v>
      </c>
      <c r="EL42" s="3115">
        <f t="shared" si="590"/>
        <v>-1.3226411477741991</v>
      </c>
      <c r="EM42" s="3277">
        <f t="shared" ref="EM42:EM47" si="663">SUM(EN42:EO42)</f>
        <v>832.03166666666664</v>
      </c>
      <c r="EN42" s="3277">
        <f>SUM('ПОЛНАЯ СЕБЕСТОИМОСТЬ ВОДА 2019'!BN187/3)</f>
        <v>831.88470653913612</v>
      </c>
      <c r="EO42" s="3277">
        <f>SUM('ПОЛНАЯ СЕБЕСТОИМОСТЬ ВОДА 2019'!BO187/3)</f>
        <v>0.14696012753046658</v>
      </c>
      <c r="EP42" s="3136">
        <f t="shared" ref="EP42:EP47" si="664">SUM(EQ42:ER42)</f>
        <v>0</v>
      </c>
      <c r="EQ42" s="3136">
        <f>SUM('ПОЛНАЯ СЕБЕСТОИМОСТЬ ВОДА 2019'!BQ187)</f>
        <v>0</v>
      </c>
      <c r="ER42" s="3136">
        <f>SUM('ПОЛНАЯ СЕБЕСТОИМОСТЬ ВОДА 2019'!BR187)</f>
        <v>0</v>
      </c>
      <c r="ES42" s="3137">
        <v>696.84</v>
      </c>
      <c r="ET42" s="3137">
        <f t="shared" ref="ET42:ET47" si="665">SUM(ES42-EU42)</f>
        <v>696.70730139311775</v>
      </c>
      <c r="EU42" s="3137">
        <f>SUM(ES42/ES14*EU14)*0.71771771771</f>
        <v>0.13269860688229781</v>
      </c>
      <c r="EV42" s="3277">
        <f t="shared" ref="EV42:EV47" si="666">SUM(EW42:EX42)</f>
        <v>832.03166666666664</v>
      </c>
      <c r="EW42" s="3277">
        <f t="shared" ref="EW42:EW47" si="667">SUM(EN42)</f>
        <v>831.88470653913612</v>
      </c>
      <c r="EX42" s="3277">
        <f t="shared" ref="EX42:EX47" si="668">SUM(EO42)</f>
        <v>0.14696012753046658</v>
      </c>
      <c r="EY42" s="3136">
        <f t="shared" ref="EY42:EY47" si="669">SUM(EZ42:FA42)</f>
        <v>0</v>
      </c>
      <c r="EZ42" s="3136">
        <f>SUM('ПОЛНАЯ СЕБЕСТОИМОСТЬ ВОДА 2019'!BT187)</f>
        <v>0</v>
      </c>
      <c r="FA42" s="3136">
        <f>SUM('ПОЛНАЯ СЕБЕСТОИМОСТЬ ВОДА 2019'!BU187)</f>
        <v>0</v>
      </c>
      <c r="FB42" s="3137">
        <v>1081.19</v>
      </c>
      <c r="FC42" s="3137">
        <f t="shared" ref="FC42:FC47" si="670">SUM(FB42-FD42)</f>
        <v>1080.980535015228</v>
      </c>
      <c r="FD42" s="3137">
        <f>SUM(FB42/FB14*FD14)*0.71771771771</f>
        <v>0.20946498477197423</v>
      </c>
      <c r="FE42" s="3277">
        <f t="shared" ref="FE42:FE47" si="671">SUM(FF42:FG42)</f>
        <v>832.03166666666664</v>
      </c>
      <c r="FF42" s="3277">
        <f t="shared" ref="FF42:FF47" si="672">SUM(EW42)</f>
        <v>831.88470653913612</v>
      </c>
      <c r="FG42" s="3277">
        <f t="shared" ref="FG42:FG47" si="673">SUM(EX42)</f>
        <v>0.14696012753046658</v>
      </c>
      <c r="FH42" s="3136">
        <f>SUM('[19]ПОЛНАЯ СЕБЕСТОИМОСТЬ ВОДА 2018'!Z188)</f>
        <v>0</v>
      </c>
      <c r="FI42" s="3136">
        <f>SUM('ПОЛНАЯ СЕБЕСТОИМОСТЬ ВОДА 2019'!BW187)</f>
        <v>0</v>
      </c>
      <c r="FJ42" s="3136">
        <f>SUM('ПОЛНАЯ СЕБЕСТОИМОСТЬ ВОДА 2019'!BX187)</f>
        <v>0</v>
      </c>
      <c r="FK42" s="3137">
        <v>1081.73</v>
      </c>
      <c r="FL42" s="3137">
        <f t="shared" ref="FL42:FL47" si="674">SUM(FK42-FM42)</f>
        <v>1081.73</v>
      </c>
      <c r="FM42" s="3137">
        <f>SUM(FK42/FK14*FM14)*0.71771771771</f>
        <v>0</v>
      </c>
      <c r="FN42" s="3114">
        <f t="shared" si="591"/>
        <v>2496.0949999999998</v>
      </c>
      <c r="FO42" s="3114">
        <f t="shared" si="592"/>
        <v>2495.6541196174085</v>
      </c>
      <c r="FP42" s="3114">
        <f t="shared" si="593"/>
        <v>0.44088038259139972</v>
      </c>
      <c r="FQ42" s="3123">
        <f t="shared" si="594"/>
        <v>0</v>
      </c>
      <c r="FR42" s="3123">
        <f t="shared" si="595"/>
        <v>0</v>
      </c>
      <c r="FS42" s="3123">
        <f t="shared" si="596"/>
        <v>0</v>
      </c>
      <c r="FT42" s="3123">
        <f t="shared" ref="FT42:FT47" si="675">SUM(ES42+FB42+FK42)</f>
        <v>2859.76</v>
      </c>
      <c r="FU42" s="3123">
        <f t="shared" ref="FU42:FU47" si="676">SUM(ET42+FC42+FL42)</f>
        <v>2859.4178364083459</v>
      </c>
      <c r="FV42" s="3123">
        <f t="shared" ref="FV42:FV47" si="677">SUM(EU42+FD42+FM42)</f>
        <v>0.34216359165427201</v>
      </c>
      <c r="FW42" s="3115">
        <f t="shared" si="600"/>
        <v>-2496.0949999999998</v>
      </c>
      <c r="FX42" s="3115">
        <f t="shared" si="601"/>
        <v>-2495.6541196174085</v>
      </c>
      <c r="FY42" s="3115">
        <f t="shared" si="602"/>
        <v>-0.44088038259139972</v>
      </c>
      <c r="FZ42" s="3222">
        <f t="shared" si="603"/>
        <v>9984.3799999999992</v>
      </c>
      <c r="GA42" s="3222">
        <f t="shared" si="604"/>
        <v>9982.6164784696339</v>
      </c>
      <c r="GB42" s="3222">
        <f t="shared" si="605"/>
        <v>1.7635215303655989</v>
      </c>
      <c r="GC42" s="3230">
        <f t="shared" si="606"/>
        <v>12169.970000000001</v>
      </c>
      <c r="GD42" s="3230">
        <f t="shared" si="607"/>
        <v>12169.970000000001</v>
      </c>
      <c r="GE42" s="3230">
        <f t="shared" si="608"/>
        <v>0</v>
      </c>
      <c r="GF42" s="3230">
        <f t="shared" si="609"/>
        <v>9586.84</v>
      </c>
      <c r="GG42" s="3230">
        <f t="shared" si="610"/>
        <v>9584.4486264451079</v>
      </c>
      <c r="GH42" s="3230">
        <f t="shared" si="611"/>
        <v>2.3913735548923518</v>
      </c>
      <c r="GI42" s="3231">
        <f t="shared" si="612"/>
        <v>2185.590000000002</v>
      </c>
      <c r="GJ42" s="3231">
        <f t="shared" si="613"/>
        <v>2187.3535215303673</v>
      </c>
      <c r="GK42" s="3231">
        <f t="shared" si="614"/>
        <v>-1.7635215303655989</v>
      </c>
      <c r="GL42" s="396"/>
    </row>
    <row r="43" spans="1:194" ht="18.75" x14ac:dyDescent="0.3">
      <c r="A43" s="3072" t="s">
        <v>3589</v>
      </c>
      <c r="B43" s="3277">
        <f t="shared" si="615"/>
        <v>0</v>
      </c>
      <c r="C43" s="3277">
        <f>SUM('ПОЛНАЯ СЕБЕСТОИМОСТЬ ВОДА 2019'!C188/3)</f>
        <v>0</v>
      </c>
      <c r="D43" s="3277">
        <f>SUM('ПОЛНАЯ СЕБЕСТОИМОСТЬ ВОДА 2019'!D188/3)</f>
        <v>0</v>
      </c>
      <c r="E43" s="3136">
        <f t="shared" si="616"/>
        <v>0</v>
      </c>
      <c r="F43" s="3136">
        <f>SUM('ПОЛНАЯ СЕБЕСТОИМОСТЬ ВОДА 2019'!F188)</f>
        <v>0</v>
      </c>
      <c r="G43" s="3136">
        <f>SUM('ПОЛНАЯ СЕБЕСТОИМОСТЬ ВОДА 2019'!G188)</f>
        <v>0</v>
      </c>
      <c r="H43" s="3137">
        <v>0</v>
      </c>
      <c r="I43" s="3137">
        <f t="shared" si="617"/>
        <v>0</v>
      </c>
      <c r="J43" s="3137">
        <v>0</v>
      </c>
      <c r="K43" s="3277">
        <f t="shared" si="618"/>
        <v>0</v>
      </c>
      <c r="L43" s="3277">
        <f t="shared" si="619"/>
        <v>0</v>
      </c>
      <c r="M43" s="3277">
        <f t="shared" si="620"/>
        <v>0</v>
      </c>
      <c r="N43" s="3136">
        <f t="shared" si="621"/>
        <v>0</v>
      </c>
      <c r="O43" s="3136">
        <f>SUM('ПОЛНАЯ СЕБЕСТОИМОСТЬ ВОДА 2019'!I188)</f>
        <v>0</v>
      </c>
      <c r="P43" s="3136">
        <f>SUM('ПОЛНАЯ СЕБЕСТОИМОСТЬ ВОДА 2019'!J188)</f>
        <v>0</v>
      </c>
      <c r="Q43" s="3137">
        <v>0</v>
      </c>
      <c r="R43" s="3137">
        <f t="shared" si="622"/>
        <v>0</v>
      </c>
      <c r="S43" s="3137">
        <v>0</v>
      </c>
      <c r="T43" s="3277">
        <f t="shared" si="623"/>
        <v>0</v>
      </c>
      <c r="U43" s="3277">
        <f t="shared" si="624"/>
        <v>0</v>
      </c>
      <c r="V43" s="3277">
        <f t="shared" si="625"/>
        <v>0</v>
      </c>
      <c r="W43" s="3136">
        <f t="shared" si="626"/>
        <v>0</v>
      </c>
      <c r="X43" s="3136">
        <f>SUM('ПОЛНАЯ СЕБЕСТОИМОСТЬ ВОДА 2019'!L188)</f>
        <v>0</v>
      </c>
      <c r="Y43" s="3136">
        <f>SUM('ПОЛНАЯ СЕБЕСТОИМОСТЬ ВОДА 2019'!M188)</f>
        <v>0</v>
      </c>
      <c r="Z43" s="3137">
        <v>10.91</v>
      </c>
      <c r="AA43" s="3137">
        <f t="shared" si="627"/>
        <v>10.91</v>
      </c>
      <c r="AB43" s="3137">
        <v>0</v>
      </c>
      <c r="AC43" s="3114">
        <f t="shared" si="533"/>
        <v>0</v>
      </c>
      <c r="AD43" s="3114">
        <f t="shared" si="534"/>
        <v>0</v>
      </c>
      <c r="AE43" s="3114">
        <f t="shared" si="535"/>
        <v>0</v>
      </c>
      <c r="AF43" s="3123">
        <f t="shared" si="628"/>
        <v>0</v>
      </c>
      <c r="AG43" s="3123">
        <f t="shared" si="629"/>
        <v>0</v>
      </c>
      <c r="AH43" s="3123">
        <f t="shared" si="630"/>
        <v>0</v>
      </c>
      <c r="AI43" s="3123">
        <f t="shared" si="631"/>
        <v>10.91</v>
      </c>
      <c r="AJ43" s="3123">
        <f t="shared" si="632"/>
        <v>10.91</v>
      </c>
      <c r="AK43" s="3123">
        <f t="shared" si="633"/>
        <v>0</v>
      </c>
      <c r="AL43" s="3115">
        <f t="shared" si="634"/>
        <v>0</v>
      </c>
      <c r="AM43" s="3115">
        <f t="shared" si="635"/>
        <v>0</v>
      </c>
      <c r="AN43" s="3115">
        <f t="shared" si="636"/>
        <v>0</v>
      </c>
      <c r="AO43" s="3277">
        <f t="shared" si="637"/>
        <v>0</v>
      </c>
      <c r="AP43" s="3277">
        <f>SUM('ПОЛНАЯ СЕБЕСТОИМОСТЬ ВОДА 2019'!R188/3)</f>
        <v>0</v>
      </c>
      <c r="AQ43" s="3277">
        <f>SUM('ПОЛНАЯ СЕБЕСТОИМОСТЬ ВОДА 2019'!S188/3)</f>
        <v>0</v>
      </c>
      <c r="AR43" s="3277">
        <f t="shared" si="638"/>
        <v>0</v>
      </c>
      <c r="AS43" s="3277">
        <f>SUM('ПОЛНАЯ СЕБЕСТОИМОСТЬ ВОДА 2019'!U188)</f>
        <v>0</v>
      </c>
      <c r="AT43" s="3277">
        <f>SUM('ПОЛНАЯ СЕБЕСТОИМОСТЬ ВОДА 2019'!V188)</f>
        <v>0</v>
      </c>
      <c r="AU43" s="3464">
        <v>0</v>
      </c>
      <c r="AV43" s="3464">
        <f t="shared" si="639"/>
        <v>0</v>
      </c>
      <c r="AW43" s="3464">
        <v>0</v>
      </c>
      <c r="AX43" s="3277">
        <f t="shared" si="640"/>
        <v>0</v>
      </c>
      <c r="AY43" s="3277">
        <f t="shared" si="641"/>
        <v>0</v>
      </c>
      <c r="AZ43" s="3277">
        <f t="shared" si="642"/>
        <v>0</v>
      </c>
      <c r="BA43" s="3277">
        <f t="shared" si="643"/>
        <v>0</v>
      </c>
      <c r="BB43" s="3277">
        <f>SUM('ПОЛНАЯ СЕБЕСТОИМОСТЬ ВОДА 2019'!X188)</f>
        <v>0</v>
      </c>
      <c r="BC43" s="3277">
        <f>SUM('ПОЛНАЯ СЕБЕСТОИМОСТЬ ВОДА 2019'!Y188)</f>
        <v>0</v>
      </c>
      <c r="BD43" s="3137">
        <v>0</v>
      </c>
      <c r="BE43" s="3137">
        <f t="shared" si="644"/>
        <v>0</v>
      </c>
      <c r="BF43" s="3137">
        <v>0</v>
      </c>
      <c r="BG43" s="3277">
        <f t="shared" si="645"/>
        <v>0</v>
      </c>
      <c r="BH43" s="3277">
        <f t="shared" si="646"/>
        <v>0</v>
      </c>
      <c r="BI43" s="3277">
        <f t="shared" si="647"/>
        <v>0</v>
      </c>
      <c r="BJ43" s="3136">
        <f t="shared" si="648"/>
        <v>0</v>
      </c>
      <c r="BK43" s="3136">
        <f>SUM('ПОЛНАЯ СЕБЕСТОИМОСТЬ ВОДА 2019'!AA188)</f>
        <v>0</v>
      </c>
      <c r="BL43" s="3136">
        <f>SUM('ПОЛНАЯ СЕБЕСТОИМОСТЬ ВОДА 2019'!AB188)</f>
        <v>0</v>
      </c>
      <c r="BM43" s="3137">
        <v>0</v>
      </c>
      <c r="BN43" s="3137">
        <f t="shared" si="649"/>
        <v>0</v>
      </c>
      <c r="BO43" s="3137">
        <v>0</v>
      </c>
      <c r="BP43" s="3114">
        <f t="shared" si="545"/>
        <v>0</v>
      </c>
      <c r="BQ43" s="3114">
        <f t="shared" si="546"/>
        <v>0</v>
      </c>
      <c r="BR43" s="3114">
        <f t="shared" si="547"/>
        <v>0</v>
      </c>
      <c r="BS43" s="3123">
        <f t="shared" si="548"/>
        <v>0</v>
      </c>
      <c r="BT43" s="3123">
        <f t="shared" si="549"/>
        <v>0</v>
      </c>
      <c r="BU43" s="3123">
        <f t="shared" si="550"/>
        <v>0</v>
      </c>
      <c r="BV43" s="3123">
        <f t="shared" si="551"/>
        <v>0</v>
      </c>
      <c r="BW43" s="3123">
        <f t="shared" si="552"/>
        <v>0</v>
      </c>
      <c r="BX43" s="3123">
        <f t="shared" si="553"/>
        <v>0</v>
      </c>
      <c r="BY43" s="3115">
        <f t="shared" si="554"/>
        <v>0</v>
      </c>
      <c r="BZ43" s="3115">
        <f t="shared" si="555"/>
        <v>0</v>
      </c>
      <c r="CA43" s="3115">
        <f t="shared" si="556"/>
        <v>0</v>
      </c>
      <c r="CB43" s="3114">
        <f t="shared" si="557"/>
        <v>0</v>
      </c>
      <c r="CC43" s="3114">
        <f t="shared" si="558"/>
        <v>0</v>
      </c>
      <c r="CD43" s="3114">
        <f t="shared" si="559"/>
        <v>0</v>
      </c>
      <c r="CE43" s="3123">
        <f t="shared" si="560"/>
        <v>0</v>
      </c>
      <c r="CF43" s="3123">
        <f t="shared" si="561"/>
        <v>0</v>
      </c>
      <c r="CG43" s="3123">
        <f t="shared" si="562"/>
        <v>0</v>
      </c>
      <c r="CH43" s="3123">
        <f t="shared" si="563"/>
        <v>10.91</v>
      </c>
      <c r="CI43" s="3123">
        <f t="shared" si="564"/>
        <v>10.91</v>
      </c>
      <c r="CJ43" s="3123">
        <f t="shared" si="565"/>
        <v>0</v>
      </c>
      <c r="CK43" s="3115">
        <f t="shared" si="566"/>
        <v>0</v>
      </c>
      <c r="CL43" s="3115">
        <f t="shared" si="567"/>
        <v>0</v>
      </c>
      <c r="CM43" s="3115">
        <f t="shared" si="568"/>
        <v>0</v>
      </c>
      <c r="CN43" s="3277">
        <f t="shared" si="650"/>
        <v>0</v>
      </c>
      <c r="CO43" s="3277">
        <f>SUM('ПОЛНАЯ СЕБЕСТОИМОСТЬ ВОДА 2019'!AP188/3)</f>
        <v>0</v>
      </c>
      <c r="CP43" s="3277">
        <f>SUM('ПОЛНАЯ СЕБЕСТОИМОСТЬ ВОДА 2019'!AQ188/3)</f>
        <v>0</v>
      </c>
      <c r="CQ43" s="3136">
        <f t="shared" si="651"/>
        <v>0</v>
      </c>
      <c r="CR43" s="3136">
        <f>SUM('ПОЛНАЯ СЕБЕСТОИМОСТЬ ВОДА 2019'!AS188)</f>
        <v>0</v>
      </c>
      <c r="CS43" s="3136">
        <f>SUM('ПОЛНАЯ СЕБЕСТОИМОСТЬ ВОДА 2019'!AT188)</f>
        <v>0</v>
      </c>
      <c r="CT43" s="3137">
        <v>0</v>
      </c>
      <c r="CU43" s="3137">
        <f t="shared" si="652"/>
        <v>0</v>
      </c>
      <c r="CV43" s="3137">
        <v>0</v>
      </c>
      <c r="CW43" s="3277">
        <f t="shared" si="653"/>
        <v>0</v>
      </c>
      <c r="CX43" s="3277">
        <f t="shared" si="654"/>
        <v>0</v>
      </c>
      <c r="CY43" s="3277">
        <f t="shared" si="655"/>
        <v>0</v>
      </c>
      <c r="CZ43" s="3136">
        <f t="shared" si="656"/>
        <v>0</v>
      </c>
      <c r="DA43" s="3136">
        <f>SUM('ПОЛНАЯ СЕБЕСТОИМОСТЬ ВОДА 2019'!AV188)</f>
        <v>0</v>
      </c>
      <c r="DB43" s="3136">
        <f>SUM('ПОЛНАЯ СЕБЕСТОИМОСТЬ ВОДА 2019'!AW188)</f>
        <v>0</v>
      </c>
      <c r="DC43" s="3137">
        <v>0</v>
      </c>
      <c r="DD43" s="3137">
        <f t="shared" si="657"/>
        <v>0</v>
      </c>
      <c r="DE43" s="3137">
        <v>0</v>
      </c>
      <c r="DF43" s="3277">
        <f t="shared" si="658"/>
        <v>0</v>
      </c>
      <c r="DG43" s="3277">
        <f t="shared" si="659"/>
        <v>0</v>
      </c>
      <c r="DH43" s="3277">
        <f t="shared" si="660"/>
        <v>0</v>
      </c>
      <c r="DI43" s="3136">
        <f t="shared" si="661"/>
        <v>0</v>
      </c>
      <c r="DJ43" s="3136">
        <f>SUM('ПОЛНАЯ СЕБЕСТОИМОСТЬ ВОДА 2019'!AY188)</f>
        <v>0</v>
      </c>
      <c r="DK43" s="3136">
        <f>SUM('ПОЛНАЯ СЕБЕСТОИМОСТЬ ВОДА 2019'!AZ188)</f>
        <v>0</v>
      </c>
      <c r="DL43" s="3137">
        <v>0</v>
      </c>
      <c r="DM43" s="3137">
        <f t="shared" si="662"/>
        <v>0</v>
      </c>
      <c r="DN43" s="3137">
        <v>0</v>
      </c>
      <c r="DO43" s="3114">
        <f t="shared" si="569"/>
        <v>0</v>
      </c>
      <c r="DP43" s="3114">
        <f t="shared" si="570"/>
        <v>0</v>
      </c>
      <c r="DQ43" s="3114">
        <f t="shared" si="571"/>
        <v>0</v>
      </c>
      <c r="DR43" s="3123">
        <f t="shared" si="572"/>
        <v>0</v>
      </c>
      <c r="DS43" s="3123">
        <f t="shared" si="573"/>
        <v>0</v>
      </c>
      <c r="DT43" s="3123">
        <f t="shared" si="574"/>
        <v>0</v>
      </c>
      <c r="DU43" s="3123">
        <f t="shared" si="575"/>
        <v>0</v>
      </c>
      <c r="DV43" s="3123">
        <f t="shared" si="576"/>
        <v>0</v>
      </c>
      <c r="DW43" s="3123">
        <f t="shared" si="577"/>
        <v>0</v>
      </c>
      <c r="DX43" s="3115">
        <f t="shared" si="578"/>
        <v>0</v>
      </c>
      <c r="DY43" s="3115">
        <f t="shared" si="579"/>
        <v>0</v>
      </c>
      <c r="DZ43" s="3115">
        <f t="shared" si="580"/>
        <v>0</v>
      </c>
      <c r="EA43" s="3114">
        <f t="shared" si="581"/>
        <v>0</v>
      </c>
      <c r="EB43" s="3114">
        <f t="shared" si="582"/>
        <v>0</v>
      </c>
      <c r="EC43" s="3114">
        <f t="shared" si="583"/>
        <v>0</v>
      </c>
      <c r="ED43" s="3123">
        <f t="shared" si="584"/>
        <v>0</v>
      </c>
      <c r="EE43" s="3123">
        <f t="shared" si="585"/>
        <v>0</v>
      </c>
      <c r="EF43" s="3123">
        <f t="shared" si="586"/>
        <v>0</v>
      </c>
      <c r="EG43" s="3123">
        <f t="shared" si="587"/>
        <v>10.91</v>
      </c>
      <c r="EH43" s="3123">
        <f t="shared" si="588"/>
        <v>10.91</v>
      </c>
      <c r="EI43" s="3123">
        <f t="shared" si="589"/>
        <v>0</v>
      </c>
      <c r="EJ43" s="3115">
        <f t="shared" si="590"/>
        <v>0</v>
      </c>
      <c r="EK43" s="3115">
        <f t="shared" si="590"/>
        <v>0</v>
      </c>
      <c r="EL43" s="3115">
        <f t="shared" si="590"/>
        <v>0</v>
      </c>
      <c r="EM43" s="3277">
        <f t="shared" si="663"/>
        <v>0</v>
      </c>
      <c r="EN43" s="3277">
        <f>SUM('ПОЛНАЯ СЕБЕСТОИМОСТЬ ВОДА 2019'!BN188/3)</f>
        <v>0</v>
      </c>
      <c r="EO43" s="3277">
        <f>SUM('ПОЛНАЯ СЕБЕСТОИМОСТЬ ВОДА 2019'!BO188/3)</f>
        <v>0</v>
      </c>
      <c r="EP43" s="3136">
        <f t="shared" si="664"/>
        <v>0</v>
      </c>
      <c r="EQ43" s="3136">
        <f>SUM('ПОЛНАЯ СЕБЕСТОИМОСТЬ ВОДА 2019'!BQ188)</f>
        <v>0</v>
      </c>
      <c r="ER43" s="3136">
        <f>SUM('ПОЛНАЯ СЕБЕСТОИМОСТЬ ВОДА 2019'!BR188)</f>
        <v>0</v>
      </c>
      <c r="ES43" s="3137">
        <v>0</v>
      </c>
      <c r="ET43" s="3137">
        <f t="shared" si="665"/>
        <v>0</v>
      </c>
      <c r="EU43" s="3137">
        <v>0</v>
      </c>
      <c r="EV43" s="3277">
        <f t="shared" si="666"/>
        <v>0</v>
      </c>
      <c r="EW43" s="3277">
        <f t="shared" si="667"/>
        <v>0</v>
      </c>
      <c r="EX43" s="3277">
        <f t="shared" si="668"/>
        <v>0</v>
      </c>
      <c r="EY43" s="3136">
        <f t="shared" si="669"/>
        <v>0</v>
      </c>
      <c r="EZ43" s="3136">
        <f>SUM('ПОЛНАЯ СЕБЕСТОИМОСТЬ ВОДА 2019'!BT188)</f>
        <v>0</v>
      </c>
      <c r="FA43" s="3136">
        <f>SUM('ПОЛНАЯ СЕБЕСТОИМОСТЬ ВОДА 2019'!BU188)</f>
        <v>0</v>
      </c>
      <c r="FB43" s="3137">
        <v>0</v>
      </c>
      <c r="FC43" s="3137">
        <f t="shared" si="670"/>
        <v>0</v>
      </c>
      <c r="FD43" s="3137">
        <v>0</v>
      </c>
      <c r="FE43" s="3277">
        <f t="shared" si="671"/>
        <v>0</v>
      </c>
      <c r="FF43" s="3277">
        <f t="shared" si="672"/>
        <v>0</v>
      </c>
      <c r="FG43" s="3277">
        <f t="shared" si="673"/>
        <v>0</v>
      </c>
      <c r="FH43" s="3136">
        <f>SUM('[19]ПОЛНАЯ СЕБЕСТОИМОСТЬ ВОДА 2018'!Z189)</f>
        <v>0</v>
      </c>
      <c r="FI43" s="3136">
        <f>SUM('ПОЛНАЯ СЕБЕСТОИМОСТЬ ВОДА 2019'!BW188)</f>
        <v>0</v>
      </c>
      <c r="FJ43" s="3136">
        <f>SUM('ПОЛНАЯ СЕБЕСТОИМОСТЬ ВОДА 2019'!BX188)</f>
        <v>0</v>
      </c>
      <c r="FK43" s="3137">
        <v>0</v>
      </c>
      <c r="FL43" s="3137">
        <f t="shared" si="674"/>
        <v>0</v>
      </c>
      <c r="FM43" s="3137">
        <v>0</v>
      </c>
      <c r="FN43" s="3114">
        <f t="shared" si="591"/>
        <v>0</v>
      </c>
      <c r="FO43" s="3114">
        <f t="shared" si="592"/>
        <v>0</v>
      </c>
      <c r="FP43" s="3114">
        <f t="shared" si="593"/>
        <v>0</v>
      </c>
      <c r="FQ43" s="3123">
        <f t="shared" si="594"/>
        <v>0</v>
      </c>
      <c r="FR43" s="3123">
        <f t="shared" si="595"/>
        <v>0</v>
      </c>
      <c r="FS43" s="3123">
        <f t="shared" si="596"/>
        <v>0</v>
      </c>
      <c r="FT43" s="3123">
        <f t="shared" si="675"/>
        <v>0</v>
      </c>
      <c r="FU43" s="3123">
        <f t="shared" si="676"/>
        <v>0</v>
      </c>
      <c r="FV43" s="3123">
        <f t="shared" si="677"/>
        <v>0</v>
      </c>
      <c r="FW43" s="3115">
        <f t="shared" si="600"/>
        <v>0</v>
      </c>
      <c r="FX43" s="3115">
        <f t="shared" si="601"/>
        <v>0</v>
      </c>
      <c r="FY43" s="3115">
        <f t="shared" si="602"/>
        <v>0</v>
      </c>
      <c r="FZ43" s="3222">
        <f t="shared" si="603"/>
        <v>0</v>
      </c>
      <c r="GA43" s="3222">
        <f t="shared" si="604"/>
        <v>0</v>
      </c>
      <c r="GB43" s="3222">
        <f t="shared" si="605"/>
        <v>0</v>
      </c>
      <c r="GC43" s="3230">
        <f t="shared" si="606"/>
        <v>0</v>
      </c>
      <c r="GD43" s="3230">
        <f t="shared" si="607"/>
        <v>0</v>
      </c>
      <c r="GE43" s="3230">
        <f t="shared" si="608"/>
        <v>0</v>
      </c>
      <c r="GF43" s="3230">
        <f t="shared" si="609"/>
        <v>10.91</v>
      </c>
      <c r="GG43" s="3230">
        <f t="shared" si="610"/>
        <v>10.91</v>
      </c>
      <c r="GH43" s="3230">
        <f t="shared" si="611"/>
        <v>0</v>
      </c>
      <c r="GI43" s="3231">
        <f t="shared" si="612"/>
        <v>0</v>
      </c>
      <c r="GJ43" s="3231">
        <f t="shared" si="613"/>
        <v>0</v>
      </c>
      <c r="GK43" s="3231">
        <f t="shared" si="614"/>
        <v>0</v>
      </c>
      <c r="GL43" s="396"/>
    </row>
    <row r="44" spans="1:194" ht="18.75" x14ac:dyDescent="0.3">
      <c r="A44" s="3135" t="s">
        <v>3</v>
      </c>
      <c r="B44" s="3277">
        <f t="shared" si="615"/>
        <v>136.00769416666668</v>
      </c>
      <c r="C44" s="3277">
        <f>SUM('ПОЛНАЯ СЕБЕСТОИМОСТЬ ВОДА 2019'!C189/3)</f>
        <v>135.96542373294346</v>
      </c>
      <c r="D44" s="3277">
        <f>SUM('ПОЛНАЯ СЕБЕСТОИМОСТЬ ВОДА 2019'!D189/3)</f>
        <v>4.2270433723214797E-2</v>
      </c>
      <c r="E44" s="3136">
        <f t="shared" si="616"/>
        <v>254.47</v>
      </c>
      <c r="F44" s="3136">
        <f>SUM('ПОЛНАЯ СЕБЕСТОИМОСТЬ ВОДА 2019'!F189)</f>
        <v>254.47</v>
      </c>
      <c r="G44" s="3136">
        <f>SUM('ПОЛНАЯ СЕБЕСТОИМОСТЬ ВОДА 2019'!G189)</f>
        <v>0</v>
      </c>
      <c r="H44" s="3137">
        <v>491.63</v>
      </c>
      <c r="I44" s="3137">
        <f t="shared" si="617"/>
        <v>491.49776723273669</v>
      </c>
      <c r="J44" s="3137">
        <f>SUM(H44/H14*J14)*0.61349693251</f>
        <v>0.13223276726328498</v>
      </c>
      <c r="K44" s="3277">
        <f t="shared" si="618"/>
        <v>136.00769416666668</v>
      </c>
      <c r="L44" s="3277">
        <f t="shared" si="619"/>
        <v>135.96542373294346</v>
      </c>
      <c r="M44" s="3277">
        <f t="shared" si="620"/>
        <v>4.2270433723214797E-2</v>
      </c>
      <c r="N44" s="3136">
        <f t="shared" si="621"/>
        <v>189.65999999999997</v>
      </c>
      <c r="O44" s="3136">
        <f>SUM('ПОЛНАЯ СЕБЕСТОИМОСТЬ ВОДА 2019'!I189)</f>
        <v>189.65999999999997</v>
      </c>
      <c r="P44" s="3136">
        <f>SUM('ПОЛНАЯ СЕБЕСТОИМОСТЬ ВОДА 2019'!J189)</f>
        <v>0</v>
      </c>
      <c r="Q44" s="3137">
        <v>404.36</v>
      </c>
      <c r="R44" s="3137">
        <f t="shared" si="622"/>
        <v>404.21849969409845</v>
      </c>
      <c r="S44" s="3137">
        <f>SUM(Q44/Q14*S14)*0.61349693251</f>
        <v>0.14150030590155546</v>
      </c>
      <c r="T44" s="3277">
        <f t="shared" si="623"/>
        <v>136.00769416666668</v>
      </c>
      <c r="U44" s="3277">
        <f t="shared" si="624"/>
        <v>135.96542373294346</v>
      </c>
      <c r="V44" s="3277">
        <f t="shared" si="625"/>
        <v>4.2270433723214797E-2</v>
      </c>
      <c r="W44" s="3136">
        <f t="shared" si="626"/>
        <v>784.91</v>
      </c>
      <c r="X44" s="3136">
        <f>SUM('ПОЛНАЯ СЕБЕСТОИМОСТЬ ВОДА 2019'!L189)</f>
        <v>784.91</v>
      </c>
      <c r="Y44" s="3136">
        <f>SUM('ПОЛНАЯ СЕБЕСТОИМОСТЬ ВОДА 2019'!M189)</f>
        <v>0</v>
      </c>
      <c r="Z44" s="3137">
        <v>276.14999999999998</v>
      </c>
      <c r="AA44" s="3137">
        <f t="shared" si="627"/>
        <v>276.08163608396825</v>
      </c>
      <c r="AB44" s="3137">
        <f>SUM(Z44/Z14*AB14)*0.61349693251</f>
        <v>6.8363916031731711E-2</v>
      </c>
      <c r="AC44" s="3114">
        <f t="shared" si="533"/>
        <v>408.02308250000004</v>
      </c>
      <c r="AD44" s="3114">
        <f t="shared" si="534"/>
        <v>407.89627119883039</v>
      </c>
      <c r="AE44" s="3114">
        <f t="shared" si="535"/>
        <v>0.1268113011696444</v>
      </c>
      <c r="AF44" s="3123">
        <f t="shared" si="628"/>
        <v>1229.04</v>
      </c>
      <c r="AG44" s="3123">
        <f t="shared" si="629"/>
        <v>1229.04</v>
      </c>
      <c r="AH44" s="3123">
        <f t="shared" si="630"/>
        <v>0</v>
      </c>
      <c r="AI44" s="3123">
        <f t="shared" si="631"/>
        <v>1172.1399999999999</v>
      </c>
      <c r="AJ44" s="3123">
        <f t="shared" si="632"/>
        <v>1171.7979030108033</v>
      </c>
      <c r="AK44" s="3123">
        <f t="shared" si="633"/>
        <v>0.34209698919657211</v>
      </c>
      <c r="AL44" s="3115">
        <f t="shared" si="634"/>
        <v>821.01691749999986</v>
      </c>
      <c r="AM44" s="3115">
        <f t="shared" si="635"/>
        <v>821.14372880116957</v>
      </c>
      <c r="AN44" s="3115">
        <f t="shared" si="636"/>
        <v>-0.1268113011696444</v>
      </c>
      <c r="AO44" s="3277">
        <f t="shared" si="637"/>
        <v>136.00769416666668</v>
      </c>
      <c r="AP44" s="3277">
        <f>SUM('ПОЛНАЯ СЕБЕСТОИМОСТЬ ВОДА 2019'!R189/3)</f>
        <v>135.96542373294346</v>
      </c>
      <c r="AQ44" s="3277">
        <f>SUM('ПОЛНАЯ СЕБЕСТОИМОСТЬ ВОДА 2019'!S189/3)</f>
        <v>4.2270433723214797E-2</v>
      </c>
      <c r="AR44" s="3277">
        <f t="shared" si="638"/>
        <v>882.72</v>
      </c>
      <c r="AS44" s="3277">
        <f>SUM('ПОЛНАЯ СЕБЕСТОИМОСТЬ ВОДА 2019'!U189)</f>
        <v>882.72</v>
      </c>
      <c r="AT44" s="3277">
        <f>SUM('ПОЛНАЯ СЕБЕСТОИМОСТЬ ВОДА 2019'!V189)</f>
        <v>0</v>
      </c>
      <c r="AU44" s="3464">
        <v>260.72000000000003</v>
      </c>
      <c r="AV44" s="3464">
        <f t="shared" si="639"/>
        <v>260.56030857831627</v>
      </c>
      <c r="AW44" s="3464">
        <f>SUM(AU44/AU14*AW14)*0.61349693251</f>
        <v>0.15969142168377112</v>
      </c>
      <c r="AX44" s="3277">
        <f t="shared" si="640"/>
        <v>136.00769416666668</v>
      </c>
      <c r="AY44" s="3277">
        <f t="shared" si="641"/>
        <v>135.96542373294346</v>
      </c>
      <c r="AZ44" s="3277">
        <f t="shared" si="642"/>
        <v>4.2270433723214797E-2</v>
      </c>
      <c r="BA44" s="3277">
        <f t="shared" si="643"/>
        <v>898</v>
      </c>
      <c r="BB44" s="3277">
        <f>SUM('ПОЛНАЯ СЕБЕСТОИМОСТЬ ВОДА 2019'!X189)</f>
        <v>898</v>
      </c>
      <c r="BC44" s="3277">
        <f>SUM('ПОЛНАЯ СЕБЕСТОИМОСТЬ ВОДА 2019'!Y189)</f>
        <v>0</v>
      </c>
      <c r="BD44" s="3137">
        <v>142.97</v>
      </c>
      <c r="BE44" s="3137">
        <f t="shared" si="644"/>
        <v>142.94125056329577</v>
      </c>
      <c r="BF44" s="3137">
        <f>SUM(BD44/BD14*BF14)*0.61349693251</f>
        <v>2.874943670423636E-2</v>
      </c>
      <c r="BG44" s="3277">
        <f t="shared" si="645"/>
        <v>136.00769416666668</v>
      </c>
      <c r="BH44" s="3277">
        <f t="shared" si="646"/>
        <v>135.96542373294346</v>
      </c>
      <c r="BI44" s="3277">
        <f t="shared" si="647"/>
        <v>4.2270433723214797E-2</v>
      </c>
      <c r="BJ44" s="3136">
        <f t="shared" si="648"/>
        <v>260.25</v>
      </c>
      <c r="BK44" s="3136">
        <f>SUM('ПОЛНАЯ СЕБЕСТОИМОСТЬ ВОДА 2019'!AA189)</f>
        <v>260.25</v>
      </c>
      <c r="BL44" s="3136">
        <f>SUM('ПОЛНАЯ СЕБЕСТОИМОСТЬ ВОДА 2019'!AB189)</f>
        <v>0</v>
      </c>
      <c r="BM44" s="3137">
        <v>463.3</v>
      </c>
      <c r="BN44" s="3137">
        <f t="shared" si="649"/>
        <v>463.22128444336613</v>
      </c>
      <c r="BO44" s="3137">
        <f>SUM(BM44/BM14*BO14)*0.61349693251</f>
        <v>7.8715556633852768E-2</v>
      </c>
      <c r="BP44" s="3114">
        <f t="shared" si="545"/>
        <v>408.02308250000004</v>
      </c>
      <c r="BQ44" s="3114">
        <f t="shared" si="546"/>
        <v>407.89627119883039</v>
      </c>
      <c r="BR44" s="3114">
        <f t="shared" si="547"/>
        <v>0.1268113011696444</v>
      </c>
      <c r="BS44" s="3123">
        <f t="shared" si="548"/>
        <v>2040.97</v>
      </c>
      <c r="BT44" s="3123">
        <f t="shared" si="549"/>
        <v>2040.97</v>
      </c>
      <c r="BU44" s="3123">
        <f t="shared" si="550"/>
        <v>0</v>
      </c>
      <c r="BV44" s="3123">
        <f t="shared" si="551"/>
        <v>866.99</v>
      </c>
      <c r="BW44" s="3123">
        <f t="shared" si="552"/>
        <v>866.72284358497814</v>
      </c>
      <c r="BX44" s="3123">
        <f t="shared" si="553"/>
        <v>0.26715641502186027</v>
      </c>
      <c r="BY44" s="3115">
        <f t="shared" si="554"/>
        <v>1632.9469174999999</v>
      </c>
      <c r="BZ44" s="3115">
        <f t="shared" si="555"/>
        <v>1633.0737288011696</v>
      </c>
      <c r="CA44" s="3115">
        <f t="shared" si="556"/>
        <v>-0.1268113011696444</v>
      </c>
      <c r="CB44" s="3114">
        <f t="shared" si="557"/>
        <v>816.04616500000009</v>
      </c>
      <c r="CC44" s="3114">
        <f t="shared" si="558"/>
        <v>815.79254239766078</v>
      </c>
      <c r="CD44" s="3114">
        <f t="shared" si="559"/>
        <v>0.25362260233928879</v>
      </c>
      <c r="CE44" s="3123">
        <f t="shared" si="560"/>
        <v>3270.01</v>
      </c>
      <c r="CF44" s="3123">
        <f t="shared" si="561"/>
        <v>3270.01</v>
      </c>
      <c r="CG44" s="3123">
        <f t="shared" si="562"/>
        <v>0</v>
      </c>
      <c r="CH44" s="3123">
        <f t="shared" si="563"/>
        <v>2039.1299999999999</v>
      </c>
      <c r="CI44" s="3123">
        <f t="shared" si="564"/>
        <v>2038.5207465957815</v>
      </c>
      <c r="CJ44" s="3123">
        <f t="shared" si="565"/>
        <v>0.60925340421843233</v>
      </c>
      <c r="CK44" s="3115">
        <f t="shared" si="566"/>
        <v>2453.963835</v>
      </c>
      <c r="CL44" s="3115">
        <f t="shared" si="567"/>
        <v>2454.2174576023394</v>
      </c>
      <c r="CM44" s="3115">
        <f t="shared" si="568"/>
        <v>-0.25362260233928879</v>
      </c>
      <c r="CN44" s="3277">
        <f t="shared" si="650"/>
        <v>136.00769416666668</v>
      </c>
      <c r="CO44" s="3277">
        <f>SUM('ПОЛНАЯ СЕБЕСТОИМОСТЬ ВОДА 2019'!AP189/3)</f>
        <v>135.96542373294346</v>
      </c>
      <c r="CP44" s="3277">
        <f>SUM('ПОЛНАЯ СЕБЕСТОИМОСТЬ ВОДА 2019'!AQ189/3)</f>
        <v>4.2270433723214797E-2</v>
      </c>
      <c r="CQ44" s="3136">
        <f t="shared" si="651"/>
        <v>569.52</v>
      </c>
      <c r="CR44" s="3136">
        <f>SUM('ПОЛНАЯ СЕБЕСТОИМОСТЬ ВОДА 2019'!AS189)</f>
        <v>569.52</v>
      </c>
      <c r="CS44" s="3136">
        <f>SUM('ПОЛНАЯ СЕБЕСТОИМОСТЬ ВОДА 2019'!AT189)</f>
        <v>0</v>
      </c>
      <c r="CT44" s="3137">
        <v>315.48</v>
      </c>
      <c r="CU44" s="3137">
        <f t="shared" si="652"/>
        <v>315.43231850193996</v>
      </c>
      <c r="CV44" s="3137">
        <f>SUM(CT44/CT14*CV14)*0.61349693251</f>
        <v>4.7681498060033224E-2</v>
      </c>
      <c r="CW44" s="3277">
        <f t="shared" si="653"/>
        <v>136.00769416666668</v>
      </c>
      <c r="CX44" s="3277">
        <f t="shared" si="654"/>
        <v>135.96542373294346</v>
      </c>
      <c r="CY44" s="3277">
        <f t="shared" si="655"/>
        <v>4.2270433723214797E-2</v>
      </c>
      <c r="CZ44" s="3136">
        <f t="shared" si="656"/>
        <v>401.78</v>
      </c>
      <c r="DA44" s="3136">
        <f>SUM('ПОЛНАЯ СЕБЕСТОИМОСТЬ ВОДА 2019'!AV189)</f>
        <v>401.78</v>
      </c>
      <c r="DB44" s="3136">
        <f>SUM('ПОЛНАЯ СЕБЕСТОИМОСТЬ ВОДА 2019'!AW189)</f>
        <v>0</v>
      </c>
      <c r="DC44" s="3137">
        <v>523.41</v>
      </c>
      <c r="DD44" s="3137">
        <f t="shared" si="657"/>
        <v>523.33401037842748</v>
      </c>
      <c r="DE44" s="3137">
        <f>SUM(DC44/DC14*DE14)*0.61349693251</f>
        <v>7.5989621572529198E-2</v>
      </c>
      <c r="DF44" s="3277">
        <f t="shared" si="658"/>
        <v>136.00769416666668</v>
      </c>
      <c r="DG44" s="3277">
        <f t="shared" si="659"/>
        <v>135.96542373294346</v>
      </c>
      <c r="DH44" s="3277">
        <f t="shared" si="660"/>
        <v>4.2270433723214797E-2</v>
      </c>
      <c r="DI44" s="3136">
        <f t="shared" si="661"/>
        <v>975.25</v>
      </c>
      <c r="DJ44" s="3136">
        <f>SUM('ПОЛНАЯ СЕБЕСТОИМОСТЬ ВОДА 2019'!AY189)</f>
        <v>975.25</v>
      </c>
      <c r="DK44" s="3136">
        <f>SUM('ПОЛНАЯ СЕБЕСТОИМОСТЬ ВОДА 2019'!AZ189)</f>
        <v>0</v>
      </c>
      <c r="DL44" s="3137">
        <v>498.4</v>
      </c>
      <c r="DM44" s="3137">
        <f t="shared" si="662"/>
        <v>498.31886284499848</v>
      </c>
      <c r="DN44" s="3137">
        <f>SUM(DL44/DL14*DN14)*0.61349693251</f>
        <v>8.1137155001479777E-2</v>
      </c>
      <c r="DO44" s="3114">
        <f t="shared" si="569"/>
        <v>408.02308250000004</v>
      </c>
      <c r="DP44" s="3114">
        <f t="shared" si="570"/>
        <v>407.89627119883039</v>
      </c>
      <c r="DQ44" s="3114">
        <f t="shared" si="571"/>
        <v>0.1268113011696444</v>
      </c>
      <c r="DR44" s="3123">
        <f t="shared" si="572"/>
        <v>1946.55</v>
      </c>
      <c r="DS44" s="3123">
        <f t="shared" si="573"/>
        <v>1946.55</v>
      </c>
      <c r="DT44" s="3123">
        <f t="shared" si="574"/>
        <v>0</v>
      </c>
      <c r="DU44" s="3123">
        <f t="shared" si="575"/>
        <v>1337.29</v>
      </c>
      <c r="DV44" s="3123">
        <f t="shared" si="576"/>
        <v>1337.0851917253658</v>
      </c>
      <c r="DW44" s="3123">
        <f t="shared" si="577"/>
        <v>0.20480827463404219</v>
      </c>
      <c r="DX44" s="3115">
        <f t="shared" si="578"/>
        <v>1538.5269174999999</v>
      </c>
      <c r="DY44" s="3115">
        <f t="shared" si="579"/>
        <v>1538.6537288011696</v>
      </c>
      <c r="DZ44" s="3115">
        <f t="shared" si="580"/>
        <v>-0.1268113011696444</v>
      </c>
      <c r="EA44" s="3114">
        <f t="shared" si="581"/>
        <v>1224.0692475000001</v>
      </c>
      <c r="EB44" s="3114">
        <f t="shared" si="582"/>
        <v>1223.6888135964912</v>
      </c>
      <c r="EC44" s="3114">
        <f t="shared" si="583"/>
        <v>0.38043390350893319</v>
      </c>
      <c r="ED44" s="3123">
        <f t="shared" si="584"/>
        <v>5216.5600000000004</v>
      </c>
      <c r="EE44" s="3123">
        <f t="shared" si="585"/>
        <v>5216.5600000000004</v>
      </c>
      <c r="EF44" s="3123">
        <f t="shared" si="586"/>
        <v>0</v>
      </c>
      <c r="EG44" s="3123">
        <f t="shared" si="587"/>
        <v>3376.42</v>
      </c>
      <c r="EH44" s="3123">
        <f t="shared" si="588"/>
        <v>3375.6059383211473</v>
      </c>
      <c r="EI44" s="3123">
        <f t="shared" si="589"/>
        <v>0.81406167885247449</v>
      </c>
      <c r="EJ44" s="3115">
        <f t="shared" si="590"/>
        <v>3992.4907525000003</v>
      </c>
      <c r="EK44" s="3115">
        <f t="shared" si="590"/>
        <v>3992.8711864035095</v>
      </c>
      <c r="EL44" s="3115">
        <f t="shared" si="590"/>
        <v>-0.38043390350893319</v>
      </c>
      <c r="EM44" s="3277">
        <f t="shared" si="663"/>
        <v>136.00769416666668</v>
      </c>
      <c r="EN44" s="3277">
        <f>SUM('ПОЛНАЯ СЕБЕСТОИМОСТЬ ВОДА 2019'!BN189/3)</f>
        <v>135.96542373294346</v>
      </c>
      <c r="EO44" s="3277">
        <f>SUM('ПОЛНАЯ СЕБЕСТОИМОСТЬ ВОДА 2019'!BO189/3)</f>
        <v>4.2270433723214797E-2</v>
      </c>
      <c r="EP44" s="3136">
        <f t="shared" si="664"/>
        <v>0</v>
      </c>
      <c r="EQ44" s="3136">
        <f>SUM('ПОЛНАЯ СЕБЕСТОИМОСТЬ ВОДА 2019'!BQ189)</f>
        <v>0</v>
      </c>
      <c r="ER44" s="3136">
        <f>SUM('ПОЛНАЯ СЕБЕСТОИМОСТЬ ВОДА 2019'!BR189)</f>
        <v>0</v>
      </c>
      <c r="ES44" s="3137">
        <v>813.2</v>
      </c>
      <c r="ET44" s="3137">
        <f t="shared" si="665"/>
        <v>813.06763005465268</v>
      </c>
      <c r="EU44" s="3137">
        <f>SUM(ES44/ES14*EU14)*0.61349693251</f>
        <v>0.13236994534741295</v>
      </c>
      <c r="EV44" s="3277">
        <f t="shared" si="666"/>
        <v>136.00769416666668</v>
      </c>
      <c r="EW44" s="3277">
        <f t="shared" si="667"/>
        <v>135.96542373294346</v>
      </c>
      <c r="EX44" s="3277">
        <f t="shared" si="668"/>
        <v>4.2270433723214797E-2</v>
      </c>
      <c r="EY44" s="3136">
        <f t="shared" si="669"/>
        <v>0</v>
      </c>
      <c r="EZ44" s="3136">
        <f>SUM('ПОЛНАЯ СЕБЕСТОИМОСТЬ ВОДА 2019'!BT189)</f>
        <v>0</v>
      </c>
      <c r="FA44" s="3136">
        <f>SUM('ПОЛНАЯ СЕБЕСТОИМОСТЬ ВОДА 2019'!BU189)</f>
        <v>0</v>
      </c>
      <c r="FB44" s="3137">
        <v>335.58</v>
      </c>
      <c r="FC44" s="3137">
        <f t="shared" si="670"/>
        <v>335.52442695263034</v>
      </c>
      <c r="FD44" s="3137">
        <f>SUM(FB44/FB14*FD14)*0.61349693251</f>
        <v>5.5573047369627371E-2</v>
      </c>
      <c r="FE44" s="3277">
        <f t="shared" si="671"/>
        <v>136.00769416666668</v>
      </c>
      <c r="FF44" s="3277">
        <f t="shared" si="672"/>
        <v>135.96542373294346</v>
      </c>
      <c r="FG44" s="3277">
        <f t="shared" si="673"/>
        <v>4.2270433723214797E-2</v>
      </c>
      <c r="FH44" s="3136">
        <f>SUM('[19]ПОЛНАЯ СЕБЕСТОИМОСТЬ ВОДА 2018'!Z190)</f>
        <v>0</v>
      </c>
      <c r="FI44" s="3136">
        <f>SUM('ПОЛНАЯ СЕБЕСТОИМОСТЬ ВОДА 2019'!BW189)</f>
        <v>0</v>
      </c>
      <c r="FJ44" s="3136">
        <f>SUM('ПОЛНАЯ СЕБЕСТОИМОСТЬ ВОДА 2019'!BX189)</f>
        <v>0</v>
      </c>
      <c r="FK44" s="3137">
        <v>522.09</v>
      </c>
      <c r="FL44" s="3137">
        <f t="shared" si="674"/>
        <v>522.09</v>
      </c>
      <c r="FM44" s="3137">
        <f>SUM(FK44/FK14*FM14)*0.61349693251</f>
        <v>0</v>
      </c>
      <c r="FN44" s="3114">
        <f t="shared" si="591"/>
        <v>408.02308250000004</v>
      </c>
      <c r="FO44" s="3114">
        <f t="shared" si="592"/>
        <v>407.89627119883039</v>
      </c>
      <c r="FP44" s="3114">
        <f t="shared" si="593"/>
        <v>0.1268113011696444</v>
      </c>
      <c r="FQ44" s="3123">
        <f t="shared" si="594"/>
        <v>0</v>
      </c>
      <c r="FR44" s="3123">
        <f t="shared" si="595"/>
        <v>0</v>
      </c>
      <c r="FS44" s="3123">
        <f t="shared" si="596"/>
        <v>0</v>
      </c>
      <c r="FT44" s="3123">
        <f t="shared" si="675"/>
        <v>1670.87</v>
      </c>
      <c r="FU44" s="3123">
        <f t="shared" si="676"/>
        <v>1670.6820570072832</v>
      </c>
      <c r="FV44" s="3123">
        <f t="shared" si="677"/>
        <v>0.18794299271704032</v>
      </c>
      <c r="FW44" s="3115">
        <f t="shared" si="600"/>
        <v>-408.02308250000004</v>
      </c>
      <c r="FX44" s="3115">
        <f t="shared" si="601"/>
        <v>-407.89627119883039</v>
      </c>
      <c r="FY44" s="3115">
        <f t="shared" si="602"/>
        <v>-0.1268113011696444</v>
      </c>
      <c r="FZ44" s="3222">
        <f t="shared" si="603"/>
        <v>1632.0923300000002</v>
      </c>
      <c r="GA44" s="3222">
        <f t="shared" si="604"/>
        <v>1631.5850847953216</v>
      </c>
      <c r="GB44" s="3222">
        <f t="shared" si="605"/>
        <v>0.50724520467857759</v>
      </c>
      <c r="GC44" s="3230">
        <f t="shared" si="606"/>
        <v>5216.5600000000004</v>
      </c>
      <c r="GD44" s="3230">
        <f t="shared" si="607"/>
        <v>5216.5600000000004</v>
      </c>
      <c r="GE44" s="3230">
        <f t="shared" si="608"/>
        <v>0</v>
      </c>
      <c r="GF44" s="3230">
        <f t="shared" si="609"/>
        <v>5047.29</v>
      </c>
      <c r="GG44" s="3230">
        <f t="shared" si="610"/>
        <v>5046.28799532843</v>
      </c>
      <c r="GH44" s="3230">
        <f t="shared" si="611"/>
        <v>1.0020046715695148</v>
      </c>
      <c r="GI44" s="3231">
        <f t="shared" si="612"/>
        <v>3584.46767</v>
      </c>
      <c r="GJ44" s="3231">
        <f t="shared" si="613"/>
        <v>3584.9749152046788</v>
      </c>
      <c r="GK44" s="3231">
        <f t="shared" si="614"/>
        <v>-0.50724520467857759</v>
      </c>
      <c r="GL44" s="396"/>
    </row>
    <row r="45" spans="1:194" ht="18.75" x14ac:dyDescent="0.3">
      <c r="A45" s="3135" t="s">
        <v>8</v>
      </c>
      <c r="B45" s="3277">
        <f t="shared" si="615"/>
        <v>998.48602381301362</v>
      </c>
      <c r="C45" s="3277">
        <f>SUM('ПОЛНАЯ СЕБЕСТОИМОСТЬ ВОДА 2019'!C190/3)</f>
        <v>998.48602381301362</v>
      </c>
      <c r="D45" s="3277">
        <f>SUM('ПОЛНАЯ СЕБЕСТОИМОСТЬ ВОДА 2019'!D190/3)</f>
        <v>0</v>
      </c>
      <c r="E45" s="3136">
        <f t="shared" si="616"/>
        <v>799.17</v>
      </c>
      <c r="F45" s="3136">
        <f>SUM('ПОЛНАЯ СЕБЕСТОИМОСТЬ ВОДА 2019'!F190)</f>
        <v>799.17</v>
      </c>
      <c r="G45" s="3136">
        <f>SUM('ПОЛНАЯ СЕБЕСТОИМОСТЬ ВОДА 2019'!G190)</f>
        <v>0</v>
      </c>
      <c r="H45" s="3137">
        <v>687.34</v>
      </c>
      <c r="I45" s="3137">
        <f t="shared" si="617"/>
        <v>687.34</v>
      </c>
      <c r="J45" s="3137">
        <v>0</v>
      </c>
      <c r="K45" s="3277">
        <f t="shared" si="618"/>
        <v>998.48602381301362</v>
      </c>
      <c r="L45" s="3277">
        <f t="shared" si="619"/>
        <v>998.48602381301362</v>
      </c>
      <c r="M45" s="3277">
        <f t="shared" si="620"/>
        <v>0</v>
      </c>
      <c r="N45" s="3136">
        <f t="shared" si="621"/>
        <v>612.20000000000005</v>
      </c>
      <c r="O45" s="3136">
        <f>SUM('ПОЛНАЯ СЕБЕСТОИМОСТЬ ВОДА 2019'!I190)</f>
        <v>612.20000000000005</v>
      </c>
      <c r="P45" s="3136">
        <f>SUM('ПОЛНАЯ СЕБЕСТОИМОСТЬ ВОДА 2019'!J190)</f>
        <v>0</v>
      </c>
      <c r="Q45" s="3137">
        <v>274.33</v>
      </c>
      <c r="R45" s="3137">
        <f t="shared" si="622"/>
        <v>274.33</v>
      </c>
      <c r="S45" s="3137">
        <v>0</v>
      </c>
      <c r="T45" s="3277">
        <f t="shared" si="623"/>
        <v>998.48602381301362</v>
      </c>
      <c r="U45" s="3277">
        <f t="shared" si="624"/>
        <v>998.48602381301362</v>
      </c>
      <c r="V45" s="3277">
        <f t="shared" si="625"/>
        <v>0</v>
      </c>
      <c r="W45" s="3136">
        <f t="shared" si="626"/>
        <v>631.79999999999995</v>
      </c>
      <c r="X45" s="3136">
        <f>SUM('ПОЛНАЯ СЕБЕСТОИМОСТЬ ВОДА 2019'!L190)</f>
        <v>631.79999999999995</v>
      </c>
      <c r="Y45" s="3136">
        <f>SUM('ПОЛНАЯ СЕБЕСТОИМОСТЬ ВОДА 2019'!M190)</f>
        <v>0</v>
      </c>
      <c r="Z45" s="3137">
        <v>1799.45</v>
      </c>
      <c r="AA45" s="3137">
        <f t="shared" si="627"/>
        <v>1799.45</v>
      </c>
      <c r="AB45" s="3137">
        <v>0</v>
      </c>
      <c r="AC45" s="3114">
        <f t="shared" si="533"/>
        <v>2995.4580714390409</v>
      </c>
      <c r="AD45" s="3114">
        <f t="shared" si="534"/>
        <v>2995.4580714390409</v>
      </c>
      <c r="AE45" s="3114">
        <f t="shared" si="535"/>
        <v>0</v>
      </c>
      <c r="AF45" s="3123">
        <f t="shared" si="628"/>
        <v>2043.1699999999998</v>
      </c>
      <c r="AG45" s="3123">
        <f t="shared" si="629"/>
        <v>2043.1699999999998</v>
      </c>
      <c r="AH45" s="3123">
        <f t="shared" si="630"/>
        <v>0</v>
      </c>
      <c r="AI45" s="3123">
        <f t="shared" si="631"/>
        <v>2761.12</v>
      </c>
      <c r="AJ45" s="3123">
        <f t="shared" si="632"/>
        <v>2761.12</v>
      </c>
      <c r="AK45" s="3123">
        <f t="shared" si="633"/>
        <v>0</v>
      </c>
      <c r="AL45" s="3115">
        <f t="shared" si="634"/>
        <v>-952.288071439041</v>
      </c>
      <c r="AM45" s="3115">
        <f t="shared" si="635"/>
        <v>-952.288071439041</v>
      </c>
      <c r="AN45" s="3115">
        <f t="shared" si="636"/>
        <v>0</v>
      </c>
      <c r="AO45" s="3277">
        <f t="shared" si="637"/>
        <v>998.48602381301362</v>
      </c>
      <c r="AP45" s="3277">
        <f>SUM('ПОЛНАЯ СЕБЕСТОИМОСТЬ ВОДА 2019'!R190/3)</f>
        <v>998.48602381301362</v>
      </c>
      <c r="AQ45" s="3277">
        <f>SUM('ПОЛНАЯ СЕБЕСТОИМОСТЬ ВОДА 2019'!S190/3)</f>
        <v>0</v>
      </c>
      <c r="AR45" s="3277">
        <f t="shared" si="638"/>
        <v>0</v>
      </c>
      <c r="AS45" s="3277">
        <f>SUM('ПОЛНАЯ СЕБЕСТОИМОСТЬ ВОДА 2019'!U190)</f>
        <v>0</v>
      </c>
      <c r="AT45" s="3277">
        <f>SUM('ПОЛНАЯ СЕБЕСТОИМОСТЬ ВОДА 2019'!V190)</f>
        <v>0</v>
      </c>
      <c r="AU45" s="3464">
        <v>1406.47</v>
      </c>
      <c r="AV45" s="3464">
        <f t="shared" si="639"/>
        <v>1406.47</v>
      </c>
      <c r="AW45" s="3464">
        <v>0</v>
      </c>
      <c r="AX45" s="3277">
        <f t="shared" si="640"/>
        <v>998.48602381301362</v>
      </c>
      <c r="AY45" s="3277">
        <f t="shared" si="641"/>
        <v>998.48602381301362</v>
      </c>
      <c r="AZ45" s="3277">
        <f t="shared" si="642"/>
        <v>0</v>
      </c>
      <c r="BA45" s="3277">
        <f t="shared" si="643"/>
        <v>1547.87</v>
      </c>
      <c r="BB45" s="3277">
        <f>SUM('ПОЛНАЯ СЕБЕСТОИМОСТЬ ВОДА 2019'!X190)</f>
        <v>1547.87</v>
      </c>
      <c r="BC45" s="3277">
        <f>SUM('ПОЛНАЯ СЕБЕСТОИМОСТЬ ВОДА 2019'!Y190)</f>
        <v>0</v>
      </c>
      <c r="BD45" s="3137">
        <v>812.58</v>
      </c>
      <c r="BE45" s="3137">
        <f t="shared" si="644"/>
        <v>812.58</v>
      </c>
      <c r="BF45" s="3137">
        <v>0</v>
      </c>
      <c r="BG45" s="3277">
        <f t="shared" si="645"/>
        <v>998.48602381301362</v>
      </c>
      <c r="BH45" s="3277">
        <f t="shared" si="646"/>
        <v>998.48602381301362</v>
      </c>
      <c r="BI45" s="3277">
        <f t="shared" si="647"/>
        <v>0</v>
      </c>
      <c r="BJ45" s="3136">
        <f t="shared" si="648"/>
        <v>1709.56</v>
      </c>
      <c r="BK45" s="3136">
        <f>SUM('ПОЛНАЯ СЕБЕСТОИМОСТЬ ВОДА 2019'!AA190)</f>
        <v>1709.56</v>
      </c>
      <c r="BL45" s="3136">
        <f>SUM('ПОЛНАЯ СЕБЕСТОИМОСТЬ ВОДА 2019'!AB190)</f>
        <v>0</v>
      </c>
      <c r="BM45" s="3137">
        <v>758.6</v>
      </c>
      <c r="BN45" s="3137">
        <f t="shared" si="649"/>
        <v>758.6</v>
      </c>
      <c r="BO45" s="3137">
        <v>0</v>
      </c>
      <c r="BP45" s="3114">
        <f t="shared" si="545"/>
        <v>2995.4580714390409</v>
      </c>
      <c r="BQ45" s="3114">
        <f t="shared" si="546"/>
        <v>2995.4580714390409</v>
      </c>
      <c r="BR45" s="3114">
        <f t="shared" si="547"/>
        <v>0</v>
      </c>
      <c r="BS45" s="3123">
        <f t="shared" si="548"/>
        <v>3257.43</v>
      </c>
      <c r="BT45" s="3123">
        <f t="shared" si="549"/>
        <v>3257.43</v>
      </c>
      <c r="BU45" s="3123">
        <f t="shared" si="550"/>
        <v>0</v>
      </c>
      <c r="BV45" s="3123">
        <f t="shared" si="551"/>
        <v>2977.65</v>
      </c>
      <c r="BW45" s="3123">
        <f t="shared" si="552"/>
        <v>2977.65</v>
      </c>
      <c r="BX45" s="3123">
        <f t="shared" si="553"/>
        <v>0</v>
      </c>
      <c r="BY45" s="3115">
        <f t="shared" si="554"/>
        <v>261.97192856095899</v>
      </c>
      <c r="BZ45" s="3115">
        <f t="shared" si="555"/>
        <v>261.97192856095899</v>
      </c>
      <c r="CA45" s="3115">
        <f t="shared" si="556"/>
        <v>0</v>
      </c>
      <c r="CB45" s="3114">
        <f t="shared" si="557"/>
        <v>5990.9161428780817</v>
      </c>
      <c r="CC45" s="3114">
        <f t="shared" si="558"/>
        <v>5990.9161428780817</v>
      </c>
      <c r="CD45" s="3114">
        <f t="shared" si="559"/>
        <v>0</v>
      </c>
      <c r="CE45" s="3123">
        <f t="shared" si="560"/>
        <v>5300.5999999999995</v>
      </c>
      <c r="CF45" s="3123">
        <f t="shared" si="561"/>
        <v>5300.5999999999995</v>
      </c>
      <c r="CG45" s="3123">
        <f t="shared" si="562"/>
        <v>0</v>
      </c>
      <c r="CH45" s="3123">
        <f t="shared" si="563"/>
        <v>5738.77</v>
      </c>
      <c r="CI45" s="3123">
        <f t="shared" si="564"/>
        <v>5738.77</v>
      </c>
      <c r="CJ45" s="3123">
        <f t="shared" si="565"/>
        <v>0</v>
      </c>
      <c r="CK45" s="3115">
        <f t="shared" si="566"/>
        <v>-690.31614287808225</v>
      </c>
      <c r="CL45" s="3115">
        <f t="shared" si="567"/>
        <v>-690.31614287808225</v>
      </c>
      <c r="CM45" s="3115">
        <f t="shared" si="568"/>
        <v>0</v>
      </c>
      <c r="CN45" s="3277">
        <f t="shared" si="650"/>
        <v>998.48602381301362</v>
      </c>
      <c r="CO45" s="3277">
        <f>SUM('ПОЛНАЯ СЕБЕСТОИМОСТЬ ВОДА 2019'!AP190/3)</f>
        <v>998.48602381301362</v>
      </c>
      <c r="CP45" s="3277">
        <f>SUM('ПОЛНАЯ СЕБЕСТОИМОСТЬ ВОДА 2019'!AQ190/3)</f>
        <v>0</v>
      </c>
      <c r="CQ45" s="3136">
        <f t="shared" si="651"/>
        <v>524.02</v>
      </c>
      <c r="CR45" s="3136">
        <f>SUM('ПОЛНАЯ СЕБЕСТОИМОСТЬ ВОДА 2019'!AS190)</f>
        <v>524.02</v>
      </c>
      <c r="CS45" s="3136">
        <f>SUM('ПОЛНАЯ СЕБЕСТОИМОСТЬ ВОДА 2019'!AT190)</f>
        <v>0</v>
      </c>
      <c r="CT45" s="3137">
        <v>751.72</v>
      </c>
      <c r="CU45" s="3137">
        <f t="shared" si="652"/>
        <v>751.72</v>
      </c>
      <c r="CV45" s="3137">
        <v>0</v>
      </c>
      <c r="CW45" s="3277">
        <f t="shared" si="653"/>
        <v>998.48602381301362</v>
      </c>
      <c r="CX45" s="3277">
        <f t="shared" si="654"/>
        <v>998.48602381301362</v>
      </c>
      <c r="CY45" s="3277">
        <f t="shared" si="655"/>
        <v>0</v>
      </c>
      <c r="CZ45" s="3136">
        <f t="shared" si="656"/>
        <v>1546.61</v>
      </c>
      <c r="DA45" s="3136">
        <f>SUM('ПОЛНАЯ СЕБЕСТОИМОСТЬ ВОДА 2019'!AV190)</f>
        <v>1546.61</v>
      </c>
      <c r="DB45" s="3136">
        <f>SUM('ПОЛНАЯ СЕБЕСТОИМОСТЬ ВОДА 2019'!AW190)</f>
        <v>0</v>
      </c>
      <c r="DC45" s="3137">
        <v>1679.57</v>
      </c>
      <c r="DD45" s="3137">
        <f t="shared" si="657"/>
        <v>1679.57</v>
      </c>
      <c r="DE45" s="3137">
        <v>0</v>
      </c>
      <c r="DF45" s="3277">
        <f t="shared" si="658"/>
        <v>998.48602381301362</v>
      </c>
      <c r="DG45" s="3277">
        <f t="shared" si="659"/>
        <v>998.48602381301362</v>
      </c>
      <c r="DH45" s="3277">
        <f t="shared" si="660"/>
        <v>0</v>
      </c>
      <c r="DI45" s="3136">
        <f t="shared" si="661"/>
        <v>1930.83</v>
      </c>
      <c r="DJ45" s="3136">
        <f>SUM('ПОЛНАЯ СЕБЕСТОИМОСТЬ ВОДА 2019'!AY190)</f>
        <v>1930.83</v>
      </c>
      <c r="DK45" s="3136">
        <f>SUM('ПОЛНАЯ СЕБЕСТОИМОСТЬ ВОДА 2019'!AZ190)</f>
        <v>0</v>
      </c>
      <c r="DL45" s="3137">
        <v>1186.3399999999999</v>
      </c>
      <c r="DM45" s="3137">
        <f t="shared" si="662"/>
        <v>1186.3399999999999</v>
      </c>
      <c r="DN45" s="3137">
        <v>0</v>
      </c>
      <c r="DO45" s="3114">
        <f t="shared" si="569"/>
        <v>2995.4580714390409</v>
      </c>
      <c r="DP45" s="3114">
        <f t="shared" si="570"/>
        <v>2995.4580714390409</v>
      </c>
      <c r="DQ45" s="3114">
        <f t="shared" si="571"/>
        <v>0</v>
      </c>
      <c r="DR45" s="3123">
        <f t="shared" si="572"/>
        <v>4001.46</v>
      </c>
      <c r="DS45" s="3123">
        <f t="shared" si="573"/>
        <v>4001.46</v>
      </c>
      <c r="DT45" s="3123">
        <f t="shared" si="574"/>
        <v>0</v>
      </c>
      <c r="DU45" s="3123">
        <f t="shared" si="575"/>
        <v>3617.63</v>
      </c>
      <c r="DV45" s="3123">
        <f t="shared" si="576"/>
        <v>3617.63</v>
      </c>
      <c r="DW45" s="3123">
        <f t="shared" si="577"/>
        <v>0</v>
      </c>
      <c r="DX45" s="3115">
        <f t="shared" si="578"/>
        <v>1006.0019285609592</v>
      </c>
      <c r="DY45" s="3115">
        <f t="shared" si="579"/>
        <v>1006.0019285609592</v>
      </c>
      <c r="DZ45" s="3115">
        <f t="shared" si="580"/>
        <v>0</v>
      </c>
      <c r="EA45" s="3114">
        <f t="shared" si="581"/>
        <v>8986.3742143171221</v>
      </c>
      <c r="EB45" s="3114">
        <f t="shared" si="582"/>
        <v>8986.3742143171221</v>
      </c>
      <c r="EC45" s="3114">
        <f t="shared" si="583"/>
        <v>0</v>
      </c>
      <c r="ED45" s="3123">
        <f t="shared" si="584"/>
        <v>9302.06</v>
      </c>
      <c r="EE45" s="3123">
        <f t="shared" si="585"/>
        <v>9302.06</v>
      </c>
      <c r="EF45" s="3123">
        <f t="shared" si="586"/>
        <v>0</v>
      </c>
      <c r="EG45" s="3123">
        <f t="shared" si="587"/>
        <v>9356.4000000000015</v>
      </c>
      <c r="EH45" s="3123">
        <f t="shared" si="588"/>
        <v>9356.4000000000015</v>
      </c>
      <c r="EI45" s="3123">
        <f t="shared" si="589"/>
        <v>0</v>
      </c>
      <c r="EJ45" s="3115">
        <f t="shared" si="590"/>
        <v>315.68578568287739</v>
      </c>
      <c r="EK45" s="3115">
        <f t="shared" si="590"/>
        <v>315.68578568287739</v>
      </c>
      <c r="EL45" s="3115">
        <f t="shared" si="590"/>
        <v>0</v>
      </c>
      <c r="EM45" s="3277">
        <f t="shared" si="663"/>
        <v>998.48602381301362</v>
      </c>
      <c r="EN45" s="3277">
        <f>SUM('ПОЛНАЯ СЕБЕСТОИМОСТЬ ВОДА 2019'!BN190/3)</f>
        <v>998.48602381301362</v>
      </c>
      <c r="EO45" s="3277">
        <f>SUM('ПОЛНАЯ СЕБЕСТОИМОСТЬ ВОДА 2019'!BO190/3)</f>
        <v>0</v>
      </c>
      <c r="EP45" s="3136">
        <f t="shared" si="664"/>
        <v>0</v>
      </c>
      <c r="EQ45" s="3136">
        <f>SUM('ПОЛНАЯ СЕБЕСТОИМОСТЬ ВОДА 2019'!BQ190)</f>
        <v>0</v>
      </c>
      <c r="ER45" s="3136">
        <f>SUM('ПОЛНАЯ СЕБЕСТОИМОСТЬ ВОДА 2019'!BR190)</f>
        <v>0</v>
      </c>
      <c r="ES45" s="3137">
        <v>790.61</v>
      </c>
      <c r="ET45" s="3137">
        <f t="shared" si="665"/>
        <v>790.61</v>
      </c>
      <c r="EU45" s="3137">
        <v>0</v>
      </c>
      <c r="EV45" s="3277">
        <f t="shared" si="666"/>
        <v>998.48602381301362</v>
      </c>
      <c r="EW45" s="3277">
        <f t="shared" si="667"/>
        <v>998.48602381301362</v>
      </c>
      <c r="EX45" s="3277">
        <f t="shared" si="668"/>
        <v>0</v>
      </c>
      <c r="EY45" s="3136">
        <f t="shared" si="669"/>
        <v>0</v>
      </c>
      <c r="EZ45" s="3136">
        <f>SUM('ПОЛНАЯ СЕБЕСТОИМОСТЬ ВОДА 2019'!BT190)</f>
        <v>0</v>
      </c>
      <c r="FA45" s="3136">
        <f>SUM('ПОЛНАЯ СЕБЕСТОИМОСТЬ ВОДА 2019'!BU190)</f>
        <v>0</v>
      </c>
      <c r="FB45" s="3137">
        <v>1164.3900000000001</v>
      </c>
      <c r="FC45" s="3137">
        <f t="shared" si="670"/>
        <v>1164.3900000000001</v>
      </c>
      <c r="FD45" s="3137">
        <v>0</v>
      </c>
      <c r="FE45" s="3277">
        <f t="shared" si="671"/>
        <v>998.48602381301362</v>
      </c>
      <c r="FF45" s="3277">
        <f t="shared" si="672"/>
        <v>998.48602381301362</v>
      </c>
      <c r="FG45" s="3277">
        <f t="shared" si="673"/>
        <v>0</v>
      </c>
      <c r="FH45" s="3136">
        <f>SUM('[19]ПОЛНАЯ СЕБЕСТОИМОСТЬ ВОДА 2018'!Z191)</f>
        <v>0</v>
      </c>
      <c r="FI45" s="3136">
        <f>SUM('ПОЛНАЯ СЕБЕСТОИМОСТЬ ВОДА 2019'!BW190)</f>
        <v>0</v>
      </c>
      <c r="FJ45" s="3136">
        <f>SUM('ПОЛНАЯ СЕБЕСТОИМОСТЬ ВОДА 2019'!BX190)</f>
        <v>0</v>
      </c>
      <c r="FK45" s="3137">
        <v>1588.54</v>
      </c>
      <c r="FL45" s="3137">
        <f t="shared" si="674"/>
        <v>1588.54</v>
      </c>
      <c r="FM45" s="3137">
        <v>0</v>
      </c>
      <c r="FN45" s="3114">
        <f t="shared" si="591"/>
        <v>2995.4580714390409</v>
      </c>
      <c r="FO45" s="3114">
        <f t="shared" si="592"/>
        <v>2995.4580714390409</v>
      </c>
      <c r="FP45" s="3114">
        <f t="shared" si="593"/>
        <v>0</v>
      </c>
      <c r="FQ45" s="3123">
        <f t="shared" si="594"/>
        <v>0</v>
      </c>
      <c r="FR45" s="3123">
        <f t="shared" si="595"/>
        <v>0</v>
      </c>
      <c r="FS45" s="3123">
        <f t="shared" si="596"/>
        <v>0</v>
      </c>
      <c r="FT45" s="3123">
        <f t="shared" si="675"/>
        <v>3543.54</v>
      </c>
      <c r="FU45" s="3123">
        <f t="shared" si="676"/>
        <v>3543.54</v>
      </c>
      <c r="FV45" s="3123">
        <f t="shared" si="677"/>
        <v>0</v>
      </c>
      <c r="FW45" s="3115">
        <f t="shared" si="600"/>
        <v>-2995.4580714390409</v>
      </c>
      <c r="FX45" s="3115">
        <f t="shared" si="601"/>
        <v>-2995.4580714390409</v>
      </c>
      <c r="FY45" s="3115">
        <f t="shared" si="602"/>
        <v>0</v>
      </c>
      <c r="FZ45" s="3222">
        <f t="shared" si="603"/>
        <v>11981.832285756163</v>
      </c>
      <c r="GA45" s="3222">
        <f t="shared" si="604"/>
        <v>11981.832285756163</v>
      </c>
      <c r="GB45" s="3222">
        <f t="shared" si="605"/>
        <v>0</v>
      </c>
      <c r="GC45" s="3230">
        <f t="shared" si="606"/>
        <v>9302.06</v>
      </c>
      <c r="GD45" s="3230">
        <f t="shared" si="607"/>
        <v>9302.06</v>
      </c>
      <c r="GE45" s="3230">
        <f t="shared" si="608"/>
        <v>0</v>
      </c>
      <c r="GF45" s="3230">
        <f t="shared" si="609"/>
        <v>12899.940000000002</v>
      </c>
      <c r="GG45" s="3230">
        <f t="shared" si="610"/>
        <v>12899.940000000002</v>
      </c>
      <c r="GH45" s="3230">
        <f t="shared" si="611"/>
        <v>0</v>
      </c>
      <c r="GI45" s="3231">
        <f t="shared" si="612"/>
        <v>-2679.7722857561639</v>
      </c>
      <c r="GJ45" s="3231">
        <f t="shared" si="613"/>
        <v>-2679.7722857561639</v>
      </c>
      <c r="GK45" s="3231">
        <f t="shared" si="614"/>
        <v>0</v>
      </c>
      <c r="GL45" s="396"/>
    </row>
    <row r="46" spans="1:194" ht="18.75" x14ac:dyDescent="0.3">
      <c r="A46" s="3135" t="s">
        <v>4</v>
      </c>
      <c r="B46" s="3277">
        <f t="shared" si="615"/>
        <v>4528.1175081477622</v>
      </c>
      <c r="C46" s="3277">
        <f>SUM('ПОЛНАЯ СЕБЕСТОИМОСТЬ ВОДА 2019'!C191/3)</f>
        <v>4527.0643926490766</v>
      </c>
      <c r="D46" s="3277">
        <f>SUM('ПОЛНАЯ СЕБЕСТОИМОСТЬ ВОДА 2019'!D191/3)</f>
        <v>1.0531154986856566</v>
      </c>
      <c r="E46" s="3136">
        <f t="shared" si="616"/>
        <v>3553.3649999999993</v>
      </c>
      <c r="F46" s="3136">
        <f>SUM('ПОЛНАЯ СЕБЕСТОИМОСТЬ ВОДА 2019'!F191)</f>
        <v>3552.1099999999992</v>
      </c>
      <c r="G46" s="3136">
        <f>SUM('ПОЛНАЯ СЕБЕСТОИМОСТЬ ВОДА 2019'!G191)</f>
        <v>1.2549999999999999</v>
      </c>
      <c r="H46" s="3137">
        <v>3441.28</v>
      </c>
      <c r="I46" s="3137">
        <f t="shared" si="617"/>
        <v>3440.4802092501668</v>
      </c>
      <c r="J46" s="3137">
        <f>SUM(H46/H14*J14)*0.53011250827</f>
        <v>0.79979074983344511</v>
      </c>
      <c r="K46" s="3277">
        <f t="shared" si="618"/>
        <v>4528.1175081477622</v>
      </c>
      <c r="L46" s="3277">
        <f t="shared" si="619"/>
        <v>4527.0643926490766</v>
      </c>
      <c r="M46" s="3277">
        <f t="shared" si="620"/>
        <v>1.0531154986856566</v>
      </c>
      <c r="N46" s="3136">
        <f t="shared" si="621"/>
        <v>3212.86</v>
      </c>
      <c r="O46" s="3136">
        <f>SUM('ПОЛНАЯ СЕБЕСТОИМОСТЬ ВОДА 2019'!I191)</f>
        <v>3211.86</v>
      </c>
      <c r="P46" s="3136">
        <f>SUM('ПОЛНАЯ СЕБЕСТОИМОСТЬ ВОДА 2019'!J191)</f>
        <v>1</v>
      </c>
      <c r="Q46" s="3137">
        <v>3129.93</v>
      </c>
      <c r="R46" s="3137">
        <f t="shared" si="622"/>
        <v>3128.9835896703053</v>
      </c>
      <c r="S46" s="3137">
        <f>SUM(Q46/Q14*S14)*0.53011250827</f>
        <v>0.94641032969456462</v>
      </c>
      <c r="T46" s="3277">
        <f t="shared" si="623"/>
        <v>4528.1175081477622</v>
      </c>
      <c r="U46" s="3277">
        <f t="shared" si="624"/>
        <v>4527.0643926490766</v>
      </c>
      <c r="V46" s="3277">
        <f t="shared" si="625"/>
        <v>1.0531154986856566</v>
      </c>
      <c r="W46" s="3136">
        <f t="shared" si="626"/>
        <v>3722.2200000000003</v>
      </c>
      <c r="X46" s="3136">
        <f>SUM('ПОЛНАЯ СЕБЕСТОИМОСТЬ ВОДА 2019'!L191)</f>
        <v>3721.09</v>
      </c>
      <c r="Y46" s="3136">
        <f>SUM('ПОЛНАЯ СЕБЕСТОИМОСТЬ ВОДА 2019'!M191)</f>
        <v>1.1299999999999999</v>
      </c>
      <c r="Z46" s="3137">
        <v>3195.81</v>
      </c>
      <c r="AA46" s="3137">
        <f t="shared" si="627"/>
        <v>3195.1263741253397</v>
      </c>
      <c r="AB46" s="3137">
        <f>SUM(Z46/Z14*AB14)*0.53011250827</f>
        <v>0.68362587466044056</v>
      </c>
      <c r="AC46" s="3114">
        <f t="shared" si="533"/>
        <v>13584.352524443286</v>
      </c>
      <c r="AD46" s="3114">
        <f t="shared" si="534"/>
        <v>13581.193177947229</v>
      </c>
      <c r="AE46" s="3114">
        <f t="shared" si="535"/>
        <v>3.1593464960569699</v>
      </c>
      <c r="AF46" s="3123">
        <f t="shared" si="628"/>
        <v>10488.445</v>
      </c>
      <c r="AG46" s="3123">
        <f t="shared" si="629"/>
        <v>10485.06</v>
      </c>
      <c r="AH46" s="3123">
        <f t="shared" si="630"/>
        <v>3.3849999999999998</v>
      </c>
      <c r="AI46" s="3123">
        <f t="shared" si="631"/>
        <v>9767.02</v>
      </c>
      <c r="AJ46" s="3123">
        <f t="shared" si="632"/>
        <v>9764.5901730458118</v>
      </c>
      <c r="AK46" s="3123">
        <f t="shared" si="633"/>
        <v>2.4298269541884503</v>
      </c>
      <c r="AL46" s="3115">
        <f t="shared" si="634"/>
        <v>-3095.9075244432861</v>
      </c>
      <c r="AM46" s="3115">
        <f t="shared" si="635"/>
        <v>-3096.1331779472293</v>
      </c>
      <c r="AN46" s="3115">
        <f t="shared" si="636"/>
        <v>0.22565350394302985</v>
      </c>
      <c r="AO46" s="3277">
        <f t="shared" si="637"/>
        <v>4528.1175081477622</v>
      </c>
      <c r="AP46" s="3277">
        <f>SUM('ПОЛНАЯ СЕБЕСТОИМОСТЬ ВОДА 2019'!R191/3)</f>
        <v>4527.0643926490766</v>
      </c>
      <c r="AQ46" s="3277">
        <f>SUM('ПОЛНАЯ СЕБЕСТОИМОСТЬ ВОДА 2019'!S191/3)</f>
        <v>1.0531154986856566</v>
      </c>
      <c r="AR46" s="3277">
        <f t="shared" si="638"/>
        <v>3764.84</v>
      </c>
      <c r="AS46" s="3277">
        <f>SUM('ПОЛНАЯ СЕБЕСТОИМОСТЬ ВОДА 2019'!U191)</f>
        <v>3763.83</v>
      </c>
      <c r="AT46" s="3277">
        <f>SUM('ПОЛНАЯ СЕБЕСТОИМОСТЬ ВОДА 2019'!V191)</f>
        <v>1.01</v>
      </c>
      <c r="AU46" s="3464">
        <v>3433.36</v>
      </c>
      <c r="AV46" s="3464">
        <f t="shared" si="639"/>
        <v>3431.5428857292964</v>
      </c>
      <c r="AW46" s="3464">
        <f>SUM(AU46/AU14*AW14)*0.53011250827</f>
        <v>1.8171142707039933</v>
      </c>
      <c r="AX46" s="3277">
        <f t="shared" si="640"/>
        <v>4528.1175081477622</v>
      </c>
      <c r="AY46" s="3277">
        <f t="shared" si="641"/>
        <v>4527.0643926490766</v>
      </c>
      <c r="AZ46" s="3277">
        <f t="shared" si="642"/>
        <v>1.0531154986856566</v>
      </c>
      <c r="BA46" s="3277">
        <f t="shared" si="643"/>
        <v>4024.48</v>
      </c>
      <c r="BB46" s="3277">
        <f>SUM('ПОЛНАЯ СЕБЕСТОИМОСТЬ ВОДА 2019'!X191)</f>
        <v>4023.06</v>
      </c>
      <c r="BC46" s="3277">
        <f>SUM('ПОЛНАЯ СЕБЕСТОИМОСТЬ ВОДА 2019'!Y191)</f>
        <v>1.42</v>
      </c>
      <c r="BD46" s="3137">
        <v>3677.7</v>
      </c>
      <c r="BE46" s="3137">
        <f t="shared" si="644"/>
        <v>3677.0609771635695</v>
      </c>
      <c r="BF46" s="3137">
        <f>SUM(BD46/BD14*BF14)*0.53011250827</f>
        <v>0.63902283643009572</v>
      </c>
      <c r="BG46" s="3277">
        <f t="shared" si="645"/>
        <v>4528.1175081477622</v>
      </c>
      <c r="BH46" s="3277">
        <f t="shared" si="646"/>
        <v>4527.0643926490766</v>
      </c>
      <c r="BI46" s="3277">
        <f t="shared" si="647"/>
        <v>1.0531154986856566</v>
      </c>
      <c r="BJ46" s="3136">
        <f t="shared" si="648"/>
        <v>3785.5200000000004</v>
      </c>
      <c r="BK46" s="3136">
        <f>SUM('ПОЛНАЯ СЕБЕСТОИМОСТЬ ВОДА 2019'!AA191)</f>
        <v>3783.76</v>
      </c>
      <c r="BL46" s="3136">
        <f>SUM('ПОЛНАЯ СЕБЕСТОИМОСТЬ ВОДА 2019'!AB191)</f>
        <v>1.76</v>
      </c>
      <c r="BM46" s="3137">
        <v>3920.59</v>
      </c>
      <c r="BN46" s="3137">
        <f t="shared" si="649"/>
        <v>3920.0144204508224</v>
      </c>
      <c r="BO46" s="3137">
        <f>SUM(BM46/BM14*BO14)*0.53011250827</f>
        <v>0.57557954917793441</v>
      </c>
      <c r="BP46" s="3114">
        <f t="shared" si="545"/>
        <v>13584.352524443286</v>
      </c>
      <c r="BQ46" s="3114">
        <f t="shared" si="546"/>
        <v>13581.193177947229</v>
      </c>
      <c r="BR46" s="3114">
        <f t="shared" si="547"/>
        <v>3.1593464960569699</v>
      </c>
      <c r="BS46" s="3123">
        <f t="shared" si="548"/>
        <v>11574.84</v>
      </c>
      <c r="BT46" s="3123">
        <f t="shared" si="549"/>
        <v>11570.65</v>
      </c>
      <c r="BU46" s="3123">
        <f t="shared" si="550"/>
        <v>4.1899999999999995</v>
      </c>
      <c r="BV46" s="3123">
        <f t="shared" si="551"/>
        <v>11031.65</v>
      </c>
      <c r="BW46" s="3123">
        <f t="shared" si="552"/>
        <v>11028.618283343687</v>
      </c>
      <c r="BX46" s="3123">
        <f t="shared" si="553"/>
        <v>3.0317166563120237</v>
      </c>
      <c r="BY46" s="3115">
        <f t="shared" si="554"/>
        <v>-2009.5125244432857</v>
      </c>
      <c r="BZ46" s="3115">
        <f t="shared" si="555"/>
        <v>-2010.5431779472292</v>
      </c>
      <c r="CA46" s="3115">
        <f t="shared" si="556"/>
        <v>1.0306535039430296</v>
      </c>
      <c r="CB46" s="3114">
        <f t="shared" si="557"/>
        <v>27168.705048886572</v>
      </c>
      <c r="CC46" s="3114">
        <f t="shared" si="558"/>
        <v>27162.386355894458</v>
      </c>
      <c r="CD46" s="3114">
        <f t="shared" si="559"/>
        <v>6.3186929921139399</v>
      </c>
      <c r="CE46" s="3123">
        <f t="shared" si="560"/>
        <v>22063.285</v>
      </c>
      <c r="CF46" s="3123">
        <f t="shared" si="561"/>
        <v>22055.71</v>
      </c>
      <c r="CG46" s="3123">
        <f t="shared" si="562"/>
        <v>7.5749999999999993</v>
      </c>
      <c r="CH46" s="3123">
        <f t="shared" si="563"/>
        <v>20798.669999999998</v>
      </c>
      <c r="CI46" s="3123">
        <f t="shared" si="564"/>
        <v>20793.208456389497</v>
      </c>
      <c r="CJ46" s="3123">
        <f t="shared" si="565"/>
        <v>5.461543610500474</v>
      </c>
      <c r="CK46" s="3115">
        <f t="shared" si="566"/>
        <v>-5105.4200488865717</v>
      </c>
      <c r="CL46" s="3115">
        <f t="shared" si="567"/>
        <v>-5106.6763558944585</v>
      </c>
      <c r="CM46" s="3115">
        <f t="shared" si="568"/>
        <v>1.2563070078860594</v>
      </c>
      <c r="CN46" s="3277">
        <f t="shared" si="650"/>
        <v>4528.1175081477622</v>
      </c>
      <c r="CO46" s="3277">
        <f>SUM('ПОЛНАЯ СЕБЕСТОИМОСТЬ ВОДА 2019'!AP191/3)</f>
        <v>4527.0643926490766</v>
      </c>
      <c r="CP46" s="3277">
        <f>SUM('ПОЛНАЯ СЕБЕСТОИМОСТЬ ВОДА 2019'!AQ191/3)</f>
        <v>1.0531154986856566</v>
      </c>
      <c r="CQ46" s="3136">
        <f t="shared" si="651"/>
        <v>4119.7039999999997</v>
      </c>
      <c r="CR46" s="3136">
        <f>SUM('ПОЛНАЯ СЕБЕСТОИМОСТЬ ВОДА 2019'!AS191)</f>
        <v>4118.5499999999993</v>
      </c>
      <c r="CS46" s="3136">
        <f>SUM('ПОЛНАЯ СЕБЕСТОИМОСТЬ ВОДА 2019'!AT191)</f>
        <v>1.1539999999999999</v>
      </c>
      <c r="CT46" s="3137">
        <v>3775.28</v>
      </c>
      <c r="CU46" s="3137">
        <f t="shared" si="652"/>
        <v>3774.7869591732406</v>
      </c>
      <c r="CV46" s="3137">
        <f>SUM(CT46/CT14*CV14)*0.53011250827</f>
        <v>0.49304082675972977</v>
      </c>
      <c r="CW46" s="3277">
        <f t="shared" si="653"/>
        <v>4528.1175081477622</v>
      </c>
      <c r="CX46" s="3277">
        <f t="shared" si="654"/>
        <v>4527.0643926490766</v>
      </c>
      <c r="CY46" s="3277">
        <f t="shared" si="655"/>
        <v>1.0531154986856566</v>
      </c>
      <c r="CZ46" s="3136">
        <f t="shared" si="656"/>
        <v>4005.3539999999998</v>
      </c>
      <c r="DA46" s="3136">
        <f>SUM('ПОЛНАЯ СЕБЕСТОИМОСТЬ ВОДА 2019'!AV191)</f>
        <v>4004.35</v>
      </c>
      <c r="DB46" s="3136">
        <f>SUM('ПОЛНАЯ СЕБЕСТОИМОСТЬ ВОДА 2019'!AW191)</f>
        <v>1.004</v>
      </c>
      <c r="DC46" s="3137">
        <v>3996.37</v>
      </c>
      <c r="DD46" s="3137">
        <f t="shared" si="657"/>
        <v>3995.8686585506175</v>
      </c>
      <c r="DE46" s="3137">
        <f>SUM(DC46/DC14*DE14)*0.53011250827</f>
        <v>0.50134144938217917</v>
      </c>
      <c r="DF46" s="3277">
        <f t="shared" si="658"/>
        <v>4528.1175081477622</v>
      </c>
      <c r="DG46" s="3277">
        <f t="shared" si="659"/>
        <v>4527.0643926490766</v>
      </c>
      <c r="DH46" s="3277">
        <f t="shared" si="660"/>
        <v>1.0531154986856566</v>
      </c>
      <c r="DI46" s="3136">
        <f t="shared" si="661"/>
        <v>3815.69</v>
      </c>
      <c r="DJ46" s="3136">
        <f>SUM('ПОЛНАЯ СЕБЕСТОИМОСТЬ ВОДА 2019'!AY191)</f>
        <v>3813.9</v>
      </c>
      <c r="DK46" s="3136">
        <f>SUM('ПОЛНАЯ СЕБЕСТОИМОСТЬ ВОДА 2019'!AZ191)</f>
        <v>1.79</v>
      </c>
      <c r="DL46" s="3137">
        <v>3479.48</v>
      </c>
      <c r="DM46" s="3137">
        <f t="shared" si="662"/>
        <v>3478.9905461572735</v>
      </c>
      <c r="DN46" s="3137">
        <f>SUM(DL46/DL14*DN14)*0.53011250827</f>
        <v>0.48945384272661513</v>
      </c>
      <c r="DO46" s="3114">
        <f t="shared" si="569"/>
        <v>13584.352524443286</v>
      </c>
      <c r="DP46" s="3114">
        <f t="shared" si="570"/>
        <v>13581.193177947229</v>
      </c>
      <c r="DQ46" s="3114">
        <f t="shared" si="571"/>
        <v>3.1593464960569699</v>
      </c>
      <c r="DR46" s="3123">
        <f t="shared" si="572"/>
        <v>11940.748</v>
      </c>
      <c r="DS46" s="3123">
        <f t="shared" si="573"/>
        <v>11936.8</v>
      </c>
      <c r="DT46" s="3123">
        <f t="shared" si="574"/>
        <v>3.948</v>
      </c>
      <c r="DU46" s="3123">
        <f t="shared" si="575"/>
        <v>11251.13</v>
      </c>
      <c r="DV46" s="3123">
        <f t="shared" si="576"/>
        <v>11249.646163881131</v>
      </c>
      <c r="DW46" s="3123">
        <f t="shared" si="577"/>
        <v>1.4838361188685241</v>
      </c>
      <c r="DX46" s="3115">
        <f t="shared" si="578"/>
        <v>-1643.6045244432862</v>
      </c>
      <c r="DY46" s="3115">
        <f t="shared" si="579"/>
        <v>-1644.3931779472296</v>
      </c>
      <c r="DZ46" s="3115">
        <f t="shared" si="580"/>
        <v>0.78865350394303002</v>
      </c>
      <c r="EA46" s="3114">
        <f t="shared" si="581"/>
        <v>40753.057573329861</v>
      </c>
      <c r="EB46" s="3114">
        <f t="shared" si="582"/>
        <v>40743.579533841686</v>
      </c>
      <c r="EC46" s="3114">
        <f t="shared" si="583"/>
        <v>9.4780394881709107</v>
      </c>
      <c r="ED46" s="3123">
        <f t="shared" si="584"/>
        <v>34004.032999999996</v>
      </c>
      <c r="EE46" s="3123">
        <f t="shared" si="585"/>
        <v>33992.509999999995</v>
      </c>
      <c r="EF46" s="3123">
        <f t="shared" si="586"/>
        <v>11.523</v>
      </c>
      <c r="EG46" s="3123">
        <f t="shared" si="587"/>
        <v>32049.799999999996</v>
      </c>
      <c r="EH46" s="3123">
        <f t="shared" si="588"/>
        <v>32042.854620270627</v>
      </c>
      <c r="EI46" s="3123">
        <f t="shared" si="589"/>
        <v>6.9453797293689981</v>
      </c>
      <c r="EJ46" s="3115">
        <f t="shared" si="590"/>
        <v>-6749.0245733298652</v>
      </c>
      <c r="EK46" s="3115">
        <f t="shared" si="590"/>
        <v>-6751.0695338416917</v>
      </c>
      <c r="EL46" s="3115">
        <f t="shared" si="590"/>
        <v>2.044960511829089</v>
      </c>
      <c r="EM46" s="3277">
        <f t="shared" si="663"/>
        <v>4528.1175081477622</v>
      </c>
      <c r="EN46" s="3277">
        <f>SUM('ПОЛНАЯ СЕБЕСТОИМОСТЬ ВОДА 2019'!BN191/3)</f>
        <v>4527.0643926490766</v>
      </c>
      <c r="EO46" s="3277">
        <f>SUM('ПОЛНАЯ СЕБЕСТОИМОСТЬ ВОДА 2019'!BO191/3)</f>
        <v>1.0531154986856566</v>
      </c>
      <c r="EP46" s="3136">
        <f t="shared" si="664"/>
        <v>0</v>
      </c>
      <c r="EQ46" s="3136">
        <f>SUM('ПОЛНАЯ СЕБЕСТОИМОСТЬ ВОДА 2019'!BQ191)</f>
        <v>0</v>
      </c>
      <c r="ER46" s="3136">
        <f>SUM('ПОЛНАЯ СЕБЕСТОИМОСТЬ ВОДА 2019'!BR191)</f>
        <v>0</v>
      </c>
      <c r="ES46" s="3137">
        <v>3780.12</v>
      </c>
      <c r="ET46" s="3137">
        <f t="shared" si="665"/>
        <v>3779.5883164025095</v>
      </c>
      <c r="EU46" s="3137">
        <f>SUM(ES46/ES14*EU14)*0.53011250827</f>
        <v>0.53168359749043959</v>
      </c>
      <c r="EV46" s="3277">
        <f t="shared" si="666"/>
        <v>4528.1175081477622</v>
      </c>
      <c r="EW46" s="3277">
        <f t="shared" si="667"/>
        <v>4527.0643926490766</v>
      </c>
      <c r="EX46" s="3277">
        <f t="shared" si="668"/>
        <v>1.0531154986856566</v>
      </c>
      <c r="EY46" s="3136">
        <f t="shared" si="669"/>
        <v>0</v>
      </c>
      <c r="EZ46" s="3136">
        <f>SUM('ПОЛНАЯ СЕБЕСТОИМОСТЬ ВОДА 2019'!BT191)</f>
        <v>0</v>
      </c>
      <c r="FA46" s="3136">
        <f>SUM('ПОЛНАЯ СЕБЕСТОИМОСТЬ ВОДА 2019'!BU191)</f>
        <v>0</v>
      </c>
      <c r="FB46" s="3137">
        <v>3710.99</v>
      </c>
      <c r="FC46" s="3137">
        <f t="shared" si="670"/>
        <v>3710.4589766934396</v>
      </c>
      <c r="FD46" s="3137">
        <f>SUM(FB46/FB14*FD14)*0.53011250827</f>
        <v>0.53102330656001284</v>
      </c>
      <c r="FE46" s="3277">
        <f t="shared" si="671"/>
        <v>4528.1175081477622</v>
      </c>
      <c r="FF46" s="3277">
        <f t="shared" si="672"/>
        <v>4527.0643926490766</v>
      </c>
      <c r="FG46" s="3277">
        <f t="shared" si="673"/>
        <v>1.0531154986856566</v>
      </c>
      <c r="FH46" s="3136">
        <f>SUM('[19]ПОЛНАЯ СЕБЕСТОИМОСТЬ ВОДА 2018'!Z192)</f>
        <v>0</v>
      </c>
      <c r="FI46" s="3136">
        <f>SUM('ПОЛНАЯ СЕБЕСТОИМОСТЬ ВОДА 2019'!BW191)</f>
        <v>0</v>
      </c>
      <c r="FJ46" s="3136">
        <f>SUM('ПОЛНАЯ СЕБЕСТОИМОСТЬ ВОДА 2019'!BX191)</f>
        <v>0</v>
      </c>
      <c r="FK46" s="3137">
        <v>3652.04</v>
      </c>
      <c r="FL46" s="3137">
        <f t="shared" si="674"/>
        <v>3652.04</v>
      </c>
      <c r="FM46" s="3137">
        <f>SUM(FK46/FK14*FM14)*0.53011250827</f>
        <v>0</v>
      </c>
      <c r="FN46" s="3114">
        <f t="shared" si="591"/>
        <v>13584.352524443286</v>
      </c>
      <c r="FO46" s="3114">
        <f t="shared" si="592"/>
        <v>13581.193177947229</v>
      </c>
      <c r="FP46" s="3114">
        <f t="shared" si="593"/>
        <v>3.1593464960569699</v>
      </c>
      <c r="FQ46" s="3123">
        <f t="shared" si="594"/>
        <v>0</v>
      </c>
      <c r="FR46" s="3123">
        <f t="shared" si="595"/>
        <v>0</v>
      </c>
      <c r="FS46" s="3123">
        <f t="shared" si="596"/>
        <v>0</v>
      </c>
      <c r="FT46" s="3123">
        <f t="shared" si="675"/>
        <v>11143.15</v>
      </c>
      <c r="FU46" s="3123">
        <f t="shared" si="676"/>
        <v>11142.087293095949</v>
      </c>
      <c r="FV46" s="3123">
        <f t="shared" si="677"/>
        <v>1.0627069040504524</v>
      </c>
      <c r="FW46" s="3115">
        <f t="shared" si="600"/>
        <v>-13584.352524443286</v>
      </c>
      <c r="FX46" s="3115">
        <f t="shared" si="601"/>
        <v>-13581.193177947229</v>
      </c>
      <c r="FY46" s="3115">
        <f t="shared" si="602"/>
        <v>-3.1593464960569699</v>
      </c>
      <c r="FZ46" s="3222">
        <f t="shared" si="603"/>
        <v>54337.410097773143</v>
      </c>
      <c r="GA46" s="3222">
        <f t="shared" si="604"/>
        <v>54324.772711788915</v>
      </c>
      <c r="GB46" s="3222">
        <f t="shared" si="605"/>
        <v>12.63738598422788</v>
      </c>
      <c r="GC46" s="3230">
        <f t="shared" si="606"/>
        <v>34004.032999999996</v>
      </c>
      <c r="GD46" s="3230">
        <f t="shared" si="607"/>
        <v>33992.509999999995</v>
      </c>
      <c r="GE46" s="3230">
        <f t="shared" si="608"/>
        <v>11.523</v>
      </c>
      <c r="GF46" s="3230">
        <f t="shared" si="609"/>
        <v>43192.95</v>
      </c>
      <c r="GG46" s="3230">
        <f t="shared" si="610"/>
        <v>43184.94191336658</v>
      </c>
      <c r="GH46" s="3230">
        <f t="shared" si="611"/>
        <v>8.0080866334194507</v>
      </c>
      <c r="GI46" s="3231">
        <f t="shared" si="612"/>
        <v>-20333.377097773147</v>
      </c>
      <c r="GJ46" s="3231">
        <f t="shared" si="613"/>
        <v>-20332.262711788921</v>
      </c>
      <c r="GK46" s="3231">
        <f t="shared" si="614"/>
        <v>-1.11438598422788</v>
      </c>
      <c r="GL46" s="396"/>
    </row>
    <row r="47" spans="1:194" ht="18.75" x14ac:dyDescent="0.3">
      <c r="A47" s="3135" t="s">
        <v>5</v>
      </c>
      <c r="B47" s="3277">
        <f t="shared" si="615"/>
        <v>1356.2409809111523</v>
      </c>
      <c r="C47" s="3277">
        <f>SUM('ПОЛНАЯ СЕБЕСТОИМОСТЬ ВОДА 2019'!C192/3)</f>
        <v>1355.924321641367</v>
      </c>
      <c r="D47" s="3277">
        <f>SUM('ПОЛНАЯ СЕБЕСТОИМОСТЬ ВОДА 2019'!D192/3)</f>
        <v>0.31665926978521602</v>
      </c>
      <c r="E47" s="3136">
        <f t="shared" si="616"/>
        <v>1073.5989999999999</v>
      </c>
      <c r="F47" s="3136">
        <f>SUM('ПОЛНАЯ СЕБЕСТОИМОСТЬ ВОДА 2019'!F192)</f>
        <v>1073.22</v>
      </c>
      <c r="G47" s="3136">
        <f>SUM('ПОЛНАЯ СЕБЕСТОИМОСТЬ ВОДА 2019'!G192)</f>
        <v>0.379</v>
      </c>
      <c r="H47" s="3137">
        <v>1039.07</v>
      </c>
      <c r="I47" s="3137">
        <f t="shared" si="617"/>
        <v>1038.8272414405499</v>
      </c>
      <c r="J47" s="3137">
        <f>SUM(H47/H14*J14)*0.53289473684</f>
        <v>0.24275855944999666</v>
      </c>
      <c r="K47" s="3277">
        <f t="shared" si="618"/>
        <v>1356.2409809111523</v>
      </c>
      <c r="L47" s="3277">
        <f t="shared" si="619"/>
        <v>1355.924321641367</v>
      </c>
      <c r="M47" s="3277">
        <f t="shared" si="620"/>
        <v>0.31665926978521602</v>
      </c>
      <c r="N47" s="3136">
        <f t="shared" si="621"/>
        <v>965.3599999999999</v>
      </c>
      <c r="O47" s="3136">
        <f>SUM('ПОЛНАЯ СЕБЕСТОИМОСТЬ ВОДА 2019'!I192)</f>
        <v>965.06</v>
      </c>
      <c r="P47" s="3136">
        <f>SUM('ПОЛНАЯ СЕБЕСТОИМОСТЬ ВОДА 2019'!J192)</f>
        <v>0.3</v>
      </c>
      <c r="Q47" s="3137">
        <v>942.32</v>
      </c>
      <c r="R47" s="3137">
        <f t="shared" si="622"/>
        <v>942.03357123200738</v>
      </c>
      <c r="S47" s="3137">
        <f>SUM(Q47/Q14*S14)*0.53289473684</f>
        <v>0.28642876799262407</v>
      </c>
      <c r="T47" s="3277">
        <f t="shared" si="623"/>
        <v>1356.2409809111523</v>
      </c>
      <c r="U47" s="3277">
        <f t="shared" si="624"/>
        <v>1355.924321641367</v>
      </c>
      <c r="V47" s="3277">
        <f t="shared" si="625"/>
        <v>0.31665926978521602</v>
      </c>
      <c r="W47" s="3136">
        <f t="shared" si="626"/>
        <v>1124.03</v>
      </c>
      <c r="X47" s="3136">
        <f>SUM('ПОЛНАЯ СЕБЕСТОИМОСТЬ ВОДА 2019'!L192)</f>
        <v>1123.69</v>
      </c>
      <c r="Y47" s="3136">
        <f>SUM('ПОЛНАЯ СЕБЕСТОИМОСТЬ ВОДА 2019'!M192)</f>
        <v>0.34</v>
      </c>
      <c r="Z47" s="3137">
        <v>960.57</v>
      </c>
      <c r="AA47" s="3137">
        <f t="shared" si="627"/>
        <v>960.36344298983136</v>
      </c>
      <c r="AB47" s="3137">
        <f>SUM(Z47/Z14*AB14)*0.53289473684</f>
        <v>0.20655701016869948</v>
      </c>
      <c r="AC47" s="3114">
        <f t="shared" si="533"/>
        <v>4068.7229427334569</v>
      </c>
      <c r="AD47" s="3114">
        <f t="shared" si="534"/>
        <v>4067.772964924101</v>
      </c>
      <c r="AE47" s="3114">
        <f t="shared" si="535"/>
        <v>0.94997780935564813</v>
      </c>
      <c r="AF47" s="3123">
        <f t="shared" si="628"/>
        <v>3162.9889999999996</v>
      </c>
      <c r="AG47" s="3123">
        <f t="shared" si="629"/>
        <v>3161.9700000000003</v>
      </c>
      <c r="AH47" s="3123">
        <f t="shared" si="630"/>
        <v>1.0190000000000001</v>
      </c>
      <c r="AI47" s="3123">
        <f t="shared" si="631"/>
        <v>2941.96</v>
      </c>
      <c r="AJ47" s="3123">
        <f t="shared" si="632"/>
        <v>2941.2242556623887</v>
      </c>
      <c r="AK47" s="3123">
        <f t="shared" si="633"/>
        <v>0.73574433761132019</v>
      </c>
      <c r="AL47" s="3115">
        <f t="shared" si="634"/>
        <v>-905.7339427334573</v>
      </c>
      <c r="AM47" s="3115">
        <f t="shared" si="635"/>
        <v>-905.80296492410071</v>
      </c>
      <c r="AN47" s="3115">
        <f t="shared" si="636"/>
        <v>6.9022190644351999E-2</v>
      </c>
      <c r="AO47" s="3277">
        <f t="shared" si="637"/>
        <v>1356.2409809111523</v>
      </c>
      <c r="AP47" s="3277">
        <f>SUM('ПОЛНАЯ СЕБЕСТОИМОСТЬ ВОДА 2019'!R192/3)</f>
        <v>1355.924321641367</v>
      </c>
      <c r="AQ47" s="3277">
        <f>SUM('ПОЛНАЯ СЕБЕСТОИМОСТЬ ВОДА 2019'!S192/3)</f>
        <v>0.31665926978521602</v>
      </c>
      <c r="AR47" s="3277">
        <f t="shared" si="638"/>
        <v>1171.6399999999999</v>
      </c>
      <c r="AS47" s="3277">
        <f>SUM('ПОЛНАЯ СЕБЕСТОИМОСТЬ ВОДА 2019'!U192)</f>
        <v>1171.3399999999999</v>
      </c>
      <c r="AT47" s="3277">
        <f>SUM('ПОЛНАЯ СЕБЕСТОИМОСТЬ ВОДА 2019'!V192)</f>
        <v>0.3</v>
      </c>
      <c r="AU47" s="3464">
        <v>1044.6099999999999</v>
      </c>
      <c r="AV47" s="3464">
        <f t="shared" si="639"/>
        <v>1044.054235945538</v>
      </c>
      <c r="AW47" s="3464">
        <f>SUM(AU47/AU14*AW14)*0.53289473684</f>
        <v>0.55576405446193178</v>
      </c>
      <c r="AX47" s="3277">
        <f t="shared" si="640"/>
        <v>1356.2409809111523</v>
      </c>
      <c r="AY47" s="3277">
        <f t="shared" si="641"/>
        <v>1355.924321641367</v>
      </c>
      <c r="AZ47" s="3277">
        <f t="shared" si="642"/>
        <v>0.31665926978521602</v>
      </c>
      <c r="BA47" s="3277">
        <f t="shared" si="643"/>
        <v>1217.31</v>
      </c>
      <c r="BB47" s="3277">
        <f>SUM('ПОЛНАЯ СЕБЕСТОИМОСТЬ ВОДА 2019'!X192)</f>
        <v>1216.8799999999999</v>
      </c>
      <c r="BC47" s="3277">
        <f>SUM('ПОЛНАЯ СЕБЕСТОИМОСТЬ ВОДА 2019'!Y192)</f>
        <v>0.43</v>
      </c>
      <c r="BD47" s="3137">
        <v>1112.7</v>
      </c>
      <c r="BE47" s="3137">
        <f t="shared" si="644"/>
        <v>1112.5056468669304</v>
      </c>
      <c r="BF47" s="3137">
        <f>SUM(BD47/BD14*BF14)*0.53289473684</f>
        <v>0.1943531330695428</v>
      </c>
      <c r="BG47" s="3277">
        <f t="shared" si="645"/>
        <v>1356.2409809111523</v>
      </c>
      <c r="BH47" s="3277">
        <f t="shared" si="646"/>
        <v>1355.924321641367</v>
      </c>
      <c r="BI47" s="3277">
        <f t="shared" si="647"/>
        <v>0.31665926978521602</v>
      </c>
      <c r="BJ47" s="3136">
        <f t="shared" si="648"/>
        <v>1145.01</v>
      </c>
      <c r="BK47" s="3136">
        <f>SUM('ПОЛНАЯ СЕБЕСТОИМОСТЬ ВОДА 2019'!AA192)</f>
        <v>1144.48</v>
      </c>
      <c r="BL47" s="3136">
        <f>SUM('ПОЛНАЯ СЕБЕСТОИМОСТЬ ВОДА 2019'!AB192)</f>
        <v>0.53</v>
      </c>
      <c r="BM47" s="3137">
        <v>1188.29</v>
      </c>
      <c r="BN47" s="3137">
        <f t="shared" si="649"/>
        <v>1188.1146322425516</v>
      </c>
      <c r="BO47" s="3137">
        <f>SUM(BM47/BM14*BO14)*0.53289473684</f>
        <v>0.17536775744834854</v>
      </c>
      <c r="BP47" s="3114">
        <f t="shared" si="545"/>
        <v>4068.7229427334569</v>
      </c>
      <c r="BQ47" s="3114">
        <f t="shared" si="546"/>
        <v>4067.772964924101</v>
      </c>
      <c r="BR47" s="3114">
        <f t="shared" si="547"/>
        <v>0.94997780935564813</v>
      </c>
      <c r="BS47" s="3123">
        <f t="shared" si="548"/>
        <v>3533.96</v>
      </c>
      <c r="BT47" s="3123">
        <f t="shared" si="549"/>
        <v>3532.7</v>
      </c>
      <c r="BU47" s="3123">
        <f t="shared" si="550"/>
        <v>1.26</v>
      </c>
      <c r="BV47" s="3123">
        <f t="shared" si="551"/>
        <v>3345.6</v>
      </c>
      <c r="BW47" s="3123">
        <f t="shared" si="552"/>
        <v>3344.67451505502</v>
      </c>
      <c r="BX47" s="3123">
        <f t="shared" si="553"/>
        <v>0.92548494497982314</v>
      </c>
      <c r="BY47" s="3115">
        <f t="shared" si="554"/>
        <v>-534.76294273345684</v>
      </c>
      <c r="BZ47" s="3115">
        <f t="shared" si="555"/>
        <v>-535.07296492410114</v>
      </c>
      <c r="CA47" s="3115">
        <f t="shared" si="556"/>
        <v>0.31002219064435188</v>
      </c>
      <c r="CB47" s="3114">
        <f t="shared" si="557"/>
        <v>8137.4458854669138</v>
      </c>
      <c r="CC47" s="3114">
        <f t="shared" si="558"/>
        <v>8135.5459298482019</v>
      </c>
      <c r="CD47" s="3114">
        <f t="shared" si="559"/>
        <v>1.8999556187112963</v>
      </c>
      <c r="CE47" s="3123">
        <f t="shared" si="560"/>
        <v>6696.9489999999996</v>
      </c>
      <c r="CF47" s="3123">
        <f t="shared" si="561"/>
        <v>6694.67</v>
      </c>
      <c r="CG47" s="3123">
        <f t="shared" si="562"/>
        <v>2.2789999999999999</v>
      </c>
      <c r="CH47" s="3123">
        <f t="shared" si="563"/>
        <v>6287.5599999999995</v>
      </c>
      <c r="CI47" s="3123">
        <f t="shared" si="564"/>
        <v>6285.8987707174092</v>
      </c>
      <c r="CJ47" s="3123">
        <f t="shared" si="565"/>
        <v>1.6612292825911434</v>
      </c>
      <c r="CK47" s="3115">
        <f t="shared" si="566"/>
        <v>-1440.4968854669141</v>
      </c>
      <c r="CL47" s="3115">
        <f t="shared" si="567"/>
        <v>-1440.8759298482018</v>
      </c>
      <c r="CM47" s="3115">
        <f t="shared" si="568"/>
        <v>0.37904438128870366</v>
      </c>
      <c r="CN47" s="3277">
        <f t="shared" si="650"/>
        <v>1356.2409809111523</v>
      </c>
      <c r="CO47" s="3277">
        <f>SUM('ПОЛНАЯ СЕБЕСТОИМОСТЬ ВОДА 2019'!AP192/3)</f>
        <v>1355.924321641367</v>
      </c>
      <c r="CP47" s="3277">
        <f>SUM('ПОЛНАЯ СЕБЕСТОИМОСТЬ ВОДА 2019'!AQ192/3)</f>
        <v>0.31665926978521602</v>
      </c>
      <c r="CQ47" s="3136">
        <f t="shared" si="651"/>
        <v>1243.6789999999999</v>
      </c>
      <c r="CR47" s="3136">
        <f>SUM('ПОЛНАЯ СЕБЕСТОИМОСТЬ ВОДА 2019'!AS192)</f>
        <v>1243.33</v>
      </c>
      <c r="CS47" s="3136">
        <f>SUM('ПОЛНАЯ СЕБЕСТОИМОСТЬ ВОДА 2019'!AT192)</f>
        <v>0.34899999999999998</v>
      </c>
      <c r="CT47" s="3137">
        <v>1140.55</v>
      </c>
      <c r="CU47" s="3137">
        <f t="shared" si="652"/>
        <v>1140.4002656562004</v>
      </c>
      <c r="CV47" s="3137">
        <f>SUM(CT47/CT14*CV14)*0.53289473684</f>
        <v>0.14973434379953665</v>
      </c>
      <c r="CW47" s="3277">
        <f t="shared" si="653"/>
        <v>1356.2409809111523</v>
      </c>
      <c r="CX47" s="3277">
        <f t="shared" si="654"/>
        <v>1355.924321641367</v>
      </c>
      <c r="CY47" s="3277">
        <f t="shared" si="655"/>
        <v>0.31665926978521602</v>
      </c>
      <c r="CZ47" s="3136">
        <f t="shared" si="656"/>
        <v>1212.163</v>
      </c>
      <c r="DA47" s="3136">
        <f>SUM('ПОЛНАЯ СЕБЕСТОИМОСТЬ ВОДА 2019'!AV192)</f>
        <v>1211.8599999999999</v>
      </c>
      <c r="DB47" s="3136">
        <f>SUM('ПОЛНАЯ СЕБЕСТОИМОСТЬ ВОДА 2019'!AW192)</f>
        <v>0.30299999999999999</v>
      </c>
      <c r="DC47" s="3137">
        <v>1212.8900000000001</v>
      </c>
      <c r="DD47" s="3137">
        <f t="shared" si="657"/>
        <v>1212.7370453386898</v>
      </c>
      <c r="DE47" s="3137">
        <f>SUM(DC47/DC14*DE14)*0.53289473684</f>
        <v>0.15295466131038113</v>
      </c>
      <c r="DF47" s="3277">
        <f t="shared" si="658"/>
        <v>1356.2409809111523</v>
      </c>
      <c r="DG47" s="3277">
        <f t="shared" si="659"/>
        <v>1355.924321641367</v>
      </c>
      <c r="DH47" s="3277">
        <f t="shared" si="660"/>
        <v>0.31665926978521602</v>
      </c>
      <c r="DI47" s="3136">
        <f t="shared" si="661"/>
        <v>1137.22</v>
      </c>
      <c r="DJ47" s="3136">
        <f>SUM('ПОЛНАЯ СЕБЕСТОИМОСТЬ ВОДА 2019'!AY192)</f>
        <v>1136.68</v>
      </c>
      <c r="DK47" s="3136">
        <f>SUM('ПОЛНАЯ СЕБЕСТОИМОСТЬ ВОДА 2019'!AZ192)</f>
        <v>0.54</v>
      </c>
      <c r="DL47" s="3137">
        <v>1049.9100000000001</v>
      </c>
      <c r="DM47" s="3137">
        <f t="shared" si="662"/>
        <v>1049.7615354215707</v>
      </c>
      <c r="DN47" s="3137">
        <f>SUM(DL47/DL14*DN14)*0.53289473684</f>
        <v>0.14846457842951824</v>
      </c>
      <c r="DO47" s="3114">
        <f t="shared" si="569"/>
        <v>4068.7229427334569</v>
      </c>
      <c r="DP47" s="3114">
        <f t="shared" si="570"/>
        <v>4067.772964924101</v>
      </c>
      <c r="DQ47" s="3114">
        <f t="shared" si="571"/>
        <v>0.94997780935564813</v>
      </c>
      <c r="DR47" s="3123">
        <f t="shared" si="572"/>
        <v>3593.0619999999999</v>
      </c>
      <c r="DS47" s="3123">
        <f t="shared" si="573"/>
        <v>3591.87</v>
      </c>
      <c r="DT47" s="3123">
        <f t="shared" si="574"/>
        <v>1.1919999999999999</v>
      </c>
      <c r="DU47" s="3123">
        <f t="shared" si="575"/>
        <v>3403.3500000000004</v>
      </c>
      <c r="DV47" s="3123">
        <f t="shared" si="576"/>
        <v>3402.8988464164604</v>
      </c>
      <c r="DW47" s="3123">
        <f t="shared" si="577"/>
        <v>0.45115358353943602</v>
      </c>
      <c r="DX47" s="3115">
        <f t="shared" si="578"/>
        <v>-475.66094273345698</v>
      </c>
      <c r="DY47" s="3115">
        <f t="shared" si="579"/>
        <v>-475.90296492410107</v>
      </c>
      <c r="DZ47" s="3115">
        <f t="shared" si="580"/>
        <v>0.24202219064435182</v>
      </c>
      <c r="EA47" s="3114">
        <f t="shared" si="581"/>
        <v>12206.168828200371</v>
      </c>
      <c r="EB47" s="3114">
        <f t="shared" si="582"/>
        <v>12203.318894772303</v>
      </c>
      <c r="EC47" s="3114">
        <f t="shared" si="583"/>
        <v>2.8499334280669446</v>
      </c>
      <c r="ED47" s="3123">
        <f t="shared" si="584"/>
        <v>10290.010999999999</v>
      </c>
      <c r="EE47" s="3123">
        <f t="shared" si="585"/>
        <v>10286.540000000001</v>
      </c>
      <c r="EF47" s="3123">
        <f t="shared" si="586"/>
        <v>3.4710000000000001</v>
      </c>
      <c r="EG47" s="3123">
        <f t="shared" si="587"/>
        <v>9690.91</v>
      </c>
      <c r="EH47" s="3123">
        <f t="shared" si="588"/>
        <v>9688.7976171338705</v>
      </c>
      <c r="EI47" s="3123">
        <f t="shared" si="589"/>
        <v>2.1123828661305795</v>
      </c>
      <c r="EJ47" s="3115">
        <f t="shared" si="590"/>
        <v>-1916.157828200372</v>
      </c>
      <c r="EK47" s="3115">
        <f t="shared" si="590"/>
        <v>-1916.778894772302</v>
      </c>
      <c r="EL47" s="3115">
        <f t="shared" si="590"/>
        <v>0.62106657193305548</v>
      </c>
      <c r="EM47" s="3277">
        <f t="shared" si="663"/>
        <v>1356.2409809111523</v>
      </c>
      <c r="EN47" s="3277">
        <f>SUM('ПОЛНАЯ СЕБЕСТОИМОСТЬ ВОДА 2019'!BN192/3)</f>
        <v>1355.924321641367</v>
      </c>
      <c r="EO47" s="3277">
        <f>SUM('ПОЛНАЯ СЕБЕСТОИМОСТЬ ВОДА 2019'!BO192/3)</f>
        <v>0.31665926978521602</v>
      </c>
      <c r="EP47" s="3136">
        <f t="shared" si="664"/>
        <v>0</v>
      </c>
      <c r="EQ47" s="3136">
        <f>SUM('ПОЛНАЯ СЕБЕСТОИМОСТЬ ВОДА 2019'!BQ192)</f>
        <v>0</v>
      </c>
      <c r="ER47" s="3136">
        <f>SUM('ПОЛНАЯ СЕБЕСТОИМОСТЬ ВОДА 2019'!BR192)</f>
        <v>0</v>
      </c>
      <c r="ES47" s="3137">
        <v>1125.1199999999999</v>
      </c>
      <c r="ET47" s="3137">
        <f t="shared" si="665"/>
        <v>1124.9609184185745</v>
      </c>
      <c r="EU47" s="3137">
        <f>SUM(ES47/ES14*EU14)*0.53289473684</f>
        <v>0.15908158142544226</v>
      </c>
      <c r="EV47" s="3277">
        <f t="shared" si="666"/>
        <v>1356.2409809111523</v>
      </c>
      <c r="EW47" s="3277">
        <f t="shared" si="667"/>
        <v>1355.924321641367</v>
      </c>
      <c r="EX47" s="3277">
        <f t="shared" si="668"/>
        <v>0.31665926978521602</v>
      </c>
      <c r="EY47" s="3136">
        <f t="shared" si="669"/>
        <v>0</v>
      </c>
      <c r="EZ47" s="3136">
        <f>SUM('ПОЛНАЯ СЕБЕСТОИМОСТЬ ВОДА 2019'!BT192)</f>
        <v>0</v>
      </c>
      <c r="FA47" s="3136">
        <f>SUM('ПОЛНАЯ СЕБЕСТОИМОСТЬ ВОДА 2019'!BU192)</f>
        <v>0</v>
      </c>
      <c r="FB47" s="3137">
        <v>1114.08</v>
      </c>
      <c r="FC47" s="3137">
        <f t="shared" si="670"/>
        <v>1113.9197442741388</v>
      </c>
      <c r="FD47" s="3137">
        <f>SUM(FB47/FB14*FD14)*0.53289473684</f>
        <v>0.16025572586124295</v>
      </c>
      <c r="FE47" s="3277">
        <f t="shared" si="671"/>
        <v>1356.2409809111523</v>
      </c>
      <c r="FF47" s="3277">
        <f t="shared" si="672"/>
        <v>1355.924321641367</v>
      </c>
      <c r="FG47" s="3277">
        <f t="shared" si="673"/>
        <v>0.31665926978521602</v>
      </c>
      <c r="FH47" s="3136">
        <f>SUM('[19]ПОЛНАЯ СЕБЕСТОИМОСТЬ ВОДА 2018'!Z193)</f>
        <v>0</v>
      </c>
      <c r="FI47" s="3136">
        <f>SUM('ПОЛНАЯ СЕБЕСТОИМОСТЬ ВОДА 2019'!BW192)</f>
        <v>0</v>
      </c>
      <c r="FJ47" s="3136">
        <f>SUM('ПОЛНАЯ СЕБЕСТОИМОСТЬ ВОДА 2019'!BX192)</f>
        <v>0</v>
      </c>
      <c r="FK47" s="3137">
        <v>1100.49</v>
      </c>
      <c r="FL47" s="3137">
        <f t="shared" si="674"/>
        <v>1100.49</v>
      </c>
      <c r="FM47" s="3137">
        <f>SUM(FK47/FK14*FM14)*0.53289473684</f>
        <v>0</v>
      </c>
      <c r="FN47" s="3114">
        <f t="shared" si="591"/>
        <v>4068.7229427334569</v>
      </c>
      <c r="FO47" s="3114">
        <f t="shared" si="592"/>
        <v>4067.772964924101</v>
      </c>
      <c r="FP47" s="3114">
        <f t="shared" si="593"/>
        <v>0.94997780935564813</v>
      </c>
      <c r="FQ47" s="3123">
        <f t="shared" si="594"/>
        <v>0</v>
      </c>
      <c r="FR47" s="3123">
        <f t="shared" si="595"/>
        <v>0</v>
      </c>
      <c r="FS47" s="3123">
        <f t="shared" si="596"/>
        <v>0</v>
      </c>
      <c r="FT47" s="3123">
        <f t="shared" si="675"/>
        <v>3339.6899999999996</v>
      </c>
      <c r="FU47" s="3123">
        <f t="shared" si="676"/>
        <v>3339.3706626927133</v>
      </c>
      <c r="FV47" s="3123">
        <f t="shared" si="677"/>
        <v>0.31933730728668519</v>
      </c>
      <c r="FW47" s="3115">
        <f t="shared" si="600"/>
        <v>-4068.7229427334569</v>
      </c>
      <c r="FX47" s="3115">
        <f t="shared" si="601"/>
        <v>-4067.772964924101</v>
      </c>
      <c r="FY47" s="3115">
        <f t="shared" si="602"/>
        <v>-0.94997780935564813</v>
      </c>
      <c r="FZ47" s="3222">
        <f t="shared" si="603"/>
        <v>16274.891770933828</v>
      </c>
      <c r="GA47" s="3222">
        <f t="shared" si="604"/>
        <v>16271.091859696404</v>
      </c>
      <c r="GB47" s="3222">
        <f t="shared" si="605"/>
        <v>3.7999112374225925</v>
      </c>
      <c r="GC47" s="3230">
        <f t="shared" si="606"/>
        <v>10290.010999999999</v>
      </c>
      <c r="GD47" s="3230">
        <f t="shared" si="607"/>
        <v>10286.540000000001</v>
      </c>
      <c r="GE47" s="3230">
        <f t="shared" si="608"/>
        <v>3.4710000000000001</v>
      </c>
      <c r="GF47" s="3230">
        <f t="shared" si="609"/>
        <v>13030.599999999999</v>
      </c>
      <c r="GG47" s="3230">
        <f t="shared" si="610"/>
        <v>13028.168279826583</v>
      </c>
      <c r="GH47" s="3230">
        <f t="shared" si="611"/>
        <v>2.4317201734172649</v>
      </c>
      <c r="GI47" s="3231">
        <f t="shared" si="612"/>
        <v>-5984.8807709338289</v>
      </c>
      <c r="GJ47" s="3231">
        <f t="shared" si="613"/>
        <v>-5984.551859696403</v>
      </c>
      <c r="GK47" s="3231">
        <f t="shared" si="614"/>
        <v>-0.32891123742259243</v>
      </c>
      <c r="GL47" s="396"/>
    </row>
    <row r="48" spans="1:194" ht="18.75" x14ac:dyDescent="0.3">
      <c r="A48" s="3138" t="s">
        <v>318</v>
      </c>
      <c r="B48" s="3139">
        <f>SUM(B47/B46)</f>
        <v>0.29951541197214337</v>
      </c>
      <c r="C48" s="3139">
        <f t="shared" ref="C48:BL48" si="678">SUM(C47/C46)</f>
        <v>0.29951513918005668</v>
      </c>
      <c r="D48" s="3139">
        <f t="shared" si="678"/>
        <v>0.30068807284711263</v>
      </c>
      <c r="E48" s="3139">
        <f>SUM(E47/E46)</f>
        <v>0.30213586276670146</v>
      </c>
      <c r="F48" s="3139">
        <f t="shared" si="678"/>
        <v>0.30213591358375735</v>
      </c>
      <c r="G48" s="3139">
        <f t="shared" si="678"/>
        <v>0.30199203187251</v>
      </c>
      <c r="H48" s="3139">
        <f t="shared" si="678"/>
        <v>0.30194288171843031</v>
      </c>
      <c r="I48" s="3139">
        <f t="shared" si="678"/>
        <v>0.30194251332925309</v>
      </c>
      <c r="J48" s="3139">
        <f t="shared" si="678"/>
        <v>0.30352759081115988</v>
      </c>
      <c r="K48" s="3139">
        <f>SUM(K47/K46)</f>
        <v>0.29951541197214337</v>
      </c>
      <c r="L48" s="3139">
        <f t="shared" si="678"/>
        <v>0.29951513918005668</v>
      </c>
      <c r="M48" s="3139">
        <f t="shared" si="678"/>
        <v>0.30068807284711263</v>
      </c>
      <c r="N48" s="3139">
        <f>SUM(N47/N46)</f>
        <v>0.30046749624944746</v>
      </c>
      <c r="O48" s="3139">
        <f t="shared" si="678"/>
        <v>0.30046764180256919</v>
      </c>
      <c r="P48" s="3139">
        <f t="shared" si="678"/>
        <v>0.3</v>
      </c>
      <c r="Q48" s="3139">
        <f t="shared" ref="Q48:S48" si="679">SUM(Q47/Q46)</f>
        <v>0.301067436012946</v>
      </c>
      <c r="R48" s="3139">
        <f t="shared" si="679"/>
        <v>0.30106695808247036</v>
      </c>
      <c r="S48" s="3139">
        <f t="shared" si="679"/>
        <v>0.30264755043942021</v>
      </c>
      <c r="T48" s="3139">
        <f>SUM(T47/T46)</f>
        <v>0.29951541197214337</v>
      </c>
      <c r="U48" s="3139">
        <f t="shared" si="678"/>
        <v>0.29951513918005668</v>
      </c>
      <c r="V48" s="3139">
        <f t="shared" si="678"/>
        <v>0.30068807284711263</v>
      </c>
      <c r="W48" s="3139">
        <f>SUM(W47/W46)</f>
        <v>0.30197838924082937</v>
      </c>
      <c r="X48" s="3139">
        <f t="shared" si="678"/>
        <v>0.30197872128865466</v>
      </c>
      <c r="Y48" s="3139">
        <f t="shared" si="678"/>
        <v>0.30088495575221241</v>
      </c>
      <c r="Z48" s="3139">
        <f t="shared" si="678"/>
        <v>0.30057168605142359</v>
      </c>
      <c r="AA48" s="3139">
        <f t="shared" si="678"/>
        <v>0.30057134852850043</v>
      </c>
      <c r="AB48" s="3139">
        <f t="shared" si="678"/>
        <v>0.30214919859681599</v>
      </c>
      <c r="AC48" s="3140">
        <f t="shared" si="678"/>
        <v>0.29951541197214337</v>
      </c>
      <c r="AD48" s="3140">
        <f t="shared" si="678"/>
        <v>0.29951513918005673</v>
      </c>
      <c r="AE48" s="3140">
        <f t="shared" si="678"/>
        <v>0.30068807284711263</v>
      </c>
      <c r="AF48" s="3140">
        <f t="shared" si="678"/>
        <v>0.30156891703202904</v>
      </c>
      <c r="AG48" s="3140">
        <f t="shared" si="678"/>
        <v>0.30156908973339214</v>
      </c>
      <c r="AH48" s="3140">
        <f t="shared" si="678"/>
        <v>0.3010339734121123</v>
      </c>
      <c r="AI48" s="3140">
        <f t="shared" si="678"/>
        <v>0.30121367622877804</v>
      </c>
      <c r="AJ48" s="3140">
        <f t="shared" si="678"/>
        <v>0.30121328223086602</v>
      </c>
      <c r="AK48" s="3140">
        <f t="shared" si="678"/>
        <v>0.30279701043857049</v>
      </c>
      <c r="AL48" s="3121">
        <f t="shared" ref="AL48" si="680">SUM(AF48-AC48)</f>
        <v>2.053505059885663E-3</v>
      </c>
      <c r="AM48" s="3121">
        <f t="shared" ref="AM48" si="681">SUM(AG48-AD48)</f>
        <v>2.0539505533354041E-3</v>
      </c>
      <c r="AN48" s="3121">
        <f t="shared" ref="AN48" si="682">SUM(AH48-AE48)</f>
        <v>3.4590056499966826E-4</v>
      </c>
      <c r="AO48" s="3276">
        <f>SUM(AO47/AO46)</f>
        <v>0.29951541197214337</v>
      </c>
      <c r="AP48" s="3276">
        <f t="shared" si="678"/>
        <v>0.29951513918005668</v>
      </c>
      <c r="AQ48" s="3276">
        <f t="shared" si="678"/>
        <v>0.30068807284711263</v>
      </c>
      <c r="AR48" s="3276">
        <f>SUM(AR47/AR46)</f>
        <v>0.31120578829379197</v>
      </c>
      <c r="AS48" s="3276">
        <f t="shared" si="678"/>
        <v>0.31120959235672174</v>
      </c>
      <c r="AT48" s="3276">
        <f t="shared" si="678"/>
        <v>0.29702970297029702</v>
      </c>
      <c r="AU48" s="3276">
        <f t="shared" ref="AU48:AW48" si="683">SUM(AU47/AU46)</f>
        <v>0.30425297667590928</v>
      </c>
      <c r="AV48" s="3276">
        <f t="shared" si="683"/>
        <v>0.30425213110039512</v>
      </c>
      <c r="AW48" s="3276">
        <f t="shared" si="683"/>
        <v>0.30584981001036082</v>
      </c>
      <c r="AX48" s="3139">
        <f>SUM(AX47/AX46)</f>
        <v>0.29951541197214337</v>
      </c>
      <c r="AY48" s="3139">
        <f t="shared" si="678"/>
        <v>0.29951513918005668</v>
      </c>
      <c r="AZ48" s="3139">
        <f t="shared" si="678"/>
        <v>0.30068807284711263</v>
      </c>
      <c r="BA48" s="3139">
        <f>SUM(BA47/BA46)</f>
        <v>0.30247634477000757</v>
      </c>
      <c r="BB48" s="3139">
        <f t="shared" si="678"/>
        <v>0.30247622456538054</v>
      </c>
      <c r="BC48" s="3139">
        <f t="shared" si="678"/>
        <v>0.30281690140845069</v>
      </c>
      <c r="BD48" s="3139">
        <f t="shared" si="678"/>
        <v>0.30255322620115838</v>
      </c>
      <c r="BE48" s="3139">
        <f t="shared" si="678"/>
        <v>0.30255295024372991</v>
      </c>
      <c r="BF48" s="3139">
        <f t="shared" si="678"/>
        <v>0.30414113860984615</v>
      </c>
      <c r="BG48" s="3139">
        <f>SUM(BG47/BG46)</f>
        <v>0.29951541197214337</v>
      </c>
      <c r="BH48" s="3139">
        <f t="shared" si="678"/>
        <v>0.29951513918005668</v>
      </c>
      <c r="BI48" s="3139">
        <f t="shared" si="678"/>
        <v>0.30068807284711263</v>
      </c>
      <c r="BJ48" s="3139">
        <f>SUM(BJ47/BJ46)</f>
        <v>0.30247099473784311</v>
      </c>
      <c r="BK48" s="3139">
        <f t="shared" si="678"/>
        <v>0.30247161553586904</v>
      </c>
      <c r="BL48" s="3139">
        <f t="shared" si="678"/>
        <v>0.30113636363636365</v>
      </c>
      <c r="BM48" s="3139">
        <f t="shared" ref="BM48:BO48" si="684">SUM(BM47/BM46)</f>
        <v>0.30308958600618785</v>
      </c>
      <c r="BN48" s="3139">
        <f t="shared" si="684"/>
        <v>0.30308935243812501</v>
      </c>
      <c r="BO48" s="3139">
        <f t="shared" si="684"/>
        <v>0.30468031343159385</v>
      </c>
      <c r="BP48" s="3140">
        <f t="shared" ref="BP48:DU48" si="685">SUM(BP47/BP46)</f>
        <v>0.29951541197214337</v>
      </c>
      <c r="BQ48" s="3140">
        <f t="shared" ref="BQ48" si="686">SUM(BQ47/BQ46)</f>
        <v>0.29951513918005673</v>
      </c>
      <c r="BR48" s="3140">
        <f t="shared" ref="BR48" si="687">SUM(BR47/BR46)</f>
        <v>0.30068807284711263</v>
      </c>
      <c r="BS48" s="3140">
        <f t="shared" si="685"/>
        <v>0.30531393954473668</v>
      </c>
      <c r="BT48" s="3140">
        <f t="shared" ref="BT48" si="688">SUM(BT47/BT46)</f>
        <v>0.30531560456845552</v>
      </c>
      <c r="BU48" s="3140">
        <f t="shared" ref="BU48" si="689">SUM(BU47/BU46)</f>
        <v>0.30071599045346065</v>
      </c>
      <c r="BV48" s="3140">
        <f t="shared" si="685"/>
        <v>0.3032728558284572</v>
      </c>
      <c r="BW48" s="3140">
        <f t="shared" ref="BW48" si="690">SUM(BW47/BW46)</f>
        <v>0.30327230747539957</v>
      </c>
      <c r="BX48" s="3140">
        <f t="shared" ref="BX48" si="691">SUM(BX47/BX46)</f>
        <v>0.30526762553913694</v>
      </c>
      <c r="BY48" s="3121">
        <f t="shared" ref="BY48" si="692">SUM(BS48-BP48)</f>
        <v>5.7985275725933039E-3</v>
      </c>
      <c r="BZ48" s="3121">
        <f t="shared" ref="BZ48" si="693">SUM(BT48-BQ48)</f>
        <v>5.80046538839879E-3</v>
      </c>
      <c r="CA48" s="3121">
        <f t="shared" ref="CA48" si="694">SUM(BU48-BR48)</f>
        <v>2.7917606348015767E-5</v>
      </c>
      <c r="CB48" s="3140">
        <f t="shared" si="685"/>
        <v>0.29951541197214337</v>
      </c>
      <c r="CC48" s="3140">
        <f t="shared" ref="CC48" si="695">SUM(CC47/CC46)</f>
        <v>0.29951513918005673</v>
      </c>
      <c r="CD48" s="3140">
        <f t="shared" ref="CD48" si="696">SUM(CD47/CD46)</f>
        <v>0.30068807284711263</v>
      </c>
      <c r="CE48" s="3140">
        <f t="shared" si="685"/>
        <v>0.30353363064475664</v>
      </c>
      <c r="CF48" s="3140">
        <f t="shared" ref="CF48" si="697">SUM(CF47/CF46)</f>
        <v>0.30353454955655473</v>
      </c>
      <c r="CG48" s="3140">
        <f t="shared" ref="CG48" si="698">SUM(CG47/CG46)</f>
        <v>0.30085808580858087</v>
      </c>
      <c r="CH48" s="3140">
        <f t="shared" si="685"/>
        <v>0.30230586859640546</v>
      </c>
      <c r="CI48" s="3140">
        <f t="shared" ref="CI48" si="699">SUM(CI47/CI46)</f>
        <v>0.30230537936947532</v>
      </c>
      <c r="CJ48" s="3140">
        <f t="shared" ref="CJ48" si="700">SUM(CJ47/CJ46)</f>
        <v>0.30416845512269286</v>
      </c>
      <c r="CK48" s="3121">
        <f t="shared" ref="CK48" si="701">SUM(CE48-CB48)</f>
        <v>4.0182186726132607E-3</v>
      </c>
      <c r="CL48" s="3121">
        <f t="shared" ref="CL48" si="702">SUM(CF48-CC48)</f>
        <v>4.0194103764980005E-3</v>
      </c>
      <c r="CM48" s="3121">
        <f t="shared" ref="CM48" si="703">SUM(CG48-CD48)</f>
        <v>1.7001296146823552E-4</v>
      </c>
      <c r="CN48" s="3139">
        <f>SUM(CN47/CN46)</f>
        <v>0.29951541197214337</v>
      </c>
      <c r="CO48" s="3139">
        <f t="shared" si="685"/>
        <v>0.29951513918005668</v>
      </c>
      <c r="CP48" s="3139">
        <f t="shared" si="685"/>
        <v>0.30068807284711263</v>
      </c>
      <c r="CQ48" s="3139">
        <f>SUM(CQ47/CQ46)</f>
        <v>0.30188552381433226</v>
      </c>
      <c r="CR48" s="3139">
        <f t="shared" si="685"/>
        <v>0.30188537227907886</v>
      </c>
      <c r="CS48" s="3139">
        <f t="shared" si="685"/>
        <v>0.3024263431542461</v>
      </c>
      <c r="CT48" s="3139">
        <f t="shared" si="685"/>
        <v>0.30211004216905762</v>
      </c>
      <c r="CU48" s="3139">
        <f t="shared" si="685"/>
        <v>0.30210983506893657</v>
      </c>
      <c r="CV48" s="3139">
        <f t="shared" si="685"/>
        <v>0.30369562858230736</v>
      </c>
      <c r="CW48" s="3139">
        <f>SUM(CW47/CW46)</f>
        <v>0.29951541197214337</v>
      </c>
      <c r="CX48" s="3139">
        <f t="shared" si="685"/>
        <v>0.29951513918005668</v>
      </c>
      <c r="CY48" s="3139">
        <f t="shared" si="685"/>
        <v>0.30068807284711263</v>
      </c>
      <c r="CZ48" s="3139">
        <f>SUM(CZ47/CZ46)</f>
        <v>0.30263567215282344</v>
      </c>
      <c r="DA48" s="3139">
        <f t="shared" si="685"/>
        <v>0.30263588347671905</v>
      </c>
      <c r="DB48" s="3139">
        <f t="shared" si="685"/>
        <v>0.30179282868525897</v>
      </c>
      <c r="DC48" s="3139">
        <f t="shared" ref="DC48:DE48" si="704">SUM(DC47/DC46)</f>
        <v>0.30349792436636253</v>
      </c>
      <c r="DD48" s="3139">
        <f t="shared" si="704"/>
        <v>0.30349772451694496</v>
      </c>
      <c r="DE48" s="3139">
        <f t="shared" si="704"/>
        <v>0.30509079490409696</v>
      </c>
      <c r="DF48" s="3139">
        <f>SUM(DF47/DF46)</f>
        <v>0.29951541197214337</v>
      </c>
      <c r="DG48" s="3139">
        <f t="shared" si="685"/>
        <v>0.29951513918005668</v>
      </c>
      <c r="DH48" s="3139">
        <f t="shared" si="685"/>
        <v>0.30068807284711263</v>
      </c>
      <c r="DI48" s="3139">
        <f>SUM(DI47/DI46)</f>
        <v>0.29803783850365201</v>
      </c>
      <c r="DJ48" s="3139">
        <f t="shared" si="685"/>
        <v>0.29803613099452003</v>
      </c>
      <c r="DK48" s="3139">
        <f t="shared" si="685"/>
        <v>0.3016759776536313</v>
      </c>
      <c r="DL48" s="3139">
        <f t="shared" si="685"/>
        <v>0.30174336395093521</v>
      </c>
      <c r="DM48" s="3139">
        <f t="shared" si="685"/>
        <v>0.30174314114796519</v>
      </c>
      <c r="DN48" s="3139">
        <f t="shared" si="685"/>
        <v>0.30332702589985233</v>
      </c>
      <c r="DO48" s="3140">
        <f t="shared" si="685"/>
        <v>0.29951541197214337</v>
      </c>
      <c r="DP48" s="3140">
        <f t="shared" ref="DP48" si="705">SUM(DP47/DP46)</f>
        <v>0.29951513918005673</v>
      </c>
      <c r="DQ48" s="3140">
        <f t="shared" ref="DQ48" si="706">SUM(DQ47/DQ46)</f>
        <v>0.30068807284711263</v>
      </c>
      <c r="DR48" s="3140">
        <f t="shared" si="685"/>
        <v>0.30090761483283962</v>
      </c>
      <c r="DS48" s="3140">
        <f t="shared" ref="DS48" si="707">SUM(DS47/DS46)</f>
        <v>0.30090727833255143</v>
      </c>
      <c r="DT48" s="3140">
        <f t="shared" ref="DT48" si="708">SUM(DT47/DT46)</f>
        <v>0.30192502532928062</v>
      </c>
      <c r="DU48" s="3140">
        <f t="shared" si="685"/>
        <v>0.30248961659851059</v>
      </c>
      <c r="DV48" s="3140">
        <f t="shared" ref="DV48" si="709">SUM(DV47/DV46)</f>
        <v>0.30248941138629193</v>
      </c>
      <c r="DW48" s="3140">
        <f t="shared" ref="DW48" si="710">SUM(DW47/DW46)</f>
        <v>0.30404542509954274</v>
      </c>
      <c r="DX48" s="3121">
        <f t="shared" ref="DX48" si="711">SUM(DR48-DO48)</f>
        <v>1.3922028606962455E-3</v>
      </c>
      <c r="DY48" s="3121">
        <f t="shared" ref="DY48" si="712">SUM(DS48-DP48)</f>
        <v>1.392139152494698E-3</v>
      </c>
      <c r="DZ48" s="3121">
        <f t="shared" ref="DZ48" si="713">SUM(DT48-DQ48)</f>
        <v>1.2369524821679856E-3</v>
      </c>
      <c r="EA48" s="3140">
        <f t="shared" ref="EA48:GH48" si="714">SUM(EA47/EA46)</f>
        <v>0.29951541197214337</v>
      </c>
      <c r="EB48" s="3140">
        <f t="shared" ref="EB48" si="715">SUM(EB47/EB46)</f>
        <v>0.29951513918005673</v>
      </c>
      <c r="EC48" s="3140">
        <f t="shared" ref="EC48" si="716">SUM(EC47/EC46)</f>
        <v>0.30068807284711258</v>
      </c>
      <c r="ED48" s="3140">
        <f t="shared" si="714"/>
        <v>0.30261148729034582</v>
      </c>
      <c r="EE48" s="3140">
        <f t="shared" ref="EE48" si="717">SUM(EE47/EE46)</f>
        <v>0.30261195775186955</v>
      </c>
      <c r="EF48" s="3140">
        <f t="shared" ref="EF48" si="718">SUM(EF47/EF46)</f>
        <v>0.30122363967716742</v>
      </c>
      <c r="EG48" s="3140">
        <f t="shared" si="714"/>
        <v>0.3023703736060756</v>
      </c>
      <c r="EH48" s="3140">
        <f t="shared" ref="EH48" si="719">SUM(EH47/EH46)</f>
        <v>0.30236998956405842</v>
      </c>
      <c r="EI48" s="3140">
        <f t="shared" ref="EI48" si="720">SUM(EI47/EI46)</f>
        <v>0.30414217054227122</v>
      </c>
      <c r="EJ48" s="3121">
        <f t="shared" ref="EJ48" si="721">SUM(ED48-EA48)</f>
        <v>3.0960753182024403E-3</v>
      </c>
      <c r="EK48" s="3121">
        <f t="shared" ref="EK48" si="722">SUM(EE48-EB48)</f>
        <v>3.0968185718128205E-3</v>
      </c>
      <c r="EL48" s="3121">
        <f t="shared" ref="EL48" si="723">SUM(EF48-EC48)</f>
        <v>5.3556683005484551E-4</v>
      </c>
      <c r="EM48" s="3139">
        <f>SUM(EM47/EM46)</f>
        <v>0.29951541197214337</v>
      </c>
      <c r="EN48" s="3139">
        <f t="shared" si="714"/>
        <v>0.29951513918005668</v>
      </c>
      <c r="EO48" s="3139">
        <f t="shared" si="714"/>
        <v>0.30068807284711263</v>
      </c>
      <c r="EP48" s="3139" t="e">
        <f>SUM(EP47/EP46)</f>
        <v>#DIV/0!</v>
      </c>
      <c r="EQ48" s="3139" t="e">
        <f t="shared" si="714"/>
        <v>#DIV/0!</v>
      </c>
      <c r="ER48" s="3139" t="e">
        <f t="shared" si="714"/>
        <v>#DIV/0!</v>
      </c>
      <c r="ES48" s="3139">
        <f t="shared" si="714"/>
        <v>0.29764134471921522</v>
      </c>
      <c r="ET48" s="3139">
        <f t="shared" si="714"/>
        <v>0.29764112497028133</v>
      </c>
      <c r="EU48" s="3139">
        <f t="shared" si="714"/>
        <v>0.29920347773809736</v>
      </c>
      <c r="EV48" s="3139">
        <f>SUM(EV47/EV46)</f>
        <v>0.29951541197214337</v>
      </c>
      <c r="EW48" s="3139">
        <f t="shared" si="714"/>
        <v>0.29951513918005668</v>
      </c>
      <c r="EX48" s="3139">
        <f t="shared" si="714"/>
        <v>0.30068807284711263</v>
      </c>
      <c r="EY48" s="3139" t="e">
        <f>SUM(EY47/EY46)</f>
        <v>#DIV/0!</v>
      </c>
      <c r="EZ48" s="3139" t="e">
        <f t="shared" si="714"/>
        <v>#DIV/0!</v>
      </c>
      <c r="FA48" s="3139" t="e">
        <f t="shared" si="714"/>
        <v>#DIV/0!</v>
      </c>
      <c r="FB48" s="3139">
        <f t="shared" ref="FB48:FD48" si="724">SUM(FB47/FB46)</f>
        <v>0.30021099490971409</v>
      </c>
      <c r="FC48" s="3139">
        <f t="shared" si="724"/>
        <v>0.30021076941451696</v>
      </c>
      <c r="FD48" s="3139">
        <f t="shared" si="724"/>
        <v>0.30178661441318844</v>
      </c>
      <c r="FE48" s="3139">
        <f>SUM(FE47/FE46)</f>
        <v>0.29951541197214337</v>
      </c>
      <c r="FF48" s="3139">
        <f t="shared" si="714"/>
        <v>0.29951513918005668</v>
      </c>
      <c r="FG48" s="3139">
        <f t="shared" si="714"/>
        <v>0.30068807284711263</v>
      </c>
      <c r="FH48" s="3139" t="e">
        <f t="shared" si="714"/>
        <v>#DIV/0!</v>
      </c>
      <c r="FI48" s="3139" t="e">
        <f t="shared" si="714"/>
        <v>#DIV/0!</v>
      </c>
      <c r="FJ48" s="3139" t="e">
        <f t="shared" si="714"/>
        <v>#DIV/0!</v>
      </c>
      <c r="FK48" s="3139">
        <f t="shared" si="714"/>
        <v>0.30133569183251008</v>
      </c>
      <c r="FL48" s="3139">
        <f t="shared" si="714"/>
        <v>0.30133569183251008</v>
      </c>
      <c r="FM48" s="3139" t="e">
        <f t="shared" si="714"/>
        <v>#DIV/0!</v>
      </c>
      <c r="FN48" s="3140">
        <f t="shared" si="714"/>
        <v>0.29951541197214337</v>
      </c>
      <c r="FO48" s="3140">
        <f t="shared" si="714"/>
        <v>0.29951513918005673</v>
      </c>
      <c r="FP48" s="3140">
        <f t="shared" si="714"/>
        <v>0.30068807284711263</v>
      </c>
      <c r="FQ48" s="3140" t="e">
        <f t="shared" si="714"/>
        <v>#DIV/0!</v>
      </c>
      <c r="FR48" s="3140" t="e">
        <f t="shared" si="714"/>
        <v>#DIV/0!</v>
      </c>
      <c r="FS48" s="3140" t="e">
        <f t="shared" si="714"/>
        <v>#DIV/0!</v>
      </c>
      <c r="FT48" s="3140">
        <f t="shared" si="714"/>
        <v>0.29970789229257433</v>
      </c>
      <c r="FU48" s="3140">
        <f t="shared" si="714"/>
        <v>0.29970781729217932</v>
      </c>
      <c r="FV48" s="3140">
        <f t="shared" si="714"/>
        <v>0.30049424358639953</v>
      </c>
      <c r="FW48" s="3121" t="e">
        <f t="shared" ref="FW48" si="725">SUM(FQ48-FN48)</f>
        <v>#DIV/0!</v>
      </c>
      <c r="FX48" s="3121" t="e">
        <f t="shared" ref="FX48" si="726">SUM(FR48-FO48)</f>
        <v>#DIV/0!</v>
      </c>
      <c r="FY48" s="3121" t="e">
        <f t="shared" ref="FY48" si="727">SUM(FS48-FP48)</f>
        <v>#DIV/0!</v>
      </c>
      <c r="FZ48" s="3140">
        <f t="shared" si="714"/>
        <v>0.29951541197214337</v>
      </c>
      <c r="GA48" s="3140">
        <f t="shared" si="714"/>
        <v>0.29951513918005673</v>
      </c>
      <c r="GB48" s="3140">
        <f t="shared" si="714"/>
        <v>0.30068807284711263</v>
      </c>
      <c r="GC48" s="3140">
        <f t="shared" si="714"/>
        <v>0.30261148729034582</v>
      </c>
      <c r="GD48" s="3140">
        <f t="shared" si="714"/>
        <v>0.30261195775186955</v>
      </c>
      <c r="GE48" s="3140">
        <f t="shared" si="714"/>
        <v>0.30122363967716742</v>
      </c>
      <c r="GF48" s="3140">
        <f t="shared" si="714"/>
        <v>0.30168349232918795</v>
      </c>
      <c r="GG48" s="3140">
        <f t="shared" si="714"/>
        <v>0.30168312616843213</v>
      </c>
      <c r="GH48" s="3140">
        <f t="shared" si="714"/>
        <v>0.30365807523474819</v>
      </c>
      <c r="GI48" s="3233">
        <f t="shared" ref="GI48" si="728">SUM(GC48-FZ48)</f>
        <v>3.0960753182024403E-3</v>
      </c>
      <c r="GJ48" s="3231">
        <f t="shared" ref="GJ48" si="729">SUM(GD48-GA48)</f>
        <v>3.0968185718128205E-3</v>
      </c>
      <c r="GK48" s="3231">
        <f t="shared" ref="GK48" si="730">SUM(GE48-GB48)</f>
        <v>5.3556683005479E-4</v>
      </c>
      <c r="GL48" s="396"/>
    </row>
    <row r="49" spans="1:194" ht="18.75" x14ac:dyDescent="0.3">
      <c r="A49" s="3135" t="s">
        <v>3615</v>
      </c>
      <c r="B49" s="3277">
        <f t="shared" ref="B49:B73" si="731">SUM(C49:D49)</f>
        <v>1896.6979858365187</v>
      </c>
      <c r="C49" s="3277">
        <f>SUM('ПОЛНАЯ СЕБЕСТОИМОСТЬ ВОДА 2019'!C194/3)</f>
        <v>1896.3986475534866</v>
      </c>
      <c r="D49" s="3277">
        <f>SUM('ПОЛНАЯ СЕБЕСТОИМОСТЬ ВОДА 2019'!D194/3)</f>
        <v>0.29933828303212595</v>
      </c>
      <c r="E49" s="3136">
        <f t="shared" ref="E49:E70" si="732">SUM(F49:G49)</f>
        <v>2131.41</v>
      </c>
      <c r="F49" s="3136">
        <f>SUM('ПОЛНАЯ СЕБЕСТОИМОСТЬ ВОДА 2019'!F194)</f>
        <v>2131.41</v>
      </c>
      <c r="G49" s="3136">
        <f>SUM('ПОЛНАЯ СЕБЕСТОИМОСТЬ ВОДА 2019'!G194)</f>
        <v>0</v>
      </c>
      <c r="H49" s="3141">
        <f>SUM(H50:H53)</f>
        <v>1978.74</v>
      </c>
      <c r="I49" s="3141">
        <f t="shared" ref="I49:J49" si="733">SUM(I50:I53)</f>
        <v>1978.5221737602778</v>
      </c>
      <c r="J49" s="3141">
        <f t="shared" si="733"/>
        <v>0.21782623972210657</v>
      </c>
      <c r="K49" s="3277">
        <f t="shared" ref="K49:K70" si="734">SUM(L49:M49)</f>
        <v>1896.6979858365187</v>
      </c>
      <c r="L49" s="3277">
        <f t="shared" ref="L49:L68" si="735">SUM(C49)</f>
        <v>1896.3986475534866</v>
      </c>
      <c r="M49" s="3277">
        <f t="shared" ref="M49:M68" si="736">SUM(D49)</f>
        <v>0.29933828303212595</v>
      </c>
      <c r="N49" s="3136">
        <f t="shared" ref="N49:N70" si="737">SUM(O49:P49)</f>
        <v>2040.59</v>
      </c>
      <c r="O49" s="3136">
        <f>SUM('ПОЛНАЯ СЕБЕСТОИМОСТЬ ВОДА 2019'!I194)</f>
        <v>2040.59</v>
      </c>
      <c r="P49" s="3136">
        <f>SUM('ПОЛНАЯ СЕБЕСТОИМОСТЬ ВОДА 2019'!J194)</f>
        <v>0</v>
      </c>
      <c r="Q49" s="3141">
        <f>SUM(Q50:Q53)</f>
        <v>1938.32</v>
      </c>
      <c r="R49" s="3141">
        <f t="shared" ref="R49:S49" si="738">SUM(R50:R53)</f>
        <v>1938.0333015951014</v>
      </c>
      <c r="S49" s="3141">
        <f t="shared" si="738"/>
        <v>0.28669840489847143</v>
      </c>
      <c r="T49" s="3277">
        <f t="shared" ref="T49:T70" si="739">SUM(U49:V49)</f>
        <v>1896.6979858365187</v>
      </c>
      <c r="U49" s="3277">
        <f t="shared" ref="U49:U68" si="740">SUM(L49)</f>
        <v>1896.3986475534866</v>
      </c>
      <c r="V49" s="3277">
        <f t="shared" ref="V49:V68" si="741">SUM(M49)</f>
        <v>0.29933828303212595</v>
      </c>
      <c r="W49" s="3136">
        <f t="shared" ref="W49:W70" si="742">SUM(X49:Y49)</f>
        <v>2006.3499999999997</v>
      </c>
      <c r="X49" s="3136">
        <f>SUM('ПОЛНАЯ СЕБЕСТОИМОСТЬ ВОДА 2019'!L194)</f>
        <v>2006.3499999999997</v>
      </c>
      <c r="Y49" s="3136">
        <f>SUM('ПОЛНАЯ СЕБЕСТОИМОСТЬ ВОДА 2019'!M194)</f>
        <v>0</v>
      </c>
      <c r="Z49" s="3141">
        <f>SUM(Z50:Z53)</f>
        <v>2110.91</v>
      </c>
      <c r="AA49" s="3141">
        <f t="shared" ref="AA49:AB49" si="743">SUM(AA50:AA53)</f>
        <v>2110.681753985386</v>
      </c>
      <c r="AB49" s="3141">
        <f t="shared" si="743"/>
        <v>0.22824601461382826</v>
      </c>
      <c r="AC49" s="3114">
        <f t="shared" ref="AC49:AC68" si="744">SUM(B49+K49+T49)</f>
        <v>5690.0939575095563</v>
      </c>
      <c r="AD49" s="3114">
        <f t="shared" ref="AD49:AD68" si="745">SUM(C49+L49+U49)</f>
        <v>5689.1959426604599</v>
      </c>
      <c r="AE49" s="3114">
        <f t="shared" ref="AE49:AE68" si="746">SUM(D49+M49+V49)</f>
        <v>0.89801484909637785</v>
      </c>
      <c r="AF49" s="3123">
        <f t="shared" ref="AF49:AF68" si="747">SUM(E49+N49+W49)</f>
        <v>6178.3499999999995</v>
      </c>
      <c r="AG49" s="3123">
        <f t="shared" ref="AG49:AG68" si="748">SUM(F49+O49+X49)</f>
        <v>6178.3499999999995</v>
      </c>
      <c r="AH49" s="3123">
        <f t="shared" ref="AH49:AH68" si="749">SUM(G49+P49+Y49)</f>
        <v>0</v>
      </c>
      <c r="AI49" s="3123">
        <f t="shared" ref="AI49:AI68" si="750">SUM(H49+Q49+Z49)</f>
        <v>6027.9699999999993</v>
      </c>
      <c r="AJ49" s="3123">
        <f t="shared" ref="AJ49:AJ68" si="751">SUM(I49+R49+AA49)</f>
        <v>6027.2372293407652</v>
      </c>
      <c r="AK49" s="3123">
        <f t="shared" ref="AK49:AK68" si="752">SUM(J49+S49+AB49)</f>
        <v>0.73277065923440632</v>
      </c>
      <c r="AL49" s="3115">
        <f t="shared" ref="AL49:AL71" si="753">SUM(AF49-AC49)</f>
        <v>488.25604249044318</v>
      </c>
      <c r="AM49" s="3115">
        <f t="shared" ref="AM49:AM71" si="754">SUM(AG49-AD49)</f>
        <v>489.15405733953958</v>
      </c>
      <c r="AN49" s="3115">
        <f t="shared" ref="AN49:AN71" si="755">SUM(AH49-AE49)</f>
        <v>-0.89801484909637785</v>
      </c>
      <c r="AO49" s="3277">
        <f t="shared" ref="AO49:AO70" si="756">SUM(AP49:AQ49)</f>
        <v>1896.6979858365187</v>
      </c>
      <c r="AP49" s="3277">
        <f>SUM('ПОЛНАЯ СЕБЕСТОИМОСТЬ ВОДА 2019'!R194/3)</f>
        <v>1896.3986475534866</v>
      </c>
      <c r="AQ49" s="3277">
        <f>SUM('ПОЛНАЯ СЕБЕСТОИМОСТЬ ВОДА 2019'!S194/3)</f>
        <v>0.29933828303212595</v>
      </c>
      <c r="AR49" s="3277">
        <f t="shared" ref="AR49:AR70" si="757">SUM(AS49:AT49)</f>
        <v>1728.53</v>
      </c>
      <c r="AS49" s="3277">
        <f>SUM('ПОЛНАЯ СЕБЕСТОИМОСТЬ ВОДА 2019'!U194)</f>
        <v>1728.53</v>
      </c>
      <c r="AT49" s="3277">
        <f>SUM('ПОЛНАЯ СЕБЕСТОИМОСТЬ ВОДА 2019'!V194)</f>
        <v>0</v>
      </c>
      <c r="AU49" s="3469">
        <f>SUM(AU50:AU53)</f>
        <v>1860.16</v>
      </c>
      <c r="AV49" s="3469">
        <f t="shared" ref="AV49:AW49" si="758">SUM(AV50:AV53)</f>
        <v>1859.6523761451072</v>
      </c>
      <c r="AW49" s="3469">
        <f t="shared" si="758"/>
        <v>0.50762385489277673</v>
      </c>
      <c r="AX49" s="3277">
        <f t="shared" ref="AX49:AX70" si="759">SUM(AY49:AZ49)</f>
        <v>1896.6979858365187</v>
      </c>
      <c r="AY49" s="3277">
        <f t="shared" ref="AY49:AY68" si="760">SUM(AP49)</f>
        <v>1896.3986475534866</v>
      </c>
      <c r="AZ49" s="3277">
        <f t="shared" ref="AZ49:AZ68" si="761">SUM(AQ49)</f>
        <v>0.29933828303212595</v>
      </c>
      <c r="BA49" s="3277">
        <f t="shared" ref="BA49:BA70" si="762">SUM(BB49:BC49)</f>
        <v>1368.5800000000002</v>
      </c>
      <c r="BB49" s="3277">
        <f>SUM('ПОЛНАЯ СЕБЕСТОИМОСТЬ ВОДА 2019'!X194)</f>
        <v>1368.5800000000002</v>
      </c>
      <c r="BC49" s="3277">
        <f>SUM('ПОЛНАЯ СЕБЕСТОИМОСТЬ ВОДА 2019'!Y194)</f>
        <v>0</v>
      </c>
      <c r="BD49" s="3141">
        <f>SUM(BD50:BD53)</f>
        <v>1364.3799999999999</v>
      </c>
      <c r="BE49" s="3141">
        <f t="shared" ref="BE49:BF49" si="763">SUM(BE50:BE53)</f>
        <v>1364.2499475509894</v>
      </c>
      <c r="BF49" s="3141">
        <f t="shared" si="763"/>
        <v>0.13005244901069188</v>
      </c>
      <c r="BG49" s="3277">
        <f t="shared" ref="BG49:BG70" si="764">SUM(BH49:BI49)</f>
        <v>1896.6979858365187</v>
      </c>
      <c r="BH49" s="3277">
        <f t="shared" ref="BH49:BH68" si="765">SUM(AY49)</f>
        <v>1896.3986475534866</v>
      </c>
      <c r="BI49" s="3277">
        <f t="shared" ref="BI49:BI68" si="766">SUM(AZ49)</f>
        <v>0.29933828303212595</v>
      </c>
      <c r="BJ49" s="3136">
        <f t="shared" ref="BJ49:BJ70" si="767">SUM(BK49:BL49)</f>
        <v>1570.83</v>
      </c>
      <c r="BK49" s="3136">
        <f>SUM('ПОЛНАЯ СЕБЕСТОИМОСТЬ ВОДА 2019'!AA194)</f>
        <v>1570.83</v>
      </c>
      <c r="BL49" s="3136">
        <f>SUM('ПОЛНАЯ СЕБЕСТОИМОСТЬ ВОДА 2019'!AB194)</f>
        <v>0</v>
      </c>
      <c r="BM49" s="3141">
        <f>SUM(BM50:BM53)</f>
        <v>1429.1999999999998</v>
      </c>
      <c r="BN49" s="3141">
        <f t="shared" ref="BN49:BO49" si="768">SUM(BN50:BN53)</f>
        <v>1429.0863317818473</v>
      </c>
      <c r="BO49" s="3141">
        <f t="shared" si="768"/>
        <v>0.11366821815255924</v>
      </c>
      <c r="BP49" s="3114">
        <f t="shared" ref="BP49:BP65" si="769">SUM(AO49+AX49+BG49)</f>
        <v>5690.0939575095563</v>
      </c>
      <c r="BQ49" s="3114">
        <f t="shared" ref="BQ49:BQ68" si="770">SUM(AP49+AY49+BH49)</f>
        <v>5689.1959426604599</v>
      </c>
      <c r="BR49" s="3114">
        <f t="shared" ref="BR49:BR68" si="771">SUM(AQ49+AZ49+BI49)</f>
        <v>0.89801484909637785</v>
      </c>
      <c r="BS49" s="3142">
        <f t="shared" ref="BS49:BS68" si="772">SUM(AR49+BA49+BJ49)</f>
        <v>4667.9400000000005</v>
      </c>
      <c r="BT49" s="3142">
        <f t="shared" ref="BT49:BT68" si="773">SUM(AS49+BB49+BK49)</f>
        <v>4667.9400000000005</v>
      </c>
      <c r="BU49" s="3142">
        <f t="shared" ref="BU49:BU68" si="774">SUM(AT49+BC49+BL49)</f>
        <v>0</v>
      </c>
      <c r="BV49" s="3142">
        <f t="shared" ref="BV49:BV67" si="775">SUM(AU49+BD49+BM49)</f>
        <v>4653.74</v>
      </c>
      <c r="BW49" s="3142">
        <f t="shared" ref="BW49:BW67" si="776">SUM(AV49+BE49+BN49)</f>
        <v>4652.9886554779441</v>
      </c>
      <c r="BX49" s="3142">
        <f t="shared" ref="BX49:BX67" si="777">SUM(AW49+BF49+BO49)</f>
        <v>0.75134452205602786</v>
      </c>
      <c r="BY49" s="3143">
        <f t="shared" si="554"/>
        <v>-1022.1539575095558</v>
      </c>
      <c r="BZ49" s="3143">
        <f t="shared" ref="BZ49:BZ62" si="778">SUM(BT49-BQ49)</f>
        <v>-1021.2559426604594</v>
      </c>
      <c r="CA49" s="3143">
        <f t="shared" ref="CA49:CA62" si="779">SUM(BU49-BR49)</f>
        <v>-0.89801484909637785</v>
      </c>
      <c r="CB49" s="3114">
        <f t="shared" ref="CB49:CB65" si="780">SUM(AC49+BP49)</f>
        <v>11380.187915019113</v>
      </c>
      <c r="CC49" s="3114">
        <f t="shared" ref="CC49:CC68" si="781">SUM(AD49+BQ49)</f>
        <v>11378.39188532092</v>
      </c>
      <c r="CD49" s="3114">
        <f t="shared" ref="CD49:CD68" si="782">SUM(AE49+BR49)</f>
        <v>1.7960296981927557</v>
      </c>
      <c r="CE49" s="3142">
        <f t="shared" ref="CE49:CE68" si="783">SUM(AF49+BS49)</f>
        <v>10846.29</v>
      </c>
      <c r="CF49" s="3142">
        <f t="shared" ref="CF49:CF68" si="784">SUM(AG49+BT49)</f>
        <v>10846.29</v>
      </c>
      <c r="CG49" s="3142">
        <f t="shared" ref="CG49:CG68" si="785">SUM(AH49+BU49)</f>
        <v>0</v>
      </c>
      <c r="CH49" s="3142">
        <f t="shared" ref="CH49:CH68" si="786">SUM(AI49+BV49)</f>
        <v>10681.71</v>
      </c>
      <c r="CI49" s="3142">
        <f t="shared" ref="CI49:CI68" si="787">SUM(AJ49+BW49)</f>
        <v>10680.225884818708</v>
      </c>
      <c r="CJ49" s="3142">
        <f t="shared" ref="CJ49:CJ68" si="788">SUM(AK49+BX49)</f>
        <v>1.4841151812904343</v>
      </c>
      <c r="CK49" s="3143">
        <f t="shared" si="566"/>
        <v>-533.89791501911168</v>
      </c>
      <c r="CL49" s="3143">
        <f t="shared" ref="CL49:CL62" si="789">SUM(CF49-CC49)</f>
        <v>-532.10188532091888</v>
      </c>
      <c r="CM49" s="3143">
        <f t="shared" ref="CM49:CM62" si="790">SUM(CG49-CD49)</f>
        <v>-1.7960296981927557</v>
      </c>
      <c r="CN49" s="3277">
        <f t="shared" ref="CN49:CN70" si="791">SUM(CO49:CP49)</f>
        <v>1896.6979858365187</v>
      </c>
      <c r="CO49" s="3277">
        <f>SUM('ПОЛНАЯ СЕБЕСТОИМОСТЬ ВОДА 2019'!AP194/3)</f>
        <v>1896.3986475534866</v>
      </c>
      <c r="CP49" s="3277">
        <f>SUM('ПОЛНАЯ СЕБЕСТОИМОСТЬ ВОДА 2019'!AQ194/3)</f>
        <v>0.29933828303212595</v>
      </c>
      <c r="CQ49" s="3136">
        <f t="shared" ref="CQ49:CQ70" si="792">SUM(CR49:CS49)</f>
        <v>1298.5999999999999</v>
      </c>
      <c r="CR49" s="3136">
        <f>SUM('ПОЛНАЯ СЕБЕСТОИМОСТЬ ВОДА 2019'!AS194)</f>
        <v>1298.5999999999999</v>
      </c>
      <c r="CS49" s="3136">
        <f>SUM('ПОЛНАЯ СЕБЕСТОИМОСТЬ ВОДА 2019'!AT194)</f>
        <v>0</v>
      </c>
      <c r="CT49" s="3141">
        <f>SUM(CT50:CT53)</f>
        <v>1677.17</v>
      </c>
      <c r="CU49" s="3141">
        <f t="shared" ref="CU49:CV49" si="793">SUM(CU50:CU53)</f>
        <v>1677.0431303966311</v>
      </c>
      <c r="CV49" s="3141">
        <f t="shared" si="793"/>
        <v>0.12686960336883613</v>
      </c>
      <c r="CW49" s="3277">
        <f t="shared" ref="CW49:CW70" si="794">SUM(CX49:CY49)</f>
        <v>1896.6979858365187</v>
      </c>
      <c r="CX49" s="3277">
        <f t="shared" ref="CX49:CX68" si="795">SUM(CO49)</f>
        <v>1896.3986475534866</v>
      </c>
      <c r="CY49" s="3277">
        <f t="shared" ref="CY49:CY68" si="796">SUM(CP49)</f>
        <v>0.29933828303212595</v>
      </c>
      <c r="CZ49" s="3136">
        <f t="shared" ref="CZ49:CZ68" si="797">SUM(DA49:DB49)</f>
        <v>1594.48</v>
      </c>
      <c r="DA49" s="3136">
        <f>SUM('ПОЛНАЯ СЕБЕСТОИМОСТЬ ВОДА 2019'!AV194)</f>
        <v>1594.48</v>
      </c>
      <c r="DB49" s="3136">
        <f>SUM('ПОЛНАЯ СЕБЕСТОИМОСТЬ ВОДА 2019'!AW194)</f>
        <v>0</v>
      </c>
      <c r="DC49" s="3141">
        <f>SUM(DC50:DC53)</f>
        <v>1372.88</v>
      </c>
      <c r="DD49" s="3141">
        <f t="shared" ref="DD49:DE49" si="798">SUM(DD50:DD53)</f>
        <v>1372.7823779935486</v>
      </c>
      <c r="DE49" s="3141">
        <f t="shared" si="798"/>
        <v>9.7622006451410712E-2</v>
      </c>
      <c r="DF49" s="3277">
        <f t="shared" ref="DF49:DF70" si="799">SUM(DG49:DH49)</f>
        <v>1896.6979858365187</v>
      </c>
      <c r="DG49" s="3277">
        <f t="shared" ref="DG49:DG68" si="800">SUM(CX49)</f>
        <v>1896.3986475534866</v>
      </c>
      <c r="DH49" s="3277">
        <f t="shared" ref="DH49:DH68" si="801">SUM(CY49)</f>
        <v>0.29933828303212595</v>
      </c>
      <c r="DI49" s="3136">
        <f t="shared" ref="DI49:DI70" si="802">SUM(DJ49:DK49)</f>
        <v>1426.0100000000002</v>
      </c>
      <c r="DJ49" s="3136">
        <f>SUM('ПОЛНАЯ СЕБЕСТОИМОСТЬ ВОДА 2019'!AY194)</f>
        <v>1426.0100000000002</v>
      </c>
      <c r="DK49" s="3136">
        <f>SUM('ПОЛНАЯ СЕБЕСТОИМОСТЬ ВОДА 2019'!AZ194)</f>
        <v>0</v>
      </c>
      <c r="DL49" s="3141">
        <f>SUM(DL50:DL53)</f>
        <v>1763.49</v>
      </c>
      <c r="DM49" s="3141">
        <f t="shared" ref="DM49:DN49" si="803">SUM(DM50:DM53)</f>
        <v>1763.3623129423108</v>
      </c>
      <c r="DN49" s="3141">
        <f t="shared" si="803"/>
        <v>0.12768705768920086</v>
      </c>
      <c r="DO49" s="3114">
        <f t="shared" ref="DO49:DO65" si="804">SUM(CN49+CW49+DF49)</f>
        <v>5690.0939575095563</v>
      </c>
      <c r="DP49" s="3114">
        <f t="shared" ref="DP49:DP68" si="805">SUM(CO49+CX49+DG49)</f>
        <v>5689.1959426604599</v>
      </c>
      <c r="DQ49" s="3114">
        <f t="shared" ref="DQ49:DQ68" si="806">SUM(CP49+CY49+DH49)</f>
        <v>0.89801484909637785</v>
      </c>
      <c r="DR49" s="3142">
        <f t="shared" ref="DR49:DR68" si="807">SUM(CQ49+CZ49+DI49)</f>
        <v>4319.09</v>
      </c>
      <c r="DS49" s="3142">
        <f t="shared" ref="DS49:DS68" si="808">SUM(CR49+DA49+DJ49)</f>
        <v>4319.09</v>
      </c>
      <c r="DT49" s="3142">
        <f t="shared" ref="DT49:DT68" si="809">SUM(CS49+DB49+DK49)</f>
        <v>0</v>
      </c>
      <c r="DU49" s="3142">
        <f t="shared" ref="DU49:DU67" si="810">SUM(CT49+DC49+DL49)</f>
        <v>4813.54</v>
      </c>
      <c r="DV49" s="3142">
        <f t="shared" ref="DV49:DV67" si="811">SUM(CU49+DD49+DM49)</f>
        <v>4813.1878213324908</v>
      </c>
      <c r="DW49" s="3142">
        <f t="shared" ref="DW49:DW67" si="812">SUM(CV49+DE49+DN49)</f>
        <v>0.35217866750944771</v>
      </c>
      <c r="DX49" s="3143">
        <f t="shared" si="578"/>
        <v>-1371.0039575095561</v>
      </c>
      <c r="DY49" s="3143">
        <f t="shared" ref="DY49:DY71" si="813">SUM(DS49-DP49)</f>
        <v>-1370.1059426604597</v>
      </c>
      <c r="DZ49" s="3143">
        <f t="shared" ref="DZ49:DZ71" si="814">SUM(DT49-DQ49)</f>
        <v>-0.89801484909637785</v>
      </c>
      <c r="EA49" s="3114">
        <f t="shared" ref="EA49:EA65" si="815">SUM(CB49+DO49)</f>
        <v>17070.281872528671</v>
      </c>
      <c r="EB49" s="3114">
        <f t="shared" ref="EB49:EB68" si="816">SUM(CC49+DP49)</f>
        <v>17067.587827981381</v>
      </c>
      <c r="EC49" s="3114">
        <f t="shared" ref="EC49:EC68" si="817">SUM(CD49+DQ49)</f>
        <v>2.6940445472891335</v>
      </c>
      <c r="ED49" s="3142">
        <f t="shared" ref="ED49:ED68" si="818">SUM(CE49+DR49)</f>
        <v>15165.380000000001</v>
      </c>
      <c r="EE49" s="3142">
        <f t="shared" ref="EE49:EE68" si="819">SUM(CF49+DS49)</f>
        <v>15165.380000000001</v>
      </c>
      <c r="EF49" s="3142">
        <f t="shared" ref="EF49:EF68" si="820">SUM(CG49+DT49)</f>
        <v>0</v>
      </c>
      <c r="EG49" s="3142">
        <f t="shared" ref="EG49:EG68" si="821">SUM(CH49+DU49)</f>
        <v>15495.25</v>
      </c>
      <c r="EH49" s="3142">
        <f t="shared" ref="EH49:EH68" si="822">SUM(CI49+DV49)</f>
        <v>15493.413706151199</v>
      </c>
      <c r="EI49" s="3142">
        <f t="shared" ref="EI49:EI68" si="823">SUM(CJ49+DW49)</f>
        <v>1.8362938487998819</v>
      </c>
      <c r="EJ49" s="3143">
        <f t="shared" si="590"/>
        <v>-1904.9018725286696</v>
      </c>
      <c r="EK49" s="3143">
        <f t="shared" si="590"/>
        <v>-1902.2078279813795</v>
      </c>
      <c r="EL49" s="3143">
        <f t="shared" si="590"/>
        <v>-2.6940445472891335</v>
      </c>
      <c r="EM49" s="3277">
        <f t="shared" ref="EM49:EM68" si="824">SUM(EN49:EO49)</f>
        <v>1896.6979858365187</v>
      </c>
      <c r="EN49" s="3277">
        <f>SUM('ПОЛНАЯ СЕБЕСТОИМОСТЬ ВОДА 2019'!BN194/3)</f>
        <v>1896.3986475534866</v>
      </c>
      <c r="EO49" s="3277">
        <f>SUM('ПОЛНАЯ СЕБЕСТОИМОСТЬ ВОДА 2019'!BO194/3)</f>
        <v>0.29933828303212595</v>
      </c>
      <c r="EP49" s="3136">
        <f t="shared" ref="EP49:EP68" si="825">SUM(EQ49:ER49)</f>
        <v>0</v>
      </c>
      <c r="EQ49" s="3136">
        <f>SUM('ПОЛНАЯ СЕБЕСТОИМОСТЬ ВОДА 2019'!BQ194)</f>
        <v>0</v>
      </c>
      <c r="ER49" s="3136">
        <f>SUM('ПОЛНАЯ СЕБЕСТОИМОСТЬ ВОДА 2019'!BR194)</f>
        <v>0</v>
      </c>
      <c r="ES49" s="3141">
        <f>SUM(ES50:ES53)</f>
        <v>1859.5</v>
      </c>
      <c r="ET49" s="3141">
        <f t="shared" ref="ET49:EU49" si="826">SUM(ET50:ET53)</f>
        <v>1859.3647021936645</v>
      </c>
      <c r="EU49" s="3141">
        <f t="shared" si="826"/>
        <v>0.13529780633549654</v>
      </c>
      <c r="EV49" s="3277">
        <f t="shared" ref="EV49:EV68" si="827">SUM(EW49:EX49)</f>
        <v>1896.6979858365187</v>
      </c>
      <c r="EW49" s="3277">
        <f t="shared" ref="EW49:EW68" si="828">SUM(EN49)</f>
        <v>1896.3986475534866</v>
      </c>
      <c r="EX49" s="3277">
        <f t="shared" ref="EX49:EX68" si="829">SUM(EO49)</f>
        <v>0.29933828303212595</v>
      </c>
      <c r="EY49" s="3136">
        <f t="shared" ref="EY49:EY68" si="830">SUM(EZ49:FA49)</f>
        <v>0</v>
      </c>
      <c r="EZ49" s="3136">
        <f>SUM('ПОЛНАЯ СЕБЕСТОИМОСТЬ ВОДА 2019'!BT194)</f>
        <v>0</v>
      </c>
      <c r="FA49" s="3136">
        <f>SUM('ПОЛНАЯ СЕБЕСТОИМОСТЬ ВОДА 2019'!BU194)</f>
        <v>0</v>
      </c>
      <c r="FB49" s="3141">
        <f>SUM(FB50:FB53)</f>
        <v>2085.65</v>
      </c>
      <c r="FC49" s="3141">
        <f t="shared" ref="FC49:FD49" si="831">SUM(FC50:FC53)</f>
        <v>2085.4945167305405</v>
      </c>
      <c r="FD49" s="3141">
        <f t="shared" si="831"/>
        <v>0.15548326945959687</v>
      </c>
      <c r="FE49" s="3277">
        <f t="shared" ref="FE49:FE68" si="832">SUM(FF49:FG49)</f>
        <v>1896.6979858365187</v>
      </c>
      <c r="FF49" s="3277">
        <f t="shared" ref="FF49:FF68" si="833">SUM(EW49)</f>
        <v>1896.3986475534866</v>
      </c>
      <c r="FG49" s="3277">
        <f t="shared" ref="FG49:FG68" si="834">SUM(EX49)</f>
        <v>0.29933828303212595</v>
      </c>
      <c r="FH49" s="3136">
        <f>SUM('[19]ПОЛНАЯ СЕБЕСТОИМОСТЬ ВОДА 2018'!Z195)</f>
        <v>0</v>
      </c>
      <c r="FI49" s="3136">
        <f>SUM('ПОЛНАЯ СЕБЕСТОИМОСТЬ ВОДА 2019'!BW194)</f>
        <v>0</v>
      </c>
      <c r="FJ49" s="3136">
        <f>SUM('ПОЛНАЯ СЕБЕСТОИМОСТЬ ВОДА 2019'!BX194)</f>
        <v>0</v>
      </c>
      <c r="FK49" s="3141">
        <f>SUM(FK50:FK53)</f>
        <v>2218.5</v>
      </c>
      <c r="FL49" s="3141">
        <f t="shared" ref="FL49:FM49" si="835">SUM(FL50:FL53)</f>
        <v>2218.5</v>
      </c>
      <c r="FM49" s="3141">
        <f t="shared" si="835"/>
        <v>0</v>
      </c>
      <c r="FN49" s="3114">
        <f t="shared" ref="FN49:FN68" si="836">SUM(EM49+EV49+FE49)</f>
        <v>5690.0939575095563</v>
      </c>
      <c r="FO49" s="3114">
        <f t="shared" ref="FO49:FO68" si="837">SUM(EN49+EW49+FF49)</f>
        <v>5689.1959426604599</v>
      </c>
      <c r="FP49" s="3114">
        <f t="shared" ref="FP49:FP68" si="838">SUM(EO49+EX49+FG49)</f>
        <v>0.89801484909637785</v>
      </c>
      <c r="FQ49" s="3123">
        <f t="shared" ref="FQ49:FQ68" si="839">SUM(EP49+EY49+FH49)</f>
        <v>0</v>
      </c>
      <c r="FR49" s="3123">
        <f t="shared" ref="FR49:FR68" si="840">SUM(EQ49+EZ49+FI49)</f>
        <v>0</v>
      </c>
      <c r="FS49" s="3123">
        <f t="shared" ref="FS49:FS68" si="841">SUM(ER49+FA49+FJ49)</f>
        <v>0</v>
      </c>
      <c r="FT49" s="3123">
        <f t="shared" ref="FT49:FT68" si="842">SUM(ES49+FB49+FK49)</f>
        <v>6163.65</v>
      </c>
      <c r="FU49" s="3123">
        <f t="shared" ref="FU49:FU68" si="843">SUM(ET49+FC49+FL49)</f>
        <v>6163.3592189242045</v>
      </c>
      <c r="FV49" s="3123">
        <f t="shared" ref="FV49:FV68" si="844">SUM(EU49+FD49+FM49)</f>
        <v>0.29078107579509338</v>
      </c>
      <c r="FW49" s="3115">
        <f t="shared" si="600"/>
        <v>-5690.0939575095563</v>
      </c>
      <c r="FX49" s="3115">
        <f t="shared" ref="FX49:FX71" si="845">SUM(FR49-FO49)</f>
        <v>-5689.1959426604599</v>
      </c>
      <c r="FY49" s="3115">
        <f t="shared" ref="FY49:FY71" si="846">SUM(FS49-FP49)</f>
        <v>-0.89801484909637785</v>
      </c>
      <c r="FZ49" s="3222">
        <f t="shared" ref="FZ49:FZ68" si="847">SUM(EA49+FN49)</f>
        <v>22760.375830038225</v>
      </c>
      <c r="GA49" s="3222">
        <f t="shared" ref="GA49:GA68" si="848">SUM(EB49+FO49)</f>
        <v>22756.78377064184</v>
      </c>
      <c r="GB49" s="3222">
        <f t="shared" ref="GB49:GB68" si="849">SUM(EC49+FP49)</f>
        <v>3.5920593963855114</v>
      </c>
      <c r="GC49" s="3230">
        <f t="shared" ref="GC49:GC68" si="850">SUM(ED49+FQ49)</f>
        <v>15165.380000000001</v>
      </c>
      <c r="GD49" s="3230">
        <f t="shared" ref="GD49:GD68" si="851">SUM(EE49+FR49)</f>
        <v>15165.380000000001</v>
      </c>
      <c r="GE49" s="3230">
        <f t="shared" ref="GE49:GE68" si="852">SUM(EF49+FS49)</f>
        <v>0</v>
      </c>
      <c r="GF49" s="3230">
        <f t="shared" ref="GF49:GF68" si="853">SUM(EG49+FT49)</f>
        <v>21658.9</v>
      </c>
      <c r="GG49" s="3230">
        <f t="shared" ref="GG49:GG68" si="854">SUM(EH49+FU49)</f>
        <v>21656.772925075406</v>
      </c>
      <c r="GH49" s="3230">
        <f t="shared" ref="GH49:GH68" si="855">SUM(EI49+FV49)</f>
        <v>2.1270749245949752</v>
      </c>
      <c r="GI49" s="3231">
        <f t="shared" ref="GI49:GI68" si="856">SUM(GC49-FZ49)</f>
        <v>-7594.9958300382241</v>
      </c>
      <c r="GJ49" s="3231">
        <f t="shared" ref="GJ49:GJ71" si="857">SUM(GD49-GA49)</f>
        <v>-7591.4037706418385</v>
      </c>
      <c r="GK49" s="3231">
        <f t="shared" ref="GK49:GK71" si="858">SUM(GE49-GB49)</f>
        <v>-3.5920593963855114</v>
      </c>
      <c r="GL49" s="396"/>
    </row>
    <row r="50" spans="1:194" ht="18.75" x14ac:dyDescent="0.3">
      <c r="A50" s="3138" t="s">
        <v>3616</v>
      </c>
      <c r="B50" s="3276">
        <f t="shared" si="731"/>
        <v>586.51367546497545</v>
      </c>
      <c r="C50" s="3276">
        <f>SUM('ПОЛНАЯ СЕБЕСТОИМОСТЬ ВОДА 2019'!C195/3)</f>
        <v>586.44766445167386</v>
      </c>
      <c r="D50" s="3276">
        <f>SUM('ПОЛНАЯ СЕБЕСТОИМОСТЬ ВОДА 2019'!D195/3)</f>
        <v>6.6011013301635765E-2</v>
      </c>
      <c r="E50" s="3145">
        <f t="shared" si="732"/>
        <v>647.44000000000005</v>
      </c>
      <c r="F50" s="3145">
        <f>SUM('ПОЛНАЯ СЕБЕСТОИМОСТЬ ВОДА 2019'!F195)</f>
        <v>647.44000000000005</v>
      </c>
      <c r="G50" s="3145">
        <f>SUM('ПОЛНАЯ СЕБЕСТОИМОСТЬ ВОДА 2019'!G195)</f>
        <v>0</v>
      </c>
      <c r="H50" s="3146">
        <v>601.05999999999995</v>
      </c>
      <c r="I50" s="3149">
        <f t="shared" ref="I50:I68" si="859">SUM(H50-J50)</f>
        <v>601.00404111310888</v>
      </c>
      <c r="J50" s="3149">
        <f>SUM(H50/H14*J14)*0.21235521235</f>
        <v>5.5958886891030409E-2</v>
      </c>
      <c r="K50" s="3276">
        <f t="shared" si="734"/>
        <v>586.51367546497545</v>
      </c>
      <c r="L50" s="3276">
        <f t="shared" si="735"/>
        <v>586.44766445167386</v>
      </c>
      <c r="M50" s="3276">
        <f t="shared" si="736"/>
        <v>6.6011013301635765E-2</v>
      </c>
      <c r="N50" s="3145">
        <f t="shared" si="737"/>
        <v>483.36</v>
      </c>
      <c r="O50" s="3145">
        <f>SUM('ПОЛНАЯ СЕБЕСТОИМОСТЬ ВОДА 2019'!I195)</f>
        <v>483.36</v>
      </c>
      <c r="P50" s="3145">
        <f>SUM('ПОЛНАЯ СЕБЕСТОИМОСТЬ ВОДА 2019'!J195)</f>
        <v>0</v>
      </c>
      <c r="Q50" s="3146">
        <v>577.16999999999996</v>
      </c>
      <c r="R50" s="3149">
        <f t="shared" ref="R50:R68" si="860">SUM(Q50-S50)</f>
        <v>577.10008932907385</v>
      </c>
      <c r="S50" s="3149">
        <f>SUM(Q50/Q14*S14)*0.21235521235</f>
        <v>6.9910670926161878E-2</v>
      </c>
      <c r="T50" s="3276">
        <f t="shared" si="739"/>
        <v>586.51367546497545</v>
      </c>
      <c r="U50" s="3276">
        <f t="shared" si="740"/>
        <v>586.44766445167386</v>
      </c>
      <c r="V50" s="3276">
        <f t="shared" si="741"/>
        <v>6.6011013301635765E-2</v>
      </c>
      <c r="W50" s="3145">
        <f t="shared" si="742"/>
        <v>702.38000000000011</v>
      </c>
      <c r="X50" s="3145">
        <f>SUM('ПОЛНАЯ СЕБЕСТОИМОСТЬ ВОДА 2019'!L195)</f>
        <v>702.38000000000011</v>
      </c>
      <c r="Y50" s="3145">
        <f>SUM('ПОЛНАЯ СЕБЕСТОИМОСТЬ ВОДА 2019'!M195)</f>
        <v>0</v>
      </c>
      <c r="Z50" s="3146">
        <v>603.05999999999995</v>
      </c>
      <c r="AA50" s="3149">
        <f t="shared" ref="AA50:AA68" si="861">SUM(Z50-AB50)</f>
        <v>603.00832351831593</v>
      </c>
      <c r="AB50" s="3149">
        <f>SUM(Z50/Z14*AB14)*0.21235521235</f>
        <v>5.1676481683956263E-2</v>
      </c>
      <c r="AC50" s="3120">
        <f t="shared" si="744"/>
        <v>1759.5410263949263</v>
      </c>
      <c r="AD50" s="3120">
        <f t="shared" si="745"/>
        <v>1759.3429933550215</v>
      </c>
      <c r="AE50" s="3120">
        <f t="shared" si="746"/>
        <v>0.19803303990490728</v>
      </c>
      <c r="AF50" s="3126">
        <f t="shared" si="747"/>
        <v>1833.1800000000003</v>
      </c>
      <c r="AG50" s="3126">
        <f t="shared" si="748"/>
        <v>1833.1800000000003</v>
      </c>
      <c r="AH50" s="3126">
        <f t="shared" si="749"/>
        <v>0</v>
      </c>
      <c r="AI50" s="3126">
        <f t="shared" si="750"/>
        <v>1781.29</v>
      </c>
      <c r="AJ50" s="3126">
        <f t="shared" si="751"/>
        <v>1781.1124539604989</v>
      </c>
      <c r="AK50" s="3126">
        <f t="shared" si="752"/>
        <v>0.17754603950114856</v>
      </c>
      <c r="AL50" s="3121">
        <f t="shared" si="753"/>
        <v>73.638973605073943</v>
      </c>
      <c r="AM50" s="3121">
        <f t="shared" si="754"/>
        <v>73.837006644978828</v>
      </c>
      <c r="AN50" s="3121">
        <f t="shared" si="755"/>
        <v>-0.19803303990490728</v>
      </c>
      <c r="AO50" s="3276">
        <f t="shared" si="756"/>
        <v>586.51367546497545</v>
      </c>
      <c r="AP50" s="3276">
        <f>SUM('ПОЛНАЯ СЕБЕСТОИМОСТЬ ВОДА 2019'!R195/3)</f>
        <v>586.44766445167386</v>
      </c>
      <c r="AQ50" s="3276">
        <f>SUM('ПОЛНАЯ СЕБЕСТОИМОСТЬ ВОДА 2019'!S195/3)</f>
        <v>6.6011013301635765E-2</v>
      </c>
      <c r="AR50" s="3276">
        <f t="shared" si="757"/>
        <v>482.5</v>
      </c>
      <c r="AS50" s="3276">
        <f>SUM('ПОЛНАЯ СЕБЕСТОИМОСТЬ ВОДА 2019'!U195)</f>
        <v>482.5</v>
      </c>
      <c r="AT50" s="3276">
        <f>SUM('ПОЛНАЯ СЕБЕСТОИМОСТЬ ВОДА 2019'!V195)</f>
        <v>0</v>
      </c>
      <c r="AU50" s="3461">
        <v>628.79999999999995</v>
      </c>
      <c r="AV50" s="3461">
        <f t="shared" ref="AV50:AV68" si="862">SUM(AU50-AW50)</f>
        <v>628.66668767500244</v>
      </c>
      <c r="AW50" s="3461">
        <f>SUM(AU50/AU14*AW14)*0.21235521235</f>
        <v>0.13331232499755896</v>
      </c>
      <c r="AX50" s="3276">
        <f t="shared" si="759"/>
        <v>586.51367546497545</v>
      </c>
      <c r="AY50" s="3276">
        <f t="shared" si="760"/>
        <v>586.44766445167386</v>
      </c>
      <c r="AZ50" s="3276">
        <f t="shared" si="761"/>
        <v>6.6011013301635765E-2</v>
      </c>
      <c r="BA50" s="3276">
        <f t="shared" si="762"/>
        <v>579.52</v>
      </c>
      <c r="BB50" s="3276">
        <f>SUM('ПОЛНАЯ СЕБЕСТОИМОСТЬ ВОДА 2019'!X195)</f>
        <v>579.52</v>
      </c>
      <c r="BC50" s="3276">
        <f>SUM('ПОЛНАЯ СЕБЕСТОИМОСТЬ ВОДА 2019'!Y195)</f>
        <v>0</v>
      </c>
      <c r="BD50" s="3146">
        <v>583.38</v>
      </c>
      <c r="BE50" s="3149">
        <f t="shared" ref="BE50:BE68" si="863">SUM(BD50-BF50)</f>
        <v>583.33939434796923</v>
      </c>
      <c r="BF50" s="3149">
        <f>SUM(BD50/BD14*BF14)*0.21235521235</f>
        <v>4.0605652030791903E-2</v>
      </c>
      <c r="BG50" s="3276">
        <f t="shared" si="764"/>
        <v>586.51367546497545</v>
      </c>
      <c r="BH50" s="3276">
        <f t="shared" si="765"/>
        <v>586.44766445167386</v>
      </c>
      <c r="BI50" s="3276">
        <f t="shared" si="766"/>
        <v>6.6011013301635765E-2</v>
      </c>
      <c r="BJ50" s="3145">
        <f t="shared" si="767"/>
        <v>634.91</v>
      </c>
      <c r="BK50" s="3145">
        <f>SUM('ПОЛНАЯ СЕБЕСТОИМОСТЬ ВОДА 2019'!AA195)</f>
        <v>634.91</v>
      </c>
      <c r="BL50" s="3145">
        <f>SUM('ПОЛНАЯ СЕБЕСТОИМОСТЬ ВОДА 2019'!AB195)</f>
        <v>0</v>
      </c>
      <c r="BM50" s="3146">
        <v>677.25</v>
      </c>
      <c r="BN50" s="3149">
        <f t="shared" ref="BN50:BN68" si="864">SUM(BM50-BO50)</f>
        <v>677.21017114566814</v>
      </c>
      <c r="BO50" s="3149">
        <f>SUM(BM50/BM14*BO14)*0.21235521235</f>
        <v>3.9828854331846186E-2</v>
      </c>
      <c r="BP50" s="3120">
        <f t="shared" si="769"/>
        <v>1759.5410263949263</v>
      </c>
      <c r="BQ50" s="3120">
        <f t="shared" si="770"/>
        <v>1759.3429933550215</v>
      </c>
      <c r="BR50" s="3120">
        <f t="shared" si="771"/>
        <v>0.19803303990490728</v>
      </c>
      <c r="BS50" s="3147">
        <f t="shared" si="772"/>
        <v>1696.9299999999998</v>
      </c>
      <c r="BT50" s="3147">
        <f t="shared" si="773"/>
        <v>1696.9299999999998</v>
      </c>
      <c r="BU50" s="3147">
        <f t="shared" si="774"/>
        <v>0</v>
      </c>
      <c r="BV50" s="3147">
        <f t="shared" si="775"/>
        <v>1889.4299999999998</v>
      </c>
      <c r="BW50" s="3147">
        <f t="shared" si="776"/>
        <v>1889.2162531686399</v>
      </c>
      <c r="BX50" s="3147">
        <f t="shared" si="777"/>
        <v>0.21374683136019706</v>
      </c>
      <c r="BY50" s="3148">
        <f t="shared" si="554"/>
        <v>-62.611026394926512</v>
      </c>
      <c r="BZ50" s="3148">
        <f t="shared" si="778"/>
        <v>-62.412993355021626</v>
      </c>
      <c r="CA50" s="3148">
        <f t="shared" si="779"/>
        <v>-0.19803303990490728</v>
      </c>
      <c r="CB50" s="3120">
        <f t="shared" si="780"/>
        <v>3519.0820527898527</v>
      </c>
      <c r="CC50" s="3120">
        <f t="shared" si="781"/>
        <v>3518.6859867100429</v>
      </c>
      <c r="CD50" s="3120">
        <f t="shared" si="782"/>
        <v>0.39606607980981456</v>
      </c>
      <c r="CE50" s="3147">
        <f t="shared" si="783"/>
        <v>3530.11</v>
      </c>
      <c r="CF50" s="3147">
        <f t="shared" si="784"/>
        <v>3530.11</v>
      </c>
      <c r="CG50" s="3147">
        <f t="shared" si="785"/>
        <v>0</v>
      </c>
      <c r="CH50" s="3147">
        <f t="shared" si="786"/>
        <v>3670.72</v>
      </c>
      <c r="CI50" s="3147">
        <f t="shared" si="787"/>
        <v>3670.3287071291388</v>
      </c>
      <c r="CJ50" s="3147">
        <f t="shared" si="788"/>
        <v>0.39129287086134562</v>
      </c>
      <c r="CK50" s="3148">
        <f t="shared" si="566"/>
        <v>11.027947210147431</v>
      </c>
      <c r="CL50" s="3148">
        <f t="shared" si="789"/>
        <v>11.424013289957202</v>
      </c>
      <c r="CM50" s="3148">
        <f t="shared" si="790"/>
        <v>-0.39606607980981456</v>
      </c>
      <c r="CN50" s="3276">
        <f t="shared" si="791"/>
        <v>586.51367546497545</v>
      </c>
      <c r="CO50" s="3276">
        <f>SUM('ПОЛНАЯ СЕБЕСТОИМОСТЬ ВОДА 2019'!AP195/3)</f>
        <v>586.44766445167386</v>
      </c>
      <c r="CP50" s="3276">
        <f>SUM('ПОЛНАЯ СЕБЕСТОИМОСТЬ ВОДА 2019'!AQ195/3)</f>
        <v>6.6011013301635765E-2</v>
      </c>
      <c r="CQ50" s="3145">
        <f t="shared" si="792"/>
        <v>539.74</v>
      </c>
      <c r="CR50" s="3145">
        <f>SUM('ПОЛНАЯ СЕБЕСТОИМОСТЬ ВОДА 2019'!AS195)</f>
        <v>539.74</v>
      </c>
      <c r="CS50" s="3145">
        <f>SUM('ПОЛНАЯ СЕБЕСТОИМОСТЬ ВОДА 2019'!AT195)</f>
        <v>0</v>
      </c>
      <c r="CT50" s="3146">
        <v>620.37</v>
      </c>
      <c r="CU50" s="3149">
        <f t="shared" ref="CU50:CU68" si="865">SUM(CT50-CV50)</f>
        <v>620.33754516711485</v>
      </c>
      <c r="CV50" s="3149">
        <f>SUM(CT50/CT14*CV14)*0.21235521235</f>
        <v>3.2454832885161773E-2</v>
      </c>
      <c r="CW50" s="3276">
        <f t="shared" si="794"/>
        <v>586.51367546497545</v>
      </c>
      <c r="CX50" s="3276">
        <f t="shared" si="795"/>
        <v>586.44766445167386</v>
      </c>
      <c r="CY50" s="3276">
        <f t="shared" si="796"/>
        <v>6.6011013301635765E-2</v>
      </c>
      <c r="CZ50" s="3145">
        <f t="shared" si="797"/>
        <v>620.70000000000005</v>
      </c>
      <c r="DA50" s="3145">
        <f>SUM('ПОЛНАЯ СЕБЕСТОИМОСТЬ ВОДА 2019'!AV195)</f>
        <v>620.70000000000005</v>
      </c>
      <c r="DB50" s="3145">
        <f>SUM('ПОЛНАЯ СЕБЕСТОИМОСТЬ ВОДА 2019'!AW195)</f>
        <v>0</v>
      </c>
      <c r="DC50" s="3146">
        <v>616.19000000000005</v>
      </c>
      <c r="DD50" s="3149">
        <f t="shared" ref="DD50:DD68" si="866">SUM(DC50-DE50)</f>
        <v>616.15903454671786</v>
      </c>
      <c r="DE50" s="3149">
        <f>SUM(DC50/DC14*DE14)*0.21235521235</f>
        <v>3.0965453282137439E-2</v>
      </c>
      <c r="DF50" s="3276">
        <f t="shared" si="799"/>
        <v>586.51367546497545</v>
      </c>
      <c r="DG50" s="3276">
        <f t="shared" si="800"/>
        <v>586.44766445167386</v>
      </c>
      <c r="DH50" s="3276">
        <f t="shared" si="801"/>
        <v>6.6011013301635765E-2</v>
      </c>
      <c r="DI50" s="3145">
        <f t="shared" si="802"/>
        <v>701.77</v>
      </c>
      <c r="DJ50" s="3145">
        <f>SUM('ПОЛНАЯ СЕБЕСТОИМОСТЬ ВОДА 2019'!AY195)</f>
        <v>701.77</v>
      </c>
      <c r="DK50" s="3145">
        <f>SUM('ПОЛНАЯ СЕБЕСТОИМОСТЬ ВОДА 2019'!AZ195)</f>
        <v>0</v>
      </c>
      <c r="DL50" s="3146">
        <v>553</v>
      </c>
      <c r="DM50" s="3149">
        <f t="shared" ref="DM50:DM68" si="867">SUM(DL50-DN50)</f>
        <v>552.96883856829879</v>
      </c>
      <c r="DN50" s="3149">
        <f>SUM(DL50/DL14*DN14)*0.21235521235</f>
        <v>3.1161431701207373E-2</v>
      </c>
      <c r="DO50" s="3120">
        <f t="shared" si="804"/>
        <v>1759.5410263949263</v>
      </c>
      <c r="DP50" s="3120">
        <f t="shared" si="805"/>
        <v>1759.3429933550215</v>
      </c>
      <c r="DQ50" s="3120">
        <f t="shared" si="806"/>
        <v>0.19803303990490728</v>
      </c>
      <c r="DR50" s="3147">
        <f t="shared" si="807"/>
        <v>1862.21</v>
      </c>
      <c r="DS50" s="3147">
        <f t="shared" si="808"/>
        <v>1862.21</v>
      </c>
      <c r="DT50" s="3147">
        <f t="shared" si="809"/>
        <v>0</v>
      </c>
      <c r="DU50" s="3147">
        <f t="shared" si="810"/>
        <v>1789.56</v>
      </c>
      <c r="DV50" s="3147">
        <f t="shared" si="811"/>
        <v>1789.4654182821314</v>
      </c>
      <c r="DW50" s="3147">
        <f t="shared" si="812"/>
        <v>9.4581717868506582E-2</v>
      </c>
      <c r="DX50" s="3148">
        <f t="shared" si="578"/>
        <v>102.66897360507369</v>
      </c>
      <c r="DY50" s="3148">
        <f t="shared" si="813"/>
        <v>102.86700664497857</v>
      </c>
      <c r="DZ50" s="3148">
        <f t="shared" si="814"/>
        <v>-0.19803303990490728</v>
      </c>
      <c r="EA50" s="3120">
        <f t="shared" si="815"/>
        <v>5278.6230791847793</v>
      </c>
      <c r="EB50" s="3120">
        <f t="shared" si="816"/>
        <v>5278.0289800650644</v>
      </c>
      <c r="EC50" s="3120">
        <f t="shared" si="817"/>
        <v>0.59409911971472185</v>
      </c>
      <c r="ED50" s="3147">
        <f t="shared" si="818"/>
        <v>5392.32</v>
      </c>
      <c r="EE50" s="3147">
        <f t="shared" si="819"/>
        <v>5392.32</v>
      </c>
      <c r="EF50" s="3147">
        <f t="shared" si="820"/>
        <v>0</v>
      </c>
      <c r="EG50" s="3147">
        <f t="shared" si="821"/>
        <v>5460.28</v>
      </c>
      <c r="EH50" s="3147">
        <f t="shared" si="822"/>
        <v>5459.7941254112702</v>
      </c>
      <c r="EI50" s="3147">
        <f t="shared" si="823"/>
        <v>0.48587458872985223</v>
      </c>
      <c r="EJ50" s="3148">
        <f t="shared" si="590"/>
        <v>113.69692081522044</v>
      </c>
      <c r="EK50" s="3148">
        <f t="shared" si="590"/>
        <v>114.29101993493532</v>
      </c>
      <c r="EL50" s="3148">
        <f t="shared" si="590"/>
        <v>-0.59409911971472185</v>
      </c>
      <c r="EM50" s="3276">
        <f t="shared" si="824"/>
        <v>586.51367546497545</v>
      </c>
      <c r="EN50" s="3276">
        <f>SUM('ПОЛНАЯ СЕБЕСТОИМОСТЬ ВОДА 2019'!BN195/3)</f>
        <v>586.44766445167386</v>
      </c>
      <c r="EO50" s="3276">
        <f>SUM('ПОЛНАЯ СЕБЕСТОИМОСТЬ ВОДА 2019'!BO195/3)</f>
        <v>6.6011013301635765E-2</v>
      </c>
      <c r="EP50" s="3145">
        <f t="shared" si="825"/>
        <v>0</v>
      </c>
      <c r="EQ50" s="3145">
        <f>SUM('ПОЛНАЯ СЕБЕСТОИМОСТЬ ВОДА 2019'!BQ195)</f>
        <v>0</v>
      </c>
      <c r="ER50" s="3145">
        <f>SUM('ПОЛНАЯ СЕБЕСТОИМОСТЬ ВОДА 2019'!BR195)</f>
        <v>0</v>
      </c>
      <c r="ES50" s="3146">
        <v>528.91999999999996</v>
      </c>
      <c r="ET50" s="3149">
        <f t="shared" ref="ET50:ET68" si="868">SUM(ES50-EU50)</f>
        <v>528.8901988832655</v>
      </c>
      <c r="EU50" s="3149">
        <f>SUM(ES50/ES14*EU14)*0.21235521235</f>
        <v>2.9801116734411968E-2</v>
      </c>
      <c r="EV50" s="3276">
        <f t="shared" si="827"/>
        <v>586.51367546497545</v>
      </c>
      <c r="EW50" s="3276">
        <f t="shared" si="828"/>
        <v>586.44766445167386</v>
      </c>
      <c r="EX50" s="3276">
        <f t="shared" si="829"/>
        <v>6.6011013301635765E-2</v>
      </c>
      <c r="EY50" s="3145">
        <f t="shared" si="830"/>
        <v>0</v>
      </c>
      <c r="EZ50" s="3145">
        <f>SUM('ПОЛНАЯ СЕБЕСТОИМОСТЬ ВОДА 2019'!BT195)</f>
        <v>0</v>
      </c>
      <c r="FA50" s="3145">
        <f>SUM('ПОЛНАЯ СЕБЕСТОИМОСТЬ ВОДА 2019'!BU195)</f>
        <v>0</v>
      </c>
      <c r="FB50" s="3146">
        <v>608.58000000000004</v>
      </c>
      <c r="FC50" s="3149">
        <f t="shared" ref="FC50:FC68" si="869">SUM(FB50-FD50)</f>
        <v>608.54511519111065</v>
      </c>
      <c r="FD50" s="3149">
        <f>SUM(FB50/FB14*FD14)*0.21235521235</f>
        <v>3.4884808889418771E-2</v>
      </c>
      <c r="FE50" s="3276">
        <f t="shared" si="832"/>
        <v>586.51367546497545</v>
      </c>
      <c r="FF50" s="3276">
        <f t="shared" si="833"/>
        <v>586.44766445167386</v>
      </c>
      <c r="FG50" s="3276">
        <f t="shared" si="834"/>
        <v>6.6011013301635765E-2</v>
      </c>
      <c r="FH50" s="3145">
        <f>SUM('[19]ПОЛНАЯ СЕБЕСТОИМОСТЬ ВОДА 2018'!Z196)</f>
        <v>0</v>
      </c>
      <c r="FI50" s="3145">
        <f>SUM('ПОЛНАЯ СЕБЕСТОИМОСТЬ ВОДА 2019'!BW195)</f>
        <v>0</v>
      </c>
      <c r="FJ50" s="3145">
        <f>SUM('ПОЛНАЯ СЕБЕСТОИМОСТЬ ВОДА 2019'!BX195)</f>
        <v>0</v>
      </c>
      <c r="FK50" s="3146">
        <v>586.76</v>
      </c>
      <c r="FL50" s="3149">
        <f t="shared" ref="FL50:FL68" si="870">SUM(FK50-FM50)</f>
        <v>586.76</v>
      </c>
      <c r="FM50" s="3149">
        <f>SUM(FK50/FK14*FM14)*0.21235521235</f>
        <v>0</v>
      </c>
      <c r="FN50" s="3120">
        <f t="shared" si="836"/>
        <v>1759.5410263949263</v>
      </c>
      <c r="FO50" s="3120">
        <f t="shared" si="837"/>
        <v>1759.3429933550215</v>
      </c>
      <c r="FP50" s="3120">
        <f t="shared" si="838"/>
        <v>0.19803303990490728</v>
      </c>
      <c r="FQ50" s="3126">
        <f t="shared" si="839"/>
        <v>0</v>
      </c>
      <c r="FR50" s="3126">
        <f t="shared" si="840"/>
        <v>0</v>
      </c>
      <c r="FS50" s="3126">
        <f t="shared" si="841"/>
        <v>0</v>
      </c>
      <c r="FT50" s="3126">
        <f t="shared" si="842"/>
        <v>1724.26</v>
      </c>
      <c r="FU50" s="3126">
        <f t="shared" si="843"/>
        <v>1724.195314074376</v>
      </c>
      <c r="FV50" s="3126">
        <f t="shared" si="844"/>
        <v>6.4685925623830742E-2</v>
      </c>
      <c r="FW50" s="3121">
        <f t="shared" si="600"/>
        <v>-1759.5410263949263</v>
      </c>
      <c r="FX50" s="3121">
        <f t="shared" si="845"/>
        <v>-1759.3429933550215</v>
      </c>
      <c r="FY50" s="3121">
        <f t="shared" si="846"/>
        <v>-0.19803303990490728</v>
      </c>
      <c r="FZ50" s="3227">
        <f t="shared" si="847"/>
        <v>7038.1641055797054</v>
      </c>
      <c r="GA50" s="3227">
        <f t="shared" si="848"/>
        <v>7037.3719734200859</v>
      </c>
      <c r="GB50" s="3227">
        <f t="shared" si="849"/>
        <v>0.79213215961962913</v>
      </c>
      <c r="GC50" s="3232">
        <f t="shared" si="850"/>
        <v>5392.32</v>
      </c>
      <c r="GD50" s="3232">
        <f t="shared" si="851"/>
        <v>5392.32</v>
      </c>
      <c r="GE50" s="3232">
        <f t="shared" si="852"/>
        <v>0</v>
      </c>
      <c r="GF50" s="3232">
        <f t="shared" si="853"/>
        <v>7184.54</v>
      </c>
      <c r="GG50" s="3232">
        <f t="shared" si="854"/>
        <v>7183.9894394856465</v>
      </c>
      <c r="GH50" s="3232">
        <f t="shared" si="855"/>
        <v>0.55056051435368292</v>
      </c>
      <c r="GI50" s="3233">
        <f t="shared" si="856"/>
        <v>-1645.8441055797057</v>
      </c>
      <c r="GJ50" s="3233">
        <f t="shared" si="857"/>
        <v>-1645.0519734200861</v>
      </c>
      <c r="GK50" s="3233">
        <f t="shared" si="858"/>
        <v>-0.79213215961962913</v>
      </c>
      <c r="GL50" s="396"/>
    </row>
    <row r="51" spans="1:194" ht="18.75" x14ac:dyDescent="0.3">
      <c r="A51" s="3079" t="s">
        <v>3617</v>
      </c>
      <c r="B51" s="3276">
        <f t="shared" si="731"/>
        <v>176.49836387958061</v>
      </c>
      <c r="C51" s="3276">
        <f>SUM('ПОЛНАЯ СЕБЕСТОИМОСТЬ ВОДА 2019'!C196/3)</f>
        <v>176.47843057049511</v>
      </c>
      <c r="D51" s="3276">
        <f>SUM('ПОЛНАЯ СЕБЕСТОИМОСТЬ ВОДА 2019'!D196/3)</f>
        <v>1.993330908550835E-2</v>
      </c>
      <c r="E51" s="3145">
        <f t="shared" si="732"/>
        <v>195.52999999999997</v>
      </c>
      <c r="F51" s="3145">
        <f>SUM('ПОЛНАЯ СЕБЕСТОИМОСТЬ ВОДА 2019'!F196)</f>
        <v>195.52999999999997</v>
      </c>
      <c r="G51" s="3145">
        <f>SUM('ПОЛНАЯ СЕБЕСТОИМОСТЬ ВОДА 2019'!G196)</f>
        <v>0</v>
      </c>
      <c r="H51" s="3146">
        <v>180.43</v>
      </c>
      <c r="I51" s="3149">
        <f t="shared" si="859"/>
        <v>180.412759439436</v>
      </c>
      <c r="J51" s="3149">
        <f>SUM(H51/H14*J14)*0.21794871794</f>
        <v>1.7240560564018379E-2</v>
      </c>
      <c r="K51" s="3276">
        <f t="shared" si="734"/>
        <v>176.49836387958061</v>
      </c>
      <c r="L51" s="3276">
        <f t="shared" si="735"/>
        <v>176.47843057049511</v>
      </c>
      <c r="M51" s="3276">
        <f t="shared" si="736"/>
        <v>1.993330908550835E-2</v>
      </c>
      <c r="N51" s="3145">
        <f t="shared" si="737"/>
        <v>145.84</v>
      </c>
      <c r="O51" s="3145">
        <f>SUM('ПОЛНАЯ СЕБЕСТОИМОСТЬ ВОДА 2019'!I196)</f>
        <v>145.84</v>
      </c>
      <c r="P51" s="3145">
        <f>SUM('ПОЛНАЯ СЕБЕСТОИМОСТЬ ВОДА 2019'!J196)</f>
        <v>0</v>
      </c>
      <c r="Q51" s="3146">
        <v>171.6</v>
      </c>
      <c r="R51" s="3149">
        <f t="shared" si="860"/>
        <v>171.57866717368657</v>
      </c>
      <c r="S51" s="3149">
        <f>SUM(Q51/Q14*S14)*0.21794871794</f>
        <v>2.1332826313435114E-2</v>
      </c>
      <c r="T51" s="3276">
        <f t="shared" si="739"/>
        <v>176.49836387958061</v>
      </c>
      <c r="U51" s="3276">
        <f t="shared" si="740"/>
        <v>176.47843057049511</v>
      </c>
      <c r="V51" s="3276">
        <f t="shared" si="741"/>
        <v>1.993330908550835E-2</v>
      </c>
      <c r="W51" s="3145">
        <f t="shared" si="742"/>
        <v>209.5</v>
      </c>
      <c r="X51" s="3145">
        <f>SUM('ПОЛНАЯ СЕБЕСТОИМОСТЬ ВОДА 2019'!L196)</f>
        <v>209.5</v>
      </c>
      <c r="Y51" s="3145">
        <f>SUM('ПОЛНАЯ СЕБЕСТОИМОСТЬ ВОДА 2019'!M196)</f>
        <v>0</v>
      </c>
      <c r="Z51" s="3146">
        <v>180.66</v>
      </c>
      <c r="AA51" s="3149">
        <f t="shared" si="861"/>
        <v>180.64411139334868</v>
      </c>
      <c r="AB51" s="3149">
        <f>SUM(Z51/Z14*AB14)*0.21794871794</f>
        <v>1.5888606651304212E-2</v>
      </c>
      <c r="AC51" s="3120">
        <f t="shared" si="744"/>
        <v>529.49509163874177</v>
      </c>
      <c r="AD51" s="3120">
        <f t="shared" si="745"/>
        <v>529.43529171148532</v>
      </c>
      <c r="AE51" s="3120">
        <f t="shared" si="746"/>
        <v>5.9799927256525054E-2</v>
      </c>
      <c r="AF51" s="3126">
        <f t="shared" si="747"/>
        <v>550.87</v>
      </c>
      <c r="AG51" s="3126">
        <f t="shared" si="748"/>
        <v>550.87</v>
      </c>
      <c r="AH51" s="3126">
        <f t="shared" si="749"/>
        <v>0</v>
      </c>
      <c r="AI51" s="3126">
        <f t="shared" si="750"/>
        <v>532.68999999999994</v>
      </c>
      <c r="AJ51" s="3126">
        <f t="shared" si="751"/>
        <v>532.63553800647128</v>
      </c>
      <c r="AK51" s="3126">
        <f t="shared" si="752"/>
        <v>5.4461993528757704E-2</v>
      </c>
      <c r="AL51" s="3121">
        <f t="shared" si="753"/>
        <v>21.374908361258235</v>
      </c>
      <c r="AM51" s="3121">
        <f t="shared" si="754"/>
        <v>21.434708288514685</v>
      </c>
      <c r="AN51" s="3121">
        <f t="shared" si="755"/>
        <v>-5.9799927256525054E-2</v>
      </c>
      <c r="AO51" s="3276">
        <f t="shared" si="756"/>
        <v>176.49836387958061</v>
      </c>
      <c r="AP51" s="3276">
        <f>SUM('ПОЛНАЯ СЕБЕСТОИМОСТЬ ВОДА 2019'!R196/3)</f>
        <v>176.47843057049511</v>
      </c>
      <c r="AQ51" s="3276">
        <f>SUM('ПОЛНАЯ СЕБЕСТОИМОСТЬ ВОДА 2019'!S196/3)</f>
        <v>1.993330908550835E-2</v>
      </c>
      <c r="AR51" s="3276">
        <f t="shared" si="757"/>
        <v>153.79</v>
      </c>
      <c r="AS51" s="3276">
        <f>SUM('ПОЛНАЯ СЕБЕСТОИМОСТЬ ВОДА 2019'!U196)</f>
        <v>153.79</v>
      </c>
      <c r="AT51" s="3276">
        <f>SUM('ПОЛНАЯ СЕБЕСТОИМОСТЬ ВОДА 2019'!V196)</f>
        <v>0</v>
      </c>
      <c r="AU51" s="3461">
        <v>188.43</v>
      </c>
      <c r="AV51" s="3461">
        <f t="shared" si="862"/>
        <v>188.38899855043411</v>
      </c>
      <c r="AW51" s="3461">
        <f>SUM(AU51/AU14*AW14)*0.21794871794</f>
        <v>4.1001449565889636E-2</v>
      </c>
      <c r="AX51" s="3276">
        <f t="shared" si="759"/>
        <v>176.49836387958061</v>
      </c>
      <c r="AY51" s="3276">
        <f t="shared" si="760"/>
        <v>176.47843057049511</v>
      </c>
      <c r="AZ51" s="3276">
        <f t="shared" si="761"/>
        <v>1.993330908550835E-2</v>
      </c>
      <c r="BA51" s="3276">
        <f t="shared" si="762"/>
        <v>171.85</v>
      </c>
      <c r="BB51" s="3276">
        <f>SUM('ПОЛНАЯ СЕБЕСТОИМОСТЬ ВОДА 2019'!X196)</f>
        <v>171.85</v>
      </c>
      <c r="BC51" s="3276">
        <f>SUM('ПОЛНАЯ СЕБЕСТОИМОСТЬ ВОДА 2019'!Y196)</f>
        <v>0</v>
      </c>
      <c r="BD51" s="3146">
        <v>176.18</v>
      </c>
      <c r="BE51" s="3149">
        <f t="shared" si="863"/>
        <v>176.16741413840944</v>
      </c>
      <c r="BF51" s="3149">
        <f>SUM(BD51/BD14*BF14)*0.21794871794</f>
        <v>1.2585861590569736E-2</v>
      </c>
      <c r="BG51" s="3276">
        <f t="shared" si="764"/>
        <v>176.49836387958061</v>
      </c>
      <c r="BH51" s="3276">
        <f t="shared" si="765"/>
        <v>176.47843057049511</v>
      </c>
      <c r="BI51" s="3276">
        <f t="shared" si="766"/>
        <v>1.993330908550835E-2</v>
      </c>
      <c r="BJ51" s="3145">
        <f t="shared" si="767"/>
        <v>191.75</v>
      </c>
      <c r="BK51" s="3145">
        <f>SUM('ПОЛНАЯ СЕБЕСТОИМОСТЬ ВОДА 2019'!AA196)</f>
        <v>191.75</v>
      </c>
      <c r="BL51" s="3145">
        <f>SUM('ПОЛНАЯ СЕБЕСТОИМОСТЬ ВОДА 2019'!AB196)</f>
        <v>0</v>
      </c>
      <c r="BM51" s="3146">
        <v>204.53</v>
      </c>
      <c r="BN51" s="3149">
        <f t="shared" si="864"/>
        <v>204.5176548260963</v>
      </c>
      <c r="BO51" s="3149">
        <f>SUM(BM51/BM14*BO14)*0.21794871794</f>
        <v>1.2345173903699115E-2</v>
      </c>
      <c r="BP51" s="3120">
        <f t="shared" si="769"/>
        <v>529.49509163874177</v>
      </c>
      <c r="BQ51" s="3120">
        <f t="shared" si="770"/>
        <v>529.43529171148532</v>
      </c>
      <c r="BR51" s="3120">
        <f t="shared" si="771"/>
        <v>5.9799927256525054E-2</v>
      </c>
      <c r="BS51" s="3147">
        <f t="shared" si="772"/>
        <v>517.39</v>
      </c>
      <c r="BT51" s="3147">
        <f t="shared" si="773"/>
        <v>517.39</v>
      </c>
      <c r="BU51" s="3147">
        <f t="shared" si="774"/>
        <v>0</v>
      </c>
      <c r="BV51" s="3147">
        <f t="shared" si="775"/>
        <v>569.14</v>
      </c>
      <c r="BW51" s="3147">
        <f t="shared" si="776"/>
        <v>569.07406751493988</v>
      </c>
      <c r="BX51" s="3147">
        <f t="shared" si="777"/>
        <v>6.5932485060158488E-2</v>
      </c>
      <c r="BY51" s="3148">
        <f t="shared" si="554"/>
        <v>-12.105091638741783</v>
      </c>
      <c r="BZ51" s="3148">
        <f t="shared" si="778"/>
        <v>-12.045291711485334</v>
      </c>
      <c r="CA51" s="3148">
        <f t="shared" si="779"/>
        <v>-5.9799927256525054E-2</v>
      </c>
      <c r="CB51" s="3120">
        <f t="shared" si="780"/>
        <v>1058.9901832774835</v>
      </c>
      <c r="CC51" s="3120">
        <f t="shared" si="781"/>
        <v>1058.8705834229706</v>
      </c>
      <c r="CD51" s="3120">
        <f t="shared" si="782"/>
        <v>0.11959985451305011</v>
      </c>
      <c r="CE51" s="3147">
        <f t="shared" si="783"/>
        <v>1068.26</v>
      </c>
      <c r="CF51" s="3147">
        <f t="shared" si="784"/>
        <v>1068.26</v>
      </c>
      <c r="CG51" s="3147">
        <f t="shared" si="785"/>
        <v>0</v>
      </c>
      <c r="CH51" s="3147">
        <f t="shared" si="786"/>
        <v>1101.83</v>
      </c>
      <c r="CI51" s="3147">
        <f t="shared" si="787"/>
        <v>1101.709605521411</v>
      </c>
      <c r="CJ51" s="3147">
        <f t="shared" si="788"/>
        <v>0.12039447858891619</v>
      </c>
      <c r="CK51" s="3148">
        <f t="shared" si="566"/>
        <v>9.2698167225164525</v>
      </c>
      <c r="CL51" s="3148">
        <f t="shared" si="789"/>
        <v>9.3894165770293512</v>
      </c>
      <c r="CM51" s="3148">
        <f t="shared" si="790"/>
        <v>-0.11959985451305011</v>
      </c>
      <c r="CN51" s="3276">
        <f t="shared" si="791"/>
        <v>176.49836387958061</v>
      </c>
      <c r="CO51" s="3276">
        <f>SUM('ПОЛНАЯ СЕБЕСТОИМОСТЬ ВОДА 2019'!AP196/3)</f>
        <v>176.47843057049511</v>
      </c>
      <c r="CP51" s="3276">
        <f>SUM('ПОЛНАЯ СЕБЕСТОИМОСТЬ ВОДА 2019'!AQ196/3)</f>
        <v>1.993330908550835E-2</v>
      </c>
      <c r="CQ51" s="3145">
        <f t="shared" si="792"/>
        <v>162.86000000000001</v>
      </c>
      <c r="CR51" s="3145">
        <f>SUM('ПОЛНАЯ СЕБЕСТОИМОСТЬ ВОДА 2019'!AS196)</f>
        <v>162.86000000000001</v>
      </c>
      <c r="CS51" s="3145">
        <f>SUM('ПОЛНАЯ СЕБЕСТОИМОСТЬ ВОДА 2019'!AT196)</f>
        <v>0</v>
      </c>
      <c r="CT51" s="3146">
        <v>187.35</v>
      </c>
      <c r="CU51" s="3149">
        <f t="shared" si="865"/>
        <v>187.33994056288651</v>
      </c>
      <c r="CV51" s="3149">
        <f>SUM(CT51/CT14*CV14)*0.21794871794</f>
        <v>1.005943711347973E-2</v>
      </c>
      <c r="CW51" s="3276">
        <f t="shared" si="794"/>
        <v>176.49836387958061</v>
      </c>
      <c r="CX51" s="3276">
        <f t="shared" si="795"/>
        <v>176.47843057049511</v>
      </c>
      <c r="CY51" s="3276">
        <f t="shared" si="796"/>
        <v>1.993330908550835E-2</v>
      </c>
      <c r="CZ51" s="3145">
        <f t="shared" si="797"/>
        <v>187.31</v>
      </c>
      <c r="DA51" s="3145">
        <f>SUM('ПОЛНАЯ СЕБЕСТОИМОСТЬ ВОДА 2019'!AV196)</f>
        <v>187.31</v>
      </c>
      <c r="DB51" s="3145">
        <f>SUM('ПОЛНАЯ СЕБЕСТОИМОСТЬ ВОДА 2019'!AW196)</f>
        <v>0</v>
      </c>
      <c r="DC51" s="3146">
        <v>186.09</v>
      </c>
      <c r="DD51" s="3149">
        <f t="shared" si="866"/>
        <v>186.08040207780763</v>
      </c>
      <c r="DE51" s="3149">
        <f>SUM(DC51/DC14*DE14)*0.21794871794</f>
        <v>9.5979221923658629E-3</v>
      </c>
      <c r="DF51" s="3276">
        <f t="shared" si="799"/>
        <v>176.49836387958061</v>
      </c>
      <c r="DG51" s="3276">
        <f t="shared" si="800"/>
        <v>176.47843057049511</v>
      </c>
      <c r="DH51" s="3276">
        <f t="shared" si="801"/>
        <v>1.993330908550835E-2</v>
      </c>
      <c r="DI51" s="3145">
        <f t="shared" si="802"/>
        <v>211.81</v>
      </c>
      <c r="DJ51" s="3145">
        <f>SUM('ПОЛНАЯ СЕБЕСТОИМОСТЬ ВОДА 2019'!AY196)</f>
        <v>211.81</v>
      </c>
      <c r="DK51" s="3145">
        <f>SUM('ПОЛНАЯ СЕБЕСТОИМОСТЬ ВОДА 2019'!AZ196)</f>
        <v>0</v>
      </c>
      <c r="DL51" s="3146">
        <v>167.01</v>
      </c>
      <c r="DM51" s="3149">
        <f t="shared" si="867"/>
        <v>167.0003411340015</v>
      </c>
      <c r="DN51" s="3149">
        <f>SUM(DL51/DL14*DN14)*0.21794871794</f>
        <v>9.6588659984796436E-3</v>
      </c>
      <c r="DO51" s="3120">
        <f t="shared" si="804"/>
        <v>529.49509163874177</v>
      </c>
      <c r="DP51" s="3120">
        <f t="shared" si="805"/>
        <v>529.43529171148532</v>
      </c>
      <c r="DQ51" s="3120">
        <f t="shared" si="806"/>
        <v>5.9799927256525054E-2</v>
      </c>
      <c r="DR51" s="3147">
        <f t="shared" si="807"/>
        <v>561.98</v>
      </c>
      <c r="DS51" s="3147">
        <f t="shared" si="808"/>
        <v>561.98</v>
      </c>
      <c r="DT51" s="3147">
        <f t="shared" si="809"/>
        <v>0</v>
      </c>
      <c r="DU51" s="3147">
        <f t="shared" si="810"/>
        <v>540.45000000000005</v>
      </c>
      <c r="DV51" s="3147">
        <f t="shared" si="811"/>
        <v>540.42068377469559</v>
      </c>
      <c r="DW51" s="3147">
        <f t="shared" si="812"/>
        <v>2.9316225304325233E-2</v>
      </c>
      <c r="DX51" s="3148">
        <f t="shared" si="578"/>
        <v>32.484908361258249</v>
      </c>
      <c r="DY51" s="3148">
        <f t="shared" si="813"/>
        <v>32.544708288514698</v>
      </c>
      <c r="DZ51" s="3148">
        <f t="shared" si="814"/>
        <v>-5.9799927256525054E-2</v>
      </c>
      <c r="EA51" s="3120">
        <f t="shared" si="815"/>
        <v>1588.4852749162253</v>
      </c>
      <c r="EB51" s="3120">
        <f t="shared" si="816"/>
        <v>1588.3058751344561</v>
      </c>
      <c r="EC51" s="3120">
        <f t="shared" si="817"/>
        <v>0.17939978176957516</v>
      </c>
      <c r="ED51" s="3147">
        <f t="shared" si="818"/>
        <v>1630.24</v>
      </c>
      <c r="EE51" s="3147">
        <f t="shared" si="819"/>
        <v>1630.24</v>
      </c>
      <c r="EF51" s="3147">
        <f t="shared" si="820"/>
        <v>0</v>
      </c>
      <c r="EG51" s="3147">
        <f t="shared" si="821"/>
        <v>1642.28</v>
      </c>
      <c r="EH51" s="3147">
        <f t="shared" si="822"/>
        <v>1642.1302892961066</v>
      </c>
      <c r="EI51" s="3147">
        <f t="shared" si="823"/>
        <v>0.14971070389324143</v>
      </c>
      <c r="EJ51" s="3148">
        <f t="shared" si="590"/>
        <v>41.754725083774701</v>
      </c>
      <c r="EK51" s="3148">
        <f t="shared" si="590"/>
        <v>41.934124865543936</v>
      </c>
      <c r="EL51" s="3148">
        <f t="shared" si="590"/>
        <v>-0.17939978176957516</v>
      </c>
      <c r="EM51" s="3276">
        <f t="shared" si="824"/>
        <v>176.49836387958061</v>
      </c>
      <c r="EN51" s="3276">
        <f>SUM('ПОЛНАЯ СЕБЕСТОИМОСТЬ ВОДА 2019'!BN196/3)</f>
        <v>176.47843057049511</v>
      </c>
      <c r="EO51" s="3276">
        <f>SUM('ПОЛНАЯ СЕБЕСТОИМОСТЬ ВОДА 2019'!BO196/3)</f>
        <v>1.993330908550835E-2</v>
      </c>
      <c r="EP51" s="3145">
        <f t="shared" si="825"/>
        <v>0</v>
      </c>
      <c r="EQ51" s="3145">
        <f>SUM('ПОЛНАЯ СЕБЕСТОИМОСТЬ ВОДА 2019'!BQ196)</f>
        <v>0</v>
      </c>
      <c r="ER51" s="3145">
        <f>SUM('ПОЛНАЯ СЕБЕСТОИМОСТЬ ВОДА 2019'!BR196)</f>
        <v>0</v>
      </c>
      <c r="ES51" s="3146">
        <v>159.80000000000001</v>
      </c>
      <c r="ET51" s="3149">
        <f t="shared" si="868"/>
        <v>159.79075917559882</v>
      </c>
      <c r="EU51" s="3149">
        <f>SUM(ES51/ES14*EU14)*0.21794871794</f>
        <v>9.240824401175924E-3</v>
      </c>
      <c r="EV51" s="3276">
        <f t="shared" si="827"/>
        <v>176.49836387958061</v>
      </c>
      <c r="EW51" s="3276">
        <f t="shared" si="828"/>
        <v>176.47843057049511</v>
      </c>
      <c r="EX51" s="3276">
        <f t="shared" si="829"/>
        <v>1.993330908550835E-2</v>
      </c>
      <c r="EY51" s="3145">
        <f t="shared" si="830"/>
        <v>0</v>
      </c>
      <c r="EZ51" s="3145">
        <f>SUM('ПОЛНАЯ СЕБЕСТОИМОСТЬ ВОДА 2019'!BT196)</f>
        <v>0</v>
      </c>
      <c r="FA51" s="3145">
        <f>SUM('ПОЛНАЯ СЕБЕСТОИМОСТЬ ВОДА 2019'!BU196)</f>
        <v>0</v>
      </c>
      <c r="FB51" s="3146">
        <v>183.58</v>
      </c>
      <c r="FC51" s="3149">
        <f t="shared" si="869"/>
        <v>183.56919970964958</v>
      </c>
      <c r="FD51" s="3149">
        <f>SUM(FB51/FB14*FD14)*0.21794871794</f>
        <v>1.0800290350420138E-2</v>
      </c>
      <c r="FE51" s="3276">
        <f t="shared" si="832"/>
        <v>176.49836387958061</v>
      </c>
      <c r="FF51" s="3276">
        <f t="shared" si="833"/>
        <v>176.47843057049511</v>
      </c>
      <c r="FG51" s="3276">
        <f t="shared" si="834"/>
        <v>1.993330908550835E-2</v>
      </c>
      <c r="FH51" s="3145">
        <f>SUM('[19]ПОЛНАЯ СЕБЕСТОИМОСТЬ ВОДА 2018'!Z197)</f>
        <v>0</v>
      </c>
      <c r="FI51" s="3145">
        <f>SUM('ПОЛНАЯ СЕБЕСТОИМОСТЬ ВОДА 2019'!BW196)</f>
        <v>0</v>
      </c>
      <c r="FJ51" s="3145">
        <f>SUM('ПОЛНАЯ СЕБЕСТОИМОСТЬ ВОДА 2019'!BX196)</f>
        <v>0</v>
      </c>
      <c r="FK51" s="3146">
        <v>175.99</v>
      </c>
      <c r="FL51" s="3149">
        <f t="shared" si="870"/>
        <v>175.99</v>
      </c>
      <c r="FM51" s="3149">
        <f>SUM(FK51/FK14*FM14)*0.21794871794</f>
        <v>0</v>
      </c>
      <c r="FN51" s="3120">
        <f t="shared" si="836"/>
        <v>529.49509163874177</v>
      </c>
      <c r="FO51" s="3120">
        <f t="shared" si="837"/>
        <v>529.43529171148532</v>
      </c>
      <c r="FP51" s="3120">
        <f t="shared" si="838"/>
        <v>5.9799927256525054E-2</v>
      </c>
      <c r="FQ51" s="3126">
        <f t="shared" si="839"/>
        <v>0</v>
      </c>
      <c r="FR51" s="3126">
        <f t="shared" si="840"/>
        <v>0</v>
      </c>
      <c r="FS51" s="3126">
        <f t="shared" si="841"/>
        <v>0</v>
      </c>
      <c r="FT51" s="3126">
        <f t="shared" si="842"/>
        <v>519.37</v>
      </c>
      <c r="FU51" s="3126">
        <f t="shared" si="843"/>
        <v>519.34995888524838</v>
      </c>
      <c r="FV51" s="3126">
        <f t="shared" si="844"/>
        <v>2.0041114751596062E-2</v>
      </c>
      <c r="FW51" s="3121">
        <f t="shared" si="600"/>
        <v>-529.49509163874177</v>
      </c>
      <c r="FX51" s="3121">
        <f t="shared" si="845"/>
        <v>-529.43529171148532</v>
      </c>
      <c r="FY51" s="3121">
        <f t="shared" si="846"/>
        <v>-5.9799927256525054E-2</v>
      </c>
      <c r="FZ51" s="3227">
        <f t="shared" si="847"/>
        <v>2117.9803665549671</v>
      </c>
      <c r="GA51" s="3227">
        <f t="shared" si="848"/>
        <v>2117.7411668459413</v>
      </c>
      <c r="GB51" s="3227">
        <f t="shared" si="849"/>
        <v>0.23919970902610022</v>
      </c>
      <c r="GC51" s="3232">
        <f t="shared" si="850"/>
        <v>1630.24</v>
      </c>
      <c r="GD51" s="3232">
        <f t="shared" si="851"/>
        <v>1630.24</v>
      </c>
      <c r="GE51" s="3232">
        <f t="shared" si="852"/>
        <v>0</v>
      </c>
      <c r="GF51" s="3232">
        <f t="shared" si="853"/>
        <v>2161.65</v>
      </c>
      <c r="GG51" s="3232">
        <f t="shared" si="854"/>
        <v>2161.4802481813549</v>
      </c>
      <c r="GH51" s="3232">
        <f t="shared" si="855"/>
        <v>0.16975181864483749</v>
      </c>
      <c r="GI51" s="3233">
        <f t="shared" si="856"/>
        <v>-487.74036655496707</v>
      </c>
      <c r="GJ51" s="3233">
        <f t="shared" si="857"/>
        <v>-487.50116684594127</v>
      </c>
      <c r="GK51" s="3233">
        <f t="shared" si="858"/>
        <v>-0.23919970902610022</v>
      </c>
      <c r="GL51" s="396"/>
    </row>
    <row r="52" spans="1:194" ht="18.75" x14ac:dyDescent="0.3">
      <c r="A52" s="3079" t="s">
        <v>31</v>
      </c>
      <c r="B52" s="3276">
        <f t="shared" si="731"/>
        <v>190.26999999999998</v>
      </c>
      <c r="C52" s="3276">
        <f>SUM('ПОЛНАЯ СЕБЕСТОИМОСТЬ ВОДА 2019'!C197/3)</f>
        <v>190.17804435156503</v>
      </c>
      <c r="D52" s="3276">
        <f>SUM('ПОЛНАЯ СЕБЕСТОИМОСТЬ ВОДА 2019'!D197/3)</f>
        <v>9.1955648434953907E-2</v>
      </c>
      <c r="E52" s="3145">
        <f t="shared" si="732"/>
        <v>150.99</v>
      </c>
      <c r="F52" s="3145">
        <f>SUM('ПОЛНАЯ СЕБЕСТОИМОСТЬ ВОДА 2019'!F197)</f>
        <v>150.99</v>
      </c>
      <c r="G52" s="3145">
        <f>SUM('ПОЛНАЯ СЕБЕСТОИМОСТЬ ВОДА 2019'!G197)</f>
        <v>0</v>
      </c>
      <c r="H52" s="3146">
        <v>125.04</v>
      </c>
      <c r="I52" s="3149">
        <f t="shared" si="859"/>
        <v>124.98359124198936</v>
      </c>
      <c r="J52" s="3149">
        <f>SUM(H52/H14*J14)*1.02898550724</f>
        <v>5.6408758010649006E-2</v>
      </c>
      <c r="K52" s="3276">
        <f t="shared" si="734"/>
        <v>190.26999999999998</v>
      </c>
      <c r="L52" s="3276">
        <f t="shared" si="735"/>
        <v>190.17804435156503</v>
      </c>
      <c r="M52" s="3276">
        <f t="shared" si="736"/>
        <v>9.1955648434953907E-2</v>
      </c>
      <c r="N52" s="3145">
        <f t="shared" si="737"/>
        <v>126.56</v>
      </c>
      <c r="O52" s="3145">
        <f>SUM('ПОЛНАЯ СЕБЕСТОИМОСТЬ ВОДА 2019'!I197)</f>
        <v>126.56</v>
      </c>
      <c r="P52" s="3145">
        <f>SUM('ПОЛНАЯ СЕБЕСТОИМОСТЬ ВОДА 2019'!J197)</f>
        <v>0</v>
      </c>
      <c r="Q52" s="3146">
        <v>141.94999999999999</v>
      </c>
      <c r="R52" s="3149">
        <f t="shared" si="860"/>
        <v>141.86668533543906</v>
      </c>
      <c r="S52" s="3149">
        <f>SUM(Q52/Q14*S14)*1.02898550724</f>
        <v>8.3314664560919086E-2</v>
      </c>
      <c r="T52" s="3276">
        <f t="shared" si="739"/>
        <v>190.26999999999998</v>
      </c>
      <c r="U52" s="3276">
        <f t="shared" si="740"/>
        <v>190.17804435156503</v>
      </c>
      <c r="V52" s="3276">
        <f t="shared" si="741"/>
        <v>9.1955648434953907E-2</v>
      </c>
      <c r="W52" s="3145">
        <f t="shared" si="742"/>
        <v>112.25999999999999</v>
      </c>
      <c r="X52" s="3145">
        <f>SUM('ПОЛНАЯ СЕБЕСТОИМОСТЬ ВОДА 2019'!L197)</f>
        <v>112.25999999999999</v>
      </c>
      <c r="Y52" s="3145">
        <f>SUM('ПОЛНАЯ СЕБЕСТОИМОСТЬ ВОДА 2019'!M197)</f>
        <v>0</v>
      </c>
      <c r="Z52" s="3146">
        <v>177.25</v>
      </c>
      <c r="AA52" s="3149">
        <f t="shared" si="861"/>
        <v>177.17640217318248</v>
      </c>
      <c r="AB52" s="3149">
        <f>SUM(Z52/Z14*AB14)*1.02898550724</f>
        <v>7.3597826817522347E-2</v>
      </c>
      <c r="AC52" s="3120">
        <f t="shared" si="744"/>
        <v>570.80999999999995</v>
      </c>
      <c r="AD52" s="3120">
        <f t="shared" si="745"/>
        <v>570.53413305469508</v>
      </c>
      <c r="AE52" s="3120">
        <f t="shared" si="746"/>
        <v>0.27586694530486172</v>
      </c>
      <c r="AF52" s="3126">
        <f t="shared" si="747"/>
        <v>389.81</v>
      </c>
      <c r="AG52" s="3126">
        <f t="shared" si="748"/>
        <v>389.81</v>
      </c>
      <c r="AH52" s="3126">
        <f t="shared" si="749"/>
        <v>0</v>
      </c>
      <c r="AI52" s="3126">
        <f t="shared" si="750"/>
        <v>444.24</v>
      </c>
      <c r="AJ52" s="3126">
        <f t="shared" si="751"/>
        <v>444.02667875061093</v>
      </c>
      <c r="AK52" s="3126">
        <f t="shared" si="752"/>
        <v>0.21332124938909042</v>
      </c>
      <c r="AL52" s="3121">
        <f t="shared" si="753"/>
        <v>-180.99999999999994</v>
      </c>
      <c r="AM52" s="3121">
        <f t="shared" si="754"/>
        <v>-180.72413305469507</v>
      </c>
      <c r="AN52" s="3121">
        <f t="shared" si="755"/>
        <v>-0.27586694530486172</v>
      </c>
      <c r="AO52" s="3276">
        <f t="shared" si="756"/>
        <v>190.26999999999998</v>
      </c>
      <c r="AP52" s="3276">
        <f>SUM('ПОЛНАЯ СЕБЕСТОИМОСТЬ ВОДА 2019'!R197/3)</f>
        <v>190.17804435156503</v>
      </c>
      <c r="AQ52" s="3276">
        <f>SUM('ПОЛНАЯ СЕБЕСТОИМОСТЬ ВОДА 2019'!S197/3)</f>
        <v>9.1955648434953907E-2</v>
      </c>
      <c r="AR52" s="3276">
        <f t="shared" si="757"/>
        <v>142.6</v>
      </c>
      <c r="AS52" s="3276">
        <f>SUM('ПОЛНАЯ СЕБЕСТОИМОСТЬ ВОДА 2019'!U197)</f>
        <v>142.6</v>
      </c>
      <c r="AT52" s="3276">
        <f>SUM('ПОЛНАЯ СЕБЕСТОИМОСТЬ ВОДА 2019'!V197)</f>
        <v>0</v>
      </c>
      <c r="AU52" s="3461">
        <v>164.18</v>
      </c>
      <c r="AV52" s="3461">
        <f t="shared" si="862"/>
        <v>164.01133523965689</v>
      </c>
      <c r="AW52" s="3461">
        <f>SUM(AU52/AU14*AW14)*1.02898550724</f>
        <v>0.16866476034310568</v>
      </c>
      <c r="AX52" s="3276">
        <f t="shared" si="759"/>
        <v>190.26999999999998</v>
      </c>
      <c r="AY52" s="3276">
        <f t="shared" si="760"/>
        <v>190.17804435156503</v>
      </c>
      <c r="AZ52" s="3276">
        <f t="shared" si="761"/>
        <v>9.1955648434953907E-2</v>
      </c>
      <c r="BA52" s="3276">
        <f t="shared" si="762"/>
        <v>119.32000000000001</v>
      </c>
      <c r="BB52" s="3276">
        <f>SUM('ПОЛНАЯ СЕБЕСТОИМОСТЬ ВОДА 2019'!X197)</f>
        <v>119.32000000000001</v>
      </c>
      <c r="BC52" s="3276">
        <f>SUM('ПОЛНАЯ СЕБЕСТОИМОСТЬ ВОДА 2019'!Y197)</f>
        <v>0</v>
      </c>
      <c r="BD52" s="3146">
        <v>143.81</v>
      </c>
      <c r="BE52" s="3149">
        <f t="shared" si="863"/>
        <v>143.76149680232189</v>
      </c>
      <c r="BF52" s="3149">
        <f>SUM(BD52/BD14*BF14)*1.02898550724</f>
        <v>4.850319767812266E-2</v>
      </c>
      <c r="BG52" s="3276">
        <f t="shared" si="764"/>
        <v>190.26999999999998</v>
      </c>
      <c r="BH52" s="3276">
        <f t="shared" si="765"/>
        <v>190.17804435156503</v>
      </c>
      <c r="BI52" s="3276">
        <f t="shared" si="766"/>
        <v>9.1955648434953907E-2</v>
      </c>
      <c r="BJ52" s="3145">
        <f t="shared" si="767"/>
        <v>158.81</v>
      </c>
      <c r="BK52" s="3145">
        <f>SUM('ПОЛНАЯ СЕБЕСТОИМОСТЬ ВОДА 2019'!AA197)</f>
        <v>158.81</v>
      </c>
      <c r="BL52" s="3145">
        <f>SUM('ПОЛНАЯ СЕБЕСТОИМОСТЬ ВОДА 2019'!AB197)</f>
        <v>0</v>
      </c>
      <c r="BM52" s="3146">
        <v>141.82</v>
      </c>
      <c r="BN52" s="3149">
        <f t="shared" si="864"/>
        <v>141.77958592769613</v>
      </c>
      <c r="BO52" s="3149">
        <f>SUM(BM52/BM14*BO14)*1.02898550724</f>
        <v>4.0414072303864582E-2</v>
      </c>
      <c r="BP52" s="3120">
        <f t="shared" si="769"/>
        <v>570.80999999999995</v>
      </c>
      <c r="BQ52" s="3120">
        <f t="shared" si="770"/>
        <v>570.53413305469508</v>
      </c>
      <c r="BR52" s="3120">
        <f t="shared" si="771"/>
        <v>0.27586694530486172</v>
      </c>
      <c r="BS52" s="3147">
        <f t="shared" si="772"/>
        <v>420.73</v>
      </c>
      <c r="BT52" s="3147">
        <f t="shared" si="773"/>
        <v>420.73</v>
      </c>
      <c r="BU52" s="3147">
        <f t="shared" si="774"/>
        <v>0</v>
      </c>
      <c r="BV52" s="3147">
        <f t="shared" si="775"/>
        <v>449.81</v>
      </c>
      <c r="BW52" s="3147">
        <f t="shared" si="776"/>
        <v>449.55241796967488</v>
      </c>
      <c r="BX52" s="3147">
        <f t="shared" si="777"/>
        <v>0.25758203032509291</v>
      </c>
      <c r="BY52" s="3148">
        <f t="shared" si="554"/>
        <v>-150.07999999999993</v>
      </c>
      <c r="BZ52" s="3148">
        <f t="shared" si="778"/>
        <v>-149.80413305469506</v>
      </c>
      <c r="CA52" s="3148">
        <f t="shared" si="779"/>
        <v>-0.27586694530486172</v>
      </c>
      <c r="CB52" s="3120">
        <f t="shared" si="780"/>
        <v>1141.6199999999999</v>
      </c>
      <c r="CC52" s="3120">
        <f t="shared" si="781"/>
        <v>1141.0682661093902</v>
      </c>
      <c r="CD52" s="3120">
        <f t="shared" si="782"/>
        <v>0.55173389060972344</v>
      </c>
      <c r="CE52" s="3147">
        <f t="shared" si="783"/>
        <v>810.54</v>
      </c>
      <c r="CF52" s="3147">
        <f t="shared" si="784"/>
        <v>810.54</v>
      </c>
      <c r="CG52" s="3147">
        <f t="shared" si="785"/>
        <v>0</v>
      </c>
      <c r="CH52" s="3147">
        <f t="shared" si="786"/>
        <v>894.05</v>
      </c>
      <c r="CI52" s="3147">
        <f t="shared" si="787"/>
        <v>893.57909672028586</v>
      </c>
      <c r="CJ52" s="3147">
        <f t="shared" si="788"/>
        <v>0.47090327971418333</v>
      </c>
      <c r="CK52" s="3148">
        <f t="shared" si="566"/>
        <v>-331.07999999999993</v>
      </c>
      <c r="CL52" s="3148">
        <f t="shared" si="789"/>
        <v>-330.52826610939019</v>
      </c>
      <c r="CM52" s="3148">
        <f t="shared" si="790"/>
        <v>-0.55173389060972344</v>
      </c>
      <c r="CN52" s="3276">
        <f t="shared" si="791"/>
        <v>190.26999999999998</v>
      </c>
      <c r="CO52" s="3276">
        <f>SUM('ПОЛНАЯ СЕБЕСТОИМОСТЬ ВОДА 2019'!AP197/3)</f>
        <v>190.17804435156503</v>
      </c>
      <c r="CP52" s="3276">
        <f>SUM('ПОЛНАЯ СЕБЕСТОИМОСТЬ ВОДА 2019'!AQ197/3)</f>
        <v>9.1955648434953907E-2</v>
      </c>
      <c r="CQ52" s="3145">
        <f t="shared" si="792"/>
        <v>165.88000000000002</v>
      </c>
      <c r="CR52" s="3145">
        <f>SUM('ПОЛНАЯ СЕБЕСТОИМОСТЬ ВОДА 2019'!AS197)</f>
        <v>165.88000000000002</v>
      </c>
      <c r="CS52" s="3145">
        <f>SUM('ПОЛНАЯ СЕБЕСТОИМОСТЬ ВОДА 2019'!AT197)</f>
        <v>0</v>
      </c>
      <c r="CT52" s="3146">
        <v>213.05</v>
      </c>
      <c r="CU52" s="3149">
        <f t="shared" si="865"/>
        <v>212.99599220327227</v>
      </c>
      <c r="CV52" s="3149">
        <f>SUM(CT52/CT14*CV14)*1.02898550724</f>
        <v>5.4007796727753021E-2</v>
      </c>
      <c r="CW52" s="3276">
        <f t="shared" si="794"/>
        <v>190.26999999999998</v>
      </c>
      <c r="CX52" s="3276">
        <f t="shared" si="795"/>
        <v>190.17804435156503</v>
      </c>
      <c r="CY52" s="3276">
        <f t="shared" si="796"/>
        <v>9.1955648434953907E-2</v>
      </c>
      <c r="CZ52" s="3145">
        <f t="shared" si="797"/>
        <v>128.45000000000002</v>
      </c>
      <c r="DA52" s="3145">
        <f>SUM('ПОЛНАЯ СЕБЕСТОИМОСТЬ ВОДА 2019'!AV197)</f>
        <v>128.45000000000002</v>
      </c>
      <c r="DB52" s="3145">
        <f>SUM('ПОЛНАЯ СЕБЕСТОИМОСТЬ ВОДА 2019'!AW197)</f>
        <v>0</v>
      </c>
      <c r="DC52" s="3146">
        <v>159.31</v>
      </c>
      <c r="DD52" s="3149">
        <f t="shared" si="866"/>
        <v>159.27120710723094</v>
      </c>
      <c r="DE52" s="3149">
        <f>SUM(DC52/DC14*DE14)*1.02898550724</f>
        <v>3.8792892769061227E-2</v>
      </c>
      <c r="DF52" s="3276">
        <f t="shared" si="799"/>
        <v>190.26999999999998</v>
      </c>
      <c r="DG52" s="3276">
        <f t="shared" si="800"/>
        <v>190.17804435156503</v>
      </c>
      <c r="DH52" s="3276">
        <f t="shared" si="801"/>
        <v>9.1955648434953907E-2</v>
      </c>
      <c r="DI52" s="3145">
        <f t="shared" si="802"/>
        <v>141.22</v>
      </c>
      <c r="DJ52" s="3145">
        <f>SUM('ПОЛНАЯ СЕБЕСТОИМОСТЬ ВОДА 2019'!AY197)</f>
        <v>141.22</v>
      </c>
      <c r="DK52" s="3145">
        <f>SUM('ПОЛНАЯ СЕБЕСТОИМОСТЬ ВОДА 2019'!AZ197)</f>
        <v>0</v>
      </c>
      <c r="DL52" s="3146">
        <v>156.34</v>
      </c>
      <c r="DM52" s="3149">
        <f t="shared" si="867"/>
        <v>156.29731171456069</v>
      </c>
      <c r="DN52" s="3149">
        <f>SUM(DL52/DL14*DN14)*1.02898550724</f>
        <v>4.2688285439325249E-2</v>
      </c>
      <c r="DO52" s="3120">
        <f t="shared" si="804"/>
        <v>570.80999999999995</v>
      </c>
      <c r="DP52" s="3120">
        <f t="shared" si="805"/>
        <v>570.53413305469508</v>
      </c>
      <c r="DQ52" s="3120">
        <f t="shared" si="806"/>
        <v>0.27586694530486172</v>
      </c>
      <c r="DR52" s="3147">
        <f t="shared" si="807"/>
        <v>435.55000000000007</v>
      </c>
      <c r="DS52" s="3147">
        <f t="shared" si="808"/>
        <v>435.55000000000007</v>
      </c>
      <c r="DT52" s="3147">
        <f t="shared" si="809"/>
        <v>0</v>
      </c>
      <c r="DU52" s="3147">
        <f t="shared" si="810"/>
        <v>528.70000000000005</v>
      </c>
      <c r="DV52" s="3147">
        <f t="shared" si="811"/>
        <v>528.56451102506389</v>
      </c>
      <c r="DW52" s="3147">
        <f t="shared" si="812"/>
        <v>0.13548897493613948</v>
      </c>
      <c r="DX52" s="3148">
        <f t="shared" si="578"/>
        <v>-135.25999999999988</v>
      </c>
      <c r="DY52" s="3148">
        <f t="shared" si="813"/>
        <v>-134.98413305469501</v>
      </c>
      <c r="DZ52" s="3148">
        <f t="shared" si="814"/>
        <v>-0.27586694530486172</v>
      </c>
      <c r="EA52" s="3120">
        <f t="shared" si="815"/>
        <v>1712.4299999999998</v>
      </c>
      <c r="EB52" s="3120">
        <f t="shared" si="816"/>
        <v>1711.6023991640852</v>
      </c>
      <c r="EC52" s="3120">
        <f t="shared" si="817"/>
        <v>0.82760083591458522</v>
      </c>
      <c r="ED52" s="3147">
        <f t="shared" si="818"/>
        <v>1246.0900000000001</v>
      </c>
      <c r="EE52" s="3147">
        <f t="shared" si="819"/>
        <v>1246.0900000000001</v>
      </c>
      <c r="EF52" s="3147">
        <f t="shared" si="820"/>
        <v>0</v>
      </c>
      <c r="EG52" s="3147">
        <f t="shared" si="821"/>
        <v>1422.75</v>
      </c>
      <c r="EH52" s="3147">
        <f t="shared" si="822"/>
        <v>1422.1436077453498</v>
      </c>
      <c r="EI52" s="3147">
        <f t="shared" si="823"/>
        <v>0.60639225465032287</v>
      </c>
      <c r="EJ52" s="3148">
        <f t="shared" si="590"/>
        <v>-466.33999999999969</v>
      </c>
      <c r="EK52" s="3148">
        <f t="shared" si="590"/>
        <v>-465.51239916408508</v>
      </c>
      <c r="EL52" s="3148">
        <f t="shared" si="590"/>
        <v>-0.82760083591458522</v>
      </c>
      <c r="EM52" s="3276">
        <f t="shared" si="824"/>
        <v>190.26999999999998</v>
      </c>
      <c r="EN52" s="3276">
        <f>SUM('ПОЛНАЯ СЕБЕСТОИМОСТЬ ВОДА 2019'!BN197/3)</f>
        <v>190.17804435156503</v>
      </c>
      <c r="EO52" s="3276">
        <f>SUM('ПОЛНАЯ СЕБЕСТОИМОСТЬ ВОДА 2019'!BO197/3)</f>
        <v>9.1955648434953907E-2</v>
      </c>
      <c r="EP52" s="3145">
        <f t="shared" si="825"/>
        <v>0</v>
      </c>
      <c r="EQ52" s="3145">
        <f>SUM('ПОЛНАЯ СЕБЕСТОИМОСТЬ ВОДА 2019'!BQ197)</f>
        <v>0</v>
      </c>
      <c r="ER52" s="3145">
        <f>SUM('ПОЛНАЯ СЕБЕСТОИМОСТЬ ВОДА 2019'!BR197)</f>
        <v>0</v>
      </c>
      <c r="ES52" s="3146">
        <v>170.05</v>
      </c>
      <c r="ET52" s="3149">
        <f t="shared" si="868"/>
        <v>170.00357354554819</v>
      </c>
      <c r="EU52" s="3149">
        <f>SUM(ES52/ES14*EU14)*1.02898550724</f>
        <v>4.642645445181337E-2</v>
      </c>
      <c r="EV52" s="3276">
        <f t="shared" si="827"/>
        <v>190.26999999999998</v>
      </c>
      <c r="EW52" s="3276">
        <f t="shared" si="828"/>
        <v>190.17804435156503</v>
      </c>
      <c r="EX52" s="3276">
        <f t="shared" si="829"/>
        <v>9.1955648434953907E-2</v>
      </c>
      <c r="EY52" s="3145">
        <f t="shared" si="830"/>
        <v>0</v>
      </c>
      <c r="EZ52" s="3145">
        <f>SUM('ПОЛНАЯ СЕБЕСТОИМОСТЬ ВОДА 2019'!BT197)</f>
        <v>0</v>
      </c>
      <c r="FA52" s="3145">
        <f>SUM('ПОЛНАЯ СЕБЕСТОИМОСТЬ ВОДА 2019'!BU197)</f>
        <v>0</v>
      </c>
      <c r="FB52" s="3146">
        <v>194.95</v>
      </c>
      <c r="FC52" s="3149">
        <f t="shared" si="869"/>
        <v>194.89585127384379</v>
      </c>
      <c r="FD52" s="3149">
        <f>SUM(FB52/FB14*FD14)*1.02898550724</f>
        <v>5.414872615620691E-2</v>
      </c>
      <c r="FE52" s="3276">
        <f t="shared" si="832"/>
        <v>190.26999999999998</v>
      </c>
      <c r="FF52" s="3276">
        <f t="shared" si="833"/>
        <v>190.17804435156503</v>
      </c>
      <c r="FG52" s="3276">
        <f t="shared" si="834"/>
        <v>9.1955648434953907E-2</v>
      </c>
      <c r="FH52" s="3145">
        <f>SUM('[19]ПОЛНАЯ СЕБЕСТОИМОСТЬ ВОДА 2018'!Z198)</f>
        <v>0</v>
      </c>
      <c r="FI52" s="3145">
        <f>SUM('ПОЛНАЯ СЕБЕСТОИМОСТЬ ВОДА 2019'!BW197)</f>
        <v>0</v>
      </c>
      <c r="FJ52" s="3145">
        <f>SUM('ПОЛНАЯ СЕБЕСТОИМОСТЬ ВОДА 2019'!BX197)</f>
        <v>0</v>
      </c>
      <c r="FK52" s="3146">
        <v>173.14</v>
      </c>
      <c r="FL52" s="3149">
        <f t="shared" si="870"/>
        <v>173.14</v>
      </c>
      <c r="FM52" s="3149">
        <f>SUM(FK52/FK14*FM14)*1.02898550724</f>
        <v>0</v>
      </c>
      <c r="FN52" s="3120">
        <f t="shared" si="836"/>
        <v>570.80999999999995</v>
      </c>
      <c r="FO52" s="3120">
        <f t="shared" si="837"/>
        <v>570.53413305469508</v>
      </c>
      <c r="FP52" s="3120">
        <f t="shared" si="838"/>
        <v>0.27586694530486172</v>
      </c>
      <c r="FQ52" s="3126">
        <f t="shared" si="839"/>
        <v>0</v>
      </c>
      <c r="FR52" s="3126">
        <f t="shared" si="840"/>
        <v>0</v>
      </c>
      <c r="FS52" s="3126">
        <f t="shared" si="841"/>
        <v>0</v>
      </c>
      <c r="FT52" s="3126">
        <f t="shared" si="842"/>
        <v>538.14</v>
      </c>
      <c r="FU52" s="3126">
        <f t="shared" si="843"/>
        <v>538.03942481939202</v>
      </c>
      <c r="FV52" s="3126">
        <f t="shared" si="844"/>
        <v>0.10057518060802029</v>
      </c>
      <c r="FW52" s="3121">
        <f t="shared" si="600"/>
        <v>-570.80999999999995</v>
      </c>
      <c r="FX52" s="3121">
        <f t="shared" si="845"/>
        <v>-570.53413305469508</v>
      </c>
      <c r="FY52" s="3121">
        <f t="shared" si="846"/>
        <v>-0.27586694530486172</v>
      </c>
      <c r="FZ52" s="3227">
        <f t="shared" si="847"/>
        <v>2283.2399999999998</v>
      </c>
      <c r="GA52" s="3227">
        <f t="shared" si="848"/>
        <v>2282.1365322187803</v>
      </c>
      <c r="GB52" s="3227">
        <f t="shared" si="849"/>
        <v>1.1034677812194469</v>
      </c>
      <c r="GC52" s="3232">
        <f t="shared" si="850"/>
        <v>1246.0900000000001</v>
      </c>
      <c r="GD52" s="3232">
        <f t="shared" si="851"/>
        <v>1246.0900000000001</v>
      </c>
      <c r="GE52" s="3232">
        <f t="shared" si="852"/>
        <v>0</v>
      </c>
      <c r="GF52" s="3232">
        <f t="shared" si="853"/>
        <v>1960.8899999999999</v>
      </c>
      <c r="GG52" s="3232">
        <f t="shared" si="854"/>
        <v>1960.1830325647418</v>
      </c>
      <c r="GH52" s="3232">
        <f t="shared" si="855"/>
        <v>0.70696743525834316</v>
      </c>
      <c r="GI52" s="3233">
        <f t="shared" si="856"/>
        <v>-1037.1499999999996</v>
      </c>
      <c r="GJ52" s="3233">
        <f t="shared" si="857"/>
        <v>-1036.0465322187802</v>
      </c>
      <c r="GK52" s="3233">
        <f t="shared" si="858"/>
        <v>-1.1034677812194469</v>
      </c>
      <c r="GL52" s="396"/>
    </row>
    <row r="53" spans="1:194" ht="18.75" x14ac:dyDescent="0.3">
      <c r="A53" s="3079" t="s">
        <v>295</v>
      </c>
      <c r="B53" s="3276">
        <f t="shared" si="731"/>
        <v>943.41594649196247</v>
      </c>
      <c r="C53" s="3276">
        <f>SUM('ПОЛНАЯ СЕБЕСТОИМОСТЬ ВОДА 2019'!C198/3)</f>
        <v>943.29450817975248</v>
      </c>
      <c r="D53" s="3276">
        <f>SUM('ПОЛНАЯ СЕБЕСТОИМОСТЬ ВОДА 2019'!D198/3)</f>
        <v>0.12143831221002795</v>
      </c>
      <c r="E53" s="3145">
        <f t="shared" si="732"/>
        <v>1137.4499999999998</v>
      </c>
      <c r="F53" s="3145">
        <f>SUM('ПОЛНАЯ СЕБЕСТОИМОСТЬ ВОДА 2019'!F198)</f>
        <v>1137.4499999999998</v>
      </c>
      <c r="G53" s="3145">
        <f>SUM('ПОЛНАЯ СЕБЕСТОИМОСТЬ ВОДА 2019'!G198)</f>
        <v>0</v>
      </c>
      <c r="H53" s="3146">
        <v>1072.21</v>
      </c>
      <c r="I53" s="3149">
        <f t="shared" si="859"/>
        <v>1072.1217819657436</v>
      </c>
      <c r="J53" s="3149">
        <f>SUM(H53/H14*J14)*0.18766756032</f>
        <v>8.8218034256408784E-2</v>
      </c>
      <c r="K53" s="3276">
        <f t="shared" si="734"/>
        <v>943.41594649196247</v>
      </c>
      <c r="L53" s="3276">
        <f t="shared" si="735"/>
        <v>943.29450817975248</v>
      </c>
      <c r="M53" s="3276">
        <f t="shared" si="736"/>
        <v>0.12143831221002795</v>
      </c>
      <c r="N53" s="3145">
        <f t="shared" si="737"/>
        <v>1284.83</v>
      </c>
      <c r="O53" s="3145">
        <f>SUM('ПОЛНАЯ СЕБЕСТОИМОСТЬ ВОДА 2019'!I198)</f>
        <v>1284.83</v>
      </c>
      <c r="P53" s="3145">
        <f>SUM('ПОЛНАЯ СЕБЕСТОИМОСТЬ ВОДА 2019'!J198)</f>
        <v>0</v>
      </c>
      <c r="Q53" s="3146">
        <v>1047.5999999999999</v>
      </c>
      <c r="R53" s="3149">
        <f t="shared" si="860"/>
        <v>1047.487859756902</v>
      </c>
      <c r="S53" s="3149">
        <f>SUM(Q53/Q14*S14)*0.18766756032</f>
        <v>0.11214024309795531</v>
      </c>
      <c r="T53" s="3276">
        <f t="shared" si="739"/>
        <v>943.41594649196247</v>
      </c>
      <c r="U53" s="3276">
        <f t="shared" si="740"/>
        <v>943.29450817975248</v>
      </c>
      <c r="V53" s="3276">
        <f t="shared" si="741"/>
        <v>0.12143831221002795</v>
      </c>
      <c r="W53" s="3145">
        <f t="shared" si="742"/>
        <v>982.20999999999958</v>
      </c>
      <c r="X53" s="3145">
        <f>SUM('ПОЛНАЯ СЕБЕСТОИМОСТЬ ВОДА 2019'!L198)</f>
        <v>982.20999999999958</v>
      </c>
      <c r="Y53" s="3145">
        <f>SUM('ПОЛНАЯ СЕБЕСТОИМОСТЬ ВОДА 2019'!M198)</f>
        <v>0</v>
      </c>
      <c r="Z53" s="3146">
        <v>1149.94</v>
      </c>
      <c r="AA53" s="3149">
        <f t="shared" si="861"/>
        <v>1149.852916900539</v>
      </c>
      <c r="AB53" s="3149">
        <f>SUM(Z53/Z14*AB14)*0.18766756032</f>
        <v>8.7083099461045435E-2</v>
      </c>
      <c r="AC53" s="3120">
        <f t="shared" si="744"/>
        <v>2830.2478394758873</v>
      </c>
      <c r="AD53" s="3120">
        <f t="shared" si="745"/>
        <v>2829.8835245392575</v>
      </c>
      <c r="AE53" s="3120">
        <f t="shared" si="746"/>
        <v>0.36431493663008385</v>
      </c>
      <c r="AF53" s="3126">
        <f t="shared" si="747"/>
        <v>3404.4899999999993</v>
      </c>
      <c r="AG53" s="3126">
        <f t="shared" si="748"/>
        <v>3404.4899999999993</v>
      </c>
      <c r="AH53" s="3126">
        <f t="shared" si="749"/>
        <v>0</v>
      </c>
      <c r="AI53" s="3126">
        <f t="shared" si="750"/>
        <v>3269.75</v>
      </c>
      <c r="AJ53" s="3126">
        <f t="shared" si="751"/>
        <v>3269.4625586231841</v>
      </c>
      <c r="AK53" s="3126">
        <f t="shared" si="752"/>
        <v>0.28744137681540954</v>
      </c>
      <c r="AL53" s="3121">
        <f t="shared" si="753"/>
        <v>574.24216052411202</v>
      </c>
      <c r="AM53" s="3121">
        <f t="shared" si="754"/>
        <v>574.60647546074188</v>
      </c>
      <c r="AN53" s="3121">
        <f t="shared" si="755"/>
        <v>-0.36431493663008385</v>
      </c>
      <c r="AO53" s="3276">
        <f t="shared" si="756"/>
        <v>943.41594649196247</v>
      </c>
      <c r="AP53" s="3276">
        <f>SUM('ПОЛНАЯ СЕБЕСТОИМОСТЬ ВОДА 2019'!R198/3)</f>
        <v>943.29450817975248</v>
      </c>
      <c r="AQ53" s="3276">
        <f>SUM('ПОЛНАЯ СЕБЕСТОИМОСТЬ ВОДА 2019'!S198/3)</f>
        <v>0.12143831221002795</v>
      </c>
      <c r="AR53" s="3276">
        <f t="shared" si="757"/>
        <v>949.64</v>
      </c>
      <c r="AS53" s="3276">
        <f>SUM('ПОЛНАЯ СЕБЕСТОИМОСТЬ ВОДА 2019'!U198)</f>
        <v>949.64</v>
      </c>
      <c r="AT53" s="3276">
        <f>SUM('ПОЛНАЯ СЕБЕСТОИМОСТЬ ВОДА 2019'!V198)</f>
        <v>0</v>
      </c>
      <c r="AU53" s="3461">
        <v>878.75</v>
      </c>
      <c r="AV53" s="3461">
        <f t="shared" si="862"/>
        <v>878.58535468001378</v>
      </c>
      <c r="AW53" s="3461">
        <f>SUM(AU53/AU14*AW14)*0.18766756032</f>
        <v>0.16464531998622239</v>
      </c>
      <c r="AX53" s="3276">
        <f t="shared" si="759"/>
        <v>943.41594649196247</v>
      </c>
      <c r="AY53" s="3276">
        <f t="shared" si="760"/>
        <v>943.29450817975248</v>
      </c>
      <c r="AZ53" s="3276">
        <f t="shared" si="761"/>
        <v>0.12143831221002795</v>
      </c>
      <c r="BA53" s="3276">
        <f t="shared" si="762"/>
        <v>497.8900000000001</v>
      </c>
      <c r="BB53" s="3276">
        <f>SUM('ПОЛНАЯ СЕБЕСТОИМОСТЬ ВОДА 2019'!X198)</f>
        <v>497.8900000000001</v>
      </c>
      <c r="BC53" s="3276">
        <f>SUM('ПОЛНАЯ СЕБЕСТОИМОСТЬ ВОДА 2019'!Y198)</f>
        <v>0</v>
      </c>
      <c r="BD53" s="3146">
        <v>461.01</v>
      </c>
      <c r="BE53" s="3149">
        <f t="shared" si="863"/>
        <v>460.9816422622888</v>
      </c>
      <c r="BF53" s="3149">
        <f>SUM(BD53/BD14*BF14)*0.18766756032</f>
        <v>2.8357737711207583E-2</v>
      </c>
      <c r="BG53" s="3276">
        <f t="shared" si="764"/>
        <v>943.41594649196247</v>
      </c>
      <c r="BH53" s="3276">
        <f t="shared" si="765"/>
        <v>943.29450817975248</v>
      </c>
      <c r="BI53" s="3276">
        <f t="shared" si="766"/>
        <v>0.12143831221002795</v>
      </c>
      <c r="BJ53" s="3145">
        <f t="shared" si="767"/>
        <v>585.3599999999999</v>
      </c>
      <c r="BK53" s="3145">
        <f>SUM('ПОЛНАЯ СЕБЕСТОИМОСТЬ ВОДА 2019'!AA198)</f>
        <v>585.3599999999999</v>
      </c>
      <c r="BL53" s="3145">
        <f>SUM('ПОЛНАЯ СЕБЕСТОИМОСТЬ ВОДА 2019'!AB198)</f>
        <v>0</v>
      </c>
      <c r="BM53" s="3146">
        <v>405.6</v>
      </c>
      <c r="BN53" s="3149">
        <f t="shared" si="864"/>
        <v>405.57891988238686</v>
      </c>
      <c r="BO53" s="3149">
        <f>SUM(BM53/BM14*BO14)*0.18766756032</f>
        <v>2.1080117613149364E-2</v>
      </c>
      <c r="BP53" s="3120">
        <f t="shared" si="769"/>
        <v>2830.2478394758873</v>
      </c>
      <c r="BQ53" s="3120">
        <f t="shared" si="770"/>
        <v>2829.8835245392575</v>
      </c>
      <c r="BR53" s="3120">
        <f t="shared" si="771"/>
        <v>0.36431493663008385</v>
      </c>
      <c r="BS53" s="3147">
        <f t="shared" si="772"/>
        <v>2032.89</v>
      </c>
      <c r="BT53" s="3147">
        <f t="shared" si="773"/>
        <v>2032.89</v>
      </c>
      <c r="BU53" s="3147">
        <f t="shared" si="774"/>
        <v>0</v>
      </c>
      <c r="BV53" s="3147">
        <f t="shared" si="775"/>
        <v>1745.3600000000001</v>
      </c>
      <c r="BW53" s="3147">
        <f t="shared" si="776"/>
        <v>1745.1459168246893</v>
      </c>
      <c r="BX53" s="3147">
        <f t="shared" si="777"/>
        <v>0.21408317531057935</v>
      </c>
      <c r="BY53" s="3148">
        <f t="shared" si="554"/>
        <v>-797.3578394758872</v>
      </c>
      <c r="BZ53" s="3148">
        <f t="shared" si="778"/>
        <v>-796.99352453925735</v>
      </c>
      <c r="CA53" s="3148">
        <f t="shared" si="779"/>
        <v>-0.36431493663008385</v>
      </c>
      <c r="CB53" s="3120">
        <f t="shared" si="780"/>
        <v>5660.4956789517746</v>
      </c>
      <c r="CC53" s="3120">
        <f t="shared" si="781"/>
        <v>5659.7670490785149</v>
      </c>
      <c r="CD53" s="3120">
        <f t="shared" si="782"/>
        <v>0.7286298732601677</v>
      </c>
      <c r="CE53" s="3147">
        <f t="shared" si="783"/>
        <v>5437.3799999999992</v>
      </c>
      <c r="CF53" s="3147">
        <f t="shared" si="784"/>
        <v>5437.3799999999992</v>
      </c>
      <c r="CG53" s="3147">
        <f t="shared" si="785"/>
        <v>0</v>
      </c>
      <c r="CH53" s="3147">
        <f t="shared" si="786"/>
        <v>5015.1100000000006</v>
      </c>
      <c r="CI53" s="3147">
        <f t="shared" si="787"/>
        <v>5014.6084754478734</v>
      </c>
      <c r="CJ53" s="3147">
        <f t="shared" si="788"/>
        <v>0.5015245521259889</v>
      </c>
      <c r="CK53" s="3148">
        <f t="shared" si="566"/>
        <v>-223.11567895177541</v>
      </c>
      <c r="CL53" s="3148">
        <f t="shared" si="789"/>
        <v>-222.3870490785157</v>
      </c>
      <c r="CM53" s="3148">
        <f t="shared" si="790"/>
        <v>-0.7286298732601677</v>
      </c>
      <c r="CN53" s="3276">
        <f t="shared" si="791"/>
        <v>943.41594649196247</v>
      </c>
      <c r="CO53" s="3276">
        <f>SUM('ПОЛНАЯ СЕБЕСТОИМОСТЬ ВОДА 2019'!AP198/3)</f>
        <v>943.29450817975248</v>
      </c>
      <c r="CP53" s="3276">
        <f>SUM('ПОЛНАЯ СЕБЕСТОИМОСТЬ ВОДА 2019'!AQ198/3)</f>
        <v>0.12143831221002795</v>
      </c>
      <c r="CQ53" s="3145">
        <f t="shared" si="792"/>
        <v>430.11999999999989</v>
      </c>
      <c r="CR53" s="3145">
        <f>SUM('ПОЛНАЯ СЕБЕСТОИМОСТЬ ВОДА 2019'!AS198)</f>
        <v>430.11999999999989</v>
      </c>
      <c r="CS53" s="3145">
        <f>SUM('ПОЛНАЯ СЕБЕСТОИМОСТЬ ВОДА 2019'!AT198)</f>
        <v>0</v>
      </c>
      <c r="CT53" s="3146">
        <v>656.4</v>
      </c>
      <c r="CU53" s="3149">
        <f t="shared" si="865"/>
        <v>656.36965246335751</v>
      </c>
      <c r="CV53" s="3149">
        <f>SUM(CT53/CT14*CV14)*0.18766756032</f>
        <v>3.0347536642441615E-2</v>
      </c>
      <c r="CW53" s="3276">
        <f t="shared" si="794"/>
        <v>943.41594649196247</v>
      </c>
      <c r="CX53" s="3276">
        <f t="shared" si="795"/>
        <v>943.29450817975248</v>
      </c>
      <c r="CY53" s="3276">
        <f t="shared" si="796"/>
        <v>0.12143831221002795</v>
      </c>
      <c r="CZ53" s="3145">
        <f t="shared" si="797"/>
        <v>658.02</v>
      </c>
      <c r="DA53" s="3145">
        <f>SUM('ПОЛНАЯ СЕБЕСТОИМОСТЬ ВОДА 2019'!AV198)</f>
        <v>658.02</v>
      </c>
      <c r="DB53" s="3145">
        <f>SUM('ПОЛНАЯ СЕБЕСТОИМОСТЬ ВОДА 2019'!AW198)</f>
        <v>0</v>
      </c>
      <c r="DC53" s="3146">
        <v>411.29</v>
      </c>
      <c r="DD53" s="3149">
        <f t="shared" si="866"/>
        <v>411.27173426179218</v>
      </c>
      <c r="DE53" s="3149">
        <f>SUM(DC53/DC14*DE14)*0.18766756032</f>
        <v>1.8265738207846171E-2</v>
      </c>
      <c r="DF53" s="3276">
        <f t="shared" si="799"/>
        <v>943.41594649196247</v>
      </c>
      <c r="DG53" s="3276">
        <f t="shared" si="800"/>
        <v>943.29450817975248</v>
      </c>
      <c r="DH53" s="3276">
        <f t="shared" si="801"/>
        <v>0.12143831221002795</v>
      </c>
      <c r="DI53" s="3145">
        <f t="shared" si="802"/>
        <v>371.21000000000026</v>
      </c>
      <c r="DJ53" s="3145">
        <f>SUM('ПОЛНАЯ СЕБЕСТОИМОСТЬ ВОДА 2019'!AY198)</f>
        <v>371.21000000000026</v>
      </c>
      <c r="DK53" s="3145">
        <f>SUM('ПОЛНАЯ СЕБЕСТОИМОСТЬ ВОДА 2019'!AZ198)</f>
        <v>0</v>
      </c>
      <c r="DL53" s="3146">
        <v>887.14</v>
      </c>
      <c r="DM53" s="3149">
        <f t="shared" si="867"/>
        <v>887.09582152544976</v>
      </c>
      <c r="DN53" s="3149">
        <f>SUM(DL53/DL14*DN14)*0.18766756032</f>
        <v>4.4178474550188598E-2</v>
      </c>
      <c r="DO53" s="3120">
        <f t="shared" si="804"/>
        <v>2830.2478394758873</v>
      </c>
      <c r="DP53" s="3120">
        <f t="shared" si="805"/>
        <v>2829.8835245392575</v>
      </c>
      <c r="DQ53" s="3120">
        <f t="shared" si="806"/>
        <v>0.36431493663008385</v>
      </c>
      <c r="DR53" s="3147">
        <f t="shared" si="807"/>
        <v>1459.3500000000001</v>
      </c>
      <c r="DS53" s="3147">
        <f t="shared" si="808"/>
        <v>1459.3500000000001</v>
      </c>
      <c r="DT53" s="3147">
        <f t="shared" si="809"/>
        <v>0</v>
      </c>
      <c r="DU53" s="3147">
        <f t="shared" si="810"/>
        <v>1954.83</v>
      </c>
      <c r="DV53" s="3147">
        <f t="shared" si="811"/>
        <v>1954.7372082505995</v>
      </c>
      <c r="DW53" s="3147">
        <f t="shared" si="812"/>
        <v>9.2791749400476381E-2</v>
      </c>
      <c r="DX53" s="3148">
        <f t="shared" si="578"/>
        <v>-1370.8978394758872</v>
      </c>
      <c r="DY53" s="3148">
        <f t="shared" si="813"/>
        <v>-1370.5335245392573</v>
      </c>
      <c r="DZ53" s="3148">
        <f t="shared" si="814"/>
        <v>-0.36431493663008385</v>
      </c>
      <c r="EA53" s="3120">
        <f t="shared" si="815"/>
        <v>8490.7435184276619</v>
      </c>
      <c r="EB53" s="3120">
        <f t="shared" si="816"/>
        <v>8489.6505736177714</v>
      </c>
      <c r="EC53" s="3120">
        <f t="shared" si="817"/>
        <v>1.0929448098902514</v>
      </c>
      <c r="ED53" s="3147">
        <f t="shared" si="818"/>
        <v>6896.73</v>
      </c>
      <c r="EE53" s="3147">
        <f t="shared" si="819"/>
        <v>6896.73</v>
      </c>
      <c r="EF53" s="3147">
        <f t="shared" si="820"/>
        <v>0</v>
      </c>
      <c r="EG53" s="3147">
        <f t="shared" si="821"/>
        <v>6969.9400000000005</v>
      </c>
      <c r="EH53" s="3147">
        <f t="shared" si="822"/>
        <v>6969.3456836984733</v>
      </c>
      <c r="EI53" s="3147">
        <f t="shared" si="823"/>
        <v>0.59431630152646531</v>
      </c>
      <c r="EJ53" s="3148">
        <f t="shared" si="590"/>
        <v>-1594.0135184276623</v>
      </c>
      <c r="EK53" s="3148">
        <f t="shared" si="590"/>
        <v>-1592.9205736177719</v>
      </c>
      <c r="EL53" s="3148">
        <f t="shared" si="590"/>
        <v>-1.0929448098902514</v>
      </c>
      <c r="EM53" s="3276">
        <f t="shared" si="824"/>
        <v>943.41594649196247</v>
      </c>
      <c r="EN53" s="3276">
        <f>SUM('ПОЛНАЯ СЕБЕСТОИМОСТЬ ВОДА 2019'!BN198/3)</f>
        <v>943.29450817975248</v>
      </c>
      <c r="EO53" s="3276">
        <f>SUM('ПОЛНАЯ СЕБЕСТОИМОСТЬ ВОДА 2019'!BO198/3)</f>
        <v>0.12143831221002795</v>
      </c>
      <c r="EP53" s="3145">
        <f t="shared" si="825"/>
        <v>0</v>
      </c>
      <c r="EQ53" s="3145">
        <f>SUM('ПОЛНАЯ СЕБЕСТОИМОСТЬ ВОДА 2019'!BQ198)</f>
        <v>0</v>
      </c>
      <c r="ER53" s="3145">
        <f>SUM('ПОЛНАЯ СЕБЕСТОИМОСТЬ ВОДА 2019'!BR198)</f>
        <v>0</v>
      </c>
      <c r="ES53" s="3146">
        <v>1000.73</v>
      </c>
      <c r="ET53" s="3149">
        <f t="shared" si="868"/>
        <v>1000.6801705892519</v>
      </c>
      <c r="EU53" s="3149">
        <f>SUM(ES53/ES14*EU14)*0.18766756032</f>
        <v>4.9829410748095257E-2</v>
      </c>
      <c r="EV53" s="3276">
        <f t="shared" si="827"/>
        <v>943.41594649196247</v>
      </c>
      <c r="EW53" s="3276">
        <f t="shared" si="828"/>
        <v>943.29450817975248</v>
      </c>
      <c r="EX53" s="3276">
        <f t="shared" si="829"/>
        <v>0.12143831221002795</v>
      </c>
      <c r="EY53" s="3145">
        <f t="shared" si="830"/>
        <v>0</v>
      </c>
      <c r="EZ53" s="3145">
        <f>SUM('ПОЛНАЯ СЕБЕСТОИМОСТЬ ВОДА 2019'!BT198)</f>
        <v>0</v>
      </c>
      <c r="FA53" s="3145">
        <f>SUM('ПОЛНАЯ СЕБЕСТОИМОСТЬ ВОДА 2019'!BU198)</f>
        <v>0</v>
      </c>
      <c r="FB53" s="3146">
        <v>1098.54</v>
      </c>
      <c r="FC53" s="3149">
        <f t="shared" si="869"/>
        <v>1098.4843505559363</v>
      </c>
      <c r="FD53" s="3149">
        <f>SUM(FB53/FB14*FD14)*0.18766756032</f>
        <v>5.5649444063551053E-2</v>
      </c>
      <c r="FE53" s="3276">
        <f t="shared" si="832"/>
        <v>943.41594649196247</v>
      </c>
      <c r="FF53" s="3276">
        <f t="shared" si="833"/>
        <v>943.29450817975248</v>
      </c>
      <c r="FG53" s="3276">
        <f t="shared" si="834"/>
        <v>0.12143831221002795</v>
      </c>
      <c r="FH53" s="3145">
        <f>SUM('[19]ПОЛНАЯ СЕБЕСТОИМОСТЬ ВОДА 2018'!Z199)</f>
        <v>0</v>
      </c>
      <c r="FI53" s="3145">
        <f>SUM('ПОЛНАЯ СЕБЕСТОИМОСТЬ ВОДА 2019'!BW198)</f>
        <v>0</v>
      </c>
      <c r="FJ53" s="3145">
        <f>SUM('ПОЛНАЯ СЕБЕСТОИМОСТЬ ВОДА 2019'!BX198)</f>
        <v>0</v>
      </c>
      <c r="FK53" s="3146">
        <v>1282.6099999999999</v>
      </c>
      <c r="FL53" s="3149">
        <f t="shared" si="870"/>
        <v>1282.6099999999999</v>
      </c>
      <c r="FM53" s="3149">
        <f>SUM(FK53/FK14*FM14)*0.18766756032</f>
        <v>0</v>
      </c>
      <c r="FN53" s="3120">
        <f t="shared" si="836"/>
        <v>2830.2478394758873</v>
      </c>
      <c r="FO53" s="3120">
        <f t="shared" si="837"/>
        <v>2829.8835245392575</v>
      </c>
      <c r="FP53" s="3120">
        <f t="shared" si="838"/>
        <v>0.36431493663008385</v>
      </c>
      <c r="FQ53" s="3126">
        <f t="shared" si="839"/>
        <v>0</v>
      </c>
      <c r="FR53" s="3126">
        <f t="shared" si="840"/>
        <v>0</v>
      </c>
      <c r="FS53" s="3126">
        <f t="shared" si="841"/>
        <v>0</v>
      </c>
      <c r="FT53" s="3126">
        <f t="shared" si="842"/>
        <v>3381.88</v>
      </c>
      <c r="FU53" s="3126">
        <f t="shared" si="843"/>
        <v>3381.7745211451884</v>
      </c>
      <c r="FV53" s="3126">
        <f t="shared" si="844"/>
        <v>0.10547885481164632</v>
      </c>
      <c r="FW53" s="3121">
        <f t="shared" si="600"/>
        <v>-2830.2478394758873</v>
      </c>
      <c r="FX53" s="3121">
        <f t="shared" si="845"/>
        <v>-2829.8835245392575</v>
      </c>
      <c r="FY53" s="3121">
        <f t="shared" si="846"/>
        <v>-0.36431493663008385</v>
      </c>
      <c r="FZ53" s="3227">
        <f t="shared" si="847"/>
        <v>11320.991357903549</v>
      </c>
      <c r="GA53" s="3227">
        <f t="shared" si="848"/>
        <v>11319.53409815703</v>
      </c>
      <c r="GB53" s="3227">
        <f t="shared" si="849"/>
        <v>1.4572597465203354</v>
      </c>
      <c r="GC53" s="3232">
        <f t="shared" si="850"/>
        <v>6896.73</v>
      </c>
      <c r="GD53" s="3232">
        <f t="shared" si="851"/>
        <v>6896.73</v>
      </c>
      <c r="GE53" s="3232">
        <f t="shared" si="852"/>
        <v>0</v>
      </c>
      <c r="GF53" s="3232">
        <f t="shared" si="853"/>
        <v>10351.82</v>
      </c>
      <c r="GG53" s="3232">
        <f t="shared" si="854"/>
        <v>10351.120204843661</v>
      </c>
      <c r="GH53" s="3232">
        <f t="shared" si="855"/>
        <v>0.69979515633811162</v>
      </c>
      <c r="GI53" s="3233">
        <f t="shared" si="856"/>
        <v>-4424.2613579035497</v>
      </c>
      <c r="GJ53" s="3233">
        <f t="shared" si="857"/>
        <v>-4422.8040981570302</v>
      </c>
      <c r="GK53" s="3233">
        <f t="shared" si="858"/>
        <v>-1.4572597465203354</v>
      </c>
      <c r="GL53" s="396"/>
    </row>
    <row r="54" spans="1:194" ht="18.75" x14ac:dyDescent="0.3">
      <c r="A54" s="3135" t="s">
        <v>3602</v>
      </c>
      <c r="B54" s="3277">
        <f t="shared" si="731"/>
        <v>554.0806448473179</v>
      </c>
      <c r="C54" s="3277">
        <f>SUM('ПОЛНАЯ СЕБЕСТОИМОСТЬ ВОДА 2019'!C199/3)</f>
        <v>553.88901619302999</v>
      </c>
      <c r="D54" s="3277">
        <f>SUM('ПОЛНАЯ СЕБЕСТОИМОСТЬ ВОДА 2019'!D199/3)</f>
        <v>0.19162865428788131</v>
      </c>
      <c r="E54" s="3136">
        <f t="shared" si="732"/>
        <v>0</v>
      </c>
      <c r="F54" s="3136">
        <f>SUM('ПОЛНАЯ СЕБЕСТОИМОСТЬ ВОДА 2019'!F199)</f>
        <v>0</v>
      </c>
      <c r="G54" s="3136">
        <f>SUM('ПОЛНАЯ СЕБЕСТОИМОСТЬ ВОДА 2019'!G199)</f>
        <v>0</v>
      </c>
      <c r="H54" s="3141">
        <f>SUM(H55:H58)</f>
        <v>0</v>
      </c>
      <c r="I54" s="3141">
        <f t="shared" ref="I54:J54" si="871">SUM(I55:I58)</f>
        <v>0</v>
      </c>
      <c r="J54" s="3141">
        <f t="shared" si="871"/>
        <v>0</v>
      </c>
      <c r="K54" s="3277">
        <f t="shared" si="734"/>
        <v>554.0806448473179</v>
      </c>
      <c r="L54" s="3277">
        <f t="shared" si="735"/>
        <v>553.88901619302999</v>
      </c>
      <c r="M54" s="3277">
        <f t="shared" si="736"/>
        <v>0.19162865428788131</v>
      </c>
      <c r="N54" s="3136">
        <f t="shared" si="737"/>
        <v>0</v>
      </c>
      <c r="O54" s="3136">
        <f>SUM('ПОЛНАЯ СЕБЕСТОИМОСТЬ ВОДА 2019'!I199)</f>
        <v>0</v>
      </c>
      <c r="P54" s="3136">
        <f>SUM('ПОЛНАЯ СЕБЕСТОИМОСТЬ ВОДА 2019'!J199)</f>
        <v>0</v>
      </c>
      <c r="Q54" s="3141">
        <f>SUM(Q55:Q58)</f>
        <v>0</v>
      </c>
      <c r="R54" s="3141">
        <f t="shared" ref="R54:S54" si="872">SUM(R55:R58)</f>
        <v>0</v>
      </c>
      <c r="S54" s="3141">
        <f t="shared" si="872"/>
        <v>0</v>
      </c>
      <c r="T54" s="3277">
        <f t="shared" si="739"/>
        <v>554.0806448473179</v>
      </c>
      <c r="U54" s="3277">
        <f t="shared" si="740"/>
        <v>553.88901619302999</v>
      </c>
      <c r="V54" s="3277">
        <f t="shared" si="741"/>
        <v>0.19162865428788131</v>
      </c>
      <c r="W54" s="3136">
        <f t="shared" si="742"/>
        <v>781.91000000000008</v>
      </c>
      <c r="X54" s="3136">
        <f>SUM('ПОЛНАЯ СЕБЕСТОИМОСТЬ ВОДА 2019'!L199)</f>
        <v>781.91000000000008</v>
      </c>
      <c r="Y54" s="3136">
        <f>SUM('ПОЛНАЯ СЕБЕСТОИМОСТЬ ВОДА 2019'!M199)</f>
        <v>0</v>
      </c>
      <c r="Z54" s="3141">
        <f>SUM(Z55:Z58)</f>
        <v>684.78</v>
      </c>
      <c r="AA54" s="3141">
        <f t="shared" ref="AA54:AB54" si="873">SUM(AA55:AA58)</f>
        <v>684.35914222303609</v>
      </c>
      <c r="AB54" s="3141">
        <f t="shared" si="873"/>
        <v>0.42085777696391141</v>
      </c>
      <c r="AC54" s="3114">
        <f>SUM(B54+K54+T54)</f>
        <v>1662.2419345419537</v>
      </c>
      <c r="AD54" s="3114">
        <f t="shared" si="745"/>
        <v>1661.6670485790901</v>
      </c>
      <c r="AE54" s="3114">
        <f t="shared" si="746"/>
        <v>0.57488596286364391</v>
      </c>
      <c r="AF54" s="3123">
        <f t="shared" si="747"/>
        <v>781.91000000000008</v>
      </c>
      <c r="AG54" s="3123">
        <f t="shared" si="748"/>
        <v>781.91000000000008</v>
      </c>
      <c r="AH54" s="3123">
        <f t="shared" si="749"/>
        <v>0</v>
      </c>
      <c r="AI54" s="3123">
        <f t="shared" si="750"/>
        <v>684.78</v>
      </c>
      <c r="AJ54" s="3123">
        <f t="shared" si="751"/>
        <v>684.35914222303609</v>
      </c>
      <c r="AK54" s="3123">
        <f t="shared" si="752"/>
        <v>0.42085777696391141</v>
      </c>
      <c r="AL54" s="3115">
        <f t="shared" si="753"/>
        <v>-880.33193454195361</v>
      </c>
      <c r="AM54" s="3115">
        <f t="shared" si="754"/>
        <v>-879.75704857909</v>
      </c>
      <c r="AN54" s="3115">
        <f t="shared" si="755"/>
        <v>-0.57488596286364391</v>
      </c>
      <c r="AO54" s="3277">
        <f t="shared" si="756"/>
        <v>554.0806448473179</v>
      </c>
      <c r="AP54" s="3277">
        <f>SUM('ПОЛНАЯ СЕБЕСТОИМОСТЬ ВОДА 2019'!R199/3)</f>
        <v>553.88901619302999</v>
      </c>
      <c r="AQ54" s="3277">
        <f>SUM('ПОЛНАЯ СЕБЕСТОИМОСТЬ ВОДА 2019'!S199/3)</f>
        <v>0.19162865428788131</v>
      </c>
      <c r="AR54" s="3277">
        <f t="shared" si="757"/>
        <v>0</v>
      </c>
      <c r="AS54" s="3277">
        <f>SUM('ПОЛНАЯ СЕБЕСТОИМОСТЬ ВОДА 2019'!U199)</f>
        <v>0</v>
      </c>
      <c r="AT54" s="3277">
        <f>SUM('ПОЛНАЯ СЕБЕСТОИМОСТЬ ВОДА 2019'!V199)</f>
        <v>0</v>
      </c>
      <c r="AU54" s="3469">
        <f>SUM(AU55:AU58)</f>
        <v>0</v>
      </c>
      <c r="AV54" s="3469">
        <f t="shared" ref="AV54:AW54" si="874">SUM(AV55:AV58)</f>
        <v>0</v>
      </c>
      <c r="AW54" s="3469">
        <f t="shared" si="874"/>
        <v>0</v>
      </c>
      <c r="AX54" s="3277">
        <f t="shared" si="759"/>
        <v>554.0806448473179</v>
      </c>
      <c r="AY54" s="3277">
        <f t="shared" si="760"/>
        <v>553.88901619302999</v>
      </c>
      <c r="AZ54" s="3277">
        <f t="shared" si="761"/>
        <v>0.19162865428788131</v>
      </c>
      <c r="BA54" s="3277">
        <f t="shared" si="762"/>
        <v>0</v>
      </c>
      <c r="BB54" s="3277">
        <f>SUM('ПОЛНАЯ СЕБЕСТОИМОСТЬ ВОДА 2019'!X199)</f>
        <v>0</v>
      </c>
      <c r="BC54" s="3277">
        <f>SUM('ПОЛНАЯ СЕБЕСТОИМОСТЬ ВОДА 2019'!Y199)</f>
        <v>0</v>
      </c>
      <c r="BD54" s="3141">
        <f>SUM(BD55:BD58)</f>
        <v>0</v>
      </c>
      <c r="BE54" s="3141">
        <f t="shared" ref="BE54:BF54" si="875">SUM(BE55:BE58)</f>
        <v>0</v>
      </c>
      <c r="BF54" s="3141">
        <f t="shared" si="875"/>
        <v>0</v>
      </c>
      <c r="BG54" s="3277">
        <f t="shared" si="764"/>
        <v>554.0806448473179</v>
      </c>
      <c r="BH54" s="3277">
        <f t="shared" si="765"/>
        <v>553.88901619302999</v>
      </c>
      <c r="BI54" s="3277">
        <f t="shared" si="766"/>
        <v>0.19162865428788131</v>
      </c>
      <c r="BJ54" s="3136">
        <f t="shared" si="767"/>
        <v>781.91000000000008</v>
      </c>
      <c r="BK54" s="3136">
        <f>SUM('ПОЛНАЯ СЕБЕСТОИМОСТЬ ВОДА 2019'!AA199)</f>
        <v>781.91000000000008</v>
      </c>
      <c r="BL54" s="3136">
        <f>SUM('ПОЛНАЯ СЕБЕСТОИМОСТЬ ВОДА 2019'!AB199)</f>
        <v>0</v>
      </c>
      <c r="BM54" s="3141">
        <f>SUM(BM55:BM58)</f>
        <v>684.78</v>
      </c>
      <c r="BN54" s="3141">
        <f t="shared" ref="BN54:BO54" si="876">SUM(BN55:BN58)</f>
        <v>684.49116371996683</v>
      </c>
      <c r="BO54" s="3141">
        <f t="shared" si="876"/>
        <v>0.28883628003306666</v>
      </c>
      <c r="BP54" s="3114">
        <f t="shared" si="769"/>
        <v>1662.2419345419537</v>
      </c>
      <c r="BQ54" s="3114">
        <f t="shared" si="770"/>
        <v>1661.6670485790901</v>
      </c>
      <c r="BR54" s="3114">
        <f t="shared" si="771"/>
        <v>0.57488596286364391</v>
      </c>
      <c r="BS54" s="3142">
        <f t="shared" si="772"/>
        <v>781.91000000000008</v>
      </c>
      <c r="BT54" s="3142">
        <f t="shared" si="773"/>
        <v>781.91000000000008</v>
      </c>
      <c r="BU54" s="3142">
        <f t="shared" si="774"/>
        <v>0</v>
      </c>
      <c r="BV54" s="3142">
        <f t="shared" si="775"/>
        <v>684.78</v>
      </c>
      <c r="BW54" s="3142">
        <f t="shared" si="776"/>
        <v>684.49116371996683</v>
      </c>
      <c r="BX54" s="3142">
        <f t="shared" si="777"/>
        <v>0.28883628003306666</v>
      </c>
      <c r="BY54" s="3143">
        <f t="shared" si="554"/>
        <v>-880.33193454195361</v>
      </c>
      <c r="BZ54" s="3143">
        <f t="shared" si="778"/>
        <v>-879.75704857909</v>
      </c>
      <c r="CA54" s="3143">
        <f t="shared" si="779"/>
        <v>-0.57488596286364391</v>
      </c>
      <c r="CB54" s="3114">
        <f t="shared" si="780"/>
        <v>3324.4838690839074</v>
      </c>
      <c r="CC54" s="3114">
        <f t="shared" si="781"/>
        <v>3323.3340971581802</v>
      </c>
      <c r="CD54" s="3114">
        <f t="shared" si="782"/>
        <v>1.1497719257272878</v>
      </c>
      <c r="CE54" s="3142">
        <f t="shared" si="783"/>
        <v>1563.8200000000002</v>
      </c>
      <c r="CF54" s="3142">
        <f t="shared" si="784"/>
        <v>1563.8200000000002</v>
      </c>
      <c r="CG54" s="3142">
        <f t="shared" si="785"/>
        <v>0</v>
      </c>
      <c r="CH54" s="3142">
        <f t="shared" si="786"/>
        <v>1369.56</v>
      </c>
      <c r="CI54" s="3142">
        <f t="shared" si="787"/>
        <v>1368.8503059430029</v>
      </c>
      <c r="CJ54" s="3142">
        <f t="shared" si="788"/>
        <v>0.70969405699697807</v>
      </c>
      <c r="CK54" s="3143">
        <f t="shared" si="566"/>
        <v>-1760.6638690839072</v>
      </c>
      <c r="CL54" s="3143">
        <f t="shared" si="789"/>
        <v>-1759.51409715818</v>
      </c>
      <c r="CM54" s="3143">
        <f t="shared" si="790"/>
        <v>-1.1497719257272878</v>
      </c>
      <c r="CN54" s="3277">
        <f t="shared" si="791"/>
        <v>554.0806448473179</v>
      </c>
      <c r="CO54" s="3277">
        <f>SUM('ПОЛНАЯ СЕБЕСТОИМОСТЬ ВОДА 2019'!AP199/3)</f>
        <v>553.88901619302999</v>
      </c>
      <c r="CP54" s="3277">
        <f>SUM('ПОЛНАЯ СЕБЕСТОИМОСТЬ ВОДА 2019'!AQ199/3)</f>
        <v>0.19162865428788131</v>
      </c>
      <c r="CQ54" s="3136">
        <f t="shared" si="792"/>
        <v>0</v>
      </c>
      <c r="CR54" s="3136">
        <f>SUM('ПОЛНАЯ СЕБЕСТОИМОСТЬ ВОДА 2019'!AS199)</f>
        <v>0</v>
      </c>
      <c r="CS54" s="3136">
        <f>SUM('ПОЛНАЯ СЕБЕСТОИМОСТЬ ВОДА 2019'!AT199)</f>
        <v>0</v>
      </c>
      <c r="CT54" s="3141">
        <f>SUM(CT55:CT58)</f>
        <v>0</v>
      </c>
      <c r="CU54" s="3141">
        <f t="shared" ref="CU54:CV54" si="877">SUM(CU55:CU58)</f>
        <v>0</v>
      </c>
      <c r="CV54" s="3141">
        <f t="shared" si="877"/>
        <v>0</v>
      </c>
      <c r="CW54" s="3277">
        <f t="shared" si="794"/>
        <v>554.0806448473179</v>
      </c>
      <c r="CX54" s="3277">
        <f t="shared" si="795"/>
        <v>553.88901619302999</v>
      </c>
      <c r="CY54" s="3277">
        <f t="shared" si="796"/>
        <v>0.19162865428788131</v>
      </c>
      <c r="CZ54" s="3136">
        <f t="shared" si="797"/>
        <v>0</v>
      </c>
      <c r="DA54" s="3136">
        <f>SUM('ПОЛНАЯ СЕБЕСТОИМОСТЬ ВОДА 2019'!AV199)</f>
        <v>0</v>
      </c>
      <c r="DB54" s="3136">
        <f>SUM('ПОЛНАЯ СЕБЕСТОИМОСТЬ ВОДА 2019'!AW199)</f>
        <v>0</v>
      </c>
      <c r="DC54" s="3141">
        <f>SUM(DC55:DC58)</f>
        <v>0</v>
      </c>
      <c r="DD54" s="3141">
        <f t="shared" ref="DD54:DE54" si="878">SUM(DD55:DD58)</f>
        <v>0</v>
      </c>
      <c r="DE54" s="3141">
        <f t="shared" si="878"/>
        <v>0</v>
      </c>
      <c r="DF54" s="3277">
        <f t="shared" si="799"/>
        <v>554.0806448473179</v>
      </c>
      <c r="DG54" s="3277">
        <f t="shared" si="800"/>
        <v>553.88901619302999</v>
      </c>
      <c r="DH54" s="3277">
        <f t="shared" si="801"/>
        <v>0.19162865428788131</v>
      </c>
      <c r="DI54" s="3136">
        <f t="shared" si="802"/>
        <v>782.42000000000007</v>
      </c>
      <c r="DJ54" s="3136">
        <f>SUM('ПОЛНАЯ СЕБЕСТОИМОСТЬ ВОДА 2019'!AY199)</f>
        <v>782.42000000000007</v>
      </c>
      <c r="DK54" s="3136">
        <f>SUM('ПОЛНАЯ СЕБЕСТОИМОСТЬ ВОДА 2019'!AZ199)</f>
        <v>0</v>
      </c>
      <c r="DL54" s="3141">
        <f>SUM(DL55:DL58)</f>
        <v>683.28</v>
      </c>
      <c r="DM54" s="3141">
        <f t="shared" ref="DM54:DN54" si="879">SUM(DM55:DM58)</f>
        <v>683.00384221832394</v>
      </c>
      <c r="DN54" s="3141">
        <f t="shared" si="879"/>
        <v>0.27615778167610616</v>
      </c>
      <c r="DO54" s="3114">
        <f t="shared" si="804"/>
        <v>1662.2419345419537</v>
      </c>
      <c r="DP54" s="3114">
        <f t="shared" si="805"/>
        <v>1661.6670485790901</v>
      </c>
      <c r="DQ54" s="3114">
        <f t="shared" si="806"/>
        <v>0.57488596286364391</v>
      </c>
      <c r="DR54" s="3142">
        <f t="shared" si="807"/>
        <v>782.42000000000007</v>
      </c>
      <c r="DS54" s="3142">
        <f t="shared" si="808"/>
        <v>782.42000000000007</v>
      </c>
      <c r="DT54" s="3142">
        <f t="shared" si="809"/>
        <v>0</v>
      </c>
      <c r="DU54" s="3142">
        <f t="shared" si="810"/>
        <v>683.28</v>
      </c>
      <c r="DV54" s="3142">
        <f t="shared" si="811"/>
        <v>683.00384221832394</v>
      </c>
      <c r="DW54" s="3142">
        <f t="shared" si="812"/>
        <v>0.27615778167610616</v>
      </c>
      <c r="DX54" s="3143">
        <f t="shared" si="578"/>
        <v>-879.82193454195362</v>
      </c>
      <c r="DY54" s="3143">
        <f t="shared" si="813"/>
        <v>-879.24704857909001</v>
      </c>
      <c r="DZ54" s="3143">
        <f t="shared" si="814"/>
        <v>-0.57488596286364391</v>
      </c>
      <c r="EA54" s="3114">
        <f t="shared" si="815"/>
        <v>4986.7258036258609</v>
      </c>
      <c r="EB54" s="3114">
        <f t="shared" si="816"/>
        <v>4985.0011457372702</v>
      </c>
      <c r="EC54" s="3114">
        <f t="shared" si="817"/>
        <v>1.7246578885909316</v>
      </c>
      <c r="ED54" s="3142">
        <f t="shared" si="818"/>
        <v>2346.2400000000002</v>
      </c>
      <c r="EE54" s="3142">
        <f t="shared" si="819"/>
        <v>2346.2400000000002</v>
      </c>
      <c r="EF54" s="3142">
        <f t="shared" si="820"/>
        <v>0</v>
      </c>
      <c r="EG54" s="3142">
        <f t="shared" si="821"/>
        <v>2052.84</v>
      </c>
      <c r="EH54" s="3142">
        <f t="shared" si="822"/>
        <v>2051.854148161327</v>
      </c>
      <c r="EI54" s="3142">
        <f t="shared" si="823"/>
        <v>0.98585183867308424</v>
      </c>
      <c r="EJ54" s="3143">
        <f t="shared" si="590"/>
        <v>-2640.4858036258606</v>
      </c>
      <c r="EK54" s="3143">
        <f t="shared" si="590"/>
        <v>-2638.76114573727</v>
      </c>
      <c r="EL54" s="3143">
        <f t="shared" si="590"/>
        <v>-1.7246578885909316</v>
      </c>
      <c r="EM54" s="3277">
        <f t="shared" si="824"/>
        <v>554.0806448473179</v>
      </c>
      <c r="EN54" s="3277">
        <f>SUM('ПОЛНАЯ СЕБЕСТОИМОСТЬ ВОДА 2019'!BN199/3)</f>
        <v>553.88901619302999</v>
      </c>
      <c r="EO54" s="3277">
        <f>SUM('ПОЛНАЯ СЕБЕСТОИМОСТЬ ВОДА 2019'!BO199/3)</f>
        <v>0.19162865428788131</v>
      </c>
      <c r="EP54" s="3136">
        <f t="shared" si="825"/>
        <v>0</v>
      </c>
      <c r="EQ54" s="3136">
        <f>SUM('ПОЛНАЯ СЕБЕСТОИМОСТЬ ВОДА 2019'!BQ199)</f>
        <v>0</v>
      </c>
      <c r="ER54" s="3136">
        <f>SUM('ПОЛНАЯ СЕБЕСТОИМОСТЬ ВОДА 2019'!BR199)</f>
        <v>0</v>
      </c>
      <c r="ES54" s="3141">
        <f>SUM(ES55:ES58)</f>
        <v>0</v>
      </c>
      <c r="ET54" s="3141">
        <f t="shared" ref="ET54:EU54" si="880">SUM(ET55:ET58)</f>
        <v>0</v>
      </c>
      <c r="EU54" s="3141">
        <f t="shared" si="880"/>
        <v>0</v>
      </c>
      <c r="EV54" s="3277">
        <f t="shared" si="827"/>
        <v>554.0806448473179</v>
      </c>
      <c r="EW54" s="3277">
        <f t="shared" si="828"/>
        <v>553.88901619302999</v>
      </c>
      <c r="EX54" s="3277">
        <f t="shared" si="829"/>
        <v>0.19162865428788131</v>
      </c>
      <c r="EY54" s="3136">
        <f t="shared" si="830"/>
        <v>0</v>
      </c>
      <c r="EZ54" s="3136">
        <f>SUM('ПОЛНАЯ СЕБЕСТОИМОСТЬ ВОДА 2019'!BT199)</f>
        <v>0</v>
      </c>
      <c r="FA54" s="3136">
        <f>SUM('ПОЛНАЯ СЕБЕСТОИМОСТЬ ВОДА 2019'!BU199)</f>
        <v>0</v>
      </c>
      <c r="FB54" s="3141">
        <f>SUM(FB55:FB58)</f>
        <v>0</v>
      </c>
      <c r="FC54" s="3141">
        <f t="shared" ref="FC54:FD54" si="881">SUM(FC55:FC58)</f>
        <v>0</v>
      </c>
      <c r="FD54" s="3141">
        <f t="shared" si="881"/>
        <v>0</v>
      </c>
      <c r="FE54" s="3277">
        <f t="shared" si="832"/>
        <v>554.0806448473179</v>
      </c>
      <c r="FF54" s="3277">
        <f t="shared" si="833"/>
        <v>553.88901619302999</v>
      </c>
      <c r="FG54" s="3277">
        <f t="shared" si="834"/>
        <v>0.19162865428788131</v>
      </c>
      <c r="FH54" s="3136">
        <f>SUM('[19]ПОЛНАЯ СЕБЕСТОИМОСТЬ ВОДА 2018'!Z200)</f>
        <v>0</v>
      </c>
      <c r="FI54" s="3136">
        <f>SUM('ПОЛНАЯ СЕБЕСТОИМОСТЬ ВОДА 2019'!BW199)</f>
        <v>0</v>
      </c>
      <c r="FJ54" s="3136">
        <f>SUM('ПОЛНАЯ СЕБЕСТОИМОСТЬ ВОДА 2019'!BX199)</f>
        <v>0</v>
      </c>
      <c r="FK54" s="3141">
        <f>SUM(FK55:FK58)</f>
        <v>683.28</v>
      </c>
      <c r="FL54" s="3141">
        <f t="shared" ref="FL54:FM54" si="882">SUM(FL55:FL58)</f>
        <v>683.28</v>
      </c>
      <c r="FM54" s="3141">
        <f t="shared" si="882"/>
        <v>0</v>
      </c>
      <c r="FN54" s="3114">
        <f t="shared" si="836"/>
        <v>1662.2419345419537</v>
      </c>
      <c r="FO54" s="3114">
        <f t="shared" si="837"/>
        <v>1661.6670485790901</v>
      </c>
      <c r="FP54" s="3114">
        <f t="shared" si="838"/>
        <v>0.57488596286364391</v>
      </c>
      <c r="FQ54" s="3123">
        <f t="shared" si="839"/>
        <v>0</v>
      </c>
      <c r="FR54" s="3123">
        <f t="shared" si="840"/>
        <v>0</v>
      </c>
      <c r="FS54" s="3123">
        <f t="shared" si="841"/>
        <v>0</v>
      </c>
      <c r="FT54" s="3123">
        <f t="shared" si="842"/>
        <v>683.28</v>
      </c>
      <c r="FU54" s="3123">
        <f t="shared" si="843"/>
        <v>683.28</v>
      </c>
      <c r="FV54" s="3123">
        <f t="shared" si="844"/>
        <v>0</v>
      </c>
      <c r="FW54" s="3115">
        <f t="shared" si="600"/>
        <v>-1662.2419345419537</v>
      </c>
      <c r="FX54" s="3115">
        <f t="shared" si="845"/>
        <v>-1661.6670485790901</v>
      </c>
      <c r="FY54" s="3115">
        <f t="shared" si="846"/>
        <v>-0.57488596286364391</v>
      </c>
      <c r="FZ54" s="3222">
        <f t="shared" si="847"/>
        <v>6648.9677381678148</v>
      </c>
      <c r="GA54" s="3222">
        <f t="shared" si="848"/>
        <v>6646.6681943163603</v>
      </c>
      <c r="GB54" s="3222">
        <f t="shared" si="849"/>
        <v>2.2995438514545756</v>
      </c>
      <c r="GC54" s="3230">
        <f t="shared" si="850"/>
        <v>2346.2400000000002</v>
      </c>
      <c r="GD54" s="3230">
        <f t="shared" si="851"/>
        <v>2346.2400000000002</v>
      </c>
      <c r="GE54" s="3230">
        <f t="shared" si="852"/>
        <v>0</v>
      </c>
      <c r="GF54" s="3230">
        <f t="shared" si="853"/>
        <v>2736.12</v>
      </c>
      <c r="GG54" s="3230">
        <f t="shared" si="854"/>
        <v>2735.1341481613272</v>
      </c>
      <c r="GH54" s="3230">
        <f t="shared" si="855"/>
        <v>0.98585183867308424</v>
      </c>
      <c r="GI54" s="3231">
        <f t="shared" si="856"/>
        <v>-4302.7277381678141</v>
      </c>
      <c r="GJ54" s="3231">
        <f t="shared" si="857"/>
        <v>-4300.4281943163605</v>
      </c>
      <c r="GK54" s="3231">
        <f t="shared" si="858"/>
        <v>-2.2995438514545756</v>
      </c>
      <c r="GL54" s="396"/>
    </row>
    <row r="55" spans="1:194" ht="18.75" x14ac:dyDescent="0.3">
      <c r="A55" s="3138" t="s">
        <v>3648</v>
      </c>
      <c r="B55" s="3276">
        <f t="shared" si="731"/>
        <v>152.32348274816795</v>
      </c>
      <c r="C55" s="3276">
        <f>SUM('ПОЛНАЯ СЕБЕСТОИМОСТЬ ВОДА 2019'!C200/3)</f>
        <v>152.24699219816796</v>
      </c>
      <c r="D55" s="3276">
        <f>SUM('ПОЛНАЯ СЕБЕСТОИМОСТЬ ВОДА 2019'!D200/3)</f>
        <v>7.649054999999999E-2</v>
      </c>
      <c r="E55" s="3145">
        <f t="shared" si="732"/>
        <v>0</v>
      </c>
      <c r="F55" s="3145">
        <f>SUM('ПОЛНАЯ СЕБЕСТОИМОСТЬ ВОДА 2019'!F200)</f>
        <v>0</v>
      </c>
      <c r="G55" s="3145">
        <f>SUM('ПОЛНАЯ СЕБЕСТОИМОСТЬ ВОДА 2019'!G200)</f>
        <v>0</v>
      </c>
      <c r="H55" s="3146">
        <v>0</v>
      </c>
      <c r="I55" s="3149">
        <f t="shared" si="859"/>
        <v>0</v>
      </c>
      <c r="J55" s="3149">
        <f>SUM(H55/H14*J14)*1.5238095238</f>
        <v>0</v>
      </c>
      <c r="K55" s="3276">
        <f t="shared" si="734"/>
        <v>152.32348274816795</v>
      </c>
      <c r="L55" s="3276">
        <f t="shared" si="735"/>
        <v>152.24699219816796</v>
      </c>
      <c r="M55" s="3276">
        <f t="shared" si="736"/>
        <v>7.649054999999999E-2</v>
      </c>
      <c r="N55" s="3145">
        <f t="shared" si="737"/>
        <v>0</v>
      </c>
      <c r="O55" s="3145">
        <f>SUM('ПОЛНАЯ СЕБЕСТОИМОСТЬ ВОДА 2019'!I200)</f>
        <v>0</v>
      </c>
      <c r="P55" s="3145">
        <f>SUM('ПОЛНАЯ СЕБЕСТОИМОСТЬ ВОДА 2019'!J200)</f>
        <v>0</v>
      </c>
      <c r="Q55" s="3146">
        <v>0</v>
      </c>
      <c r="R55" s="3149">
        <f t="shared" si="860"/>
        <v>0</v>
      </c>
      <c r="S55" s="3149">
        <f>SUM(Q55/Q14*S14)*1.5238095238</f>
        <v>0</v>
      </c>
      <c r="T55" s="3276">
        <f t="shared" si="739"/>
        <v>152.32348274816795</v>
      </c>
      <c r="U55" s="3276">
        <f t="shared" si="740"/>
        <v>152.24699219816796</v>
      </c>
      <c r="V55" s="3276">
        <f t="shared" si="741"/>
        <v>7.649054999999999E-2</v>
      </c>
      <c r="W55" s="3145">
        <f t="shared" si="742"/>
        <v>762.19</v>
      </c>
      <c r="X55" s="3145">
        <f>SUM('ПОЛНАЯ СЕБЕСТОИМОСТЬ ВОДА 2019'!L200)</f>
        <v>762.19</v>
      </c>
      <c r="Y55" s="3145">
        <f>SUM('ПОЛНАЯ СЕБЕСТОИМОСТЬ ВОДА 2019'!M200)</f>
        <v>0</v>
      </c>
      <c r="Z55" s="3146">
        <v>663</v>
      </c>
      <c r="AA55" s="3149">
        <f t="shared" si="861"/>
        <v>662.59232535572824</v>
      </c>
      <c r="AB55" s="3149">
        <f>SUM(Z55/Z14*AB14)*1.5238095238</f>
        <v>0.40767464427173306</v>
      </c>
      <c r="AC55" s="3120">
        <f t="shared" si="744"/>
        <v>456.97044824450381</v>
      </c>
      <c r="AD55" s="3120">
        <f t="shared" si="745"/>
        <v>456.74097659450388</v>
      </c>
      <c r="AE55" s="3120">
        <f t="shared" si="746"/>
        <v>0.22947164999999997</v>
      </c>
      <c r="AF55" s="3126">
        <f t="shared" si="747"/>
        <v>762.19</v>
      </c>
      <c r="AG55" s="3126">
        <f t="shared" si="748"/>
        <v>762.19</v>
      </c>
      <c r="AH55" s="3126">
        <f t="shared" si="749"/>
        <v>0</v>
      </c>
      <c r="AI55" s="3126">
        <f t="shared" si="750"/>
        <v>663</v>
      </c>
      <c r="AJ55" s="3126">
        <f t="shared" si="751"/>
        <v>662.59232535572824</v>
      </c>
      <c r="AK55" s="3126">
        <f t="shared" si="752"/>
        <v>0.40767464427173306</v>
      </c>
      <c r="AL55" s="3121">
        <f t="shared" si="753"/>
        <v>305.21955175549624</v>
      </c>
      <c r="AM55" s="3121">
        <f t="shared" si="754"/>
        <v>305.44902340549618</v>
      </c>
      <c r="AN55" s="3121">
        <f t="shared" si="755"/>
        <v>-0.22947164999999997</v>
      </c>
      <c r="AO55" s="3276">
        <f t="shared" si="756"/>
        <v>152.32348274816795</v>
      </c>
      <c r="AP55" s="3276">
        <f>SUM('ПОЛНАЯ СЕБЕСТОИМОСТЬ ВОДА 2019'!R200/3)</f>
        <v>152.24699219816796</v>
      </c>
      <c r="AQ55" s="3276">
        <f>SUM('ПОЛНАЯ СЕБЕСТОИМОСТЬ ВОДА 2019'!S200/3)</f>
        <v>7.649054999999999E-2</v>
      </c>
      <c r="AR55" s="3276">
        <f t="shared" si="757"/>
        <v>0</v>
      </c>
      <c r="AS55" s="3276">
        <f>SUM('ПОЛНАЯ СЕБЕСТОИМОСТЬ ВОДА 2019'!U200)</f>
        <v>0</v>
      </c>
      <c r="AT55" s="3276">
        <f>SUM('ПОЛНАЯ СЕБЕСТОИМОСТЬ ВОДА 2019'!V200)</f>
        <v>0</v>
      </c>
      <c r="AU55" s="3461">
        <v>0</v>
      </c>
      <c r="AV55" s="3461">
        <f t="shared" si="862"/>
        <v>0</v>
      </c>
      <c r="AW55" s="3461">
        <f>SUM(AU55/AU14*AW14)*1.5238095238</f>
        <v>0</v>
      </c>
      <c r="AX55" s="3276">
        <f t="shared" si="759"/>
        <v>152.32348274816795</v>
      </c>
      <c r="AY55" s="3276">
        <f t="shared" si="760"/>
        <v>152.24699219816796</v>
      </c>
      <c r="AZ55" s="3276">
        <f t="shared" si="761"/>
        <v>7.649054999999999E-2</v>
      </c>
      <c r="BA55" s="3276">
        <f t="shared" si="762"/>
        <v>0</v>
      </c>
      <c r="BB55" s="3276">
        <f>SUM('ПОЛНАЯ СЕБЕСТОИМОСТЬ ВОДА 2019'!X200)</f>
        <v>0</v>
      </c>
      <c r="BC55" s="3276">
        <f>SUM('ПОЛНАЯ СЕБЕСТОИМОСТЬ ВОДА 2019'!Y200)</f>
        <v>0</v>
      </c>
      <c r="BD55" s="3146">
        <v>0</v>
      </c>
      <c r="BE55" s="3149">
        <f t="shared" si="863"/>
        <v>0</v>
      </c>
      <c r="BF55" s="3149">
        <f>SUM(BD55/BD14*BF14)*1.5238095238</f>
        <v>0</v>
      </c>
      <c r="BG55" s="3276">
        <f t="shared" si="764"/>
        <v>152.32348274816795</v>
      </c>
      <c r="BH55" s="3276">
        <f t="shared" si="765"/>
        <v>152.24699219816796</v>
      </c>
      <c r="BI55" s="3276">
        <f t="shared" si="766"/>
        <v>7.649054999999999E-2</v>
      </c>
      <c r="BJ55" s="3145">
        <f t="shared" si="767"/>
        <v>762.19</v>
      </c>
      <c r="BK55" s="3145">
        <f>SUM('ПОЛНАЯ СЕБЕСТОИМОСТЬ ВОДА 2019'!AA200)</f>
        <v>762.19</v>
      </c>
      <c r="BL55" s="3145">
        <f>SUM('ПОЛНАЯ СЕБЕСТОИМОСТЬ ВОДА 2019'!AB200)</f>
        <v>0</v>
      </c>
      <c r="BM55" s="3146">
        <v>663</v>
      </c>
      <c r="BN55" s="3149">
        <f t="shared" si="864"/>
        <v>662.72021135366742</v>
      </c>
      <c r="BO55" s="3149">
        <f>SUM(BM55/BM14*BO14)*1.5238095238</f>
        <v>0.27978864633253125</v>
      </c>
      <c r="BP55" s="3120">
        <f t="shared" si="769"/>
        <v>456.97044824450381</v>
      </c>
      <c r="BQ55" s="3120">
        <f t="shared" si="770"/>
        <v>456.74097659450388</v>
      </c>
      <c r="BR55" s="3120">
        <f t="shared" si="771"/>
        <v>0.22947164999999997</v>
      </c>
      <c r="BS55" s="3147">
        <f t="shared" si="772"/>
        <v>762.19</v>
      </c>
      <c r="BT55" s="3147">
        <f t="shared" si="773"/>
        <v>762.19</v>
      </c>
      <c r="BU55" s="3147">
        <f t="shared" si="774"/>
        <v>0</v>
      </c>
      <c r="BV55" s="3147">
        <f t="shared" si="775"/>
        <v>663</v>
      </c>
      <c r="BW55" s="3147">
        <f t="shared" si="776"/>
        <v>662.72021135366742</v>
      </c>
      <c r="BX55" s="3147">
        <f t="shared" si="777"/>
        <v>0.27978864633253125</v>
      </c>
      <c r="BY55" s="3148">
        <f t="shared" si="554"/>
        <v>305.21955175549624</v>
      </c>
      <c r="BZ55" s="3148">
        <f t="shared" si="778"/>
        <v>305.44902340549618</v>
      </c>
      <c r="CA55" s="3148">
        <f t="shared" si="779"/>
        <v>-0.22947164999999997</v>
      </c>
      <c r="CB55" s="3120">
        <f t="shared" si="780"/>
        <v>913.94089648900763</v>
      </c>
      <c r="CC55" s="3120">
        <f t="shared" si="781"/>
        <v>913.48195318900775</v>
      </c>
      <c r="CD55" s="3120">
        <f t="shared" si="782"/>
        <v>0.45894329999999994</v>
      </c>
      <c r="CE55" s="3147">
        <f t="shared" si="783"/>
        <v>1524.38</v>
      </c>
      <c r="CF55" s="3147">
        <f t="shared" si="784"/>
        <v>1524.38</v>
      </c>
      <c r="CG55" s="3147">
        <f t="shared" si="785"/>
        <v>0</v>
      </c>
      <c r="CH55" s="3147">
        <f t="shared" si="786"/>
        <v>1326</v>
      </c>
      <c r="CI55" s="3147">
        <f t="shared" si="787"/>
        <v>1325.3125367093958</v>
      </c>
      <c r="CJ55" s="3147">
        <f t="shared" si="788"/>
        <v>0.68746329060426437</v>
      </c>
      <c r="CK55" s="3148">
        <f t="shared" si="566"/>
        <v>610.43910351099248</v>
      </c>
      <c r="CL55" s="3148">
        <f t="shared" si="789"/>
        <v>610.89804681099235</v>
      </c>
      <c r="CM55" s="3148">
        <f t="shared" si="790"/>
        <v>-0.45894329999999994</v>
      </c>
      <c r="CN55" s="3276">
        <f t="shared" si="791"/>
        <v>152.32348274816795</v>
      </c>
      <c r="CO55" s="3276">
        <f>SUM('ПОЛНАЯ СЕБЕСТОИМОСТЬ ВОДА 2019'!AP200/3)</f>
        <v>152.24699219816796</v>
      </c>
      <c r="CP55" s="3276">
        <f>SUM('ПОЛНАЯ СЕБЕСТОИМОСТЬ ВОДА 2019'!AQ200/3)</f>
        <v>7.649054999999999E-2</v>
      </c>
      <c r="CQ55" s="3145">
        <f t="shared" si="792"/>
        <v>0</v>
      </c>
      <c r="CR55" s="3145">
        <f>SUM('ПОЛНАЯ СЕБЕСТОИМОСТЬ ВОДА 2019'!AS200)</f>
        <v>0</v>
      </c>
      <c r="CS55" s="3145">
        <f>SUM('ПОЛНАЯ СЕБЕСТОИМОСТЬ ВОДА 2019'!AT200)</f>
        <v>0</v>
      </c>
      <c r="CT55" s="3146">
        <v>0</v>
      </c>
      <c r="CU55" s="3149">
        <f t="shared" si="865"/>
        <v>0</v>
      </c>
      <c r="CV55" s="3149">
        <f>SUM(CT55/CT14*CV14)*1.5238095238</f>
        <v>0</v>
      </c>
      <c r="CW55" s="3276">
        <f t="shared" si="794"/>
        <v>152.32348274816795</v>
      </c>
      <c r="CX55" s="3276">
        <f t="shared" si="795"/>
        <v>152.24699219816796</v>
      </c>
      <c r="CY55" s="3276">
        <f t="shared" si="796"/>
        <v>7.649054999999999E-2</v>
      </c>
      <c r="CZ55" s="3145">
        <f t="shared" si="797"/>
        <v>0</v>
      </c>
      <c r="DA55" s="3145">
        <f>SUM('ПОЛНАЯ СЕБЕСТОИМОСТЬ ВОДА 2019'!AV200)</f>
        <v>0</v>
      </c>
      <c r="DB55" s="3145">
        <f>SUM('ПОЛНАЯ СЕБЕСТОИМОСТЬ ВОДА 2019'!AW200)</f>
        <v>0</v>
      </c>
      <c r="DC55" s="3146">
        <v>0</v>
      </c>
      <c r="DD55" s="3149">
        <f t="shared" si="866"/>
        <v>0</v>
      </c>
      <c r="DE55" s="3149">
        <f>SUM(DC55/DC14*DE14)*1.5238095238</f>
        <v>0</v>
      </c>
      <c r="DF55" s="3276">
        <f t="shared" si="799"/>
        <v>152.32348274816795</v>
      </c>
      <c r="DG55" s="3276">
        <f t="shared" si="800"/>
        <v>152.24699219816796</v>
      </c>
      <c r="DH55" s="3276">
        <f t="shared" si="801"/>
        <v>7.649054999999999E-2</v>
      </c>
      <c r="DI55" s="3145">
        <f t="shared" si="802"/>
        <v>762.19</v>
      </c>
      <c r="DJ55" s="3145">
        <f>SUM('ПОЛНАЯ СЕБЕСТОИМОСТЬ ВОДА 2019'!AY200)</f>
        <v>762.19</v>
      </c>
      <c r="DK55" s="3145">
        <f>SUM('ПОЛНАЯ СЕБЕСТОИМОСТЬ ВОДА 2019'!AZ200)</f>
        <v>0</v>
      </c>
      <c r="DL55" s="3146">
        <v>663</v>
      </c>
      <c r="DM55" s="3149">
        <f t="shared" si="867"/>
        <v>662.73191435591605</v>
      </c>
      <c r="DN55" s="3149">
        <f>SUM(DL55/DL14*DN14)*1.5238095238</f>
        <v>0.26808564408396857</v>
      </c>
      <c r="DO55" s="3120">
        <f t="shared" si="804"/>
        <v>456.97044824450381</v>
      </c>
      <c r="DP55" s="3120">
        <f t="shared" si="805"/>
        <v>456.74097659450388</v>
      </c>
      <c r="DQ55" s="3120">
        <f t="shared" si="806"/>
        <v>0.22947164999999997</v>
      </c>
      <c r="DR55" s="3147">
        <f t="shared" si="807"/>
        <v>762.19</v>
      </c>
      <c r="DS55" s="3147">
        <f t="shared" si="808"/>
        <v>762.19</v>
      </c>
      <c r="DT55" s="3147">
        <f t="shared" si="809"/>
        <v>0</v>
      </c>
      <c r="DU55" s="3147">
        <f t="shared" si="810"/>
        <v>663</v>
      </c>
      <c r="DV55" s="3147">
        <f t="shared" si="811"/>
        <v>662.73191435591605</v>
      </c>
      <c r="DW55" s="3147">
        <f t="shared" si="812"/>
        <v>0.26808564408396857</v>
      </c>
      <c r="DX55" s="3148">
        <f t="shared" si="578"/>
        <v>305.21955175549624</v>
      </c>
      <c r="DY55" s="3148">
        <f t="shared" si="813"/>
        <v>305.44902340549618</v>
      </c>
      <c r="DZ55" s="3148">
        <f t="shared" si="814"/>
        <v>-0.22947164999999997</v>
      </c>
      <c r="EA55" s="3120">
        <f t="shared" si="815"/>
        <v>1370.9113447335114</v>
      </c>
      <c r="EB55" s="3120">
        <f t="shared" si="816"/>
        <v>1370.2229297835115</v>
      </c>
      <c r="EC55" s="3120">
        <f t="shared" si="817"/>
        <v>0.68841494999999986</v>
      </c>
      <c r="ED55" s="3147">
        <f t="shared" si="818"/>
        <v>2286.5700000000002</v>
      </c>
      <c r="EE55" s="3147">
        <f t="shared" si="819"/>
        <v>2286.5700000000002</v>
      </c>
      <c r="EF55" s="3147">
        <f t="shared" si="820"/>
        <v>0</v>
      </c>
      <c r="EG55" s="3147">
        <f t="shared" si="821"/>
        <v>1989</v>
      </c>
      <c r="EH55" s="3147">
        <f t="shared" si="822"/>
        <v>1988.0444510653119</v>
      </c>
      <c r="EI55" s="3147">
        <f t="shared" si="823"/>
        <v>0.95554893468823288</v>
      </c>
      <c r="EJ55" s="3148">
        <f t="shared" si="590"/>
        <v>915.65865526648872</v>
      </c>
      <c r="EK55" s="3148">
        <f t="shared" si="590"/>
        <v>916.34707021648865</v>
      </c>
      <c r="EL55" s="3148">
        <f t="shared" si="590"/>
        <v>-0.68841494999999986</v>
      </c>
      <c r="EM55" s="3276">
        <f t="shared" si="824"/>
        <v>152.32348274816795</v>
      </c>
      <c r="EN55" s="3276">
        <f>SUM('ПОЛНАЯ СЕБЕСТОИМОСТЬ ВОДА 2019'!BN200/3)</f>
        <v>152.24699219816796</v>
      </c>
      <c r="EO55" s="3276">
        <f>SUM('ПОЛНАЯ СЕБЕСТОИМОСТЬ ВОДА 2019'!BO200/3)</f>
        <v>7.649054999999999E-2</v>
      </c>
      <c r="EP55" s="3145">
        <f t="shared" si="825"/>
        <v>0</v>
      </c>
      <c r="EQ55" s="3145">
        <f>SUM('ПОЛНАЯ СЕБЕСТОИМОСТЬ ВОДА 2019'!BQ200)</f>
        <v>0</v>
      </c>
      <c r="ER55" s="3145">
        <f>SUM('ПОЛНАЯ СЕБЕСТОИМОСТЬ ВОДА 2019'!BR200)</f>
        <v>0</v>
      </c>
      <c r="ES55" s="3146">
        <v>0</v>
      </c>
      <c r="ET55" s="3149">
        <f t="shared" si="868"/>
        <v>0</v>
      </c>
      <c r="EU55" s="3149">
        <f>SUM(ES55/ES14*EU14)*1.5238095238</f>
        <v>0</v>
      </c>
      <c r="EV55" s="3276">
        <f t="shared" si="827"/>
        <v>152.32348274816795</v>
      </c>
      <c r="EW55" s="3276">
        <f t="shared" si="828"/>
        <v>152.24699219816796</v>
      </c>
      <c r="EX55" s="3276">
        <f t="shared" si="829"/>
        <v>7.649054999999999E-2</v>
      </c>
      <c r="EY55" s="3145">
        <f t="shared" si="830"/>
        <v>0</v>
      </c>
      <c r="EZ55" s="3145">
        <f>SUM('ПОЛНАЯ СЕБЕСТОИМОСТЬ ВОДА 2019'!BT200)</f>
        <v>0</v>
      </c>
      <c r="FA55" s="3145">
        <f>SUM('ПОЛНАЯ СЕБЕСТОИМОСТЬ ВОДА 2019'!BU200)</f>
        <v>0</v>
      </c>
      <c r="FB55" s="3146">
        <v>0</v>
      </c>
      <c r="FC55" s="3149">
        <f t="shared" si="869"/>
        <v>0</v>
      </c>
      <c r="FD55" s="3149">
        <f>SUM(FB55/FB14*FD14)*1.5238095238</f>
        <v>0</v>
      </c>
      <c r="FE55" s="3276">
        <f t="shared" si="832"/>
        <v>152.32348274816795</v>
      </c>
      <c r="FF55" s="3276">
        <f t="shared" si="833"/>
        <v>152.24699219816796</v>
      </c>
      <c r="FG55" s="3276">
        <f t="shared" si="834"/>
        <v>7.649054999999999E-2</v>
      </c>
      <c r="FH55" s="3145">
        <f>SUM('[19]ПОЛНАЯ СЕБЕСТОИМОСТЬ ВОДА 2018'!Z201)</f>
        <v>0</v>
      </c>
      <c r="FI55" s="3145">
        <f>SUM('ПОЛНАЯ СЕБЕСТОИМОСТЬ ВОДА 2019'!BW200)</f>
        <v>0</v>
      </c>
      <c r="FJ55" s="3145">
        <f>SUM('ПОЛНАЯ СЕБЕСТОИМОСТЬ ВОДА 2019'!BX200)</f>
        <v>0</v>
      </c>
      <c r="FK55" s="3146">
        <v>663</v>
      </c>
      <c r="FL55" s="3149">
        <f t="shared" si="870"/>
        <v>663</v>
      </c>
      <c r="FM55" s="3149">
        <f>SUM(FK55/FK14*FM14)*1.5238095238</f>
        <v>0</v>
      </c>
      <c r="FN55" s="3120">
        <f t="shared" si="836"/>
        <v>456.97044824450381</v>
      </c>
      <c r="FO55" s="3120">
        <f t="shared" si="837"/>
        <v>456.74097659450388</v>
      </c>
      <c r="FP55" s="3120">
        <f t="shared" si="838"/>
        <v>0.22947164999999997</v>
      </c>
      <c r="FQ55" s="3126">
        <f t="shared" si="839"/>
        <v>0</v>
      </c>
      <c r="FR55" s="3126">
        <f t="shared" si="840"/>
        <v>0</v>
      </c>
      <c r="FS55" s="3126">
        <f t="shared" si="841"/>
        <v>0</v>
      </c>
      <c r="FT55" s="3126">
        <f t="shared" si="842"/>
        <v>663</v>
      </c>
      <c r="FU55" s="3126">
        <f t="shared" si="843"/>
        <v>663</v>
      </c>
      <c r="FV55" s="3126">
        <f t="shared" si="844"/>
        <v>0</v>
      </c>
      <c r="FW55" s="3121">
        <f t="shared" si="600"/>
        <v>-456.97044824450381</v>
      </c>
      <c r="FX55" s="3121">
        <f t="shared" si="845"/>
        <v>-456.74097659450388</v>
      </c>
      <c r="FY55" s="3121">
        <f t="shared" si="846"/>
        <v>-0.22947164999999997</v>
      </c>
      <c r="FZ55" s="3227">
        <f t="shared" si="847"/>
        <v>1827.8817929780153</v>
      </c>
      <c r="GA55" s="3227">
        <f t="shared" si="848"/>
        <v>1826.9639063780155</v>
      </c>
      <c r="GB55" s="3227">
        <f t="shared" si="849"/>
        <v>0.91788659999999989</v>
      </c>
      <c r="GC55" s="3232">
        <f t="shared" si="850"/>
        <v>2286.5700000000002</v>
      </c>
      <c r="GD55" s="3232">
        <f t="shared" si="851"/>
        <v>2286.5700000000002</v>
      </c>
      <c r="GE55" s="3232">
        <f t="shared" si="852"/>
        <v>0</v>
      </c>
      <c r="GF55" s="3232">
        <f t="shared" si="853"/>
        <v>2652</v>
      </c>
      <c r="GG55" s="3232">
        <f t="shared" si="854"/>
        <v>2651.0444510653119</v>
      </c>
      <c r="GH55" s="3232">
        <f t="shared" si="855"/>
        <v>0.95554893468823288</v>
      </c>
      <c r="GI55" s="3233">
        <f t="shared" si="856"/>
        <v>458.68820702198491</v>
      </c>
      <c r="GJ55" s="3233">
        <f t="shared" si="857"/>
        <v>459.60609362198466</v>
      </c>
      <c r="GK55" s="3233">
        <f t="shared" si="858"/>
        <v>-0.91788659999999989</v>
      </c>
      <c r="GL55" s="396"/>
    </row>
    <row r="56" spans="1:194" ht="18.75" x14ac:dyDescent="0.3">
      <c r="A56" s="3138" t="s">
        <v>533</v>
      </c>
      <c r="B56" s="3276">
        <f t="shared" si="731"/>
        <v>7.2591666666666672</v>
      </c>
      <c r="C56" s="3276">
        <f>SUM('ПОЛНАЯ СЕБЕСТОИМОСТЬ ВОДА 2019'!C201/3)</f>
        <v>7.2556583817140696</v>
      </c>
      <c r="D56" s="3276">
        <f>SUM('ПОЛНАЯ СЕБЕСТОИМОСТЬ ВОДА 2019'!D201/3)</f>
        <v>3.508284952597552E-3</v>
      </c>
      <c r="E56" s="3145">
        <f t="shared" si="732"/>
        <v>0</v>
      </c>
      <c r="F56" s="3145">
        <f>SUM('ПОЛНАЯ СЕБЕСТОИМОСТЬ ВОДА 2019'!F201)</f>
        <v>0</v>
      </c>
      <c r="G56" s="3145">
        <f>SUM('ПОЛНАЯ СЕБЕСТОИМОСТЬ ВОДА 2019'!G201)</f>
        <v>0</v>
      </c>
      <c r="H56" s="3146">
        <v>0</v>
      </c>
      <c r="I56" s="3149">
        <f t="shared" si="859"/>
        <v>0</v>
      </c>
      <c r="J56" s="3149">
        <f>SUM(H56/H14*J14)*1.5</f>
        <v>0</v>
      </c>
      <c r="K56" s="3276">
        <f t="shared" si="734"/>
        <v>7.2591666666666672</v>
      </c>
      <c r="L56" s="3276">
        <f t="shared" si="735"/>
        <v>7.2556583817140696</v>
      </c>
      <c r="M56" s="3276">
        <f t="shared" si="736"/>
        <v>3.508284952597552E-3</v>
      </c>
      <c r="N56" s="3145">
        <f t="shared" si="737"/>
        <v>0</v>
      </c>
      <c r="O56" s="3145">
        <f>SUM('ПОЛНАЯ СЕБЕСТОИМОСТЬ ВОДА 2019'!I201)</f>
        <v>0</v>
      </c>
      <c r="P56" s="3145">
        <f>SUM('ПОЛНАЯ СЕБЕСТОИМОСТЬ ВОДА 2019'!J201)</f>
        <v>0</v>
      </c>
      <c r="Q56" s="3146">
        <v>0</v>
      </c>
      <c r="R56" s="3149">
        <f t="shared" si="860"/>
        <v>0</v>
      </c>
      <c r="S56" s="3149">
        <f>SUM(Q56/Q14*S14)*1.5</f>
        <v>0</v>
      </c>
      <c r="T56" s="3276">
        <f t="shared" si="739"/>
        <v>7.2591666666666672</v>
      </c>
      <c r="U56" s="3276">
        <f t="shared" si="740"/>
        <v>7.2556583817140696</v>
      </c>
      <c r="V56" s="3276">
        <f t="shared" si="741"/>
        <v>3.508284952597552E-3</v>
      </c>
      <c r="W56" s="3145">
        <f t="shared" si="742"/>
        <v>19.72</v>
      </c>
      <c r="X56" s="3145">
        <f>SUM('ПОЛНАЯ СЕБЕСТОИМОСТЬ ВОДА 2019'!L201)</f>
        <v>19.72</v>
      </c>
      <c r="Y56" s="3145">
        <f>SUM('ПОЛНАЯ СЕБЕСТОИМОСТЬ ВОДА 2019'!M201)</f>
        <v>0</v>
      </c>
      <c r="Z56" s="3146">
        <v>21.78</v>
      </c>
      <c r="AA56" s="3149">
        <f t="shared" si="861"/>
        <v>21.766816867307824</v>
      </c>
      <c r="AB56" s="3149">
        <f>SUM(Z56/Z14*AB14)*1.5</f>
        <v>1.3183132692178355E-2</v>
      </c>
      <c r="AC56" s="3120">
        <f t="shared" si="744"/>
        <v>21.777500000000003</v>
      </c>
      <c r="AD56" s="3120">
        <f t="shared" si="745"/>
        <v>21.766975145142208</v>
      </c>
      <c r="AE56" s="3120">
        <f t="shared" si="746"/>
        <v>1.0524854857792657E-2</v>
      </c>
      <c r="AF56" s="3126">
        <f t="shared" si="747"/>
        <v>19.72</v>
      </c>
      <c r="AG56" s="3126">
        <f t="shared" si="748"/>
        <v>19.72</v>
      </c>
      <c r="AH56" s="3126">
        <f t="shared" si="749"/>
        <v>0</v>
      </c>
      <c r="AI56" s="3126">
        <f t="shared" si="750"/>
        <v>21.78</v>
      </c>
      <c r="AJ56" s="3126">
        <f t="shared" si="751"/>
        <v>21.766816867307824</v>
      </c>
      <c r="AK56" s="3126">
        <f t="shared" si="752"/>
        <v>1.3183132692178355E-2</v>
      </c>
      <c r="AL56" s="3121">
        <f t="shared" si="753"/>
        <v>-2.0575000000000045</v>
      </c>
      <c r="AM56" s="3121">
        <f t="shared" si="754"/>
        <v>-2.0469751451422091</v>
      </c>
      <c r="AN56" s="3121">
        <f t="shared" si="755"/>
        <v>-1.0524854857792657E-2</v>
      </c>
      <c r="AO56" s="3276">
        <f t="shared" si="756"/>
        <v>7.2591666666666672</v>
      </c>
      <c r="AP56" s="3276">
        <f>SUM('ПОЛНАЯ СЕБЕСТОИМОСТЬ ВОДА 2019'!R201/3)</f>
        <v>7.2556583817140696</v>
      </c>
      <c r="AQ56" s="3276">
        <f>SUM('ПОЛНАЯ СЕБЕСТОИМОСТЬ ВОДА 2019'!S201/3)</f>
        <v>3.508284952597552E-3</v>
      </c>
      <c r="AR56" s="3276">
        <f t="shared" si="757"/>
        <v>0</v>
      </c>
      <c r="AS56" s="3276">
        <f>SUM('ПОЛНАЯ СЕБЕСТОИМОСТЬ ВОДА 2019'!U201)</f>
        <v>0</v>
      </c>
      <c r="AT56" s="3276">
        <f>SUM('ПОЛНАЯ СЕБЕСТОИМОСТЬ ВОДА 2019'!V201)</f>
        <v>0</v>
      </c>
      <c r="AU56" s="3461">
        <v>0</v>
      </c>
      <c r="AV56" s="3461">
        <f t="shared" si="862"/>
        <v>0</v>
      </c>
      <c r="AW56" s="3461">
        <f>SUM(AU56/AU14*AW14)*1.5</f>
        <v>0</v>
      </c>
      <c r="AX56" s="3276">
        <f t="shared" si="759"/>
        <v>7.2591666666666672</v>
      </c>
      <c r="AY56" s="3276">
        <f t="shared" si="760"/>
        <v>7.2556583817140696</v>
      </c>
      <c r="AZ56" s="3276">
        <f t="shared" si="761"/>
        <v>3.508284952597552E-3</v>
      </c>
      <c r="BA56" s="3276">
        <f t="shared" si="762"/>
        <v>0</v>
      </c>
      <c r="BB56" s="3276">
        <f>SUM('ПОЛНАЯ СЕБЕСТОИМОСТЬ ВОДА 2019'!X201)</f>
        <v>0</v>
      </c>
      <c r="BC56" s="3276">
        <f>SUM('ПОЛНАЯ СЕБЕСТОИМОСТЬ ВОДА 2019'!Y201)</f>
        <v>0</v>
      </c>
      <c r="BD56" s="3146">
        <v>0</v>
      </c>
      <c r="BE56" s="3149">
        <f t="shared" si="863"/>
        <v>0</v>
      </c>
      <c r="BF56" s="3149">
        <f>SUM(BD56/BD14*BF14)*1.5</f>
        <v>0</v>
      </c>
      <c r="BG56" s="3276">
        <f t="shared" si="764"/>
        <v>7.2591666666666672</v>
      </c>
      <c r="BH56" s="3276">
        <f t="shared" si="765"/>
        <v>7.2556583817140696</v>
      </c>
      <c r="BI56" s="3276">
        <f t="shared" si="766"/>
        <v>3.508284952597552E-3</v>
      </c>
      <c r="BJ56" s="3145">
        <f t="shared" si="767"/>
        <v>19.72</v>
      </c>
      <c r="BK56" s="3145">
        <f>SUM('ПОЛНАЯ СЕБЕСТОИМОСТЬ ВОДА 2019'!AA201)</f>
        <v>19.72</v>
      </c>
      <c r="BL56" s="3145">
        <f>SUM('ПОЛНАЯ СЕБЕСТОИМОСТЬ ВОДА 2019'!AB201)</f>
        <v>0</v>
      </c>
      <c r="BM56" s="3146">
        <v>21.78</v>
      </c>
      <c r="BN56" s="3149">
        <f t="shared" si="864"/>
        <v>21.770952366299465</v>
      </c>
      <c r="BO56" s="3149">
        <f>SUM(BM56/BM14*BO14)*1.5</f>
        <v>9.0476337005354172E-3</v>
      </c>
      <c r="BP56" s="3120">
        <f t="shared" si="769"/>
        <v>21.777500000000003</v>
      </c>
      <c r="BQ56" s="3120">
        <f t="shared" si="770"/>
        <v>21.766975145142208</v>
      </c>
      <c r="BR56" s="3120">
        <f t="shared" si="771"/>
        <v>1.0524854857792657E-2</v>
      </c>
      <c r="BS56" s="3147">
        <f t="shared" si="772"/>
        <v>19.72</v>
      </c>
      <c r="BT56" s="3147">
        <f t="shared" si="773"/>
        <v>19.72</v>
      </c>
      <c r="BU56" s="3147">
        <f t="shared" si="774"/>
        <v>0</v>
      </c>
      <c r="BV56" s="3147">
        <f t="shared" si="775"/>
        <v>21.78</v>
      </c>
      <c r="BW56" s="3147">
        <f t="shared" si="776"/>
        <v>21.770952366299465</v>
      </c>
      <c r="BX56" s="3147">
        <f t="shared" si="777"/>
        <v>9.0476337005354172E-3</v>
      </c>
      <c r="BY56" s="3148">
        <f t="shared" si="554"/>
        <v>-2.0575000000000045</v>
      </c>
      <c r="BZ56" s="3148">
        <f t="shared" si="778"/>
        <v>-2.0469751451422091</v>
      </c>
      <c r="CA56" s="3148">
        <f t="shared" si="779"/>
        <v>-1.0524854857792657E-2</v>
      </c>
      <c r="CB56" s="3120">
        <f t="shared" si="780"/>
        <v>43.555000000000007</v>
      </c>
      <c r="CC56" s="3120">
        <f t="shared" si="781"/>
        <v>43.533950290284416</v>
      </c>
      <c r="CD56" s="3120">
        <f t="shared" si="782"/>
        <v>2.1049709715585313E-2</v>
      </c>
      <c r="CE56" s="3147">
        <f t="shared" si="783"/>
        <v>39.44</v>
      </c>
      <c r="CF56" s="3147">
        <f t="shared" si="784"/>
        <v>39.44</v>
      </c>
      <c r="CG56" s="3147">
        <f t="shared" si="785"/>
        <v>0</v>
      </c>
      <c r="CH56" s="3147">
        <f t="shared" si="786"/>
        <v>43.56</v>
      </c>
      <c r="CI56" s="3147">
        <f t="shared" si="787"/>
        <v>43.537769233607293</v>
      </c>
      <c r="CJ56" s="3147">
        <f t="shared" si="788"/>
        <v>2.223076639271377E-2</v>
      </c>
      <c r="CK56" s="3148">
        <f t="shared" si="566"/>
        <v>-4.1150000000000091</v>
      </c>
      <c r="CL56" s="3148">
        <f t="shared" si="789"/>
        <v>-4.0939502902844183</v>
      </c>
      <c r="CM56" s="3148">
        <f t="shared" si="790"/>
        <v>-2.1049709715585313E-2</v>
      </c>
      <c r="CN56" s="3276">
        <f t="shared" si="791"/>
        <v>7.2591666666666672</v>
      </c>
      <c r="CO56" s="3276">
        <f>SUM('ПОЛНАЯ СЕБЕСТОИМОСТЬ ВОДА 2019'!AP201/3)</f>
        <v>7.2556583817140696</v>
      </c>
      <c r="CP56" s="3276">
        <f>SUM('ПОЛНАЯ СЕБЕСТОИМОСТЬ ВОДА 2019'!AQ201/3)</f>
        <v>3.508284952597552E-3</v>
      </c>
      <c r="CQ56" s="3145">
        <f t="shared" si="792"/>
        <v>0</v>
      </c>
      <c r="CR56" s="3145">
        <f>SUM('ПОЛНАЯ СЕБЕСТОИМОСТЬ ВОДА 2019'!AS201)</f>
        <v>0</v>
      </c>
      <c r="CS56" s="3145">
        <f>SUM('ПОЛНАЯ СЕБЕСТОИМОСТЬ ВОДА 2019'!AT201)</f>
        <v>0</v>
      </c>
      <c r="CT56" s="3146">
        <v>0</v>
      </c>
      <c r="CU56" s="3149">
        <f t="shared" si="865"/>
        <v>0</v>
      </c>
      <c r="CV56" s="3149">
        <f>SUM(CT56/CT14*CV14)*1.5</f>
        <v>0</v>
      </c>
      <c r="CW56" s="3276">
        <f t="shared" si="794"/>
        <v>7.2591666666666672</v>
      </c>
      <c r="CX56" s="3276">
        <f t="shared" si="795"/>
        <v>7.2556583817140696</v>
      </c>
      <c r="CY56" s="3276">
        <f t="shared" si="796"/>
        <v>3.508284952597552E-3</v>
      </c>
      <c r="CZ56" s="3145">
        <f t="shared" si="797"/>
        <v>0</v>
      </c>
      <c r="DA56" s="3145">
        <f>SUM('ПОЛНАЯ СЕБЕСТОИМОСТЬ ВОДА 2019'!AV201)</f>
        <v>0</v>
      </c>
      <c r="DB56" s="3145">
        <f>SUM('ПОЛНАЯ СЕБЕСТОИМОСТЬ ВОДА 2019'!AW201)</f>
        <v>0</v>
      </c>
      <c r="DC56" s="3146">
        <v>0</v>
      </c>
      <c r="DD56" s="3149">
        <f t="shared" si="866"/>
        <v>0</v>
      </c>
      <c r="DE56" s="3149">
        <f>SUM(DC56/DC14*DE14)*1.5</f>
        <v>0</v>
      </c>
      <c r="DF56" s="3276">
        <f t="shared" si="799"/>
        <v>7.2591666666666672</v>
      </c>
      <c r="DG56" s="3276">
        <f t="shared" si="800"/>
        <v>7.2556583817140696</v>
      </c>
      <c r="DH56" s="3276">
        <f t="shared" si="801"/>
        <v>3.508284952597552E-3</v>
      </c>
      <c r="DI56" s="3145">
        <f t="shared" si="802"/>
        <v>20.23</v>
      </c>
      <c r="DJ56" s="3145">
        <f>SUM('ПОЛНАЯ СЕБЕСТОИМОСТЬ ВОДА 2019'!AY201)</f>
        <v>20.23</v>
      </c>
      <c r="DK56" s="3145">
        <f>SUM('ПОЛНАЯ СЕБЕСТОИМОСТЬ ВОДА 2019'!AZ201)</f>
        <v>0</v>
      </c>
      <c r="DL56" s="3146">
        <v>20.28</v>
      </c>
      <c r="DM56" s="3149">
        <f t="shared" si="867"/>
        <v>20.271927862407864</v>
      </c>
      <c r="DN56" s="3149">
        <f>SUM(DL56/DL14*DN14)*1.5</f>
        <v>8.0721375921375942E-3</v>
      </c>
      <c r="DO56" s="3120">
        <f t="shared" si="804"/>
        <v>21.777500000000003</v>
      </c>
      <c r="DP56" s="3120">
        <f t="shared" si="805"/>
        <v>21.766975145142208</v>
      </c>
      <c r="DQ56" s="3120">
        <f t="shared" si="806"/>
        <v>1.0524854857792657E-2</v>
      </c>
      <c r="DR56" s="3147">
        <f t="shared" si="807"/>
        <v>20.23</v>
      </c>
      <c r="DS56" s="3147">
        <f t="shared" si="808"/>
        <v>20.23</v>
      </c>
      <c r="DT56" s="3147">
        <f t="shared" si="809"/>
        <v>0</v>
      </c>
      <c r="DU56" s="3147">
        <f t="shared" si="810"/>
        <v>20.28</v>
      </c>
      <c r="DV56" s="3147">
        <f t="shared" si="811"/>
        <v>20.271927862407864</v>
      </c>
      <c r="DW56" s="3147">
        <f t="shared" si="812"/>
        <v>8.0721375921375942E-3</v>
      </c>
      <c r="DX56" s="3148">
        <f t="shared" si="578"/>
        <v>-1.547500000000003</v>
      </c>
      <c r="DY56" s="3148">
        <f t="shared" si="813"/>
        <v>-1.5369751451422076</v>
      </c>
      <c r="DZ56" s="3148">
        <f t="shared" si="814"/>
        <v>-1.0524854857792657E-2</v>
      </c>
      <c r="EA56" s="3120">
        <f t="shared" si="815"/>
        <v>65.33250000000001</v>
      </c>
      <c r="EB56" s="3120">
        <f t="shared" si="816"/>
        <v>65.30092543542662</v>
      </c>
      <c r="EC56" s="3120">
        <f t="shared" si="817"/>
        <v>3.157456457337797E-2</v>
      </c>
      <c r="ED56" s="3147">
        <f t="shared" si="818"/>
        <v>59.67</v>
      </c>
      <c r="EE56" s="3147">
        <f t="shared" si="819"/>
        <v>59.67</v>
      </c>
      <c r="EF56" s="3147">
        <f t="shared" si="820"/>
        <v>0</v>
      </c>
      <c r="EG56" s="3147">
        <f t="shared" si="821"/>
        <v>63.84</v>
      </c>
      <c r="EH56" s="3147">
        <f t="shared" si="822"/>
        <v>63.809697096015157</v>
      </c>
      <c r="EI56" s="3147">
        <f t="shared" si="823"/>
        <v>3.0302903984851366E-2</v>
      </c>
      <c r="EJ56" s="3148">
        <f t="shared" si="590"/>
        <v>-5.6625000000000085</v>
      </c>
      <c r="EK56" s="3148">
        <f t="shared" si="590"/>
        <v>-5.6309254354266187</v>
      </c>
      <c r="EL56" s="3148">
        <f t="shared" si="590"/>
        <v>-3.157456457337797E-2</v>
      </c>
      <c r="EM56" s="3276">
        <f t="shared" si="824"/>
        <v>7.2591666666666672</v>
      </c>
      <c r="EN56" s="3276">
        <f>SUM('ПОЛНАЯ СЕБЕСТОИМОСТЬ ВОДА 2019'!BN201/3)</f>
        <v>7.2556583817140696</v>
      </c>
      <c r="EO56" s="3276">
        <f>SUM('ПОЛНАЯ СЕБЕСТОИМОСТЬ ВОДА 2019'!BO201/3)</f>
        <v>3.508284952597552E-3</v>
      </c>
      <c r="EP56" s="3145">
        <f t="shared" si="825"/>
        <v>0</v>
      </c>
      <c r="EQ56" s="3145">
        <f>SUM('ПОЛНАЯ СЕБЕСТОИМОСТЬ ВОДА 2019'!BQ201)</f>
        <v>0</v>
      </c>
      <c r="ER56" s="3145">
        <f>SUM('ПОЛНАЯ СЕБЕСТОИМОСТЬ ВОДА 2019'!BR201)</f>
        <v>0</v>
      </c>
      <c r="ES56" s="3146">
        <v>0</v>
      </c>
      <c r="ET56" s="3149">
        <f t="shared" si="868"/>
        <v>0</v>
      </c>
      <c r="EU56" s="3149">
        <f>SUM(ES56/ES14*EU14)*1.5</f>
        <v>0</v>
      </c>
      <c r="EV56" s="3276">
        <f t="shared" si="827"/>
        <v>7.2591666666666672</v>
      </c>
      <c r="EW56" s="3276">
        <f t="shared" si="828"/>
        <v>7.2556583817140696</v>
      </c>
      <c r="EX56" s="3276">
        <f t="shared" si="829"/>
        <v>3.508284952597552E-3</v>
      </c>
      <c r="EY56" s="3145">
        <f t="shared" si="830"/>
        <v>0</v>
      </c>
      <c r="EZ56" s="3145">
        <f>SUM('ПОЛНАЯ СЕБЕСТОИМОСТЬ ВОДА 2019'!BT201)</f>
        <v>0</v>
      </c>
      <c r="FA56" s="3145">
        <f>SUM('ПОЛНАЯ СЕБЕСТОИМОСТЬ ВОДА 2019'!BU201)</f>
        <v>0</v>
      </c>
      <c r="FB56" s="3146">
        <v>0</v>
      </c>
      <c r="FC56" s="3149">
        <f t="shared" si="869"/>
        <v>0</v>
      </c>
      <c r="FD56" s="3149">
        <f>SUM(FB56/FB14*FD14)*1.5</f>
        <v>0</v>
      </c>
      <c r="FE56" s="3276">
        <f t="shared" si="832"/>
        <v>7.2591666666666672</v>
      </c>
      <c r="FF56" s="3276">
        <f t="shared" si="833"/>
        <v>7.2556583817140696</v>
      </c>
      <c r="FG56" s="3276">
        <f t="shared" si="834"/>
        <v>3.508284952597552E-3</v>
      </c>
      <c r="FH56" s="3145">
        <f>SUM('[19]ПОЛНАЯ СЕБЕСТОИМОСТЬ ВОДА 2018'!Z202)</f>
        <v>0</v>
      </c>
      <c r="FI56" s="3145">
        <f>SUM('ПОЛНАЯ СЕБЕСТОИМОСТЬ ВОДА 2019'!BW201)</f>
        <v>0</v>
      </c>
      <c r="FJ56" s="3145">
        <f>SUM('ПОЛНАЯ СЕБЕСТОИМОСТЬ ВОДА 2019'!BX201)</f>
        <v>0</v>
      </c>
      <c r="FK56" s="3146">
        <v>20.28</v>
      </c>
      <c r="FL56" s="3149">
        <f t="shared" si="870"/>
        <v>20.28</v>
      </c>
      <c r="FM56" s="3149">
        <f>SUM(FK56/FK14*FM14)*1.5</f>
        <v>0</v>
      </c>
      <c r="FN56" s="3120">
        <f t="shared" si="836"/>
        <v>21.777500000000003</v>
      </c>
      <c r="FO56" s="3120">
        <f t="shared" si="837"/>
        <v>21.766975145142208</v>
      </c>
      <c r="FP56" s="3120">
        <f t="shared" si="838"/>
        <v>1.0524854857792657E-2</v>
      </c>
      <c r="FQ56" s="3126">
        <f t="shared" si="839"/>
        <v>0</v>
      </c>
      <c r="FR56" s="3126">
        <f t="shared" si="840"/>
        <v>0</v>
      </c>
      <c r="FS56" s="3126">
        <f t="shared" si="841"/>
        <v>0</v>
      </c>
      <c r="FT56" s="3126">
        <f t="shared" si="842"/>
        <v>20.28</v>
      </c>
      <c r="FU56" s="3126">
        <f t="shared" si="843"/>
        <v>20.28</v>
      </c>
      <c r="FV56" s="3126">
        <f t="shared" si="844"/>
        <v>0</v>
      </c>
      <c r="FW56" s="3121">
        <f t="shared" si="600"/>
        <v>-21.777500000000003</v>
      </c>
      <c r="FX56" s="3121">
        <f t="shared" si="845"/>
        <v>-21.766975145142208</v>
      </c>
      <c r="FY56" s="3121">
        <f t="shared" si="846"/>
        <v>-1.0524854857792657E-2</v>
      </c>
      <c r="FZ56" s="3227">
        <f t="shared" si="847"/>
        <v>87.110000000000014</v>
      </c>
      <c r="GA56" s="3227">
        <f t="shared" si="848"/>
        <v>87.067900580568832</v>
      </c>
      <c r="GB56" s="3227">
        <f t="shared" si="849"/>
        <v>4.2099419431170626E-2</v>
      </c>
      <c r="GC56" s="3232">
        <f t="shared" si="850"/>
        <v>59.67</v>
      </c>
      <c r="GD56" s="3232">
        <f t="shared" si="851"/>
        <v>59.67</v>
      </c>
      <c r="GE56" s="3232">
        <f t="shared" si="852"/>
        <v>0</v>
      </c>
      <c r="GF56" s="3232">
        <f t="shared" si="853"/>
        <v>84.12</v>
      </c>
      <c r="GG56" s="3232">
        <f t="shared" si="854"/>
        <v>84.089697096015158</v>
      </c>
      <c r="GH56" s="3232">
        <f t="shared" si="855"/>
        <v>3.0302903984851366E-2</v>
      </c>
      <c r="GI56" s="3233">
        <f t="shared" si="856"/>
        <v>-27.440000000000012</v>
      </c>
      <c r="GJ56" s="3233">
        <f t="shared" si="857"/>
        <v>-27.39790058056883</v>
      </c>
      <c r="GK56" s="3233">
        <f t="shared" si="858"/>
        <v>-4.2099419431170626E-2</v>
      </c>
      <c r="GL56" s="396"/>
    </row>
    <row r="57" spans="1:194" ht="18.75" x14ac:dyDescent="0.3">
      <c r="A57" s="3138" t="s">
        <v>534</v>
      </c>
      <c r="B57" s="3276">
        <f t="shared" si="731"/>
        <v>0</v>
      </c>
      <c r="C57" s="3276">
        <f>SUM('ПОЛНАЯ СЕБЕСТОИМОСТЬ ВОДА 2019'!C202/3)</f>
        <v>0</v>
      </c>
      <c r="D57" s="3276">
        <f>SUM('ПОЛНАЯ СЕБЕСТОИМОСТЬ ВОДА 2019'!D202/3)</f>
        <v>0</v>
      </c>
      <c r="E57" s="3145">
        <f t="shared" si="732"/>
        <v>0</v>
      </c>
      <c r="F57" s="3145">
        <f>SUM('ПОЛНАЯ СЕБЕСТОИМОСТЬ ВОДА 2019'!F202)</f>
        <v>0</v>
      </c>
      <c r="G57" s="3145">
        <f>SUM('ПОЛНАЯ СЕБЕСТОИМОСТЬ ВОДА 2019'!G202)</f>
        <v>0</v>
      </c>
      <c r="H57" s="3146">
        <v>0</v>
      </c>
      <c r="I57" s="3149">
        <f t="shared" si="859"/>
        <v>0</v>
      </c>
      <c r="J57" s="3149">
        <f>SUM(H57/H14*J14)</f>
        <v>0</v>
      </c>
      <c r="K57" s="3276">
        <f t="shared" si="734"/>
        <v>0</v>
      </c>
      <c r="L57" s="3276">
        <f t="shared" si="735"/>
        <v>0</v>
      </c>
      <c r="M57" s="3276">
        <f t="shared" si="736"/>
        <v>0</v>
      </c>
      <c r="N57" s="3145">
        <f t="shared" si="737"/>
        <v>0</v>
      </c>
      <c r="O57" s="3145">
        <f>SUM('ПОЛНАЯ СЕБЕСТОИМОСТЬ ВОДА 2019'!I202)</f>
        <v>0</v>
      </c>
      <c r="P57" s="3145">
        <f>SUM('ПОЛНАЯ СЕБЕСТОИМОСТЬ ВОДА 2019'!J202)</f>
        <v>0</v>
      </c>
      <c r="Q57" s="3146">
        <v>0</v>
      </c>
      <c r="R57" s="3149">
        <f t="shared" si="860"/>
        <v>0</v>
      </c>
      <c r="S57" s="3149">
        <f>SUM(Q57/Q14*S14)</f>
        <v>0</v>
      </c>
      <c r="T57" s="3276">
        <f t="shared" si="739"/>
        <v>0</v>
      </c>
      <c r="U57" s="3276">
        <f t="shared" si="740"/>
        <v>0</v>
      </c>
      <c r="V57" s="3276">
        <f t="shared" si="741"/>
        <v>0</v>
      </c>
      <c r="W57" s="3145">
        <f t="shared" si="742"/>
        <v>0</v>
      </c>
      <c r="X57" s="3145">
        <f>SUM('ПОЛНАЯ СЕБЕСТОИМОСТЬ ВОДА 2019'!L202)</f>
        <v>0</v>
      </c>
      <c r="Y57" s="3145">
        <f>SUM('ПОЛНАЯ СЕБЕСТОИМОСТЬ ВОДА 2019'!M202)</f>
        <v>0</v>
      </c>
      <c r="Z57" s="3146">
        <v>0</v>
      </c>
      <c r="AA57" s="3149">
        <f t="shared" si="861"/>
        <v>0</v>
      </c>
      <c r="AB57" s="3149">
        <f>SUM(Z57/Z14*AB14)</f>
        <v>0</v>
      </c>
      <c r="AC57" s="3120">
        <f t="shared" si="744"/>
        <v>0</v>
      </c>
      <c r="AD57" s="3120">
        <f t="shared" si="745"/>
        <v>0</v>
      </c>
      <c r="AE57" s="3120">
        <f t="shared" si="746"/>
        <v>0</v>
      </c>
      <c r="AF57" s="3126">
        <f t="shared" si="747"/>
        <v>0</v>
      </c>
      <c r="AG57" s="3126">
        <f t="shared" si="748"/>
        <v>0</v>
      </c>
      <c r="AH57" s="3126">
        <f t="shared" si="749"/>
        <v>0</v>
      </c>
      <c r="AI57" s="3126">
        <f t="shared" si="750"/>
        <v>0</v>
      </c>
      <c r="AJ57" s="3126">
        <f t="shared" si="751"/>
        <v>0</v>
      </c>
      <c r="AK57" s="3126">
        <f t="shared" si="752"/>
        <v>0</v>
      </c>
      <c r="AL57" s="3121">
        <f t="shared" si="753"/>
        <v>0</v>
      </c>
      <c r="AM57" s="3121">
        <f t="shared" si="754"/>
        <v>0</v>
      </c>
      <c r="AN57" s="3121">
        <f t="shared" si="755"/>
        <v>0</v>
      </c>
      <c r="AO57" s="3276">
        <f t="shared" si="756"/>
        <v>0</v>
      </c>
      <c r="AP57" s="3276">
        <f>SUM('ПОЛНАЯ СЕБЕСТОИМОСТЬ ВОДА 2019'!R202/3)</f>
        <v>0</v>
      </c>
      <c r="AQ57" s="3276">
        <f>SUM('ПОЛНАЯ СЕБЕСТОИМОСТЬ ВОДА 2019'!S202/3)</f>
        <v>0</v>
      </c>
      <c r="AR57" s="3276">
        <f t="shared" si="757"/>
        <v>0</v>
      </c>
      <c r="AS57" s="3276">
        <f>SUM('ПОЛНАЯ СЕБЕСТОИМОСТЬ ВОДА 2019'!U202)</f>
        <v>0</v>
      </c>
      <c r="AT57" s="3276">
        <f>SUM('ПОЛНАЯ СЕБЕСТОИМОСТЬ ВОДА 2019'!V202)</f>
        <v>0</v>
      </c>
      <c r="AU57" s="3461">
        <v>0</v>
      </c>
      <c r="AV57" s="3461">
        <f t="shared" si="862"/>
        <v>0</v>
      </c>
      <c r="AW57" s="3461">
        <f>SUM(AU57/AU14*AW14)</f>
        <v>0</v>
      </c>
      <c r="AX57" s="3276">
        <f t="shared" si="759"/>
        <v>0</v>
      </c>
      <c r="AY57" s="3276">
        <f t="shared" si="760"/>
        <v>0</v>
      </c>
      <c r="AZ57" s="3276">
        <f t="shared" si="761"/>
        <v>0</v>
      </c>
      <c r="BA57" s="3276">
        <f t="shared" si="762"/>
        <v>0</v>
      </c>
      <c r="BB57" s="3276">
        <f>SUM('ПОЛНАЯ СЕБЕСТОИМОСТЬ ВОДА 2019'!X202)</f>
        <v>0</v>
      </c>
      <c r="BC57" s="3276">
        <f>SUM('ПОЛНАЯ СЕБЕСТОИМОСТЬ ВОДА 2019'!Y202)</f>
        <v>0</v>
      </c>
      <c r="BD57" s="3146">
        <v>0</v>
      </c>
      <c r="BE57" s="3149">
        <f t="shared" si="863"/>
        <v>0</v>
      </c>
      <c r="BF57" s="3149">
        <f>SUM(BD57/BD14*BF14)</f>
        <v>0</v>
      </c>
      <c r="BG57" s="3276">
        <f t="shared" si="764"/>
        <v>0</v>
      </c>
      <c r="BH57" s="3276">
        <f t="shared" si="765"/>
        <v>0</v>
      </c>
      <c r="BI57" s="3276">
        <f t="shared" si="766"/>
        <v>0</v>
      </c>
      <c r="BJ57" s="3145">
        <f t="shared" si="767"/>
        <v>0</v>
      </c>
      <c r="BK57" s="3145">
        <f>SUM('ПОЛНАЯ СЕБЕСТОИМОСТЬ ВОДА 2019'!AA202)</f>
        <v>0</v>
      </c>
      <c r="BL57" s="3145">
        <f>SUM('ПОЛНАЯ СЕБЕСТОИМОСТЬ ВОДА 2019'!AB202)</f>
        <v>0</v>
      </c>
      <c r="BM57" s="3146">
        <v>0</v>
      </c>
      <c r="BN57" s="3149">
        <f t="shared" si="864"/>
        <v>0</v>
      </c>
      <c r="BO57" s="3149">
        <f>SUM(BM57/BM14*BO14)</f>
        <v>0</v>
      </c>
      <c r="BP57" s="3120">
        <f t="shared" si="769"/>
        <v>0</v>
      </c>
      <c r="BQ57" s="3120">
        <f t="shared" si="770"/>
        <v>0</v>
      </c>
      <c r="BR57" s="3120">
        <f t="shared" si="771"/>
        <v>0</v>
      </c>
      <c r="BS57" s="3147">
        <f t="shared" si="772"/>
        <v>0</v>
      </c>
      <c r="BT57" s="3147">
        <f t="shared" si="773"/>
        <v>0</v>
      </c>
      <c r="BU57" s="3147">
        <f t="shared" si="774"/>
        <v>0</v>
      </c>
      <c r="BV57" s="3147">
        <f t="shared" si="775"/>
        <v>0</v>
      </c>
      <c r="BW57" s="3147">
        <f t="shared" si="776"/>
        <v>0</v>
      </c>
      <c r="BX57" s="3147">
        <f t="shared" si="777"/>
        <v>0</v>
      </c>
      <c r="BY57" s="3148">
        <f t="shared" si="554"/>
        <v>0</v>
      </c>
      <c r="BZ57" s="3148">
        <f t="shared" si="778"/>
        <v>0</v>
      </c>
      <c r="CA57" s="3148">
        <f t="shared" si="779"/>
        <v>0</v>
      </c>
      <c r="CB57" s="3120">
        <f t="shared" si="780"/>
        <v>0</v>
      </c>
      <c r="CC57" s="3120">
        <f t="shared" si="781"/>
        <v>0</v>
      </c>
      <c r="CD57" s="3120">
        <f t="shared" si="782"/>
        <v>0</v>
      </c>
      <c r="CE57" s="3147">
        <f t="shared" si="783"/>
        <v>0</v>
      </c>
      <c r="CF57" s="3147">
        <f t="shared" si="784"/>
        <v>0</v>
      </c>
      <c r="CG57" s="3147">
        <f t="shared" si="785"/>
        <v>0</v>
      </c>
      <c r="CH57" s="3147">
        <f t="shared" si="786"/>
        <v>0</v>
      </c>
      <c r="CI57" s="3147">
        <f t="shared" si="787"/>
        <v>0</v>
      </c>
      <c r="CJ57" s="3147">
        <f t="shared" si="788"/>
        <v>0</v>
      </c>
      <c r="CK57" s="3148">
        <f t="shared" si="566"/>
        <v>0</v>
      </c>
      <c r="CL57" s="3148">
        <f t="shared" si="789"/>
        <v>0</v>
      </c>
      <c r="CM57" s="3148">
        <f t="shared" si="790"/>
        <v>0</v>
      </c>
      <c r="CN57" s="3276">
        <f t="shared" si="791"/>
        <v>0</v>
      </c>
      <c r="CO57" s="3276">
        <f>SUM('ПОЛНАЯ СЕБЕСТОИМОСТЬ ВОДА 2019'!AP202/3)</f>
        <v>0</v>
      </c>
      <c r="CP57" s="3276">
        <f>SUM('ПОЛНАЯ СЕБЕСТОИМОСТЬ ВОДА 2019'!AQ202/3)</f>
        <v>0</v>
      </c>
      <c r="CQ57" s="3145">
        <f t="shared" si="792"/>
        <v>0</v>
      </c>
      <c r="CR57" s="3145">
        <f>SUM('ПОЛНАЯ СЕБЕСТОИМОСТЬ ВОДА 2019'!AS202)</f>
        <v>0</v>
      </c>
      <c r="CS57" s="3145">
        <f>SUM('ПОЛНАЯ СЕБЕСТОИМОСТЬ ВОДА 2019'!AT202)</f>
        <v>0</v>
      </c>
      <c r="CT57" s="3146">
        <v>0</v>
      </c>
      <c r="CU57" s="3149">
        <f t="shared" si="865"/>
        <v>0</v>
      </c>
      <c r="CV57" s="3149">
        <f>SUM(CT57/CT14*CV14)</f>
        <v>0</v>
      </c>
      <c r="CW57" s="3276">
        <f t="shared" si="794"/>
        <v>0</v>
      </c>
      <c r="CX57" s="3276">
        <f t="shared" si="795"/>
        <v>0</v>
      </c>
      <c r="CY57" s="3276">
        <f t="shared" si="796"/>
        <v>0</v>
      </c>
      <c r="CZ57" s="3145">
        <f t="shared" si="797"/>
        <v>0</v>
      </c>
      <c r="DA57" s="3145">
        <f>SUM('ПОЛНАЯ СЕБЕСТОИМОСТЬ ВОДА 2019'!AV202)</f>
        <v>0</v>
      </c>
      <c r="DB57" s="3145">
        <f>SUM('ПОЛНАЯ СЕБЕСТОИМОСТЬ ВОДА 2019'!AW202)</f>
        <v>0</v>
      </c>
      <c r="DC57" s="3146">
        <v>0</v>
      </c>
      <c r="DD57" s="3149">
        <f t="shared" si="866"/>
        <v>0</v>
      </c>
      <c r="DE57" s="3149">
        <f>SUM(DC57/DC14*DE14)</f>
        <v>0</v>
      </c>
      <c r="DF57" s="3276">
        <f t="shared" si="799"/>
        <v>0</v>
      </c>
      <c r="DG57" s="3276">
        <f t="shared" si="800"/>
        <v>0</v>
      </c>
      <c r="DH57" s="3276">
        <f t="shared" si="801"/>
        <v>0</v>
      </c>
      <c r="DI57" s="3145">
        <f t="shared" si="802"/>
        <v>0</v>
      </c>
      <c r="DJ57" s="3145">
        <f>SUM('ПОЛНАЯ СЕБЕСТОИМОСТЬ ВОДА 2019'!AY202)</f>
        <v>0</v>
      </c>
      <c r="DK57" s="3145">
        <f>SUM('ПОЛНАЯ СЕБЕСТОИМОСТЬ ВОДА 2019'!AZ202)</f>
        <v>0</v>
      </c>
      <c r="DL57" s="3146">
        <v>0</v>
      </c>
      <c r="DM57" s="3149">
        <f t="shared" si="867"/>
        <v>0</v>
      </c>
      <c r="DN57" s="3149">
        <f>SUM(DL57/DL14*DN14)</f>
        <v>0</v>
      </c>
      <c r="DO57" s="3120">
        <f t="shared" si="804"/>
        <v>0</v>
      </c>
      <c r="DP57" s="3120">
        <f t="shared" si="805"/>
        <v>0</v>
      </c>
      <c r="DQ57" s="3120">
        <f t="shared" si="806"/>
        <v>0</v>
      </c>
      <c r="DR57" s="3147">
        <f t="shared" si="807"/>
        <v>0</v>
      </c>
      <c r="DS57" s="3147">
        <f t="shared" si="808"/>
        <v>0</v>
      </c>
      <c r="DT57" s="3147">
        <f t="shared" si="809"/>
        <v>0</v>
      </c>
      <c r="DU57" s="3147">
        <f t="shared" si="810"/>
        <v>0</v>
      </c>
      <c r="DV57" s="3147">
        <f t="shared" si="811"/>
        <v>0</v>
      </c>
      <c r="DW57" s="3147">
        <f t="shared" si="812"/>
        <v>0</v>
      </c>
      <c r="DX57" s="3148">
        <f t="shared" si="578"/>
        <v>0</v>
      </c>
      <c r="DY57" s="3148">
        <f t="shared" si="813"/>
        <v>0</v>
      </c>
      <c r="DZ57" s="3148">
        <f t="shared" si="814"/>
        <v>0</v>
      </c>
      <c r="EA57" s="3120">
        <f t="shared" si="815"/>
        <v>0</v>
      </c>
      <c r="EB57" s="3120">
        <f t="shared" si="816"/>
        <v>0</v>
      </c>
      <c r="EC57" s="3120">
        <f t="shared" si="817"/>
        <v>0</v>
      </c>
      <c r="ED57" s="3147">
        <f t="shared" si="818"/>
        <v>0</v>
      </c>
      <c r="EE57" s="3147">
        <f t="shared" si="819"/>
        <v>0</v>
      </c>
      <c r="EF57" s="3147">
        <f t="shared" si="820"/>
        <v>0</v>
      </c>
      <c r="EG57" s="3147">
        <f t="shared" si="821"/>
        <v>0</v>
      </c>
      <c r="EH57" s="3147">
        <f t="shared" si="822"/>
        <v>0</v>
      </c>
      <c r="EI57" s="3147">
        <f t="shared" si="823"/>
        <v>0</v>
      </c>
      <c r="EJ57" s="3148">
        <f t="shared" si="590"/>
        <v>0</v>
      </c>
      <c r="EK57" s="3148">
        <f t="shared" si="590"/>
        <v>0</v>
      </c>
      <c r="EL57" s="3148">
        <f t="shared" si="590"/>
        <v>0</v>
      </c>
      <c r="EM57" s="3276">
        <f t="shared" si="824"/>
        <v>0</v>
      </c>
      <c r="EN57" s="3276">
        <f>SUM('ПОЛНАЯ СЕБЕСТОИМОСТЬ ВОДА 2019'!BN202/3)</f>
        <v>0</v>
      </c>
      <c r="EO57" s="3276">
        <f>SUM('ПОЛНАЯ СЕБЕСТОИМОСТЬ ВОДА 2019'!BO202/3)</f>
        <v>0</v>
      </c>
      <c r="EP57" s="3145">
        <f t="shared" si="825"/>
        <v>0</v>
      </c>
      <c r="EQ57" s="3145">
        <f>SUM('ПОЛНАЯ СЕБЕСТОИМОСТЬ ВОДА 2019'!BQ202)</f>
        <v>0</v>
      </c>
      <c r="ER57" s="3145">
        <f>SUM('ПОЛНАЯ СЕБЕСТОИМОСТЬ ВОДА 2019'!BR202)</f>
        <v>0</v>
      </c>
      <c r="ES57" s="3146">
        <v>0</v>
      </c>
      <c r="ET57" s="3149">
        <f t="shared" si="868"/>
        <v>0</v>
      </c>
      <c r="EU57" s="3149">
        <f>SUM(ES57/ES14*EU14)</f>
        <v>0</v>
      </c>
      <c r="EV57" s="3276">
        <f t="shared" si="827"/>
        <v>0</v>
      </c>
      <c r="EW57" s="3276">
        <f t="shared" si="828"/>
        <v>0</v>
      </c>
      <c r="EX57" s="3276">
        <f t="shared" si="829"/>
        <v>0</v>
      </c>
      <c r="EY57" s="3145">
        <f t="shared" si="830"/>
        <v>0</v>
      </c>
      <c r="EZ57" s="3145">
        <f>SUM('ПОЛНАЯ СЕБЕСТОИМОСТЬ ВОДА 2019'!BT202)</f>
        <v>0</v>
      </c>
      <c r="FA57" s="3145">
        <f>SUM('ПОЛНАЯ СЕБЕСТОИМОСТЬ ВОДА 2019'!BU202)</f>
        <v>0</v>
      </c>
      <c r="FB57" s="3146">
        <v>0</v>
      </c>
      <c r="FC57" s="3149">
        <f t="shared" si="869"/>
        <v>0</v>
      </c>
      <c r="FD57" s="3149">
        <f>SUM(FB57/FB14*FD14)</f>
        <v>0</v>
      </c>
      <c r="FE57" s="3276">
        <f t="shared" si="832"/>
        <v>0</v>
      </c>
      <c r="FF57" s="3276">
        <f t="shared" si="833"/>
        <v>0</v>
      </c>
      <c r="FG57" s="3276">
        <f t="shared" si="834"/>
        <v>0</v>
      </c>
      <c r="FH57" s="3145">
        <f>SUM('[19]ПОЛНАЯ СЕБЕСТОИМОСТЬ ВОДА 2018'!Z203)</f>
        <v>0</v>
      </c>
      <c r="FI57" s="3145">
        <f>SUM('ПОЛНАЯ СЕБЕСТОИМОСТЬ ВОДА 2019'!BW202)</f>
        <v>0</v>
      </c>
      <c r="FJ57" s="3145">
        <f>SUM('ПОЛНАЯ СЕБЕСТОИМОСТЬ ВОДА 2019'!BX202)</f>
        <v>0</v>
      </c>
      <c r="FK57" s="3146">
        <v>0</v>
      </c>
      <c r="FL57" s="3149">
        <f t="shared" si="870"/>
        <v>0</v>
      </c>
      <c r="FM57" s="3149">
        <f>SUM(FK57/FK14*FM14)</f>
        <v>0</v>
      </c>
      <c r="FN57" s="3120">
        <f t="shared" si="836"/>
        <v>0</v>
      </c>
      <c r="FO57" s="3120">
        <f t="shared" si="837"/>
        <v>0</v>
      </c>
      <c r="FP57" s="3120">
        <f t="shared" si="838"/>
        <v>0</v>
      </c>
      <c r="FQ57" s="3126">
        <f t="shared" si="839"/>
        <v>0</v>
      </c>
      <c r="FR57" s="3126">
        <f t="shared" si="840"/>
        <v>0</v>
      </c>
      <c r="FS57" s="3126">
        <f t="shared" si="841"/>
        <v>0</v>
      </c>
      <c r="FT57" s="3126">
        <f t="shared" si="842"/>
        <v>0</v>
      </c>
      <c r="FU57" s="3126">
        <f t="shared" si="843"/>
        <v>0</v>
      </c>
      <c r="FV57" s="3126">
        <f t="shared" si="844"/>
        <v>0</v>
      </c>
      <c r="FW57" s="3121">
        <f t="shared" si="600"/>
        <v>0</v>
      </c>
      <c r="FX57" s="3121">
        <f t="shared" si="845"/>
        <v>0</v>
      </c>
      <c r="FY57" s="3121">
        <f t="shared" si="846"/>
        <v>0</v>
      </c>
      <c r="FZ57" s="3227">
        <f t="shared" si="847"/>
        <v>0</v>
      </c>
      <c r="GA57" s="3227">
        <f t="shared" si="848"/>
        <v>0</v>
      </c>
      <c r="GB57" s="3227">
        <f t="shared" si="849"/>
        <v>0</v>
      </c>
      <c r="GC57" s="3232">
        <f t="shared" si="850"/>
        <v>0</v>
      </c>
      <c r="GD57" s="3232">
        <f t="shared" si="851"/>
        <v>0</v>
      </c>
      <c r="GE57" s="3232">
        <f t="shared" si="852"/>
        <v>0</v>
      </c>
      <c r="GF57" s="3232">
        <f t="shared" si="853"/>
        <v>0</v>
      </c>
      <c r="GG57" s="3232">
        <f t="shared" si="854"/>
        <v>0</v>
      </c>
      <c r="GH57" s="3232">
        <f t="shared" si="855"/>
        <v>0</v>
      </c>
      <c r="GI57" s="3233">
        <f t="shared" si="856"/>
        <v>0</v>
      </c>
      <c r="GJ57" s="3233">
        <f t="shared" si="857"/>
        <v>0</v>
      </c>
      <c r="GK57" s="3233">
        <f t="shared" si="858"/>
        <v>0</v>
      </c>
      <c r="GL57" s="396"/>
    </row>
    <row r="58" spans="1:194" ht="18.75" x14ac:dyDescent="0.3">
      <c r="A58" s="3138" t="s">
        <v>535</v>
      </c>
      <c r="B58" s="3276">
        <f t="shared" si="731"/>
        <v>153.89751819833333</v>
      </c>
      <c r="C58" s="3276">
        <f>SUM('ПОЛНАЯ СЕБЕСТОИМОСТЬ ВОДА 2019'!C203/3)</f>
        <v>153.78588837899804</v>
      </c>
      <c r="D58" s="3276">
        <f>SUM('ПОЛНАЯ СЕБЕСТОИМОСТЬ ВОДА 2019'!D203/3)</f>
        <v>0.11162981933528376</v>
      </c>
      <c r="E58" s="3145">
        <f t="shared" si="732"/>
        <v>0</v>
      </c>
      <c r="F58" s="3145">
        <f>SUM('ПОЛНАЯ СЕБЕСТОИМОСТЬ ВОДА 2019'!F203)</f>
        <v>0</v>
      </c>
      <c r="G58" s="3145">
        <f>SUM('ПОЛНАЯ СЕБЕСТОИМОСТЬ ВОДА 2019'!G203)</f>
        <v>0</v>
      </c>
      <c r="H58" s="3146">
        <v>0</v>
      </c>
      <c r="I58" s="3149">
        <f t="shared" si="859"/>
        <v>0</v>
      </c>
      <c r="J58" s="3149">
        <f>SUM(H58/H14*J14)</f>
        <v>0</v>
      </c>
      <c r="K58" s="3276">
        <f t="shared" si="734"/>
        <v>153.89751819833333</v>
      </c>
      <c r="L58" s="3276">
        <f t="shared" si="735"/>
        <v>153.78588837899804</v>
      </c>
      <c r="M58" s="3276">
        <f t="shared" si="736"/>
        <v>0.11162981933528376</v>
      </c>
      <c r="N58" s="3145">
        <f t="shared" si="737"/>
        <v>0</v>
      </c>
      <c r="O58" s="3145">
        <f>SUM('ПОЛНАЯ СЕБЕСТОИМОСТЬ ВОДА 2019'!I203)</f>
        <v>0</v>
      </c>
      <c r="P58" s="3145">
        <f>SUM('ПОЛНАЯ СЕБЕСТОИМОСТЬ ВОДА 2019'!J203)</f>
        <v>0</v>
      </c>
      <c r="Q58" s="3146">
        <v>0</v>
      </c>
      <c r="R58" s="3149">
        <f t="shared" si="860"/>
        <v>0</v>
      </c>
      <c r="S58" s="3149">
        <f>SUM(Q58/Q14*S14)</f>
        <v>0</v>
      </c>
      <c r="T58" s="3276">
        <f t="shared" si="739"/>
        <v>153.89751819833333</v>
      </c>
      <c r="U58" s="3276">
        <f t="shared" si="740"/>
        <v>153.78588837899804</v>
      </c>
      <c r="V58" s="3276">
        <f t="shared" si="741"/>
        <v>0.11162981933528376</v>
      </c>
      <c r="W58" s="3145">
        <f t="shared" si="742"/>
        <v>0</v>
      </c>
      <c r="X58" s="3145">
        <f>SUM('ПОЛНАЯ СЕБЕСТОИМОСТЬ ВОДА 2019'!L203)</f>
        <v>0</v>
      </c>
      <c r="Y58" s="3145">
        <f>SUM('ПОЛНАЯ СЕБЕСТОИМОСТЬ ВОДА 2019'!M203)</f>
        <v>0</v>
      </c>
      <c r="Z58" s="3146">
        <v>0</v>
      </c>
      <c r="AA58" s="3149">
        <f t="shared" si="861"/>
        <v>0</v>
      </c>
      <c r="AB58" s="3149">
        <f>SUM(Z58/Z14*AB14)</f>
        <v>0</v>
      </c>
      <c r="AC58" s="3120">
        <f t="shared" si="744"/>
        <v>461.69255459499999</v>
      </c>
      <c r="AD58" s="3120">
        <f t="shared" si="745"/>
        <v>461.35766513699411</v>
      </c>
      <c r="AE58" s="3120">
        <f t="shared" si="746"/>
        <v>0.33488945800585129</v>
      </c>
      <c r="AF58" s="3126">
        <f t="shared" si="747"/>
        <v>0</v>
      </c>
      <c r="AG58" s="3126">
        <f t="shared" si="748"/>
        <v>0</v>
      </c>
      <c r="AH58" s="3126">
        <f t="shared" si="749"/>
        <v>0</v>
      </c>
      <c r="AI58" s="3126">
        <f t="shared" si="750"/>
        <v>0</v>
      </c>
      <c r="AJ58" s="3126">
        <f t="shared" si="751"/>
        <v>0</v>
      </c>
      <c r="AK58" s="3126">
        <f t="shared" si="752"/>
        <v>0</v>
      </c>
      <c r="AL58" s="3121">
        <f t="shared" si="753"/>
        <v>-461.69255459499999</v>
      </c>
      <c r="AM58" s="3121">
        <f t="shared" si="754"/>
        <v>-461.35766513699411</v>
      </c>
      <c r="AN58" s="3121">
        <f t="shared" si="755"/>
        <v>-0.33488945800585129</v>
      </c>
      <c r="AO58" s="3276">
        <f t="shared" si="756"/>
        <v>153.89751819833333</v>
      </c>
      <c r="AP58" s="3276">
        <f>SUM('ПОЛНАЯ СЕБЕСТОИМОСТЬ ВОДА 2019'!R203/3)</f>
        <v>153.78588837899804</v>
      </c>
      <c r="AQ58" s="3276">
        <f>SUM('ПОЛНАЯ СЕБЕСТОИМОСТЬ ВОДА 2019'!S203/3)</f>
        <v>0.11162981933528376</v>
      </c>
      <c r="AR58" s="3276">
        <f t="shared" si="757"/>
        <v>0</v>
      </c>
      <c r="AS58" s="3276">
        <f>SUM('ПОЛНАЯ СЕБЕСТОИМОСТЬ ВОДА 2019'!U203)</f>
        <v>0</v>
      </c>
      <c r="AT58" s="3276">
        <f>SUM('ПОЛНАЯ СЕБЕСТОИМОСТЬ ВОДА 2019'!V203)</f>
        <v>0</v>
      </c>
      <c r="AU58" s="3461">
        <v>0</v>
      </c>
      <c r="AV58" s="3461">
        <f t="shared" si="862"/>
        <v>0</v>
      </c>
      <c r="AW58" s="3461">
        <f>SUM(AU58/AU14*AW14)</f>
        <v>0</v>
      </c>
      <c r="AX58" s="3276">
        <f t="shared" si="759"/>
        <v>153.89751819833333</v>
      </c>
      <c r="AY58" s="3276">
        <f t="shared" si="760"/>
        <v>153.78588837899804</v>
      </c>
      <c r="AZ58" s="3276">
        <f t="shared" si="761"/>
        <v>0.11162981933528376</v>
      </c>
      <c r="BA58" s="3276">
        <f t="shared" si="762"/>
        <v>0</v>
      </c>
      <c r="BB58" s="3276">
        <f>SUM('ПОЛНАЯ СЕБЕСТОИМОСТЬ ВОДА 2019'!X203)</f>
        <v>0</v>
      </c>
      <c r="BC58" s="3276">
        <f>SUM('ПОЛНАЯ СЕБЕСТОИМОСТЬ ВОДА 2019'!Y203)</f>
        <v>0</v>
      </c>
      <c r="BD58" s="3146">
        <v>0</v>
      </c>
      <c r="BE58" s="3149">
        <f t="shared" si="863"/>
        <v>0</v>
      </c>
      <c r="BF58" s="3149">
        <f>SUM(BD58/BD14*BF14)</f>
        <v>0</v>
      </c>
      <c r="BG58" s="3276">
        <f t="shared" si="764"/>
        <v>153.89751819833333</v>
      </c>
      <c r="BH58" s="3276">
        <f t="shared" si="765"/>
        <v>153.78588837899804</v>
      </c>
      <c r="BI58" s="3276">
        <f t="shared" si="766"/>
        <v>0.11162981933528376</v>
      </c>
      <c r="BJ58" s="3145">
        <f t="shared" si="767"/>
        <v>0</v>
      </c>
      <c r="BK58" s="3145">
        <f>SUM('ПОЛНАЯ СЕБЕСТОИМОСТЬ ВОДА 2019'!AA203)</f>
        <v>0</v>
      </c>
      <c r="BL58" s="3145">
        <f>SUM('ПОЛНАЯ СЕБЕСТОИМОСТЬ ВОДА 2019'!AB203)</f>
        <v>0</v>
      </c>
      <c r="BM58" s="3146">
        <v>0</v>
      </c>
      <c r="BN58" s="3149">
        <f t="shared" si="864"/>
        <v>0</v>
      </c>
      <c r="BO58" s="3149">
        <f>SUM(BM58/BM14*BO14)</f>
        <v>0</v>
      </c>
      <c r="BP58" s="3120">
        <f t="shared" si="769"/>
        <v>461.69255459499999</v>
      </c>
      <c r="BQ58" s="3120">
        <f t="shared" si="770"/>
        <v>461.35766513699411</v>
      </c>
      <c r="BR58" s="3120">
        <f t="shared" si="771"/>
        <v>0.33488945800585129</v>
      </c>
      <c r="BS58" s="3147">
        <f t="shared" si="772"/>
        <v>0</v>
      </c>
      <c r="BT58" s="3147">
        <f t="shared" si="773"/>
        <v>0</v>
      </c>
      <c r="BU58" s="3147">
        <f t="shared" si="774"/>
        <v>0</v>
      </c>
      <c r="BV58" s="3147">
        <f t="shared" si="775"/>
        <v>0</v>
      </c>
      <c r="BW58" s="3147">
        <f t="shared" si="776"/>
        <v>0</v>
      </c>
      <c r="BX58" s="3147">
        <f t="shared" si="777"/>
        <v>0</v>
      </c>
      <c r="BY58" s="3148">
        <f t="shared" si="554"/>
        <v>-461.69255459499999</v>
      </c>
      <c r="BZ58" s="3148">
        <f t="shared" si="778"/>
        <v>-461.35766513699411</v>
      </c>
      <c r="CA58" s="3148">
        <f t="shared" si="779"/>
        <v>-0.33488945800585129</v>
      </c>
      <c r="CB58" s="3120">
        <f t="shared" si="780"/>
        <v>923.38510918999998</v>
      </c>
      <c r="CC58" s="3120">
        <f t="shared" si="781"/>
        <v>922.71533027398823</v>
      </c>
      <c r="CD58" s="3120">
        <f t="shared" si="782"/>
        <v>0.66977891601170259</v>
      </c>
      <c r="CE58" s="3147">
        <f t="shared" si="783"/>
        <v>0</v>
      </c>
      <c r="CF58" s="3147">
        <f t="shared" si="784"/>
        <v>0</v>
      </c>
      <c r="CG58" s="3147">
        <f t="shared" si="785"/>
        <v>0</v>
      </c>
      <c r="CH58" s="3147">
        <f t="shared" si="786"/>
        <v>0</v>
      </c>
      <c r="CI58" s="3147">
        <f t="shared" si="787"/>
        <v>0</v>
      </c>
      <c r="CJ58" s="3147">
        <f t="shared" si="788"/>
        <v>0</v>
      </c>
      <c r="CK58" s="3148">
        <f t="shared" si="566"/>
        <v>-923.38510918999998</v>
      </c>
      <c r="CL58" s="3148">
        <f t="shared" si="789"/>
        <v>-922.71533027398823</v>
      </c>
      <c r="CM58" s="3148">
        <f t="shared" si="790"/>
        <v>-0.66977891601170259</v>
      </c>
      <c r="CN58" s="3276">
        <f t="shared" si="791"/>
        <v>153.89751819833333</v>
      </c>
      <c r="CO58" s="3276">
        <f>SUM('ПОЛНАЯ СЕБЕСТОИМОСТЬ ВОДА 2019'!AP203/3)</f>
        <v>153.78588837899804</v>
      </c>
      <c r="CP58" s="3276">
        <f>SUM('ПОЛНАЯ СЕБЕСТОИМОСТЬ ВОДА 2019'!AQ203/3)</f>
        <v>0.11162981933528376</v>
      </c>
      <c r="CQ58" s="3145">
        <f t="shared" si="792"/>
        <v>0</v>
      </c>
      <c r="CR58" s="3145">
        <f>SUM('ПОЛНАЯ СЕБЕСТОИМОСТЬ ВОДА 2019'!AS203)</f>
        <v>0</v>
      </c>
      <c r="CS58" s="3145">
        <f>SUM('ПОЛНАЯ СЕБЕСТОИМОСТЬ ВОДА 2019'!AT203)</f>
        <v>0</v>
      </c>
      <c r="CT58" s="3146">
        <v>0</v>
      </c>
      <c r="CU58" s="3149">
        <f t="shared" si="865"/>
        <v>0</v>
      </c>
      <c r="CV58" s="3149">
        <f>SUM(CT58/CT14*CV14)</f>
        <v>0</v>
      </c>
      <c r="CW58" s="3276">
        <f t="shared" si="794"/>
        <v>153.89751819833333</v>
      </c>
      <c r="CX58" s="3276">
        <f t="shared" si="795"/>
        <v>153.78588837899804</v>
      </c>
      <c r="CY58" s="3276">
        <f t="shared" si="796"/>
        <v>0.11162981933528376</v>
      </c>
      <c r="CZ58" s="3145">
        <f t="shared" si="797"/>
        <v>0</v>
      </c>
      <c r="DA58" s="3145">
        <f>SUM('ПОЛНАЯ СЕБЕСТОИМОСТЬ ВОДА 2019'!AV203)</f>
        <v>0</v>
      </c>
      <c r="DB58" s="3145">
        <f>SUM('ПОЛНАЯ СЕБЕСТОИМОСТЬ ВОДА 2019'!AW203)</f>
        <v>0</v>
      </c>
      <c r="DC58" s="3146">
        <v>0</v>
      </c>
      <c r="DD58" s="3149">
        <f t="shared" si="866"/>
        <v>0</v>
      </c>
      <c r="DE58" s="3149">
        <f>SUM(DC58/DC14*DE14)</f>
        <v>0</v>
      </c>
      <c r="DF58" s="3276">
        <f t="shared" si="799"/>
        <v>153.89751819833333</v>
      </c>
      <c r="DG58" s="3276">
        <f t="shared" si="800"/>
        <v>153.78588837899804</v>
      </c>
      <c r="DH58" s="3276">
        <f t="shared" si="801"/>
        <v>0.11162981933528376</v>
      </c>
      <c r="DI58" s="3145">
        <f t="shared" si="802"/>
        <v>0</v>
      </c>
      <c r="DJ58" s="3145">
        <f>SUM('ПОЛНАЯ СЕБЕСТОИМОСТЬ ВОДА 2019'!AY203)</f>
        <v>0</v>
      </c>
      <c r="DK58" s="3145">
        <f>SUM('ПОЛНАЯ СЕБЕСТОИМОСТЬ ВОДА 2019'!AZ203)</f>
        <v>0</v>
      </c>
      <c r="DL58" s="3146">
        <v>0</v>
      </c>
      <c r="DM58" s="3149">
        <f t="shared" si="867"/>
        <v>0</v>
      </c>
      <c r="DN58" s="3149">
        <f>SUM(DL58/DL14*DN14)</f>
        <v>0</v>
      </c>
      <c r="DO58" s="3120">
        <f t="shared" si="804"/>
        <v>461.69255459499999</v>
      </c>
      <c r="DP58" s="3120">
        <f t="shared" si="805"/>
        <v>461.35766513699411</v>
      </c>
      <c r="DQ58" s="3120">
        <f t="shared" si="806"/>
        <v>0.33488945800585129</v>
      </c>
      <c r="DR58" s="3147">
        <f t="shared" si="807"/>
        <v>0</v>
      </c>
      <c r="DS58" s="3147">
        <f t="shared" si="808"/>
        <v>0</v>
      </c>
      <c r="DT58" s="3147">
        <f t="shared" si="809"/>
        <v>0</v>
      </c>
      <c r="DU58" s="3147">
        <f t="shared" si="810"/>
        <v>0</v>
      </c>
      <c r="DV58" s="3147">
        <f t="shared" si="811"/>
        <v>0</v>
      </c>
      <c r="DW58" s="3147">
        <f t="shared" si="812"/>
        <v>0</v>
      </c>
      <c r="DX58" s="3148">
        <f t="shared" si="578"/>
        <v>-461.69255459499999</v>
      </c>
      <c r="DY58" s="3148">
        <f t="shared" si="813"/>
        <v>-461.35766513699411</v>
      </c>
      <c r="DZ58" s="3148">
        <f t="shared" si="814"/>
        <v>-0.33488945800585129</v>
      </c>
      <c r="EA58" s="3120">
        <f t="shared" si="815"/>
        <v>1385.0776637849999</v>
      </c>
      <c r="EB58" s="3120">
        <f t="shared" si="816"/>
        <v>1384.0729954109825</v>
      </c>
      <c r="EC58" s="3120">
        <f t="shared" si="817"/>
        <v>1.0046683740175539</v>
      </c>
      <c r="ED58" s="3147">
        <f t="shared" si="818"/>
        <v>0</v>
      </c>
      <c r="EE58" s="3147">
        <f t="shared" si="819"/>
        <v>0</v>
      </c>
      <c r="EF58" s="3147">
        <f t="shared" si="820"/>
        <v>0</v>
      </c>
      <c r="EG58" s="3147">
        <f t="shared" si="821"/>
        <v>0</v>
      </c>
      <c r="EH58" s="3147">
        <f t="shared" si="822"/>
        <v>0</v>
      </c>
      <c r="EI58" s="3147">
        <f t="shared" si="823"/>
        <v>0</v>
      </c>
      <c r="EJ58" s="3148">
        <f t="shared" si="590"/>
        <v>-1385.0776637849999</v>
      </c>
      <c r="EK58" s="3148">
        <f t="shared" si="590"/>
        <v>-1384.0729954109825</v>
      </c>
      <c r="EL58" s="3148">
        <f t="shared" si="590"/>
        <v>-1.0046683740175539</v>
      </c>
      <c r="EM58" s="3276">
        <f t="shared" si="824"/>
        <v>153.89751819833333</v>
      </c>
      <c r="EN58" s="3276">
        <f>SUM('ПОЛНАЯ СЕБЕСТОИМОСТЬ ВОДА 2019'!BN203/3)</f>
        <v>153.78588837899804</v>
      </c>
      <c r="EO58" s="3276">
        <f>SUM('ПОЛНАЯ СЕБЕСТОИМОСТЬ ВОДА 2019'!BO203/3)</f>
        <v>0.11162981933528376</v>
      </c>
      <c r="EP58" s="3145">
        <f t="shared" si="825"/>
        <v>0</v>
      </c>
      <c r="EQ58" s="3145">
        <f>SUM('ПОЛНАЯ СЕБЕСТОИМОСТЬ ВОДА 2019'!BQ203)</f>
        <v>0</v>
      </c>
      <c r="ER58" s="3145">
        <f>SUM('ПОЛНАЯ СЕБЕСТОИМОСТЬ ВОДА 2019'!BR203)</f>
        <v>0</v>
      </c>
      <c r="ES58" s="3146">
        <v>0</v>
      </c>
      <c r="ET58" s="3149">
        <f t="shared" si="868"/>
        <v>0</v>
      </c>
      <c r="EU58" s="3149">
        <f>SUM(ES58/ES14*EU14)</f>
        <v>0</v>
      </c>
      <c r="EV58" s="3276">
        <f t="shared" si="827"/>
        <v>153.89751819833333</v>
      </c>
      <c r="EW58" s="3276">
        <f t="shared" si="828"/>
        <v>153.78588837899804</v>
      </c>
      <c r="EX58" s="3276">
        <f t="shared" si="829"/>
        <v>0.11162981933528376</v>
      </c>
      <c r="EY58" s="3145">
        <f t="shared" si="830"/>
        <v>0</v>
      </c>
      <c r="EZ58" s="3145">
        <f>SUM('ПОЛНАЯ СЕБЕСТОИМОСТЬ ВОДА 2019'!BT203)</f>
        <v>0</v>
      </c>
      <c r="FA58" s="3145">
        <f>SUM('ПОЛНАЯ СЕБЕСТОИМОСТЬ ВОДА 2019'!BU203)</f>
        <v>0</v>
      </c>
      <c r="FB58" s="3146">
        <v>0</v>
      </c>
      <c r="FC58" s="3149">
        <f t="shared" si="869"/>
        <v>0</v>
      </c>
      <c r="FD58" s="3149">
        <f>SUM(FB58/FB14*FD14)</f>
        <v>0</v>
      </c>
      <c r="FE58" s="3276">
        <f t="shared" si="832"/>
        <v>153.89751819833333</v>
      </c>
      <c r="FF58" s="3276">
        <f t="shared" si="833"/>
        <v>153.78588837899804</v>
      </c>
      <c r="FG58" s="3276">
        <f t="shared" si="834"/>
        <v>0.11162981933528376</v>
      </c>
      <c r="FH58" s="3145">
        <f>SUM('[19]ПОЛНАЯ СЕБЕСТОИМОСТЬ ВОДА 2018'!Z204)</f>
        <v>0</v>
      </c>
      <c r="FI58" s="3145">
        <f>SUM('ПОЛНАЯ СЕБЕСТОИМОСТЬ ВОДА 2019'!BW203)</f>
        <v>0</v>
      </c>
      <c r="FJ58" s="3145">
        <f>SUM('ПОЛНАЯ СЕБЕСТОИМОСТЬ ВОДА 2019'!BX203)</f>
        <v>0</v>
      </c>
      <c r="FK58" s="3146">
        <v>0</v>
      </c>
      <c r="FL58" s="3149">
        <f t="shared" si="870"/>
        <v>0</v>
      </c>
      <c r="FM58" s="3149">
        <f>SUM(FK58/FK14*FM14)</f>
        <v>0</v>
      </c>
      <c r="FN58" s="3120">
        <f t="shared" si="836"/>
        <v>461.69255459499999</v>
      </c>
      <c r="FO58" s="3120">
        <f t="shared" si="837"/>
        <v>461.35766513699411</v>
      </c>
      <c r="FP58" s="3120">
        <f t="shared" si="838"/>
        <v>0.33488945800585129</v>
      </c>
      <c r="FQ58" s="3126">
        <f t="shared" si="839"/>
        <v>0</v>
      </c>
      <c r="FR58" s="3126">
        <f t="shared" si="840"/>
        <v>0</v>
      </c>
      <c r="FS58" s="3126">
        <f t="shared" si="841"/>
        <v>0</v>
      </c>
      <c r="FT58" s="3126">
        <f t="shared" si="842"/>
        <v>0</v>
      </c>
      <c r="FU58" s="3126">
        <f t="shared" si="843"/>
        <v>0</v>
      </c>
      <c r="FV58" s="3126">
        <f t="shared" si="844"/>
        <v>0</v>
      </c>
      <c r="FW58" s="3121">
        <f t="shared" si="600"/>
        <v>-461.69255459499999</v>
      </c>
      <c r="FX58" s="3121">
        <f t="shared" si="845"/>
        <v>-461.35766513699411</v>
      </c>
      <c r="FY58" s="3121">
        <f t="shared" si="846"/>
        <v>-0.33488945800585129</v>
      </c>
      <c r="FZ58" s="3227">
        <f t="shared" si="847"/>
        <v>1846.77021838</v>
      </c>
      <c r="GA58" s="3227">
        <f t="shared" si="848"/>
        <v>1845.4306605479765</v>
      </c>
      <c r="GB58" s="3227">
        <f t="shared" si="849"/>
        <v>1.3395578320234052</v>
      </c>
      <c r="GC58" s="3232">
        <f t="shared" si="850"/>
        <v>0</v>
      </c>
      <c r="GD58" s="3232">
        <f t="shared" si="851"/>
        <v>0</v>
      </c>
      <c r="GE58" s="3232">
        <f t="shared" si="852"/>
        <v>0</v>
      </c>
      <c r="GF58" s="3232">
        <f t="shared" si="853"/>
        <v>0</v>
      </c>
      <c r="GG58" s="3232">
        <f t="shared" si="854"/>
        <v>0</v>
      </c>
      <c r="GH58" s="3232">
        <f t="shared" si="855"/>
        <v>0</v>
      </c>
      <c r="GI58" s="3233">
        <f t="shared" si="856"/>
        <v>-1846.77021838</v>
      </c>
      <c r="GJ58" s="3233">
        <f t="shared" si="857"/>
        <v>-1845.4306605479765</v>
      </c>
      <c r="GK58" s="3233">
        <f t="shared" si="858"/>
        <v>-1.3395578320234052</v>
      </c>
      <c r="GL58" s="396"/>
    </row>
    <row r="59" spans="1:194" ht="18.75" x14ac:dyDescent="0.3">
      <c r="A59" s="3073" t="s">
        <v>3676</v>
      </c>
      <c r="B59" s="3276">
        <f t="shared" ref="B59" si="883">SUM(C59:D59)</f>
        <v>240.60047723415002</v>
      </c>
      <c r="C59" s="3276">
        <f>SUM('ПОЛНАЯ СЕБЕСТОИМОСТЬ ВОДА 2019'!C204/3)</f>
        <v>240.60047723415002</v>
      </c>
      <c r="D59" s="3276">
        <f>SUM('ПОЛНАЯ СЕБЕСТОИМОСТЬ ВОДА 2019'!D204/3)</f>
        <v>0</v>
      </c>
      <c r="E59" s="3145">
        <f t="shared" ref="E59" si="884">SUM(F59:G59)</f>
        <v>0</v>
      </c>
      <c r="F59" s="3145">
        <f>SUM('ПОЛНАЯ СЕБЕСТОИМОСТЬ ВОДА 2019'!F204)</f>
        <v>0</v>
      </c>
      <c r="G59" s="3145">
        <f>SUM('ПОЛНАЯ СЕБЕСТОИМОСТЬ ВОДА 2019'!G204)</f>
        <v>0</v>
      </c>
      <c r="H59" s="3146">
        <v>0</v>
      </c>
      <c r="I59" s="3149">
        <f t="shared" ref="I59" si="885">SUM(H59-J59)</f>
        <v>0</v>
      </c>
      <c r="J59" s="3149">
        <f>SUM(H59/H15*J15)</f>
        <v>0</v>
      </c>
      <c r="K59" s="3276">
        <f t="shared" ref="K59" si="886">SUM(L59:M59)</f>
        <v>240.60047723415002</v>
      </c>
      <c r="L59" s="3276">
        <f t="shared" ref="L59" si="887">SUM(C59)</f>
        <v>240.60047723415002</v>
      </c>
      <c r="M59" s="3276">
        <f t="shared" ref="M59" si="888">SUM(D59)</f>
        <v>0</v>
      </c>
      <c r="N59" s="3145">
        <f t="shared" ref="N59" si="889">SUM(O59:P59)</f>
        <v>0</v>
      </c>
      <c r="O59" s="3145">
        <f>SUM('ПОЛНАЯ СЕБЕСТОИМОСТЬ ВОДА 2019'!I204)</f>
        <v>0</v>
      </c>
      <c r="P59" s="3145">
        <f>SUM('ПОЛНАЯ СЕБЕСТОИМОСТЬ ВОДА 2019'!J204)</f>
        <v>0</v>
      </c>
      <c r="Q59" s="3146">
        <v>0</v>
      </c>
      <c r="R59" s="3149">
        <f t="shared" ref="R59" si="890">SUM(Q59-S59)</f>
        <v>0</v>
      </c>
      <c r="S59" s="3149">
        <f>SUM(Q59/Q15*S15)</f>
        <v>0</v>
      </c>
      <c r="T59" s="3276">
        <f t="shared" ref="T59" si="891">SUM(U59:V59)</f>
        <v>240.60047723415002</v>
      </c>
      <c r="U59" s="3276">
        <f t="shared" ref="U59" si="892">SUM(L59)</f>
        <v>240.60047723415002</v>
      </c>
      <c r="V59" s="3276">
        <f t="shared" ref="V59" si="893">SUM(M59)</f>
        <v>0</v>
      </c>
      <c r="W59" s="3145">
        <f t="shared" ref="W59" si="894">SUM(X59:Y59)</f>
        <v>0</v>
      </c>
      <c r="X59" s="3145">
        <f>SUM('ПОЛНАЯ СЕБЕСТОИМОСТЬ ВОДА 2019'!L204)</f>
        <v>0</v>
      </c>
      <c r="Y59" s="3145">
        <f>SUM('ПОЛНАЯ СЕБЕСТОИМОСТЬ ВОДА 2019'!M204)</f>
        <v>0</v>
      </c>
      <c r="Z59" s="3146">
        <v>0</v>
      </c>
      <c r="AA59" s="3149">
        <f t="shared" ref="AA59" si="895">SUM(Z59-AB59)</f>
        <v>0</v>
      </c>
      <c r="AB59" s="3149">
        <f>SUM(Z59/Z15*AB15)</f>
        <v>0</v>
      </c>
      <c r="AC59" s="3120">
        <f t="shared" ref="AC59" si="896">SUM(B59+K59+T59)</f>
        <v>721.80143170245003</v>
      </c>
      <c r="AD59" s="3120">
        <f t="shared" ref="AD59" si="897">SUM(C59+L59+U59)</f>
        <v>721.80143170245003</v>
      </c>
      <c r="AE59" s="3120">
        <f t="shared" ref="AE59" si="898">SUM(D59+M59+V59)</f>
        <v>0</v>
      </c>
      <c r="AF59" s="3126">
        <f t="shared" ref="AF59" si="899">SUM(E59+N59+W59)</f>
        <v>0</v>
      </c>
      <c r="AG59" s="3126">
        <f t="shared" ref="AG59" si="900">SUM(F59+O59+X59)</f>
        <v>0</v>
      </c>
      <c r="AH59" s="3126">
        <f t="shared" ref="AH59" si="901">SUM(G59+P59+Y59)</f>
        <v>0</v>
      </c>
      <c r="AI59" s="3126">
        <f t="shared" ref="AI59" si="902">SUM(H59+Q59+Z59)</f>
        <v>0</v>
      </c>
      <c r="AJ59" s="3126">
        <f t="shared" ref="AJ59" si="903">SUM(I59+R59+AA59)</f>
        <v>0</v>
      </c>
      <c r="AK59" s="3126">
        <f t="shared" ref="AK59" si="904">SUM(J59+S59+AB59)</f>
        <v>0</v>
      </c>
      <c r="AL59" s="3121">
        <f t="shared" ref="AL59" si="905">SUM(AF59-AC59)</f>
        <v>-721.80143170245003</v>
      </c>
      <c r="AM59" s="3121">
        <f t="shared" ref="AM59" si="906">SUM(AG59-AD59)</f>
        <v>-721.80143170245003</v>
      </c>
      <c r="AN59" s="3121">
        <f t="shared" ref="AN59" si="907">SUM(AH59-AE59)</f>
        <v>0</v>
      </c>
      <c r="AO59" s="3276">
        <f t="shared" ref="AO59" si="908">SUM(AP59:AQ59)</f>
        <v>240.60047723415002</v>
      </c>
      <c r="AP59" s="3276">
        <f>SUM('ПОЛНАЯ СЕБЕСТОИМОСТЬ ВОДА 2019'!R204/3)</f>
        <v>240.60047723415002</v>
      </c>
      <c r="AQ59" s="3276">
        <f>SUM('ПОЛНАЯ СЕБЕСТОИМОСТЬ ВОДА 2019'!S204/3)</f>
        <v>0</v>
      </c>
      <c r="AR59" s="3276">
        <f t="shared" ref="AR59" si="909">SUM(AS59:AT59)</f>
        <v>0</v>
      </c>
      <c r="AS59" s="3276">
        <f>SUM('ПОЛНАЯ СЕБЕСТОИМОСТЬ ВОДА 2019'!U204)</f>
        <v>0</v>
      </c>
      <c r="AT59" s="3276">
        <f>SUM('ПОЛНАЯ СЕБЕСТОИМОСТЬ ВОДА 2019'!V204)</f>
        <v>0</v>
      </c>
      <c r="AU59" s="3461">
        <v>0</v>
      </c>
      <c r="AV59" s="3461">
        <f t="shared" ref="AV59" si="910">SUM(AU59-AW59)</f>
        <v>0</v>
      </c>
      <c r="AW59" s="3461">
        <f>SUM(AU59/AU15*AW15)</f>
        <v>0</v>
      </c>
      <c r="AX59" s="3276">
        <f t="shared" ref="AX59" si="911">SUM(AY59:AZ59)</f>
        <v>240.60047723415002</v>
      </c>
      <c r="AY59" s="3276">
        <f t="shared" ref="AY59" si="912">SUM(AP59)</f>
        <v>240.60047723415002</v>
      </c>
      <c r="AZ59" s="3276">
        <f t="shared" ref="AZ59" si="913">SUM(AQ59)</f>
        <v>0</v>
      </c>
      <c r="BA59" s="3276">
        <f t="shared" ref="BA59" si="914">SUM(BB59:BC59)</f>
        <v>0</v>
      </c>
      <c r="BB59" s="3276">
        <f>SUM('ПОЛНАЯ СЕБЕСТОИМОСТЬ ВОДА 2019'!X204)</f>
        <v>0</v>
      </c>
      <c r="BC59" s="3276">
        <f>SUM('ПОЛНАЯ СЕБЕСТОИМОСТЬ ВОДА 2019'!Y204)</f>
        <v>0</v>
      </c>
      <c r="BD59" s="3146">
        <v>0</v>
      </c>
      <c r="BE59" s="3149">
        <f t="shared" ref="BE59" si="915">SUM(BD59-BF59)</f>
        <v>0</v>
      </c>
      <c r="BF59" s="3149">
        <f>SUM(BD59/BD15*BF15)</f>
        <v>0</v>
      </c>
      <c r="BG59" s="3276">
        <f t="shared" ref="BG59" si="916">SUM(BH59:BI59)</f>
        <v>240.60047723415002</v>
      </c>
      <c r="BH59" s="3276">
        <f t="shared" ref="BH59" si="917">SUM(AY59)</f>
        <v>240.60047723415002</v>
      </c>
      <c r="BI59" s="3276">
        <f t="shared" ref="BI59" si="918">SUM(AZ59)</f>
        <v>0</v>
      </c>
      <c r="BJ59" s="3145">
        <f t="shared" ref="BJ59" si="919">SUM(BK59:BL59)</f>
        <v>0</v>
      </c>
      <c r="BK59" s="3145">
        <f>SUM('ПОЛНАЯ СЕБЕСТОИМОСТЬ ВОДА 2019'!AA204)</f>
        <v>0</v>
      </c>
      <c r="BL59" s="3145">
        <f>SUM('ПОЛНАЯ СЕБЕСТОИМОСТЬ ВОДА 2019'!AB204)</f>
        <v>0</v>
      </c>
      <c r="BM59" s="3146">
        <v>0</v>
      </c>
      <c r="BN59" s="3149">
        <f t="shared" ref="BN59" si="920">SUM(BM59-BO59)</f>
        <v>0</v>
      </c>
      <c r="BO59" s="3149">
        <f>SUM(BM59/BM15*BO15)</f>
        <v>0</v>
      </c>
      <c r="BP59" s="3120">
        <f t="shared" ref="BP59" si="921">SUM(AO59+AX59+BG59)</f>
        <v>721.80143170245003</v>
      </c>
      <c r="BQ59" s="3120">
        <f t="shared" ref="BQ59" si="922">SUM(AP59+AY59+BH59)</f>
        <v>721.80143170245003</v>
      </c>
      <c r="BR59" s="3120">
        <f t="shared" ref="BR59" si="923">SUM(AQ59+AZ59+BI59)</f>
        <v>0</v>
      </c>
      <c r="BS59" s="3147">
        <f t="shared" ref="BS59" si="924">SUM(AR59+BA59+BJ59)</f>
        <v>0</v>
      </c>
      <c r="BT59" s="3147">
        <f t="shared" ref="BT59" si="925">SUM(AS59+BB59+BK59)</f>
        <v>0</v>
      </c>
      <c r="BU59" s="3147">
        <f t="shared" ref="BU59" si="926">SUM(AT59+BC59+BL59)</f>
        <v>0</v>
      </c>
      <c r="BV59" s="3147">
        <f t="shared" ref="BV59" si="927">SUM(AU59+BD59+BM59)</f>
        <v>0</v>
      </c>
      <c r="BW59" s="3147">
        <f t="shared" ref="BW59" si="928">SUM(AV59+BE59+BN59)</f>
        <v>0</v>
      </c>
      <c r="BX59" s="3147">
        <f t="shared" ref="BX59" si="929">SUM(AW59+BF59+BO59)</f>
        <v>0</v>
      </c>
      <c r="BY59" s="3148">
        <f t="shared" ref="BY59" si="930">SUM(BS59-BP59)</f>
        <v>-721.80143170245003</v>
      </c>
      <c r="BZ59" s="3148">
        <f t="shared" ref="BZ59" si="931">SUM(BT59-BQ59)</f>
        <v>-721.80143170245003</v>
      </c>
      <c r="CA59" s="3148">
        <f t="shared" ref="CA59" si="932">SUM(BU59-BR59)</f>
        <v>0</v>
      </c>
      <c r="CB59" s="3120">
        <f t="shared" ref="CB59" si="933">SUM(AC59+BP59)</f>
        <v>1443.6028634049001</v>
      </c>
      <c r="CC59" s="3120">
        <f t="shared" ref="CC59" si="934">SUM(AD59+BQ59)</f>
        <v>1443.6028634049001</v>
      </c>
      <c r="CD59" s="3120">
        <f t="shared" ref="CD59" si="935">SUM(AE59+BR59)</f>
        <v>0</v>
      </c>
      <c r="CE59" s="3147">
        <f t="shared" ref="CE59" si="936">SUM(AF59+BS59)</f>
        <v>0</v>
      </c>
      <c r="CF59" s="3147">
        <f t="shared" ref="CF59" si="937">SUM(AG59+BT59)</f>
        <v>0</v>
      </c>
      <c r="CG59" s="3147">
        <f t="shared" ref="CG59" si="938">SUM(AH59+BU59)</f>
        <v>0</v>
      </c>
      <c r="CH59" s="3147">
        <f t="shared" ref="CH59" si="939">SUM(AI59+BV59)</f>
        <v>0</v>
      </c>
      <c r="CI59" s="3147">
        <f t="shared" ref="CI59" si="940">SUM(AJ59+BW59)</f>
        <v>0</v>
      </c>
      <c r="CJ59" s="3147">
        <f t="shared" ref="CJ59" si="941">SUM(AK59+BX59)</f>
        <v>0</v>
      </c>
      <c r="CK59" s="3148">
        <f t="shared" ref="CK59" si="942">SUM(CE59-CB59)</f>
        <v>-1443.6028634049001</v>
      </c>
      <c r="CL59" s="3148">
        <f t="shared" ref="CL59" si="943">SUM(CF59-CC59)</f>
        <v>-1443.6028634049001</v>
      </c>
      <c r="CM59" s="3148">
        <f t="shared" ref="CM59" si="944">SUM(CG59-CD59)</f>
        <v>0</v>
      </c>
      <c r="CN59" s="3276">
        <f t="shared" ref="CN59" si="945">SUM(CO59:CP59)</f>
        <v>240.60047723415002</v>
      </c>
      <c r="CO59" s="3276">
        <f>SUM('ПОЛНАЯ СЕБЕСТОИМОСТЬ ВОДА 2019'!AP204/3)</f>
        <v>240.60047723415002</v>
      </c>
      <c r="CP59" s="3276">
        <f>SUM('ПОЛНАЯ СЕБЕСТОИМОСТЬ ВОДА 2019'!AQ204/3)</f>
        <v>0</v>
      </c>
      <c r="CQ59" s="3145">
        <f t="shared" ref="CQ59" si="946">SUM(CR59:CS59)</f>
        <v>0</v>
      </c>
      <c r="CR59" s="3145">
        <f>SUM('ПОЛНАЯ СЕБЕСТОИМОСТЬ ВОДА 2019'!AS204)</f>
        <v>0</v>
      </c>
      <c r="CS59" s="3145">
        <f>SUM('ПОЛНАЯ СЕБЕСТОИМОСТЬ ВОДА 2019'!AT204)</f>
        <v>0</v>
      </c>
      <c r="CT59" s="3146">
        <v>0</v>
      </c>
      <c r="CU59" s="3149">
        <f t="shared" ref="CU59" si="947">SUM(CT59-CV59)</f>
        <v>0</v>
      </c>
      <c r="CV59" s="3149">
        <f>SUM(CT59/CT15*CV15)</f>
        <v>0</v>
      </c>
      <c r="CW59" s="3276">
        <f t="shared" ref="CW59" si="948">SUM(CX59:CY59)</f>
        <v>240.60047723415002</v>
      </c>
      <c r="CX59" s="3276">
        <f t="shared" ref="CX59" si="949">SUM(CO59)</f>
        <v>240.60047723415002</v>
      </c>
      <c r="CY59" s="3276">
        <f t="shared" ref="CY59" si="950">SUM(CP59)</f>
        <v>0</v>
      </c>
      <c r="CZ59" s="3145">
        <f t="shared" ref="CZ59" si="951">SUM(DA59:DB59)</f>
        <v>0</v>
      </c>
      <c r="DA59" s="3145">
        <f>SUM('ПОЛНАЯ СЕБЕСТОИМОСТЬ ВОДА 2019'!AV204)</f>
        <v>0</v>
      </c>
      <c r="DB59" s="3145">
        <f>SUM('ПОЛНАЯ СЕБЕСТОИМОСТЬ ВОДА 2019'!AW204)</f>
        <v>0</v>
      </c>
      <c r="DC59" s="3146">
        <v>0</v>
      </c>
      <c r="DD59" s="3149">
        <f t="shared" ref="DD59" si="952">SUM(DC59-DE59)</f>
        <v>0</v>
      </c>
      <c r="DE59" s="3149">
        <f>SUM(DC59/DC15*DE15)</f>
        <v>0</v>
      </c>
      <c r="DF59" s="3276">
        <f t="shared" ref="DF59" si="953">SUM(DG59:DH59)</f>
        <v>240.60047723415002</v>
      </c>
      <c r="DG59" s="3276">
        <f t="shared" ref="DG59" si="954">SUM(CX59)</f>
        <v>240.60047723415002</v>
      </c>
      <c r="DH59" s="3276">
        <f t="shared" ref="DH59" si="955">SUM(CY59)</f>
        <v>0</v>
      </c>
      <c r="DI59" s="3145">
        <f t="shared" ref="DI59" si="956">SUM(DJ59:DK59)</f>
        <v>0</v>
      </c>
      <c r="DJ59" s="3145">
        <f>SUM('ПОЛНАЯ СЕБЕСТОИМОСТЬ ВОДА 2019'!AY204)</f>
        <v>0</v>
      </c>
      <c r="DK59" s="3145">
        <f>SUM('ПОЛНАЯ СЕБЕСТОИМОСТЬ ВОДА 2019'!AZ204)</f>
        <v>0</v>
      </c>
      <c r="DL59" s="3146">
        <v>0</v>
      </c>
      <c r="DM59" s="3149">
        <f t="shared" ref="DM59" si="957">SUM(DL59-DN59)</f>
        <v>0</v>
      </c>
      <c r="DN59" s="3149">
        <f>SUM(DL59/DL15*DN15)</f>
        <v>0</v>
      </c>
      <c r="DO59" s="3120">
        <f t="shared" ref="DO59" si="958">SUM(CN59+CW59+DF59)</f>
        <v>721.80143170245003</v>
      </c>
      <c r="DP59" s="3120">
        <f t="shared" ref="DP59" si="959">SUM(CO59+CX59+DG59)</f>
        <v>721.80143170245003</v>
      </c>
      <c r="DQ59" s="3120">
        <f t="shared" ref="DQ59" si="960">SUM(CP59+CY59+DH59)</f>
        <v>0</v>
      </c>
      <c r="DR59" s="3147">
        <f t="shared" ref="DR59" si="961">SUM(CQ59+CZ59+DI59)</f>
        <v>0</v>
      </c>
      <c r="DS59" s="3147">
        <f t="shared" ref="DS59" si="962">SUM(CR59+DA59+DJ59)</f>
        <v>0</v>
      </c>
      <c r="DT59" s="3147">
        <f t="shared" ref="DT59" si="963">SUM(CS59+DB59+DK59)</f>
        <v>0</v>
      </c>
      <c r="DU59" s="3147">
        <f t="shared" ref="DU59" si="964">SUM(CT59+DC59+DL59)</f>
        <v>0</v>
      </c>
      <c r="DV59" s="3147">
        <f t="shared" ref="DV59" si="965">SUM(CU59+DD59+DM59)</f>
        <v>0</v>
      </c>
      <c r="DW59" s="3147">
        <f t="shared" ref="DW59" si="966">SUM(CV59+DE59+DN59)</f>
        <v>0</v>
      </c>
      <c r="DX59" s="3148">
        <f t="shared" ref="DX59" si="967">SUM(DR59-DO59)</f>
        <v>-721.80143170245003</v>
      </c>
      <c r="DY59" s="3148">
        <f t="shared" ref="DY59" si="968">SUM(DS59-DP59)</f>
        <v>-721.80143170245003</v>
      </c>
      <c r="DZ59" s="3148">
        <f t="shared" ref="DZ59" si="969">SUM(DT59-DQ59)</f>
        <v>0</v>
      </c>
      <c r="EA59" s="3120">
        <f t="shared" ref="EA59" si="970">SUM(CB59+DO59)</f>
        <v>2165.4042951073502</v>
      </c>
      <c r="EB59" s="3120">
        <f t="shared" ref="EB59" si="971">SUM(CC59+DP59)</f>
        <v>2165.4042951073502</v>
      </c>
      <c r="EC59" s="3120">
        <f t="shared" ref="EC59" si="972">SUM(CD59+DQ59)</f>
        <v>0</v>
      </c>
      <c r="ED59" s="3147">
        <f t="shared" ref="ED59" si="973">SUM(CE59+DR59)</f>
        <v>0</v>
      </c>
      <c r="EE59" s="3147">
        <f t="shared" ref="EE59" si="974">SUM(CF59+DS59)</f>
        <v>0</v>
      </c>
      <c r="EF59" s="3147">
        <f t="shared" ref="EF59" si="975">SUM(CG59+DT59)</f>
        <v>0</v>
      </c>
      <c r="EG59" s="3147">
        <f t="shared" ref="EG59" si="976">SUM(CH59+DU59)</f>
        <v>0</v>
      </c>
      <c r="EH59" s="3147">
        <f t="shared" ref="EH59" si="977">SUM(CI59+DV59)</f>
        <v>0</v>
      </c>
      <c r="EI59" s="3147">
        <f t="shared" ref="EI59" si="978">SUM(CJ59+DW59)</f>
        <v>0</v>
      </c>
      <c r="EJ59" s="3148">
        <f t="shared" ref="EJ59" si="979">SUM(ED59-EA59)</f>
        <v>-2165.4042951073502</v>
      </c>
      <c r="EK59" s="3148">
        <f t="shared" ref="EK59" si="980">SUM(EE59-EB59)</f>
        <v>-2165.4042951073502</v>
      </c>
      <c r="EL59" s="3148">
        <f t="shared" ref="EL59" si="981">SUM(EF59-EC59)</f>
        <v>0</v>
      </c>
      <c r="EM59" s="3276">
        <f t="shared" ref="EM59" si="982">SUM(EN59:EO59)</f>
        <v>240.60047723415002</v>
      </c>
      <c r="EN59" s="3276">
        <f>SUM('ПОЛНАЯ СЕБЕСТОИМОСТЬ ВОДА 2019'!BN204/3)</f>
        <v>240.60047723415002</v>
      </c>
      <c r="EO59" s="3276">
        <f>SUM('ПОЛНАЯ СЕБЕСТОИМОСТЬ ВОДА 2019'!BO204/3)</f>
        <v>0</v>
      </c>
      <c r="EP59" s="3145">
        <f t="shared" ref="EP59" si="983">SUM(EQ59:ER59)</f>
        <v>0</v>
      </c>
      <c r="EQ59" s="3145">
        <f>SUM('ПОЛНАЯ СЕБЕСТОИМОСТЬ ВОДА 2019'!BQ204)</f>
        <v>0</v>
      </c>
      <c r="ER59" s="3145">
        <f>SUM('ПОЛНАЯ СЕБЕСТОИМОСТЬ ВОДА 2019'!BR204)</f>
        <v>0</v>
      </c>
      <c r="ES59" s="3146">
        <v>0</v>
      </c>
      <c r="ET59" s="3149">
        <f t="shared" ref="ET59" si="984">SUM(ES59-EU59)</f>
        <v>0</v>
      </c>
      <c r="EU59" s="3149">
        <f>SUM(ES59/ES15*EU15)</f>
        <v>0</v>
      </c>
      <c r="EV59" s="3276">
        <f t="shared" ref="EV59" si="985">SUM(EW59:EX59)</f>
        <v>240.60047723415002</v>
      </c>
      <c r="EW59" s="3276">
        <f t="shared" ref="EW59" si="986">SUM(EN59)</f>
        <v>240.60047723415002</v>
      </c>
      <c r="EX59" s="3276">
        <f t="shared" ref="EX59" si="987">SUM(EO59)</f>
        <v>0</v>
      </c>
      <c r="EY59" s="3145">
        <f t="shared" ref="EY59" si="988">SUM(EZ59:FA59)</f>
        <v>0</v>
      </c>
      <c r="EZ59" s="3145">
        <f>SUM('ПОЛНАЯ СЕБЕСТОИМОСТЬ ВОДА 2019'!BT204)</f>
        <v>0</v>
      </c>
      <c r="FA59" s="3145">
        <f>SUM('ПОЛНАЯ СЕБЕСТОИМОСТЬ ВОДА 2019'!BU204)</f>
        <v>0</v>
      </c>
      <c r="FB59" s="3146">
        <v>0</v>
      </c>
      <c r="FC59" s="3149">
        <f t="shared" ref="FC59" si="989">SUM(FB59-FD59)</f>
        <v>0</v>
      </c>
      <c r="FD59" s="3149">
        <f>SUM(FB59/FB15*FD15)</f>
        <v>0</v>
      </c>
      <c r="FE59" s="3276">
        <f t="shared" ref="FE59" si="990">SUM(FF59:FG59)</f>
        <v>240.60047723415002</v>
      </c>
      <c r="FF59" s="3276">
        <f t="shared" ref="FF59" si="991">SUM(EW59)</f>
        <v>240.60047723415002</v>
      </c>
      <c r="FG59" s="3276">
        <f t="shared" ref="FG59" si="992">SUM(EX59)</f>
        <v>0</v>
      </c>
      <c r="FH59" s="3145">
        <f>SUM('[19]ПОЛНАЯ СЕБЕСТОИМОСТЬ ВОДА 2018'!Z205)</f>
        <v>0</v>
      </c>
      <c r="FI59" s="3145">
        <f>SUM('ПОЛНАЯ СЕБЕСТОИМОСТЬ ВОДА 2019'!BW204)</f>
        <v>0</v>
      </c>
      <c r="FJ59" s="3145">
        <f>SUM('ПОЛНАЯ СЕБЕСТОИМОСТЬ ВОДА 2019'!BX204)</f>
        <v>0</v>
      </c>
      <c r="FK59" s="3146">
        <v>0</v>
      </c>
      <c r="FL59" s="3149">
        <f t="shared" ref="FL59" si="993">SUM(FK59-FM59)</f>
        <v>0</v>
      </c>
      <c r="FM59" s="3149">
        <f>SUM(FK59/FK15*FM15)</f>
        <v>0</v>
      </c>
      <c r="FN59" s="3120">
        <f t="shared" ref="FN59" si="994">SUM(EM59+EV59+FE59)</f>
        <v>721.80143170245003</v>
      </c>
      <c r="FO59" s="3120">
        <f t="shared" ref="FO59" si="995">SUM(EN59+EW59+FF59)</f>
        <v>721.80143170245003</v>
      </c>
      <c r="FP59" s="3120">
        <f t="shared" ref="FP59" si="996">SUM(EO59+EX59+FG59)</f>
        <v>0</v>
      </c>
      <c r="FQ59" s="3126">
        <f t="shared" ref="FQ59" si="997">SUM(EP59+EY59+FH59)</f>
        <v>0</v>
      </c>
      <c r="FR59" s="3126">
        <f t="shared" ref="FR59" si="998">SUM(EQ59+EZ59+FI59)</f>
        <v>0</v>
      </c>
      <c r="FS59" s="3126">
        <f t="shared" ref="FS59" si="999">SUM(ER59+FA59+FJ59)</f>
        <v>0</v>
      </c>
      <c r="FT59" s="3126">
        <f t="shared" ref="FT59" si="1000">SUM(ES59+FB59+FK59)</f>
        <v>0</v>
      </c>
      <c r="FU59" s="3126">
        <f t="shared" ref="FU59" si="1001">SUM(ET59+FC59+FL59)</f>
        <v>0</v>
      </c>
      <c r="FV59" s="3126">
        <f t="shared" ref="FV59" si="1002">SUM(EU59+FD59+FM59)</f>
        <v>0</v>
      </c>
      <c r="FW59" s="3121">
        <f t="shared" ref="FW59" si="1003">SUM(FQ59-FN59)</f>
        <v>-721.80143170245003</v>
      </c>
      <c r="FX59" s="3121">
        <f t="shared" ref="FX59" si="1004">SUM(FR59-FO59)</f>
        <v>-721.80143170245003</v>
      </c>
      <c r="FY59" s="3121">
        <f t="shared" ref="FY59" si="1005">SUM(FS59-FP59)</f>
        <v>0</v>
      </c>
      <c r="FZ59" s="3227">
        <f t="shared" ref="FZ59" si="1006">SUM(EA59+FN59)</f>
        <v>2887.2057268098001</v>
      </c>
      <c r="GA59" s="3227">
        <f t="shared" ref="GA59" si="1007">SUM(EB59+FO59)</f>
        <v>2887.2057268098001</v>
      </c>
      <c r="GB59" s="3227">
        <f t="shared" ref="GB59" si="1008">SUM(EC59+FP59)</f>
        <v>0</v>
      </c>
      <c r="GC59" s="3232">
        <f t="shared" ref="GC59" si="1009">SUM(ED59+FQ59)</f>
        <v>0</v>
      </c>
      <c r="GD59" s="3232">
        <f t="shared" ref="GD59" si="1010">SUM(EE59+FR59)</f>
        <v>0</v>
      </c>
      <c r="GE59" s="3232">
        <f t="shared" ref="GE59" si="1011">SUM(EF59+FS59)</f>
        <v>0</v>
      </c>
      <c r="GF59" s="3232">
        <f t="shared" ref="GF59" si="1012">SUM(EG59+FT59)</f>
        <v>0</v>
      </c>
      <c r="GG59" s="3232">
        <f t="shared" ref="GG59" si="1013">SUM(EH59+FU59)</f>
        <v>0</v>
      </c>
      <c r="GH59" s="3232">
        <f t="shared" ref="GH59" si="1014">SUM(EI59+FV59)</f>
        <v>0</v>
      </c>
      <c r="GI59" s="3233">
        <f t="shared" ref="GI59" si="1015">SUM(GC59-FZ59)</f>
        <v>-2887.2057268098001</v>
      </c>
      <c r="GJ59" s="3233">
        <f t="shared" ref="GJ59" si="1016">SUM(GD59-GA59)</f>
        <v>-2887.2057268098001</v>
      </c>
      <c r="GK59" s="3233">
        <f t="shared" ref="GK59" si="1017">SUM(GE59-GB59)</f>
        <v>0</v>
      </c>
      <c r="GL59" s="396"/>
    </row>
    <row r="60" spans="1:194" ht="18.75" x14ac:dyDescent="0.3">
      <c r="A60" s="3135" t="s">
        <v>3618</v>
      </c>
      <c r="B60" s="3277">
        <f t="shared" si="731"/>
        <v>860.97241666666662</v>
      </c>
      <c r="C60" s="3277">
        <f>SUM('ПОЛНАЯ СЕБЕСТОИМОСТЬ ВОДА 2019'!C205/3)</f>
        <v>860.55631703530491</v>
      </c>
      <c r="D60" s="3277">
        <f>SUM('ПОЛНАЯ СЕБЕСТОИМОСТЬ ВОДА 2019'!D205/3)</f>
        <v>0.41609963136171052</v>
      </c>
      <c r="E60" s="3136">
        <f t="shared" si="732"/>
        <v>1289.635</v>
      </c>
      <c r="F60" s="3136">
        <f>SUM('ПОЛНАЯ СЕБЕСТОИМОСТЬ ВОДА 2019'!F205)</f>
        <v>1289.25</v>
      </c>
      <c r="G60" s="3136">
        <f>SUM('ПОЛНАЯ СЕБЕСТОИМОСТЬ ВОДА 2019'!G205)</f>
        <v>0.38500000000000001</v>
      </c>
      <c r="H60" s="3141">
        <f>SUM(H61:H66)</f>
        <v>1140.9899999999998</v>
      </c>
      <c r="I60" s="3141">
        <f t="shared" ref="I60:J60" si="1018">SUM(I61:I66)</f>
        <v>1140.4672721724748</v>
      </c>
      <c r="J60" s="3141">
        <f t="shared" si="1018"/>
        <v>0.52272782752518832</v>
      </c>
      <c r="K60" s="3277">
        <f t="shared" si="734"/>
        <v>860.97241666666662</v>
      </c>
      <c r="L60" s="3277">
        <f t="shared" si="735"/>
        <v>860.55631703530491</v>
      </c>
      <c r="M60" s="3277">
        <f t="shared" si="736"/>
        <v>0.41609963136171052</v>
      </c>
      <c r="N60" s="3136">
        <f t="shared" si="737"/>
        <v>1124.5250000000001</v>
      </c>
      <c r="O60" s="3136">
        <f>SUM('ПОЛНАЯ СЕБЕСТОИМОСТЬ ВОДА 2019'!I205)</f>
        <v>1124.22</v>
      </c>
      <c r="P60" s="3136">
        <f>SUM('ПОЛНАЯ СЕБЕСТОИМОСТЬ ВОДА 2019'!J205)</f>
        <v>0.30499999999999999</v>
      </c>
      <c r="Q60" s="3141">
        <f>SUM(Q61:Q66)</f>
        <v>1127.5999999999999</v>
      </c>
      <c r="R60" s="3141">
        <f t="shared" ref="R60:S60" si="1019">SUM(R61:R66)</f>
        <v>1126.9313058975185</v>
      </c>
      <c r="S60" s="3141">
        <f t="shared" si="1019"/>
        <v>0.6686941024816202</v>
      </c>
      <c r="T60" s="3277">
        <f t="shared" si="739"/>
        <v>860.97241666666662</v>
      </c>
      <c r="U60" s="3277">
        <f t="shared" si="740"/>
        <v>860.55631703530491</v>
      </c>
      <c r="V60" s="3277">
        <f t="shared" si="741"/>
        <v>0.41609963136171052</v>
      </c>
      <c r="W60" s="3136">
        <f t="shared" si="742"/>
        <v>1237.7259999999999</v>
      </c>
      <c r="X60" s="3136">
        <f>SUM('ПОЛНАЯ СЕБЕСТОИМОСТЬ ВОДА 2019'!L205)</f>
        <v>1237.4099999999999</v>
      </c>
      <c r="Y60" s="3136">
        <f>SUM('ПОЛНАЯ СЕБЕСТОИМОСТЬ ВОДА 2019'!M205)</f>
        <v>0.316</v>
      </c>
      <c r="Z60" s="3141">
        <f>SUM(Z61:Z66)</f>
        <v>1451.58</v>
      </c>
      <c r="AA60" s="3141">
        <f t="shared" ref="AA60:AB60" si="1020">SUM(AA61:AA66)</f>
        <v>1450.9584686777685</v>
      </c>
      <c r="AB60" s="3141">
        <f t="shared" si="1020"/>
        <v>0.6215313222315304</v>
      </c>
      <c r="AC60" s="3114">
        <f t="shared" si="744"/>
        <v>2582.91725</v>
      </c>
      <c r="AD60" s="3114">
        <f t="shared" si="745"/>
        <v>2581.6689511059149</v>
      </c>
      <c r="AE60" s="3114">
        <f t="shared" si="746"/>
        <v>1.2482988940851316</v>
      </c>
      <c r="AF60" s="3123">
        <f t="shared" si="747"/>
        <v>3651.8859999999995</v>
      </c>
      <c r="AG60" s="3123">
        <f t="shared" si="748"/>
        <v>3650.88</v>
      </c>
      <c r="AH60" s="3123">
        <f t="shared" si="749"/>
        <v>1.006</v>
      </c>
      <c r="AI60" s="3123">
        <f t="shared" si="750"/>
        <v>3720.1699999999996</v>
      </c>
      <c r="AJ60" s="3123">
        <f t="shared" si="751"/>
        <v>3718.3570467477616</v>
      </c>
      <c r="AK60" s="3123">
        <f t="shared" si="752"/>
        <v>1.8129532522383389</v>
      </c>
      <c r="AL60" s="3115">
        <f t="shared" si="753"/>
        <v>1068.9687499999995</v>
      </c>
      <c r="AM60" s="3115">
        <f t="shared" si="754"/>
        <v>1069.2110488940853</v>
      </c>
      <c r="AN60" s="3115">
        <f t="shared" si="755"/>
        <v>-0.24229889408513161</v>
      </c>
      <c r="AO60" s="3277">
        <f t="shared" si="756"/>
        <v>860.97241666666662</v>
      </c>
      <c r="AP60" s="3277">
        <f>SUM('ПОЛНАЯ СЕБЕСТОИМОСТЬ ВОДА 2019'!R205/3)</f>
        <v>860.55631703530491</v>
      </c>
      <c r="AQ60" s="3277">
        <f>SUM('ПОЛНАЯ СЕБЕСТОИМОСТЬ ВОДА 2019'!S205/3)</f>
        <v>0.41609963136171052</v>
      </c>
      <c r="AR60" s="3277">
        <f t="shared" si="757"/>
        <v>1304.8874999999998</v>
      </c>
      <c r="AS60" s="3277">
        <f>SUM('ПОЛНАЯ СЕБЕСТОИМОСТЬ ВОДА 2019'!U205)</f>
        <v>1304.58</v>
      </c>
      <c r="AT60" s="3277">
        <f>SUM('ПОЛНАЯ СЕБЕСТОИМОСТЬ ВОДА 2019'!V205)</f>
        <v>0.3075</v>
      </c>
      <c r="AU60" s="3469">
        <f>SUM(AU61:AU66)</f>
        <v>1169.93</v>
      </c>
      <c r="AV60" s="3469">
        <f t="shared" ref="AV60:AW60" si="1021">SUM(AV61:AV66)</f>
        <v>1168.7057471327832</v>
      </c>
      <c r="AW60" s="3469">
        <f t="shared" si="1021"/>
        <v>1.2242528672167476</v>
      </c>
      <c r="AX60" s="3277">
        <f t="shared" si="759"/>
        <v>860.97241666666662</v>
      </c>
      <c r="AY60" s="3277">
        <f t="shared" si="760"/>
        <v>860.55631703530491</v>
      </c>
      <c r="AZ60" s="3277">
        <f t="shared" si="761"/>
        <v>0.41609963136171052</v>
      </c>
      <c r="BA60" s="3277">
        <f t="shared" si="762"/>
        <v>1320.4290000000001</v>
      </c>
      <c r="BB60" s="3277">
        <f>SUM('ПОЛНАЯ СЕБЕСТОИМОСТЬ ВОДА 2019'!X205)</f>
        <v>1320.02</v>
      </c>
      <c r="BC60" s="3277">
        <f>SUM('ПОЛНАЯ СЕБЕСТОИМОСТЬ ВОДА 2019'!Y205)</f>
        <v>0.40900000000000003</v>
      </c>
      <c r="BD60" s="3141">
        <f>SUM(BD61:BD66)</f>
        <v>1094.9100000000001</v>
      </c>
      <c r="BE60" s="3141">
        <f t="shared" ref="BE60:BF60" si="1022">SUM(BE61:BE66)</f>
        <v>1094.535136914001</v>
      </c>
      <c r="BF60" s="3141">
        <f t="shared" si="1022"/>
        <v>0.37486308599899421</v>
      </c>
      <c r="BG60" s="3277">
        <f t="shared" si="764"/>
        <v>860.97241666666662</v>
      </c>
      <c r="BH60" s="3277">
        <f t="shared" si="765"/>
        <v>860.55631703530491</v>
      </c>
      <c r="BI60" s="3277">
        <f t="shared" si="766"/>
        <v>0.41609963136171052</v>
      </c>
      <c r="BJ60" s="3136">
        <f t="shared" si="767"/>
        <v>1336.056</v>
      </c>
      <c r="BK60" s="3136">
        <f>SUM('ПОЛНАЯ СЕБЕСТОИМОСТЬ ВОДА 2019'!AA205)</f>
        <v>1335.53</v>
      </c>
      <c r="BL60" s="3136">
        <f>SUM('ПОЛНАЯ СЕБЕСТОИМОСТЬ ВОДА 2019'!AB205)</f>
        <v>0.52600000000000002</v>
      </c>
      <c r="BM60" s="3141">
        <f>SUM(BM61:BM66)</f>
        <v>1272.1100000000001</v>
      </c>
      <c r="BN60" s="3141">
        <f t="shared" ref="BN60:BO60" si="1023">SUM(BN61:BN66)</f>
        <v>1271.7421673997833</v>
      </c>
      <c r="BO60" s="3141">
        <f t="shared" si="1023"/>
        <v>0.3678326002169483</v>
      </c>
      <c r="BP60" s="3114">
        <f t="shared" si="769"/>
        <v>2582.91725</v>
      </c>
      <c r="BQ60" s="3114">
        <f t="shared" si="770"/>
        <v>2581.6689511059149</v>
      </c>
      <c r="BR60" s="3114">
        <f t="shared" si="771"/>
        <v>1.2482988940851316</v>
      </c>
      <c r="BS60" s="3142">
        <f t="shared" si="772"/>
        <v>3961.3724999999999</v>
      </c>
      <c r="BT60" s="3142">
        <f t="shared" si="773"/>
        <v>3960.13</v>
      </c>
      <c r="BU60" s="3142">
        <f t="shared" si="774"/>
        <v>1.2425000000000002</v>
      </c>
      <c r="BV60" s="3142">
        <f t="shared" si="775"/>
        <v>3536.9500000000003</v>
      </c>
      <c r="BW60" s="3142">
        <f t="shared" si="776"/>
        <v>3534.9830514465675</v>
      </c>
      <c r="BX60" s="3142">
        <f t="shared" si="777"/>
        <v>1.96694855343269</v>
      </c>
      <c r="BY60" s="3143">
        <f t="shared" si="554"/>
        <v>1378.45525</v>
      </c>
      <c r="BZ60" s="3143">
        <f t="shared" si="778"/>
        <v>1378.4610488940853</v>
      </c>
      <c r="CA60" s="3143">
        <f t="shared" si="779"/>
        <v>-5.7988940851314563E-3</v>
      </c>
      <c r="CB60" s="3114">
        <f t="shared" si="780"/>
        <v>5165.8344999999999</v>
      </c>
      <c r="CC60" s="3114">
        <f t="shared" si="781"/>
        <v>5163.3379022118297</v>
      </c>
      <c r="CD60" s="3114">
        <f t="shared" si="782"/>
        <v>2.4965977881702632</v>
      </c>
      <c r="CE60" s="3142">
        <f t="shared" si="783"/>
        <v>7613.2584999999999</v>
      </c>
      <c r="CF60" s="3142">
        <f t="shared" si="784"/>
        <v>7611.01</v>
      </c>
      <c r="CG60" s="3142">
        <f t="shared" si="785"/>
        <v>2.2484999999999999</v>
      </c>
      <c r="CH60" s="3142">
        <f t="shared" si="786"/>
        <v>7257.12</v>
      </c>
      <c r="CI60" s="3142">
        <f t="shared" si="787"/>
        <v>7253.3400981943287</v>
      </c>
      <c r="CJ60" s="3142">
        <f t="shared" si="788"/>
        <v>3.7799018056710292</v>
      </c>
      <c r="CK60" s="3143">
        <f t="shared" si="566"/>
        <v>2447.424</v>
      </c>
      <c r="CL60" s="3143">
        <f t="shared" si="789"/>
        <v>2447.6720977881705</v>
      </c>
      <c r="CM60" s="3143">
        <f t="shared" si="790"/>
        <v>-0.24809778817026329</v>
      </c>
      <c r="CN60" s="3277">
        <f t="shared" si="791"/>
        <v>860.97241666666662</v>
      </c>
      <c r="CO60" s="3277">
        <f>SUM('ПОЛНАЯ СЕБЕСТОИМОСТЬ ВОДА 2019'!AP205/3)</f>
        <v>860.55631703530491</v>
      </c>
      <c r="CP60" s="3277">
        <f>SUM('ПОЛНАЯ СЕБЕСТОИМОСТЬ ВОДА 2019'!AQ205/3)</f>
        <v>0.41609963136171052</v>
      </c>
      <c r="CQ60" s="3136">
        <f t="shared" si="792"/>
        <v>1464.2629999999999</v>
      </c>
      <c r="CR60" s="3136">
        <f>SUM('ПОЛНАЯ СЕБЕСТОИМОСТЬ ВОДА 2019'!AS205)</f>
        <v>1463.8999999999999</v>
      </c>
      <c r="CS60" s="3136">
        <f>SUM('ПОЛНАЯ СЕБЕСТОИМОСТЬ ВОДА 2019'!AT205)</f>
        <v>0.36300000000000004</v>
      </c>
      <c r="CT60" s="3141">
        <f>SUM(CT61:CT66)</f>
        <v>1147.47</v>
      </c>
      <c r="CU60" s="3141">
        <f t="shared" ref="CU60:CV60" si="1024">SUM(CU61:CU66)</f>
        <v>1147.1733985657704</v>
      </c>
      <c r="CV60" s="3141">
        <f t="shared" si="1024"/>
        <v>0.2966014342295904</v>
      </c>
      <c r="CW60" s="3277">
        <f t="shared" si="794"/>
        <v>860.97241666666662</v>
      </c>
      <c r="CX60" s="3277">
        <f t="shared" si="795"/>
        <v>860.55631703530491</v>
      </c>
      <c r="CY60" s="3277">
        <f t="shared" si="796"/>
        <v>0.41609963136171052</v>
      </c>
      <c r="CZ60" s="3136">
        <f t="shared" si="797"/>
        <v>1274.557</v>
      </c>
      <c r="DA60" s="3136">
        <f>SUM('ПОЛНАЯ СЕБЕСТОИМОСТЬ ВОДА 2019'!AV205)</f>
        <v>1274.28</v>
      </c>
      <c r="DB60" s="3136">
        <f>SUM('ПОЛНАЯ СЕБЕСТОИМОСТЬ ВОДА 2019'!AW205)</f>
        <v>0.27700000000000002</v>
      </c>
      <c r="DC60" s="3141">
        <f>SUM(DC61:DC66)</f>
        <v>1310.9</v>
      </c>
      <c r="DD60" s="3141">
        <f t="shared" ref="DD60:DE60" si="1025">SUM(DD61:DD66)</f>
        <v>1310.5745252956035</v>
      </c>
      <c r="DE60" s="3141">
        <f t="shared" si="1025"/>
        <v>0.32547470439675308</v>
      </c>
      <c r="DF60" s="3277">
        <f t="shared" si="799"/>
        <v>860.97241666666662</v>
      </c>
      <c r="DG60" s="3277">
        <f t="shared" si="800"/>
        <v>860.55631703530491</v>
      </c>
      <c r="DH60" s="3277">
        <f t="shared" si="801"/>
        <v>0.41609963136171052</v>
      </c>
      <c r="DI60" s="3136">
        <f t="shared" si="802"/>
        <v>1192.5227</v>
      </c>
      <c r="DJ60" s="3136">
        <f>SUM('ПОЛНАЯ СЕБЕСТОИМОСТЬ ВОДА 2019'!AY205)</f>
        <v>1192.05</v>
      </c>
      <c r="DK60" s="3136">
        <f>SUM('ПОЛНАЯ СЕБЕСТОИМОСТЬ ВОДА 2019'!AZ205)</f>
        <v>0.47270000000000001</v>
      </c>
      <c r="DL60" s="3141">
        <f>SUM(DL61:DL66)</f>
        <v>1198.45</v>
      </c>
      <c r="DM60" s="3141">
        <f t="shared" ref="DM60:DN60" si="1026">SUM(DM61:DM66)</f>
        <v>1198.1146803345241</v>
      </c>
      <c r="DN60" s="3141">
        <f t="shared" si="1026"/>
        <v>0.33531966547587033</v>
      </c>
      <c r="DO60" s="3114">
        <f t="shared" si="804"/>
        <v>2582.91725</v>
      </c>
      <c r="DP60" s="3114">
        <f t="shared" si="805"/>
        <v>2581.6689511059149</v>
      </c>
      <c r="DQ60" s="3114">
        <f t="shared" si="806"/>
        <v>1.2482988940851316</v>
      </c>
      <c r="DR60" s="3142">
        <f t="shared" si="807"/>
        <v>3931.3426999999997</v>
      </c>
      <c r="DS60" s="3142">
        <f t="shared" si="808"/>
        <v>3930.2299999999996</v>
      </c>
      <c r="DT60" s="3142">
        <f t="shared" si="809"/>
        <v>1.1127000000000002</v>
      </c>
      <c r="DU60" s="3142">
        <f t="shared" si="810"/>
        <v>3656.8199999999997</v>
      </c>
      <c r="DV60" s="3142">
        <f t="shared" si="811"/>
        <v>3655.8626041958983</v>
      </c>
      <c r="DW60" s="3142">
        <f t="shared" si="812"/>
        <v>0.95739580410221381</v>
      </c>
      <c r="DX60" s="3143">
        <f t="shared" si="578"/>
        <v>1348.4254499999997</v>
      </c>
      <c r="DY60" s="3143">
        <f t="shared" si="813"/>
        <v>1348.5610488940847</v>
      </c>
      <c r="DZ60" s="3143">
        <f t="shared" si="814"/>
        <v>-0.13559889408513137</v>
      </c>
      <c r="EA60" s="3114">
        <f t="shared" si="815"/>
        <v>7748.7517499999994</v>
      </c>
      <c r="EB60" s="3114">
        <f t="shared" si="816"/>
        <v>7745.0068533177446</v>
      </c>
      <c r="EC60" s="3114">
        <f t="shared" si="817"/>
        <v>3.7448966822553951</v>
      </c>
      <c r="ED60" s="3142">
        <f t="shared" si="818"/>
        <v>11544.601199999999</v>
      </c>
      <c r="EE60" s="3142">
        <f t="shared" si="819"/>
        <v>11541.24</v>
      </c>
      <c r="EF60" s="3142">
        <f t="shared" si="820"/>
        <v>3.3612000000000002</v>
      </c>
      <c r="EG60" s="3142">
        <f t="shared" si="821"/>
        <v>10913.939999999999</v>
      </c>
      <c r="EH60" s="3142">
        <f t="shared" si="822"/>
        <v>10909.202702390226</v>
      </c>
      <c r="EI60" s="3142">
        <f t="shared" si="823"/>
        <v>4.7372976097732433</v>
      </c>
      <c r="EJ60" s="3143">
        <f t="shared" si="590"/>
        <v>3795.8494499999997</v>
      </c>
      <c r="EK60" s="3143">
        <f t="shared" si="590"/>
        <v>3796.2331466822552</v>
      </c>
      <c r="EL60" s="3143">
        <f t="shared" si="590"/>
        <v>-0.38369668225539488</v>
      </c>
      <c r="EM60" s="3277">
        <f t="shared" si="824"/>
        <v>860.97241666666662</v>
      </c>
      <c r="EN60" s="3277">
        <f>SUM('ПОЛНАЯ СЕБЕСТОИМОСТЬ ВОДА 2019'!BN205/3)</f>
        <v>860.55631703530491</v>
      </c>
      <c r="EO60" s="3277">
        <f>SUM('ПОЛНАЯ СЕБЕСТОИМОСТЬ ВОДА 2019'!BO205/3)</f>
        <v>0.41609963136171052</v>
      </c>
      <c r="EP60" s="3136">
        <f t="shared" si="825"/>
        <v>0</v>
      </c>
      <c r="EQ60" s="3136">
        <f>SUM('ПОЛНАЯ СЕБЕСТОИМОСТЬ ВОДА 2019'!BQ205)</f>
        <v>0</v>
      </c>
      <c r="ER60" s="3136">
        <f>SUM('ПОЛНАЯ СЕБЕСТОИМОСТЬ ВОДА 2019'!BR205)</f>
        <v>0</v>
      </c>
      <c r="ES60" s="3141">
        <f>SUM(ES61:ES66)</f>
        <v>1284.1300000000001</v>
      </c>
      <c r="ET60" s="3141">
        <f t="shared" ref="ET60:EU60" si="1027">SUM(ET61:ET66)</f>
        <v>1283.7684329975855</v>
      </c>
      <c r="EU60" s="3141">
        <f t="shared" si="1027"/>
        <v>0.36156700241456496</v>
      </c>
      <c r="EV60" s="3277">
        <f t="shared" si="827"/>
        <v>860.97241666666662</v>
      </c>
      <c r="EW60" s="3277">
        <f t="shared" si="828"/>
        <v>860.55631703530491</v>
      </c>
      <c r="EX60" s="3277">
        <f t="shared" si="829"/>
        <v>0.41609963136171052</v>
      </c>
      <c r="EY60" s="3136">
        <f t="shared" si="830"/>
        <v>0</v>
      </c>
      <c r="EZ60" s="3136">
        <f>SUM('ПОЛНАЯ СЕБЕСТОИМОСТЬ ВОДА 2019'!BT205)</f>
        <v>0</v>
      </c>
      <c r="FA60" s="3136">
        <f>SUM('ПОЛНАЯ СЕБЕСТОИМОСТЬ ВОДА 2019'!BU205)</f>
        <v>0</v>
      </c>
      <c r="FB60" s="3141">
        <f>SUM(FB61:FB66)</f>
        <v>1177.3400000000001</v>
      </c>
      <c r="FC60" s="3141">
        <f t="shared" ref="FC60:FD60" si="1028">SUM(FC61:FC66)</f>
        <v>1177.0070995731469</v>
      </c>
      <c r="FD60" s="3141">
        <f t="shared" si="1028"/>
        <v>0.33290042685328003</v>
      </c>
      <c r="FE60" s="3277">
        <f t="shared" si="832"/>
        <v>860.97241666666662</v>
      </c>
      <c r="FF60" s="3277">
        <f t="shared" si="833"/>
        <v>860.55631703530491</v>
      </c>
      <c r="FG60" s="3277">
        <f t="shared" si="834"/>
        <v>0.41609963136171052</v>
      </c>
      <c r="FH60" s="3136">
        <f>SUM('[19]ПОЛНАЯ СЕБЕСТОИМОСТЬ ВОДА 2018'!Z205)</f>
        <v>0</v>
      </c>
      <c r="FI60" s="3136">
        <f>SUM('ПОЛНАЯ СЕБЕСТОИМОСТЬ ВОДА 2019'!BW205)</f>
        <v>0</v>
      </c>
      <c r="FJ60" s="3136">
        <f>SUM('ПОЛНАЯ СЕБЕСТОИМОСТЬ ВОДА 2019'!BX205)</f>
        <v>0</v>
      </c>
      <c r="FK60" s="3141">
        <f>SUM(FK61:FK66)</f>
        <v>1570.78</v>
      </c>
      <c r="FL60" s="3141">
        <f t="shared" ref="FL60:FM60" si="1029">SUM(FL61:FL66)</f>
        <v>1570.78</v>
      </c>
      <c r="FM60" s="3141">
        <f t="shared" si="1029"/>
        <v>0</v>
      </c>
      <c r="FN60" s="3114">
        <f t="shared" si="836"/>
        <v>2582.91725</v>
      </c>
      <c r="FO60" s="3114">
        <f t="shared" si="837"/>
        <v>2581.6689511059149</v>
      </c>
      <c r="FP60" s="3114">
        <f t="shared" si="838"/>
        <v>1.2482988940851316</v>
      </c>
      <c r="FQ60" s="3123">
        <f t="shared" si="839"/>
        <v>0</v>
      </c>
      <c r="FR60" s="3123">
        <f t="shared" si="840"/>
        <v>0</v>
      </c>
      <c r="FS60" s="3123">
        <f t="shared" si="841"/>
        <v>0</v>
      </c>
      <c r="FT60" s="3123">
        <f t="shared" si="842"/>
        <v>4032.25</v>
      </c>
      <c r="FU60" s="3123">
        <f t="shared" si="843"/>
        <v>4031.5555325707319</v>
      </c>
      <c r="FV60" s="3123">
        <f t="shared" si="844"/>
        <v>0.69446742926784499</v>
      </c>
      <c r="FW60" s="3115">
        <f t="shared" si="600"/>
        <v>-2582.91725</v>
      </c>
      <c r="FX60" s="3115">
        <f t="shared" si="845"/>
        <v>-2581.6689511059149</v>
      </c>
      <c r="FY60" s="3115">
        <f t="shared" si="846"/>
        <v>-1.2482988940851316</v>
      </c>
      <c r="FZ60" s="3222">
        <f t="shared" si="847"/>
        <v>10331.669</v>
      </c>
      <c r="GA60" s="3222">
        <f t="shared" si="848"/>
        <v>10326.675804423659</v>
      </c>
      <c r="GB60" s="3222">
        <f t="shared" si="849"/>
        <v>4.9931955763405265</v>
      </c>
      <c r="GC60" s="3230">
        <f t="shared" si="850"/>
        <v>11544.601199999999</v>
      </c>
      <c r="GD60" s="3230">
        <f t="shared" si="851"/>
        <v>11541.24</v>
      </c>
      <c r="GE60" s="3230">
        <f t="shared" si="852"/>
        <v>3.3612000000000002</v>
      </c>
      <c r="GF60" s="3230">
        <f t="shared" si="853"/>
        <v>14946.189999999999</v>
      </c>
      <c r="GG60" s="3230">
        <f t="shared" si="854"/>
        <v>14940.758234960958</v>
      </c>
      <c r="GH60" s="3230">
        <f t="shared" si="855"/>
        <v>5.4317650390410881</v>
      </c>
      <c r="GI60" s="3231">
        <f t="shared" si="856"/>
        <v>1212.9321999999993</v>
      </c>
      <c r="GJ60" s="3231">
        <f t="shared" si="857"/>
        <v>1214.5641955763404</v>
      </c>
      <c r="GK60" s="3231">
        <f t="shared" si="858"/>
        <v>-1.6319955763405263</v>
      </c>
      <c r="GL60" s="396"/>
    </row>
    <row r="61" spans="1:194" ht="18.75" x14ac:dyDescent="0.3">
      <c r="A61" s="3079" t="s">
        <v>3605</v>
      </c>
      <c r="B61" s="3276">
        <f t="shared" si="731"/>
        <v>547.62083333333328</v>
      </c>
      <c r="C61" s="3276">
        <f>SUM('ПОЛНАЯ СЕБЕСТОИМОСТЬ ВОДА 2019'!C206/3)</f>
        <v>547.35617348771575</v>
      </c>
      <c r="D61" s="3276">
        <f>SUM('ПОЛНАЯ СЕБЕСТОИМОСТЬ ВОДА 2019'!D206/3)</f>
        <v>0.2646598456175776</v>
      </c>
      <c r="E61" s="3145">
        <f t="shared" si="732"/>
        <v>822.01599999999996</v>
      </c>
      <c r="F61" s="3145">
        <f>SUM('ПОЛНАЯ СЕБЕСТОИМОСТЬ ВОДА 2019'!F206)</f>
        <v>821.77</v>
      </c>
      <c r="G61" s="3145">
        <f>SUM('ПОЛНАЯ СЕБЕСТОИМОСТЬ ВОДА 2019'!G206)</f>
        <v>0.246</v>
      </c>
      <c r="H61" s="3146">
        <v>681.65</v>
      </c>
      <c r="I61" s="3149">
        <f t="shared" si="859"/>
        <v>681.34004971613058</v>
      </c>
      <c r="J61" s="3149">
        <f>SUM(H61/H14*J14)*1.03715170278</f>
        <v>0.3099502838693457</v>
      </c>
      <c r="K61" s="3276">
        <f t="shared" si="734"/>
        <v>547.62083333333328</v>
      </c>
      <c r="L61" s="3276">
        <f t="shared" si="735"/>
        <v>547.35617348771575</v>
      </c>
      <c r="M61" s="3276">
        <f t="shared" si="736"/>
        <v>0.2646598456175776</v>
      </c>
      <c r="N61" s="3145">
        <f t="shared" si="737"/>
        <v>705.66000000000008</v>
      </c>
      <c r="O61" s="3145">
        <f>SUM('ПОЛНАЯ СЕБЕСТОИМОСТЬ ВОДА 2019'!I206)</f>
        <v>705.47</v>
      </c>
      <c r="P61" s="3145">
        <f>SUM('ПОЛНАЯ СЕБЕСТОИМОСТЬ ВОДА 2019'!J206)</f>
        <v>0.19</v>
      </c>
      <c r="Q61" s="3146">
        <v>755.95</v>
      </c>
      <c r="R61" s="3149">
        <f t="shared" si="860"/>
        <v>755.50278933564994</v>
      </c>
      <c r="S61" s="3149">
        <f>SUM(Q61/Q14*S14)*1.03715170278</f>
        <v>0.44721066435015172</v>
      </c>
      <c r="T61" s="3276">
        <f t="shared" si="739"/>
        <v>547.62083333333328</v>
      </c>
      <c r="U61" s="3276">
        <f t="shared" si="740"/>
        <v>547.35617348771575</v>
      </c>
      <c r="V61" s="3276">
        <f t="shared" si="741"/>
        <v>0.2646598456175776</v>
      </c>
      <c r="W61" s="3145">
        <f t="shared" si="742"/>
        <v>729.36</v>
      </c>
      <c r="X61" s="3145">
        <f>SUM('ПОЛНАЯ СЕБЕСТОИМОСТЬ ВОДА 2019'!L206)</f>
        <v>729.17</v>
      </c>
      <c r="Y61" s="3145">
        <f>SUM('ПОЛНАЯ СЕБЕСТОИМОСТЬ ВОДА 2019'!M206)</f>
        <v>0.19</v>
      </c>
      <c r="Z61" s="3146">
        <v>737.78</v>
      </c>
      <c r="AA61" s="3149">
        <f t="shared" si="861"/>
        <v>737.47122747328922</v>
      </c>
      <c r="AB61" s="3149">
        <f>SUM(Z61/Z14*AB14)*1.03715170278</f>
        <v>0.30877252671075184</v>
      </c>
      <c r="AC61" s="3120">
        <f t="shared" si="744"/>
        <v>1642.8624999999997</v>
      </c>
      <c r="AD61" s="3120">
        <f t="shared" si="745"/>
        <v>1642.0685204631473</v>
      </c>
      <c r="AE61" s="3120">
        <f t="shared" si="746"/>
        <v>0.79397953685273281</v>
      </c>
      <c r="AF61" s="3126">
        <f t="shared" si="747"/>
        <v>2257.0360000000001</v>
      </c>
      <c r="AG61" s="3126">
        <f t="shared" si="748"/>
        <v>2256.41</v>
      </c>
      <c r="AH61" s="3126">
        <f t="shared" si="749"/>
        <v>0.626</v>
      </c>
      <c r="AI61" s="3126">
        <f t="shared" si="750"/>
        <v>2175.38</v>
      </c>
      <c r="AJ61" s="3126">
        <f t="shared" si="751"/>
        <v>2174.3140665250698</v>
      </c>
      <c r="AK61" s="3126">
        <f t="shared" si="752"/>
        <v>1.0659334749302491</v>
      </c>
      <c r="AL61" s="3121">
        <f t="shared" si="753"/>
        <v>614.17350000000033</v>
      </c>
      <c r="AM61" s="3121">
        <f t="shared" si="754"/>
        <v>614.3414795368526</v>
      </c>
      <c r="AN61" s="3121">
        <f t="shared" si="755"/>
        <v>-0.16797953685273281</v>
      </c>
      <c r="AO61" s="3276">
        <f t="shared" si="756"/>
        <v>547.62083333333328</v>
      </c>
      <c r="AP61" s="3276">
        <f>SUM('ПОЛНАЯ СЕБЕСТОИМОСТЬ ВОДА 2019'!R206/3)</f>
        <v>547.35617348771575</v>
      </c>
      <c r="AQ61" s="3276">
        <f>SUM('ПОЛНАЯ СЕБЕСТОИМОСТЬ ВОДА 2019'!S206/3)</f>
        <v>0.2646598456175776</v>
      </c>
      <c r="AR61" s="3276">
        <f t="shared" si="757"/>
        <v>750.05</v>
      </c>
      <c r="AS61" s="3276">
        <f>SUM('ПОЛНАЯ СЕБЕСТОИМОСТЬ ВОДА 2019'!U206)</f>
        <v>749.87</v>
      </c>
      <c r="AT61" s="3276">
        <f>SUM('ПОЛНАЯ СЕБЕСТОИМОСТЬ ВОДА 2019'!V206)</f>
        <v>0.18</v>
      </c>
      <c r="AU61" s="3461">
        <v>731.43</v>
      </c>
      <c r="AV61" s="3461">
        <f t="shared" si="862"/>
        <v>730.67262686138588</v>
      </c>
      <c r="AW61" s="3461">
        <f>SUM(AU61/AU14*AW14)*1.03715170278</f>
        <v>0.75737313861412736</v>
      </c>
      <c r="AX61" s="3276">
        <f t="shared" si="759"/>
        <v>547.62083333333328</v>
      </c>
      <c r="AY61" s="3276">
        <f t="shared" si="760"/>
        <v>547.35617348771575</v>
      </c>
      <c r="AZ61" s="3276">
        <f t="shared" si="761"/>
        <v>0.2646598456175776</v>
      </c>
      <c r="BA61" s="3276">
        <f t="shared" si="762"/>
        <v>853.63</v>
      </c>
      <c r="BB61" s="3276">
        <f>SUM('ПОЛНАЯ СЕБЕСТОИМОСТЬ ВОДА 2019'!X206)</f>
        <v>853.37</v>
      </c>
      <c r="BC61" s="3276">
        <f>SUM('ПОЛНАЯ СЕБЕСТОИМОСТЬ ВОДА 2019'!Y206)</f>
        <v>0.26</v>
      </c>
      <c r="BD61" s="3146">
        <v>746.69</v>
      </c>
      <c r="BE61" s="3149">
        <f t="shared" si="863"/>
        <v>746.43616316334567</v>
      </c>
      <c r="BF61" s="3149">
        <f>SUM(BD61/BD14*BF14)*1.03715170278</f>
        <v>0.25383683665436368</v>
      </c>
      <c r="BG61" s="3276">
        <f t="shared" si="764"/>
        <v>547.62083333333328</v>
      </c>
      <c r="BH61" s="3276">
        <f t="shared" si="765"/>
        <v>547.35617348771575</v>
      </c>
      <c r="BI61" s="3276">
        <f t="shared" si="766"/>
        <v>0.2646598456175776</v>
      </c>
      <c r="BJ61" s="3145">
        <f t="shared" si="767"/>
        <v>831.19</v>
      </c>
      <c r="BK61" s="3145">
        <f>SUM('ПОЛНАЯ СЕБЕСТОИМОСТЬ ВОДА 2019'!AA206)</f>
        <v>830.86</v>
      </c>
      <c r="BL61" s="3145">
        <f>SUM('ПОЛНАЯ СЕБЕСТОИМОСТЬ ВОДА 2019'!AB206)</f>
        <v>0.33</v>
      </c>
      <c r="BM61" s="3146">
        <v>875.19</v>
      </c>
      <c r="BN61" s="3149">
        <f t="shared" si="864"/>
        <v>874.93862012465991</v>
      </c>
      <c r="BO61" s="3149">
        <f>SUM(BM61/BM14*BO14)*1.03715170278</f>
        <v>0.25137987534015183</v>
      </c>
      <c r="BP61" s="3120">
        <f t="shared" si="769"/>
        <v>1642.8624999999997</v>
      </c>
      <c r="BQ61" s="3120">
        <f t="shared" si="770"/>
        <v>1642.0685204631473</v>
      </c>
      <c r="BR61" s="3120">
        <f t="shared" si="771"/>
        <v>0.79397953685273281</v>
      </c>
      <c r="BS61" s="3147">
        <f t="shared" si="772"/>
        <v>2434.87</v>
      </c>
      <c r="BT61" s="3147">
        <f t="shared" si="773"/>
        <v>2434.1</v>
      </c>
      <c r="BU61" s="3147">
        <f t="shared" si="774"/>
        <v>0.77</v>
      </c>
      <c r="BV61" s="3147">
        <f t="shared" si="775"/>
        <v>2353.31</v>
      </c>
      <c r="BW61" s="3147">
        <f t="shared" si="776"/>
        <v>2352.0474101493915</v>
      </c>
      <c r="BX61" s="3147">
        <f t="shared" si="777"/>
        <v>1.2625898506086428</v>
      </c>
      <c r="BY61" s="3148">
        <f t="shared" si="554"/>
        <v>792.00750000000016</v>
      </c>
      <c r="BZ61" s="3148">
        <f t="shared" si="778"/>
        <v>792.03147953685266</v>
      </c>
      <c r="CA61" s="3148">
        <f t="shared" si="779"/>
        <v>-2.3979536852732797E-2</v>
      </c>
      <c r="CB61" s="3120">
        <f t="shared" si="780"/>
        <v>3285.7249999999995</v>
      </c>
      <c r="CC61" s="3120">
        <f t="shared" si="781"/>
        <v>3284.1370409262945</v>
      </c>
      <c r="CD61" s="3120">
        <f t="shared" si="782"/>
        <v>1.5879590737054656</v>
      </c>
      <c r="CE61" s="3147">
        <f t="shared" si="783"/>
        <v>4691.9059999999999</v>
      </c>
      <c r="CF61" s="3147">
        <f t="shared" si="784"/>
        <v>4690.51</v>
      </c>
      <c r="CG61" s="3147">
        <f t="shared" si="785"/>
        <v>1.3959999999999999</v>
      </c>
      <c r="CH61" s="3147">
        <f t="shared" si="786"/>
        <v>4528.6900000000005</v>
      </c>
      <c r="CI61" s="3147">
        <f t="shared" si="787"/>
        <v>4526.3614766744613</v>
      </c>
      <c r="CJ61" s="3147">
        <f t="shared" si="788"/>
        <v>2.328523325538892</v>
      </c>
      <c r="CK61" s="3148">
        <f t="shared" si="566"/>
        <v>1406.1810000000005</v>
      </c>
      <c r="CL61" s="3148">
        <f t="shared" si="789"/>
        <v>1406.3729590737057</v>
      </c>
      <c r="CM61" s="3148">
        <f t="shared" si="790"/>
        <v>-0.19195907370546572</v>
      </c>
      <c r="CN61" s="3276">
        <f t="shared" si="791"/>
        <v>547.62083333333328</v>
      </c>
      <c r="CO61" s="3276">
        <f>SUM('ПОЛНАЯ СЕБЕСТОИМОСТЬ ВОДА 2019'!AP206/3)</f>
        <v>547.35617348771575</v>
      </c>
      <c r="CP61" s="3276">
        <f>SUM('ПОЛНАЯ СЕБЕСТОИМОСТЬ ВОДА 2019'!AQ206/3)</f>
        <v>0.2646598456175776</v>
      </c>
      <c r="CQ61" s="3145">
        <f t="shared" si="792"/>
        <v>931.84100000000001</v>
      </c>
      <c r="CR61" s="3145">
        <f>SUM('ПОЛНАЯ СЕБЕСТОИМОСТЬ ВОДА 2019'!AS206)</f>
        <v>931.61</v>
      </c>
      <c r="CS61" s="3145">
        <f>SUM('ПОЛНАЯ СЕБЕСТОИМОСТЬ ВОДА 2019'!AT206)</f>
        <v>0.23100000000000001</v>
      </c>
      <c r="CT61" s="3146">
        <v>732.49</v>
      </c>
      <c r="CU61" s="3149">
        <f t="shared" si="865"/>
        <v>732.30284146000611</v>
      </c>
      <c r="CV61" s="3149">
        <f>SUM(CT61/CT14*CV14)*1.03715170278</f>
        <v>0.18715853999385007</v>
      </c>
      <c r="CW61" s="3276">
        <f t="shared" si="794"/>
        <v>547.62083333333328</v>
      </c>
      <c r="CX61" s="3276">
        <f t="shared" si="795"/>
        <v>547.35617348771575</v>
      </c>
      <c r="CY61" s="3276">
        <f t="shared" si="796"/>
        <v>0.2646598456175776</v>
      </c>
      <c r="CZ61" s="3145">
        <f t="shared" si="797"/>
        <v>760.32499999999993</v>
      </c>
      <c r="DA61" s="3145">
        <f>SUM('ПОЛНАЯ СЕБЕСТОИМОСТЬ ВОДА 2019'!AV206)</f>
        <v>760.16</v>
      </c>
      <c r="DB61" s="3145">
        <f>SUM('ПОЛНАЯ СЕБЕСТОИМОСТЬ ВОДА 2019'!AW206)</f>
        <v>0.16500000000000001</v>
      </c>
      <c r="DC61" s="3146">
        <v>836.22</v>
      </c>
      <c r="DD61" s="3149">
        <f t="shared" si="866"/>
        <v>836.01475966942905</v>
      </c>
      <c r="DE61" s="3149">
        <f>SUM(DC61/DC14*DE14)*1.03715170278</f>
        <v>0.20524033057102237</v>
      </c>
      <c r="DF61" s="3276">
        <f t="shared" si="799"/>
        <v>547.62083333333328</v>
      </c>
      <c r="DG61" s="3276">
        <f t="shared" si="800"/>
        <v>547.35617348771575</v>
      </c>
      <c r="DH61" s="3276">
        <f t="shared" si="801"/>
        <v>0.2646598456175776</v>
      </c>
      <c r="DI61" s="3145">
        <f t="shared" si="802"/>
        <v>748.26</v>
      </c>
      <c r="DJ61" s="3145">
        <f>SUM('ПОЛНАЯ СЕБЕСТОИМОСТЬ ВОДА 2019'!AY206)</f>
        <v>747.96</v>
      </c>
      <c r="DK61" s="3145">
        <f>SUM('ПОЛНАЯ СЕБЕСТОИМОСТЬ ВОДА 2019'!AZ206)</f>
        <v>0.3</v>
      </c>
      <c r="DL61" s="3146">
        <v>748.57</v>
      </c>
      <c r="DM61" s="3149">
        <f t="shared" si="867"/>
        <v>748.36398253018137</v>
      </c>
      <c r="DN61" s="3149">
        <f>SUM(DL61/DL14*DN14)*1.03715170278</f>
        <v>0.20601746981867972</v>
      </c>
      <c r="DO61" s="3120">
        <f t="shared" si="804"/>
        <v>1642.8624999999997</v>
      </c>
      <c r="DP61" s="3120">
        <f t="shared" si="805"/>
        <v>1642.0685204631473</v>
      </c>
      <c r="DQ61" s="3120">
        <f t="shared" si="806"/>
        <v>0.79397953685273281</v>
      </c>
      <c r="DR61" s="3147">
        <f t="shared" si="807"/>
        <v>2440.4259999999999</v>
      </c>
      <c r="DS61" s="3147">
        <f t="shared" si="808"/>
        <v>2439.73</v>
      </c>
      <c r="DT61" s="3147">
        <f t="shared" si="809"/>
        <v>0.69599999999999995</v>
      </c>
      <c r="DU61" s="3147">
        <f t="shared" si="810"/>
        <v>2317.2800000000002</v>
      </c>
      <c r="DV61" s="3147">
        <f t="shared" si="811"/>
        <v>2316.6815836596165</v>
      </c>
      <c r="DW61" s="3147">
        <f t="shared" si="812"/>
        <v>0.59841634038355218</v>
      </c>
      <c r="DX61" s="3148">
        <f t="shared" si="578"/>
        <v>797.5635000000002</v>
      </c>
      <c r="DY61" s="3148">
        <f t="shared" si="813"/>
        <v>797.66147953685277</v>
      </c>
      <c r="DZ61" s="3148">
        <f t="shared" si="814"/>
        <v>-9.7979536852732863E-2</v>
      </c>
      <c r="EA61" s="3120">
        <f t="shared" si="815"/>
        <v>4928.5874999999996</v>
      </c>
      <c r="EB61" s="3120">
        <f t="shared" si="816"/>
        <v>4926.2055613894418</v>
      </c>
      <c r="EC61" s="3120">
        <f t="shared" si="817"/>
        <v>2.3819386105581986</v>
      </c>
      <c r="ED61" s="3147">
        <f t="shared" si="818"/>
        <v>7132.3320000000003</v>
      </c>
      <c r="EE61" s="3147">
        <f t="shared" si="819"/>
        <v>7130.24</v>
      </c>
      <c r="EF61" s="3147">
        <f t="shared" si="820"/>
        <v>2.0919999999999996</v>
      </c>
      <c r="EG61" s="3147">
        <f t="shared" si="821"/>
        <v>6845.9700000000012</v>
      </c>
      <c r="EH61" s="3147">
        <f t="shared" si="822"/>
        <v>6843.0430603340774</v>
      </c>
      <c r="EI61" s="3147">
        <f t="shared" si="823"/>
        <v>2.9269396659224443</v>
      </c>
      <c r="EJ61" s="3148">
        <f t="shared" si="590"/>
        <v>2203.7445000000007</v>
      </c>
      <c r="EK61" s="3148">
        <f t="shared" si="590"/>
        <v>2204.034438610558</v>
      </c>
      <c r="EL61" s="3148">
        <f t="shared" si="590"/>
        <v>-0.28993861055819892</v>
      </c>
      <c r="EM61" s="3276">
        <f t="shared" si="824"/>
        <v>547.62083333333328</v>
      </c>
      <c r="EN61" s="3276">
        <f>SUM('ПОЛНАЯ СЕБЕСТОИМОСТЬ ВОДА 2019'!BN206/3)</f>
        <v>547.35617348771575</v>
      </c>
      <c r="EO61" s="3276">
        <f>SUM('ПОЛНАЯ СЕБЕСТОИМОСТЬ ВОДА 2019'!BO206/3)</f>
        <v>0.2646598456175776</v>
      </c>
      <c r="EP61" s="3145">
        <f t="shared" si="825"/>
        <v>0</v>
      </c>
      <c r="EQ61" s="3145">
        <f>SUM('ПОЛНАЯ СЕБЕСТОИМОСТЬ ВОДА 2019'!BQ206)</f>
        <v>0</v>
      </c>
      <c r="ER61" s="3145">
        <f>SUM('ПОЛНАЯ СЕБЕСТОИМОСТЬ ВОДА 2019'!BR206)</f>
        <v>0</v>
      </c>
      <c r="ES61" s="3146">
        <v>744.85</v>
      </c>
      <c r="ET61" s="3149">
        <f t="shared" si="868"/>
        <v>744.64502979720726</v>
      </c>
      <c r="EU61" s="3149">
        <f>SUM(ES61/ES14*EU14)*1.03715170278</f>
        <v>0.20497020279273614</v>
      </c>
      <c r="EV61" s="3276">
        <f t="shared" si="827"/>
        <v>547.62083333333328</v>
      </c>
      <c r="EW61" s="3276">
        <f t="shared" si="828"/>
        <v>547.35617348771575</v>
      </c>
      <c r="EX61" s="3276">
        <f t="shared" si="829"/>
        <v>0.2646598456175776</v>
      </c>
      <c r="EY61" s="3145">
        <f t="shared" si="830"/>
        <v>0</v>
      </c>
      <c r="EZ61" s="3145">
        <f>SUM('ПОЛНАЯ СЕБЕСТОИМОСТЬ ВОДА 2019'!BT206)</f>
        <v>0</v>
      </c>
      <c r="FA61" s="3145">
        <f>SUM('ПОЛНАЯ СЕБЕСТОИМОСТЬ ВОДА 2019'!BU206)</f>
        <v>0</v>
      </c>
      <c r="FB61" s="3146">
        <v>781.13</v>
      </c>
      <c r="FC61" s="3149">
        <f t="shared" si="869"/>
        <v>780.91131381459866</v>
      </c>
      <c r="FD61" s="3149">
        <f>SUM(FB61/FB14*FD14)*1.03715170278</f>
        <v>0.21868618540136756</v>
      </c>
      <c r="FE61" s="3276">
        <f t="shared" si="832"/>
        <v>547.62083333333328</v>
      </c>
      <c r="FF61" s="3276">
        <f t="shared" si="833"/>
        <v>547.35617348771575</v>
      </c>
      <c r="FG61" s="3276">
        <f t="shared" si="834"/>
        <v>0.2646598456175776</v>
      </c>
      <c r="FH61" s="3145">
        <f>SUM('[19]ПОЛНАЯ СЕБЕСТОИМОСТЬ ВОДА 2018'!Z206)</f>
        <v>0</v>
      </c>
      <c r="FI61" s="3145">
        <f>SUM('ПОЛНАЯ СЕБЕСТОИМОСТЬ ВОДА 2019'!BW206)</f>
        <v>0</v>
      </c>
      <c r="FJ61" s="3145">
        <f>SUM('ПОЛНАЯ СЕБЕСТОИМОСТЬ ВОДА 2019'!BX206)</f>
        <v>0</v>
      </c>
      <c r="FK61" s="3146">
        <v>841.71</v>
      </c>
      <c r="FL61" s="3149">
        <f t="shared" si="870"/>
        <v>841.71</v>
      </c>
      <c r="FM61" s="3149">
        <f>SUM(FK61/FK14*FM14)*1.03715170278</f>
        <v>0</v>
      </c>
      <c r="FN61" s="3120">
        <f t="shared" si="836"/>
        <v>1642.8624999999997</v>
      </c>
      <c r="FO61" s="3120">
        <f t="shared" si="837"/>
        <v>1642.0685204631473</v>
      </c>
      <c r="FP61" s="3120">
        <f t="shared" si="838"/>
        <v>0.79397953685273281</v>
      </c>
      <c r="FQ61" s="3126">
        <f t="shared" si="839"/>
        <v>0</v>
      </c>
      <c r="FR61" s="3126">
        <f t="shared" si="840"/>
        <v>0</v>
      </c>
      <c r="FS61" s="3126">
        <f t="shared" si="841"/>
        <v>0</v>
      </c>
      <c r="FT61" s="3126">
        <f t="shared" si="842"/>
        <v>2367.69</v>
      </c>
      <c r="FU61" s="3126">
        <f t="shared" si="843"/>
        <v>2367.266343611806</v>
      </c>
      <c r="FV61" s="3126">
        <f t="shared" si="844"/>
        <v>0.42365638819410367</v>
      </c>
      <c r="FW61" s="3121">
        <f t="shared" si="600"/>
        <v>-1642.8624999999997</v>
      </c>
      <c r="FX61" s="3121">
        <f t="shared" si="845"/>
        <v>-1642.0685204631473</v>
      </c>
      <c r="FY61" s="3121">
        <f t="shared" si="846"/>
        <v>-0.79397953685273281</v>
      </c>
      <c r="FZ61" s="3227">
        <f t="shared" si="847"/>
        <v>6571.4499999999989</v>
      </c>
      <c r="GA61" s="3227">
        <f t="shared" si="848"/>
        <v>6568.274081852589</v>
      </c>
      <c r="GB61" s="3227">
        <f t="shared" si="849"/>
        <v>3.1759181474109313</v>
      </c>
      <c r="GC61" s="3232">
        <f t="shared" si="850"/>
        <v>7132.3320000000003</v>
      </c>
      <c r="GD61" s="3232">
        <f t="shared" si="851"/>
        <v>7130.24</v>
      </c>
      <c r="GE61" s="3232">
        <f t="shared" si="852"/>
        <v>2.0919999999999996</v>
      </c>
      <c r="GF61" s="3232">
        <f t="shared" si="853"/>
        <v>9213.6600000000017</v>
      </c>
      <c r="GG61" s="3232">
        <f t="shared" si="854"/>
        <v>9210.3094039458829</v>
      </c>
      <c r="GH61" s="3232">
        <f t="shared" si="855"/>
        <v>3.350596054116548</v>
      </c>
      <c r="GI61" s="3233">
        <f t="shared" si="856"/>
        <v>560.88200000000143</v>
      </c>
      <c r="GJ61" s="3233">
        <f t="shared" si="857"/>
        <v>561.96591814741078</v>
      </c>
      <c r="GK61" s="3233">
        <f t="shared" si="858"/>
        <v>-1.0839181474109316</v>
      </c>
      <c r="GL61" s="396"/>
    </row>
    <row r="62" spans="1:194" ht="18.75" x14ac:dyDescent="0.3">
      <c r="A62" s="3079" t="s">
        <v>3606</v>
      </c>
      <c r="B62" s="3276">
        <f t="shared" si="731"/>
        <v>164.28666666666666</v>
      </c>
      <c r="C62" s="3276">
        <f>SUM('ПОЛНАЯ СЕБЕСТОИМОСТЬ ВОДА 2019'!C207/3)</f>
        <v>164.20726851161044</v>
      </c>
      <c r="D62" s="3276">
        <f>SUM('ПОЛНАЯ СЕБЕСТОИМОСТЬ ВОДА 2019'!D207/3)</f>
        <v>7.9398155056238304E-2</v>
      </c>
      <c r="E62" s="3145">
        <f t="shared" si="732"/>
        <v>241.762</v>
      </c>
      <c r="F62" s="3145">
        <f>SUM('ПОЛНАЯ СЕБЕСТОИМОСТЬ ВОДА 2019'!F207)</f>
        <v>241.69</v>
      </c>
      <c r="G62" s="3145">
        <f>SUM('ПОЛНАЯ СЕБЕСТОИМОСТЬ ВОДА 2019'!G207)</f>
        <v>7.1999999999999995E-2</v>
      </c>
      <c r="H62" s="3146">
        <v>244.73</v>
      </c>
      <c r="I62" s="3149">
        <f t="shared" si="859"/>
        <v>244.62051630422681</v>
      </c>
      <c r="J62" s="3149">
        <f>SUM(H62/H14*J14)*1.02040816326</f>
        <v>0.10948369577317124</v>
      </c>
      <c r="K62" s="3276">
        <f t="shared" si="734"/>
        <v>164.28666666666666</v>
      </c>
      <c r="L62" s="3276">
        <f t="shared" si="735"/>
        <v>164.20726851161044</v>
      </c>
      <c r="M62" s="3276">
        <f t="shared" si="736"/>
        <v>7.9398155056238304E-2</v>
      </c>
      <c r="N62" s="3145">
        <f t="shared" si="737"/>
        <v>212.63800000000001</v>
      </c>
      <c r="O62" s="3145">
        <f>SUM('ПОЛНАЯ СЕБЕСТОИМОСТЬ ВОДА 2019'!I207)</f>
        <v>212.58</v>
      </c>
      <c r="P62" s="3145">
        <f>SUM('ПОЛНАЯ СЕБЕСТОИМОСТЬ ВОДА 2019'!J207)</f>
        <v>5.8000000000000003E-2</v>
      </c>
      <c r="Q62" s="3146">
        <v>227.64</v>
      </c>
      <c r="R62" s="3149">
        <f t="shared" si="860"/>
        <v>227.50750505887373</v>
      </c>
      <c r="S62" s="3149">
        <f>SUM(Q62/Q14*S14)*1.02040816326</f>
        <v>0.13249494112625138</v>
      </c>
      <c r="T62" s="3276">
        <f t="shared" si="739"/>
        <v>164.28666666666666</v>
      </c>
      <c r="U62" s="3276">
        <f t="shared" si="740"/>
        <v>164.20726851161044</v>
      </c>
      <c r="V62" s="3276">
        <f t="shared" si="741"/>
        <v>7.9398155056238304E-2</v>
      </c>
      <c r="W62" s="3145">
        <f t="shared" si="742"/>
        <v>215.96</v>
      </c>
      <c r="X62" s="3145">
        <f>SUM('ПОЛНАЯ СЕБЕСТОИМОСТЬ ВОДА 2019'!L207)</f>
        <v>215.9</v>
      </c>
      <c r="Y62" s="3145">
        <f>SUM('ПОЛНАЯ СЕБЕСТОИМОСТЬ ВОДА 2019'!M207)</f>
        <v>0.06</v>
      </c>
      <c r="Z62" s="3146">
        <v>221.86</v>
      </c>
      <c r="AA62" s="3149">
        <f t="shared" si="861"/>
        <v>221.76864708247999</v>
      </c>
      <c r="AB62" s="3149">
        <f>SUM(Z62/Z14*AB14)*1.02040816326</f>
        <v>9.1352917520020269E-2</v>
      </c>
      <c r="AC62" s="3120">
        <f t="shared" si="744"/>
        <v>492.86</v>
      </c>
      <c r="AD62" s="3120">
        <f t="shared" si="745"/>
        <v>492.62180553483131</v>
      </c>
      <c r="AE62" s="3120">
        <f t="shared" si="746"/>
        <v>0.2381944651687149</v>
      </c>
      <c r="AF62" s="3126">
        <f t="shared" si="747"/>
        <v>670.36</v>
      </c>
      <c r="AG62" s="3126">
        <f t="shared" si="748"/>
        <v>670.17</v>
      </c>
      <c r="AH62" s="3126">
        <f t="shared" si="749"/>
        <v>0.19</v>
      </c>
      <c r="AI62" s="3126">
        <f t="shared" si="750"/>
        <v>694.23</v>
      </c>
      <c r="AJ62" s="3126">
        <f t="shared" si="751"/>
        <v>693.89666844558053</v>
      </c>
      <c r="AK62" s="3126">
        <f t="shared" si="752"/>
        <v>0.3333315544194429</v>
      </c>
      <c r="AL62" s="3121">
        <f t="shared" si="753"/>
        <v>177.5</v>
      </c>
      <c r="AM62" s="3121">
        <f t="shared" si="754"/>
        <v>177.54819446516865</v>
      </c>
      <c r="AN62" s="3121">
        <f t="shared" si="755"/>
        <v>-4.8194465168714895E-2</v>
      </c>
      <c r="AO62" s="3276">
        <f t="shared" si="756"/>
        <v>164.28666666666666</v>
      </c>
      <c r="AP62" s="3276">
        <f>SUM('ПОЛНАЯ СЕБЕСТОИМОСТЬ ВОДА 2019'!R207/3)</f>
        <v>164.20726851161044</v>
      </c>
      <c r="AQ62" s="3276">
        <f>SUM('ПОЛНАЯ СЕБЕСТОИМОСТЬ ВОДА 2019'!S207/3)</f>
        <v>7.9398155056238304E-2</v>
      </c>
      <c r="AR62" s="3276">
        <f t="shared" si="757"/>
        <v>243.06</v>
      </c>
      <c r="AS62" s="3276">
        <f>SUM('ПОЛНАЯ СЕБЕСТОИМОСТЬ ВОДА 2019'!U207)</f>
        <v>243</v>
      </c>
      <c r="AT62" s="3276">
        <f>SUM('ПОЛНАЯ СЕБЕСТОИМОСТЬ ВОДА 2019'!V207)</f>
        <v>0.06</v>
      </c>
      <c r="AU62" s="3461">
        <v>219.05</v>
      </c>
      <c r="AV62" s="3461">
        <f t="shared" si="862"/>
        <v>218.82684222322516</v>
      </c>
      <c r="AW62" s="3461">
        <f>SUM(AU62/AU14*AW14)*1.02040816326</f>
        <v>0.22315777677484391</v>
      </c>
      <c r="AX62" s="3276">
        <f t="shared" si="759"/>
        <v>164.28666666666666</v>
      </c>
      <c r="AY62" s="3276">
        <f t="shared" si="760"/>
        <v>164.20726851161044</v>
      </c>
      <c r="AZ62" s="3276">
        <f t="shared" si="761"/>
        <v>7.9398155056238304E-2</v>
      </c>
      <c r="BA62" s="3276">
        <f t="shared" si="762"/>
        <v>256.08</v>
      </c>
      <c r="BB62" s="3276">
        <f>SUM('ПОЛНАЯ СЕБЕСТОИМОСТЬ ВОДА 2019'!X207)</f>
        <v>256</v>
      </c>
      <c r="BC62" s="3276">
        <f>SUM('ПОЛНАЯ СЕБЕСТОИМОСТЬ ВОДА 2019'!Y207)</f>
        <v>0.08</v>
      </c>
      <c r="BD62" s="3146">
        <v>225.47</v>
      </c>
      <c r="BE62" s="3149">
        <f t="shared" si="863"/>
        <v>225.39458899715814</v>
      </c>
      <c r="BF62" s="3149">
        <f>SUM(BD62/BD14*BF14)*1.02040816326</f>
        <v>7.5411002841860517E-2</v>
      </c>
      <c r="BG62" s="3276">
        <f t="shared" si="764"/>
        <v>164.28666666666666</v>
      </c>
      <c r="BH62" s="3276">
        <f t="shared" si="765"/>
        <v>164.20726851161044</v>
      </c>
      <c r="BI62" s="3276">
        <f t="shared" si="766"/>
        <v>7.9398155056238304E-2</v>
      </c>
      <c r="BJ62" s="3145">
        <f t="shared" si="767"/>
        <v>249.53</v>
      </c>
      <c r="BK62" s="3145">
        <f>SUM('ПОЛНАЯ СЕБЕСТОИМОСТЬ ВОДА 2019'!AA207)</f>
        <v>249.43</v>
      </c>
      <c r="BL62" s="3145">
        <f>SUM('ПОЛНАЯ СЕБЕСТОИМОСТЬ ВОДА 2019'!AB207)</f>
        <v>0.1</v>
      </c>
      <c r="BM62" s="3146">
        <v>264.56</v>
      </c>
      <c r="BN62" s="3149">
        <f t="shared" si="864"/>
        <v>264.48523747144293</v>
      </c>
      <c r="BO62" s="3149">
        <f>SUM(BM62/BM14*BO14)*1.02040816326</f>
        <v>7.4762528557098598E-2</v>
      </c>
      <c r="BP62" s="3120">
        <f t="shared" si="769"/>
        <v>492.86</v>
      </c>
      <c r="BQ62" s="3120">
        <f t="shared" si="770"/>
        <v>492.62180553483131</v>
      </c>
      <c r="BR62" s="3120">
        <f t="shared" si="771"/>
        <v>0.2381944651687149</v>
      </c>
      <c r="BS62" s="3147">
        <f t="shared" si="772"/>
        <v>748.67</v>
      </c>
      <c r="BT62" s="3147">
        <f t="shared" si="773"/>
        <v>748.43000000000006</v>
      </c>
      <c r="BU62" s="3147">
        <f t="shared" si="774"/>
        <v>0.24000000000000002</v>
      </c>
      <c r="BV62" s="3147">
        <f t="shared" si="775"/>
        <v>709.07999999999993</v>
      </c>
      <c r="BW62" s="3147">
        <f t="shared" si="776"/>
        <v>708.70666869182628</v>
      </c>
      <c r="BX62" s="3147">
        <f t="shared" si="777"/>
        <v>0.373331308173803</v>
      </c>
      <c r="BY62" s="3148">
        <f t="shared" si="554"/>
        <v>255.80999999999995</v>
      </c>
      <c r="BZ62" s="3148">
        <f t="shared" si="778"/>
        <v>255.80819446516875</v>
      </c>
      <c r="CA62" s="3148">
        <f t="shared" si="779"/>
        <v>1.8055348312851216E-3</v>
      </c>
      <c r="CB62" s="3120">
        <f t="shared" si="780"/>
        <v>985.72</v>
      </c>
      <c r="CC62" s="3120">
        <f t="shared" si="781"/>
        <v>985.24361106966262</v>
      </c>
      <c r="CD62" s="3120">
        <f t="shared" si="782"/>
        <v>0.47638893033742979</v>
      </c>
      <c r="CE62" s="3147">
        <f t="shared" si="783"/>
        <v>1419.03</v>
      </c>
      <c r="CF62" s="3147">
        <f t="shared" si="784"/>
        <v>1418.6</v>
      </c>
      <c r="CG62" s="3147">
        <f t="shared" si="785"/>
        <v>0.43000000000000005</v>
      </c>
      <c r="CH62" s="3147">
        <f t="shared" si="786"/>
        <v>1403.31</v>
      </c>
      <c r="CI62" s="3147">
        <f t="shared" si="787"/>
        <v>1402.6033371374069</v>
      </c>
      <c r="CJ62" s="3147">
        <f t="shared" si="788"/>
        <v>0.70666286259324584</v>
      </c>
      <c r="CK62" s="3148">
        <f t="shared" si="566"/>
        <v>433.30999999999995</v>
      </c>
      <c r="CL62" s="3148">
        <f t="shared" si="789"/>
        <v>433.35638893033729</v>
      </c>
      <c r="CM62" s="3148">
        <f t="shared" si="790"/>
        <v>-4.6388930337429746E-2</v>
      </c>
      <c r="CN62" s="3276">
        <f t="shared" si="791"/>
        <v>164.28666666666666</v>
      </c>
      <c r="CO62" s="3276">
        <f>SUM('ПОЛНАЯ СЕБЕСТОИМОСТЬ ВОДА 2019'!AP207/3)</f>
        <v>164.20726851161044</v>
      </c>
      <c r="CP62" s="3276">
        <f>SUM('ПОЛНАЯ СЕБЕСТОИМОСТЬ ВОДА 2019'!AQ207/3)</f>
        <v>7.9398155056238304E-2</v>
      </c>
      <c r="CQ62" s="3145">
        <f t="shared" si="792"/>
        <v>280.399</v>
      </c>
      <c r="CR62" s="3145">
        <f>SUM('ПОЛНАЯ СЕБЕСТОИМОСТЬ ВОДА 2019'!AS207)</f>
        <v>280.33</v>
      </c>
      <c r="CS62" s="3145">
        <f>SUM('ПОЛНАЯ СЕБЕСТОИМОСТЬ ВОДА 2019'!AT207)</f>
        <v>6.9000000000000006E-2</v>
      </c>
      <c r="CT62" s="3146">
        <v>219.76</v>
      </c>
      <c r="CU62" s="3149">
        <f t="shared" si="865"/>
        <v>219.70475560337488</v>
      </c>
      <c r="CV62" s="3149">
        <f>SUM(CT62/CT14*CV14)*1.02040816326</f>
        <v>5.5244396625118722E-2</v>
      </c>
      <c r="CW62" s="3276">
        <f t="shared" si="794"/>
        <v>164.28666666666666</v>
      </c>
      <c r="CX62" s="3276">
        <f t="shared" si="795"/>
        <v>164.20726851161044</v>
      </c>
      <c r="CY62" s="3276">
        <f t="shared" si="796"/>
        <v>7.9398155056238304E-2</v>
      </c>
      <c r="CZ62" s="3145">
        <f t="shared" si="797"/>
        <v>226.709</v>
      </c>
      <c r="DA62" s="3145">
        <f>SUM('ПОЛНАЯ СЕБЕСТОИМОСТЬ ВОДА 2019'!AV207)</f>
        <v>226.66</v>
      </c>
      <c r="DB62" s="3145">
        <f>SUM('ПОЛНАЯ СЕБЕСТОИМОСТЬ ВОДА 2019'!AW207)</f>
        <v>4.9000000000000002E-2</v>
      </c>
      <c r="DC62" s="3146">
        <v>250.39</v>
      </c>
      <c r="DD62" s="3149">
        <f t="shared" si="866"/>
        <v>250.32953684922276</v>
      </c>
      <c r="DE62" s="3149">
        <f>SUM(DC62/DC14*DE14)*1.02040816326</f>
        <v>6.0463150777237983E-2</v>
      </c>
      <c r="DF62" s="3276">
        <f t="shared" si="799"/>
        <v>164.28666666666666</v>
      </c>
      <c r="DG62" s="3276">
        <f t="shared" si="800"/>
        <v>164.20726851161044</v>
      </c>
      <c r="DH62" s="3276">
        <f t="shared" si="801"/>
        <v>7.9398155056238304E-2</v>
      </c>
      <c r="DI62" s="3145">
        <f t="shared" si="802"/>
        <v>223.54</v>
      </c>
      <c r="DJ62" s="3145">
        <f>SUM('ПОЛНАЯ СЕБЕСТОИМОСТЬ ВОДА 2019'!AY207)</f>
        <v>223.45</v>
      </c>
      <c r="DK62" s="3145">
        <f>SUM('ПОЛНАЯ СЕБЕСТОИМОСТЬ ВОДА 2019'!AZ207)</f>
        <v>0.09</v>
      </c>
      <c r="DL62" s="3146">
        <v>213.55</v>
      </c>
      <c r="DM62" s="3149">
        <f t="shared" si="867"/>
        <v>213.49217670360559</v>
      </c>
      <c r="DN62" s="3149">
        <f>SUM(DL62/DL14*DN14)*1.02040816326</f>
        <v>5.7823296394424295E-2</v>
      </c>
      <c r="DO62" s="3120">
        <f t="shared" si="804"/>
        <v>492.86</v>
      </c>
      <c r="DP62" s="3120">
        <f t="shared" si="805"/>
        <v>492.62180553483131</v>
      </c>
      <c r="DQ62" s="3120">
        <f t="shared" si="806"/>
        <v>0.2381944651687149</v>
      </c>
      <c r="DR62" s="3147">
        <f t="shared" si="807"/>
        <v>730.64800000000002</v>
      </c>
      <c r="DS62" s="3147">
        <f t="shared" si="808"/>
        <v>730.44</v>
      </c>
      <c r="DT62" s="3147">
        <f t="shared" si="809"/>
        <v>0.20800000000000002</v>
      </c>
      <c r="DU62" s="3147">
        <f t="shared" si="810"/>
        <v>683.7</v>
      </c>
      <c r="DV62" s="3147">
        <f t="shared" si="811"/>
        <v>683.52646915620323</v>
      </c>
      <c r="DW62" s="3147">
        <f t="shared" si="812"/>
        <v>0.17353084379678099</v>
      </c>
      <c r="DX62" s="3148">
        <f t="shared" si="578"/>
        <v>237.78800000000001</v>
      </c>
      <c r="DY62" s="3148">
        <f t="shared" si="813"/>
        <v>237.81819446516874</v>
      </c>
      <c r="DZ62" s="3148">
        <f t="shared" si="814"/>
        <v>-3.0194465168714879E-2</v>
      </c>
      <c r="EA62" s="3120">
        <f t="shared" si="815"/>
        <v>1478.58</v>
      </c>
      <c r="EB62" s="3120">
        <f t="shared" si="816"/>
        <v>1477.8654166044939</v>
      </c>
      <c r="EC62" s="3120">
        <f t="shared" si="817"/>
        <v>0.71458339550614469</v>
      </c>
      <c r="ED62" s="3147">
        <f t="shared" si="818"/>
        <v>2149.6779999999999</v>
      </c>
      <c r="EE62" s="3147">
        <f t="shared" si="819"/>
        <v>2149.04</v>
      </c>
      <c r="EF62" s="3147">
        <f t="shared" si="820"/>
        <v>0.63800000000000012</v>
      </c>
      <c r="EG62" s="3147">
        <f t="shared" si="821"/>
        <v>2087.0100000000002</v>
      </c>
      <c r="EH62" s="3147">
        <f t="shared" si="822"/>
        <v>2086.1298062936103</v>
      </c>
      <c r="EI62" s="3147">
        <f t="shared" si="823"/>
        <v>0.88019370639002681</v>
      </c>
      <c r="EJ62" s="3148">
        <f t="shared" si="590"/>
        <v>671.09799999999996</v>
      </c>
      <c r="EK62" s="3148">
        <f t="shared" si="590"/>
        <v>671.17458339550603</v>
      </c>
      <c r="EL62" s="3148">
        <f t="shared" si="590"/>
        <v>-7.6583395506144569E-2</v>
      </c>
      <c r="EM62" s="3276">
        <f t="shared" si="824"/>
        <v>164.28666666666666</v>
      </c>
      <c r="EN62" s="3276">
        <f>SUM('ПОЛНАЯ СЕБЕСТОИМОСТЬ ВОДА 2019'!BN207/3)</f>
        <v>164.20726851161044</v>
      </c>
      <c r="EO62" s="3276">
        <f>SUM('ПОЛНАЯ СЕБЕСТОИМОСТЬ ВОДА 2019'!BO207/3)</f>
        <v>7.9398155056238304E-2</v>
      </c>
      <c r="EP62" s="3145">
        <f t="shared" si="825"/>
        <v>0</v>
      </c>
      <c r="EQ62" s="3145">
        <f>SUM('ПОЛНАЯ СЕБЕСТОИМОСТЬ ВОДА 2019'!BQ207)</f>
        <v>0</v>
      </c>
      <c r="ER62" s="3145">
        <f>SUM('ПОЛНАЯ СЕБЕСТОИМОСТЬ ВОДА 2019'!BR207)</f>
        <v>0</v>
      </c>
      <c r="ES62" s="3146">
        <v>210.42</v>
      </c>
      <c r="ET62" s="3149">
        <f t="shared" si="868"/>
        <v>210.3630307417946</v>
      </c>
      <c r="EU62" s="3149">
        <f>SUM(ES62/ES14*EU14)*1.02040816326</f>
        <v>5.6969258205380589E-2</v>
      </c>
      <c r="EV62" s="3276">
        <f t="shared" si="827"/>
        <v>164.28666666666666</v>
      </c>
      <c r="EW62" s="3276">
        <f t="shared" si="828"/>
        <v>164.20726851161044</v>
      </c>
      <c r="EX62" s="3276">
        <f t="shared" si="829"/>
        <v>7.9398155056238304E-2</v>
      </c>
      <c r="EY62" s="3145">
        <f t="shared" si="830"/>
        <v>0</v>
      </c>
      <c r="EZ62" s="3145">
        <f>SUM('ПОЛНАЯ СЕБЕСТОИМОСТЬ ВОДА 2019'!BT207)</f>
        <v>0</v>
      </c>
      <c r="FA62" s="3145">
        <f>SUM('ПОЛНАЯ СЕБЕСТОИМОСТЬ ВОДА 2019'!BU207)</f>
        <v>0</v>
      </c>
      <c r="FB62" s="3146">
        <v>221.21</v>
      </c>
      <c r="FC62" s="3149">
        <f t="shared" si="869"/>
        <v>221.1490695442063</v>
      </c>
      <c r="FD62" s="3149">
        <f>SUM(FB62/FB14*FD14)*1.02040816326</f>
        <v>6.0930455793702355E-2</v>
      </c>
      <c r="FE62" s="3276">
        <f t="shared" si="832"/>
        <v>164.28666666666666</v>
      </c>
      <c r="FF62" s="3276">
        <f t="shared" si="833"/>
        <v>164.20726851161044</v>
      </c>
      <c r="FG62" s="3276">
        <f t="shared" si="834"/>
        <v>7.9398155056238304E-2</v>
      </c>
      <c r="FH62" s="3145">
        <f>SUM('[19]ПОЛНАЯ СЕБЕСТОИМОСТЬ ВОДА 2018'!Z207)</f>
        <v>0</v>
      </c>
      <c r="FI62" s="3145">
        <f>SUM('ПОЛНАЯ СЕБЕСТОИМОСТЬ ВОДА 2019'!BW207)</f>
        <v>0</v>
      </c>
      <c r="FJ62" s="3145">
        <f>SUM('ПОЛНАЯ СЕБЕСТОИМОСТЬ ВОДА 2019'!BX207)</f>
        <v>0</v>
      </c>
      <c r="FK62" s="3146">
        <v>236.1</v>
      </c>
      <c r="FL62" s="3149">
        <f t="shared" si="870"/>
        <v>236.1</v>
      </c>
      <c r="FM62" s="3149">
        <f>SUM(FK62/FK14*FM14)*1.02040816326</f>
        <v>0</v>
      </c>
      <c r="FN62" s="3120">
        <f t="shared" si="836"/>
        <v>492.86</v>
      </c>
      <c r="FO62" s="3120">
        <f t="shared" si="837"/>
        <v>492.62180553483131</v>
      </c>
      <c r="FP62" s="3120">
        <f t="shared" si="838"/>
        <v>0.2381944651687149</v>
      </c>
      <c r="FQ62" s="3126">
        <f t="shared" si="839"/>
        <v>0</v>
      </c>
      <c r="FR62" s="3126">
        <f t="shared" si="840"/>
        <v>0</v>
      </c>
      <c r="FS62" s="3126">
        <f t="shared" si="841"/>
        <v>0</v>
      </c>
      <c r="FT62" s="3126">
        <f t="shared" si="842"/>
        <v>667.73</v>
      </c>
      <c r="FU62" s="3126">
        <f t="shared" si="843"/>
        <v>667.6121002860009</v>
      </c>
      <c r="FV62" s="3126">
        <f t="shared" si="844"/>
        <v>0.11789971399908294</v>
      </c>
      <c r="FW62" s="3121">
        <f t="shared" si="600"/>
        <v>-492.86</v>
      </c>
      <c r="FX62" s="3121">
        <f t="shared" si="845"/>
        <v>-492.62180553483131</v>
      </c>
      <c r="FY62" s="3121">
        <f t="shared" si="846"/>
        <v>-0.2381944651687149</v>
      </c>
      <c r="FZ62" s="3227">
        <f t="shared" si="847"/>
        <v>1971.44</v>
      </c>
      <c r="GA62" s="3227">
        <f t="shared" si="848"/>
        <v>1970.4872221393252</v>
      </c>
      <c r="GB62" s="3227">
        <f t="shared" si="849"/>
        <v>0.95277786067485959</v>
      </c>
      <c r="GC62" s="3232">
        <f t="shared" si="850"/>
        <v>2149.6779999999999</v>
      </c>
      <c r="GD62" s="3232">
        <f t="shared" si="851"/>
        <v>2149.04</v>
      </c>
      <c r="GE62" s="3232">
        <f t="shared" si="852"/>
        <v>0.63800000000000012</v>
      </c>
      <c r="GF62" s="3232">
        <f t="shared" si="853"/>
        <v>2754.7400000000002</v>
      </c>
      <c r="GG62" s="3232">
        <f t="shared" si="854"/>
        <v>2753.7419065796112</v>
      </c>
      <c r="GH62" s="3232">
        <f t="shared" si="855"/>
        <v>0.99809342038910975</v>
      </c>
      <c r="GI62" s="3233">
        <f t="shared" si="856"/>
        <v>178.23799999999983</v>
      </c>
      <c r="GJ62" s="3233">
        <f t="shared" si="857"/>
        <v>178.55277786067472</v>
      </c>
      <c r="GK62" s="3233">
        <f t="shared" si="858"/>
        <v>-0.31477786067485947</v>
      </c>
      <c r="GL62" s="396"/>
    </row>
    <row r="63" spans="1:194" ht="18.75" x14ac:dyDescent="0.3">
      <c r="A63" s="3079" t="s">
        <v>280</v>
      </c>
      <c r="B63" s="3276">
        <f t="shared" si="731"/>
        <v>1.2965833333333334</v>
      </c>
      <c r="C63" s="3276">
        <f>SUM('ПОЛНАЯ СЕБЕСТОИМОСТЬ ВОДА 2019'!C208/3)</f>
        <v>1.2959567071643807</v>
      </c>
      <c r="D63" s="3276">
        <f>SUM('ПОЛНАЯ СЕБЕСТОИМОСТЬ ВОДА 2019'!D208/3)</f>
        <v>6.2662616895264975E-4</v>
      </c>
      <c r="E63" s="3145">
        <f t="shared" si="732"/>
        <v>6.9219999999999997</v>
      </c>
      <c r="F63" s="3145">
        <f>SUM('ПОЛНАЯ СЕБЕСТОИМОСТЬ ВОДА 2019'!F208)</f>
        <v>6.92</v>
      </c>
      <c r="G63" s="3145">
        <f>SUM('ПОЛНАЯ СЕБЕСТОИМОСТЬ ВОДА 2019'!G208)</f>
        <v>2E-3</v>
      </c>
      <c r="H63" s="3146">
        <v>0.13</v>
      </c>
      <c r="I63" s="3149">
        <f t="shared" si="859"/>
        <v>0.12988601133623526</v>
      </c>
      <c r="J63" s="3149">
        <f>SUM(H63/H14*J14)*2</f>
        <v>1.1398866376475748E-4</v>
      </c>
      <c r="K63" s="3276">
        <f t="shared" si="734"/>
        <v>1.2965833333333334</v>
      </c>
      <c r="L63" s="3276">
        <f t="shared" si="735"/>
        <v>1.2959567071643807</v>
      </c>
      <c r="M63" s="3276">
        <f t="shared" si="736"/>
        <v>6.2662616895264975E-4</v>
      </c>
      <c r="N63" s="3145">
        <f t="shared" si="737"/>
        <v>6.1019999999999994</v>
      </c>
      <c r="O63" s="3145">
        <f>SUM('ПОЛНАЯ СЕБЕСТОИМОСТЬ ВОДА 2019'!I208)</f>
        <v>6.1</v>
      </c>
      <c r="P63" s="3145">
        <f>SUM('ПОЛНАЯ СЕБЕСТОИМОСТЬ ВОДА 2019'!J208)</f>
        <v>2E-3</v>
      </c>
      <c r="Q63" s="3146">
        <v>0.11</v>
      </c>
      <c r="R63" s="3149">
        <f t="shared" si="860"/>
        <v>0.10987451278638653</v>
      </c>
      <c r="S63" s="3149">
        <f>SUM(Q63/Q14*S14)*2</f>
        <v>1.2548721361346134E-4</v>
      </c>
      <c r="T63" s="3276">
        <f t="shared" si="739"/>
        <v>1.2965833333333334</v>
      </c>
      <c r="U63" s="3276">
        <f t="shared" si="740"/>
        <v>1.2959567071643807</v>
      </c>
      <c r="V63" s="3276">
        <f t="shared" si="741"/>
        <v>6.2662616895264975E-4</v>
      </c>
      <c r="W63" s="3145">
        <f t="shared" si="742"/>
        <v>6.0019999999999998</v>
      </c>
      <c r="X63" s="3145">
        <f>SUM('ПОЛНАЯ СЕБЕСТОИМОСТЬ ВОДА 2019'!L208)</f>
        <v>6</v>
      </c>
      <c r="Y63" s="3145">
        <f>SUM('ПОЛНАЯ СЕБЕСТОИМОСТЬ ВОДА 2019'!M208)</f>
        <v>2E-3</v>
      </c>
      <c r="Z63" s="3146">
        <v>2.37</v>
      </c>
      <c r="AA63" s="3149">
        <f t="shared" si="861"/>
        <v>2.3680872957159189</v>
      </c>
      <c r="AB63" s="3149">
        <f>SUM(Z63/Z14*AB14)*2</f>
        <v>1.9127042840809733E-3</v>
      </c>
      <c r="AC63" s="3120">
        <f t="shared" si="744"/>
        <v>3.8897500000000003</v>
      </c>
      <c r="AD63" s="3120">
        <f t="shared" si="745"/>
        <v>3.8878701214931422</v>
      </c>
      <c r="AE63" s="3120">
        <f t="shared" si="746"/>
        <v>1.8798785068579492E-3</v>
      </c>
      <c r="AF63" s="3126">
        <f t="shared" si="747"/>
        <v>19.026</v>
      </c>
      <c r="AG63" s="3126">
        <f t="shared" si="748"/>
        <v>19.02</v>
      </c>
      <c r="AH63" s="3126">
        <f t="shared" si="749"/>
        <v>6.0000000000000001E-3</v>
      </c>
      <c r="AI63" s="3126">
        <f t="shared" si="750"/>
        <v>2.6100000000000003</v>
      </c>
      <c r="AJ63" s="3126">
        <f t="shared" si="751"/>
        <v>2.6078478198385406</v>
      </c>
      <c r="AK63" s="3126">
        <f t="shared" si="752"/>
        <v>2.152180161459192E-3</v>
      </c>
      <c r="AL63" s="3121">
        <f t="shared" si="753"/>
        <v>15.13625</v>
      </c>
      <c r="AM63" s="3121">
        <f t="shared" si="754"/>
        <v>15.132129878506857</v>
      </c>
      <c r="AN63" s="3121">
        <f t="shared" si="755"/>
        <v>4.1201214931420507E-3</v>
      </c>
      <c r="AO63" s="3276">
        <f t="shared" si="756"/>
        <v>1.2965833333333334</v>
      </c>
      <c r="AP63" s="3276">
        <f>SUM('ПОЛНАЯ СЕБЕСТОИМОСТЬ ВОДА 2019'!R208/3)</f>
        <v>1.2959567071643807</v>
      </c>
      <c r="AQ63" s="3276">
        <f>SUM('ПОЛНАЯ СЕБЕСТОИМОСТЬ ВОДА 2019'!S208/3)</f>
        <v>6.2662616895264975E-4</v>
      </c>
      <c r="AR63" s="3276">
        <f t="shared" si="757"/>
        <v>6.1310000000000002</v>
      </c>
      <c r="AS63" s="3276">
        <f>SUM('ПОЛНАЯ СЕБЕСТОИМОСТЬ ВОДА 2019'!U208)</f>
        <v>6.13</v>
      </c>
      <c r="AT63" s="3276">
        <f>SUM('ПОЛНАЯ СЕБЕСТОИМОСТЬ ВОДА 2019'!V208)</f>
        <v>1E-3</v>
      </c>
      <c r="AU63" s="3461">
        <v>2.57</v>
      </c>
      <c r="AV63" s="3461">
        <f t="shared" si="862"/>
        <v>2.5648683389492075</v>
      </c>
      <c r="AW63" s="3461">
        <f>SUM(AU63/AU14*AW14)*2</f>
        <v>5.1316610507924623E-3</v>
      </c>
      <c r="AX63" s="3276">
        <f t="shared" si="759"/>
        <v>1.2965833333333334</v>
      </c>
      <c r="AY63" s="3276">
        <f t="shared" si="760"/>
        <v>1.2959567071643807</v>
      </c>
      <c r="AZ63" s="3276">
        <f t="shared" si="761"/>
        <v>6.2662616895264975E-4</v>
      </c>
      <c r="BA63" s="3276">
        <f t="shared" si="762"/>
        <v>5.9119999999999999</v>
      </c>
      <c r="BB63" s="3276">
        <f>SUM('ПОЛНАЯ СЕБЕСТОИМОСТЬ ВОДА 2019'!X208)</f>
        <v>5.91</v>
      </c>
      <c r="BC63" s="3276">
        <f>SUM('ПОЛНАЯ СЕБЕСТОИМОСТЬ ВОДА 2019'!Y208)</f>
        <v>2E-3</v>
      </c>
      <c r="BD63" s="3146">
        <v>2.76</v>
      </c>
      <c r="BE63" s="3149">
        <f t="shared" si="863"/>
        <v>2.7581906978268704</v>
      </c>
      <c r="BF63" s="3149">
        <f>SUM(BD63/BD14*BF14)*2</f>
        <v>1.8093021731292406E-3</v>
      </c>
      <c r="BG63" s="3276">
        <f t="shared" si="764"/>
        <v>1.2965833333333334</v>
      </c>
      <c r="BH63" s="3276">
        <f t="shared" si="765"/>
        <v>1.2959567071643807</v>
      </c>
      <c r="BI63" s="3276">
        <f t="shared" si="766"/>
        <v>6.2662616895264975E-4</v>
      </c>
      <c r="BJ63" s="3145">
        <f t="shared" si="767"/>
        <v>4.6920000000000002</v>
      </c>
      <c r="BK63" s="3145">
        <f>SUM('ПОЛНАЯ СЕБЕСТОИМОСТЬ ВОДА 2019'!AA208)</f>
        <v>4.6900000000000004</v>
      </c>
      <c r="BL63" s="3145">
        <f>SUM('ПОЛНАЯ СЕБЕСТОИМОСТЬ ВОДА 2019'!AB208)</f>
        <v>2E-3</v>
      </c>
      <c r="BM63" s="3146">
        <v>3.16</v>
      </c>
      <c r="BN63" s="3149">
        <f t="shared" si="864"/>
        <v>3.1582497384454431</v>
      </c>
      <c r="BO63" s="3149">
        <f>SUM(BM63/BM14*BO14)*2</f>
        <v>1.7502615545572037E-3</v>
      </c>
      <c r="BP63" s="3120">
        <f t="shared" si="769"/>
        <v>3.8897500000000003</v>
      </c>
      <c r="BQ63" s="3120">
        <f t="shared" si="770"/>
        <v>3.8878701214931422</v>
      </c>
      <c r="BR63" s="3120">
        <f t="shared" si="771"/>
        <v>1.8798785068579492E-3</v>
      </c>
      <c r="BS63" s="3147">
        <f t="shared" si="772"/>
        <v>16.734999999999999</v>
      </c>
      <c r="BT63" s="3147">
        <f t="shared" si="773"/>
        <v>16.73</v>
      </c>
      <c r="BU63" s="3147">
        <f t="shared" si="774"/>
        <v>5.0000000000000001E-3</v>
      </c>
      <c r="BV63" s="3147">
        <f t="shared" si="775"/>
        <v>8.49</v>
      </c>
      <c r="BW63" s="3147">
        <f t="shared" si="776"/>
        <v>8.481308775221521</v>
      </c>
      <c r="BX63" s="3147">
        <f t="shared" si="777"/>
        <v>8.6912247784789072E-3</v>
      </c>
      <c r="BY63" s="3148"/>
      <c r="BZ63" s="3148"/>
      <c r="CA63" s="3148"/>
      <c r="CB63" s="3120">
        <f t="shared" si="780"/>
        <v>7.7795000000000005</v>
      </c>
      <c r="CC63" s="3120">
        <f t="shared" si="781"/>
        <v>7.7757402429862843</v>
      </c>
      <c r="CD63" s="3120">
        <f t="shared" si="782"/>
        <v>3.7597570137158985E-3</v>
      </c>
      <c r="CE63" s="3147">
        <f t="shared" si="783"/>
        <v>35.760999999999996</v>
      </c>
      <c r="CF63" s="3147">
        <f t="shared" si="784"/>
        <v>35.75</v>
      </c>
      <c r="CG63" s="3147">
        <f t="shared" si="785"/>
        <v>1.0999999999999999E-2</v>
      </c>
      <c r="CH63" s="3147">
        <f t="shared" si="786"/>
        <v>11.100000000000001</v>
      </c>
      <c r="CI63" s="3147">
        <f t="shared" si="787"/>
        <v>11.089156595060061</v>
      </c>
      <c r="CJ63" s="3147">
        <f t="shared" si="788"/>
        <v>1.0843404939938099E-2</v>
      </c>
      <c r="CK63" s="3148">
        <f t="shared" ref="CK63:CK65" si="1030">SUM(CE63-CB63)</f>
        <v>27.981499999999997</v>
      </c>
      <c r="CL63" s="3148">
        <f t="shared" ref="CL63:CL65" si="1031">SUM(CF63-CC63)</f>
        <v>27.974259757013716</v>
      </c>
      <c r="CM63" s="3148">
        <f t="shared" ref="CM63:CM65" si="1032">SUM(CG63-CD63)</f>
        <v>7.2402429862841004E-3</v>
      </c>
      <c r="CN63" s="3276">
        <f t="shared" si="791"/>
        <v>1.2965833333333334</v>
      </c>
      <c r="CO63" s="3276">
        <f>SUM('ПОЛНАЯ СЕБЕСТОИМОСТЬ ВОДА 2019'!AP208/3)</f>
        <v>1.2959567071643807</v>
      </c>
      <c r="CP63" s="3276">
        <f>SUM('ПОЛНАЯ СЕБЕСТОИМОСТЬ ВОДА 2019'!AQ208/3)</f>
        <v>6.2662616895264975E-4</v>
      </c>
      <c r="CQ63" s="3145">
        <f t="shared" si="792"/>
        <v>6.101</v>
      </c>
      <c r="CR63" s="3145">
        <f>SUM('ПОЛНАЯ СЕБЕСТОИМОСТЬ ВОДА 2019'!AS208)</f>
        <v>6.1</v>
      </c>
      <c r="CS63" s="3145">
        <f>SUM('ПОЛНАЯ СЕБЕСТОИМОСТЬ ВОДА 2019'!AT208)</f>
        <v>1E-3</v>
      </c>
      <c r="CT63" s="3146">
        <v>1.93</v>
      </c>
      <c r="CU63" s="3149">
        <f t="shared" si="865"/>
        <v>1.9290490603223762</v>
      </c>
      <c r="CV63" s="3149">
        <f>SUM(CT63/CT14*CV14)*2</f>
        <v>9.5093967762370675E-4</v>
      </c>
      <c r="CW63" s="3276">
        <f t="shared" si="794"/>
        <v>1.2965833333333334</v>
      </c>
      <c r="CX63" s="3276">
        <f t="shared" si="795"/>
        <v>1.2959567071643807</v>
      </c>
      <c r="CY63" s="3276">
        <f t="shared" si="796"/>
        <v>6.2662616895264975E-4</v>
      </c>
      <c r="CZ63" s="3145">
        <f t="shared" si="797"/>
        <v>7.8719999999999999</v>
      </c>
      <c r="DA63" s="3145">
        <f>SUM('ПОЛНАЯ СЕБЕСТОИМОСТЬ ВОДА 2019'!AV208)</f>
        <v>7.87</v>
      </c>
      <c r="DB63" s="3145">
        <f>SUM('ПОЛНАЯ СЕБЕСТОИМОСТЬ ВОДА 2019'!AW208)</f>
        <v>2E-3</v>
      </c>
      <c r="DC63" s="3146">
        <v>1.88</v>
      </c>
      <c r="DD63" s="3149">
        <f t="shared" si="866"/>
        <v>1.8791102096010817</v>
      </c>
      <c r="DE63" s="3149">
        <f>SUM(DC63/DC14*DE14)*2</f>
        <v>8.8979039891818787E-4</v>
      </c>
      <c r="DF63" s="3276">
        <f t="shared" si="799"/>
        <v>1.2965833333333334</v>
      </c>
      <c r="DG63" s="3276">
        <f t="shared" si="800"/>
        <v>1.2959567071643807</v>
      </c>
      <c r="DH63" s="3276">
        <f t="shared" si="801"/>
        <v>6.2662616895264975E-4</v>
      </c>
      <c r="DI63" s="3145">
        <f t="shared" si="802"/>
        <v>7.0529999999999999</v>
      </c>
      <c r="DJ63" s="3145">
        <f>SUM('ПОЛНАЯ СЕБЕСТОИМОСТЬ ВОДА 2019'!AY208)</f>
        <v>7.05</v>
      </c>
      <c r="DK63" s="3145">
        <f>SUM('ПОЛНАЯ СЕБЕСТОИМОСТЬ ВОДА 2019'!AZ208)</f>
        <v>3.0000000000000001E-3</v>
      </c>
      <c r="DL63" s="3146">
        <v>5.9</v>
      </c>
      <c r="DM63" s="3149">
        <f t="shared" si="867"/>
        <v>5.8968687960687962</v>
      </c>
      <c r="DN63" s="3149">
        <f>SUM(DL63/DL14*DN14)*2</f>
        <v>3.1312039312039316E-3</v>
      </c>
      <c r="DO63" s="3120">
        <f t="shared" si="804"/>
        <v>3.8897500000000003</v>
      </c>
      <c r="DP63" s="3120">
        <f t="shared" si="805"/>
        <v>3.8878701214931422</v>
      </c>
      <c r="DQ63" s="3120">
        <f t="shared" si="806"/>
        <v>1.8798785068579492E-3</v>
      </c>
      <c r="DR63" s="3147">
        <f t="shared" si="807"/>
        <v>21.026</v>
      </c>
      <c r="DS63" s="3147">
        <f t="shared" si="808"/>
        <v>21.02</v>
      </c>
      <c r="DT63" s="3147">
        <f t="shared" si="809"/>
        <v>6.0000000000000001E-3</v>
      </c>
      <c r="DU63" s="3147">
        <f t="shared" si="810"/>
        <v>9.7100000000000009</v>
      </c>
      <c r="DV63" s="3147">
        <f t="shared" si="811"/>
        <v>9.7050280659922539</v>
      </c>
      <c r="DW63" s="3147">
        <f t="shared" si="812"/>
        <v>4.9719340077458265E-3</v>
      </c>
      <c r="DX63" s="3148">
        <f t="shared" si="578"/>
        <v>17.13625</v>
      </c>
      <c r="DY63" s="3148">
        <f t="shared" si="813"/>
        <v>17.132129878506859</v>
      </c>
      <c r="DZ63" s="3148">
        <f t="shared" si="814"/>
        <v>4.1201214931420507E-3</v>
      </c>
      <c r="EA63" s="3120">
        <f t="shared" si="815"/>
        <v>11.669250000000002</v>
      </c>
      <c r="EB63" s="3120">
        <f t="shared" si="816"/>
        <v>11.663610364479426</v>
      </c>
      <c r="EC63" s="3120">
        <f t="shared" si="817"/>
        <v>5.6396355205738475E-3</v>
      </c>
      <c r="ED63" s="3147">
        <f t="shared" si="818"/>
        <v>56.786999999999992</v>
      </c>
      <c r="EE63" s="3147">
        <f t="shared" si="819"/>
        <v>56.769999999999996</v>
      </c>
      <c r="EF63" s="3147">
        <f t="shared" si="820"/>
        <v>1.7000000000000001E-2</v>
      </c>
      <c r="EG63" s="3147">
        <f t="shared" si="821"/>
        <v>20.810000000000002</v>
      </c>
      <c r="EH63" s="3147">
        <f t="shared" si="822"/>
        <v>20.794184661052313</v>
      </c>
      <c r="EI63" s="3147">
        <f t="shared" si="823"/>
        <v>1.5815338947683926E-2</v>
      </c>
      <c r="EJ63" s="3148">
        <f t="shared" si="590"/>
        <v>45.117749999999987</v>
      </c>
      <c r="EK63" s="3148">
        <f t="shared" si="590"/>
        <v>45.106389635520571</v>
      </c>
      <c r="EL63" s="3148">
        <f t="shared" si="590"/>
        <v>1.1360364479426153E-2</v>
      </c>
      <c r="EM63" s="3276">
        <f t="shared" si="824"/>
        <v>1.2965833333333334</v>
      </c>
      <c r="EN63" s="3276">
        <f>SUM('ПОЛНАЯ СЕБЕСТОИМОСТЬ ВОДА 2019'!BN208/3)</f>
        <v>1.2959567071643807</v>
      </c>
      <c r="EO63" s="3276">
        <f>SUM('ПОЛНАЯ СЕБЕСТОИМОСТЬ ВОДА 2019'!BO208/3)</f>
        <v>6.2662616895264975E-4</v>
      </c>
      <c r="EP63" s="3145">
        <f t="shared" si="825"/>
        <v>0</v>
      </c>
      <c r="EQ63" s="3145">
        <f>SUM('ПОЛНАЯ СЕБЕСТОИМОСТЬ ВОДА 2019'!BQ208)</f>
        <v>0</v>
      </c>
      <c r="ER63" s="3145">
        <f>SUM('ПОЛНАЯ СЕБЕСТОИМОСТЬ ВОДА 2019'!BR208)</f>
        <v>0</v>
      </c>
      <c r="ES63" s="3146">
        <v>8.4600000000000009</v>
      </c>
      <c r="ET63" s="3149">
        <f t="shared" si="868"/>
        <v>8.4555106860000802</v>
      </c>
      <c r="EU63" s="3149">
        <f>SUM(ES63/ES14*EU14)*2</f>
        <v>4.4893139999204025E-3</v>
      </c>
      <c r="EV63" s="3276">
        <f t="shared" si="827"/>
        <v>1.2965833333333334</v>
      </c>
      <c r="EW63" s="3276">
        <f t="shared" si="828"/>
        <v>1.2959567071643807</v>
      </c>
      <c r="EX63" s="3276">
        <f t="shared" si="829"/>
        <v>6.2662616895264975E-4</v>
      </c>
      <c r="EY63" s="3145">
        <f t="shared" si="830"/>
        <v>0</v>
      </c>
      <c r="EZ63" s="3145">
        <f>SUM('ПОЛНАЯ СЕБЕСТОИМОСТЬ ВОДА 2019'!BT208)</f>
        <v>0</v>
      </c>
      <c r="FA63" s="3145">
        <f>SUM('ПОЛНАЯ СЕБЕСТОИМОСТЬ ВОДА 2019'!BU208)</f>
        <v>0</v>
      </c>
      <c r="FB63" s="3146">
        <v>6.43</v>
      </c>
      <c r="FC63" s="3149">
        <f t="shared" si="869"/>
        <v>6.4265286634949552</v>
      </c>
      <c r="FD63" s="3149">
        <f>SUM(FB63/FB14*FD14)*2</f>
        <v>3.4713365050443703E-3</v>
      </c>
      <c r="FE63" s="3276">
        <f t="shared" si="832"/>
        <v>1.2965833333333334</v>
      </c>
      <c r="FF63" s="3276">
        <f t="shared" si="833"/>
        <v>1.2959567071643807</v>
      </c>
      <c r="FG63" s="3276">
        <f t="shared" si="834"/>
        <v>6.2662616895264975E-4</v>
      </c>
      <c r="FH63" s="3145">
        <f>SUM('[19]ПОЛНАЯ СЕБЕСТОИМОСТЬ ВОДА 2018'!Z208)</f>
        <v>0</v>
      </c>
      <c r="FI63" s="3145">
        <f>SUM('ПОЛНАЯ СЕБЕСТОИМОСТЬ ВОДА 2019'!BW208)</f>
        <v>0</v>
      </c>
      <c r="FJ63" s="3145">
        <f>SUM('ПОЛНАЯ СЕБЕСТОИМОСТЬ ВОДА 2019'!BX208)</f>
        <v>0</v>
      </c>
      <c r="FK63" s="3146">
        <v>24.13</v>
      </c>
      <c r="FL63" s="3149">
        <f t="shared" si="870"/>
        <v>24.13</v>
      </c>
      <c r="FM63" s="3149">
        <f>SUM(FK63/FK14*FM14)*2</f>
        <v>0</v>
      </c>
      <c r="FN63" s="3120">
        <f t="shared" si="836"/>
        <v>3.8897500000000003</v>
      </c>
      <c r="FO63" s="3120">
        <f t="shared" si="837"/>
        <v>3.8878701214931422</v>
      </c>
      <c r="FP63" s="3120">
        <f t="shared" si="838"/>
        <v>1.8798785068579492E-3</v>
      </c>
      <c r="FQ63" s="3126">
        <f t="shared" si="839"/>
        <v>0</v>
      </c>
      <c r="FR63" s="3126">
        <f t="shared" si="840"/>
        <v>0</v>
      </c>
      <c r="FS63" s="3126">
        <f t="shared" si="841"/>
        <v>0</v>
      </c>
      <c r="FT63" s="3126">
        <f t="shared" si="842"/>
        <v>39.019999999999996</v>
      </c>
      <c r="FU63" s="3126">
        <f t="shared" si="843"/>
        <v>39.012039349495033</v>
      </c>
      <c r="FV63" s="3126">
        <f t="shared" si="844"/>
        <v>7.9606505049647728E-3</v>
      </c>
      <c r="FW63" s="3121">
        <f t="shared" si="600"/>
        <v>-3.8897500000000003</v>
      </c>
      <c r="FX63" s="3121">
        <f t="shared" si="845"/>
        <v>-3.8878701214931422</v>
      </c>
      <c r="FY63" s="3121">
        <f t="shared" si="846"/>
        <v>-1.8798785068579492E-3</v>
      </c>
      <c r="FZ63" s="3227">
        <f t="shared" si="847"/>
        <v>15.559000000000001</v>
      </c>
      <c r="GA63" s="3227">
        <f t="shared" si="848"/>
        <v>15.551480485972569</v>
      </c>
      <c r="GB63" s="3227">
        <f t="shared" si="849"/>
        <v>7.519514027431797E-3</v>
      </c>
      <c r="GC63" s="3232">
        <f t="shared" si="850"/>
        <v>56.786999999999992</v>
      </c>
      <c r="GD63" s="3232">
        <f t="shared" si="851"/>
        <v>56.769999999999996</v>
      </c>
      <c r="GE63" s="3232">
        <f t="shared" si="852"/>
        <v>1.7000000000000001E-2</v>
      </c>
      <c r="GF63" s="3232">
        <f t="shared" si="853"/>
        <v>59.83</v>
      </c>
      <c r="GG63" s="3232">
        <f t="shared" si="854"/>
        <v>59.806224010547346</v>
      </c>
      <c r="GH63" s="3232">
        <f t="shared" si="855"/>
        <v>2.3775989452648701E-2</v>
      </c>
      <c r="GI63" s="3233">
        <f t="shared" si="856"/>
        <v>41.227999999999994</v>
      </c>
      <c r="GJ63" s="3233">
        <f t="shared" si="857"/>
        <v>41.218519514027427</v>
      </c>
      <c r="GK63" s="3233">
        <f t="shared" si="858"/>
        <v>9.4804859725682034E-3</v>
      </c>
      <c r="GL63" s="396"/>
    </row>
    <row r="64" spans="1:194" ht="18.75" x14ac:dyDescent="0.3">
      <c r="A64" s="3079" t="s">
        <v>1560</v>
      </c>
      <c r="B64" s="3276">
        <f t="shared" si="731"/>
        <v>5.3841666666666663</v>
      </c>
      <c r="C64" s="3276">
        <f>SUM('ПОЛНАЯ СЕБЕСТОИМОСТЬ ВОДА 2019'!C209/3)</f>
        <v>5.3815645510566634</v>
      </c>
      <c r="D64" s="3276">
        <f>SUM('ПОЛНАЯ СЕБЕСТОИМОСТЬ ВОДА 2019'!D209/3)</f>
        <v>2.602115610002616E-3</v>
      </c>
      <c r="E64" s="3145">
        <f t="shared" si="732"/>
        <v>11.503</v>
      </c>
      <c r="F64" s="3145">
        <f>SUM('ПОЛНАЯ СЕБЕСТОИМОСТЬ ВОДА 2019'!F209)</f>
        <v>11.5</v>
      </c>
      <c r="G64" s="3145">
        <f>SUM('ПОЛНАЯ СЕБЕСТОИМОСТЬ ВОДА 2019'!G209)</f>
        <v>3.0000000000000001E-3</v>
      </c>
      <c r="H64" s="3146">
        <v>10.050000000000001</v>
      </c>
      <c r="I64" s="3149">
        <f t="shared" si="859"/>
        <v>10.0470625998184</v>
      </c>
      <c r="J64" s="3149">
        <f>SUM(H64/H14*J14)*0.66666666666</f>
        <v>2.937400181600915E-3</v>
      </c>
      <c r="K64" s="3276">
        <f t="shared" si="734"/>
        <v>5.3841666666666663</v>
      </c>
      <c r="L64" s="3276">
        <f t="shared" si="735"/>
        <v>5.3815645510566634</v>
      </c>
      <c r="M64" s="3276">
        <f t="shared" si="736"/>
        <v>2.602115610002616E-3</v>
      </c>
      <c r="N64" s="3145">
        <f t="shared" si="737"/>
        <v>10.403</v>
      </c>
      <c r="O64" s="3145">
        <f>SUM('ПОЛНАЯ СЕБЕСТОИМОСТЬ ВОДА 2019'!I209)</f>
        <v>10.4</v>
      </c>
      <c r="P64" s="3145">
        <f>SUM('ПОЛНАЯ СЕБЕСТОИМОСТЬ ВОДА 2019'!J209)</f>
        <v>3.0000000000000001E-3</v>
      </c>
      <c r="Q64" s="3146">
        <v>10.8</v>
      </c>
      <c r="R64" s="3149">
        <f t="shared" si="860"/>
        <v>10.795893145736329</v>
      </c>
      <c r="S64" s="3149">
        <f>SUM(Q64/Q14*S14)*0.66666666666</f>
        <v>4.1068542636722126E-3</v>
      </c>
      <c r="T64" s="3276">
        <f t="shared" si="739"/>
        <v>5.3841666666666663</v>
      </c>
      <c r="U64" s="3276">
        <f t="shared" si="740"/>
        <v>5.3815645510566634</v>
      </c>
      <c r="V64" s="3276">
        <f t="shared" si="741"/>
        <v>2.602115610002616E-3</v>
      </c>
      <c r="W64" s="3145">
        <f t="shared" si="742"/>
        <v>8.4220000000000006</v>
      </c>
      <c r="X64" s="3145">
        <f>SUM('ПОЛНАЯ СЕБЕСТОИМОСТЬ ВОДА 2019'!L209)</f>
        <v>8.42</v>
      </c>
      <c r="Y64" s="3145">
        <f>SUM('ПОЛНАЯ СЕБЕСТОИМОСТЬ ВОДА 2019'!M209)</f>
        <v>2E-3</v>
      </c>
      <c r="Z64" s="3146">
        <v>10.38</v>
      </c>
      <c r="AA64" s="3149">
        <f t="shared" si="861"/>
        <v>10.377207613154916</v>
      </c>
      <c r="AB64" s="3149">
        <f>SUM(Z64/Z14*AB14)*0.66666666666</f>
        <v>2.7923868450860714E-3</v>
      </c>
      <c r="AC64" s="3120">
        <f t="shared" si="744"/>
        <v>16.1525</v>
      </c>
      <c r="AD64" s="3120">
        <f t="shared" si="745"/>
        <v>16.144693653169991</v>
      </c>
      <c r="AE64" s="3120">
        <f t="shared" si="746"/>
        <v>7.8063468300078476E-3</v>
      </c>
      <c r="AF64" s="3126">
        <f t="shared" si="747"/>
        <v>30.327999999999999</v>
      </c>
      <c r="AG64" s="3126">
        <f t="shared" si="748"/>
        <v>30.32</v>
      </c>
      <c r="AH64" s="3126">
        <f t="shared" si="749"/>
        <v>8.0000000000000002E-3</v>
      </c>
      <c r="AI64" s="3126">
        <f t="shared" si="750"/>
        <v>31.230000000000004</v>
      </c>
      <c r="AJ64" s="3126">
        <f t="shared" si="751"/>
        <v>31.220163358709645</v>
      </c>
      <c r="AK64" s="3126">
        <f t="shared" si="752"/>
        <v>9.8366412903591986E-3</v>
      </c>
      <c r="AL64" s="3121">
        <f t="shared" si="753"/>
        <v>14.1755</v>
      </c>
      <c r="AM64" s="3121">
        <f t="shared" si="754"/>
        <v>14.175306346830009</v>
      </c>
      <c r="AN64" s="3121">
        <f t="shared" si="755"/>
        <v>1.9365316999215253E-4</v>
      </c>
      <c r="AO64" s="3276">
        <f t="shared" si="756"/>
        <v>5.3841666666666663</v>
      </c>
      <c r="AP64" s="3276">
        <f>SUM('ПОЛНАЯ СЕБЕСТОИМОСТЬ ВОДА 2019'!R209/3)</f>
        <v>5.3815645510566634</v>
      </c>
      <c r="AQ64" s="3276">
        <f>SUM('ПОЛНАЯ СЕБЕСТОИМОСТЬ ВОДА 2019'!S209/3)</f>
        <v>2.602115610002616E-3</v>
      </c>
      <c r="AR64" s="3276">
        <f t="shared" si="757"/>
        <v>6.4714999999999998</v>
      </c>
      <c r="AS64" s="3276">
        <f>SUM('ПОЛНАЯ СЕБЕСТОИМОСТЬ ВОДА 2019'!U209)</f>
        <v>6.47</v>
      </c>
      <c r="AT64" s="3276">
        <f>SUM('ПОЛНАЯ СЕБЕСТОИМОСТЬ ВОДА 2019'!V209)</f>
        <v>1.5E-3</v>
      </c>
      <c r="AU64" s="3461">
        <v>8</v>
      </c>
      <c r="AV64" s="3461">
        <f t="shared" si="862"/>
        <v>7.9946753192729014</v>
      </c>
      <c r="AW64" s="3461">
        <f>SUM(AU64/AU14*AW14)*0.66666666666</f>
        <v>5.3246807270984648E-3</v>
      </c>
      <c r="AX64" s="3276">
        <f t="shared" si="759"/>
        <v>5.3841666666666663</v>
      </c>
      <c r="AY64" s="3276">
        <f t="shared" si="760"/>
        <v>5.3815645510566634</v>
      </c>
      <c r="AZ64" s="3276">
        <f t="shared" si="761"/>
        <v>2.602115610002616E-3</v>
      </c>
      <c r="BA64" s="3276">
        <f t="shared" si="762"/>
        <v>2.4209999999999998</v>
      </c>
      <c r="BB64" s="3276">
        <f>SUM('ПОЛНАЯ СЕБЕСТОИМОСТЬ ВОДА 2019'!X209)</f>
        <v>2.42</v>
      </c>
      <c r="BC64" s="3276">
        <f>SUM('ПОЛНАЯ СЕБЕСТОИМОСТЬ ВОДА 2019'!Y209)</f>
        <v>1E-3</v>
      </c>
      <c r="BD64" s="3146">
        <v>0.49</v>
      </c>
      <c r="BE64" s="3149">
        <f t="shared" si="863"/>
        <v>0.48989292776994875</v>
      </c>
      <c r="BF64" s="3149">
        <f>SUM(BD64/BD14*BF14)*0.66666666666</f>
        <v>1.0707223005126357E-4</v>
      </c>
      <c r="BG64" s="3276">
        <f t="shared" si="764"/>
        <v>5.3841666666666663</v>
      </c>
      <c r="BH64" s="3276">
        <f t="shared" si="765"/>
        <v>5.3815645510566634</v>
      </c>
      <c r="BI64" s="3276">
        <f t="shared" si="766"/>
        <v>2.602115610002616E-3</v>
      </c>
      <c r="BJ64" s="3145">
        <f t="shared" si="767"/>
        <v>0</v>
      </c>
      <c r="BK64" s="3145">
        <f>SUM('ПОЛНАЯ СЕБЕСТОИМОСТЬ ВОДА 2019'!AA209)</f>
        <v>0</v>
      </c>
      <c r="BL64" s="3145">
        <f>SUM('ПОЛНАЯ СЕБЕСТОИМОСТЬ ВОДА 2019'!AB209)</f>
        <v>0</v>
      </c>
      <c r="BM64" s="3146">
        <v>0</v>
      </c>
      <c r="BN64" s="3149">
        <f t="shared" si="864"/>
        <v>0</v>
      </c>
      <c r="BO64" s="3149">
        <f>SUM(BM64/BM14*BO14)*0.66666666666</f>
        <v>0</v>
      </c>
      <c r="BP64" s="3120">
        <f t="shared" si="769"/>
        <v>16.1525</v>
      </c>
      <c r="BQ64" s="3120">
        <f t="shared" si="770"/>
        <v>16.144693653169991</v>
      </c>
      <c r="BR64" s="3120">
        <f t="shared" si="771"/>
        <v>7.8063468300078476E-3</v>
      </c>
      <c r="BS64" s="3147">
        <f t="shared" si="772"/>
        <v>8.8925000000000001</v>
      </c>
      <c r="BT64" s="3147">
        <f t="shared" si="773"/>
        <v>8.89</v>
      </c>
      <c r="BU64" s="3147">
        <f t="shared" si="774"/>
        <v>2.5000000000000001E-3</v>
      </c>
      <c r="BV64" s="3147">
        <f t="shared" si="775"/>
        <v>8.49</v>
      </c>
      <c r="BW64" s="3147">
        <f t="shared" si="776"/>
        <v>8.4845682470428496</v>
      </c>
      <c r="BX64" s="3147">
        <f t="shared" si="777"/>
        <v>5.4317529571497282E-3</v>
      </c>
      <c r="BY64" s="3148"/>
      <c r="BZ64" s="3148"/>
      <c r="CA64" s="3148"/>
      <c r="CB64" s="3120">
        <f t="shared" si="780"/>
        <v>32.305</v>
      </c>
      <c r="CC64" s="3120">
        <f t="shared" si="781"/>
        <v>32.289387306339982</v>
      </c>
      <c r="CD64" s="3120">
        <f t="shared" si="782"/>
        <v>1.5612693660015695E-2</v>
      </c>
      <c r="CE64" s="3147">
        <f t="shared" si="783"/>
        <v>39.220500000000001</v>
      </c>
      <c r="CF64" s="3147">
        <f t="shared" si="784"/>
        <v>39.21</v>
      </c>
      <c r="CG64" s="3147">
        <f t="shared" si="785"/>
        <v>1.0500000000000001E-2</v>
      </c>
      <c r="CH64" s="3147">
        <f t="shared" si="786"/>
        <v>39.720000000000006</v>
      </c>
      <c r="CI64" s="3147">
        <f t="shared" si="787"/>
        <v>39.704731605752492</v>
      </c>
      <c r="CJ64" s="3147">
        <f t="shared" si="788"/>
        <v>1.5268394247508928E-2</v>
      </c>
      <c r="CK64" s="3148">
        <f t="shared" si="1030"/>
        <v>6.9155000000000015</v>
      </c>
      <c r="CL64" s="3148">
        <f t="shared" si="1031"/>
        <v>6.9206126936600185</v>
      </c>
      <c r="CM64" s="3148">
        <f t="shared" si="1032"/>
        <v>-5.1126936600156946E-3</v>
      </c>
      <c r="CN64" s="3276">
        <f t="shared" si="791"/>
        <v>5.3841666666666663</v>
      </c>
      <c r="CO64" s="3276">
        <f>SUM('ПОЛНАЯ СЕБЕСТОИМОСТЬ ВОДА 2019'!AP209/3)</f>
        <v>5.3815645510566634</v>
      </c>
      <c r="CP64" s="3276">
        <f>SUM('ПОЛНАЯ СЕБЕСТОИМОСТЬ ВОДА 2019'!AQ209/3)</f>
        <v>2.602115610002616E-3</v>
      </c>
      <c r="CQ64" s="3145">
        <f t="shared" si="792"/>
        <v>0</v>
      </c>
      <c r="CR64" s="3145">
        <f>SUM('ПОЛНАЯ СЕБЕСТОИМОСТЬ ВОДА 2019'!AS209)</f>
        <v>0</v>
      </c>
      <c r="CS64" s="3145">
        <f>SUM('ПОЛНАЯ СЕБЕСТОИМОСТЬ ВОДА 2019'!AT209)</f>
        <v>0</v>
      </c>
      <c r="CT64" s="3146">
        <v>0</v>
      </c>
      <c r="CU64" s="3149">
        <f t="shared" si="865"/>
        <v>0</v>
      </c>
      <c r="CV64" s="3149">
        <f>SUM(CT64/CT14*CV14)*0.66666666666</f>
        <v>0</v>
      </c>
      <c r="CW64" s="3276">
        <f t="shared" si="794"/>
        <v>5.3841666666666663</v>
      </c>
      <c r="CX64" s="3276">
        <f t="shared" si="795"/>
        <v>5.3815645510566634</v>
      </c>
      <c r="CY64" s="3276">
        <f t="shared" si="796"/>
        <v>2.602115610002616E-3</v>
      </c>
      <c r="CZ64" s="3145">
        <f t="shared" si="797"/>
        <v>0</v>
      </c>
      <c r="DA64" s="3145">
        <f>SUM('ПОЛНАЯ СЕБЕСТОИМОСТЬ ВОДА 2019'!AV209)</f>
        <v>0</v>
      </c>
      <c r="DB64" s="3145">
        <f>SUM('ПОЛНАЯ СЕБЕСТОИМОСТЬ ВОДА 2019'!AW209)</f>
        <v>0</v>
      </c>
      <c r="DC64" s="3146">
        <v>0</v>
      </c>
      <c r="DD64" s="3149">
        <f t="shared" si="866"/>
        <v>0</v>
      </c>
      <c r="DE64" s="3149">
        <f>SUM(DC64/DC14*DE14)*0.66666666666</f>
        <v>0</v>
      </c>
      <c r="DF64" s="3276">
        <f t="shared" si="799"/>
        <v>5.3841666666666663</v>
      </c>
      <c r="DG64" s="3276">
        <f t="shared" si="800"/>
        <v>5.3815645510566634</v>
      </c>
      <c r="DH64" s="3276">
        <f t="shared" si="801"/>
        <v>2.602115610002616E-3</v>
      </c>
      <c r="DI64" s="3145">
        <f t="shared" si="802"/>
        <v>1.6606999999999998</v>
      </c>
      <c r="DJ64" s="3145">
        <f>SUM('ПОЛНАЯ СЕБЕСТОИМОСТЬ ВОДА 2019'!AY209)</f>
        <v>1.66</v>
      </c>
      <c r="DK64" s="3145">
        <f>SUM('ПОЛНАЯ СЕБЕСТОИМОСТЬ ВОДА 2019'!AZ209)</f>
        <v>6.9999999999999999E-4</v>
      </c>
      <c r="DL64" s="3146">
        <v>0.59</v>
      </c>
      <c r="DM64" s="3149">
        <f t="shared" si="867"/>
        <v>0.58989562653562755</v>
      </c>
      <c r="DN64" s="3149">
        <f>SUM(DL64/DL14*DN14)*0.66666666666</f>
        <v>1.0437346437242061E-4</v>
      </c>
      <c r="DO64" s="3120">
        <f t="shared" si="804"/>
        <v>16.1525</v>
      </c>
      <c r="DP64" s="3120">
        <f t="shared" si="805"/>
        <v>16.144693653169991</v>
      </c>
      <c r="DQ64" s="3120">
        <f t="shared" si="806"/>
        <v>7.8063468300078476E-3</v>
      </c>
      <c r="DR64" s="3147">
        <f t="shared" si="807"/>
        <v>1.6606999999999998</v>
      </c>
      <c r="DS64" s="3147">
        <f t="shared" si="808"/>
        <v>1.66</v>
      </c>
      <c r="DT64" s="3147">
        <f t="shared" si="809"/>
        <v>6.9999999999999999E-4</v>
      </c>
      <c r="DU64" s="3147">
        <f t="shared" si="810"/>
        <v>0.59</v>
      </c>
      <c r="DV64" s="3147">
        <f t="shared" si="811"/>
        <v>0.58989562653562755</v>
      </c>
      <c r="DW64" s="3147">
        <f t="shared" si="812"/>
        <v>1.0437346437242061E-4</v>
      </c>
      <c r="DX64" s="3148">
        <f t="shared" si="578"/>
        <v>-14.4918</v>
      </c>
      <c r="DY64" s="3148">
        <f t="shared" si="813"/>
        <v>-14.484693653169991</v>
      </c>
      <c r="DZ64" s="3148">
        <f t="shared" si="814"/>
        <v>-7.1063468300078475E-3</v>
      </c>
      <c r="EA64" s="3120">
        <f t="shared" si="815"/>
        <v>48.457499999999996</v>
      </c>
      <c r="EB64" s="3120">
        <f t="shared" si="816"/>
        <v>48.43408095950997</v>
      </c>
      <c r="EC64" s="3120">
        <f t="shared" si="817"/>
        <v>2.3419040490023545E-2</v>
      </c>
      <c r="ED64" s="3147">
        <f t="shared" si="818"/>
        <v>40.8812</v>
      </c>
      <c r="EE64" s="3147">
        <f t="shared" si="819"/>
        <v>40.869999999999997</v>
      </c>
      <c r="EF64" s="3147">
        <f t="shared" si="820"/>
        <v>1.12E-2</v>
      </c>
      <c r="EG64" s="3147">
        <f t="shared" si="821"/>
        <v>40.310000000000009</v>
      </c>
      <c r="EH64" s="3147">
        <f t="shared" si="822"/>
        <v>40.294627232288121</v>
      </c>
      <c r="EI64" s="3147">
        <f t="shared" si="823"/>
        <v>1.5372767711881348E-2</v>
      </c>
      <c r="EJ64" s="3148">
        <f t="shared" si="590"/>
        <v>-7.5762999999999963</v>
      </c>
      <c r="EK64" s="3148">
        <f t="shared" si="590"/>
        <v>-7.5640809595099725</v>
      </c>
      <c r="EL64" s="3148">
        <f t="shared" si="590"/>
        <v>-1.2219040490023545E-2</v>
      </c>
      <c r="EM64" s="3276">
        <f t="shared" si="824"/>
        <v>5.3841666666666663</v>
      </c>
      <c r="EN64" s="3276">
        <f>SUM('ПОЛНАЯ СЕБЕСТОИМОСТЬ ВОДА 2019'!BN209/3)</f>
        <v>5.3815645510566634</v>
      </c>
      <c r="EO64" s="3276">
        <f>SUM('ПОЛНАЯ СЕБЕСТОИМОСТЬ ВОДА 2019'!BO209/3)</f>
        <v>2.602115610002616E-3</v>
      </c>
      <c r="EP64" s="3145">
        <f t="shared" si="825"/>
        <v>0</v>
      </c>
      <c r="EQ64" s="3145">
        <f>SUM('ПОЛНАЯ СЕБЕСТОИМОСТЬ ВОДА 2019'!BQ209)</f>
        <v>0</v>
      </c>
      <c r="ER64" s="3145">
        <f>SUM('ПОЛНАЯ СЕБЕСТОИМОСТЬ ВОДА 2019'!BR209)</f>
        <v>0</v>
      </c>
      <c r="ES64" s="3146">
        <v>0.44</v>
      </c>
      <c r="ET64" s="3149">
        <f t="shared" si="868"/>
        <v>0.43992217107328824</v>
      </c>
      <c r="EU64" s="3149">
        <f>SUM(ES64/ES14*EU14)*0.66666666666</f>
        <v>7.7828926711789759E-5</v>
      </c>
      <c r="EV64" s="3276">
        <f t="shared" si="827"/>
        <v>5.3841666666666663</v>
      </c>
      <c r="EW64" s="3276">
        <f t="shared" si="828"/>
        <v>5.3815645510566634</v>
      </c>
      <c r="EX64" s="3276">
        <f t="shared" si="829"/>
        <v>2.602115610002616E-3</v>
      </c>
      <c r="EY64" s="3145">
        <f t="shared" si="830"/>
        <v>0</v>
      </c>
      <c r="EZ64" s="3145">
        <f>SUM('ПОЛНАЯ СЕБЕСТОИМОСТЬ ВОДА 2019'!BT209)</f>
        <v>0</v>
      </c>
      <c r="FA64" s="3145">
        <f>SUM('ПОЛНАЯ СЕБЕСТОИМОСТЬ ВОДА 2019'!BU209)</f>
        <v>0</v>
      </c>
      <c r="FB64" s="3146">
        <v>8.4499999999999993</v>
      </c>
      <c r="FC64" s="3149">
        <f t="shared" si="869"/>
        <v>8.4484793782546728</v>
      </c>
      <c r="FD64" s="3149">
        <f>SUM(FB64/FB14*FD14)*0.66666666666</f>
        <v>1.5206217453256402E-3</v>
      </c>
      <c r="FE64" s="3276">
        <f t="shared" si="832"/>
        <v>5.3841666666666663</v>
      </c>
      <c r="FF64" s="3276">
        <f t="shared" si="833"/>
        <v>5.3815645510566634</v>
      </c>
      <c r="FG64" s="3276">
        <f t="shared" si="834"/>
        <v>2.602115610002616E-3</v>
      </c>
      <c r="FH64" s="3145">
        <f>SUM('[19]ПОЛНАЯ СЕБЕСТОИМОСТЬ ВОДА 2018'!Z209)</f>
        <v>0</v>
      </c>
      <c r="FI64" s="3145">
        <f>SUM('ПОЛНАЯ СЕБЕСТОИМОСТЬ ВОДА 2019'!BW209)</f>
        <v>0</v>
      </c>
      <c r="FJ64" s="3145">
        <f>SUM('ПОЛНАЯ СЕБЕСТОИМОСТЬ ВОДА 2019'!BX209)</f>
        <v>0</v>
      </c>
      <c r="FK64" s="3146">
        <v>10.71</v>
      </c>
      <c r="FL64" s="3149">
        <f t="shared" si="870"/>
        <v>10.71</v>
      </c>
      <c r="FM64" s="3149">
        <f>SUM(FK64/FK14*FM14)*0.66666666666</f>
        <v>0</v>
      </c>
      <c r="FN64" s="3120">
        <f t="shared" si="836"/>
        <v>16.1525</v>
      </c>
      <c r="FO64" s="3120">
        <f t="shared" si="837"/>
        <v>16.144693653169991</v>
      </c>
      <c r="FP64" s="3120">
        <f t="shared" si="838"/>
        <v>7.8063468300078476E-3</v>
      </c>
      <c r="FQ64" s="3126">
        <f t="shared" si="839"/>
        <v>0</v>
      </c>
      <c r="FR64" s="3126">
        <f t="shared" si="840"/>
        <v>0</v>
      </c>
      <c r="FS64" s="3126">
        <f t="shared" si="841"/>
        <v>0</v>
      </c>
      <c r="FT64" s="3126">
        <f t="shared" si="842"/>
        <v>19.600000000000001</v>
      </c>
      <c r="FU64" s="3126">
        <f t="shared" si="843"/>
        <v>19.59840154932796</v>
      </c>
      <c r="FV64" s="3126">
        <f t="shared" si="844"/>
        <v>1.59845067203743E-3</v>
      </c>
      <c r="FW64" s="3121">
        <f t="shared" si="600"/>
        <v>-16.1525</v>
      </c>
      <c r="FX64" s="3121">
        <f t="shared" si="845"/>
        <v>-16.144693653169991</v>
      </c>
      <c r="FY64" s="3121">
        <f t="shared" si="846"/>
        <v>-7.8063468300078476E-3</v>
      </c>
      <c r="FZ64" s="3227">
        <f t="shared" si="847"/>
        <v>64.61</v>
      </c>
      <c r="GA64" s="3227">
        <f t="shared" si="848"/>
        <v>64.578774612679965</v>
      </c>
      <c r="GB64" s="3227">
        <f t="shared" si="849"/>
        <v>3.1225387320031391E-2</v>
      </c>
      <c r="GC64" s="3232">
        <f t="shared" si="850"/>
        <v>40.8812</v>
      </c>
      <c r="GD64" s="3232">
        <f t="shared" si="851"/>
        <v>40.869999999999997</v>
      </c>
      <c r="GE64" s="3232">
        <f t="shared" si="852"/>
        <v>1.12E-2</v>
      </c>
      <c r="GF64" s="3232">
        <f t="shared" si="853"/>
        <v>59.910000000000011</v>
      </c>
      <c r="GG64" s="3232">
        <f t="shared" si="854"/>
        <v>59.893028781616081</v>
      </c>
      <c r="GH64" s="3232">
        <f t="shared" si="855"/>
        <v>1.6971218383918778E-2</v>
      </c>
      <c r="GI64" s="3233">
        <f t="shared" si="856"/>
        <v>-23.7288</v>
      </c>
      <c r="GJ64" s="3233">
        <f t="shared" si="857"/>
        <v>-23.708774612679967</v>
      </c>
      <c r="GK64" s="3233">
        <f t="shared" si="858"/>
        <v>-2.0025387320031389E-2</v>
      </c>
      <c r="GL64" s="396"/>
    </row>
    <row r="65" spans="1:195" ht="18.75" x14ac:dyDescent="0.3">
      <c r="A65" s="3079" t="s">
        <v>281</v>
      </c>
      <c r="B65" s="3276">
        <f t="shared" si="731"/>
        <v>6.3599999999999994</v>
      </c>
      <c r="C65" s="3276">
        <f>SUM('ПОЛНАЯ СЕБЕСТОИМОСТЬ ВОДА 2019'!C210/3)</f>
        <v>6.3569262735899175</v>
      </c>
      <c r="D65" s="3276">
        <f>SUM('ПОЛНАЯ СЕБЕСТОИМОСТЬ ВОДА 2019'!D210/3)</f>
        <v>3.0737264100820249E-3</v>
      </c>
      <c r="E65" s="3145">
        <f t="shared" si="732"/>
        <v>6.2519999999999998</v>
      </c>
      <c r="F65" s="3145">
        <f>SUM('ПОЛНАЯ СЕБЕСТОИМОСТЬ ВОДА 2019'!F210)</f>
        <v>6.25</v>
      </c>
      <c r="G65" s="3145">
        <f>SUM('ПОЛНАЯ СЕБЕСТОИМОСТЬ ВОДА 2019'!G210)</f>
        <v>2E-3</v>
      </c>
      <c r="H65" s="3146">
        <v>6.3</v>
      </c>
      <c r="I65" s="3149">
        <f t="shared" si="859"/>
        <v>6.297237966993392</v>
      </c>
      <c r="J65" s="3149">
        <f>SUM(H65/H14*J14)</f>
        <v>2.7620330066075848E-3</v>
      </c>
      <c r="K65" s="3276">
        <f t="shared" si="734"/>
        <v>6.3599999999999994</v>
      </c>
      <c r="L65" s="3276">
        <f t="shared" si="735"/>
        <v>6.3569262735899175</v>
      </c>
      <c r="M65" s="3276">
        <f t="shared" si="736"/>
        <v>3.0737264100820249E-3</v>
      </c>
      <c r="N65" s="3145">
        <f t="shared" si="737"/>
        <v>9.0120000000000005</v>
      </c>
      <c r="O65" s="3145">
        <f>SUM('ПОЛНАЯ СЕБЕСТОИМОСТЬ ВОДА 2019'!I210)</f>
        <v>9.01</v>
      </c>
      <c r="P65" s="3145">
        <f>SUM('ПОЛНАЯ СЕБЕСТОИМОСТЬ ВОДА 2019'!J210)</f>
        <v>2E-3</v>
      </c>
      <c r="Q65" s="3146">
        <v>6.35</v>
      </c>
      <c r="R65" s="3149">
        <f t="shared" si="860"/>
        <v>6.3463779826979749</v>
      </c>
      <c r="S65" s="3149">
        <f>SUM(Q65/Q14*S14)</f>
        <v>3.6220173020249068E-3</v>
      </c>
      <c r="T65" s="3276">
        <f t="shared" si="739"/>
        <v>6.3599999999999994</v>
      </c>
      <c r="U65" s="3276">
        <f t="shared" si="740"/>
        <v>6.3569262735899175</v>
      </c>
      <c r="V65" s="3276">
        <f t="shared" si="741"/>
        <v>3.0737264100820249E-3</v>
      </c>
      <c r="W65" s="3145">
        <f t="shared" si="742"/>
        <v>9.2620000000000005</v>
      </c>
      <c r="X65" s="3145">
        <f>SUM('ПОЛНАЯ СЕБЕСТОИМОСТЬ ВОДА 2019'!L210)</f>
        <v>9.26</v>
      </c>
      <c r="Y65" s="3145">
        <f>SUM('ПОЛНАЯ СЕБЕСТОИМОСТЬ ВОДА 2019'!M210)</f>
        <v>2E-3</v>
      </c>
      <c r="Z65" s="3146">
        <v>6.03</v>
      </c>
      <c r="AA65" s="3149">
        <f t="shared" si="861"/>
        <v>6.0275667496132899</v>
      </c>
      <c r="AB65" s="3149">
        <f>SUM(Z65/Z14*AB14)</f>
        <v>2.4332503867106055E-3</v>
      </c>
      <c r="AC65" s="3120">
        <f t="shared" si="744"/>
        <v>19.079999999999998</v>
      </c>
      <c r="AD65" s="3120">
        <f t="shared" si="745"/>
        <v>19.070778820769753</v>
      </c>
      <c r="AE65" s="3120">
        <f t="shared" si="746"/>
        <v>9.2211792302460752E-3</v>
      </c>
      <c r="AF65" s="3126">
        <f t="shared" si="747"/>
        <v>24.526</v>
      </c>
      <c r="AG65" s="3126">
        <f t="shared" si="748"/>
        <v>24.52</v>
      </c>
      <c r="AH65" s="3126">
        <f t="shared" si="749"/>
        <v>6.0000000000000001E-3</v>
      </c>
      <c r="AI65" s="3126">
        <f t="shared" si="750"/>
        <v>18.68</v>
      </c>
      <c r="AJ65" s="3126">
        <f t="shared" si="751"/>
        <v>18.671182699304655</v>
      </c>
      <c r="AK65" s="3126">
        <f t="shared" si="752"/>
        <v>8.8173006953430975E-3</v>
      </c>
      <c r="AL65" s="3121">
        <f t="shared" si="753"/>
        <v>5.4460000000000015</v>
      </c>
      <c r="AM65" s="3121">
        <f t="shared" si="754"/>
        <v>5.4492211792302463</v>
      </c>
      <c r="AN65" s="3121">
        <f t="shared" si="755"/>
        <v>-3.221179230246075E-3</v>
      </c>
      <c r="AO65" s="3276">
        <f t="shared" si="756"/>
        <v>6.3599999999999994</v>
      </c>
      <c r="AP65" s="3276">
        <f>SUM('ПОЛНАЯ СЕБЕСТОИМОСТЬ ВОДА 2019'!R210/3)</f>
        <v>6.3569262735899175</v>
      </c>
      <c r="AQ65" s="3276">
        <f>SUM('ПОЛНАЯ СЕБЕСТОИМОСТЬ ВОДА 2019'!S210/3)</f>
        <v>3.0737264100820249E-3</v>
      </c>
      <c r="AR65" s="3276">
        <f t="shared" si="757"/>
        <v>8.9620000000000015</v>
      </c>
      <c r="AS65" s="3276">
        <f>SUM('ПОЛНАЯ СЕБЕСТОИМОСТЬ ВОДА 2019'!U210)</f>
        <v>8.9600000000000009</v>
      </c>
      <c r="AT65" s="3276">
        <f>SUM('ПОЛНАЯ СЕБЕСТОИМОСТЬ ВОДА 2019'!V210)</f>
        <v>2E-3</v>
      </c>
      <c r="AU65" s="3461">
        <v>6.26</v>
      </c>
      <c r="AV65" s="3461">
        <f t="shared" si="862"/>
        <v>6.2537501559965056</v>
      </c>
      <c r="AW65" s="3461">
        <f>SUM(AU65/AU14*AW14)</f>
        <v>6.2498440034943212E-3</v>
      </c>
      <c r="AX65" s="3276">
        <f t="shared" si="759"/>
        <v>6.3599999999999994</v>
      </c>
      <c r="AY65" s="3276">
        <f t="shared" si="760"/>
        <v>6.3569262735899175</v>
      </c>
      <c r="AZ65" s="3276">
        <f t="shared" si="761"/>
        <v>3.0737264100820249E-3</v>
      </c>
      <c r="BA65" s="3276">
        <f t="shared" si="762"/>
        <v>9.2220000000000013</v>
      </c>
      <c r="BB65" s="3276">
        <f>SUM('ПОЛНАЯ СЕБЕСТОИМОСТЬ ВОДА 2019'!X210)</f>
        <v>9.2200000000000006</v>
      </c>
      <c r="BC65" s="3276">
        <f>SUM('ПОЛНАЯ СЕБЕСТОИМОСТЬ ВОДА 2019'!Y210)</f>
        <v>2E-3</v>
      </c>
      <c r="BD65" s="3146">
        <v>6.42</v>
      </c>
      <c r="BE65" s="3149">
        <f t="shared" si="863"/>
        <v>6.4178957029073391</v>
      </c>
      <c r="BF65" s="3149">
        <f>SUM(BD65/BD14*BF14)</f>
        <v>2.1042970926611819E-3</v>
      </c>
      <c r="BG65" s="3276">
        <f t="shared" si="764"/>
        <v>6.3599999999999994</v>
      </c>
      <c r="BH65" s="3276">
        <f t="shared" si="765"/>
        <v>6.3569262735899175</v>
      </c>
      <c r="BI65" s="3276">
        <f t="shared" si="766"/>
        <v>3.0737264100820249E-3</v>
      </c>
      <c r="BJ65" s="3145">
        <f t="shared" si="767"/>
        <v>9.3040000000000003</v>
      </c>
      <c r="BK65" s="3145">
        <f>SUM('ПОЛНАЯ СЕБЕСТОИМОСТЬ ВОДА 2019'!AA210)</f>
        <v>9.3000000000000007</v>
      </c>
      <c r="BL65" s="3145">
        <f>SUM('ПОЛНАЯ СЕБЕСТОИМОСТЬ ВОДА 2019'!AB210)</f>
        <v>4.0000000000000001E-3</v>
      </c>
      <c r="BM65" s="3146">
        <v>6.32</v>
      </c>
      <c r="BN65" s="3149">
        <f t="shared" si="864"/>
        <v>6.3182497384454432</v>
      </c>
      <c r="BO65" s="3149">
        <f>SUM(BM65/BM14*BO14)</f>
        <v>1.7502615545572037E-3</v>
      </c>
      <c r="BP65" s="3120">
        <f t="shared" si="769"/>
        <v>19.079999999999998</v>
      </c>
      <c r="BQ65" s="3120">
        <f t="shared" si="770"/>
        <v>19.070778820769753</v>
      </c>
      <c r="BR65" s="3120">
        <f t="shared" si="771"/>
        <v>9.2211792302460752E-3</v>
      </c>
      <c r="BS65" s="3147">
        <f t="shared" si="772"/>
        <v>27.488000000000007</v>
      </c>
      <c r="BT65" s="3147">
        <f t="shared" si="773"/>
        <v>27.48</v>
      </c>
      <c r="BU65" s="3147">
        <f t="shared" si="774"/>
        <v>8.0000000000000002E-3</v>
      </c>
      <c r="BV65" s="3147">
        <f t="shared" si="775"/>
        <v>19</v>
      </c>
      <c r="BW65" s="3147">
        <f t="shared" si="776"/>
        <v>18.989895597349289</v>
      </c>
      <c r="BX65" s="3147">
        <f t="shared" si="777"/>
        <v>1.0104402650712706E-2</v>
      </c>
      <c r="BY65" s="3148"/>
      <c r="BZ65" s="3148"/>
      <c r="CA65" s="3148"/>
      <c r="CB65" s="3120">
        <f t="shared" si="780"/>
        <v>38.159999999999997</v>
      </c>
      <c r="CC65" s="3120">
        <f t="shared" si="781"/>
        <v>38.141557641539507</v>
      </c>
      <c r="CD65" s="3120">
        <f t="shared" si="782"/>
        <v>1.844235846049215E-2</v>
      </c>
      <c r="CE65" s="3147">
        <f t="shared" si="783"/>
        <v>52.01400000000001</v>
      </c>
      <c r="CF65" s="3147">
        <f t="shared" si="784"/>
        <v>52</v>
      </c>
      <c r="CG65" s="3147">
        <f t="shared" si="785"/>
        <v>1.4E-2</v>
      </c>
      <c r="CH65" s="3147">
        <f t="shared" si="786"/>
        <v>37.68</v>
      </c>
      <c r="CI65" s="3147">
        <f t="shared" si="787"/>
        <v>37.66107829665394</v>
      </c>
      <c r="CJ65" s="3147">
        <f t="shared" si="788"/>
        <v>1.8921703346055804E-2</v>
      </c>
      <c r="CK65" s="3148">
        <f t="shared" si="1030"/>
        <v>13.854000000000013</v>
      </c>
      <c r="CL65" s="3148">
        <f t="shared" si="1031"/>
        <v>13.858442358460493</v>
      </c>
      <c r="CM65" s="3148">
        <f t="shared" si="1032"/>
        <v>-4.44235846049215E-3</v>
      </c>
      <c r="CN65" s="3276">
        <f t="shared" si="791"/>
        <v>6.3599999999999994</v>
      </c>
      <c r="CO65" s="3276">
        <f>SUM('ПОЛНАЯ СЕБЕСТОИМОСТЬ ВОДА 2019'!AP210/3)</f>
        <v>6.3569262735899175</v>
      </c>
      <c r="CP65" s="3276">
        <f>SUM('ПОЛНАЯ СЕБЕСТОИМОСТЬ ВОДА 2019'!AQ210/3)</f>
        <v>3.0737264100820249E-3</v>
      </c>
      <c r="CQ65" s="3145">
        <f t="shared" si="792"/>
        <v>9.6020000000000003</v>
      </c>
      <c r="CR65" s="3145">
        <f>SUM('ПОЛНАЯ СЕБЕСТОИМОСТЬ ВОДА 2019'!AS210)</f>
        <v>9.6</v>
      </c>
      <c r="CS65" s="3145">
        <f>SUM('ПОЛНАЯ СЕБЕСТОИМОСТЬ ВОДА 2019'!AT210)</f>
        <v>2E-3</v>
      </c>
      <c r="CT65" s="3146">
        <v>6.34</v>
      </c>
      <c r="CU65" s="3149">
        <f t="shared" si="865"/>
        <v>6.3384380938973743</v>
      </c>
      <c r="CV65" s="3149">
        <f>SUM(CT65/CT14*CV14)</f>
        <v>1.5619061026254666E-3</v>
      </c>
      <c r="CW65" s="3276">
        <f t="shared" si="794"/>
        <v>6.3599999999999994</v>
      </c>
      <c r="CX65" s="3276">
        <f t="shared" si="795"/>
        <v>6.3569262735899175</v>
      </c>
      <c r="CY65" s="3276">
        <f t="shared" si="796"/>
        <v>3.0737264100820249E-3</v>
      </c>
      <c r="CZ65" s="3145">
        <f t="shared" si="797"/>
        <v>9.2720000000000002</v>
      </c>
      <c r="DA65" s="3145">
        <f>SUM('ПОЛНАЯ СЕБЕСТОИМОСТЬ ВОДА 2019'!AV210)</f>
        <v>9.27</v>
      </c>
      <c r="DB65" s="3145">
        <f>SUM('ПОЛНАЯ СЕБЕСТОИМОСТЬ ВОДА 2019'!AW210)</f>
        <v>2E-3</v>
      </c>
      <c r="DC65" s="3146">
        <v>6.36</v>
      </c>
      <c r="DD65" s="3149">
        <f t="shared" si="866"/>
        <v>6.3584949290060857</v>
      </c>
      <c r="DE65" s="3149">
        <f>SUM(DC65/DC14*DE14)</f>
        <v>1.5050709939148075E-3</v>
      </c>
      <c r="DF65" s="3276">
        <f t="shared" si="799"/>
        <v>6.3599999999999994</v>
      </c>
      <c r="DG65" s="3276">
        <f t="shared" si="800"/>
        <v>6.3569262735899175</v>
      </c>
      <c r="DH65" s="3276">
        <f t="shared" si="801"/>
        <v>3.0737264100820249E-3</v>
      </c>
      <c r="DI65" s="3145">
        <f t="shared" si="802"/>
        <v>9.1839999999999993</v>
      </c>
      <c r="DJ65" s="3145">
        <f>SUM('ПОЛНАЯ СЕБЕСТОИМОСТЬ ВОДА 2019'!AY210)</f>
        <v>9.18</v>
      </c>
      <c r="DK65" s="3145">
        <f>SUM('ПОЛНАЯ СЕБЕСТОИМОСТЬ ВОДА 2019'!AZ210)</f>
        <v>4.0000000000000001E-3</v>
      </c>
      <c r="DL65" s="3146">
        <v>6.18</v>
      </c>
      <c r="DM65" s="3149">
        <f t="shared" si="867"/>
        <v>6.1783600982800984</v>
      </c>
      <c r="DN65" s="3149">
        <f>SUM(DL65/DL14*DN14)</f>
        <v>1.6399017199017199E-3</v>
      </c>
      <c r="DO65" s="3120">
        <f t="shared" si="804"/>
        <v>19.079999999999998</v>
      </c>
      <c r="DP65" s="3120">
        <f t="shared" si="805"/>
        <v>19.070778820769753</v>
      </c>
      <c r="DQ65" s="3120">
        <f t="shared" si="806"/>
        <v>9.2211792302460752E-3</v>
      </c>
      <c r="DR65" s="3147">
        <f t="shared" si="807"/>
        <v>28.058</v>
      </c>
      <c r="DS65" s="3147">
        <f t="shared" si="808"/>
        <v>28.049999999999997</v>
      </c>
      <c r="DT65" s="3147">
        <f t="shared" si="809"/>
        <v>8.0000000000000002E-3</v>
      </c>
      <c r="DU65" s="3147">
        <f t="shared" si="810"/>
        <v>18.88</v>
      </c>
      <c r="DV65" s="3147">
        <f t="shared" si="811"/>
        <v>18.87529312118356</v>
      </c>
      <c r="DW65" s="3147">
        <f t="shared" si="812"/>
        <v>4.7068788164419941E-3</v>
      </c>
      <c r="DX65" s="3148">
        <f t="shared" si="578"/>
        <v>8.9780000000000015</v>
      </c>
      <c r="DY65" s="3148">
        <f t="shared" si="813"/>
        <v>8.9792211792302439</v>
      </c>
      <c r="DZ65" s="3148">
        <f t="shared" si="814"/>
        <v>-1.221179230246075E-3</v>
      </c>
      <c r="EA65" s="3120">
        <f t="shared" si="815"/>
        <v>57.239999999999995</v>
      </c>
      <c r="EB65" s="3120">
        <f t="shared" si="816"/>
        <v>57.21233646230926</v>
      </c>
      <c r="EC65" s="3120">
        <f t="shared" si="817"/>
        <v>2.7663537690738225E-2</v>
      </c>
      <c r="ED65" s="3147">
        <f t="shared" si="818"/>
        <v>80.072000000000003</v>
      </c>
      <c r="EE65" s="3147">
        <f t="shared" si="819"/>
        <v>80.05</v>
      </c>
      <c r="EF65" s="3147">
        <f t="shared" si="820"/>
        <v>2.1999999999999999E-2</v>
      </c>
      <c r="EG65" s="3147">
        <f t="shared" si="821"/>
        <v>56.56</v>
      </c>
      <c r="EH65" s="3147">
        <f t="shared" si="822"/>
        <v>56.536371417837501</v>
      </c>
      <c r="EI65" s="3147">
        <f t="shared" si="823"/>
        <v>2.3628582162497799E-2</v>
      </c>
      <c r="EJ65" s="3148">
        <f t="shared" si="590"/>
        <v>22.832000000000008</v>
      </c>
      <c r="EK65" s="3148">
        <f t="shared" si="590"/>
        <v>22.837663537690737</v>
      </c>
      <c r="EL65" s="3148">
        <f t="shared" si="590"/>
        <v>-5.6635376907382268E-3</v>
      </c>
      <c r="EM65" s="3276">
        <f t="shared" si="824"/>
        <v>6.3599999999999994</v>
      </c>
      <c r="EN65" s="3276">
        <f>SUM('ПОЛНАЯ СЕБЕСТОИМОСТЬ ВОДА 2019'!BN210/3)</f>
        <v>6.3569262735899175</v>
      </c>
      <c r="EO65" s="3276">
        <f>SUM('ПОЛНАЯ СЕБЕСТОИМОСТЬ ВОДА 2019'!BO210/3)</f>
        <v>3.0737264100820249E-3</v>
      </c>
      <c r="EP65" s="3145">
        <f t="shared" si="825"/>
        <v>0</v>
      </c>
      <c r="EQ65" s="3145">
        <f>SUM('ПОЛНАЯ СЕБЕСТОИМОСТЬ ВОДА 2019'!BQ210)</f>
        <v>0</v>
      </c>
      <c r="ER65" s="3145">
        <f>SUM('ПОЛНАЯ СЕБЕСТОИМОСТЬ ВОДА 2019'!BR210)</f>
        <v>0</v>
      </c>
      <c r="ES65" s="3146">
        <v>6.45</v>
      </c>
      <c r="ET65" s="3149">
        <f t="shared" si="868"/>
        <v>6.4482886480319452</v>
      </c>
      <c r="EU65" s="3149">
        <f>SUM(ES65/ES14*EU14)</f>
        <v>1.7113519680547631E-3</v>
      </c>
      <c r="EV65" s="3276">
        <f t="shared" si="827"/>
        <v>6.3599999999999994</v>
      </c>
      <c r="EW65" s="3276">
        <f t="shared" si="828"/>
        <v>6.3569262735899175</v>
      </c>
      <c r="EX65" s="3276">
        <f t="shared" si="829"/>
        <v>3.0737264100820249E-3</v>
      </c>
      <c r="EY65" s="3145">
        <f t="shared" si="830"/>
        <v>0</v>
      </c>
      <c r="EZ65" s="3145">
        <f>SUM('ПОЛНАЯ СЕБЕСТОИМОСТЬ ВОДА 2019'!BT210)</f>
        <v>0</v>
      </c>
      <c r="FA65" s="3145">
        <f>SUM('ПОЛНАЯ СЕБЕСТОИМОСТЬ ВОДА 2019'!BU210)</f>
        <v>0</v>
      </c>
      <c r="FB65" s="3146">
        <v>6.44</v>
      </c>
      <c r="FC65" s="3149">
        <f t="shared" si="869"/>
        <v>6.4382616324189366</v>
      </c>
      <c r="FD65" s="3149">
        <f>SUM(FB65/FB14*FD14)</f>
        <v>1.7383675810642104E-3</v>
      </c>
      <c r="FE65" s="3276">
        <f t="shared" si="832"/>
        <v>6.3599999999999994</v>
      </c>
      <c r="FF65" s="3276">
        <f t="shared" si="833"/>
        <v>6.3569262735899175</v>
      </c>
      <c r="FG65" s="3276">
        <f t="shared" si="834"/>
        <v>3.0737264100820249E-3</v>
      </c>
      <c r="FH65" s="3145">
        <f>SUM('[19]ПОЛНАЯ СЕБЕСТОИМОСТЬ ВОДА 2018'!Z210)</f>
        <v>0</v>
      </c>
      <c r="FI65" s="3145">
        <f>SUM('ПОЛНАЯ СЕБЕСТОИМОСТЬ ВОДА 2019'!BW210)</f>
        <v>0</v>
      </c>
      <c r="FJ65" s="3145">
        <f>SUM('ПОЛНАЯ СЕБЕСТОИМОСТЬ ВОДА 2019'!BX210)</f>
        <v>0</v>
      </c>
      <c r="FK65" s="3146">
        <v>6.3</v>
      </c>
      <c r="FL65" s="3149">
        <f t="shared" si="870"/>
        <v>6.3</v>
      </c>
      <c r="FM65" s="3149">
        <f>SUM(FK65/FK14*FM14)</f>
        <v>0</v>
      </c>
      <c r="FN65" s="3120">
        <f t="shared" si="836"/>
        <v>19.079999999999998</v>
      </c>
      <c r="FO65" s="3120">
        <f t="shared" si="837"/>
        <v>19.070778820769753</v>
      </c>
      <c r="FP65" s="3120">
        <f t="shared" si="838"/>
        <v>9.2211792302460752E-3</v>
      </c>
      <c r="FQ65" s="3126">
        <f t="shared" si="839"/>
        <v>0</v>
      </c>
      <c r="FR65" s="3126">
        <f t="shared" si="840"/>
        <v>0</v>
      </c>
      <c r="FS65" s="3126">
        <f t="shared" si="841"/>
        <v>0</v>
      </c>
      <c r="FT65" s="3126">
        <f t="shared" si="842"/>
        <v>19.190000000000001</v>
      </c>
      <c r="FU65" s="3126">
        <f t="shared" si="843"/>
        <v>19.186550280450881</v>
      </c>
      <c r="FV65" s="3126">
        <f t="shared" si="844"/>
        <v>3.4497195491189738E-3</v>
      </c>
      <c r="FW65" s="3121">
        <f t="shared" si="600"/>
        <v>-19.079999999999998</v>
      </c>
      <c r="FX65" s="3121">
        <f t="shared" si="845"/>
        <v>-19.070778820769753</v>
      </c>
      <c r="FY65" s="3121">
        <f t="shared" si="846"/>
        <v>-9.2211792302460752E-3</v>
      </c>
      <c r="FZ65" s="3227">
        <f t="shared" si="847"/>
        <v>76.319999999999993</v>
      </c>
      <c r="GA65" s="3227">
        <f t="shared" si="848"/>
        <v>76.283115283079013</v>
      </c>
      <c r="GB65" s="3227">
        <f t="shared" si="849"/>
        <v>3.6884716920984301E-2</v>
      </c>
      <c r="GC65" s="3232">
        <f t="shared" si="850"/>
        <v>80.072000000000003</v>
      </c>
      <c r="GD65" s="3232">
        <f t="shared" si="851"/>
        <v>80.05</v>
      </c>
      <c r="GE65" s="3232">
        <f t="shared" si="852"/>
        <v>2.1999999999999999E-2</v>
      </c>
      <c r="GF65" s="3232">
        <f t="shared" si="853"/>
        <v>75.75</v>
      </c>
      <c r="GG65" s="3232">
        <f t="shared" si="854"/>
        <v>75.722921698288388</v>
      </c>
      <c r="GH65" s="3232">
        <f t="shared" si="855"/>
        <v>2.7078301711616772E-2</v>
      </c>
      <c r="GI65" s="3233">
        <f t="shared" si="856"/>
        <v>3.7520000000000095</v>
      </c>
      <c r="GJ65" s="3233">
        <f t="shared" si="857"/>
        <v>3.766884716920984</v>
      </c>
      <c r="GK65" s="3233">
        <f t="shared" si="858"/>
        <v>-1.4884716920984302E-2</v>
      </c>
      <c r="GL65" s="396"/>
    </row>
    <row r="66" spans="1:195" ht="18.75" x14ac:dyDescent="0.3">
      <c r="A66" s="3079" t="s">
        <v>3607</v>
      </c>
      <c r="B66" s="3276">
        <f t="shared" si="731"/>
        <v>136.02416666666667</v>
      </c>
      <c r="C66" s="3276">
        <f>SUM('ПОЛНАЯ СЕБЕСТОИМОСТЬ ВОДА 2019'!C211/3)</f>
        <v>135.95842750416782</v>
      </c>
      <c r="D66" s="3276">
        <f>SUM('ПОЛНАЯ СЕБЕСТОИМОСТЬ ВОДА 2019'!D211/3)</f>
        <v>6.5739162498857293E-2</v>
      </c>
      <c r="E66" s="3145">
        <f t="shared" si="732"/>
        <v>201.18</v>
      </c>
      <c r="F66" s="3145">
        <f>SUM('ПОЛНАЯ СЕБЕСТОИМОСТЬ ВОДА 2019'!F211)</f>
        <v>201.12</v>
      </c>
      <c r="G66" s="3145">
        <f>SUM('ПОЛНАЯ СЕБЕСТОИМОСТЬ ВОДА 2019'!G211)</f>
        <v>0.06</v>
      </c>
      <c r="H66" s="3146">
        <v>198.13</v>
      </c>
      <c r="I66" s="3149">
        <f t="shared" si="859"/>
        <v>198.0325195739693</v>
      </c>
      <c r="J66" s="3149">
        <f>SUM(H66/H14*J14)*1.12222222222</f>
        <v>9.7480426030698036E-2</v>
      </c>
      <c r="K66" s="3276">
        <f t="shared" si="734"/>
        <v>136.02416666666667</v>
      </c>
      <c r="L66" s="3276">
        <f t="shared" si="735"/>
        <v>135.95842750416782</v>
      </c>
      <c r="M66" s="3276">
        <f t="shared" si="736"/>
        <v>6.5739162498857293E-2</v>
      </c>
      <c r="N66" s="3145">
        <f t="shared" si="737"/>
        <v>180.71</v>
      </c>
      <c r="O66" s="3145">
        <f>SUM('ПОЛНАЯ СЕБЕСТОИМОСТЬ ВОДА 2019'!I211)</f>
        <v>180.66</v>
      </c>
      <c r="P66" s="3145">
        <f>SUM('ПОЛНАЯ СЕБЕСТОИМОСТЬ ВОДА 2019'!J211)</f>
        <v>0.05</v>
      </c>
      <c r="Q66" s="3146">
        <v>126.75</v>
      </c>
      <c r="R66" s="3149">
        <f t="shared" si="860"/>
        <v>126.66886586177409</v>
      </c>
      <c r="S66" s="3149">
        <f>SUM(Q66/Q14*S14)*1.12222222222</f>
        <v>8.1134138225906455E-2</v>
      </c>
      <c r="T66" s="3276">
        <f t="shared" si="739"/>
        <v>136.02416666666667</v>
      </c>
      <c r="U66" s="3276">
        <f t="shared" si="740"/>
        <v>135.95842750416782</v>
      </c>
      <c r="V66" s="3276">
        <f t="shared" si="741"/>
        <v>6.5739162498857293E-2</v>
      </c>
      <c r="W66" s="3145">
        <f t="shared" si="742"/>
        <v>268.72000000000003</v>
      </c>
      <c r="X66" s="3145">
        <f>SUM('ПОЛНАЯ СЕБЕСТОИМОСТЬ ВОДА 2019'!L211)</f>
        <v>268.66000000000003</v>
      </c>
      <c r="Y66" s="3145">
        <f>SUM('ПОЛНАЯ СЕБЕСТОИМОСТЬ ВОДА 2019'!M211)</f>
        <v>0.06</v>
      </c>
      <c r="Z66" s="3146">
        <v>473.16</v>
      </c>
      <c r="AA66" s="3149">
        <f t="shared" si="861"/>
        <v>472.94573246351513</v>
      </c>
      <c r="AB66" s="3149">
        <f>SUM(Z66/Z14*AB14)*1.12222222222</f>
        <v>0.21426753648488067</v>
      </c>
      <c r="AC66" s="3120">
        <f t="shared" si="744"/>
        <v>408.07249999999999</v>
      </c>
      <c r="AD66" s="3120">
        <f t="shared" si="745"/>
        <v>407.87528251250342</v>
      </c>
      <c r="AE66" s="3120">
        <f t="shared" si="746"/>
        <v>0.19721748749657186</v>
      </c>
      <c r="AF66" s="3126">
        <f t="shared" si="747"/>
        <v>650.61</v>
      </c>
      <c r="AG66" s="3126">
        <f t="shared" si="748"/>
        <v>650.44000000000005</v>
      </c>
      <c r="AH66" s="3126">
        <f t="shared" si="749"/>
        <v>0.16999999999999998</v>
      </c>
      <c r="AI66" s="3126">
        <f t="shared" si="750"/>
        <v>798.04</v>
      </c>
      <c r="AJ66" s="3126">
        <f t="shared" si="751"/>
        <v>797.64711789925855</v>
      </c>
      <c r="AK66" s="3126">
        <f t="shared" si="752"/>
        <v>0.39288210074148516</v>
      </c>
      <c r="AL66" s="3121">
        <f t="shared" si="753"/>
        <v>242.53750000000002</v>
      </c>
      <c r="AM66" s="3121">
        <f t="shared" si="754"/>
        <v>242.56471748749664</v>
      </c>
      <c r="AN66" s="3121">
        <f t="shared" si="755"/>
        <v>-2.7217487496571879E-2</v>
      </c>
      <c r="AO66" s="3276">
        <f t="shared" si="756"/>
        <v>136.02416666666667</v>
      </c>
      <c r="AP66" s="3276">
        <f>SUM('ПОЛНАЯ СЕБЕСТОИМОСТЬ ВОДА 2019'!R211/3)</f>
        <v>135.95842750416782</v>
      </c>
      <c r="AQ66" s="3276">
        <f>SUM('ПОЛНАЯ СЕБЕСТОИМОСТЬ ВОДА 2019'!S211/3)</f>
        <v>6.5739162498857293E-2</v>
      </c>
      <c r="AR66" s="3276">
        <f t="shared" si="757"/>
        <v>290.21299999999997</v>
      </c>
      <c r="AS66" s="3276">
        <f>SUM('ПОЛНАЯ СЕБЕСТОИМОСТЬ ВОДА 2019'!U211)</f>
        <v>290.14999999999998</v>
      </c>
      <c r="AT66" s="3276">
        <f>SUM('ПОЛНАЯ СЕБЕСТОИМОСТЬ ВОДА 2019'!V211)</f>
        <v>6.3E-2</v>
      </c>
      <c r="AU66" s="3461">
        <v>202.62</v>
      </c>
      <c r="AV66" s="3461">
        <f t="shared" si="862"/>
        <v>202.39298423395363</v>
      </c>
      <c r="AW66" s="3461">
        <f>SUM(AU66/AU14*AW14)*1.12222222222</f>
        <v>0.22701576604639101</v>
      </c>
      <c r="AX66" s="3276">
        <f t="shared" si="759"/>
        <v>136.02416666666667</v>
      </c>
      <c r="AY66" s="3276">
        <f t="shared" si="760"/>
        <v>135.95842750416782</v>
      </c>
      <c r="AZ66" s="3276">
        <f t="shared" si="761"/>
        <v>6.5739162498857293E-2</v>
      </c>
      <c r="BA66" s="3276">
        <f t="shared" si="762"/>
        <v>193.16399999999999</v>
      </c>
      <c r="BB66" s="3276">
        <f>SUM('ПОЛНАЯ СЕБЕСТОИМОСТЬ ВОДА 2019'!X211)</f>
        <v>193.1</v>
      </c>
      <c r="BC66" s="3276">
        <f>SUM('ПОЛНАЯ СЕБЕСТОИМОСТЬ ВОДА 2019'!Y211)</f>
        <v>6.4000000000000001E-2</v>
      </c>
      <c r="BD66" s="3146">
        <v>113.08</v>
      </c>
      <c r="BE66" s="3149">
        <f t="shared" si="863"/>
        <v>113.03840542499307</v>
      </c>
      <c r="BF66" s="3149">
        <f>SUM(BD66/BD14*BF14)*1.12222222222</f>
        <v>4.1594575006928321E-2</v>
      </c>
      <c r="BG66" s="3276">
        <f t="shared" si="764"/>
        <v>136.02416666666667</v>
      </c>
      <c r="BH66" s="3276">
        <f t="shared" si="765"/>
        <v>135.95842750416782</v>
      </c>
      <c r="BI66" s="3276">
        <f t="shared" si="766"/>
        <v>6.5739162498857293E-2</v>
      </c>
      <c r="BJ66" s="3145">
        <f t="shared" si="767"/>
        <v>241.34</v>
      </c>
      <c r="BK66" s="3145">
        <f>SUM('ПОЛНАЯ СЕБЕСТОИМОСТЬ ВОДА 2019'!AA211)</f>
        <v>241.25</v>
      </c>
      <c r="BL66" s="3145">
        <f>SUM('ПОЛНАЯ СЕБЕСТОИМОСТЬ ВОДА 2019'!AB211)</f>
        <v>0.09</v>
      </c>
      <c r="BM66" s="3146">
        <v>122.88</v>
      </c>
      <c r="BN66" s="3149">
        <f t="shared" si="864"/>
        <v>122.84181032678941</v>
      </c>
      <c r="BO66" s="3149">
        <f>SUM(BM66/BM14*BO14)*1.12222222222</f>
        <v>3.8189673210583489E-2</v>
      </c>
      <c r="BP66" s="3120">
        <f>SUM(AO66+AX66+BG66)</f>
        <v>408.07249999999999</v>
      </c>
      <c r="BQ66" s="3120">
        <f t="shared" si="770"/>
        <v>407.87528251250342</v>
      </c>
      <c r="BR66" s="3120">
        <f t="shared" si="771"/>
        <v>0.19721748749657186</v>
      </c>
      <c r="BS66" s="3147">
        <f t="shared" si="772"/>
        <v>724.71699999999998</v>
      </c>
      <c r="BT66" s="3147">
        <f t="shared" si="773"/>
        <v>724.5</v>
      </c>
      <c r="BU66" s="3147">
        <f t="shared" si="774"/>
        <v>0.217</v>
      </c>
      <c r="BV66" s="3147">
        <f t="shared" si="775"/>
        <v>438.58</v>
      </c>
      <c r="BW66" s="3147">
        <f t="shared" si="776"/>
        <v>438.27319998573614</v>
      </c>
      <c r="BX66" s="3147">
        <f t="shared" si="777"/>
        <v>0.3068000142639028</v>
      </c>
      <c r="BY66" s="3148">
        <f t="shared" si="554"/>
        <v>316.64449999999999</v>
      </c>
      <c r="BZ66" s="3148">
        <f t="shared" ref="BZ66:BZ71" si="1033">SUM(BT66-BQ66)</f>
        <v>316.62471748749658</v>
      </c>
      <c r="CA66" s="3148">
        <f t="shared" ref="CA66:CA71" si="1034">SUM(BU66-BR66)</f>
        <v>1.9782512503428135E-2</v>
      </c>
      <c r="CB66" s="3120">
        <f>SUM(AC66+BP66)</f>
        <v>816.14499999999998</v>
      </c>
      <c r="CC66" s="3120">
        <f t="shared" si="781"/>
        <v>815.75056502500684</v>
      </c>
      <c r="CD66" s="3120">
        <f t="shared" si="782"/>
        <v>0.39443497499314373</v>
      </c>
      <c r="CE66" s="3147">
        <f t="shared" si="783"/>
        <v>1375.327</v>
      </c>
      <c r="CF66" s="3147">
        <f t="shared" si="784"/>
        <v>1374.94</v>
      </c>
      <c r="CG66" s="3147">
        <f t="shared" si="785"/>
        <v>0.38700000000000001</v>
      </c>
      <c r="CH66" s="3147">
        <f t="shared" si="786"/>
        <v>1236.6199999999999</v>
      </c>
      <c r="CI66" s="3147">
        <f t="shared" si="787"/>
        <v>1235.9203178849948</v>
      </c>
      <c r="CJ66" s="3147">
        <f t="shared" si="788"/>
        <v>0.69968211500538802</v>
      </c>
      <c r="CK66" s="3148">
        <f t="shared" si="566"/>
        <v>559.18200000000002</v>
      </c>
      <c r="CL66" s="3148">
        <f t="shared" ref="CL66:CL71" si="1035">SUM(CF66-CC66)</f>
        <v>559.18943497499322</v>
      </c>
      <c r="CM66" s="3148">
        <f t="shared" ref="CM66:CM71" si="1036">SUM(CG66-CD66)</f>
        <v>-7.434974993143717E-3</v>
      </c>
      <c r="CN66" s="3276">
        <f t="shared" si="791"/>
        <v>136.02416666666667</v>
      </c>
      <c r="CO66" s="3276">
        <f>SUM('ПОЛНАЯ СЕБЕСТОИМОСТЬ ВОДА 2019'!AP211/3)</f>
        <v>135.95842750416782</v>
      </c>
      <c r="CP66" s="3276">
        <f>SUM('ПОЛНАЯ СЕБЕСТОИМОСТЬ ВОДА 2019'!AQ211/3)</f>
        <v>6.5739162498857293E-2</v>
      </c>
      <c r="CQ66" s="3145">
        <f t="shared" si="792"/>
        <v>236.32</v>
      </c>
      <c r="CR66" s="3145">
        <f>SUM('ПОЛНАЯ СЕБЕСТОИМОСТЬ ВОДА 2019'!AS211)</f>
        <v>236.26</v>
      </c>
      <c r="CS66" s="3145">
        <f>SUM('ПОЛНАЯ СЕБЕСТОИМОСТЬ ВОДА 2019'!AT211)</f>
        <v>0.06</v>
      </c>
      <c r="CT66" s="3146">
        <v>186.95</v>
      </c>
      <c r="CU66" s="3149">
        <f t="shared" si="865"/>
        <v>186.89831434816961</v>
      </c>
      <c r="CV66" s="3149">
        <f>SUM(CT66/CT14*CV14)*1.12222222222</f>
        <v>5.1685651830372457E-2</v>
      </c>
      <c r="CW66" s="3276">
        <f t="shared" si="794"/>
        <v>136.02416666666667</v>
      </c>
      <c r="CX66" s="3276">
        <f t="shared" si="795"/>
        <v>135.95842750416782</v>
      </c>
      <c r="CY66" s="3276">
        <f t="shared" si="796"/>
        <v>6.5739162498857293E-2</v>
      </c>
      <c r="CZ66" s="3145">
        <f t="shared" si="797"/>
        <v>270.37900000000002</v>
      </c>
      <c r="DA66" s="3145">
        <f>SUM('ПОЛНАЯ СЕБЕСТОИМОСТЬ ВОДА 2019'!AV211)</f>
        <v>270.32</v>
      </c>
      <c r="DB66" s="3145">
        <f>SUM('ПОЛНАЯ СЕБЕСТОИМОСТЬ ВОДА 2019'!AW211)</f>
        <v>5.8999999999999997E-2</v>
      </c>
      <c r="DC66" s="3146">
        <v>216.05</v>
      </c>
      <c r="DD66" s="3149">
        <f t="shared" si="866"/>
        <v>215.99262363834436</v>
      </c>
      <c r="DE66" s="3149">
        <f>SUM(DC66/DC14*DE14)*1.12222222222</f>
        <v>5.7376361655659812E-2</v>
      </c>
      <c r="DF66" s="3276">
        <f t="shared" si="799"/>
        <v>136.02416666666667</v>
      </c>
      <c r="DG66" s="3276">
        <f t="shared" si="800"/>
        <v>135.95842750416782</v>
      </c>
      <c r="DH66" s="3276">
        <f t="shared" si="801"/>
        <v>6.5739162498857293E-2</v>
      </c>
      <c r="DI66" s="3145">
        <f t="shared" si="802"/>
        <v>202.82499999999999</v>
      </c>
      <c r="DJ66" s="3145">
        <f>SUM('ПОЛНАЯ СЕБЕСТОИМОСТЬ ВОДА 2019'!AY211)</f>
        <v>202.75</v>
      </c>
      <c r="DK66" s="3145">
        <f>SUM('ПОЛНАЯ СЕБЕСТОИМОСТЬ ВОДА 2019'!AZ211)</f>
        <v>7.4999999999999997E-2</v>
      </c>
      <c r="DL66" s="3146">
        <v>223.66</v>
      </c>
      <c r="DM66" s="3149">
        <f t="shared" si="867"/>
        <v>223.59339657985271</v>
      </c>
      <c r="DN66" s="3149">
        <f>SUM(DL66/DL14*DN14)*1.12222222222</f>
        <v>6.6603420147288261E-2</v>
      </c>
      <c r="DO66" s="3120">
        <f>SUM(CN66+CW66+DF66)</f>
        <v>408.07249999999999</v>
      </c>
      <c r="DP66" s="3120">
        <f t="shared" si="805"/>
        <v>407.87528251250342</v>
      </c>
      <c r="DQ66" s="3120">
        <f t="shared" si="806"/>
        <v>0.19721748749657186</v>
      </c>
      <c r="DR66" s="3147">
        <f t="shared" si="807"/>
        <v>709.524</v>
      </c>
      <c r="DS66" s="3147">
        <f t="shared" si="808"/>
        <v>709.32999999999993</v>
      </c>
      <c r="DT66" s="3147">
        <f t="shared" si="809"/>
        <v>0.19400000000000001</v>
      </c>
      <c r="DU66" s="3147">
        <f t="shared" si="810"/>
        <v>626.66</v>
      </c>
      <c r="DV66" s="3147">
        <f t="shared" si="811"/>
        <v>626.48433456636667</v>
      </c>
      <c r="DW66" s="3147">
        <f t="shared" si="812"/>
        <v>0.17566543363332054</v>
      </c>
      <c r="DX66" s="3148">
        <f t="shared" si="578"/>
        <v>301.45150000000001</v>
      </c>
      <c r="DY66" s="3148">
        <f t="shared" si="813"/>
        <v>301.45471748749651</v>
      </c>
      <c r="DZ66" s="3148">
        <f t="shared" si="814"/>
        <v>-3.2174874965718581E-3</v>
      </c>
      <c r="EA66" s="3120">
        <f>SUM(CB66+DO66)</f>
        <v>1224.2175</v>
      </c>
      <c r="EB66" s="3120">
        <f t="shared" si="816"/>
        <v>1223.6258475375103</v>
      </c>
      <c r="EC66" s="3120">
        <f t="shared" si="817"/>
        <v>0.59165246248971559</v>
      </c>
      <c r="ED66" s="3147">
        <f t="shared" si="818"/>
        <v>2084.8510000000001</v>
      </c>
      <c r="EE66" s="3147">
        <f t="shared" si="819"/>
        <v>2084.27</v>
      </c>
      <c r="EF66" s="3147">
        <f t="shared" si="820"/>
        <v>0.58099999999999996</v>
      </c>
      <c r="EG66" s="3147">
        <f t="shared" si="821"/>
        <v>1863.2799999999997</v>
      </c>
      <c r="EH66" s="3147">
        <f t="shared" si="822"/>
        <v>1862.4046524513615</v>
      </c>
      <c r="EI66" s="3147">
        <f t="shared" si="823"/>
        <v>0.87534754863870856</v>
      </c>
      <c r="EJ66" s="3148">
        <f t="shared" si="590"/>
        <v>860.63350000000014</v>
      </c>
      <c r="EK66" s="3148">
        <f t="shared" si="590"/>
        <v>860.64415246248973</v>
      </c>
      <c r="EL66" s="3148">
        <f t="shared" si="590"/>
        <v>-1.0652462489715631E-2</v>
      </c>
      <c r="EM66" s="3276">
        <f t="shared" si="824"/>
        <v>136.02416666666667</v>
      </c>
      <c r="EN66" s="3276">
        <f>SUM('ПОЛНАЯ СЕБЕСТОИМОСТЬ ВОДА 2019'!BN211/3)</f>
        <v>135.95842750416782</v>
      </c>
      <c r="EO66" s="3276">
        <f>SUM('ПОЛНАЯ СЕБЕСТОИМОСТЬ ВОДА 2019'!BO211/3)</f>
        <v>6.5739162498857293E-2</v>
      </c>
      <c r="EP66" s="3145">
        <f t="shared" si="825"/>
        <v>0</v>
      </c>
      <c r="EQ66" s="3145">
        <f>SUM('ПОЛНАЯ СЕБЕСТОИМОСТЬ ВОДА 2019'!BQ211)</f>
        <v>0</v>
      </c>
      <c r="ER66" s="3145">
        <f>SUM('ПОЛНАЯ СЕБЕСТОИМОСТЬ ВОДА 2019'!BR211)</f>
        <v>0</v>
      </c>
      <c r="ES66" s="3146">
        <v>313.51</v>
      </c>
      <c r="ET66" s="3149">
        <f t="shared" si="868"/>
        <v>313.41665095347821</v>
      </c>
      <c r="EU66" s="3149">
        <f>SUM(ES66/ES14*EU14)*1.12222222222</f>
        <v>9.3349046521761264E-2</v>
      </c>
      <c r="EV66" s="3276">
        <f t="shared" si="827"/>
        <v>136.02416666666667</v>
      </c>
      <c r="EW66" s="3276">
        <f t="shared" si="828"/>
        <v>135.95842750416782</v>
      </c>
      <c r="EX66" s="3276">
        <f t="shared" si="829"/>
        <v>6.5739162498857293E-2</v>
      </c>
      <c r="EY66" s="3145">
        <f t="shared" si="830"/>
        <v>0</v>
      </c>
      <c r="EZ66" s="3145">
        <f>SUM('ПОЛНАЯ СЕБЕСТОИМОСТЬ ВОДА 2019'!BT211)</f>
        <v>0</v>
      </c>
      <c r="FA66" s="3145">
        <f>SUM('ПОЛНАЯ СЕБЕСТОИМОСТЬ ВОДА 2019'!BU211)</f>
        <v>0</v>
      </c>
      <c r="FB66" s="3146">
        <v>153.68</v>
      </c>
      <c r="FC66" s="3149">
        <f t="shared" si="869"/>
        <v>153.63344654017322</v>
      </c>
      <c r="FD66" s="3149">
        <f>SUM(FB66/FB14*FD14)*1.12222222222</f>
        <v>4.6553459826775889E-2</v>
      </c>
      <c r="FE66" s="3276">
        <f t="shared" si="832"/>
        <v>136.02416666666667</v>
      </c>
      <c r="FF66" s="3276">
        <f t="shared" si="833"/>
        <v>135.95842750416782</v>
      </c>
      <c r="FG66" s="3276">
        <f t="shared" si="834"/>
        <v>6.5739162498857293E-2</v>
      </c>
      <c r="FH66" s="3145">
        <f>SUM('[19]ПОЛНАЯ СЕБЕСТОИМОСТЬ ВОДА 2018'!Z211)</f>
        <v>0</v>
      </c>
      <c r="FI66" s="3145">
        <f>SUM('ПОЛНАЯ СЕБЕСТОИМОСТЬ ВОДА 2019'!BW211)</f>
        <v>0</v>
      </c>
      <c r="FJ66" s="3145">
        <f>SUM('ПОЛНАЯ СЕБЕСТОИМОСТЬ ВОДА 2019'!BX211)</f>
        <v>0</v>
      </c>
      <c r="FK66" s="3146">
        <v>451.83</v>
      </c>
      <c r="FL66" s="3149">
        <f t="shared" si="870"/>
        <v>451.83</v>
      </c>
      <c r="FM66" s="3149">
        <f>SUM(FK66/FK14*FM14)*1.12222222222</f>
        <v>0</v>
      </c>
      <c r="FN66" s="3120">
        <f t="shared" si="836"/>
        <v>408.07249999999999</v>
      </c>
      <c r="FO66" s="3120">
        <f t="shared" si="837"/>
        <v>407.87528251250342</v>
      </c>
      <c r="FP66" s="3120">
        <f t="shared" si="838"/>
        <v>0.19721748749657186</v>
      </c>
      <c r="FQ66" s="3126">
        <f t="shared" si="839"/>
        <v>0</v>
      </c>
      <c r="FR66" s="3126">
        <f t="shared" si="840"/>
        <v>0</v>
      </c>
      <c r="FS66" s="3126">
        <f t="shared" si="841"/>
        <v>0</v>
      </c>
      <c r="FT66" s="3126">
        <f t="shared" si="842"/>
        <v>919.02</v>
      </c>
      <c r="FU66" s="3126">
        <f t="shared" si="843"/>
        <v>918.88009749365142</v>
      </c>
      <c r="FV66" s="3126">
        <f t="shared" si="844"/>
        <v>0.13990250634853715</v>
      </c>
      <c r="FW66" s="3121">
        <f t="shared" si="600"/>
        <v>-408.07249999999999</v>
      </c>
      <c r="FX66" s="3121">
        <f t="shared" si="845"/>
        <v>-407.87528251250342</v>
      </c>
      <c r="FY66" s="3121">
        <f t="shared" si="846"/>
        <v>-0.19721748749657186</v>
      </c>
      <c r="FZ66" s="3227">
        <f t="shared" si="847"/>
        <v>1632.29</v>
      </c>
      <c r="GA66" s="3227">
        <f t="shared" si="848"/>
        <v>1631.5011300500137</v>
      </c>
      <c r="GB66" s="3227">
        <f t="shared" si="849"/>
        <v>0.78886994998628746</v>
      </c>
      <c r="GC66" s="3232">
        <f t="shared" si="850"/>
        <v>2084.8510000000001</v>
      </c>
      <c r="GD66" s="3232">
        <f t="shared" si="851"/>
        <v>2084.27</v>
      </c>
      <c r="GE66" s="3232">
        <f t="shared" si="852"/>
        <v>0.58099999999999996</v>
      </c>
      <c r="GF66" s="3232">
        <f t="shared" si="853"/>
        <v>2782.2999999999997</v>
      </c>
      <c r="GG66" s="3232">
        <f t="shared" si="854"/>
        <v>2781.2847499450127</v>
      </c>
      <c r="GH66" s="3232">
        <f t="shared" si="855"/>
        <v>1.0152500549872456</v>
      </c>
      <c r="GI66" s="3233">
        <f t="shared" si="856"/>
        <v>452.56100000000015</v>
      </c>
      <c r="GJ66" s="3233">
        <f t="shared" si="857"/>
        <v>452.76886994998631</v>
      </c>
      <c r="GK66" s="3233">
        <f t="shared" si="858"/>
        <v>-0.20786994998628749</v>
      </c>
      <c r="GL66" s="396"/>
    </row>
    <row r="67" spans="1:195" ht="18.75" x14ac:dyDescent="0.3">
      <c r="A67" s="3111" t="s">
        <v>3608</v>
      </c>
      <c r="B67" s="3277">
        <f t="shared" si="731"/>
        <v>0</v>
      </c>
      <c r="C67" s="3277">
        <f>SUM('ПОЛНАЯ СЕБЕСТОИМОСТЬ ВОДА 2019'!C212/3)</f>
        <v>0</v>
      </c>
      <c r="D67" s="3277">
        <f>SUM('ПОЛНАЯ СЕБЕСТОИМОСТЬ ВОДА 2019'!D212/3)</f>
        <v>0</v>
      </c>
      <c r="E67" s="3136">
        <f t="shared" si="732"/>
        <v>0</v>
      </c>
      <c r="F67" s="3136">
        <f>SUM('ПОЛНАЯ СЕБЕСТОИМОСТЬ ВОДА 2019'!F212)</f>
        <v>0</v>
      </c>
      <c r="G67" s="3136">
        <f>SUM('ПОЛНАЯ СЕБЕСТОИМОСТЬ ВОДА 2019'!G212)</f>
        <v>0</v>
      </c>
      <c r="H67" s="3150">
        <v>0</v>
      </c>
      <c r="I67" s="3137">
        <f t="shared" si="859"/>
        <v>0</v>
      </c>
      <c r="J67" s="3137">
        <f>SUM(H67/H14*J14)</f>
        <v>0</v>
      </c>
      <c r="K67" s="3277">
        <f t="shared" si="734"/>
        <v>0</v>
      </c>
      <c r="L67" s="3277">
        <f t="shared" si="735"/>
        <v>0</v>
      </c>
      <c r="M67" s="3277">
        <f t="shared" si="736"/>
        <v>0</v>
      </c>
      <c r="N67" s="3136">
        <f t="shared" si="737"/>
        <v>0</v>
      </c>
      <c r="O67" s="3136">
        <f>SUM('ПОЛНАЯ СЕБЕСТОИМОСТЬ ВОДА 2019'!I212)</f>
        <v>0</v>
      </c>
      <c r="P67" s="3136">
        <f>SUM('ПОЛНАЯ СЕБЕСТОИМОСТЬ ВОДА 2019'!J212)</f>
        <v>0</v>
      </c>
      <c r="Q67" s="3150">
        <v>0</v>
      </c>
      <c r="R67" s="3137">
        <f t="shared" si="860"/>
        <v>0</v>
      </c>
      <c r="S67" s="3137">
        <f>SUM(Q67/Q14*S14)</f>
        <v>0</v>
      </c>
      <c r="T67" s="3277">
        <f t="shared" si="739"/>
        <v>0</v>
      </c>
      <c r="U67" s="3277">
        <f t="shared" si="740"/>
        <v>0</v>
      </c>
      <c r="V67" s="3277">
        <f t="shared" si="741"/>
        <v>0</v>
      </c>
      <c r="W67" s="3136">
        <f t="shared" si="742"/>
        <v>0</v>
      </c>
      <c r="X67" s="3136">
        <f>SUM('ПОЛНАЯ СЕБЕСТОИМОСТЬ ВОДА 2019'!L212)</f>
        <v>0</v>
      </c>
      <c r="Y67" s="3136">
        <f>SUM('ПОЛНАЯ СЕБЕСТОИМОСТЬ ВОДА 2019'!M212)</f>
        <v>0</v>
      </c>
      <c r="Z67" s="3150">
        <v>0</v>
      </c>
      <c r="AA67" s="3137">
        <f t="shared" si="861"/>
        <v>0</v>
      </c>
      <c r="AB67" s="3137">
        <f>SUM(Z67/Z14*AB14)</f>
        <v>0</v>
      </c>
      <c r="AC67" s="3114">
        <f t="shared" si="744"/>
        <v>0</v>
      </c>
      <c r="AD67" s="3114">
        <f t="shared" si="745"/>
        <v>0</v>
      </c>
      <c r="AE67" s="3114">
        <f t="shared" si="746"/>
        <v>0</v>
      </c>
      <c r="AF67" s="3123">
        <f t="shared" si="747"/>
        <v>0</v>
      </c>
      <c r="AG67" s="3123">
        <f t="shared" si="748"/>
        <v>0</v>
      </c>
      <c r="AH67" s="3123">
        <f t="shared" si="749"/>
        <v>0</v>
      </c>
      <c r="AI67" s="3123">
        <f t="shared" si="750"/>
        <v>0</v>
      </c>
      <c r="AJ67" s="3123">
        <f t="shared" si="751"/>
        <v>0</v>
      </c>
      <c r="AK67" s="3123">
        <f t="shared" si="752"/>
        <v>0</v>
      </c>
      <c r="AL67" s="3115">
        <f t="shared" si="753"/>
        <v>0</v>
      </c>
      <c r="AM67" s="3115">
        <f t="shared" si="754"/>
        <v>0</v>
      </c>
      <c r="AN67" s="3115">
        <f t="shared" si="755"/>
        <v>0</v>
      </c>
      <c r="AO67" s="3277">
        <f t="shared" si="756"/>
        <v>0</v>
      </c>
      <c r="AP67" s="3277">
        <f>SUM('ПОЛНАЯ СЕБЕСТОИМОСТЬ ВОДА 2019'!R212/3)</f>
        <v>0</v>
      </c>
      <c r="AQ67" s="3277">
        <f>SUM('ПОЛНАЯ СЕБЕСТОИМОСТЬ ВОДА 2019'!S212/3)</f>
        <v>0</v>
      </c>
      <c r="AR67" s="3277">
        <f t="shared" si="757"/>
        <v>0</v>
      </c>
      <c r="AS67" s="3277">
        <f>SUM('ПОЛНАЯ СЕБЕСТОИМОСТЬ ВОДА 2019'!U212)</f>
        <v>0</v>
      </c>
      <c r="AT67" s="3277">
        <f>SUM('ПОЛНАЯ СЕБЕСТОИМОСТЬ ВОДА 2019'!V212)</f>
        <v>0</v>
      </c>
      <c r="AU67" s="3464">
        <v>0</v>
      </c>
      <c r="AV67" s="3464">
        <f t="shared" si="862"/>
        <v>0</v>
      </c>
      <c r="AW67" s="3464">
        <f>SUM(AU67/AU14*AW14)</f>
        <v>0</v>
      </c>
      <c r="AX67" s="3277">
        <f t="shared" si="759"/>
        <v>0</v>
      </c>
      <c r="AY67" s="3277">
        <f t="shared" si="760"/>
        <v>0</v>
      </c>
      <c r="AZ67" s="3277">
        <f t="shared" si="761"/>
        <v>0</v>
      </c>
      <c r="BA67" s="3277">
        <f t="shared" si="762"/>
        <v>0</v>
      </c>
      <c r="BB67" s="3277">
        <f>SUM('ПОЛНАЯ СЕБЕСТОИМОСТЬ ВОДА 2019'!X212)</f>
        <v>0</v>
      </c>
      <c r="BC67" s="3277">
        <f>SUM('ПОЛНАЯ СЕБЕСТОИМОСТЬ ВОДА 2019'!Y212)</f>
        <v>0</v>
      </c>
      <c r="BD67" s="3150">
        <v>0</v>
      </c>
      <c r="BE67" s="3137">
        <f t="shared" si="863"/>
        <v>0</v>
      </c>
      <c r="BF67" s="3137">
        <f>SUM(BD67/BD14*BF14)</f>
        <v>0</v>
      </c>
      <c r="BG67" s="3277">
        <f t="shared" si="764"/>
        <v>0</v>
      </c>
      <c r="BH67" s="3277">
        <f t="shared" si="765"/>
        <v>0</v>
      </c>
      <c r="BI67" s="3277">
        <f t="shared" si="766"/>
        <v>0</v>
      </c>
      <c r="BJ67" s="3136">
        <f t="shared" si="767"/>
        <v>0</v>
      </c>
      <c r="BK67" s="3136">
        <f>SUM('ПОЛНАЯ СЕБЕСТОИМОСТЬ ВОДА 2019'!AA212)</f>
        <v>0</v>
      </c>
      <c r="BL67" s="3136">
        <f>SUM('ПОЛНАЯ СЕБЕСТОИМОСТЬ ВОДА 2019'!AB212)</f>
        <v>0</v>
      </c>
      <c r="BM67" s="3150">
        <v>0</v>
      </c>
      <c r="BN67" s="3137">
        <f t="shared" si="864"/>
        <v>0</v>
      </c>
      <c r="BO67" s="3137">
        <f>SUM(BM67/BM14*BO14)</f>
        <v>0</v>
      </c>
      <c r="BP67" s="3114">
        <f>SUM(AO67+AX67+BG67)</f>
        <v>0</v>
      </c>
      <c r="BQ67" s="3114">
        <f t="shared" si="770"/>
        <v>0</v>
      </c>
      <c r="BR67" s="3114">
        <f t="shared" si="771"/>
        <v>0</v>
      </c>
      <c r="BS67" s="3142">
        <f t="shared" si="772"/>
        <v>0</v>
      </c>
      <c r="BT67" s="3142">
        <f t="shared" si="773"/>
        <v>0</v>
      </c>
      <c r="BU67" s="3142">
        <f t="shared" si="774"/>
        <v>0</v>
      </c>
      <c r="BV67" s="3142">
        <f t="shared" si="775"/>
        <v>0</v>
      </c>
      <c r="BW67" s="3142">
        <f t="shared" si="776"/>
        <v>0</v>
      </c>
      <c r="BX67" s="3142">
        <f t="shared" si="777"/>
        <v>0</v>
      </c>
      <c r="BY67" s="3143">
        <f t="shared" si="554"/>
        <v>0</v>
      </c>
      <c r="BZ67" s="3143">
        <f t="shared" si="1033"/>
        <v>0</v>
      </c>
      <c r="CA67" s="3143">
        <f t="shared" si="1034"/>
        <v>0</v>
      </c>
      <c r="CB67" s="3114">
        <f>SUM(AC67+BP67)</f>
        <v>0</v>
      </c>
      <c r="CC67" s="3114">
        <f t="shared" si="781"/>
        <v>0</v>
      </c>
      <c r="CD67" s="3114">
        <f t="shared" si="782"/>
        <v>0</v>
      </c>
      <c r="CE67" s="3142">
        <f t="shared" si="783"/>
        <v>0</v>
      </c>
      <c r="CF67" s="3142">
        <f t="shared" si="784"/>
        <v>0</v>
      </c>
      <c r="CG67" s="3142">
        <f t="shared" si="785"/>
        <v>0</v>
      </c>
      <c r="CH67" s="3142">
        <f t="shared" si="786"/>
        <v>0</v>
      </c>
      <c r="CI67" s="3142">
        <f t="shared" si="787"/>
        <v>0</v>
      </c>
      <c r="CJ67" s="3142">
        <f t="shared" si="788"/>
        <v>0</v>
      </c>
      <c r="CK67" s="3143">
        <f t="shared" si="566"/>
        <v>0</v>
      </c>
      <c r="CL67" s="3143">
        <f t="shared" si="1035"/>
        <v>0</v>
      </c>
      <c r="CM67" s="3143">
        <f t="shared" si="1036"/>
        <v>0</v>
      </c>
      <c r="CN67" s="3277">
        <f t="shared" si="791"/>
        <v>0</v>
      </c>
      <c r="CO67" s="3277">
        <f>SUM('ПОЛНАЯ СЕБЕСТОИМОСТЬ ВОДА 2019'!AP212/3)</f>
        <v>0</v>
      </c>
      <c r="CP67" s="3277">
        <f>SUM('ПОЛНАЯ СЕБЕСТОИМОСТЬ ВОДА 2019'!AQ212/3)</f>
        <v>0</v>
      </c>
      <c r="CQ67" s="3136">
        <f t="shared" si="792"/>
        <v>0</v>
      </c>
      <c r="CR67" s="3136">
        <f>SUM('ПОЛНАЯ СЕБЕСТОИМОСТЬ ВОДА 2019'!AS212)</f>
        <v>0</v>
      </c>
      <c r="CS67" s="3136">
        <f>SUM('ПОЛНАЯ СЕБЕСТОИМОСТЬ ВОДА 2019'!AT212)</f>
        <v>0</v>
      </c>
      <c r="CT67" s="3150">
        <v>0</v>
      </c>
      <c r="CU67" s="3137">
        <f t="shared" si="865"/>
        <v>0</v>
      </c>
      <c r="CV67" s="3137">
        <f>SUM(CT67/CT14*CV14)</f>
        <v>0</v>
      </c>
      <c r="CW67" s="3277">
        <f t="shared" si="794"/>
        <v>0</v>
      </c>
      <c r="CX67" s="3277">
        <f t="shared" si="795"/>
        <v>0</v>
      </c>
      <c r="CY67" s="3277">
        <f t="shared" si="796"/>
        <v>0</v>
      </c>
      <c r="CZ67" s="3136">
        <f t="shared" si="797"/>
        <v>0</v>
      </c>
      <c r="DA67" s="3136">
        <f>SUM('ПОЛНАЯ СЕБЕСТОИМОСТЬ ВОДА 2019'!AV212)</f>
        <v>0</v>
      </c>
      <c r="DB67" s="3136">
        <f>SUM('ПОЛНАЯ СЕБЕСТОИМОСТЬ ВОДА 2019'!AW212)</f>
        <v>0</v>
      </c>
      <c r="DC67" s="3150">
        <v>0</v>
      </c>
      <c r="DD67" s="3137">
        <f t="shared" si="866"/>
        <v>0</v>
      </c>
      <c r="DE67" s="3137">
        <f>SUM(DC67/DC14*DE14)</f>
        <v>0</v>
      </c>
      <c r="DF67" s="3277">
        <f t="shared" si="799"/>
        <v>0</v>
      </c>
      <c r="DG67" s="3277">
        <f t="shared" si="800"/>
        <v>0</v>
      </c>
      <c r="DH67" s="3277">
        <f t="shared" si="801"/>
        <v>0</v>
      </c>
      <c r="DI67" s="3136">
        <f t="shared" si="802"/>
        <v>0</v>
      </c>
      <c r="DJ67" s="3136">
        <f>SUM('ПОЛНАЯ СЕБЕСТОИМОСТЬ ВОДА 2019'!AY212)</f>
        <v>0</v>
      </c>
      <c r="DK67" s="3136">
        <f>SUM('ПОЛНАЯ СЕБЕСТОИМОСТЬ ВОДА 2019'!AZ212)</f>
        <v>0</v>
      </c>
      <c r="DL67" s="3150">
        <v>0</v>
      </c>
      <c r="DM67" s="3137">
        <f t="shared" si="867"/>
        <v>0</v>
      </c>
      <c r="DN67" s="3137">
        <f>SUM(DL67/DL14*DN14)</f>
        <v>0</v>
      </c>
      <c r="DO67" s="3114">
        <f>SUM(CN67+CW67+DF67)</f>
        <v>0</v>
      </c>
      <c r="DP67" s="3114">
        <f t="shared" si="805"/>
        <v>0</v>
      </c>
      <c r="DQ67" s="3114">
        <f t="shared" si="806"/>
        <v>0</v>
      </c>
      <c r="DR67" s="3142">
        <f t="shared" si="807"/>
        <v>0</v>
      </c>
      <c r="DS67" s="3142">
        <f t="shared" si="808"/>
        <v>0</v>
      </c>
      <c r="DT67" s="3142">
        <f t="shared" si="809"/>
        <v>0</v>
      </c>
      <c r="DU67" s="3142">
        <f t="shared" si="810"/>
        <v>0</v>
      </c>
      <c r="DV67" s="3142">
        <f t="shared" si="811"/>
        <v>0</v>
      </c>
      <c r="DW67" s="3142">
        <f t="shared" si="812"/>
        <v>0</v>
      </c>
      <c r="DX67" s="3143">
        <f t="shared" si="578"/>
        <v>0</v>
      </c>
      <c r="DY67" s="3143">
        <f t="shared" si="813"/>
        <v>0</v>
      </c>
      <c r="DZ67" s="3143">
        <f t="shared" si="814"/>
        <v>0</v>
      </c>
      <c r="EA67" s="3114">
        <f>SUM(CB67+DO67)</f>
        <v>0</v>
      </c>
      <c r="EB67" s="3114">
        <f t="shared" si="816"/>
        <v>0</v>
      </c>
      <c r="EC67" s="3114">
        <f t="shared" si="817"/>
        <v>0</v>
      </c>
      <c r="ED67" s="3142">
        <f t="shared" si="818"/>
        <v>0</v>
      </c>
      <c r="EE67" s="3142">
        <f t="shared" si="819"/>
        <v>0</v>
      </c>
      <c r="EF67" s="3142">
        <f t="shared" si="820"/>
        <v>0</v>
      </c>
      <c r="EG67" s="3142">
        <f t="shared" si="821"/>
        <v>0</v>
      </c>
      <c r="EH67" s="3142">
        <f t="shared" si="822"/>
        <v>0</v>
      </c>
      <c r="EI67" s="3142">
        <f t="shared" si="823"/>
        <v>0</v>
      </c>
      <c r="EJ67" s="3143">
        <f t="shared" si="590"/>
        <v>0</v>
      </c>
      <c r="EK67" s="3143">
        <f t="shared" si="590"/>
        <v>0</v>
      </c>
      <c r="EL67" s="3143">
        <f t="shared" si="590"/>
        <v>0</v>
      </c>
      <c r="EM67" s="3277">
        <f t="shared" si="824"/>
        <v>0</v>
      </c>
      <c r="EN67" s="3277">
        <f>SUM('ПОЛНАЯ СЕБЕСТОИМОСТЬ ВОДА 2019'!BN212/3)</f>
        <v>0</v>
      </c>
      <c r="EO67" s="3277">
        <f>SUM('ПОЛНАЯ СЕБЕСТОИМОСТЬ ВОДА 2019'!BO212/3)</f>
        <v>0</v>
      </c>
      <c r="EP67" s="3136">
        <f t="shared" si="825"/>
        <v>0</v>
      </c>
      <c r="EQ67" s="3136">
        <f>SUM('ПОЛНАЯ СЕБЕСТОИМОСТЬ ВОДА 2019'!BQ212)</f>
        <v>0</v>
      </c>
      <c r="ER67" s="3136">
        <f>SUM('ПОЛНАЯ СЕБЕСТОИМОСТЬ ВОДА 2019'!BR212)</f>
        <v>0</v>
      </c>
      <c r="ES67" s="3150">
        <v>0</v>
      </c>
      <c r="ET67" s="3137">
        <f t="shared" si="868"/>
        <v>0</v>
      </c>
      <c r="EU67" s="3137">
        <f>SUM(ES67/ES14*EU14)</f>
        <v>0</v>
      </c>
      <c r="EV67" s="3277">
        <f t="shared" si="827"/>
        <v>0</v>
      </c>
      <c r="EW67" s="3277">
        <f t="shared" si="828"/>
        <v>0</v>
      </c>
      <c r="EX67" s="3277">
        <f t="shared" si="829"/>
        <v>0</v>
      </c>
      <c r="EY67" s="3136">
        <f t="shared" si="830"/>
        <v>0</v>
      </c>
      <c r="EZ67" s="3136">
        <f>SUM('ПОЛНАЯ СЕБЕСТОИМОСТЬ ВОДА 2019'!BT212)</f>
        <v>0</v>
      </c>
      <c r="FA67" s="3136">
        <f>SUM('ПОЛНАЯ СЕБЕСТОИМОСТЬ ВОДА 2019'!BU212)</f>
        <v>0</v>
      </c>
      <c r="FB67" s="3150">
        <v>0</v>
      </c>
      <c r="FC67" s="3137">
        <f t="shared" si="869"/>
        <v>0</v>
      </c>
      <c r="FD67" s="3137">
        <f>SUM(FB67/FB14*FD14)</f>
        <v>0</v>
      </c>
      <c r="FE67" s="3277">
        <f t="shared" si="832"/>
        <v>0</v>
      </c>
      <c r="FF67" s="3277">
        <f t="shared" si="833"/>
        <v>0</v>
      </c>
      <c r="FG67" s="3277">
        <f t="shared" si="834"/>
        <v>0</v>
      </c>
      <c r="FH67" s="3136">
        <f>SUM('[19]ПОЛНАЯ СЕБЕСТОИМОСТЬ ВОДА 2018'!Z212)</f>
        <v>0</v>
      </c>
      <c r="FI67" s="3136">
        <f>SUM('ПОЛНАЯ СЕБЕСТОИМОСТЬ ВОДА 2019'!BW212)</f>
        <v>0</v>
      </c>
      <c r="FJ67" s="3136">
        <f>SUM('ПОЛНАЯ СЕБЕСТОИМОСТЬ ВОДА 2019'!BX212)</f>
        <v>0</v>
      </c>
      <c r="FK67" s="3150">
        <v>0</v>
      </c>
      <c r="FL67" s="3137">
        <f t="shared" si="870"/>
        <v>0</v>
      </c>
      <c r="FM67" s="3137">
        <f>SUM(FK67/FK14*FM14)</f>
        <v>0</v>
      </c>
      <c r="FN67" s="3114">
        <f t="shared" si="836"/>
        <v>0</v>
      </c>
      <c r="FO67" s="3114">
        <f t="shared" si="837"/>
        <v>0</v>
      </c>
      <c r="FP67" s="3114">
        <f t="shared" si="838"/>
        <v>0</v>
      </c>
      <c r="FQ67" s="3123">
        <f t="shared" si="839"/>
        <v>0</v>
      </c>
      <c r="FR67" s="3123">
        <f t="shared" si="840"/>
        <v>0</v>
      </c>
      <c r="FS67" s="3123">
        <f t="shared" si="841"/>
        <v>0</v>
      </c>
      <c r="FT67" s="3123">
        <f t="shared" si="842"/>
        <v>0</v>
      </c>
      <c r="FU67" s="3123">
        <f t="shared" si="843"/>
        <v>0</v>
      </c>
      <c r="FV67" s="3123">
        <f t="shared" si="844"/>
        <v>0</v>
      </c>
      <c r="FW67" s="3115">
        <f t="shared" si="600"/>
        <v>0</v>
      </c>
      <c r="FX67" s="3115">
        <f t="shared" si="845"/>
        <v>0</v>
      </c>
      <c r="FY67" s="3115">
        <f t="shared" si="846"/>
        <v>0</v>
      </c>
      <c r="FZ67" s="3222">
        <f t="shared" si="847"/>
        <v>0</v>
      </c>
      <c r="GA67" s="3222">
        <f t="shared" si="848"/>
        <v>0</v>
      </c>
      <c r="GB67" s="3222">
        <f t="shared" si="849"/>
        <v>0</v>
      </c>
      <c r="GC67" s="3230">
        <f t="shared" si="850"/>
        <v>0</v>
      </c>
      <c r="GD67" s="3230">
        <f t="shared" si="851"/>
        <v>0</v>
      </c>
      <c r="GE67" s="3230">
        <f t="shared" si="852"/>
        <v>0</v>
      </c>
      <c r="GF67" s="3230">
        <f t="shared" si="853"/>
        <v>0</v>
      </c>
      <c r="GG67" s="3230">
        <f t="shared" si="854"/>
        <v>0</v>
      </c>
      <c r="GH67" s="3230">
        <f t="shared" si="855"/>
        <v>0</v>
      </c>
      <c r="GI67" s="3231">
        <f t="shared" si="856"/>
        <v>0</v>
      </c>
      <c r="GJ67" s="3231">
        <f t="shared" si="857"/>
        <v>0</v>
      </c>
      <c r="GK67" s="3231">
        <f t="shared" si="858"/>
        <v>0</v>
      </c>
      <c r="GL67" s="396"/>
    </row>
    <row r="68" spans="1:195" ht="18.75" x14ac:dyDescent="0.3">
      <c r="A68" s="3111" t="s">
        <v>3609</v>
      </c>
      <c r="B68" s="3277">
        <f t="shared" si="731"/>
        <v>24.567499999999999</v>
      </c>
      <c r="C68" s="3277">
        <f>SUM('ПОЛНАЯ СЕБЕСТОИМОСТЬ ВОДА 2019'!C213/3)</f>
        <v>24.567499999999999</v>
      </c>
      <c r="D68" s="3277">
        <f>SUM('ПОЛНАЯ СЕБЕСТОИМОСТЬ ВОДА 2019'!D213/3)</f>
        <v>0</v>
      </c>
      <c r="E68" s="3136">
        <f t="shared" si="732"/>
        <v>0</v>
      </c>
      <c r="F68" s="3136">
        <f>SUM('ПОЛНАЯ СЕБЕСТОИМОСТЬ ВОДА 2019'!F213)</f>
        <v>0</v>
      </c>
      <c r="G68" s="3136">
        <f>SUM('ПОЛНАЯ СЕБЕСТОИМОСТЬ ВОДА 2019'!G213)</f>
        <v>0</v>
      </c>
      <c r="H68" s="3150">
        <v>0</v>
      </c>
      <c r="I68" s="3137">
        <f t="shared" si="859"/>
        <v>0</v>
      </c>
      <c r="J68" s="3137">
        <f>SUM(H68/H14*J14)</f>
        <v>0</v>
      </c>
      <c r="K68" s="3277">
        <f t="shared" si="734"/>
        <v>24.567499999999999</v>
      </c>
      <c r="L68" s="3277">
        <f t="shared" si="735"/>
        <v>24.567499999999999</v>
      </c>
      <c r="M68" s="3277">
        <f t="shared" si="736"/>
        <v>0</v>
      </c>
      <c r="N68" s="3136">
        <f t="shared" si="737"/>
        <v>0</v>
      </c>
      <c r="O68" s="3136">
        <f>SUM('ПОЛНАЯ СЕБЕСТОИМОСТЬ ВОДА 2019'!I213)</f>
        <v>0</v>
      </c>
      <c r="P68" s="3136">
        <f>SUM('ПОЛНАЯ СЕБЕСТОИМОСТЬ ВОДА 2019'!J213)</f>
        <v>0</v>
      </c>
      <c r="Q68" s="3150">
        <v>0</v>
      </c>
      <c r="R68" s="3137">
        <f t="shared" si="860"/>
        <v>0</v>
      </c>
      <c r="S68" s="3137">
        <f>SUM(Q68/Q14*S14)</f>
        <v>0</v>
      </c>
      <c r="T68" s="3277">
        <f t="shared" si="739"/>
        <v>24.567499999999999</v>
      </c>
      <c r="U68" s="3277">
        <f t="shared" si="740"/>
        <v>24.567499999999999</v>
      </c>
      <c r="V68" s="3277">
        <f t="shared" si="741"/>
        <v>0</v>
      </c>
      <c r="W68" s="3136">
        <f t="shared" si="742"/>
        <v>0</v>
      </c>
      <c r="X68" s="3136">
        <f>SUM('ПОЛНАЯ СЕБЕСТОИМОСТЬ ВОДА 2019'!L213)</f>
        <v>0</v>
      </c>
      <c r="Y68" s="3136">
        <f>SUM('ПОЛНАЯ СЕБЕСТОИМОСТЬ ВОДА 2019'!M213)</f>
        <v>0</v>
      </c>
      <c r="Z68" s="3150">
        <v>0</v>
      </c>
      <c r="AA68" s="3137">
        <f t="shared" si="861"/>
        <v>0</v>
      </c>
      <c r="AB68" s="3137">
        <f>SUM(Z68/Z14*AB14)</f>
        <v>0</v>
      </c>
      <c r="AC68" s="3114">
        <f t="shared" si="744"/>
        <v>73.702500000000001</v>
      </c>
      <c r="AD68" s="3114">
        <f t="shared" si="745"/>
        <v>73.702500000000001</v>
      </c>
      <c r="AE68" s="3114">
        <f t="shared" si="746"/>
        <v>0</v>
      </c>
      <c r="AF68" s="3123">
        <f t="shared" si="747"/>
        <v>0</v>
      </c>
      <c r="AG68" s="3123">
        <f t="shared" si="748"/>
        <v>0</v>
      </c>
      <c r="AH68" s="3123">
        <f t="shared" si="749"/>
        <v>0</v>
      </c>
      <c r="AI68" s="3123">
        <f t="shared" si="750"/>
        <v>0</v>
      </c>
      <c r="AJ68" s="3123">
        <f t="shared" si="751"/>
        <v>0</v>
      </c>
      <c r="AK68" s="3123">
        <f t="shared" si="752"/>
        <v>0</v>
      </c>
      <c r="AL68" s="3115">
        <f t="shared" si="753"/>
        <v>-73.702500000000001</v>
      </c>
      <c r="AM68" s="3115">
        <f t="shared" si="754"/>
        <v>-73.702500000000001</v>
      </c>
      <c r="AN68" s="3115">
        <f t="shared" si="755"/>
        <v>0</v>
      </c>
      <c r="AO68" s="3277">
        <f t="shared" si="756"/>
        <v>24.567499999999999</v>
      </c>
      <c r="AP68" s="3277">
        <f>SUM('ПОЛНАЯ СЕБЕСТОИМОСТЬ ВОДА 2019'!R213/3)</f>
        <v>24.567499999999999</v>
      </c>
      <c r="AQ68" s="3277">
        <f>SUM('ПОЛНАЯ СЕБЕСТОИМОСТЬ ВОДА 2019'!S213/3)</f>
        <v>0</v>
      </c>
      <c r="AR68" s="3277">
        <f t="shared" si="757"/>
        <v>0</v>
      </c>
      <c r="AS68" s="3277">
        <f>SUM('ПОЛНАЯ СЕБЕСТОИМОСТЬ ВОДА 2019'!U213)</f>
        <v>0</v>
      </c>
      <c r="AT68" s="3277">
        <f>SUM('ПОЛНАЯ СЕБЕСТОИМОСТЬ ВОДА 2019'!V213)</f>
        <v>0</v>
      </c>
      <c r="AU68" s="3464">
        <v>0</v>
      </c>
      <c r="AV68" s="3464">
        <f t="shared" si="862"/>
        <v>0</v>
      </c>
      <c r="AW68" s="3464">
        <f>SUM(AU68/AU14*AW14)</f>
        <v>0</v>
      </c>
      <c r="AX68" s="3277">
        <f t="shared" si="759"/>
        <v>24.567499999999999</v>
      </c>
      <c r="AY68" s="3277">
        <f t="shared" si="760"/>
        <v>24.567499999999999</v>
      </c>
      <c r="AZ68" s="3277">
        <f t="shared" si="761"/>
        <v>0</v>
      </c>
      <c r="BA68" s="3277">
        <f t="shared" si="762"/>
        <v>0</v>
      </c>
      <c r="BB68" s="3277">
        <f>SUM('ПОЛНАЯ СЕБЕСТОИМОСТЬ ВОДА 2019'!X213)</f>
        <v>0</v>
      </c>
      <c r="BC68" s="3277">
        <f>SUM('ПОЛНАЯ СЕБЕСТОИМОСТЬ ВОДА 2019'!Y213)</f>
        <v>0</v>
      </c>
      <c r="BD68" s="3150">
        <v>0</v>
      </c>
      <c r="BE68" s="3137">
        <f t="shared" si="863"/>
        <v>0</v>
      </c>
      <c r="BF68" s="3137">
        <f>SUM(BD68/BD14*BF14)</f>
        <v>0</v>
      </c>
      <c r="BG68" s="3277">
        <f t="shared" si="764"/>
        <v>24.567499999999999</v>
      </c>
      <c r="BH68" s="3277">
        <f t="shared" si="765"/>
        <v>24.567499999999999</v>
      </c>
      <c r="BI68" s="3277">
        <f t="shared" si="766"/>
        <v>0</v>
      </c>
      <c r="BJ68" s="3136">
        <f t="shared" si="767"/>
        <v>0</v>
      </c>
      <c r="BK68" s="3136">
        <f>SUM('ПОЛНАЯ СЕБЕСТОИМОСТЬ ВОДА 2019'!AA213)</f>
        <v>0</v>
      </c>
      <c r="BL68" s="3136">
        <f>SUM('ПОЛНАЯ СЕБЕСТОИМОСТЬ ВОДА 2019'!AB213)</f>
        <v>0</v>
      </c>
      <c r="BM68" s="3150">
        <v>0</v>
      </c>
      <c r="BN68" s="3137">
        <f t="shared" si="864"/>
        <v>0</v>
      </c>
      <c r="BO68" s="3137">
        <f>SUM(BM68/BM14*BO14)</f>
        <v>0</v>
      </c>
      <c r="BP68" s="3114">
        <f>SUM(AO68+AX68+BG68)</f>
        <v>73.702500000000001</v>
      </c>
      <c r="BQ68" s="3114">
        <f t="shared" si="770"/>
        <v>73.702500000000001</v>
      </c>
      <c r="BR68" s="3114">
        <f t="shared" si="771"/>
        <v>0</v>
      </c>
      <c r="BS68" s="3142">
        <f t="shared" si="772"/>
        <v>0</v>
      </c>
      <c r="BT68" s="3142">
        <f t="shared" si="773"/>
        <v>0</v>
      </c>
      <c r="BU68" s="3142">
        <f t="shared" si="774"/>
        <v>0</v>
      </c>
      <c r="BV68" s="3142">
        <f t="shared" ref="BV68" si="1037">SUM(AU68+BD68+BM68)</f>
        <v>0</v>
      </c>
      <c r="BW68" s="3142">
        <f t="shared" ref="BW68" si="1038">SUM(AV68+BE68+BN68)</f>
        <v>0</v>
      </c>
      <c r="BX68" s="3142">
        <f t="shared" ref="BX68" si="1039">SUM(AW68+BF68+BO68)</f>
        <v>0</v>
      </c>
      <c r="BY68" s="3143">
        <f t="shared" si="554"/>
        <v>-73.702500000000001</v>
      </c>
      <c r="BZ68" s="3143">
        <f t="shared" si="1033"/>
        <v>-73.702500000000001</v>
      </c>
      <c r="CA68" s="3143">
        <f t="shared" si="1034"/>
        <v>0</v>
      </c>
      <c r="CB68" s="3114">
        <f>SUM(AC68+BP68)</f>
        <v>147.405</v>
      </c>
      <c r="CC68" s="3114">
        <f t="shared" si="781"/>
        <v>147.405</v>
      </c>
      <c r="CD68" s="3114">
        <f t="shared" si="782"/>
        <v>0</v>
      </c>
      <c r="CE68" s="3142">
        <f t="shared" si="783"/>
        <v>0</v>
      </c>
      <c r="CF68" s="3142">
        <f t="shared" si="784"/>
        <v>0</v>
      </c>
      <c r="CG68" s="3142">
        <f t="shared" si="785"/>
        <v>0</v>
      </c>
      <c r="CH68" s="3142">
        <f t="shared" si="786"/>
        <v>0</v>
      </c>
      <c r="CI68" s="3142">
        <f t="shared" si="787"/>
        <v>0</v>
      </c>
      <c r="CJ68" s="3142">
        <f t="shared" si="788"/>
        <v>0</v>
      </c>
      <c r="CK68" s="3143">
        <f t="shared" si="566"/>
        <v>-147.405</v>
      </c>
      <c r="CL68" s="3143">
        <f t="shared" si="1035"/>
        <v>-147.405</v>
      </c>
      <c r="CM68" s="3143">
        <f t="shared" si="1036"/>
        <v>0</v>
      </c>
      <c r="CN68" s="3277">
        <f t="shared" si="791"/>
        <v>24.567499999999999</v>
      </c>
      <c r="CO68" s="3277">
        <f>SUM('ПОЛНАЯ СЕБЕСТОИМОСТЬ ВОДА 2019'!AP213/3)</f>
        <v>24.567499999999999</v>
      </c>
      <c r="CP68" s="3277">
        <f>SUM('ПОЛНАЯ СЕБЕСТОИМОСТЬ ВОДА 2019'!AQ213/3)</f>
        <v>0</v>
      </c>
      <c r="CQ68" s="3136">
        <f t="shared" si="792"/>
        <v>0</v>
      </c>
      <c r="CR68" s="3136">
        <f>SUM('ПОЛНАЯ СЕБЕСТОИМОСТЬ ВОДА 2019'!AS213)</f>
        <v>0</v>
      </c>
      <c r="CS68" s="3136">
        <f>SUM('ПОЛНАЯ СЕБЕСТОИМОСТЬ ВОДА 2019'!AT213)</f>
        <v>0</v>
      </c>
      <c r="CT68" s="3150">
        <v>0</v>
      </c>
      <c r="CU68" s="3137">
        <f t="shared" si="865"/>
        <v>0</v>
      </c>
      <c r="CV68" s="3137">
        <f>SUM(CT68/CT14*CV14)</f>
        <v>0</v>
      </c>
      <c r="CW68" s="3277">
        <f t="shared" si="794"/>
        <v>24.567499999999999</v>
      </c>
      <c r="CX68" s="3277">
        <f t="shared" si="795"/>
        <v>24.567499999999999</v>
      </c>
      <c r="CY68" s="3277">
        <f t="shared" si="796"/>
        <v>0</v>
      </c>
      <c r="CZ68" s="3136">
        <f t="shared" si="797"/>
        <v>0</v>
      </c>
      <c r="DA68" s="3136">
        <f>SUM('ПОЛНАЯ СЕБЕСТОИМОСТЬ ВОДА 2019'!AV213)</f>
        <v>0</v>
      </c>
      <c r="DB68" s="3136">
        <f>SUM('ПОЛНАЯ СЕБЕСТОИМОСТЬ ВОДА 2019'!AW213)</f>
        <v>0</v>
      </c>
      <c r="DC68" s="3150">
        <v>0</v>
      </c>
      <c r="DD68" s="3137">
        <f t="shared" si="866"/>
        <v>0</v>
      </c>
      <c r="DE68" s="3137">
        <f>SUM(DC68/DC14*DE14)</f>
        <v>0</v>
      </c>
      <c r="DF68" s="3277">
        <f t="shared" si="799"/>
        <v>24.567499999999999</v>
      </c>
      <c r="DG68" s="3277">
        <f t="shared" si="800"/>
        <v>24.567499999999999</v>
      </c>
      <c r="DH68" s="3277">
        <f t="shared" si="801"/>
        <v>0</v>
      </c>
      <c r="DI68" s="3136">
        <f t="shared" si="802"/>
        <v>0</v>
      </c>
      <c r="DJ68" s="3136">
        <f>SUM('ПОЛНАЯ СЕБЕСТОИМОСТЬ ВОДА 2019'!AY213)</f>
        <v>0</v>
      </c>
      <c r="DK68" s="3136">
        <f>SUM('ПОЛНАЯ СЕБЕСТОИМОСТЬ ВОДА 2019'!AZ213)</f>
        <v>0</v>
      </c>
      <c r="DL68" s="3150">
        <v>0</v>
      </c>
      <c r="DM68" s="3137">
        <f t="shared" si="867"/>
        <v>0</v>
      </c>
      <c r="DN68" s="3137">
        <f>SUM(DL68/DL14*DN14)</f>
        <v>0</v>
      </c>
      <c r="DO68" s="3114">
        <f>SUM(CN68+CW68+DF68)</f>
        <v>73.702500000000001</v>
      </c>
      <c r="DP68" s="3114">
        <f t="shared" si="805"/>
        <v>73.702500000000001</v>
      </c>
      <c r="DQ68" s="3114">
        <f t="shared" si="806"/>
        <v>0</v>
      </c>
      <c r="DR68" s="3142">
        <f t="shared" si="807"/>
        <v>0</v>
      </c>
      <c r="DS68" s="3142">
        <f t="shared" si="808"/>
        <v>0</v>
      </c>
      <c r="DT68" s="3142">
        <f t="shared" si="809"/>
        <v>0</v>
      </c>
      <c r="DU68" s="3142">
        <f t="shared" ref="DU68" si="1040">SUM(CT68+DC68+DL68)</f>
        <v>0</v>
      </c>
      <c r="DV68" s="3142">
        <f t="shared" ref="DV68" si="1041">SUM(CU68+DD68+DM68)</f>
        <v>0</v>
      </c>
      <c r="DW68" s="3142">
        <f t="shared" ref="DW68" si="1042">SUM(CV68+DE68+DN68)</f>
        <v>0</v>
      </c>
      <c r="DX68" s="3143">
        <f t="shared" si="578"/>
        <v>-73.702500000000001</v>
      </c>
      <c r="DY68" s="3143">
        <f t="shared" si="813"/>
        <v>-73.702500000000001</v>
      </c>
      <c r="DZ68" s="3143">
        <f t="shared" si="814"/>
        <v>0</v>
      </c>
      <c r="EA68" s="3114">
        <f>SUM(CB68+DO68)</f>
        <v>221.10750000000002</v>
      </c>
      <c r="EB68" s="3114">
        <f t="shared" si="816"/>
        <v>221.10750000000002</v>
      </c>
      <c r="EC68" s="3114">
        <f t="shared" si="817"/>
        <v>0</v>
      </c>
      <c r="ED68" s="3142">
        <f t="shared" si="818"/>
        <v>0</v>
      </c>
      <c r="EE68" s="3142">
        <f t="shared" si="819"/>
        <v>0</v>
      </c>
      <c r="EF68" s="3142">
        <f t="shared" si="820"/>
        <v>0</v>
      </c>
      <c r="EG68" s="3142">
        <f t="shared" si="821"/>
        <v>0</v>
      </c>
      <c r="EH68" s="3142">
        <f t="shared" si="822"/>
        <v>0</v>
      </c>
      <c r="EI68" s="3142">
        <f t="shared" si="823"/>
        <v>0</v>
      </c>
      <c r="EJ68" s="3143">
        <f t="shared" si="590"/>
        <v>-221.10750000000002</v>
      </c>
      <c r="EK68" s="3143">
        <f t="shared" si="590"/>
        <v>-221.10750000000002</v>
      </c>
      <c r="EL68" s="3143">
        <f t="shared" si="590"/>
        <v>0</v>
      </c>
      <c r="EM68" s="3277">
        <f t="shared" si="824"/>
        <v>24.567499999999999</v>
      </c>
      <c r="EN68" s="3277">
        <f>SUM('ПОЛНАЯ СЕБЕСТОИМОСТЬ ВОДА 2019'!BN213/3)</f>
        <v>24.567499999999999</v>
      </c>
      <c r="EO68" s="3277">
        <f>SUM('ПОЛНАЯ СЕБЕСТОИМОСТЬ ВОДА 2019'!BO213/3)</f>
        <v>0</v>
      </c>
      <c r="EP68" s="3136">
        <f t="shared" si="825"/>
        <v>0</v>
      </c>
      <c r="EQ68" s="3136">
        <f>SUM('ПОЛНАЯ СЕБЕСТОИМОСТЬ ВОДА 2019'!BQ213)</f>
        <v>0</v>
      </c>
      <c r="ER68" s="3136">
        <f>SUM('ПОЛНАЯ СЕБЕСТОИМОСТЬ ВОДА 2019'!BR213)</f>
        <v>0</v>
      </c>
      <c r="ES68" s="3150">
        <v>0</v>
      </c>
      <c r="ET68" s="3137">
        <f t="shared" si="868"/>
        <v>0</v>
      </c>
      <c r="EU68" s="3137">
        <f>SUM(ES68/ES14*EU14)</f>
        <v>0</v>
      </c>
      <c r="EV68" s="3277">
        <f t="shared" si="827"/>
        <v>24.567499999999999</v>
      </c>
      <c r="EW68" s="3277">
        <f t="shared" si="828"/>
        <v>24.567499999999999</v>
      </c>
      <c r="EX68" s="3277">
        <f t="shared" si="829"/>
        <v>0</v>
      </c>
      <c r="EY68" s="3136">
        <f t="shared" si="830"/>
        <v>0</v>
      </c>
      <c r="EZ68" s="3136">
        <f>SUM('ПОЛНАЯ СЕБЕСТОИМОСТЬ ВОДА 2019'!BT213)</f>
        <v>0</v>
      </c>
      <c r="FA68" s="3136">
        <f>SUM('ПОЛНАЯ СЕБЕСТОИМОСТЬ ВОДА 2019'!BU213)</f>
        <v>0</v>
      </c>
      <c r="FB68" s="3150">
        <v>0</v>
      </c>
      <c r="FC68" s="3137">
        <f t="shared" si="869"/>
        <v>0</v>
      </c>
      <c r="FD68" s="3137">
        <f>SUM(FB68/FB14*FD14)</f>
        <v>0</v>
      </c>
      <c r="FE68" s="3277">
        <f t="shared" si="832"/>
        <v>24.567499999999999</v>
      </c>
      <c r="FF68" s="3277">
        <f t="shared" si="833"/>
        <v>24.567499999999999</v>
      </c>
      <c r="FG68" s="3277">
        <f t="shared" si="834"/>
        <v>0</v>
      </c>
      <c r="FH68" s="3136">
        <f>SUM('[19]ПОЛНАЯ СЕБЕСТОИМОСТЬ ВОДА 2018'!Z213)</f>
        <v>0</v>
      </c>
      <c r="FI68" s="3136">
        <f>SUM('ПОЛНАЯ СЕБЕСТОИМОСТЬ ВОДА 2019'!BW213)</f>
        <v>0</v>
      </c>
      <c r="FJ68" s="3136">
        <f>SUM('ПОЛНАЯ СЕБЕСТОИМОСТЬ ВОДА 2019'!BX213)</f>
        <v>0</v>
      </c>
      <c r="FK68" s="3150">
        <v>0</v>
      </c>
      <c r="FL68" s="3137">
        <f t="shared" si="870"/>
        <v>0</v>
      </c>
      <c r="FM68" s="3137">
        <f>SUM(FK68/FK14*FM14)</f>
        <v>0</v>
      </c>
      <c r="FN68" s="3114">
        <f t="shared" si="836"/>
        <v>73.702500000000001</v>
      </c>
      <c r="FO68" s="3114">
        <f t="shared" si="837"/>
        <v>73.702500000000001</v>
      </c>
      <c r="FP68" s="3114">
        <f t="shared" si="838"/>
        <v>0</v>
      </c>
      <c r="FQ68" s="3123">
        <f t="shared" si="839"/>
        <v>0</v>
      </c>
      <c r="FR68" s="3123">
        <f t="shared" si="840"/>
        <v>0</v>
      </c>
      <c r="FS68" s="3123">
        <f t="shared" si="841"/>
        <v>0</v>
      </c>
      <c r="FT68" s="3123">
        <f t="shared" si="842"/>
        <v>0</v>
      </c>
      <c r="FU68" s="3123">
        <f t="shared" si="843"/>
        <v>0</v>
      </c>
      <c r="FV68" s="3123">
        <f t="shared" si="844"/>
        <v>0</v>
      </c>
      <c r="FW68" s="3115">
        <f t="shared" si="600"/>
        <v>-73.702500000000001</v>
      </c>
      <c r="FX68" s="3115">
        <f t="shared" si="845"/>
        <v>-73.702500000000001</v>
      </c>
      <c r="FY68" s="3115">
        <f t="shared" si="846"/>
        <v>0</v>
      </c>
      <c r="FZ68" s="3222">
        <f t="shared" si="847"/>
        <v>294.81</v>
      </c>
      <c r="GA68" s="3222">
        <f t="shared" si="848"/>
        <v>294.81</v>
      </c>
      <c r="GB68" s="3222">
        <f t="shared" si="849"/>
        <v>0</v>
      </c>
      <c r="GC68" s="3230">
        <f t="shared" si="850"/>
        <v>0</v>
      </c>
      <c r="GD68" s="3230">
        <f t="shared" si="851"/>
        <v>0</v>
      </c>
      <c r="GE68" s="3230">
        <f t="shared" si="852"/>
        <v>0</v>
      </c>
      <c r="GF68" s="3230">
        <f t="shared" si="853"/>
        <v>0</v>
      </c>
      <c r="GG68" s="3230">
        <f t="shared" si="854"/>
        <v>0</v>
      </c>
      <c r="GH68" s="3230">
        <f t="shared" si="855"/>
        <v>0</v>
      </c>
      <c r="GI68" s="3231">
        <f t="shared" si="856"/>
        <v>-294.81</v>
      </c>
      <c r="GJ68" s="3231">
        <f t="shared" si="857"/>
        <v>-294.81</v>
      </c>
      <c r="GK68" s="3231">
        <f t="shared" si="858"/>
        <v>0</v>
      </c>
      <c r="GL68" s="396"/>
    </row>
    <row r="69" spans="1:195" ht="18.75" x14ac:dyDescent="0.3">
      <c r="A69" s="3151" t="s">
        <v>12</v>
      </c>
      <c r="B69" s="3251">
        <f t="shared" si="731"/>
        <v>12269.20678733173</v>
      </c>
      <c r="C69" s="3251">
        <f t="shared" ref="C69:D69" si="1043">SUM(C41+C42+C43+C44+C45+C46+C47+C49+C54+C60+C67+C68)</f>
        <v>12266.642093165232</v>
      </c>
      <c r="D69" s="3251">
        <f t="shared" si="1043"/>
        <v>2.5646941664975782</v>
      </c>
      <c r="E69" s="3156">
        <f t="shared" si="732"/>
        <v>11426.996999999999</v>
      </c>
      <c r="F69" s="3152">
        <f>SUM(F41+F42+F43+F44+F45+F46+F47+F49+F54+F60+F67+F68)</f>
        <v>11424.89</v>
      </c>
      <c r="G69" s="3152">
        <f t="shared" ref="G69" si="1044">SUM(G41+G42+G43+G44+G45+G46+G47+G49+G54+G60+G67+G68)</f>
        <v>2.1070000000000002</v>
      </c>
      <c r="H69" s="3152">
        <f t="shared" ref="H69:J69" si="1045">SUM(H41+H42+H43+H44+H45+H46+H47+H49+H54+H60+H67+H68)</f>
        <v>10465.86</v>
      </c>
      <c r="I69" s="3152">
        <f t="shared" si="1045"/>
        <v>10463.591672164877</v>
      </c>
      <c r="J69" s="3152">
        <f t="shared" si="1045"/>
        <v>2.2683278351225464</v>
      </c>
      <c r="K69" s="3251">
        <f t="shared" si="734"/>
        <v>12269.20678733173</v>
      </c>
      <c r="L69" s="3251">
        <f t="shared" ref="L69:M69" si="1046">SUM(L41+L42+L43+L44+L45+L46+L47+L49+L54+L60+L67+L68)</f>
        <v>12266.642093165232</v>
      </c>
      <c r="M69" s="3251">
        <f t="shared" si="1046"/>
        <v>2.5646941664975782</v>
      </c>
      <c r="N69" s="3156">
        <f t="shared" si="737"/>
        <v>10332.424999999997</v>
      </c>
      <c r="O69" s="3152">
        <f t="shared" ref="O69:S69" si="1047">SUM(O41+O42+O43+O44+O45+O46+O47+O49+O54+O60+O67+O68)</f>
        <v>10330.749999999998</v>
      </c>
      <c r="P69" s="3152">
        <f t="shared" si="1047"/>
        <v>1.675</v>
      </c>
      <c r="Q69" s="3152">
        <f t="shared" si="1047"/>
        <v>9420.92</v>
      </c>
      <c r="R69" s="3152">
        <f t="shared" si="1047"/>
        <v>9418.1450305109629</v>
      </c>
      <c r="S69" s="3152">
        <f t="shared" si="1047"/>
        <v>2.7749694890379866</v>
      </c>
      <c r="T69" s="3251">
        <f t="shared" si="739"/>
        <v>12269.20678733173</v>
      </c>
      <c r="U69" s="3251">
        <f t="shared" ref="U69:V69" si="1048">SUM(U41+U42+U43+U44+U45+U46+U47+U49+U54+U60+U67+U68)</f>
        <v>12266.642093165232</v>
      </c>
      <c r="V69" s="3251">
        <f t="shared" si="1048"/>
        <v>2.5646941664975782</v>
      </c>
      <c r="W69" s="3156">
        <f t="shared" si="742"/>
        <v>12531.936</v>
      </c>
      <c r="X69" s="3152">
        <f t="shared" ref="X69:Y69" si="1049">SUM(X41+X42+X43+X44+X45+X46+X47+X49+X54+X60+X67+X68)</f>
        <v>12530.1</v>
      </c>
      <c r="Y69" s="3152">
        <f t="shared" si="1049"/>
        <v>1.8360000000000001</v>
      </c>
      <c r="Z69" s="3152">
        <f t="shared" ref="Z69:AB69" si="1050">SUM(Z41+Z42+Z43+Z44+Z45+Z46+Z47+Z49+Z54+Z60+Z67+Z68)</f>
        <v>12114.23</v>
      </c>
      <c r="AA69" s="3152">
        <f t="shared" si="1050"/>
        <v>12111.68352119008</v>
      </c>
      <c r="AB69" s="3152">
        <f t="shared" si="1050"/>
        <v>2.5464788099210143</v>
      </c>
      <c r="AC69" s="3284">
        <f t="shared" ref="AC69:AC70" si="1051">SUM(AD69:AE69)</f>
        <v>36807.620361995199</v>
      </c>
      <c r="AD69" s="3284">
        <f t="shared" ref="AD69:AE69" si="1052">SUM(AD41+AD42+AD43+AD44+AD45+AD46+AD47+AD49+AD54+AD60+AD67+AD68)</f>
        <v>36799.926279495703</v>
      </c>
      <c r="AE69" s="3284">
        <f t="shared" si="1052"/>
        <v>7.694082499492735</v>
      </c>
      <c r="AF69" s="3157">
        <f t="shared" ref="AF69:AF70" si="1053">SUM(AG69:AH69)</f>
        <v>34291.358</v>
      </c>
      <c r="AG69" s="3155">
        <f t="shared" ref="AG69:AH69" si="1054">SUM(AG41+AG42+AG43+AG44+AG45+AG46+AG47+AG49+AG54+AG60+AG67+AG68)</f>
        <v>34285.74</v>
      </c>
      <c r="AH69" s="3155">
        <f t="shared" si="1054"/>
        <v>5.6180000000000003</v>
      </c>
      <c r="AI69" s="3157">
        <f t="shared" ref="AI69:AI70" si="1055">SUM(AJ69:AK69)</f>
        <v>32001.010000000002</v>
      </c>
      <c r="AJ69" s="3155">
        <f t="shared" ref="AJ69:AK69" si="1056">SUM(AJ41+AJ42+AJ43+AJ44+AJ45+AJ46+AJ47+AJ49+AJ54+AJ60+AJ67+AJ68)</f>
        <v>31993.42022386592</v>
      </c>
      <c r="AK69" s="3155">
        <f t="shared" si="1056"/>
        <v>7.5897761340815482</v>
      </c>
      <c r="AL69" s="3115">
        <f t="shared" si="753"/>
        <v>-2516.2623619951992</v>
      </c>
      <c r="AM69" s="3115">
        <f t="shared" si="754"/>
        <v>-2514.1862794957051</v>
      </c>
      <c r="AN69" s="3115">
        <f t="shared" si="755"/>
        <v>-2.0760824994927347</v>
      </c>
      <c r="AO69" s="3251">
        <f t="shared" si="756"/>
        <v>12269.20678733173</v>
      </c>
      <c r="AP69" s="3251">
        <f t="shared" ref="AP69:AQ69" si="1057">SUM(AP41+AP42+AP43+AP44+AP45+AP46+AP47+AP49+AP54+AP60+AP67+AP68)</f>
        <v>12266.642093165232</v>
      </c>
      <c r="AQ69" s="3251">
        <f t="shared" si="1057"/>
        <v>2.5646941664975782</v>
      </c>
      <c r="AR69" s="3251">
        <f t="shared" si="757"/>
        <v>11324.5075</v>
      </c>
      <c r="AS69" s="3251">
        <f t="shared" ref="AS69:AW69" si="1058">SUM(AS41+AS42+AS43+AS44+AS45+AS46+AS47+AS49+AS54+AS60+AS67+AS68)</f>
        <v>11322.82</v>
      </c>
      <c r="AT69" s="3156">
        <f t="shared" si="1058"/>
        <v>1.6875</v>
      </c>
      <c r="AU69" s="3251">
        <f t="shared" si="1058"/>
        <v>10883.650000000001</v>
      </c>
      <c r="AV69" s="3251">
        <f t="shared" si="1058"/>
        <v>10878.55272745193</v>
      </c>
      <c r="AW69" s="3251">
        <f t="shared" si="1058"/>
        <v>5.0972725480709871</v>
      </c>
      <c r="AX69" s="3251">
        <f t="shared" si="759"/>
        <v>12269.20678733173</v>
      </c>
      <c r="AY69" s="3251">
        <f t="shared" ref="AY69:AZ69" si="1059">SUM(AY41+AY42+AY43+AY44+AY45+AY46+AY47+AY49+AY54+AY60+AY67+AY68)</f>
        <v>12266.642093165232</v>
      </c>
      <c r="AZ69" s="3251">
        <f t="shared" si="1059"/>
        <v>2.5646941664975782</v>
      </c>
      <c r="BA69" s="3251">
        <f t="shared" si="762"/>
        <v>12735.948999999999</v>
      </c>
      <c r="BB69" s="3251">
        <f t="shared" ref="BB69:BF69" si="1060">SUM(BB41+BB42+BB43+BB44+BB45+BB46+BB47+BB49+BB54+BB60+BB67+BB68)</f>
        <v>12733.619999999999</v>
      </c>
      <c r="BC69" s="3251">
        <f t="shared" si="1060"/>
        <v>2.3289999999999997</v>
      </c>
      <c r="BD69" s="3152">
        <f t="shared" si="1060"/>
        <v>10150.619999999999</v>
      </c>
      <c r="BE69" s="3152">
        <f t="shared" si="1060"/>
        <v>10148.95726222916</v>
      </c>
      <c r="BF69" s="3152">
        <f t="shared" si="1060"/>
        <v>1.6627377708407174</v>
      </c>
      <c r="BG69" s="3251">
        <f t="shared" si="764"/>
        <v>12269.20678733173</v>
      </c>
      <c r="BH69" s="3251">
        <f t="shared" ref="BH69:BI69" si="1061">SUM(BH41+BH42+BH43+BH44+BH45+BH46+BH47+BH49+BH54+BH60+BH67+BH68)</f>
        <v>12266.642093165232</v>
      </c>
      <c r="BI69" s="3251">
        <f t="shared" si="1061"/>
        <v>2.5646941664975782</v>
      </c>
      <c r="BJ69" s="3156">
        <f t="shared" si="767"/>
        <v>12831.116</v>
      </c>
      <c r="BK69" s="3152">
        <f t="shared" ref="BK69:BO69" si="1062">SUM(BK41+BK42+BK43+BK44+BK45+BK46+BK47+BK49+BK54+BK60+BK67+BK68)</f>
        <v>12828.24</v>
      </c>
      <c r="BL69" s="3152">
        <f t="shared" si="1062"/>
        <v>2.8760000000000003</v>
      </c>
      <c r="BM69" s="3152">
        <f t="shared" si="1062"/>
        <v>11471.880000000001</v>
      </c>
      <c r="BN69" s="3152">
        <f t="shared" si="1062"/>
        <v>11470.04490309024</v>
      </c>
      <c r="BO69" s="3152">
        <f t="shared" si="1062"/>
        <v>1.8350969097614251</v>
      </c>
      <c r="BP69" s="3284">
        <f t="shared" ref="BP69:BP70" si="1063">SUM(BQ69:BR69)</f>
        <v>36807.620361995199</v>
      </c>
      <c r="BQ69" s="3284">
        <f t="shared" ref="BQ69:BR69" si="1064">SUM(BQ41+BQ42+BQ43+BQ44+BQ45+BQ46+BQ47+BQ49+BQ54+BQ60+BQ67+BQ68)</f>
        <v>36799.926279495703</v>
      </c>
      <c r="BR69" s="3284">
        <f t="shared" si="1064"/>
        <v>7.694082499492735</v>
      </c>
      <c r="BS69" s="3157">
        <f t="shared" ref="BS69:BS70" si="1065">SUM(BT69:BU69)</f>
        <v>36891.572500000002</v>
      </c>
      <c r="BT69" s="3155">
        <f t="shared" ref="BT69:BU69" si="1066">SUM(BT41+BT42+BT43+BT44+BT45+BT46+BT47+BT49+BT54+BT60+BT67+BT68)</f>
        <v>36884.68</v>
      </c>
      <c r="BU69" s="3155">
        <f t="shared" si="1066"/>
        <v>6.8925000000000001</v>
      </c>
      <c r="BV69" s="3157">
        <f t="shared" ref="BV69:BV70" si="1067">SUM(BW69:BX69)</f>
        <v>32506.149999999998</v>
      </c>
      <c r="BW69" s="3155">
        <f t="shared" ref="BW69:BX69" si="1068">SUM(BW41+BW42+BW43+BW44+BW45+BW46+BW47+BW49+BW54+BW60+BW67+BW68)</f>
        <v>32497.554892771324</v>
      </c>
      <c r="BX69" s="3155">
        <f t="shared" si="1068"/>
        <v>8.5951072286731307</v>
      </c>
      <c r="BY69" s="3154">
        <f t="shared" si="554"/>
        <v>83.952138004802691</v>
      </c>
      <c r="BZ69" s="3154">
        <f t="shared" si="1033"/>
        <v>84.753720504297235</v>
      </c>
      <c r="CA69" s="3154">
        <f t="shared" si="1034"/>
        <v>-0.80158249949273497</v>
      </c>
      <c r="CB69" s="3284">
        <f t="shared" ref="CB69:CB70" si="1069">SUM(CC69:CD69)</f>
        <v>73615.240723990399</v>
      </c>
      <c r="CC69" s="3284">
        <f t="shared" ref="CC69:CD69" si="1070">SUM(CC41+CC42+CC43+CC44+CC45+CC46+CC47+CC49+CC54+CC60+CC67+CC68)</f>
        <v>73599.852558991406</v>
      </c>
      <c r="CD69" s="3284">
        <f t="shared" si="1070"/>
        <v>15.38816499898547</v>
      </c>
      <c r="CE69" s="3157">
        <f t="shared" ref="CE69:CE70" si="1071">SUM(CF69:CG69)</f>
        <v>71182.930500000002</v>
      </c>
      <c r="CF69" s="3155">
        <f t="shared" ref="CF69:CG69" si="1072">SUM(CF41+CF42+CF43+CF44+CF45+CF46+CF47+CF49+CF54+CF60+CF67+CF68)</f>
        <v>71170.42</v>
      </c>
      <c r="CG69" s="3155">
        <f t="shared" si="1072"/>
        <v>12.5105</v>
      </c>
      <c r="CH69" s="3157">
        <f t="shared" ref="CH69:CH70" si="1073">SUM(CI69:CJ69)</f>
        <v>64507.159999999989</v>
      </c>
      <c r="CI69" s="3155">
        <f t="shared" ref="CI69:CJ69" si="1074">SUM(CI41+CI42+CI43+CI44+CI45+CI46+CI47+CI49+CI54+CI60+CI67+CI68)</f>
        <v>64490.975116637237</v>
      </c>
      <c r="CJ69" s="3155">
        <f t="shared" si="1074"/>
        <v>16.184883362754679</v>
      </c>
      <c r="CK69" s="3154">
        <f t="shared" si="566"/>
        <v>-2432.3102239903965</v>
      </c>
      <c r="CL69" s="3154">
        <f t="shared" si="1035"/>
        <v>-2429.4325589914079</v>
      </c>
      <c r="CM69" s="3154">
        <f t="shared" si="1036"/>
        <v>-2.8776649989854697</v>
      </c>
      <c r="CN69" s="3251">
        <f t="shared" si="791"/>
        <v>12326.614708692012</v>
      </c>
      <c r="CO69" s="3251">
        <f t="shared" ref="CO69:CP69" si="1075">SUM(CO41+CO42+CO43+CO44+CO45+CO46+CO47+CO49+CO54+CO60+CO67+CO68)</f>
        <v>12324.044195811697</v>
      </c>
      <c r="CP69" s="3251">
        <f t="shared" si="1075"/>
        <v>2.5705128803149653</v>
      </c>
      <c r="CQ69" s="3156">
        <f t="shared" si="792"/>
        <v>11545.733</v>
      </c>
      <c r="CR69" s="3152">
        <f t="shared" ref="CR69:CV69" si="1076">SUM(CR41+CR42+CR43+CR44+CR45+CR46+CR47+CR49+CR54+CR60+CR67+CR68)</f>
        <v>11543.8</v>
      </c>
      <c r="CS69" s="3152">
        <f t="shared" si="1076"/>
        <v>1.9329999999999998</v>
      </c>
      <c r="CT69" s="3152">
        <f t="shared" si="1076"/>
        <v>10404.999999999998</v>
      </c>
      <c r="CU69" s="3152">
        <f t="shared" si="1076"/>
        <v>10403.699107161117</v>
      </c>
      <c r="CV69" s="3152">
        <f t="shared" si="1076"/>
        <v>1.3008928388823913</v>
      </c>
      <c r="CW69" s="3251">
        <f t="shared" si="794"/>
        <v>12326.614708692012</v>
      </c>
      <c r="CX69" s="3251">
        <f t="shared" ref="CX69:CY69" si="1077">SUM(CX41+CX42+CX43+CX44+CX45+CX46+CX47+CX49+CX54+CX60+CX67+CX68)</f>
        <v>12324.044195811697</v>
      </c>
      <c r="CY69" s="3251">
        <f t="shared" si="1077"/>
        <v>2.5705128803149653</v>
      </c>
      <c r="CZ69" s="3156">
        <f t="shared" ref="CZ69:CZ70" si="1078">SUM(DA69:DB69)</f>
        <v>12637.050999999999</v>
      </c>
      <c r="DA69" s="3152">
        <f t="shared" ref="DA69:DE69" si="1079">SUM(DA41+DA42+DA43+DA44+DA45+DA46+DA47+DA49+DA54+DA60+DA67+DA68)</f>
        <v>12635.4</v>
      </c>
      <c r="DB69" s="3152">
        <f t="shared" si="1079"/>
        <v>1.6509999999999998</v>
      </c>
      <c r="DC69" s="3152">
        <f t="shared" si="1079"/>
        <v>11498.839999999998</v>
      </c>
      <c r="DD69" s="3152">
        <f t="shared" si="1079"/>
        <v>11497.520223836842</v>
      </c>
      <c r="DE69" s="3152">
        <f t="shared" si="1079"/>
        <v>1.3197761631583509</v>
      </c>
      <c r="DF69" s="3251">
        <f t="shared" si="799"/>
        <v>12326.614708692012</v>
      </c>
      <c r="DG69" s="3251">
        <f t="shared" ref="DG69:DH69" si="1080">SUM(DG41+DG42+DG43+DG44+DG45+DG46+DG47+DG49+DG54+DG60+DG67+DG68)</f>
        <v>12324.044195811697</v>
      </c>
      <c r="DH69" s="3251">
        <f t="shared" si="1080"/>
        <v>2.5705128803149653</v>
      </c>
      <c r="DI69" s="3156">
        <f t="shared" si="802"/>
        <v>13887.012699999999</v>
      </c>
      <c r="DJ69" s="3152">
        <f t="shared" ref="DJ69:DN69" si="1081">SUM(DJ41+DJ42+DJ43+DJ44+DJ45+DJ46+DJ47+DJ49+DJ54+DJ60+DJ67+DJ68)</f>
        <v>13884.14</v>
      </c>
      <c r="DK69" s="3152">
        <f t="shared" si="1081"/>
        <v>2.8727000000000005</v>
      </c>
      <c r="DL69" s="3152">
        <f t="shared" si="1081"/>
        <v>11292.51</v>
      </c>
      <c r="DM69" s="3152">
        <f t="shared" si="1081"/>
        <v>11290.86289033548</v>
      </c>
      <c r="DN69" s="3152">
        <f t="shared" si="1081"/>
        <v>1.6471096645191075</v>
      </c>
      <c r="DO69" s="3284">
        <f t="shared" ref="DO69:DO70" si="1082">SUM(DP69:DQ69)</f>
        <v>36979.844126076037</v>
      </c>
      <c r="DP69" s="3284">
        <f t="shared" ref="DP69:DQ69" si="1083">SUM(DP41+DP42+DP43+DP44+DP45+DP46+DP47+DP49+DP54+DP60+DP67+DP68)</f>
        <v>36972.132587435095</v>
      </c>
      <c r="DQ69" s="3284">
        <f t="shared" si="1083"/>
        <v>7.7115386409448963</v>
      </c>
      <c r="DR69" s="3157">
        <f t="shared" ref="DR69:DR70" si="1084">SUM(DS69:DT69)</f>
        <v>38069.796699999999</v>
      </c>
      <c r="DS69" s="3155">
        <f t="shared" ref="DS69:DT69" si="1085">SUM(DS41+DS42+DS43+DS44+DS45+DS46+DS47+DS49+DS54+DS60+DS67+DS68)</f>
        <v>38063.339999999997</v>
      </c>
      <c r="DT69" s="3155">
        <f t="shared" si="1085"/>
        <v>6.4567000000000005</v>
      </c>
      <c r="DU69" s="3157">
        <f t="shared" ref="DU69:DU70" si="1086">SUM(DV69:DW69)</f>
        <v>33196.35</v>
      </c>
      <c r="DV69" s="3155">
        <f t="shared" ref="DV69:DW69" si="1087">SUM(DV41+DV42+DV43+DV44+DV45+DV46+DV47+DV49+DV54+DV60+DV67+DV68)</f>
        <v>33192.08222133344</v>
      </c>
      <c r="DW69" s="3155">
        <f t="shared" si="1087"/>
        <v>4.2677786665598489</v>
      </c>
      <c r="DX69" s="3154">
        <f t="shared" si="578"/>
        <v>1089.9525739239616</v>
      </c>
      <c r="DY69" s="3154">
        <f t="shared" si="813"/>
        <v>1091.2074125649015</v>
      </c>
      <c r="DZ69" s="3154">
        <f t="shared" si="814"/>
        <v>-1.2548386409448957</v>
      </c>
      <c r="EA69" s="3284">
        <f>SUM(EA41+EA42+EA43+EA44+EA45+EA46+EA47+EA49+EA54+EA60+EA67+EA68)</f>
        <v>110595.08485006641</v>
      </c>
      <c r="EB69" s="3284">
        <f t="shared" ref="EB69:EC69" si="1088">SUM(EB41+EB42+EB43+EB44+EB45+EB46+EB47+EB49+EB54+EB60+EB67+EB68)</f>
        <v>110571.98514642649</v>
      </c>
      <c r="EC69" s="3284">
        <f t="shared" si="1088"/>
        <v>23.099703639930368</v>
      </c>
      <c r="ED69" s="3155">
        <f>SUM(ED41+ED42+ED43+ED44+ED45+ED46+ED47+ED49+ED54+ED60+ED67+ED68)</f>
        <v>109252.72720000001</v>
      </c>
      <c r="EE69" s="3155">
        <f t="shared" ref="EE69:EF69" si="1089">SUM(EE41+EE42+EE43+EE44+EE45+EE46+EE47+EE49+EE54+EE60+EE67+EE68)</f>
        <v>109233.76000000001</v>
      </c>
      <c r="EF69" s="3155">
        <f t="shared" si="1089"/>
        <v>18.967199999999998</v>
      </c>
      <c r="EG69" s="3155">
        <f>SUM(EG41+EG42+EG43+EG44+EG45+EG46+EG47+EG49+EG54+EG60+EG67+EG68)</f>
        <v>97703.51</v>
      </c>
      <c r="EH69" s="3155">
        <f t="shared" ref="EH69:EI69" si="1090">SUM(EH41+EH42+EH43+EH44+EH45+EH46+EH47+EH49+EH54+EH60+EH67+EH68)</f>
        <v>97683.057337970677</v>
      </c>
      <c r="EI69" s="3155">
        <f t="shared" si="1090"/>
        <v>20.452662029314528</v>
      </c>
      <c r="EJ69" s="3154">
        <f t="shared" si="590"/>
        <v>-1342.3576500664058</v>
      </c>
      <c r="EK69" s="3154">
        <f t="shared" si="590"/>
        <v>-1338.2251464264846</v>
      </c>
      <c r="EL69" s="3154">
        <f t="shared" si="590"/>
        <v>-4.1325036399303698</v>
      </c>
      <c r="EM69" s="3251">
        <f t="shared" ref="EM69:EM70" si="1091">SUM(EN69:EO69)</f>
        <v>12326.614708692012</v>
      </c>
      <c r="EN69" s="3251">
        <f t="shared" ref="EN69:EO69" si="1092">SUM(EN41+EN42+EN43+EN44+EN45+EN46+EN47+EN49+EN54+EN60+EN67+EN68)</f>
        <v>12324.044195811697</v>
      </c>
      <c r="EO69" s="3251">
        <f t="shared" si="1092"/>
        <v>2.5705128803149653</v>
      </c>
      <c r="EP69" s="3156">
        <f t="shared" ref="EP69:EP70" si="1093">SUM(EQ69:ER69)</f>
        <v>0</v>
      </c>
      <c r="EQ69" s="3152">
        <f t="shared" ref="EQ69:EU69" si="1094">SUM(EQ41+EQ42+EQ43+EQ44+EQ45+EQ46+EQ47+EQ49+EQ54+EQ60+EQ67+EQ68)</f>
        <v>0</v>
      </c>
      <c r="ER69" s="3152">
        <f t="shared" si="1094"/>
        <v>0</v>
      </c>
      <c r="ES69" s="3152">
        <f t="shared" si="1094"/>
        <v>11361.060000000001</v>
      </c>
      <c r="ET69" s="3152">
        <f t="shared" si="1094"/>
        <v>11359.530327309245</v>
      </c>
      <c r="EU69" s="3152">
        <f t="shared" si="1094"/>
        <v>1.5296726907550164</v>
      </c>
      <c r="EV69" s="3251">
        <f t="shared" ref="EV69:EV70" si="1095">SUM(EW69:EX69)</f>
        <v>12326.614708692012</v>
      </c>
      <c r="EW69" s="3251">
        <f t="shared" ref="EW69:EX69" si="1096">SUM(EW41+EW42+EW43+EW44+EW45+EW46+EW47+EW49+EW54+EW60+EW67+EW68)</f>
        <v>12324.044195811697</v>
      </c>
      <c r="EX69" s="3251">
        <f t="shared" si="1096"/>
        <v>2.5705128803149653</v>
      </c>
      <c r="EY69" s="3156">
        <f t="shared" ref="EY69:EY70" si="1097">SUM(EZ69:FA69)</f>
        <v>0</v>
      </c>
      <c r="EZ69" s="3152">
        <f t="shared" ref="EZ69:FD69" si="1098">SUM(EZ41+EZ42+EZ43+EZ44+EZ45+EZ46+EZ47+EZ49+EZ54+EZ60+EZ67+EZ68)</f>
        <v>0</v>
      </c>
      <c r="FA69" s="3152">
        <f t="shared" si="1098"/>
        <v>0</v>
      </c>
      <c r="FB69" s="3152">
        <f t="shared" si="1098"/>
        <v>11729.57</v>
      </c>
      <c r="FC69" s="3152">
        <f t="shared" si="1098"/>
        <v>11728.043209814961</v>
      </c>
      <c r="FD69" s="3152">
        <f t="shared" si="1098"/>
        <v>1.5267901850381413</v>
      </c>
      <c r="FE69" s="3251">
        <f t="shared" ref="FE69:FE70" si="1099">SUM(FF69:FG69)</f>
        <v>12326.614708692012</v>
      </c>
      <c r="FF69" s="3251">
        <f t="shared" ref="FF69:FG69" si="1100">SUM(FF41+FF42+FF43+FF44+FF45+FF46+FF47+FF49+FF54+FF60+FF67+FF68)</f>
        <v>12324.044195811697</v>
      </c>
      <c r="FG69" s="3251">
        <f t="shared" si="1100"/>
        <v>2.5705128803149653</v>
      </c>
      <c r="FH69" s="3156">
        <f t="shared" ref="FH69:FH70" si="1101">SUM(FI69:FJ69)</f>
        <v>0</v>
      </c>
      <c r="FI69" s="3152">
        <f t="shared" ref="FI69:FM69" si="1102">SUM(FI41+FI42+FI43+FI44+FI45+FI46+FI47+FI49+FI54+FI60+FI67+FI68)</f>
        <v>0</v>
      </c>
      <c r="FJ69" s="3152">
        <f t="shared" si="1102"/>
        <v>0</v>
      </c>
      <c r="FK69" s="3152">
        <f t="shared" si="1102"/>
        <v>13329.860000000002</v>
      </c>
      <c r="FL69" s="3152">
        <f t="shared" si="1102"/>
        <v>13329.860000000002</v>
      </c>
      <c r="FM69" s="3152">
        <f t="shared" si="1102"/>
        <v>0</v>
      </c>
      <c r="FN69" s="3284">
        <f t="shared" ref="FN69:FN70" si="1103">SUM(FO69:FP69)</f>
        <v>36979.844126076037</v>
      </c>
      <c r="FO69" s="3284">
        <f t="shared" ref="FO69:FP69" si="1104">SUM(FO41+FO42+FO43+FO44+FO45+FO46+FO47+FO49+FO54+FO60+FO67+FO68)</f>
        <v>36972.132587435095</v>
      </c>
      <c r="FP69" s="3284">
        <f t="shared" si="1104"/>
        <v>7.7115386409448963</v>
      </c>
      <c r="FQ69" s="3157">
        <f t="shared" ref="FQ69:FQ70" si="1105">SUM(FR69:FS69)</f>
        <v>0</v>
      </c>
      <c r="FR69" s="3155">
        <f t="shared" ref="FR69:FS69" si="1106">SUM(FR41+FR42+FR43+FR44+FR45+FR46+FR47+FR49+FR54+FR60+FR67+FR68)</f>
        <v>0</v>
      </c>
      <c r="FS69" s="3155">
        <f t="shared" si="1106"/>
        <v>0</v>
      </c>
      <c r="FT69" s="3157">
        <f t="shared" ref="FT69:FT70" si="1107">SUM(FU69:FV69)</f>
        <v>36420.49</v>
      </c>
      <c r="FU69" s="3155">
        <f t="shared" ref="FU69:FV69" si="1108">SUM(FU41+FU42+FU43+FU44+FU45+FU46+FU47+FU49+FU54+FU60+FU67+FU68)</f>
        <v>36417.433537124205</v>
      </c>
      <c r="FV69" s="3155">
        <f t="shared" si="1108"/>
        <v>3.0564628757931578</v>
      </c>
      <c r="FW69" s="3110">
        <f t="shared" si="600"/>
        <v>-36979.844126076037</v>
      </c>
      <c r="FX69" s="3110">
        <f t="shared" si="845"/>
        <v>-36972.132587435095</v>
      </c>
      <c r="FY69" s="3110">
        <f t="shared" si="846"/>
        <v>-7.7115386409448963</v>
      </c>
      <c r="FZ69" s="3284">
        <f t="shared" ref="FZ69:FZ70" si="1109">SUM(GA69:GB69)</f>
        <v>147574.92897614246</v>
      </c>
      <c r="GA69" s="3284">
        <f t="shared" ref="GA69:GB69" si="1110">SUM(GA41+GA42+GA43+GA44+GA45+GA46+GA47+GA49+GA54+GA60+GA67+GA68)</f>
        <v>147544.11773386158</v>
      </c>
      <c r="GB69" s="3284">
        <f t="shared" si="1110"/>
        <v>30.811242280875263</v>
      </c>
      <c r="GC69" s="3157">
        <f t="shared" ref="GC69:GC70" si="1111">SUM(GD69:GE69)</f>
        <v>109252.72720000001</v>
      </c>
      <c r="GD69" s="3155">
        <f t="shared" ref="GD69:GE69" si="1112">SUM(GD41+GD42+GD43+GD44+GD45+GD46+GD47+GD49+GD54+GD60+GD67+GD68)</f>
        <v>109233.76000000001</v>
      </c>
      <c r="GE69" s="3155">
        <f t="shared" si="1112"/>
        <v>18.967199999999998</v>
      </c>
      <c r="GF69" s="3157">
        <f t="shared" ref="GF69:GF70" si="1113">SUM(GG69:GH69)</f>
        <v>134124</v>
      </c>
      <c r="GG69" s="3155">
        <f t="shared" ref="GG69:GH69" si="1114">SUM(GG41+GG42+GG43+GG44+GG45+GG46+GG47+GG49+GG54+GG60+GG67+GG68)</f>
        <v>134100.4908750949</v>
      </c>
      <c r="GH69" s="3155">
        <f t="shared" si="1114"/>
        <v>23.509124905107686</v>
      </c>
      <c r="GI69" s="3235">
        <f t="shared" si="612"/>
        <v>-38322.20177614245</v>
      </c>
      <c r="GJ69" s="3235">
        <f t="shared" si="857"/>
        <v>-38310.357733861572</v>
      </c>
      <c r="GK69" s="3235">
        <f t="shared" si="858"/>
        <v>-11.844042280875264</v>
      </c>
      <c r="GL69" s="396"/>
    </row>
    <row r="70" spans="1:195" ht="18.75" x14ac:dyDescent="0.3">
      <c r="A70" s="3151" t="s">
        <v>13</v>
      </c>
      <c r="B70" s="3251">
        <f t="shared" si="731"/>
        <v>305.1995769444444</v>
      </c>
      <c r="C70" s="3251">
        <f t="shared" ref="C70:EG70" si="1115">SUM(C14)</f>
        <v>305.05207694444442</v>
      </c>
      <c r="D70" s="3251">
        <f t="shared" si="1115"/>
        <v>0.14749999999999999</v>
      </c>
      <c r="E70" s="3156">
        <f t="shared" si="732"/>
        <v>311.55500000000001</v>
      </c>
      <c r="F70" s="3152">
        <f t="shared" ref="F70:G70" si="1116">SUM(F14)</f>
        <v>311.435</v>
      </c>
      <c r="G70" s="3152">
        <f t="shared" si="1116"/>
        <v>0.12</v>
      </c>
      <c r="H70" s="3156">
        <f t="shared" ref="H70" si="1117">SUM(I70:J70)</f>
        <v>319.33</v>
      </c>
      <c r="I70" s="3152">
        <f t="shared" ref="I70:J70" si="1118">SUM(I14)</f>
        <v>319.19</v>
      </c>
      <c r="J70" s="3152">
        <f t="shared" si="1118"/>
        <v>0.14000000000000001</v>
      </c>
      <c r="K70" s="3251">
        <f t="shared" si="734"/>
        <v>305.1995769444444</v>
      </c>
      <c r="L70" s="3251">
        <f t="shared" ref="L70:M70" si="1119">SUM(L14)</f>
        <v>305.05207694444442</v>
      </c>
      <c r="M70" s="3251">
        <f t="shared" si="1119"/>
        <v>0.14749999999999999</v>
      </c>
      <c r="N70" s="3156">
        <f t="shared" si="737"/>
        <v>297</v>
      </c>
      <c r="O70" s="3152">
        <f t="shared" ref="O70:P70" si="1120">SUM(O14)</f>
        <v>296.91000000000003</v>
      </c>
      <c r="P70" s="3152">
        <f t="shared" si="1120"/>
        <v>0.09</v>
      </c>
      <c r="Q70" s="3156">
        <f t="shared" ref="Q70" si="1121">SUM(R70:S70)</f>
        <v>315.57</v>
      </c>
      <c r="R70" s="3152">
        <f t="shared" ref="R70:S70" si="1122">SUM(R14)</f>
        <v>315.39</v>
      </c>
      <c r="S70" s="3152">
        <f t="shared" si="1122"/>
        <v>0.18</v>
      </c>
      <c r="T70" s="3251">
        <f t="shared" si="739"/>
        <v>305.1995769444444</v>
      </c>
      <c r="U70" s="3251">
        <f t="shared" ref="U70:V70" si="1123">SUM(U14)</f>
        <v>305.05207694444442</v>
      </c>
      <c r="V70" s="3251">
        <f t="shared" si="1123"/>
        <v>0.14749999999999999</v>
      </c>
      <c r="W70" s="3156">
        <f t="shared" si="742"/>
        <v>282.20400000000001</v>
      </c>
      <c r="X70" s="3152">
        <f t="shared" ref="X70:Y70" si="1124">SUM(X14)</f>
        <v>282.12900000000002</v>
      </c>
      <c r="Y70" s="3152">
        <f t="shared" si="1124"/>
        <v>7.4999999999999997E-2</v>
      </c>
      <c r="Z70" s="3156">
        <f t="shared" ref="Z70" si="1125">SUM(AA70:AB70)</f>
        <v>297.38000000000005</v>
      </c>
      <c r="AA70" s="3152">
        <f t="shared" ref="AA70:AB70" si="1126">SUM(AA14)</f>
        <v>297.26000000000005</v>
      </c>
      <c r="AB70" s="3152">
        <f t="shared" si="1126"/>
        <v>0.12</v>
      </c>
      <c r="AC70" s="3284">
        <f t="shared" si="1051"/>
        <v>915.59873083333332</v>
      </c>
      <c r="AD70" s="3284">
        <f t="shared" ref="AD70:AE70" si="1127">SUM(AD14)</f>
        <v>915.15623083333332</v>
      </c>
      <c r="AE70" s="3284">
        <f t="shared" si="1127"/>
        <v>0.4425</v>
      </c>
      <c r="AF70" s="3157">
        <f t="shared" si="1053"/>
        <v>890.75900000000001</v>
      </c>
      <c r="AG70" s="3155">
        <f t="shared" ref="AG70:AH70" si="1128">SUM(AG14)</f>
        <v>890.47400000000005</v>
      </c>
      <c r="AH70" s="3155">
        <f t="shared" si="1128"/>
        <v>0.28499999999999998</v>
      </c>
      <c r="AI70" s="3157">
        <f t="shared" si="1055"/>
        <v>932.28</v>
      </c>
      <c r="AJ70" s="3155">
        <f t="shared" ref="AJ70:AK70" si="1129">SUM(AJ14)</f>
        <v>931.83999999999992</v>
      </c>
      <c r="AK70" s="3155">
        <f t="shared" si="1129"/>
        <v>0.44</v>
      </c>
      <c r="AL70" s="3115">
        <f t="shared" si="753"/>
        <v>-24.839730833333306</v>
      </c>
      <c r="AM70" s="3115">
        <f t="shared" si="754"/>
        <v>-24.682230833333278</v>
      </c>
      <c r="AN70" s="3115">
        <f t="shared" si="755"/>
        <v>-0.15750000000000003</v>
      </c>
      <c r="AO70" s="3251">
        <f t="shared" si="756"/>
        <v>305.1995769444444</v>
      </c>
      <c r="AP70" s="3251">
        <f t="shared" ref="AP70:AQ70" si="1130">SUM(AP14)</f>
        <v>305.05207694444442</v>
      </c>
      <c r="AQ70" s="3251">
        <f t="shared" si="1130"/>
        <v>0.14749999999999999</v>
      </c>
      <c r="AR70" s="3251">
        <f t="shared" si="757"/>
        <v>295.19499999999999</v>
      </c>
      <c r="AS70" s="3251">
        <f t="shared" ref="AS70:AT70" si="1131">SUM(AS14)</f>
        <v>295.09999999999997</v>
      </c>
      <c r="AT70" s="3251">
        <f t="shared" si="1131"/>
        <v>9.5000000000000001E-2</v>
      </c>
      <c r="AU70" s="3251">
        <f t="shared" ref="AU70" si="1132">SUM(AV70:AW70)</f>
        <v>320.52</v>
      </c>
      <c r="AV70" s="3251">
        <f t="shared" ref="AV70:AW70" si="1133">SUM(AV14)</f>
        <v>320.2</v>
      </c>
      <c r="AW70" s="3251">
        <f t="shared" si="1133"/>
        <v>0.32</v>
      </c>
      <c r="AX70" s="3251">
        <f t="shared" si="759"/>
        <v>305.1995769444444</v>
      </c>
      <c r="AY70" s="3251">
        <f t="shared" ref="AY70:AZ70" si="1134">SUM(AY14)</f>
        <v>305.05207694444442</v>
      </c>
      <c r="AZ70" s="3251">
        <f t="shared" si="1134"/>
        <v>0.14749999999999999</v>
      </c>
      <c r="BA70" s="3156">
        <f t="shared" si="762"/>
        <v>283.73199999999997</v>
      </c>
      <c r="BB70" s="3152">
        <f t="shared" ref="BB70:BC70" si="1135">SUM(BB14)</f>
        <v>283.63499999999999</v>
      </c>
      <c r="BC70" s="3152">
        <f t="shared" si="1135"/>
        <v>9.7000000000000003E-2</v>
      </c>
      <c r="BD70" s="3156">
        <f t="shared" ref="BD70" si="1136">SUM(BE70:BF70)</f>
        <v>305.09000000000003</v>
      </c>
      <c r="BE70" s="3152">
        <f t="shared" ref="BE70:BF70" si="1137">SUM(BE14)</f>
        <v>304.99</v>
      </c>
      <c r="BF70" s="3152">
        <f t="shared" si="1137"/>
        <v>0.1</v>
      </c>
      <c r="BG70" s="3251">
        <f t="shared" si="764"/>
        <v>305.1995769444444</v>
      </c>
      <c r="BH70" s="3251">
        <f t="shared" ref="BH70:BI70" si="1138">SUM(BH14)</f>
        <v>305.05207694444442</v>
      </c>
      <c r="BI70" s="3251">
        <f t="shared" si="1138"/>
        <v>0.14749999999999999</v>
      </c>
      <c r="BJ70" s="3156">
        <f t="shared" si="767"/>
        <v>281.80300000000005</v>
      </c>
      <c r="BK70" s="3152">
        <f t="shared" ref="BK70:BL70" si="1139">SUM(BK14)</f>
        <v>281.72200000000004</v>
      </c>
      <c r="BL70" s="3152">
        <f t="shared" si="1139"/>
        <v>8.1000000000000003E-2</v>
      </c>
      <c r="BM70" s="3156">
        <f t="shared" ref="BM70" si="1140">SUM(BN70:BO70)</f>
        <v>324.98</v>
      </c>
      <c r="BN70" s="3152">
        <f t="shared" ref="BN70:BO70" si="1141">SUM(BN14)</f>
        <v>324.89000000000004</v>
      </c>
      <c r="BO70" s="3152">
        <f t="shared" si="1141"/>
        <v>0.09</v>
      </c>
      <c r="BP70" s="3284">
        <f t="shared" si="1063"/>
        <v>915.59873083333332</v>
      </c>
      <c r="BQ70" s="3284">
        <f t="shared" ref="BQ70:BR70" si="1142">SUM(BQ14)</f>
        <v>915.15623083333332</v>
      </c>
      <c r="BR70" s="3284">
        <f t="shared" si="1142"/>
        <v>0.4425</v>
      </c>
      <c r="BS70" s="3157">
        <f t="shared" si="1065"/>
        <v>860.73</v>
      </c>
      <c r="BT70" s="3155">
        <f t="shared" ref="BT70:BU70" si="1143">SUM(BT14)</f>
        <v>860.45699999999999</v>
      </c>
      <c r="BU70" s="3155">
        <f t="shared" si="1143"/>
        <v>0.27300000000000002</v>
      </c>
      <c r="BV70" s="3157">
        <f t="shared" si="1067"/>
        <v>950.59000000000015</v>
      </c>
      <c r="BW70" s="3155">
        <f t="shared" ref="BW70:BX70" si="1144">SUM(BW14)</f>
        <v>950.08000000000015</v>
      </c>
      <c r="BX70" s="3155">
        <f t="shared" si="1144"/>
        <v>0.51</v>
      </c>
      <c r="BY70" s="3154">
        <f t="shared" si="554"/>
        <v>-54.868730833333302</v>
      </c>
      <c r="BZ70" s="3154">
        <f t="shared" si="1033"/>
        <v>-54.699230833333331</v>
      </c>
      <c r="CA70" s="3154">
        <f t="shared" si="1034"/>
        <v>-0.16949999999999998</v>
      </c>
      <c r="CB70" s="3284">
        <f t="shared" si="1069"/>
        <v>1831.1974616666666</v>
      </c>
      <c r="CC70" s="3284">
        <f t="shared" ref="CC70:CD70" si="1145">SUM(CC14)</f>
        <v>1830.3124616666666</v>
      </c>
      <c r="CD70" s="3284">
        <f t="shared" si="1145"/>
        <v>0.88500000000000001</v>
      </c>
      <c r="CE70" s="3157">
        <f t="shared" si="1071"/>
        <v>1751.489</v>
      </c>
      <c r="CF70" s="3155">
        <f t="shared" ref="CF70:CG70" si="1146">SUM(CF14)</f>
        <v>1750.931</v>
      </c>
      <c r="CG70" s="3155">
        <f t="shared" si="1146"/>
        <v>0.55800000000000005</v>
      </c>
      <c r="CH70" s="3157">
        <f t="shared" si="1073"/>
        <v>1882.8700000000001</v>
      </c>
      <c r="CI70" s="3155">
        <f t="shared" ref="CI70:CJ70" si="1147">SUM(CI14)</f>
        <v>1881.92</v>
      </c>
      <c r="CJ70" s="3155">
        <f t="shared" si="1147"/>
        <v>0.95</v>
      </c>
      <c r="CK70" s="3154">
        <f t="shared" si="566"/>
        <v>-79.708461666666608</v>
      </c>
      <c r="CL70" s="3154">
        <f t="shared" si="1035"/>
        <v>-79.38146166666661</v>
      </c>
      <c r="CM70" s="3154">
        <f t="shared" si="1036"/>
        <v>-0.32699999999999996</v>
      </c>
      <c r="CN70" s="3251">
        <f t="shared" si="791"/>
        <v>305.1995769444444</v>
      </c>
      <c r="CO70" s="3251">
        <f t="shared" ref="CO70:CP70" si="1148">SUM(CO14)</f>
        <v>305.05207694444442</v>
      </c>
      <c r="CP70" s="3251">
        <f t="shared" si="1148"/>
        <v>0.14749999999999999</v>
      </c>
      <c r="CQ70" s="3156">
        <f t="shared" si="792"/>
        <v>275.69200000000001</v>
      </c>
      <c r="CR70" s="3152">
        <f t="shared" ref="CR70:CS70" si="1149">SUM(CR14)</f>
        <v>275.601</v>
      </c>
      <c r="CS70" s="3152">
        <f t="shared" si="1149"/>
        <v>9.0999999999999998E-2</v>
      </c>
      <c r="CT70" s="3156">
        <f t="shared" ref="CT70" si="1150">SUM(CU70:CV70)</f>
        <v>284.14</v>
      </c>
      <c r="CU70" s="3152">
        <f t="shared" ref="CU70:CV70" si="1151">SUM(CU14)</f>
        <v>284.07</v>
      </c>
      <c r="CV70" s="3152">
        <f t="shared" si="1151"/>
        <v>7.0000000000000007E-2</v>
      </c>
      <c r="CW70" s="3251">
        <f t="shared" si="794"/>
        <v>305.1995769444444</v>
      </c>
      <c r="CX70" s="3251">
        <f t="shared" ref="CX70:CY70" si="1152">SUM(CX14)</f>
        <v>305.05207694444442</v>
      </c>
      <c r="CY70" s="3251">
        <f t="shared" si="1152"/>
        <v>0.14749999999999999</v>
      </c>
      <c r="CZ70" s="3156">
        <f t="shared" si="1078"/>
        <v>310.952</v>
      </c>
      <c r="DA70" s="3152">
        <f t="shared" ref="DA70:DB70" si="1153">SUM(DA14)</f>
        <v>310.86200000000002</v>
      </c>
      <c r="DB70" s="3152">
        <f t="shared" si="1153"/>
        <v>0.09</v>
      </c>
      <c r="DC70" s="3156">
        <f t="shared" ref="DC70" si="1154">SUM(DD70:DE70)</f>
        <v>295.8</v>
      </c>
      <c r="DD70" s="3152">
        <f t="shared" ref="DD70:DE70" si="1155">SUM(DD14)</f>
        <v>295.73</v>
      </c>
      <c r="DE70" s="3152">
        <f t="shared" si="1155"/>
        <v>7.0000000000000007E-2</v>
      </c>
      <c r="DF70" s="3251">
        <f t="shared" si="799"/>
        <v>305.1995769444444</v>
      </c>
      <c r="DG70" s="3251">
        <f t="shared" ref="DG70:DH70" si="1156">SUM(DG14)</f>
        <v>305.05207694444442</v>
      </c>
      <c r="DH70" s="3251">
        <f t="shared" si="1156"/>
        <v>0.14749999999999999</v>
      </c>
      <c r="DI70" s="3156">
        <f t="shared" si="802"/>
        <v>301.12099999999992</v>
      </c>
      <c r="DJ70" s="3152">
        <f t="shared" ref="DJ70:DK70" si="1157">SUM(DJ14)</f>
        <v>301.03099999999995</v>
      </c>
      <c r="DK70" s="3152">
        <f t="shared" si="1157"/>
        <v>0.09</v>
      </c>
      <c r="DL70" s="3156">
        <f t="shared" ref="DL70" si="1158">SUM(DM70:DN70)</f>
        <v>305.25</v>
      </c>
      <c r="DM70" s="3152">
        <f t="shared" ref="DM70:DN70" si="1159">SUM(DM14)</f>
        <v>305.16899999999998</v>
      </c>
      <c r="DN70" s="3152">
        <f t="shared" si="1159"/>
        <v>8.1000000000000003E-2</v>
      </c>
      <c r="DO70" s="3284">
        <f t="shared" si="1082"/>
        <v>915.59873083333332</v>
      </c>
      <c r="DP70" s="3284">
        <f t="shared" ref="DP70:DQ70" si="1160">SUM(DP14)</f>
        <v>915.15623083333332</v>
      </c>
      <c r="DQ70" s="3284">
        <f t="shared" si="1160"/>
        <v>0.4425</v>
      </c>
      <c r="DR70" s="3157">
        <f t="shared" si="1084"/>
        <v>887.76499999999999</v>
      </c>
      <c r="DS70" s="3155">
        <f t="shared" ref="DS70:DT70" si="1161">SUM(DS14)</f>
        <v>887.49400000000003</v>
      </c>
      <c r="DT70" s="3155">
        <f t="shared" si="1161"/>
        <v>0.27100000000000002</v>
      </c>
      <c r="DU70" s="3157">
        <f t="shared" si="1086"/>
        <v>885.19</v>
      </c>
      <c r="DV70" s="3155">
        <f t="shared" ref="DV70:DW70" si="1162">SUM(DV14)</f>
        <v>884.96900000000005</v>
      </c>
      <c r="DW70" s="3155">
        <f t="shared" si="1162"/>
        <v>0.22100000000000003</v>
      </c>
      <c r="DX70" s="3154">
        <f t="shared" si="578"/>
        <v>-27.833730833333334</v>
      </c>
      <c r="DY70" s="3154">
        <f t="shared" si="813"/>
        <v>-27.662230833333297</v>
      </c>
      <c r="DZ70" s="3154">
        <f t="shared" si="814"/>
        <v>-0.17149999999999999</v>
      </c>
      <c r="EA70" s="3284">
        <f t="shared" si="1115"/>
        <v>2746.7961924999995</v>
      </c>
      <c r="EB70" s="3284">
        <f t="shared" ref="EB70:EC70" si="1163">SUM(EB14)</f>
        <v>2745.4686924999996</v>
      </c>
      <c r="EC70" s="3284">
        <f t="shared" si="1163"/>
        <v>1.3275000000000001</v>
      </c>
      <c r="ED70" s="3155">
        <f t="shared" si="1115"/>
        <v>2639.2540000000008</v>
      </c>
      <c r="EE70" s="3155">
        <f t="shared" ref="EE70:EF70" si="1164">SUM(EE14)</f>
        <v>2638.4250000000006</v>
      </c>
      <c r="EF70" s="3155">
        <f t="shared" si="1164"/>
        <v>0.82900000000000007</v>
      </c>
      <c r="EG70" s="3155">
        <f t="shared" si="1115"/>
        <v>2768.0600000000004</v>
      </c>
      <c r="EH70" s="3155">
        <f t="shared" ref="EH70:EI70" si="1165">SUM(EH14)</f>
        <v>2766.8890000000001</v>
      </c>
      <c r="EI70" s="3155">
        <f t="shared" si="1165"/>
        <v>1.171</v>
      </c>
      <c r="EJ70" s="3154">
        <f t="shared" si="590"/>
        <v>-107.54219249999869</v>
      </c>
      <c r="EK70" s="3154">
        <f t="shared" si="590"/>
        <v>-107.043692499999</v>
      </c>
      <c r="EL70" s="3154">
        <f t="shared" si="590"/>
        <v>-0.49850000000000005</v>
      </c>
      <c r="EM70" s="3251">
        <f t="shared" si="1091"/>
        <v>305.1995769444444</v>
      </c>
      <c r="EN70" s="3251">
        <f t="shared" ref="EN70:EO70" si="1166">SUM(EN14)</f>
        <v>305.05207694444442</v>
      </c>
      <c r="EO70" s="3251">
        <f t="shared" si="1166"/>
        <v>0.14749999999999999</v>
      </c>
      <c r="EP70" s="3156">
        <f t="shared" si="1093"/>
        <v>0</v>
      </c>
      <c r="EQ70" s="3152">
        <f t="shared" ref="EQ70:ER70" si="1167">SUM(EQ14)</f>
        <v>0</v>
      </c>
      <c r="ER70" s="3152">
        <f t="shared" si="1167"/>
        <v>0</v>
      </c>
      <c r="ES70" s="3156">
        <f t="shared" ref="ES70" si="1168">SUM(ET70:EU70)</f>
        <v>301.51600000000002</v>
      </c>
      <c r="ET70" s="3152">
        <f t="shared" ref="ET70:EU70" si="1169">SUM(ET14)</f>
        <v>301.43600000000004</v>
      </c>
      <c r="EU70" s="3152">
        <f t="shared" si="1169"/>
        <v>0.08</v>
      </c>
      <c r="EV70" s="3251">
        <f t="shared" si="1095"/>
        <v>305.1995769444444</v>
      </c>
      <c r="EW70" s="3251">
        <f t="shared" ref="EW70:EX70" si="1170">SUM(EW14)</f>
        <v>305.05207694444442</v>
      </c>
      <c r="EX70" s="3251">
        <f t="shared" si="1170"/>
        <v>0.14749999999999999</v>
      </c>
      <c r="EY70" s="3156">
        <f t="shared" si="1097"/>
        <v>0</v>
      </c>
      <c r="EZ70" s="3152">
        <f t="shared" ref="EZ70:FA70" si="1171">SUM(EZ14)</f>
        <v>0</v>
      </c>
      <c r="FA70" s="3152">
        <f t="shared" si="1171"/>
        <v>0</v>
      </c>
      <c r="FB70" s="3156">
        <f t="shared" ref="FB70" si="1172">SUM(FC70:FD70)</f>
        <v>296.36999999999995</v>
      </c>
      <c r="FC70" s="3152">
        <f t="shared" ref="FC70:FD70" si="1173">SUM(FC14)</f>
        <v>296.28999999999996</v>
      </c>
      <c r="FD70" s="3152">
        <f t="shared" si="1173"/>
        <v>0.08</v>
      </c>
      <c r="FE70" s="3251">
        <f t="shared" si="1099"/>
        <v>305.1995769444444</v>
      </c>
      <c r="FF70" s="3251">
        <f t="shared" ref="FF70:FG70" si="1174">SUM(FF14)</f>
        <v>305.05207694444442</v>
      </c>
      <c r="FG70" s="3251">
        <f t="shared" si="1174"/>
        <v>0.14749999999999999</v>
      </c>
      <c r="FH70" s="3156">
        <f t="shared" si="1101"/>
        <v>0</v>
      </c>
      <c r="FI70" s="3152">
        <f t="shared" ref="FI70:FJ70" si="1175">SUM(FI14)</f>
        <v>0</v>
      </c>
      <c r="FJ70" s="3152">
        <f t="shared" si="1175"/>
        <v>0</v>
      </c>
      <c r="FK70" s="3156">
        <f t="shared" ref="FK70" si="1176">SUM(FL70:FM70)</f>
        <v>293.91000000000003</v>
      </c>
      <c r="FL70" s="3152">
        <f t="shared" ref="FL70:FM70" si="1177">SUM(FL14)</f>
        <v>293.91000000000003</v>
      </c>
      <c r="FM70" s="3152">
        <f t="shared" si="1177"/>
        <v>0</v>
      </c>
      <c r="FN70" s="3284">
        <f t="shared" si="1103"/>
        <v>915.59873083333332</v>
      </c>
      <c r="FO70" s="3284">
        <f t="shared" ref="FO70:FP70" si="1178">SUM(FO14)</f>
        <v>915.15623083333332</v>
      </c>
      <c r="FP70" s="3284">
        <f t="shared" si="1178"/>
        <v>0.4425</v>
      </c>
      <c r="FQ70" s="3157">
        <f t="shared" si="1105"/>
        <v>0</v>
      </c>
      <c r="FR70" s="3155">
        <f t="shared" ref="FR70:FS70" si="1179">SUM(FR14)</f>
        <v>0</v>
      </c>
      <c r="FS70" s="3155">
        <f t="shared" si="1179"/>
        <v>0</v>
      </c>
      <c r="FT70" s="3157">
        <f t="shared" si="1107"/>
        <v>891.79600000000005</v>
      </c>
      <c r="FU70" s="3155">
        <f t="shared" ref="FU70:FV70" si="1180">SUM(FU14)</f>
        <v>891.63600000000008</v>
      </c>
      <c r="FV70" s="3155">
        <f t="shared" si="1180"/>
        <v>0.16</v>
      </c>
      <c r="FW70" s="3110">
        <f t="shared" si="600"/>
        <v>-915.59873083333332</v>
      </c>
      <c r="FX70" s="3110">
        <f t="shared" si="845"/>
        <v>-915.15623083333332</v>
      </c>
      <c r="FY70" s="3110">
        <f t="shared" si="846"/>
        <v>-0.4425</v>
      </c>
      <c r="FZ70" s="3284">
        <f t="shared" si="1109"/>
        <v>3662.3949233333333</v>
      </c>
      <c r="GA70" s="3284">
        <f t="shared" ref="GA70:GB70" si="1181">SUM(GA14)</f>
        <v>3660.6249233333333</v>
      </c>
      <c r="GB70" s="3284">
        <f t="shared" si="1181"/>
        <v>1.77</v>
      </c>
      <c r="GC70" s="3157">
        <f t="shared" si="1111"/>
        <v>2639.2540000000008</v>
      </c>
      <c r="GD70" s="3155">
        <f t="shared" ref="GD70:GE70" si="1182">SUM(GD14)</f>
        <v>2638.4250000000006</v>
      </c>
      <c r="GE70" s="3155">
        <f t="shared" si="1182"/>
        <v>0.82900000000000007</v>
      </c>
      <c r="GF70" s="3157">
        <f t="shared" si="1113"/>
        <v>3659.8559999999998</v>
      </c>
      <c r="GG70" s="3155">
        <f t="shared" ref="GG70:GH70" si="1183">SUM(GG14)</f>
        <v>3658.5249999999996</v>
      </c>
      <c r="GH70" s="3155">
        <f t="shared" si="1183"/>
        <v>1.331</v>
      </c>
      <c r="GI70" s="3235">
        <f t="shared" si="612"/>
        <v>-1023.1409233333325</v>
      </c>
      <c r="GJ70" s="3235">
        <f t="shared" si="857"/>
        <v>-1022.1999233333327</v>
      </c>
      <c r="GK70" s="3235">
        <f t="shared" si="858"/>
        <v>-0.94099999999999995</v>
      </c>
      <c r="GL70" s="396"/>
    </row>
    <row r="71" spans="1:195" ht="18.75" x14ac:dyDescent="0.3">
      <c r="A71" s="3158" t="s">
        <v>14</v>
      </c>
      <c r="B71" s="3251">
        <f t="shared" ref="B71:EG71" si="1184">SUM(B69/B70)</f>
        <v>40.200602209763545</v>
      </c>
      <c r="C71" s="3251">
        <f t="shared" si="1184"/>
        <v>40.211632767867414</v>
      </c>
      <c r="D71" s="3251">
        <f t="shared" si="1184"/>
        <v>17.387757061000531</v>
      </c>
      <c r="E71" s="3152">
        <f t="shared" ref="E71:G71" si="1185">SUM(E69/E70)</f>
        <v>36.677302562950359</v>
      </c>
      <c r="F71" s="3152">
        <f t="shared" si="1185"/>
        <v>36.684669353155549</v>
      </c>
      <c r="G71" s="3152">
        <f t="shared" si="1185"/>
        <v>17.558333333333337</v>
      </c>
      <c r="H71" s="3152">
        <f t="shared" ref="H71:J71" si="1186">SUM(H69/H70)</f>
        <v>32.774433971127053</v>
      </c>
      <c r="I71" s="3152">
        <f t="shared" si="1186"/>
        <v>32.781702660374314</v>
      </c>
      <c r="J71" s="3152">
        <f t="shared" si="1186"/>
        <v>16.202341679446757</v>
      </c>
      <c r="K71" s="3251">
        <f t="shared" ref="K71:M71" si="1187">SUM(K69/K70)</f>
        <v>40.200602209763545</v>
      </c>
      <c r="L71" s="3251">
        <f t="shared" si="1187"/>
        <v>40.211632767867414</v>
      </c>
      <c r="M71" s="3251">
        <f t="shared" si="1187"/>
        <v>17.387757061000531</v>
      </c>
      <c r="N71" s="3152">
        <f t="shared" ref="N71:S71" si="1188">SUM(N69/N70)</f>
        <v>34.789309764309756</v>
      </c>
      <c r="O71" s="3152">
        <f t="shared" si="1188"/>
        <v>34.794213734801779</v>
      </c>
      <c r="P71" s="3152">
        <f t="shared" si="1188"/>
        <v>18.611111111111111</v>
      </c>
      <c r="Q71" s="3152">
        <f t="shared" si="1188"/>
        <v>29.853661628164907</v>
      </c>
      <c r="R71" s="3152">
        <f t="shared" si="1188"/>
        <v>29.861901235013676</v>
      </c>
      <c r="S71" s="3152">
        <f t="shared" si="1188"/>
        <v>15.416497161322148</v>
      </c>
      <c r="T71" s="3251">
        <f t="shared" ref="T71:V71" si="1189">SUM(T69/T70)</f>
        <v>40.200602209763545</v>
      </c>
      <c r="U71" s="3251">
        <f t="shared" si="1189"/>
        <v>40.211632767867414</v>
      </c>
      <c r="V71" s="3251">
        <f t="shared" si="1189"/>
        <v>17.387757061000531</v>
      </c>
      <c r="W71" s="3152">
        <f t="shared" ref="W71:Y71" si="1190">SUM(W69/W70)</f>
        <v>44.407364884976822</v>
      </c>
      <c r="X71" s="3152">
        <f t="shared" si="1190"/>
        <v>44.412662292780958</v>
      </c>
      <c r="Y71" s="3152">
        <f t="shared" si="1190"/>
        <v>24.48</v>
      </c>
      <c r="Z71" s="3152">
        <f t="shared" ref="Z71:AB71" si="1191">SUM(Z69/Z70)</f>
        <v>40.736532382809862</v>
      </c>
      <c r="AA71" s="3152">
        <f t="shared" si="1191"/>
        <v>40.74441068825297</v>
      </c>
      <c r="AB71" s="3152">
        <f t="shared" si="1191"/>
        <v>21.220656749341785</v>
      </c>
      <c r="AC71" s="3284">
        <f t="shared" ref="AC71:AE71" si="1192">SUM(AC69/AC70)</f>
        <v>40.200602209763545</v>
      </c>
      <c r="AD71" s="3284">
        <f t="shared" si="1192"/>
        <v>40.211632767867414</v>
      </c>
      <c r="AE71" s="3284">
        <f t="shared" si="1192"/>
        <v>17.387757061000531</v>
      </c>
      <c r="AF71" s="3155">
        <f t="shared" ref="AF71:AH71" si="1193">SUM(AF69/AF70)</f>
        <v>38.496785325772741</v>
      </c>
      <c r="AG71" s="3155">
        <f t="shared" si="1193"/>
        <v>38.50279738656041</v>
      </c>
      <c r="AH71" s="3155">
        <f t="shared" si="1193"/>
        <v>19.712280701754388</v>
      </c>
      <c r="AI71" s="3155">
        <f t="shared" ref="AI71:AK71" si="1194">SUM(AI69/AI70)</f>
        <v>34.325535246921532</v>
      </c>
      <c r="AJ71" s="3155">
        <f t="shared" si="1194"/>
        <v>34.333598282823147</v>
      </c>
      <c r="AK71" s="3155">
        <f t="shared" si="1194"/>
        <v>17.249491213821699</v>
      </c>
      <c r="AL71" s="3115">
        <f t="shared" si="753"/>
        <v>-1.7038168839908039</v>
      </c>
      <c r="AM71" s="3115">
        <f t="shared" si="754"/>
        <v>-1.7088353813070043</v>
      </c>
      <c r="AN71" s="3115">
        <f t="shared" si="755"/>
        <v>2.3245236407538563</v>
      </c>
      <c r="AO71" s="3251">
        <f t="shared" ref="AO71:AQ71" si="1195">SUM(AO69/AO70)</f>
        <v>40.200602209763545</v>
      </c>
      <c r="AP71" s="3251">
        <f t="shared" si="1195"/>
        <v>40.211632767867414</v>
      </c>
      <c r="AQ71" s="3251">
        <f t="shared" si="1195"/>
        <v>17.387757061000531</v>
      </c>
      <c r="AR71" s="3251">
        <f t="shared" ref="AR71:AW71" si="1196">SUM(AR69/AR70)</f>
        <v>38.362802554243807</v>
      </c>
      <c r="AS71" s="3251">
        <f t="shared" si="1196"/>
        <v>38.369434090138938</v>
      </c>
      <c r="AT71" s="3251">
        <f t="shared" si="1196"/>
        <v>17.763157894736842</v>
      </c>
      <c r="AU71" s="3251">
        <f t="shared" si="1196"/>
        <v>33.956227380506682</v>
      </c>
      <c r="AV71" s="3251">
        <f t="shared" si="1196"/>
        <v>33.974243371180293</v>
      </c>
      <c r="AW71" s="3251">
        <f t="shared" si="1196"/>
        <v>15.928976712721834</v>
      </c>
      <c r="AX71" s="3251">
        <f t="shared" ref="AX71:AZ71" si="1197">SUM(AX69/AX70)</f>
        <v>40.200602209763545</v>
      </c>
      <c r="AY71" s="3251">
        <f t="shared" si="1197"/>
        <v>40.211632767867414</v>
      </c>
      <c r="AZ71" s="3251">
        <f t="shared" si="1197"/>
        <v>17.387757061000531</v>
      </c>
      <c r="BA71" s="3152">
        <f t="shared" ref="BA71:BF71" si="1198">SUM(BA69/BA70)</f>
        <v>44.887249235193778</v>
      </c>
      <c r="BB71" s="3152">
        <f t="shared" si="1198"/>
        <v>44.894388915331319</v>
      </c>
      <c r="BC71" s="3152">
        <f t="shared" si="1198"/>
        <v>24.010309278350512</v>
      </c>
      <c r="BD71" s="3152">
        <f t="shared" si="1198"/>
        <v>33.270903667770156</v>
      </c>
      <c r="BE71" s="3152">
        <f t="shared" si="1198"/>
        <v>33.27636074044775</v>
      </c>
      <c r="BF71" s="3152">
        <f t="shared" si="1198"/>
        <v>16.627377708407174</v>
      </c>
      <c r="BG71" s="3251">
        <f t="shared" ref="BG71:BI71" si="1199">SUM(BG69/BG70)</f>
        <v>40.200602209763545</v>
      </c>
      <c r="BH71" s="3251">
        <f t="shared" si="1199"/>
        <v>40.211632767867414</v>
      </c>
      <c r="BI71" s="3251">
        <f t="shared" si="1199"/>
        <v>17.387757061000531</v>
      </c>
      <c r="BJ71" s="3152">
        <f t="shared" ref="BJ71:BO71" si="1200">SUM(BJ69/BJ70)</f>
        <v>45.532219316330902</v>
      </c>
      <c r="BK71" s="3152">
        <f t="shared" si="1200"/>
        <v>45.535101979966058</v>
      </c>
      <c r="BL71" s="3152">
        <f t="shared" si="1200"/>
        <v>35.506172839506178</v>
      </c>
      <c r="BM71" s="3152">
        <f t="shared" si="1200"/>
        <v>35.300264631669641</v>
      </c>
      <c r="BN71" s="3152">
        <f t="shared" si="1200"/>
        <v>35.30439503552045</v>
      </c>
      <c r="BO71" s="3152">
        <f t="shared" si="1200"/>
        <v>20.389965664015836</v>
      </c>
      <c r="BP71" s="3284">
        <f t="shared" ref="BP71:BR71" si="1201">SUM(BP69/BP70)</f>
        <v>40.200602209763545</v>
      </c>
      <c r="BQ71" s="3284">
        <f t="shared" si="1201"/>
        <v>40.211632767867414</v>
      </c>
      <c r="BR71" s="3284">
        <f t="shared" si="1201"/>
        <v>17.387757061000531</v>
      </c>
      <c r="BS71" s="3155">
        <f t="shared" ref="BS71:BU71" si="1202">SUM(BS69/BS70)</f>
        <v>42.860795487551265</v>
      </c>
      <c r="BT71" s="3155">
        <f t="shared" si="1202"/>
        <v>42.866383793728218</v>
      </c>
      <c r="BU71" s="3155">
        <f t="shared" si="1202"/>
        <v>25.247252747252745</v>
      </c>
      <c r="BV71" s="3155">
        <f t="shared" ref="BV71:BX71" si="1203">SUM(BV69/BV70)</f>
        <v>34.195762631628767</v>
      </c>
      <c r="BW71" s="3155">
        <f t="shared" si="1203"/>
        <v>34.205072091583148</v>
      </c>
      <c r="BX71" s="3155">
        <f t="shared" si="1203"/>
        <v>16.853151428770843</v>
      </c>
      <c r="BY71" s="3154">
        <f t="shared" si="554"/>
        <v>2.6601932777877195</v>
      </c>
      <c r="BZ71" s="3154">
        <f t="shared" si="1033"/>
        <v>2.6547510258608042</v>
      </c>
      <c r="CA71" s="3154">
        <f t="shared" si="1034"/>
        <v>7.8594956862522132</v>
      </c>
      <c r="CB71" s="3284">
        <f t="shared" ref="CB71:CD71" si="1204">SUM(CB69/CB70)</f>
        <v>40.200602209763545</v>
      </c>
      <c r="CC71" s="3284">
        <f t="shared" si="1204"/>
        <v>40.211632767867414</v>
      </c>
      <c r="CD71" s="3284">
        <f t="shared" si="1204"/>
        <v>17.387757061000531</v>
      </c>
      <c r="CE71" s="3155">
        <f t="shared" ref="CE71:CG71" si="1205">SUM(CE69/CE70)</f>
        <v>40.641380277010022</v>
      </c>
      <c r="CF71" s="3155">
        <f t="shared" si="1205"/>
        <v>40.647187125020913</v>
      </c>
      <c r="CG71" s="3155">
        <f t="shared" si="1205"/>
        <v>22.420250896057347</v>
      </c>
      <c r="CH71" s="3155">
        <f t="shared" ref="CH71:CJ71" si="1206">SUM(CH69/CH70)</f>
        <v>34.260017951318986</v>
      </c>
      <c r="CI71" s="3155">
        <f t="shared" si="1206"/>
        <v>34.268712334550479</v>
      </c>
      <c r="CJ71" s="3155">
        <f t="shared" si="1206"/>
        <v>17.036719329215451</v>
      </c>
      <c r="CK71" s="3154">
        <f t="shared" si="566"/>
        <v>0.44077806724647672</v>
      </c>
      <c r="CL71" s="3154">
        <f t="shared" si="1035"/>
        <v>0.43555435715349944</v>
      </c>
      <c r="CM71" s="3154">
        <f t="shared" si="1036"/>
        <v>5.0324938350568154</v>
      </c>
      <c r="CN71" s="3251">
        <f t="shared" ref="CN71:CP71" si="1207">SUM(CN69/CN70)</f>
        <v>40.388701819648425</v>
      </c>
      <c r="CO71" s="3251">
        <f t="shared" si="1207"/>
        <v>40.399804253934427</v>
      </c>
      <c r="CP71" s="3251">
        <f t="shared" si="1207"/>
        <v>17.427205968237054</v>
      </c>
      <c r="CQ71" s="3152">
        <f t="shared" ref="CQ71:CV71" si="1208">SUM(CQ69/CQ70)</f>
        <v>41.879100590514049</v>
      </c>
      <c r="CR71" s="3152">
        <f t="shared" si="1208"/>
        <v>41.885914782602384</v>
      </c>
      <c r="CS71" s="3152">
        <f t="shared" si="1208"/>
        <v>21.241758241758241</v>
      </c>
      <c r="CT71" s="3152">
        <f t="shared" si="1208"/>
        <v>36.619272189765603</v>
      </c>
      <c r="CU71" s="3152">
        <f t="shared" si="1208"/>
        <v>36.623716362731429</v>
      </c>
      <c r="CV71" s="3152">
        <f t="shared" si="1208"/>
        <v>18.584183412605586</v>
      </c>
      <c r="CW71" s="3251">
        <f t="shared" ref="CW71:CY71" si="1209">SUM(CW69/CW70)</f>
        <v>40.388701819648425</v>
      </c>
      <c r="CX71" s="3251">
        <f t="shared" si="1209"/>
        <v>40.399804253934427</v>
      </c>
      <c r="CY71" s="3251">
        <f t="shared" si="1209"/>
        <v>17.427205968237054</v>
      </c>
      <c r="CZ71" s="3152">
        <f t="shared" ref="CZ71" si="1210">SUM(CZ69/CZ70)</f>
        <v>40.639876894183026</v>
      </c>
      <c r="DA71" s="3152">
        <f t="shared" ref="DA71:DE71" si="1211">SUM(DA69/DA70)</f>
        <v>40.646331812830127</v>
      </c>
      <c r="DB71" s="3152">
        <f t="shared" si="1211"/>
        <v>18.344444444444441</v>
      </c>
      <c r="DC71" s="3152">
        <f t="shared" si="1211"/>
        <v>38.87369844489519</v>
      </c>
      <c r="DD71" s="3152">
        <f t="shared" si="1211"/>
        <v>38.878437168487608</v>
      </c>
      <c r="DE71" s="3152">
        <f t="shared" si="1211"/>
        <v>18.853945187976439</v>
      </c>
      <c r="DF71" s="3251">
        <f t="shared" ref="DF71" si="1212">SUM(DF69/DF70)</f>
        <v>40.388701819648425</v>
      </c>
      <c r="DG71" s="3251">
        <f t="shared" ref="DG71:DI71" si="1213">SUM(DG69/DG70)</f>
        <v>40.399804253934427</v>
      </c>
      <c r="DH71" s="3251">
        <f t="shared" si="1213"/>
        <v>17.427205968237054</v>
      </c>
      <c r="DI71" s="3152">
        <f t="shared" si="1213"/>
        <v>46.117715801953374</v>
      </c>
      <c r="DJ71" s="3152">
        <f t="shared" ref="DJ71:DN71" si="1214">SUM(DJ69/DJ70)</f>
        <v>46.121960861173775</v>
      </c>
      <c r="DK71" s="3152">
        <f t="shared" si="1214"/>
        <v>31.918888888888894</v>
      </c>
      <c r="DL71" s="3152">
        <f t="shared" si="1214"/>
        <v>36.994299754299753</v>
      </c>
      <c r="DM71" s="3152">
        <f t="shared" si="1214"/>
        <v>36.998721660245572</v>
      </c>
      <c r="DN71" s="3152">
        <f t="shared" si="1214"/>
        <v>20.334687216285278</v>
      </c>
      <c r="DO71" s="3284">
        <f t="shared" ref="DO71" si="1215">SUM(DO69/DO70)</f>
        <v>40.388701819648425</v>
      </c>
      <c r="DP71" s="3284">
        <f t="shared" ref="DP71:DR71" si="1216">SUM(DP69/DP70)</f>
        <v>40.399804253934427</v>
      </c>
      <c r="DQ71" s="3284">
        <f t="shared" si="1216"/>
        <v>17.427205968237054</v>
      </c>
      <c r="DR71" s="3155">
        <f t="shared" si="1216"/>
        <v>42.882741153345762</v>
      </c>
      <c r="DS71" s="3155">
        <f t="shared" ref="DS71:DU71" si="1217">SUM(DS69/DS70)</f>
        <v>42.888560373365898</v>
      </c>
      <c r="DT71" s="3155">
        <f t="shared" si="1217"/>
        <v>23.825461254612545</v>
      </c>
      <c r="DU71" s="3155">
        <f t="shared" si="1217"/>
        <v>37.501948734170064</v>
      </c>
      <c r="DV71" s="3155">
        <f t="shared" ref="DV71:DW71" si="1218">SUM(DV69/DV70)</f>
        <v>37.506491437929959</v>
      </c>
      <c r="DW71" s="3155">
        <f t="shared" si="1218"/>
        <v>19.311215685791169</v>
      </c>
      <c r="DX71" s="3154">
        <f t="shared" si="578"/>
        <v>2.4940393336973372</v>
      </c>
      <c r="DY71" s="3154">
        <f t="shared" si="813"/>
        <v>2.4887561194314713</v>
      </c>
      <c r="DZ71" s="3154">
        <f t="shared" si="814"/>
        <v>6.3982552863754911</v>
      </c>
      <c r="EA71" s="3284">
        <f t="shared" si="1184"/>
        <v>40.263302079725172</v>
      </c>
      <c r="EB71" s="3284">
        <f t="shared" ref="EB71:EC71" si="1219">SUM(EB69/EB70)</f>
        <v>40.274356596556423</v>
      </c>
      <c r="EC71" s="3284">
        <f t="shared" si="1219"/>
        <v>17.400906696746038</v>
      </c>
      <c r="ED71" s="3155">
        <f t="shared" si="1184"/>
        <v>41.395306097859461</v>
      </c>
      <c r="EE71" s="3155">
        <f t="shared" ref="EE71:EF71" si="1220">SUM(EE69/EE70)</f>
        <v>41.401123776495439</v>
      </c>
      <c r="EF71" s="3155">
        <f t="shared" si="1220"/>
        <v>22.879613992762359</v>
      </c>
      <c r="EG71" s="3155">
        <f t="shared" si="1184"/>
        <v>35.296745735280297</v>
      </c>
      <c r="EH71" s="3155">
        <f t="shared" ref="EH71:EI71" si="1221">SUM(EH69/EH70)</f>
        <v>35.304292054350817</v>
      </c>
      <c r="EI71" s="3155">
        <f t="shared" si="1221"/>
        <v>17.465979529730596</v>
      </c>
      <c r="EJ71" s="3154">
        <f t="shared" si="590"/>
        <v>1.132004018134289</v>
      </c>
      <c r="EK71" s="3154">
        <f t="shared" si="590"/>
        <v>1.1267671799390158</v>
      </c>
      <c r="EL71" s="3154">
        <f t="shared" si="590"/>
        <v>5.4787072960163208</v>
      </c>
      <c r="EM71" s="3251">
        <f t="shared" ref="EM71:EO71" si="1222">SUM(EM69/EM70)</f>
        <v>40.388701819648425</v>
      </c>
      <c r="EN71" s="3251">
        <f t="shared" si="1222"/>
        <v>40.399804253934427</v>
      </c>
      <c r="EO71" s="3251">
        <f t="shared" si="1222"/>
        <v>17.427205968237054</v>
      </c>
      <c r="EP71" s="3152" t="e">
        <f t="shared" ref="EP71:EU71" si="1223">SUM(EP69/EP70)</f>
        <v>#DIV/0!</v>
      </c>
      <c r="EQ71" s="3152" t="e">
        <f t="shared" si="1223"/>
        <v>#DIV/0!</v>
      </c>
      <c r="ER71" s="3152" t="e">
        <f t="shared" si="1223"/>
        <v>#DIV/0!</v>
      </c>
      <c r="ES71" s="3152">
        <f t="shared" si="1223"/>
        <v>37.679791453853198</v>
      </c>
      <c r="ET71" s="3152">
        <f t="shared" si="1223"/>
        <v>37.68471691274182</v>
      </c>
      <c r="EU71" s="3152">
        <f t="shared" si="1223"/>
        <v>19.120908634437704</v>
      </c>
      <c r="EV71" s="3251">
        <f t="shared" ref="EV71:EX71" si="1224">SUM(EV69/EV70)</f>
        <v>40.388701819648425</v>
      </c>
      <c r="EW71" s="3251">
        <f t="shared" si="1224"/>
        <v>40.399804253934427</v>
      </c>
      <c r="EX71" s="3251">
        <f t="shared" si="1224"/>
        <v>17.427205968237054</v>
      </c>
      <c r="EY71" s="3152" t="e">
        <f t="shared" ref="EY71:FD71" si="1225">SUM(EY69/EY70)</f>
        <v>#DIV/0!</v>
      </c>
      <c r="EZ71" s="3152" t="e">
        <f t="shared" si="1225"/>
        <v>#DIV/0!</v>
      </c>
      <c r="FA71" s="3152" t="e">
        <f t="shared" si="1225"/>
        <v>#DIV/0!</v>
      </c>
      <c r="FB71" s="3152">
        <f t="shared" si="1225"/>
        <v>39.57745385835274</v>
      </c>
      <c r="FC71" s="3152">
        <f t="shared" si="1225"/>
        <v>39.582986971598643</v>
      </c>
      <c r="FD71" s="3152">
        <f t="shared" si="1225"/>
        <v>19.084877312976765</v>
      </c>
      <c r="FE71" s="3251">
        <f t="shared" ref="FE71:FG71" si="1226">SUM(FE69/FE70)</f>
        <v>40.388701819648425</v>
      </c>
      <c r="FF71" s="3251">
        <f t="shared" si="1226"/>
        <v>40.399804253934427</v>
      </c>
      <c r="FG71" s="3251">
        <f t="shared" si="1226"/>
        <v>17.427205968237054</v>
      </c>
      <c r="FH71" s="3152" t="e">
        <f t="shared" ref="FH71:FM71" si="1227">SUM(FH69/FH70)</f>
        <v>#DIV/0!</v>
      </c>
      <c r="FI71" s="3152" t="e">
        <f t="shared" si="1227"/>
        <v>#DIV/0!</v>
      </c>
      <c r="FJ71" s="3152" t="e">
        <f t="shared" si="1227"/>
        <v>#DIV/0!</v>
      </c>
      <c r="FK71" s="3152">
        <f t="shared" si="1227"/>
        <v>45.35354360178286</v>
      </c>
      <c r="FL71" s="3152">
        <f t="shared" si="1227"/>
        <v>45.35354360178286</v>
      </c>
      <c r="FM71" s="3152" t="e">
        <f t="shared" si="1227"/>
        <v>#DIV/0!</v>
      </c>
      <c r="FN71" s="3284">
        <f t="shared" ref="FN71:FP71" si="1228">SUM(FN69/FN70)</f>
        <v>40.388701819648425</v>
      </c>
      <c r="FO71" s="3284">
        <f t="shared" si="1228"/>
        <v>40.399804253934427</v>
      </c>
      <c r="FP71" s="3284">
        <f t="shared" si="1228"/>
        <v>17.427205968237054</v>
      </c>
      <c r="FQ71" s="3155" t="e">
        <f t="shared" ref="FQ71:FS71" si="1229">SUM(FQ69/FQ70)</f>
        <v>#DIV/0!</v>
      </c>
      <c r="FR71" s="3155" t="e">
        <f t="shared" si="1229"/>
        <v>#DIV/0!</v>
      </c>
      <c r="FS71" s="3155" t="e">
        <f t="shared" si="1229"/>
        <v>#DIV/0!</v>
      </c>
      <c r="FT71" s="3155">
        <f t="shared" ref="FT71:FV71" si="1230">SUM(FT69/FT70)</f>
        <v>40.839485711978966</v>
      </c>
      <c r="FU71" s="3155">
        <f t="shared" si="1230"/>
        <v>40.843386244077408</v>
      </c>
      <c r="FV71" s="3155">
        <f t="shared" si="1230"/>
        <v>19.102892973707235</v>
      </c>
      <c r="FW71" s="3110" t="e">
        <f t="shared" si="600"/>
        <v>#DIV/0!</v>
      </c>
      <c r="FX71" s="3110" t="e">
        <f t="shared" si="845"/>
        <v>#DIV/0!</v>
      </c>
      <c r="FY71" s="3110" t="e">
        <f t="shared" si="846"/>
        <v>#DIV/0!</v>
      </c>
      <c r="FZ71" s="3284">
        <f t="shared" ref="FZ71:GB71" si="1231">SUM(FZ69/FZ70)</f>
        <v>40.294652014705981</v>
      </c>
      <c r="GA71" s="3284">
        <f t="shared" si="1231"/>
        <v>40.305718510900917</v>
      </c>
      <c r="GB71" s="3284">
        <f t="shared" si="1231"/>
        <v>17.407481514618791</v>
      </c>
      <c r="GC71" s="3155">
        <f t="shared" ref="GC71:GE71" si="1232">SUM(GC69/GC70)</f>
        <v>41.395306097859461</v>
      </c>
      <c r="GD71" s="3155">
        <f t="shared" si="1232"/>
        <v>41.401123776495439</v>
      </c>
      <c r="GE71" s="3155">
        <f t="shared" si="1232"/>
        <v>22.879613992762359</v>
      </c>
      <c r="GF71" s="3155">
        <f t="shared" ref="GF71:GH71" si="1233">SUM(GF69/GF70)</f>
        <v>36.647343502039426</v>
      </c>
      <c r="GG71" s="3155">
        <f t="shared" si="1233"/>
        <v>36.654250244318384</v>
      </c>
      <c r="GH71" s="3155">
        <f t="shared" si="1233"/>
        <v>17.662753497451305</v>
      </c>
      <c r="GI71" s="3235">
        <f t="shared" si="612"/>
        <v>1.1006540831534792</v>
      </c>
      <c r="GJ71" s="3235">
        <f t="shared" si="857"/>
        <v>1.0954052655945219</v>
      </c>
      <c r="GK71" s="3235">
        <f t="shared" si="858"/>
        <v>5.4721324781435676</v>
      </c>
      <c r="GL71" s="396"/>
    </row>
    <row r="72" spans="1:195" ht="18.75" x14ac:dyDescent="0.3">
      <c r="A72" s="3158" t="s">
        <v>3679</v>
      </c>
      <c r="B72" s="3251">
        <f t="shared" si="731"/>
        <v>-861.43511107043321</v>
      </c>
      <c r="C72" s="3251">
        <f>SUM('вода 2018 коррект'!W32:W34)/12</f>
        <v>-861.43511107043321</v>
      </c>
      <c r="D72" s="3251">
        <v>0</v>
      </c>
      <c r="E72" s="3156">
        <f t="shared" ref="E72:E73" si="1234">SUM(F72:G72)</f>
        <v>0</v>
      </c>
      <c r="F72" s="3152">
        <v>0</v>
      </c>
      <c r="G72" s="3152">
        <v>0</v>
      </c>
      <c r="H72" s="3156">
        <f t="shared" ref="H72:H73" si="1235">SUM(I72:J72)</f>
        <v>0</v>
      </c>
      <c r="I72" s="3152">
        <v>0</v>
      </c>
      <c r="J72" s="3152">
        <v>0</v>
      </c>
      <c r="K72" s="3251">
        <f t="shared" ref="K72:K73" si="1236">SUM(L72:M72)</f>
        <v>-861.43511107043321</v>
      </c>
      <c r="L72" s="3251">
        <f>SUM(C72)</f>
        <v>-861.43511107043321</v>
      </c>
      <c r="M72" s="3251">
        <f>SUM(D72)</f>
        <v>0</v>
      </c>
      <c r="N72" s="3156">
        <f t="shared" ref="N72:N73" si="1237">SUM(O72:P72)</f>
        <v>0</v>
      </c>
      <c r="O72" s="3152">
        <v>0</v>
      </c>
      <c r="P72" s="3152">
        <v>0</v>
      </c>
      <c r="Q72" s="3156">
        <f t="shared" ref="Q72:Q73" si="1238">SUM(R72:S72)</f>
        <v>0</v>
      </c>
      <c r="R72" s="3152">
        <v>0</v>
      </c>
      <c r="S72" s="3152">
        <v>0</v>
      </c>
      <c r="T72" s="3251">
        <f t="shared" ref="T72:T73" si="1239">SUM(U72:V72)</f>
        <v>-861.43511107043321</v>
      </c>
      <c r="U72" s="3251">
        <f>SUM(L72)</f>
        <v>-861.43511107043321</v>
      </c>
      <c r="V72" s="3251">
        <f>SUM(M72)</f>
        <v>0</v>
      </c>
      <c r="W72" s="3156">
        <f t="shared" ref="W72:W73" si="1240">SUM(X72:Y72)</f>
        <v>0</v>
      </c>
      <c r="X72" s="3152">
        <v>0</v>
      </c>
      <c r="Y72" s="3152">
        <v>0</v>
      </c>
      <c r="Z72" s="3156">
        <f t="shared" ref="Z72:Z73" si="1241">SUM(AA72:AB72)</f>
        <v>0</v>
      </c>
      <c r="AA72" s="3152">
        <v>0</v>
      </c>
      <c r="AB72" s="3152">
        <v>0</v>
      </c>
      <c r="AC72" s="3109">
        <f>SUM(B72+K72+T72)</f>
        <v>-2584.3053332112995</v>
      </c>
      <c r="AD72" s="3109">
        <f t="shared" ref="AD72:AE72" si="1242">SUM(C72+L72+U72)</f>
        <v>-2584.3053332112995</v>
      </c>
      <c r="AE72" s="3109">
        <f t="shared" si="1242"/>
        <v>0</v>
      </c>
      <c r="AF72" s="3153">
        <f>SUM(E72+N72+W72)</f>
        <v>0</v>
      </c>
      <c r="AG72" s="3153">
        <f t="shared" ref="AG72:AH72" si="1243">SUM(F72+O72+X72)</f>
        <v>0</v>
      </c>
      <c r="AH72" s="3153">
        <f t="shared" si="1243"/>
        <v>0</v>
      </c>
      <c r="AI72" s="3153">
        <f t="shared" ref="AI72" si="1244">SUM(H72+Q72+Z72)</f>
        <v>0</v>
      </c>
      <c r="AJ72" s="3153">
        <f t="shared" ref="AJ72" si="1245">SUM(I72+R72+AA72)</f>
        <v>0</v>
      </c>
      <c r="AK72" s="3153">
        <f t="shared" ref="AK72" si="1246">SUM(J72+S72+AB72)</f>
        <v>0</v>
      </c>
      <c r="AL72" s="3115">
        <f t="shared" ref="AL72:AL77" si="1247">SUM(AF72-AC72)</f>
        <v>2584.3053332112995</v>
      </c>
      <c r="AM72" s="3115">
        <f t="shared" ref="AM72:AM77" si="1248">SUM(AG72-AD72)</f>
        <v>2584.3053332112995</v>
      </c>
      <c r="AN72" s="3115">
        <f t="shared" ref="AN72:AN77" si="1249">SUM(AH72-AE72)</f>
        <v>0</v>
      </c>
      <c r="AO72" s="3251">
        <f t="shared" ref="AO72" si="1250">SUM(AP72:AQ72)</f>
        <v>-861.43511107043321</v>
      </c>
      <c r="AP72" s="3251">
        <f>SUM(U72)</f>
        <v>-861.43511107043321</v>
      </c>
      <c r="AQ72" s="3251">
        <f>SUM(V72)</f>
        <v>0</v>
      </c>
      <c r="AR72" s="3251">
        <f t="shared" ref="AR72:AR73" si="1251">SUM(AS72:AT72)</f>
        <v>0</v>
      </c>
      <c r="AS72" s="3251">
        <v>0</v>
      </c>
      <c r="AT72" s="3251">
        <v>0</v>
      </c>
      <c r="AU72" s="3251">
        <f t="shared" ref="AU72:AU73" si="1252">SUM(AV72:AW72)</f>
        <v>0</v>
      </c>
      <c r="AV72" s="3251">
        <v>0</v>
      </c>
      <c r="AW72" s="3251">
        <v>0</v>
      </c>
      <c r="AX72" s="3251">
        <f t="shared" ref="AX72:AX73" si="1253">SUM(AY72:AZ72)</f>
        <v>-861.43511107043321</v>
      </c>
      <c r="AY72" s="3251">
        <f>SUM(AP72)</f>
        <v>-861.43511107043321</v>
      </c>
      <c r="AZ72" s="3251">
        <f>SUM(AQ72)</f>
        <v>0</v>
      </c>
      <c r="BA72" s="3156">
        <f t="shared" ref="BA72:BA73" si="1254">SUM(BB72:BC72)</f>
        <v>0</v>
      </c>
      <c r="BB72" s="3152">
        <v>0</v>
      </c>
      <c r="BC72" s="3152">
        <v>0</v>
      </c>
      <c r="BD72" s="3156">
        <f t="shared" ref="BD72:BD73" si="1255">SUM(BE72:BF72)</f>
        <v>0</v>
      </c>
      <c r="BE72" s="3152">
        <v>0</v>
      </c>
      <c r="BF72" s="3152">
        <v>0</v>
      </c>
      <c r="BG72" s="3251">
        <f t="shared" ref="BG72:BG73" si="1256">SUM(BH72:BI72)</f>
        <v>-861.43511107043321</v>
      </c>
      <c r="BH72" s="3251">
        <f>SUM(AY72)</f>
        <v>-861.43511107043321</v>
      </c>
      <c r="BI72" s="3251">
        <f>SUM(AZ72)</f>
        <v>0</v>
      </c>
      <c r="BJ72" s="3156">
        <f t="shared" ref="BJ72:BJ73" si="1257">SUM(BK72:BL72)</f>
        <v>0</v>
      </c>
      <c r="BK72" s="3152">
        <v>0</v>
      </c>
      <c r="BL72" s="3152">
        <v>0</v>
      </c>
      <c r="BM72" s="3156">
        <f t="shared" ref="BM72:BM73" si="1258">SUM(BN72:BO72)</f>
        <v>0</v>
      </c>
      <c r="BN72" s="3152">
        <v>0</v>
      </c>
      <c r="BO72" s="3152">
        <v>0</v>
      </c>
      <c r="BP72" s="3114">
        <f t="shared" ref="BP72:BP76" si="1259">SUM(AO72+AX72+BG72)</f>
        <v>-2584.3053332112995</v>
      </c>
      <c r="BQ72" s="3114">
        <f t="shared" ref="BQ72:BQ76" si="1260">SUM(AP72+AY72+BH72)</f>
        <v>-2584.3053332112995</v>
      </c>
      <c r="BR72" s="3114">
        <f t="shared" ref="BR72:BR76" si="1261">SUM(AQ72+AZ72+BI72)</f>
        <v>0</v>
      </c>
      <c r="BS72" s="3142">
        <f t="shared" ref="BS72:BS76" si="1262">SUM(AR72+BA72+BJ72)</f>
        <v>0</v>
      </c>
      <c r="BT72" s="3142">
        <f t="shared" ref="BT72:BT76" si="1263">SUM(AS72+BB72+BK72)</f>
        <v>0</v>
      </c>
      <c r="BU72" s="3142">
        <f t="shared" ref="BU72:BU76" si="1264">SUM(AT72+BC72+BL72)</f>
        <v>0</v>
      </c>
      <c r="BV72" s="3142">
        <f t="shared" ref="BV72:BV76" si="1265">SUM(AU72+BD72+BM72)</f>
        <v>0</v>
      </c>
      <c r="BW72" s="3142">
        <f t="shared" ref="BW72:BW76" si="1266">SUM(AV72+BE72+BN72)</f>
        <v>0</v>
      </c>
      <c r="BX72" s="3142">
        <f t="shared" ref="BX72:BX76" si="1267">SUM(AW72+BF72+BO72)</f>
        <v>0</v>
      </c>
      <c r="BY72" s="3154">
        <f t="shared" ref="BY72:BY76" si="1268">SUM(BS72-BP72)</f>
        <v>2584.3053332112995</v>
      </c>
      <c r="BZ72" s="3154">
        <f t="shared" ref="BZ72:BZ76" si="1269">SUM(BT72-BQ72)</f>
        <v>2584.3053332112995</v>
      </c>
      <c r="CA72" s="3154">
        <f t="shared" ref="CA72:CA76" si="1270">SUM(BU72-BR72)</f>
        <v>0</v>
      </c>
      <c r="CB72" s="3114">
        <f t="shared" ref="CB72:CB76" si="1271">SUM(AC72+BP72)</f>
        <v>-5168.610666422599</v>
      </c>
      <c r="CC72" s="3114">
        <f t="shared" ref="CC72:CC76" si="1272">SUM(AD72+BQ72)</f>
        <v>-5168.610666422599</v>
      </c>
      <c r="CD72" s="3114">
        <f t="shared" ref="CD72:CD76" si="1273">SUM(AE72+BR72)</f>
        <v>0</v>
      </c>
      <c r="CE72" s="3142">
        <f t="shared" ref="CE72:CE76" si="1274">SUM(AF72+BS72)</f>
        <v>0</v>
      </c>
      <c r="CF72" s="3142">
        <f t="shared" ref="CF72:CF76" si="1275">SUM(AG72+BT72)</f>
        <v>0</v>
      </c>
      <c r="CG72" s="3142">
        <f t="shared" ref="CG72:CG76" si="1276">SUM(AH72+BU72)</f>
        <v>0</v>
      </c>
      <c r="CH72" s="3142">
        <f t="shared" ref="CH72:CH76" si="1277">SUM(AI72+BV72)</f>
        <v>0</v>
      </c>
      <c r="CI72" s="3142">
        <f t="shared" ref="CI72:CI76" si="1278">SUM(AJ72+BW72)</f>
        <v>0</v>
      </c>
      <c r="CJ72" s="3142">
        <f t="shared" ref="CJ72:CJ76" si="1279">SUM(AK72+BX72)</f>
        <v>0</v>
      </c>
      <c r="CK72" s="3143">
        <f t="shared" ref="CK72:CK76" si="1280">SUM(CE72-CB72)</f>
        <v>5168.610666422599</v>
      </c>
      <c r="CL72" s="3143">
        <f t="shared" ref="CL72:CL76" si="1281">SUM(CF72-CC72)</f>
        <v>5168.610666422599</v>
      </c>
      <c r="CM72" s="3143">
        <f t="shared" ref="CM72:CM76" si="1282">SUM(CG72-CD72)</f>
        <v>0</v>
      </c>
      <c r="CN72" s="3251">
        <f t="shared" ref="CN72:CN73" si="1283">SUM(CO72:CP72)</f>
        <v>-861.43511107043321</v>
      </c>
      <c r="CO72" s="3251">
        <f>SUM(BH72)</f>
        <v>-861.43511107043321</v>
      </c>
      <c r="CP72" s="3251">
        <f>SUM(BI72)</f>
        <v>0</v>
      </c>
      <c r="CQ72" s="3156">
        <f t="shared" ref="CQ72:CQ73" si="1284">SUM(CR72:CS72)</f>
        <v>0</v>
      </c>
      <c r="CR72" s="3152">
        <v>0</v>
      </c>
      <c r="CS72" s="3152">
        <v>0</v>
      </c>
      <c r="CT72" s="3156">
        <f t="shared" ref="CT72:CT73" si="1285">SUM(CU72:CV72)</f>
        <v>0</v>
      </c>
      <c r="CU72" s="3152">
        <v>0</v>
      </c>
      <c r="CV72" s="3152">
        <v>0</v>
      </c>
      <c r="CW72" s="3251">
        <f t="shared" ref="CW72:CW73" si="1286">SUM(CX72:CY72)</f>
        <v>-861.43511107043321</v>
      </c>
      <c r="CX72" s="3251">
        <f>SUM(CO72)</f>
        <v>-861.43511107043321</v>
      </c>
      <c r="CY72" s="3251">
        <f>SUM(CP72)</f>
        <v>0</v>
      </c>
      <c r="CZ72" s="3156">
        <f t="shared" ref="CZ72:CZ73" si="1287">SUM(DA72:DB72)</f>
        <v>0</v>
      </c>
      <c r="DA72" s="3152">
        <v>0</v>
      </c>
      <c r="DB72" s="3152">
        <v>0</v>
      </c>
      <c r="DC72" s="3156">
        <f t="shared" ref="DC72:DC73" si="1288">SUM(DD72:DE72)</f>
        <v>0</v>
      </c>
      <c r="DD72" s="3152">
        <v>0</v>
      </c>
      <c r="DE72" s="3152">
        <v>0</v>
      </c>
      <c r="DF72" s="3251">
        <f t="shared" ref="DF72:DF73" si="1289">SUM(DG72:DH72)</f>
        <v>-861.43511107043321</v>
      </c>
      <c r="DG72" s="3251">
        <f>SUM(CX72)</f>
        <v>-861.43511107043321</v>
      </c>
      <c r="DH72" s="3251">
        <f>SUM(CY72)</f>
        <v>0</v>
      </c>
      <c r="DI72" s="3156">
        <f t="shared" ref="DI72:DI73" si="1290">SUM(DJ72:DK72)</f>
        <v>0</v>
      </c>
      <c r="DJ72" s="3152">
        <v>0</v>
      </c>
      <c r="DK72" s="3152">
        <v>0</v>
      </c>
      <c r="DL72" s="3156">
        <f t="shared" ref="DL72:DL73" si="1291">SUM(DM72:DN72)</f>
        <v>0</v>
      </c>
      <c r="DM72" s="3152">
        <v>0</v>
      </c>
      <c r="DN72" s="3152">
        <v>0</v>
      </c>
      <c r="DO72" s="3114">
        <f t="shared" ref="DO72:DO76" si="1292">SUM(CN72+CW72+DF72)</f>
        <v>-2584.3053332112995</v>
      </c>
      <c r="DP72" s="3114">
        <f t="shared" ref="DP72:DP76" si="1293">SUM(CO72+CX72+DG72)</f>
        <v>-2584.3053332112995</v>
      </c>
      <c r="DQ72" s="3114">
        <f t="shared" ref="DQ72:DQ76" si="1294">SUM(CP72+CY72+DH72)</f>
        <v>0</v>
      </c>
      <c r="DR72" s="3142">
        <f t="shared" ref="DR72:DR76" si="1295">SUM(CQ72+CZ72+DI72)</f>
        <v>0</v>
      </c>
      <c r="DS72" s="3142">
        <f t="shared" ref="DS72:DS76" si="1296">SUM(CR72+DA72+DJ72)</f>
        <v>0</v>
      </c>
      <c r="DT72" s="3142">
        <f t="shared" ref="DT72:DT76" si="1297">SUM(CS72+DB72+DK72)</f>
        <v>0</v>
      </c>
      <c r="DU72" s="3142">
        <f t="shared" ref="DU72:DU76" si="1298">SUM(CT72+DC72+DL72)</f>
        <v>0</v>
      </c>
      <c r="DV72" s="3142">
        <f t="shared" ref="DV72:DV76" si="1299">SUM(CU72+DD72+DM72)</f>
        <v>0</v>
      </c>
      <c r="DW72" s="3142">
        <f t="shared" ref="DW72:DW76" si="1300">SUM(CV72+DE72+DN72)</f>
        <v>0</v>
      </c>
      <c r="DX72" s="3143">
        <f t="shared" ref="DX72:DX76" si="1301">SUM(DR72-DO72)</f>
        <v>2584.3053332112995</v>
      </c>
      <c r="DY72" s="3143">
        <f t="shared" ref="DY72:DY76" si="1302">SUM(DS72-DP72)</f>
        <v>2584.3053332112995</v>
      </c>
      <c r="DZ72" s="3143">
        <f t="shared" ref="DZ72:DZ76" si="1303">SUM(DT72-DQ72)</f>
        <v>0</v>
      </c>
      <c r="EA72" s="3120">
        <f t="shared" ref="EA72:EA76" si="1304">SUM(CB72+DO72)</f>
        <v>-7752.9159996338985</v>
      </c>
      <c r="EB72" s="3120">
        <f t="shared" ref="EB72:EB76" si="1305">SUM(CC72+DP72)</f>
        <v>-7752.9159996338985</v>
      </c>
      <c r="EC72" s="3120">
        <f t="shared" ref="EC72:EC76" si="1306">SUM(CD72+DQ72)</f>
        <v>0</v>
      </c>
      <c r="ED72" s="3142">
        <f t="shared" ref="ED72:ED76" si="1307">SUM(CE72+DR72)</f>
        <v>0</v>
      </c>
      <c r="EE72" s="3142">
        <f t="shared" ref="EE72:EE76" si="1308">SUM(CF72+DS72)</f>
        <v>0</v>
      </c>
      <c r="EF72" s="3142">
        <f t="shared" ref="EF72:EF76" si="1309">SUM(CG72+DT72)</f>
        <v>0</v>
      </c>
      <c r="EG72" s="3147">
        <f t="shared" ref="EG72:EG76" si="1310">SUM(CH72+DU72)</f>
        <v>0</v>
      </c>
      <c r="EH72" s="3147">
        <f t="shared" ref="EH72:EH76" si="1311">SUM(CI72+DV72)</f>
        <v>0</v>
      </c>
      <c r="EI72" s="3147">
        <f t="shared" ref="EI72:EI76" si="1312">SUM(CJ72+DW72)</f>
        <v>0</v>
      </c>
      <c r="EJ72" s="3143">
        <f t="shared" ref="EJ72:EJ77" si="1313">SUM(ED72-EA72)</f>
        <v>7752.9159996338985</v>
      </c>
      <c r="EK72" s="3143">
        <f t="shared" ref="EK72:EK77" si="1314">SUM(EE72-EB72)</f>
        <v>7752.9159996338985</v>
      </c>
      <c r="EL72" s="3143">
        <f t="shared" ref="EL72:EL77" si="1315">SUM(EF72-EC72)</f>
        <v>0</v>
      </c>
      <c r="EM72" s="3251">
        <f t="shared" ref="EM72:EM73" si="1316">SUM(EN72:EO72)</f>
        <v>-861.43511107043321</v>
      </c>
      <c r="EN72" s="3251">
        <f>SUM(DG72)</f>
        <v>-861.43511107043321</v>
      </c>
      <c r="EO72" s="3251">
        <f>SUM(DH72)</f>
        <v>0</v>
      </c>
      <c r="EP72" s="3156">
        <f t="shared" ref="EP72:EP73" si="1317">SUM(EQ72:ER72)</f>
        <v>0</v>
      </c>
      <c r="EQ72" s="3152">
        <v>0</v>
      </c>
      <c r="ER72" s="3152">
        <v>0</v>
      </c>
      <c r="ES72" s="3156">
        <f t="shared" ref="ES72:ES73" si="1318">SUM(ET72:EU72)</f>
        <v>0</v>
      </c>
      <c r="ET72" s="3152">
        <v>0</v>
      </c>
      <c r="EU72" s="3152">
        <v>0</v>
      </c>
      <c r="EV72" s="3251">
        <f t="shared" ref="EV72:EV73" si="1319">SUM(EW72:EX72)</f>
        <v>-861.43511107043321</v>
      </c>
      <c r="EW72" s="3251">
        <f>SUM(EN72)</f>
        <v>-861.43511107043321</v>
      </c>
      <c r="EX72" s="3251">
        <f>SUM(EO72)</f>
        <v>0</v>
      </c>
      <c r="EY72" s="3156">
        <f t="shared" ref="EY72:EY73" si="1320">SUM(EZ72:FA72)</f>
        <v>0</v>
      </c>
      <c r="EZ72" s="3152">
        <v>0</v>
      </c>
      <c r="FA72" s="3152">
        <v>0</v>
      </c>
      <c r="FB72" s="3156">
        <f t="shared" ref="FB72:FB73" si="1321">SUM(FC72:FD72)</f>
        <v>0</v>
      </c>
      <c r="FC72" s="3152">
        <v>0</v>
      </c>
      <c r="FD72" s="3152">
        <v>0</v>
      </c>
      <c r="FE72" s="3251">
        <f t="shared" ref="FE72:FE73" si="1322">SUM(FF72:FG72)</f>
        <v>-861.43511107043321</v>
      </c>
      <c r="FF72" s="3251">
        <f>SUM(EW72)</f>
        <v>-861.43511107043321</v>
      </c>
      <c r="FG72" s="3251">
        <f>SUM(EX72)</f>
        <v>0</v>
      </c>
      <c r="FH72" s="3156">
        <f t="shared" ref="FH72:FH73" si="1323">SUM(FI72:FJ72)</f>
        <v>0</v>
      </c>
      <c r="FI72" s="3152">
        <v>0</v>
      </c>
      <c r="FJ72" s="3152">
        <v>0</v>
      </c>
      <c r="FK72" s="3156">
        <f t="shared" ref="FK72:FK73" si="1324">SUM(FL72:FM72)</f>
        <v>0</v>
      </c>
      <c r="FL72" s="3152">
        <v>0</v>
      </c>
      <c r="FM72" s="3152">
        <v>0</v>
      </c>
      <c r="FN72" s="3114">
        <f t="shared" ref="FN72:FN76" si="1325">SUM(EM72+EV72+FE72)</f>
        <v>-2584.3053332112995</v>
      </c>
      <c r="FO72" s="3114">
        <f t="shared" ref="FO72:FO76" si="1326">SUM(EN72+EW72+FF72)</f>
        <v>-2584.3053332112995</v>
      </c>
      <c r="FP72" s="3114">
        <f t="shared" ref="FP72:FP76" si="1327">SUM(EO72+EX72+FG72)</f>
        <v>0</v>
      </c>
      <c r="FQ72" s="3123">
        <f t="shared" ref="FQ72:FQ76" si="1328">SUM(EP72+EY72+FH72)</f>
        <v>0</v>
      </c>
      <c r="FR72" s="3123">
        <f t="shared" ref="FR72:FR76" si="1329">SUM(EQ72+EZ72+FI72)</f>
        <v>0</v>
      </c>
      <c r="FS72" s="3123">
        <f t="shared" ref="FS72:FS76" si="1330">SUM(ER72+FA72+FJ72)</f>
        <v>0</v>
      </c>
      <c r="FT72" s="3123">
        <f t="shared" ref="FT72:FT76" si="1331">SUM(ES72+FB72+FK72)</f>
        <v>0</v>
      </c>
      <c r="FU72" s="3123">
        <f t="shared" ref="FU72:FU76" si="1332">SUM(ET72+FC72+FL72)</f>
        <v>0</v>
      </c>
      <c r="FV72" s="3123">
        <f t="shared" ref="FV72:FV76" si="1333">SUM(EU72+FD72+FM72)</f>
        <v>0</v>
      </c>
      <c r="FW72" s="3115">
        <f t="shared" ref="FW72:FW77" si="1334">SUM(FQ72-FN72)</f>
        <v>2584.3053332112995</v>
      </c>
      <c r="FX72" s="3115">
        <f t="shared" ref="FX72:FX77" si="1335">SUM(FR72-FO72)</f>
        <v>2584.3053332112995</v>
      </c>
      <c r="FY72" s="3115">
        <f t="shared" ref="FY72:FY77" si="1336">SUM(FS72-FP72)</f>
        <v>0</v>
      </c>
      <c r="FZ72" s="3222">
        <f t="shared" ref="FZ72:FZ76" si="1337">SUM(EA72+FN72)</f>
        <v>-10337.221332845198</v>
      </c>
      <c r="GA72" s="3222">
        <f t="shared" ref="GA72:GA76" si="1338">SUM(EB72+FO72)</f>
        <v>-10337.221332845198</v>
      </c>
      <c r="GB72" s="3222">
        <f t="shared" ref="GB72:GB76" si="1339">SUM(EC72+FP72)</f>
        <v>0</v>
      </c>
      <c r="GC72" s="3230">
        <f t="shared" ref="GC72:GC76" si="1340">SUM(ED72+FQ72)</f>
        <v>0</v>
      </c>
      <c r="GD72" s="3230">
        <f t="shared" ref="GD72:GD76" si="1341">SUM(EE72+FR72)</f>
        <v>0</v>
      </c>
      <c r="GE72" s="3230">
        <f t="shared" ref="GE72:GE76" si="1342">SUM(EF72+FS72)</f>
        <v>0</v>
      </c>
      <c r="GF72" s="3230">
        <f t="shared" ref="GF72:GF76" si="1343">SUM(EG72+FT72)</f>
        <v>0</v>
      </c>
      <c r="GG72" s="3230">
        <f t="shared" ref="GG72:GG76" si="1344">SUM(EH72+FU72)</f>
        <v>0</v>
      </c>
      <c r="GH72" s="3230">
        <f t="shared" ref="GH72:GH76" si="1345">SUM(EI72+FV72)</f>
        <v>0</v>
      </c>
      <c r="GI72" s="3231">
        <f t="shared" si="612"/>
        <v>10337.221332845198</v>
      </c>
      <c r="GJ72" s="3231">
        <f t="shared" ref="GJ72:GJ77" si="1346">SUM(GD72-GA72)</f>
        <v>10337.221332845198</v>
      </c>
      <c r="GK72" s="3231">
        <f t="shared" ref="GK72:GK77" si="1347">SUM(GE72-GB72)</f>
        <v>0</v>
      </c>
      <c r="GL72" s="3159"/>
      <c r="GM72" s="585"/>
    </row>
    <row r="73" spans="1:195" ht="18.75" x14ac:dyDescent="0.3">
      <c r="A73" s="3079" t="s">
        <v>320</v>
      </c>
      <c r="B73" s="3276">
        <f t="shared" si="731"/>
        <v>-345.5</v>
      </c>
      <c r="C73" s="3276">
        <f>SUM('вода 2018 коррект'!W33)/12</f>
        <v>-345.5</v>
      </c>
      <c r="D73" s="3276">
        <v>0</v>
      </c>
      <c r="E73" s="3145">
        <f t="shared" si="1234"/>
        <v>0</v>
      </c>
      <c r="F73" s="3131">
        <v>0</v>
      </c>
      <c r="G73" s="3131">
        <v>0</v>
      </c>
      <c r="H73" s="3145">
        <f t="shared" si="1235"/>
        <v>0</v>
      </c>
      <c r="I73" s="3131">
        <v>0</v>
      </c>
      <c r="J73" s="3131">
        <v>0</v>
      </c>
      <c r="K73" s="3276">
        <f t="shared" si="1236"/>
        <v>-345.5</v>
      </c>
      <c r="L73" s="3276">
        <f>SUM(C73)</f>
        <v>-345.5</v>
      </c>
      <c r="M73" s="3276">
        <f>SUM(D73)</f>
        <v>0</v>
      </c>
      <c r="N73" s="3145">
        <f t="shared" si="1237"/>
        <v>0</v>
      </c>
      <c r="O73" s="3131">
        <v>0</v>
      </c>
      <c r="P73" s="3131">
        <v>0</v>
      </c>
      <c r="Q73" s="3145">
        <f t="shared" si="1238"/>
        <v>0</v>
      </c>
      <c r="R73" s="3131">
        <v>0</v>
      </c>
      <c r="S73" s="3131">
        <v>0</v>
      </c>
      <c r="T73" s="3276">
        <f t="shared" si="1239"/>
        <v>-345.5</v>
      </c>
      <c r="U73" s="3276">
        <f>SUM(L73)</f>
        <v>-345.5</v>
      </c>
      <c r="V73" s="3276">
        <f>SUM(M73)</f>
        <v>0</v>
      </c>
      <c r="W73" s="3145">
        <f t="shared" si="1240"/>
        <v>0</v>
      </c>
      <c r="X73" s="3131">
        <v>0</v>
      </c>
      <c r="Y73" s="3131">
        <v>0</v>
      </c>
      <c r="Z73" s="3145">
        <f t="shared" si="1241"/>
        <v>0</v>
      </c>
      <c r="AA73" s="3131">
        <v>0</v>
      </c>
      <c r="AB73" s="3131">
        <v>0</v>
      </c>
      <c r="AC73" s="3120">
        <f>SUM(B73+K73+T73)</f>
        <v>-1036.5</v>
      </c>
      <c r="AD73" s="3120">
        <f t="shared" ref="AD73" si="1348">SUM(C73+L73+U73)</f>
        <v>-1036.5</v>
      </c>
      <c r="AE73" s="3120">
        <f t="shared" ref="AE73" si="1349">SUM(D73+M73+V73)</f>
        <v>0</v>
      </c>
      <c r="AF73" s="3147">
        <f>SUM(E73+N73+W73)</f>
        <v>0</v>
      </c>
      <c r="AG73" s="3147">
        <f t="shared" ref="AG73:AG76" si="1350">SUM(F73+O73+X73)</f>
        <v>0</v>
      </c>
      <c r="AH73" s="3147">
        <f t="shared" ref="AH73:AH76" si="1351">SUM(G73+P73+Y73)</f>
        <v>0</v>
      </c>
      <c r="AI73" s="3147">
        <f t="shared" ref="AI73:AI76" si="1352">SUM(H73+Q73+Z73)</f>
        <v>0</v>
      </c>
      <c r="AJ73" s="3147">
        <f t="shared" ref="AJ73:AJ76" si="1353">SUM(I73+R73+AA73)</f>
        <v>0</v>
      </c>
      <c r="AK73" s="3147">
        <f t="shared" ref="AK73:AK76" si="1354">SUM(J73+S73+AB73)</f>
        <v>0</v>
      </c>
      <c r="AL73" s="3121">
        <f t="shared" si="1247"/>
        <v>1036.5</v>
      </c>
      <c r="AM73" s="3121">
        <f t="shared" si="1248"/>
        <v>1036.5</v>
      </c>
      <c r="AN73" s="3121">
        <f t="shared" si="1249"/>
        <v>0</v>
      </c>
      <c r="AO73" s="3276">
        <f t="shared" ref="AO73" si="1355">SUM(AP73:AQ73)</f>
        <v>-345.5</v>
      </c>
      <c r="AP73" s="3276">
        <f>SUM(U73)</f>
        <v>-345.5</v>
      </c>
      <c r="AQ73" s="3276">
        <f>SUM(V73)</f>
        <v>0</v>
      </c>
      <c r="AR73" s="3276">
        <f t="shared" si="1251"/>
        <v>0</v>
      </c>
      <c r="AS73" s="3276">
        <v>0</v>
      </c>
      <c r="AT73" s="3276">
        <v>0</v>
      </c>
      <c r="AU73" s="3276">
        <f t="shared" si="1252"/>
        <v>0</v>
      </c>
      <c r="AV73" s="3276">
        <v>0</v>
      </c>
      <c r="AW73" s="3276">
        <v>0</v>
      </c>
      <c r="AX73" s="3276">
        <f t="shared" si="1253"/>
        <v>-345.5</v>
      </c>
      <c r="AY73" s="3276">
        <f>SUM(AP73)</f>
        <v>-345.5</v>
      </c>
      <c r="AZ73" s="3276">
        <f>SUM(AQ73)</f>
        <v>0</v>
      </c>
      <c r="BA73" s="3145">
        <f t="shared" si="1254"/>
        <v>0</v>
      </c>
      <c r="BB73" s="3131">
        <v>0</v>
      </c>
      <c r="BC73" s="3131">
        <v>0</v>
      </c>
      <c r="BD73" s="3145">
        <f t="shared" si="1255"/>
        <v>0</v>
      </c>
      <c r="BE73" s="3131">
        <v>0</v>
      </c>
      <c r="BF73" s="3131">
        <v>0</v>
      </c>
      <c r="BG73" s="3276">
        <f t="shared" si="1256"/>
        <v>-345.5</v>
      </c>
      <c r="BH73" s="3276">
        <f>SUM(AY73)</f>
        <v>-345.5</v>
      </c>
      <c r="BI73" s="3276">
        <f>SUM(AZ73)</f>
        <v>0</v>
      </c>
      <c r="BJ73" s="3145">
        <f t="shared" si="1257"/>
        <v>0</v>
      </c>
      <c r="BK73" s="3131">
        <v>0</v>
      </c>
      <c r="BL73" s="3131">
        <v>0</v>
      </c>
      <c r="BM73" s="3145">
        <f t="shared" si="1258"/>
        <v>0</v>
      </c>
      <c r="BN73" s="3131">
        <v>0</v>
      </c>
      <c r="BO73" s="3131">
        <v>0</v>
      </c>
      <c r="BP73" s="3120">
        <f t="shared" si="1259"/>
        <v>-1036.5</v>
      </c>
      <c r="BQ73" s="3120">
        <f t="shared" si="1260"/>
        <v>-1036.5</v>
      </c>
      <c r="BR73" s="3120">
        <f t="shared" si="1261"/>
        <v>0</v>
      </c>
      <c r="BS73" s="3147">
        <f t="shared" si="1262"/>
        <v>0</v>
      </c>
      <c r="BT73" s="3147">
        <f t="shared" si="1263"/>
        <v>0</v>
      </c>
      <c r="BU73" s="3147">
        <f t="shared" si="1264"/>
        <v>0</v>
      </c>
      <c r="BV73" s="3147">
        <f t="shared" si="1265"/>
        <v>0</v>
      </c>
      <c r="BW73" s="3147">
        <f t="shared" si="1266"/>
        <v>0</v>
      </c>
      <c r="BX73" s="3147">
        <f t="shared" si="1267"/>
        <v>0</v>
      </c>
      <c r="BY73" s="3148">
        <f t="shared" si="1268"/>
        <v>1036.5</v>
      </c>
      <c r="BZ73" s="3148">
        <f t="shared" si="1269"/>
        <v>1036.5</v>
      </c>
      <c r="CA73" s="3148">
        <f t="shared" si="1270"/>
        <v>0</v>
      </c>
      <c r="CB73" s="3120">
        <f t="shared" si="1271"/>
        <v>-2073</v>
      </c>
      <c r="CC73" s="3120">
        <f t="shared" si="1272"/>
        <v>-2073</v>
      </c>
      <c r="CD73" s="3120">
        <f t="shared" si="1273"/>
        <v>0</v>
      </c>
      <c r="CE73" s="3147">
        <f t="shared" si="1274"/>
        <v>0</v>
      </c>
      <c r="CF73" s="3147">
        <f t="shared" si="1275"/>
        <v>0</v>
      </c>
      <c r="CG73" s="3147">
        <f t="shared" si="1276"/>
        <v>0</v>
      </c>
      <c r="CH73" s="3147">
        <f t="shared" si="1277"/>
        <v>0</v>
      </c>
      <c r="CI73" s="3147">
        <f t="shared" si="1278"/>
        <v>0</v>
      </c>
      <c r="CJ73" s="3147">
        <f t="shared" si="1279"/>
        <v>0</v>
      </c>
      <c r="CK73" s="3148">
        <f t="shared" si="1280"/>
        <v>2073</v>
      </c>
      <c r="CL73" s="3148">
        <f t="shared" si="1281"/>
        <v>2073</v>
      </c>
      <c r="CM73" s="3148">
        <f t="shared" si="1282"/>
        <v>0</v>
      </c>
      <c r="CN73" s="3276">
        <f t="shared" si="1283"/>
        <v>-345.5</v>
      </c>
      <c r="CO73" s="3276">
        <f t="shared" ref="CO73" si="1356">SUM(BH73)</f>
        <v>-345.5</v>
      </c>
      <c r="CP73" s="3276">
        <f t="shared" ref="CP73" si="1357">SUM(BI73)</f>
        <v>0</v>
      </c>
      <c r="CQ73" s="3145">
        <f t="shared" si="1284"/>
        <v>0</v>
      </c>
      <c r="CR73" s="3131">
        <v>0</v>
      </c>
      <c r="CS73" s="3131">
        <v>0</v>
      </c>
      <c r="CT73" s="3145">
        <f t="shared" si="1285"/>
        <v>0</v>
      </c>
      <c r="CU73" s="3131">
        <v>0</v>
      </c>
      <c r="CV73" s="3131">
        <v>0</v>
      </c>
      <c r="CW73" s="3276">
        <f t="shared" si="1286"/>
        <v>-345.5</v>
      </c>
      <c r="CX73" s="3276">
        <f>SUM(CO73)</f>
        <v>-345.5</v>
      </c>
      <c r="CY73" s="3276">
        <f>SUM(CP73)</f>
        <v>0</v>
      </c>
      <c r="CZ73" s="3145">
        <f t="shared" si="1287"/>
        <v>0</v>
      </c>
      <c r="DA73" s="3131">
        <v>0</v>
      </c>
      <c r="DB73" s="3131">
        <v>0</v>
      </c>
      <c r="DC73" s="3145">
        <f t="shared" si="1288"/>
        <v>0</v>
      </c>
      <c r="DD73" s="3131">
        <v>0</v>
      </c>
      <c r="DE73" s="3131">
        <v>0</v>
      </c>
      <c r="DF73" s="3276">
        <f t="shared" si="1289"/>
        <v>-345.5</v>
      </c>
      <c r="DG73" s="3276">
        <f>SUM(CX73)</f>
        <v>-345.5</v>
      </c>
      <c r="DH73" s="3276">
        <f>SUM(CY73)</f>
        <v>0</v>
      </c>
      <c r="DI73" s="3145">
        <f t="shared" si="1290"/>
        <v>0</v>
      </c>
      <c r="DJ73" s="3131">
        <v>0</v>
      </c>
      <c r="DK73" s="3131">
        <v>0</v>
      </c>
      <c r="DL73" s="3145">
        <f t="shared" si="1291"/>
        <v>0</v>
      </c>
      <c r="DM73" s="3131">
        <v>0</v>
      </c>
      <c r="DN73" s="3131">
        <v>0</v>
      </c>
      <c r="DO73" s="3120">
        <f t="shared" si="1292"/>
        <v>-1036.5</v>
      </c>
      <c r="DP73" s="3120">
        <f t="shared" si="1293"/>
        <v>-1036.5</v>
      </c>
      <c r="DQ73" s="3120">
        <f t="shared" si="1294"/>
        <v>0</v>
      </c>
      <c r="DR73" s="3147">
        <f t="shared" si="1295"/>
        <v>0</v>
      </c>
      <c r="DS73" s="3147">
        <f t="shared" si="1296"/>
        <v>0</v>
      </c>
      <c r="DT73" s="3147">
        <f t="shared" si="1297"/>
        <v>0</v>
      </c>
      <c r="DU73" s="3147">
        <f t="shared" si="1298"/>
        <v>0</v>
      </c>
      <c r="DV73" s="3147">
        <f t="shared" si="1299"/>
        <v>0</v>
      </c>
      <c r="DW73" s="3147">
        <f t="shared" si="1300"/>
        <v>0</v>
      </c>
      <c r="DX73" s="3148">
        <f t="shared" si="1301"/>
        <v>1036.5</v>
      </c>
      <c r="DY73" s="3148">
        <f t="shared" si="1302"/>
        <v>1036.5</v>
      </c>
      <c r="DZ73" s="3148">
        <f t="shared" si="1303"/>
        <v>0</v>
      </c>
      <c r="EA73" s="3120">
        <f t="shared" si="1304"/>
        <v>-3109.5</v>
      </c>
      <c r="EB73" s="3120">
        <f t="shared" si="1305"/>
        <v>-3109.5</v>
      </c>
      <c r="EC73" s="3120">
        <f t="shared" si="1306"/>
        <v>0</v>
      </c>
      <c r="ED73" s="3147">
        <f t="shared" si="1307"/>
        <v>0</v>
      </c>
      <c r="EE73" s="3147">
        <f t="shared" si="1308"/>
        <v>0</v>
      </c>
      <c r="EF73" s="3147">
        <f t="shared" si="1309"/>
        <v>0</v>
      </c>
      <c r="EG73" s="3147">
        <f t="shared" si="1310"/>
        <v>0</v>
      </c>
      <c r="EH73" s="3147">
        <f t="shared" si="1311"/>
        <v>0</v>
      </c>
      <c r="EI73" s="3147">
        <f t="shared" si="1312"/>
        <v>0</v>
      </c>
      <c r="EJ73" s="3148">
        <f t="shared" si="1313"/>
        <v>3109.5</v>
      </c>
      <c r="EK73" s="3148">
        <f t="shared" si="1314"/>
        <v>3109.5</v>
      </c>
      <c r="EL73" s="3148">
        <f t="shared" si="1315"/>
        <v>0</v>
      </c>
      <c r="EM73" s="3276">
        <f t="shared" si="1316"/>
        <v>-345.5</v>
      </c>
      <c r="EN73" s="3276">
        <f>SUM(DG73)</f>
        <v>-345.5</v>
      </c>
      <c r="EO73" s="3276">
        <f>SUM(DH73)</f>
        <v>0</v>
      </c>
      <c r="EP73" s="3145">
        <f t="shared" si="1317"/>
        <v>0</v>
      </c>
      <c r="EQ73" s="3131">
        <v>0</v>
      </c>
      <c r="ER73" s="3131">
        <v>0</v>
      </c>
      <c r="ES73" s="3145">
        <f t="shared" si="1318"/>
        <v>0</v>
      </c>
      <c r="ET73" s="3131">
        <v>0</v>
      </c>
      <c r="EU73" s="3131">
        <v>0</v>
      </c>
      <c r="EV73" s="3276">
        <f t="shared" si="1319"/>
        <v>-345.5</v>
      </c>
      <c r="EW73" s="3276">
        <f>SUM(EN73)</f>
        <v>-345.5</v>
      </c>
      <c r="EX73" s="3276">
        <f>SUM(EO73)</f>
        <v>0</v>
      </c>
      <c r="EY73" s="3145">
        <f t="shared" si="1320"/>
        <v>0</v>
      </c>
      <c r="EZ73" s="3131">
        <v>0</v>
      </c>
      <c r="FA73" s="3131">
        <v>0</v>
      </c>
      <c r="FB73" s="3145">
        <f t="shared" si="1321"/>
        <v>0</v>
      </c>
      <c r="FC73" s="3131">
        <v>0</v>
      </c>
      <c r="FD73" s="3131">
        <v>0</v>
      </c>
      <c r="FE73" s="3276">
        <f t="shared" si="1322"/>
        <v>-345.5</v>
      </c>
      <c r="FF73" s="3276">
        <f>SUM(EW73)</f>
        <v>-345.5</v>
      </c>
      <c r="FG73" s="3276">
        <f>SUM(EX73)</f>
        <v>0</v>
      </c>
      <c r="FH73" s="3145">
        <f t="shared" si="1323"/>
        <v>0</v>
      </c>
      <c r="FI73" s="3131">
        <v>0</v>
      </c>
      <c r="FJ73" s="3131">
        <v>0</v>
      </c>
      <c r="FK73" s="3145">
        <f t="shared" si="1324"/>
        <v>0</v>
      </c>
      <c r="FL73" s="3131">
        <v>0</v>
      </c>
      <c r="FM73" s="3131">
        <v>0</v>
      </c>
      <c r="FN73" s="3120">
        <f t="shared" si="1325"/>
        <v>-1036.5</v>
      </c>
      <c r="FO73" s="3120">
        <f t="shared" si="1326"/>
        <v>-1036.5</v>
      </c>
      <c r="FP73" s="3120">
        <f t="shared" si="1327"/>
        <v>0</v>
      </c>
      <c r="FQ73" s="3126">
        <f t="shared" si="1328"/>
        <v>0</v>
      </c>
      <c r="FR73" s="3126">
        <f t="shared" si="1329"/>
        <v>0</v>
      </c>
      <c r="FS73" s="3126">
        <f t="shared" si="1330"/>
        <v>0</v>
      </c>
      <c r="FT73" s="3126">
        <f t="shared" si="1331"/>
        <v>0</v>
      </c>
      <c r="FU73" s="3126">
        <f t="shared" si="1332"/>
        <v>0</v>
      </c>
      <c r="FV73" s="3126">
        <f t="shared" si="1333"/>
        <v>0</v>
      </c>
      <c r="FW73" s="3121">
        <f t="shared" si="1334"/>
        <v>1036.5</v>
      </c>
      <c r="FX73" s="3121">
        <f t="shared" si="1335"/>
        <v>1036.5</v>
      </c>
      <c r="FY73" s="3121">
        <f t="shared" si="1336"/>
        <v>0</v>
      </c>
      <c r="FZ73" s="3227">
        <f t="shared" si="1337"/>
        <v>-4146</v>
      </c>
      <c r="GA73" s="3227">
        <f t="shared" si="1338"/>
        <v>-4146</v>
      </c>
      <c r="GB73" s="3227">
        <f t="shared" si="1339"/>
        <v>0</v>
      </c>
      <c r="GC73" s="3232">
        <f t="shared" si="1340"/>
        <v>0</v>
      </c>
      <c r="GD73" s="3232">
        <f t="shared" si="1341"/>
        <v>0</v>
      </c>
      <c r="GE73" s="3232">
        <f t="shared" si="1342"/>
        <v>0</v>
      </c>
      <c r="GF73" s="3232">
        <f t="shared" si="1343"/>
        <v>0</v>
      </c>
      <c r="GG73" s="3232">
        <f t="shared" si="1344"/>
        <v>0</v>
      </c>
      <c r="GH73" s="3232">
        <f t="shared" si="1345"/>
        <v>0</v>
      </c>
      <c r="GI73" s="3233">
        <f t="shared" si="612"/>
        <v>4146</v>
      </c>
      <c r="GJ73" s="3233">
        <f t="shared" si="1346"/>
        <v>4146</v>
      </c>
      <c r="GK73" s="3233">
        <f t="shared" si="1347"/>
        <v>0</v>
      </c>
      <c r="GL73" s="3159"/>
      <c r="GM73" s="585"/>
    </row>
    <row r="74" spans="1:195" ht="19.5" x14ac:dyDescent="0.3">
      <c r="A74" s="3158" t="s">
        <v>3649</v>
      </c>
      <c r="B74" s="3251">
        <f>SUM(C74:D74)</f>
        <v>11407.771676261296</v>
      </c>
      <c r="C74" s="3251">
        <f t="shared" ref="C74:D74" si="1358">SUM(C69+C72)</f>
        <v>11405.206982094798</v>
      </c>
      <c r="D74" s="3251">
        <f t="shared" si="1358"/>
        <v>2.5646941664975782</v>
      </c>
      <c r="E74" s="3152">
        <f>SUM(F74:G74)</f>
        <v>11426.996999999999</v>
      </c>
      <c r="F74" s="3152">
        <f t="shared" ref="F74" si="1359">SUM(F69+F72)</f>
        <v>11424.89</v>
      </c>
      <c r="G74" s="3152">
        <f t="shared" ref="G74" si="1360">SUM(G69+G72)</f>
        <v>2.1070000000000002</v>
      </c>
      <c r="H74" s="3152">
        <f>SUM(I74:J74)</f>
        <v>10465.86</v>
      </c>
      <c r="I74" s="3152">
        <f t="shared" ref="I74" si="1361">SUM(I69+I72)</f>
        <v>10463.591672164877</v>
      </c>
      <c r="J74" s="3152">
        <f t="shared" ref="J74" si="1362">SUM(J69+J72)</f>
        <v>2.2683278351225464</v>
      </c>
      <c r="K74" s="3251">
        <f>SUM(L74:M74)</f>
        <v>11407.771676261296</v>
      </c>
      <c r="L74" s="3251">
        <f t="shared" ref="L74" si="1363">SUM(L69+L72)</f>
        <v>11405.206982094798</v>
      </c>
      <c r="M74" s="3251">
        <f t="shared" ref="M74" si="1364">SUM(M69+M72)</f>
        <v>2.5646941664975782</v>
      </c>
      <c r="N74" s="3152">
        <f>SUM(O74:P74)</f>
        <v>10332.424999999997</v>
      </c>
      <c r="O74" s="3152">
        <f t="shared" ref="O74" si="1365">SUM(O69+O72)</f>
        <v>10330.749999999998</v>
      </c>
      <c r="P74" s="3152">
        <f t="shared" ref="P74" si="1366">SUM(P69+P72)</f>
        <v>1.675</v>
      </c>
      <c r="Q74" s="3152">
        <f>SUM(R74:S74)</f>
        <v>9420.92</v>
      </c>
      <c r="R74" s="3152">
        <f t="shared" ref="R74:S74" si="1367">SUM(R69+R72)</f>
        <v>9418.1450305109629</v>
      </c>
      <c r="S74" s="3152">
        <f t="shared" si="1367"/>
        <v>2.7749694890379866</v>
      </c>
      <c r="T74" s="3251">
        <f>SUM(U74:V74)</f>
        <v>11407.771676261296</v>
      </c>
      <c r="U74" s="3251">
        <f t="shared" ref="U74" si="1368">SUM(U69+U72)</f>
        <v>11405.206982094798</v>
      </c>
      <c r="V74" s="3251">
        <f t="shared" ref="V74" si="1369">SUM(V69+V72)</f>
        <v>2.5646941664975782</v>
      </c>
      <c r="W74" s="3152">
        <f>SUM(X74:Y74)</f>
        <v>12531.936</v>
      </c>
      <c r="X74" s="3152">
        <f t="shared" ref="X74" si="1370">SUM(X69+X72)</f>
        <v>12530.1</v>
      </c>
      <c r="Y74" s="3152">
        <f t="shared" ref="Y74" si="1371">SUM(Y69+Y72)</f>
        <v>1.8360000000000001</v>
      </c>
      <c r="Z74" s="3152">
        <f>SUM(AA74:AB74)</f>
        <v>12114.230000000001</v>
      </c>
      <c r="AA74" s="3152">
        <f t="shared" ref="AA74:AB74" si="1372">SUM(AA69+AA72)</f>
        <v>12111.68352119008</v>
      </c>
      <c r="AB74" s="3152">
        <f t="shared" si="1372"/>
        <v>2.5464788099210143</v>
      </c>
      <c r="AC74" s="3109">
        <f>SUM(B74+K74+T74)</f>
        <v>34223.315028783887</v>
      </c>
      <c r="AD74" s="3109">
        <f t="shared" ref="AD74" si="1373">SUM(C74+L74+U74)</f>
        <v>34215.620946284398</v>
      </c>
      <c r="AE74" s="3109">
        <f t="shared" ref="AE74:AF76" si="1374">SUM(D74+M74+V74)</f>
        <v>7.694082499492735</v>
      </c>
      <c r="AF74" s="3153">
        <f t="shared" si="1374"/>
        <v>34291.358</v>
      </c>
      <c r="AG74" s="3153">
        <f t="shared" si="1350"/>
        <v>34285.74</v>
      </c>
      <c r="AH74" s="3153">
        <f t="shared" si="1351"/>
        <v>5.6180000000000003</v>
      </c>
      <c r="AI74" s="3153">
        <f t="shared" si="1352"/>
        <v>32001.010000000002</v>
      </c>
      <c r="AJ74" s="3153">
        <f t="shared" si="1353"/>
        <v>31993.42022386592</v>
      </c>
      <c r="AK74" s="3153">
        <f t="shared" si="1354"/>
        <v>7.5897761340815473</v>
      </c>
      <c r="AL74" s="3110">
        <f t="shared" si="1247"/>
        <v>68.042971216113074</v>
      </c>
      <c r="AM74" s="3110">
        <f t="shared" si="1248"/>
        <v>70.119053715599875</v>
      </c>
      <c r="AN74" s="3110">
        <f t="shared" si="1249"/>
        <v>-2.0760824994927347</v>
      </c>
      <c r="AO74" s="3251">
        <f>SUM(AP74:AQ74)</f>
        <v>11407.771676261296</v>
      </c>
      <c r="AP74" s="3251">
        <f t="shared" ref="AP74" si="1375">SUM(AP69+AP72)</f>
        <v>11405.206982094798</v>
      </c>
      <c r="AQ74" s="3251">
        <f t="shared" ref="AQ74" si="1376">SUM(AQ69+AQ72)</f>
        <v>2.5646941664975782</v>
      </c>
      <c r="AR74" s="3251">
        <f>SUM(AS74:AT74)</f>
        <v>11324.5075</v>
      </c>
      <c r="AS74" s="3251">
        <f t="shared" ref="AS74" si="1377">SUM(AS69+AS72)</f>
        <v>11322.82</v>
      </c>
      <c r="AT74" s="3251">
        <f t="shared" ref="AT74" si="1378">SUM(AT69+AT72)</f>
        <v>1.6875</v>
      </c>
      <c r="AU74" s="3251">
        <f>SUM(AV74:AW74)</f>
        <v>10883.650000000001</v>
      </c>
      <c r="AV74" s="3251">
        <f t="shared" ref="AV74:AW74" si="1379">SUM(AV69+AV72)</f>
        <v>10878.55272745193</v>
      </c>
      <c r="AW74" s="3251">
        <f t="shared" si="1379"/>
        <v>5.0972725480709871</v>
      </c>
      <c r="AX74" s="3251">
        <f>SUM(AY74:AZ74)</f>
        <v>11407.771676261296</v>
      </c>
      <c r="AY74" s="3251">
        <f t="shared" ref="AY74" si="1380">SUM(AY69+AY72)</f>
        <v>11405.206982094798</v>
      </c>
      <c r="AZ74" s="3251">
        <f t="shared" ref="AZ74" si="1381">SUM(AZ69+AZ72)</f>
        <v>2.5646941664975782</v>
      </c>
      <c r="BA74" s="3152">
        <f>SUM(BB74:BC74)</f>
        <v>12735.948999999999</v>
      </c>
      <c r="BB74" s="3152">
        <f t="shared" ref="BB74" si="1382">SUM(BB69+BB72)</f>
        <v>12733.619999999999</v>
      </c>
      <c r="BC74" s="3152">
        <f t="shared" ref="BC74" si="1383">SUM(BC69+BC72)</f>
        <v>2.3289999999999997</v>
      </c>
      <c r="BD74" s="3152">
        <f>SUM(BE74:BF74)</f>
        <v>10150.620000000001</v>
      </c>
      <c r="BE74" s="3152">
        <f t="shared" ref="BE74:BF74" si="1384">SUM(BE69+BE72)</f>
        <v>10148.95726222916</v>
      </c>
      <c r="BF74" s="3152">
        <f t="shared" si="1384"/>
        <v>1.6627377708407174</v>
      </c>
      <c r="BG74" s="3251">
        <f>SUM(BH74:BI74)</f>
        <v>11407.771676261296</v>
      </c>
      <c r="BH74" s="3251">
        <f t="shared" ref="BH74" si="1385">SUM(BH69+BH72)</f>
        <v>11405.206982094798</v>
      </c>
      <c r="BI74" s="3251">
        <f t="shared" ref="BI74" si="1386">SUM(BI69+BI72)</f>
        <v>2.5646941664975782</v>
      </c>
      <c r="BJ74" s="3152">
        <f>SUM(BK74:BL74)</f>
        <v>12831.116</v>
      </c>
      <c r="BK74" s="3152">
        <f t="shared" ref="BK74" si="1387">SUM(BK69+BK72)</f>
        <v>12828.24</v>
      </c>
      <c r="BL74" s="3152">
        <f t="shared" ref="BL74" si="1388">SUM(BL69+BL72)</f>
        <v>2.8760000000000003</v>
      </c>
      <c r="BM74" s="3152">
        <f>SUM(BN74:BO74)</f>
        <v>11471.880000000001</v>
      </c>
      <c r="BN74" s="3152">
        <f t="shared" ref="BN74:BO74" si="1389">SUM(BN69+BN72)</f>
        <v>11470.04490309024</v>
      </c>
      <c r="BO74" s="3152">
        <f t="shared" si="1389"/>
        <v>1.8350969097614251</v>
      </c>
      <c r="BP74" s="3109">
        <f t="shared" si="1259"/>
        <v>34223.315028783887</v>
      </c>
      <c r="BQ74" s="3109">
        <f t="shared" si="1260"/>
        <v>34215.620946284398</v>
      </c>
      <c r="BR74" s="3109">
        <f t="shared" si="1261"/>
        <v>7.694082499492735</v>
      </c>
      <c r="BS74" s="3153">
        <f t="shared" si="1262"/>
        <v>36891.572500000002</v>
      </c>
      <c r="BT74" s="3153">
        <f t="shared" si="1263"/>
        <v>36884.68</v>
      </c>
      <c r="BU74" s="3153">
        <f t="shared" si="1264"/>
        <v>6.8925000000000001</v>
      </c>
      <c r="BV74" s="3153">
        <f t="shared" si="1265"/>
        <v>32506.150000000005</v>
      </c>
      <c r="BW74" s="3153">
        <f t="shared" si="1266"/>
        <v>32497.554892771332</v>
      </c>
      <c r="BX74" s="3153">
        <f t="shared" si="1267"/>
        <v>8.5951072286731289</v>
      </c>
      <c r="BY74" s="3154">
        <f t="shared" si="1268"/>
        <v>2668.2574712161149</v>
      </c>
      <c r="BZ74" s="3154">
        <f t="shared" si="1269"/>
        <v>2669.0590537156022</v>
      </c>
      <c r="CA74" s="3154">
        <f t="shared" si="1270"/>
        <v>-0.80158249949273497</v>
      </c>
      <c r="CB74" s="3109">
        <f t="shared" si="1271"/>
        <v>68446.630057567774</v>
      </c>
      <c r="CC74" s="3109">
        <f t="shared" si="1272"/>
        <v>68431.241892568796</v>
      </c>
      <c r="CD74" s="3109">
        <f t="shared" si="1273"/>
        <v>15.38816499898547</v>
      </c>
      <c r="CE74" s="3153">
        <f t="shared" si="1274"/>
        <v>71182.930500000002</v>
      </c>
      <c r="CF74" s="3153">
        <f t="shared" si="1275"/>
        <v>71170.42</v>
      </c>
      <c r="CG74" s="3153">
        <f t="shared" si="1276"/>
        <v>12.5105</v>
      </c>
      <c r="CH74" s="3153">
        <f t="shared" si="1277"/>
        <v>64507.16</v>
      </c>
      <c r="CI74" s="3153">
        <f t="shared" si="1278"/>
        <v>64490.975116637252</v>
      </c>
      <c r="CJ74" s="3153">
        <f t="shared" si="1279"/>
        <v>16.184883362754675</v>
      </c>
      <c r="CK74" s="3154">
        <f t="shared" si="1280"/>
        <v>2736.300442432228</v>
      </c>
      <c r="CL74" s="3154">
        <f t="shared" si="1281"/>
        <v>2739.1781074312021</v>
      </c>
      <c r="CM74" s="3154">
        <f t="shared" si="1282"/>
        <v>-2.8776649989854697</v>
      </c>
      <c r="CN74" s="3251">
        <f>SUM(CO74:CP74)</f>
        <v>11465.179597621578</v>
      </c>
      <c r="CO74" s="3251">
        <f t="shared" ref="CO74:CP74" si="1390">SUM(CO69+CO72)</f>
        <v>11462.609084741263</v>
      </c>
      <c r="CP74" s="3251">
        <f t="shared" si="1390"/>
        <v>2.5705128803149653</v>
      </c>
      <c r="CQ74" s="3152">
        <f>SUM(CR74:CS74)</f>
        <v>11545.733</v>
      </c>
      <c r="CR74" s="3152">
        <f t="shared" ref="CR74:CS74" si="1391">SUM(CR69+CR72)</f>
        <v>11543.8</v>
      </c>
      <c r="CS74" s="3152">
        <f t="shared" si="1391"/>
        <v>1.9329999999999998</v>
      </c>
      <c r="CT74" s="3152">
        <f>SUM(CU74:CV74)</f>
        <v>10405</v>
      </c>
      <c r="CU74" s="3152">
        <f t="shared" ref="CU74:CV74" si="1392">SUM(CU69+CU72)</f>
        <v>10403.699107161117</v>
      </c>
      <c r="CV74" s="3152">
        <f t="shared" si="1392"/>
        <v>1.3008928388823913</v>
      </c>
      <c r="CW74" s="3251">
        <f>SUM(CX74:CY74)</f>
        <v>11465.179597621578</v>
      </c>
      <c r="CX74" s="3251">
        <f t="shared" ref="CX74:CY74" si="1393">SUM(CX69+CX72)</f>
        <v>11462.609084741263</v>
      </c>
      <c r="CY74" s="3251">
        <f t="shared" si="1393"/>
        <v>2.5705128803149653</v>
      </c>
      <c r="CZ74" s="3152">
        <f>SUM(DA74:DB74)</f>
        <v>12637.050999999999</v>
      </c>
      <c r="DA74" s="3152">
        <f t="shared" ref="DA74:DB74" si="1394">SUM(DA69+DA72)</f>
        <v>12635.4</v>
      </c>
      <c r="DB74" s="3152">
        <f t="shared" si="1394"/>
        <v>1.6509999999999998</v>
      </c>
      <c r="DC74" s="3152">
        <f>SUM(DD74:DE74)</f>
        <v>11498.84</v>
      </c>
      <c r="DD74" s="3152">
        <f t="shared" ref="DD74:DE74" si="1395">SUM(DD69+DD72)</f>
        <v>11497.520223836842</v>
      </c>
      <c r="DE74" s="3152">
        <f t="shared" si="1395"/>
        <v>1.3197761631583509</v>
      </c>
      <c r="DF74" s="3251">
        <f>SUM(DG74:DH74)</f>
        <v>11465.179597621578</v>
      </c>
      <c r="DG74" s="3251">
        <f t="shared" ref="DG74:DH74" si="1396">SUM(DG69+DG72)</f>
        <v>11462.609084741263</v>
      </c>
      <c r="DH74" s="3251">
        <f t="shared" si="1396"/>
        <v>2.5705128803149653</v>
      </c>
      <c r="DI74" s="3152">
        <f>SUM(DJ74:DK74)</f>
        <v>13887.012699999999</v>
      </c>
      <c r="DJ74" s="3152">
        <f t="shared" ref="DJ74:DK74" si="1397">SUM(DJ69+DJ72)</f>
        <v>13884.14</v>
      </c>
      <c r="DK74" s="3152">
        <f t="shared" si="1397"/>
        <v>2.8727000000000005</v>
      </c>
      <c r="DL74" s="3152">
        <f>SUM(DM74:DN74)</f>
        <v>11292.509999999998</v>
      </c>
      <c r="DM74" s="3152">
        <f t="shared" ref="DM74:DN74" si="1398">SUM(DM69+DM72)</f>
        <v>11290.86289033548</v>
      </c>
      <c r="DN74" s="3152">
        <f t="shared" si="1398"/>
        <v>1.6471096645191075</v>
      </c>
      <c r="DO74" s="3109">
        <f t="shared" si="1292"/>
        <v>34395.538792864732</v>
      </c>
      <c r="DP74" s="3109">
        <f t="shared" si="1293"/>
        <v>34387.82725422379</v>
      </c>
      <c r="DQ74" s="3109">
        <f t="shared" si="1294"/>
        <v>7.7115386409448963</v>
      </c>
      <c r="DR74" s="3153">
        <f t="shared" si="1295"/>
        <v>38069.796699999999</v>
      </c>
      <c r="DS74" s="3153">
        <f t="shared" si="1296"/>
        <v>38063.339999999997</v>
      </c>
      <c r="DT74" s="3153">
        <f t="shared" si="1297"/>
        <v>6.4566999999999997</v>
      </c>
      <c r="DU74" s="3153">
        <f t="shared" si="1298"/>
        <v>33196.35</v>
      </c>
      <c r="DV74" s="3153">
        <f t="shared" si="1299"/>
        <v>33192.08222133344</v>
      </c>
      <c r="DW74" s="3153">
        <f t="shared" si="1300"/>
        <v>4.2677786665598498</v>
      </c>
      <c r="DX74" s="3154">
        <f t="shared" si="1301"/>
        <v>3674.2579071352666</v>
      </c>
      <c r="DY74" s="3154">
        <f t="shared" si="1302"/>
        <v>3675.5127457762064</v>
      </c>
      <c r="DZ74" s="3154">
        <f t="shared" si="1303"/>
        <v>-1.2548386409448966</v>
      </c>
      <c r="EA74" s="3292">
        <f t="shared" si="1304"/>
        <v>102842.1688504325</v>
      </c>
      <c r="EB74" s="3292">
        <f t="shared" si="1305"/>
        <v>102819.06914679258</v>
      </c>
      <c r="EC74" s="3292">
        <f t="shared" si="1306"/>
        <v>23.099703639930368</v>
      </c>
      <c r="ED74" s="3153">
        <f t="shared" si="1307"/>
        <v>109252.72719999999</v>
      </c>
      <c r="EE74" s="3153">
        <f t="shared" si="1308"/>
        <v>109233.76</v>
      </c>
      <c r="EF74" s="3153">
        <f t="shared" si="1309"/>
        <v>18.967199999999998</v>
      </c>
      <c r="EG74" s="3293">
        <f t="shared" si="1310"/>
        <v>97703.510000000009</v>
      </c>
      <c r="EH74" s="3293">
        <f t="shared" si="1311"/>
        <v>97683.057337970691</v>
      </c>
      <c r="EI74" s="3293">
        <f t="shared" si="1312"/>
        <v>20.452662029314524</v>
      </c>
      <c r="EJ74" s="3154">
        <f t="shared" si="1313"/>
        <v>6410.5583495674946</v>
      </c>
      <c r="EK74" s="3154">
        <f t="shared" si="1314"/>
        <v>6414.6908532074158</v>
      </c>
      <c r="EL74" s="3154">
        <f t="shared" si="1315"/>
        <v>-4.1325036399303698</v>
      </c>
      <c r="EM74" s="3251">
        <f>SUM(EN74:EO74)</f>
        <v>11465.179597621578</v>
      </c>
      <c r="EN74" s="3251">
        <f t="shared" ref="EN74:EO74" si="1399">SUM(EN69+EN72)</f>
        <v>11462.609084741263</v>
      </c>
      <c r="EO74" s="3251">
        <f t="shared" si="1399"/>
        <v>2.5705128803149653</v>
      </c>
      <c r="EP74" s="3152">
        <f>SUM(EQ74:ER74)</f>
        <v>0</v>
      </c>
      <c r="EQ74" s="3152">
        <f t="shared" ref="EQ74:ER74" si="1400">SUM(EQ69+EQ72)</f>
        <v>0</v>
      </c>
      <c r="ER74" s="3152">
        <f t="shared" si="1400"/>
        <v>0</v>
      </c>
      <c r="ES74" s="3152">
        <f>SUM(ET74:EU74)</f>
        <v>11361.06</v>
      </c>
      <c r="ET74" s="3152">
        <f t="shared" ref="ET74:EU74" si="1401">SUM(ET69+ET72)</f>
        <v>11359.530327309245</v>
      </c>
      <c r="EU74" s="3152">
        <f t="shared" si="1401"/>
        <v>1.5296726907550164</v>
      </c>
      <c r="EV74" s="3251">
        <f>SUM(EW74:EX74)</f>
        <v>11465.179597621578</v>
      </c>
      <c r="EW74" s="3251">
        <f t="shared" ref="EW74:EX74" si="1402">SUM(EW69+EW72)</f>
        <v>11462.609084741263</v>
      </c>
      <c r="EX74" s="3251">
        <f t="shared" si="1402"/>
        <v>2.5705128803149653</v>
      </c>
      <c r="EY74" s="3152">
        <f>SUM(EZ74:FA74)</f>
        <v>0</v>
      </c>
      <c r="EZ74" s="3152">
        <f t="shared" ref="EZ74:FA74" si="1403">SUM(EZ69+EZ72)</f>
        <v>0</v>
      </c>
      <c r="FA74" s="3152">
        <f t="shared" si="1403"/>
        <v>0</v>
      </c>
      <c r="FB74" s="3152">
        <f>SUM(FC74:FD74)</f>
        <v>11729.57</v>
      </c>
      <c r="FC74" s="3152">
        <f t="shared" ref="FC74:FD74" si="1404">SUM(FC69+FC72)</f>
        <v>11728.043209814961</v>
      </c>
      <c r="FD74" s="3152">
        <f t="shared" si="1404"/>
        <v>1.5267901850381413</v>
      </c>
      <c r="FE74" s="3251">
        <f>SUM(FF74:FG74)</f>
        <v>11465.179597621578</v>
      </c>
      <c r="FF74" s="3251">
        <f t="shared" ref="FF74:FG74" si="1405">SUM(FF69+FF72)</f>
        <v>11462.609084741263</v>
      </c>
      <c r="FG74" s="3251">
        <f t="shared" si="1405"/>
        <v>2.5705128803149653</v>
      </c>
      <c r="FH74" s="3152">
        <f>SUM(FI74:FJ74)</f>
        <v>0</v>
      </c>
      <c r="FI74" s="3152">
        <f t="shared" ref="FI74:FJ74" si="1406">SUM(FI69+FI72)</f>
        <v>0</v>
      </c>
      <c r="FJ74" s="3152">
        <f t="shared" si="1406"/>
        <v>0</v>
      </c>
      <c r="FK74" s="3152">
        <f>SUM(FL74:FM74)</f>
        <v>13329.860000000002</v>
      </c>
      <c r="FL74" s="3152">
        <f t="shared" ref="FL74:FM74" si="1407">SUM(FL69+FL72)</f>
        <v>13329.860000000002</v>
      </c>
      <c r="FM74" s="3152">
        <f t="shared" si="1407"/>
        <v>0</v>
      </c>
      <c r="FN74" s="3109">
        <f t="shared" si="1325"/>
        <v>34395.538792864732</v>
      </c>
      <c r="FO74" s="3109">
        <f t="shared" si="1326"/>
        <v>34387.82725422379</v>
      </c>
      <c r="FP74" s="3109">
        <f t="shared" si="1327"/>
        <v>7.7115386409448963</v>
      </c>
      <c r="FQ74" s="3129">
        <f t="shared" si="1328"/>
        <v>0</v>
      </c>
      <c r="FR74" s="3129">
        <f t="shared" si="1329"/>
        <v>0</v>
      </c>
      <c r="FS74" s="3129">
        <f t="shared" si="1330"/>
        <v>0</v>
      </c>
      <c r="FT74" s="3129">
        <f t="shared" si="1331"/>
        <v>36420.49</v>
      </c>
      <c r="FU74" s="3129">
        <f t="shared" si="1332"/>
        <v>36417.433537124205</v>
      </c>
      <c r="FV74" s="3129">
        <f t="shared" si="1333"/>
        <v>3.0564628757931578</v>
      </c>
      <c r="FW74" s="3110">
        <f t="shared" si="1334"/>
        <v>-34395.538792864732</v>
      </c>
      <c r="FX74" s="3110">
        <f t="shared" si="1335"/>
        <v>-34387.82725422379</v>
      </c>
      <c r="FY74" s="3110">
        <f t="shared" si="1336"/>
        <v>-7.7115386409448963</v>
      </c>
      <c r="FZ74" s="3219">
        <f t="shared" si="1337"/>
        <v>137237.70764329724</v>
      </c>
      <c r="GA74" s="3219">
        <f t="shared" si="1338"/>
        <v>137206.89640101636</v>
      </c>
      <c r="GB74" s="3219">
        <f t="shared" si="1339"/>
        <v>30.811242280875263</v>
      </c>
      <c r="GC74" s="3234">
        <f t="shared" si="1340"/>
        <v>109252.72719999999</v>
      </c>
      <c r="GD74" s="3234">
        <f t="shared" si="1341"/>
        <v>109233.76</v>
      </c>
      <c r="GE74" s="3234">
        <f t="shared" si="1342"/>
        <v>18.967199999999998</v>
      </c>
      <c r="GF74" s="3234">
        <f t="shared" si="1343"/>
        <v>134124</v>
      </c>
      <c r="GG74" s="3234">
        <f t="shared" si="1344"/>
        <v>134100.4908750949</v>
      </c>
      <c r="GH74" s="3234">
        <f t="shared" si="1345"/>
        <v>23.509124905107683</v>
      </c>
      <c r="GI74" s="3235">
        <f t="shared" si="612"/>
        <v>-27984.980443297245</v>
      </c>
      <c r="GJ74" s="3235">
        <f t="shared" si="1346"/>
        <v>-27973.136401016367</v>
      </c>
      <c r="GK74" s="3235">
        <f t="shared" si="1347"/>
        <v>-11.844042280875264</v>
      </c>
      <c r="GL74" s="3159"/>
      <c r="GM74" s="585"/>
    </row>
    <row r="75" spans="1:195" ht="19.5" x14ac:dyDescent="0.3">
      <c r="A75" s="3158" t="s">
        <v>3680</v>
      </c>
      <c r="B75" s="3251">
        <f>SUM(C75:D75)</f>
        <v>-163.61237934178305</v>
      </c>
      <c r="C75" s="3251">
        <f t="shared" ref="C75:D75" si="1408">SUM(C31-C74)</f>
        <v>-163.61528871390874</v>
      </c>
      <c r="D75" s="3251">
        <f t="shared" si="1408"/>
        <v>2.9093721256931993E-3</v>
      </c>
      <c r="E75" s="3152">
        <f>SUM(F75:G75)</f>
        <v>51.463000000001379</v>
      </c>
      <c r="F75" s="3152">
        <f t="shared" ref="F75" si="1409">SUM(F31-F74)</f>
        <v>51.480000000001382</v>
      </c>
      <c r="G75" s="3295">
        <f t="shared" ref="G75" si="1410">SUM(G31-G74)</f>
        <v>-1.7000000000000348E-2</v>
      </c>
      <c r="H75" s="3152">
        <f>SUM(I75:J75)</f>
        <v>1036.51</v>
      </c>
      <c r="I75" s="3152">
        <f t="shared" ref="I75" si="1411">SUM(I31-I74)</f>
        <v>1036.3183278351225</v>
      </c>
      <c r="J75" s="3295">
        <f t="shared" ref="J75" si="1412">SUM(J31-J74)</f>
        <v>0.19167216487745353</v>
      </c>
      <c r="K75" s="3251">
        <f>SUM(L75:M75)</f>
        <v>-163.61237934178305</v>
      </c>
      <c r="L75" s="3251">
        <f t="shared" ref="L75" si="1413">SUM(L31-L74)</f>
        <v>-163.61528871390874</v>
      </c>
      <c r="M75" s="3251">
        <f t="shared" ref="M75" si="1414">SUM(M31-M74)</f>
        <v>2.9093721256931993E-3</v>
      </c>
      <c r="N75" s="3152">
        <f>SUM(O75:P75)</f>
        <v>610.34500000000071</v>
      </c>
      <c r="O75" s="3152">
        <f t="shared" ref="O75" si="1415">SUM(O31-O74)</f>
        <v>610.45000000000073</v>
      </c>
      <c r="P75" s="3295">
        <f t="shared" ref="P75" si="1416">SUM(P31-P74)</f>
        <v>-0.10499999999999998</v>
      </c>
      <c r="Q75" s="3152">
        <f>SUM(R75:S75)</f>
        <v>1945.3799999999997</v>
      </c>
      <c r="R75" s="3152">
        <f t="shared" ref="R75:S75" si="1417">SUM(R31-R74)</f>
        <v>1944.9649694890377</v>
      </c>
      <c r="S75" s="3295">
        <f t="shared" si="1417"/>
        <v>0.41503051096201338</v>
      </c>
      <c r="T75" s="3251">
        <f>SUM(U75:V75)</f>
        <v>-163.61237934178305</v>
      </c>
      <c r="U75" s="3251">
        <f t="shared" ref="U75" si="1418">SUM(U31-U74)</f>
        <v>-163.61528871390874</v>
      </c>
      <c r="V75" s="3251">
        <f t="shared" ref="V75" si="1419">SUM(V31-V74)</f>
        <v>2.9093721256931993E-3</v>
      </c>
      <c r="W75" s="3152">
        <f>SUM(X75:Y75)</f>
        <v>-2134.4060000000009</v>
      </c>
      <c r="X75" s="3152">
        <f t="shared" ref="X75" si="1420">SUM(X31-X74)</f>
        <v>-2133.8700000000008</v>
      </c>
      <c r="Y75" s="3295">
        <f t="shared" ref="Y75" si="1421">SUM(Y31-Y74)</f>
        <v>-0.53600000000000003</v>
      </c>
      <c r="Z75" s="3152">
        <f>SUM(AA75:AB75)</f>
        <v>-1402.4200000000003</v>
      </c>
      <c r="AA75" s="3152">
        <f t="shared" ref="AA75:AB75" si="1422">SUM(AA31-AA74)</f>
        <v>-1402.1635211900793</v>
      </c>
      <c r="AB75" s="3295">
        <f t="shared" si="1422"/>
        <v>-0.25647880992101424</v>
      </c>
      <c r="AC75" s="3109">
        <f>SUM(B75+K75+T75)</f>
        <v>-490.83713802534919</v>
      </c>
      <c r="AD75" s="3109">
        <f t="shared" ref="AD75" si="1423">SUM(C75+L75+U75)</f>
        <v>-490.84586614172622</v>
      </c>
      <c r="AE75" s="3109">
        <f t="shared" ref="AE75" si="1424">SUM(D75+M75+V75)</f>
        <v>8.7281163770795978E-3</v>
      </c>
      <c r="AF75" s="3153">
        <f t="shared" si="1374"/>
        <v>-1472.5979999999988</v>
      </c>
      <c r="AG75" s="3153">
        <f t="shared" si="1350"/>
        <v>-1471.9399999999987</v>
      </c>
      <c r="AH75" s="3153">
        <f t="shared" si="1351"/>
        <v>-0.65800000000000036</v>
      </c>
      <c r="AI75" s="3153">
        <f t="shared" si="1352"/>
        <v>1579.4699999999991</v>
      </c>
      <c r="AJ75" s="3153">
        <f t="shared" si="1353"/>
        <v>1579.1197761340809</v>
      </c>
      <c r="AK75" s="3153">
        <f t="shared" si="1354"/>
        <v>0.35022386591845267</v>
      </c>
      <c r="AL75" s="3110">
        <f t="shared" si="1247"/>
        <v>-981.76086197464963</v>
      </c>
      <c r="AM75" s="3110">
        <f t="shared" si="1248"/>
        <v>-981.09413385827247</v>
      </c>
      <c r="AN75" s="3110">
        <f t="shared" si="1249"/>
        <v>-0.66672811637707996</v>
      </c>
      <c r="AO75" s="3251">
        <f>SUM(AP75:AQ75)</f>
        <v>-163.61237934178305</v>
      </c>
      <c r="AP75" s="3251">
        <f t="shared" ref="AP75" si="1425">SUM(AP31-AP74)</f>
        <v>-163.61528871390874</v>
      </c>
      <c r="AQ75" s="3251">
        <f t="shared" ref="AQ75" si="1426">SUM(AQ31-AQ74)</f>
        <v>2.9093721256931993E-3</v>
      </c>
      <c r="AR75" s="3251">
        <f>SUM(AS75:AT75)</f>
        <v>-448.39749999999879</v>
      </c>
      <c r="AS75" s="3251">
        <f t="shared" ref="AS75" si="1427">SUM(AS31-AS74)</f>
        <v>-448.35999999999876</v>
      </c>
      <c r="AT75" s="3251">
        <f t="shared" ref="AT75" si="1428">SUM(AT31-AT74)</f>
        <v>-3.7500000000000089E-2</v>
      </c>
      <c r="AU75" s="3251">
        <f>SUM(AV75:AW75)</f>
        <v>658.4799999999982</v>
      </c>
      <c r="AV75" s="3251">
        <f t="shared" ref="AV75:AW75" si="1429">SUM(AV31-AV74)</f>
        <v>657.90727254806916</v>
      </c>
      <c r="AW75" s="3251">
        <f t="shared" si="1429"/>
        <v>0.57272745192901287</v>
      </c>
      <c r="AX75" s="3251">
        <f>SUM(AY75:AZ75)</f>
        <v>-163.61237934178305</v>
      </c>
      <c r="AY75" s="3251">
        <f t="shared" ref="AY75" si="1430">SUM(AY31-AY74)</f>
        <v>-163.61528871390874</v>
      </c>
      <c r="AZ75" s="3251">
        <f t="shared" ref="AZ75" si="1431">SUM(AZ31-AZ74)</f>
        <v>2.9093721256931993E-3</v>
      </c>
      <c r="BA75" s="3152">
        <f>SUM(BB75:BC75)</f>
        <v>-2282.1989999999978</v>
      </c>
      <c r="BB75" s="3152">
        <f t="shared" ref="BB75" si="1432">SUM(BB31-BB74)</f>
        <v>-2281.5599999999977</v>
      </c>
      <c r="BC75" s="3295">
        <f t="shared" ref="BC75" si="1433">SUM(BC31-BC74)</f>
        <v>-0.63899999999999979</v>
      </c>
      <c r="BD75" s="3152">
        <f>SUM(BE75:BF75)</f>
        <v>839.56999999999687</v>
      </c>
      <c r="BE75" s="3152">
        <f t="shared" ref="BE75:BF75" si="1434">SUM(BE31-BE74)</f>
        <v>839.42273777083756</v>
      </c>
      <c r="BF75" s="3295">
        <f t="shared" si="1434"/>
        <v>0.14726222915928266</v>
      </c>
      <c r="BG75" s="3251">
        <f>SUM(BH75:BI75)</f>
        <v>-163.61237934178305</v>
      </c>
      <c r="BH75" s="3251">
        <f t="shared" ref="BH75" si="1435">SUM(BH31-BH74)</f>
        <v>-163.61528871390874</v>
      </c>
      <c r="BI75" s="3251">
        <f t="shared" ref="BI75" si="1436">SUM(BI31-BI74)</f>
        <v>2.9093721256931993E-3</v>
      </c>
      <c r="BJ75" s="3152">
        <f>SUM(BK75:BL75)</f>
        <v>-2448.2560000000008</v>
      </c>
      <c r="BK75" s="3152">
        <f t="shared" ref="BK75" si="1437">SUM(BK31-BK74)</f>
        <v>-2446.7900000000009</v>
      </c>
      <c r="BL75" s="3295">
        <f t="shared" ref="BL75" si="1438">SUM(BL31-BL74)</f>
        <v>-1.4660000000000004</v>
      </c>
      <c r="BM75" s="3152">
        <f>SUM(BN75:BO75)</f>
        <v>235.19999999999962</v>
      </c>
      <c r="BN75" s="3152">
        <f t="shared" ref="BN75:BO75" si="1439">SUM(BN31-BN74)</f>
        <v>235.50509690976105</v>
      </c>
      <c r="BO75" s="3295">
        <f t="shared" si="1439"/>
        <v>-0.30509690976142512</v>
      </c>
      <c r="BP75" s="3109">
        <f t="shared" si="1259"/>
        <v>-490.83713802534919</v>
      </c>
      <c r="BQ75" s="3109">
        <f t="shared" si="1260"/>
        <v>-490.84586614172622</v>
      </c>
      <c r="BR75" s="3109">
        <f t="shared" si="1261"/>
        <v>8.7281163770795978E-3</v>
      </c>
      <c r="BS75" s="3153">
        <f t="shared" si="1262"/>
        <v>-5178.8524999999972</v>
      </c>
      <c r="BT75" s="3153">
        <f t="shared" si="1263"/>
        <v>-5176.7099999999973</v>
      </c>
      <c r="BU75" s="3153">
        <f t="shared" si="1264"/>
        <v>-2.1425000000000001</v>
      </c>
      <c r="BV75" s="3153">
        <f t="shared" si="1265"/>
        <v>1733.2499999999948</v>
      </c>
      <c r="BW75" s="3153">
        <f t="shared" si="1266"/>
        <v>1732.8351072286678</v>
      </c>
      <c r="BX75" s="3153">
        <f t="shared" si="1267"/>
        <v>0.41489277132687041</v>
      </c>
      <c r="BY75" s="3154">
        <f t="shared" si="1268"/>
        <v>-4688.0153619746479</v>
      </c>
      <c r="BZ75" s="3154">
        <f t="shared" si="1269"/>
        <v>-4685.8641338582711</v>
      </c>
      <c r="CA75" s="3154">
        <f t="shared" si="1270"/>
        <v>-2.1512281163770797</v>
      </c>
      <c r="CB75" s="3109">
        <f t="shared" si="1271"/>
        <v>-981.67427605069838</v>
      </c>
      <c r="CC75" s="3109">
        <f t="shared" si="1272"/>
        <v>-981.69173228345244</v>
      </c>
      <c r="CD75" s="3109">
        <f t="shared" si="1273"/>
        <v>1.7456232754159196E-2</v>
      </c>
      <c r="CE75" s="3153">
        <f t="shared" si="1274"/>
        <v>-6651.4504999999963</v>
      </c>
      <c r="CF75" s="3153">
        <f t="shared" si="1275"/>
        <v>-6648.649999999996</v>
      </c>
      <c r="CG75" s="3153">
        <f t="shared" si="1276"/>
        <v>-2.8005000000000004</v>
      </c>
      <c r="CH75" s="3153">
        <f t="shared" si="1277"/>
        <v>3312.7199999999939</v>
      </c>
      <c r="CI75" s="3153">
        <f t="shared" si="1278"/>
        <v>3311.9548833627487</v>
      </c>
      <c r="CJ75" s="3153">
        <f t="shared" si="1279"/>
        <v>0.76511663724532308</v>
      </c>
      <c r="CK75" s="3154">
        <f t="shared" si="1280"/>
        <v>-5669.7762239492977</v>
      </c>
      <c r="CL75" s="3154">
        <f t="shared" si="1281"/>
        <v>-5666.9582677165436</v>
      </c>
      <c r="CM75" s="3154">
        <f t="shared" si="1282"/>
        <v>-2.8179562327541596</v>
      </c>
      <c r="CN75" s="3251">
        <f>SUM(CO75:CP75)</f>
        <v>163.61244230952144</v>
      </c>
      <c r="CO75" s="3251">
        <f t="shared" ref="CO75:CP75" si="1440">SUM(CO31-CO74)</f>
        <v>163.61535165121313</v>
      </c>
      <c r="CP75" s="3251">
        <f t="shared" si="1440"/>
        <v>-2.9093416916938786E-3</v>
      </c>
      <c r="CQ75" s="3152">
        <f>SUM(CR75:CS75)</f>
        <v>-1042.1729999999998</v>
      </c>
      <c r="CR75" s="3152">
        <f t="shared" ref="CR75:CS75" si="1441">SUM(CR31-CR74)</f>
        <v>-1041.8199999999997</v>
      </c>
      <c r="CS75" s="3295">
        <f t="shared" si="1441"/>
        <v>-0.35299999999999976</v>
      </c>
      <c r="CT75" s="3152">
        <f>SUM(CU75:CV75)</f>
        <v>65.87000000000134</v>
      </c>
      <c r="CU75" s="3152">
        <f t="shared" ref="CU75:CV75" si="1442">SUM(CU31-CU74)</f>
        <v>64.350892838883738</v>
      </c>
      <c r="CV75" s="3295">
        <f t="shared" si="1442"/>
        <v>1.5191071611176086</v>
      </c>
      <c r="CW75" s="3251">
        <f>SUM(CX75:CY75)</f>
        <v>163.61244230952144</v>
      </c>
      <c r="CX75" s="3251">
        <f t="shared" ref="CX75:CY75" si="1443">SUM(CX31-CX74)</f>
        <v>163.61535165121313</v>
      </c>
      <c r="CY75" s="3251">
        <f t="shared" si="1443"/>
        <v>-2.9093416916938786E-3</v>
      </c>
      <c r="CZ75" s="3152">
        <f>SUM(DA75:DB75)</f>
        <v>-788.04100000000096</v>
      </c>
      <c r="DA75" s="3152">
        <f t="shared" ref="DA75:DB75" si="1444">SUM(DA31-DA74)</f>
        <v>-787.96000000000095</v>
      </c>
      <c r="DB75" s="3295">
        <f t="shared" si="1444"/>
        <v>-8.0999999999999739E-2</v>
      </c>
      <c r="DC75" s="3152">
        <f>SUM(DD75:DE75)</f>
        <v>-599.02000000000032</v>
      </c>
      <c r="DD75" s="3152">
        <f t="shared" ref="DD75:DE75" si="1445">SUM(DD31-DD74)</f>
        <v>-600.52022383684198</v>
      </c>
      <c r="DE75" s="3295">
        <f t="shared" si="1445"/>
        <v>1.500223836841649</v>
      </c>
      <c r="DF75" s="3251">
        <f>SUM(DG75:DH75)</f>
        <v>163.61244230952144</v>
      </c>
      <c r="DG75" s="3251">
        <f t="shared" ref="DG75:DH75" si="1446">SUM(DG31-DG74)</f>
        <v>163.61535165121313</v>
      </c>
      <c r="DH75" s="3251">
        <f t="shared" si="1446"/>
        <v>-2.9093416916938786E-3</v>
      </c>
      <c r="DI75" s="3152">
        <f>SUM(DJ75:DK75)</f>
        <v>-2412.8496999999998</v>
      </c>
      <c r="DJ75" s="3152">
        <f t="shared" ref="DJ75:DK75" si="1447">SUM(DJ31-DJ74)</f>
        <v>-2411.5429999999997</v>
      </c>
      <c r="DK75" s="3295">
        <f t="shared" si="1447"/>
        <v>-1.3067000000000004</v>
      </c>
      <c r="DL75" s="3152">
        <f>SUM(DM75:DN75)</f>
        <v>-44.940000000000751</v>
      </c>
      <c r="DM75" s="3152">
        <f t="shared" ref="DM75:DN75" si="1448">SUM(DM31-DM74)</f>
        <v>-46.512890335481643</v>
      </c>
      <c r="DN75" s="3295">
        <f t="shared" si="1448"/>
        <v>1.5728903354808927</v>
      </c>
      <c r="DO75" s="3109">
        <f t="shared" si="1292"/>
        <v>490.83732692856432</v>
      </c>
      <c r="DP75" s="3109">
        <f t="shared" si="1293"/>
        <v>490.8460549536394</v>
      </c>
      <c r="DQ75" s="3109">
        <f t="shared" si="1294"/>
        <v>-8.7280250750816357E-3</v>
      </c>
      <c r="DR75" s="3153">
        <f t="shared" si="1295"/>
        <v>-4243.0637000000006</v>
      </c>
      <c r="DS75" s="3153">
        <f t="shared" si="1296"/>
        <v>-4241.3230000000003</v>
      </c>
      <c r="DT75" s="3153">
        <f t="shared" si="1297"/>
        <v>-1.7406999999999999</v>
      </c>
      <c r="DU75" s="3153">
        <f t="shared" si="1298"/>
        <v>-578.08999999999969</v>
      </c>
      <c r="DV75" s="3153">
        <f t="shared" si="1299"/>
        <v>-582.68222133343988</v>
      </c>
      <c r="DW75" s="3153">
        <f t="shared" si="1300"/>
        <v>4.5922213334401505</v>
      </c>
      <c r="DX75" s="3154">
        <f t="shared" si="1301"/>
        <v>-4733.9010269285645</v>
      </c>
      <c r="DY75" s="3154">
        <f t="shared" si="1302"/>
        <v>-4732.1690549536397</v>
      </c>
      <c r="DZ75" s="3154">
        <f t="shared" si="1303"/>
        <v>-1.7319719749249183</v>
      </c>
      <c r="EA75" s="3292">
        <f t="shared" si="1304"/>
        <v>-490.83694912213406</v>
      </c>
      <c r="EB75" s="3292">
        <f t="shared" si="1305"/>
        <v>-490.84567732981304</v>
      </c>
      <c r="EC75" s="3292">
        <f t="shared" si="1306"/>
        <v>8.7282076790775598E-3</v>
      </c>
      <c r="ED75" s="3153">
        <f t="shared" si="1307"/>
        <v>-10894.514199999998</v>
      </c>
      <c r="EE75" s="3153">
        <f t="shared" si="1308"/>
        <v>-10889.972999999996</v>
      </c>
      <c r="EF75" s="3153">
        <f t="shared" si="1309"/>
        <v>-4.5411999999999999</v>
      </c>
      <c r="EG75" s="3293">
        <f t="shared" si="1310"/>
        <v>2734.6299999999942</v>
      </c>
      <c r="EH75" s="3293">
        <f t="shared" si="1311"/>
        <v>2729.2726620293088</v>
      </c>
      <c r="EI75" s="3293">
        <f t="shared" si="1312"/>
        <v>5.3573379706854736</v>
      </c>
      <c r="EJ75" s="3154">
        <f t="shared" si="1313"/>
        <v>-10403.677250877863</v>
      </c>
      <c r="EK75" s="3154">
        <f t="shared" si="1314"/>
        <v>-10399.127322670183</v>
      </c>
      <c r="EL75" s="3154">
        <f t="shared" si="1315"/>
        <v>-4.549928207679077</v>
      </c>
      <c r="EM75" s="3251">
        <f>SUM(EN75:EO75)</f>
        <v>163.61244230952144</v>
      </c>
      <c r="EN75" s="3251">
        <f t="shared" ref="EN75:EO75" si="1449">SUM(EN31-EN74)</f>
        <v>163.61535165121313</v>
      </c>
      <c r="EO75" s="3251">
        <f t="shared" si="1449"/>
        <v>-2.9093416916938786E-3</v>
      </c>
      <c r="EP75" s="3152">
        <f>SUM(EQ75:ER75)</f>
        <v>0</v>
      </c>
      <c r="EQ75" s="3152">
        <f t="shared" ref="EQ75:ER75" si="1450">SUM(EQ31-EQ74)</f>
        <v>0</v>
      </c>
      <c r="ER75" s="3295">
        <f t="shared" si="1450"/>
        <v>0</v>
      </c>
      <c r="ES75" s="3152">
        <f>SUM(ET75:EU75)</f>
        <v>-250.76999999999941</v>
      </c>
      <c r="ET75" s="3152">
        <f t="shared" ref="ET75:EU75" si="1451">SUM(ET31-ET74)</f>
        <v>-252.42032730924439</v>
      </c>
      <c r="EU75" s="3295">
        <f t="shared" si="1451"/>
        <v>1.6503273092449837</v>
      </c>
      <c r="EV75" s="3251">
        <f>SUM(EW75:EX75)</f>
        <v>163.61244230952144</v>
      </c>
      <c r="EW75" s="3251">
        <f t="shared" ref="EW75:EX75" si="1452">SUM(EW31-EW74)</f>
        <v>163.61535165121313</v>
      </c>
      <c r="EX75" s="3251">
        <f t="shared" si="1452"/>
        <v>-2.9093416916938786E-3</v>
      </c>
      <c r="EY75" s="3152">
        <f>SUM(EZ75:FA75)</f>
        <v>0</v>
      </c>
      <c r="EZ75" s="3152">
        <f t="shared" ref="EZ75:FA75" si="1453">SUM(EZ31-EZ74)</f>
        <v>0</v>
      </c>
      <c r="FA75" s="3295">
        <f t="shared" si="1453"/>
        <v>0</v>
      </c>
      <c r="FB75" s="3152">
        <f>SUM(FC75:FD75)</f>
        <v>-808.34999999999854</v>
      </c>
      <c r="FC75" s="3152">
        <f t="shared" ref="FC75:FD75" si="1454">SUM(FC31-FC74)</f>
        <v>-810.08320981496036</v>
      </c>
      <c r="FD75" s="3295">
        <f t="shared" si="1454"/>
        <v>1.7332098149618584</v>
      </c>
      <c r="FE75" s="3251">
        <f>SUM(FF75:FG75)</f>
        <v>163.61244230952144</v>
      </c>
      <c r="FF75" s="3251">
        <f t="shared" ref="FF75:FG75" si="1455">SUM(FF31-FF74)</f>
        <v>163.61535165121313</v>
      </c>
      <c r="FG75" s="3251">
        <f t="shared" si="1455"/>
        <v>-2.9093416916938786E-3</v>
      </c>
      <c r="FH75" s="3152">
        <f>SUM(FI75:FJ75)</f>
        <v>0</v>
      </c>
      <c r="FI75" s="3152">
        <f t="shared" ref="FI75:FJ75" si="1456">SUM(FI31-FI74)</f>
        <v>0</v>
      </c>
      <c r="FJ75" s="3295">
        <f t="shared" si="1456"/>
        <v>0</v>
      </c>
      <c r="FK75" s="3152">
        <f>SUM(FL75:FM75)</f>
        <v>-2498.0600000000013</v>
      </c>
      <c r="FL75" s="3152">
        <f t="shared" ref="FL75:FM75" si="1457">SUM(FL31-FL74)</f>
        <v>-2498.0600000000013</v>
      </c>
      <c r="FM75" s="3295">
        <f t="shared" si="1457"/>
        <v>0</v>
      </c>
      <c r="FN75" s="3109">
        <f t="shared" si="1325"/>
        <v>490.83732692856432</v>
      </c>
      <c r="FO75" s="3109">
        <f t="shared" si="1326"/>
        <v>490.8460549536394</v>
      </c>
      <c r="FP75" s="3109">
        <f t="shared" si="1327"/>
        <v>-8.7280250750816357E-3</v>
      </c>
      <c r="FQ75" s="3129">
        <f t="shared" si="1328"/>
        <v>0</v>
      </c>
      <c r="FR75" s="3129">
        <f t="shared" si="1329"/>
        <v>0</v>
      </c>
      <c r="FS75" s="3129">
        <f t="shared" si="1330"/>
        <v>0</v>
      </c>
      <c r="FT75" s="3129">
        <f t="shared" si="1331"/>
        <v>-3557.1799999999994</v>
      </c>
      <c r="FU75" s="3129">
        <f t="shared" si="1332"/>
        <v>-3560.5635371242061</v>
      </c>
      <c r="FV75" s="3129">
        <f t="shared" si="1333"/>
        <v>3.3835371242068422</v>
      </c>
      <c r="FW75" s="3110">
        <f t="shared" si="1334"/>
        <v>-490.83732692856432</v>
      </c>
      <c r="FX75" s="3110">
        <f t="shared" si="1335"/>
        <v>-490.8460549536394</v>
      </c>
      <c r="FY75" s="3110">
        <f t="shared" si="1336"/>
        <v>8.7280250750816357E-3</v>
      </c>
      <c r="FZ75" s="3219">
        <f t="shared" si="1337"/>
        <v>3.7780643026508187E-4</v>
      </c>
      <c r="GA75" s="3219">
        <f t="shared" si="1338"/>
        <v>3.7762382635264657E-4</v>
      </c>
      <c r="GB75" s="3219">
        <f t="shared" si="1339"/>
        <v>1.8260399592406884E-7</v>
      </c>
      <c r="GC75" s="3234">
        <f t="shared" si="1340"/>
        <v>-10894.514199999998</v>
      </c>
      <c r="GD75" s="3234">
        <f t="shared" si="1341"/>
        <v>-10889.972999999996</v>
      </c>
      <c r="GE75" s="3234">
        <f t="shared" si="1342"/>
        <v>-4.5411999999999999</v>
      </c>
      <c r="GF75" s="3234">
        <f t="shared" si="1343"/>
        <v>-822.55000000000518</v>
      </c>
      <c r="GG75" s="3234">
        <f t="shared" si="1344"/>
        <v>-831.29087509489727</v>
      </c>
      <c r="GH75" s="3234">
        <f t="shared" si="1345"/>
        <v>8.7408750948923153</v>
      </c>
      <c r="GI75" s="3235">
        <f t="shared" si="612"/>
        <v>-10894.514577806429</v>
      </c>
      <c r="GJ75" s="3235">
        <f t="shared" si="1346"/>
        <v>-10889.973377623823</v>
      </c>
      <c r="GK75" s="3235">
        <f t="shared" si="1347"/>
        <v>-4.5412001826039958</v>
      </c>
      <c r="GL75" s="3159"/>
      <c r="GM75" s="585"/>
    </row>
    <row r="76" spans="1:195" ht="19.5" x14ac:dyDescent="0.3">
      <c r="A76" s="3106" t="s">
        <v>538</v>
      </c>
      <c r="B76" s="3251">
        <f>SUM(C76:D76)</f>
        <v>11244.159296919514</v>
      </c>
      <c r="C76" s="3251">
        <f t="shared" ref="C76:D76" si="1458">SUM(C74:C75)</f>
        <v>11241.591693380889</v>
      </c>
      <c r="D76" s="3251">
        <f t="shared" si="1458"/>
        <v>2.5676035386232714</v>
      </c>
      <c r="E76" s="3152">
        <f>SUM(F76:G76)</f>
        <v>11478.460000000001</v>
      </c>
      <c r="F76" s="3152">
        <f t="shared" ref="F76" si="1459">SUM(F74:F75)</f>
        <v>11476.37</v>
      </c>
      <c r="G76" s="3152">
        <f t="shared" ref="G76" si="1460">SUM(G74:G75)</f>
        <v>2.09</v>
      </c>
      <c r="H76" s="3152">
        <f>SUM(I76:J76)</f>
        <v>11502.369999999999</v>
      </c>
      <c r="I76" s="3152">
        <f t="shared" ref="I76" si="1461">SUM(I74:I75)</f>
        <v>11499.91</v>
      </c>
      <c r="J76" s="3152">
        <f t="shared" ref="J76" si="1462">SUM(J74:J75)</f>
        <v>2.46</v>
      </c>
      <c r="K76" s="3251">
        <f>SUM(L76:M76)</f>
        <v>11244.159296919514</v>
      </c>
      <c r="L76" s="3251">
        <f t="shared" ref="L76" si="1463">SUM(L74:L75)</f>
        <v>11241.591693380889</v>
      </c>
      <c r="M76" s="3251">
        <f t="shared" ref="M76" si="1464">SUM(M74:M75)</f>
        <v>2.5676035386232714</v>
      </c>
      <c r="N76" s="3152">
        <f>SUM(O76:P76)</f>
        <v>10942.769999999999</v>
      </c>
      <c r="O76" s="3152">
        <f t="shared" ref="O76" si="1465">SUM(O74:O75)</f>
        <v>10941.199999999999</v>
      </c>
      <c r="P76" s="3152">
        <f t="shared" ref="P76" si="1466">SUM(P74:P75)</f>
        <v>1.57</v>
      </c>
      <c r="Q76" s="3152">
        <f>SUM(R76:S76)</f>
        <v>11366.300000000001</v>
      </c>
      <c r="R76" s="3152">
        <f t="shared" ref="R76:S76" si="1467">SUM(R74:R75)</f>
        <v>11363.11</v>
      </c>
      <c r="S76" s="3152">
        <f t="shared" si="1467"/>
        <v>3.19</v>
      </c>
      <c r="T76" s="3251">
        <f>SUM(U76:V76)</f>
        <v>11244.159296919514</v>
      </c>
      <c r="U76" s="3251">
        <f t="shared" ref="U76" si="1468">SUM(U74:U75)</f>
        <v>11241.591693380889</v>
      </c>
      <c r="V76" s="3251">
        <f t="shared" ref="V76" si="1469">SUM(V74:V75)</f>
        <v>2.5676035386232714</v>
      </c>
      <c r="W76" s="3152">
        <f>SUM(X76:Y76)</f>
        <v>10397.529999999999</v>
      </c>
      <c r="X76" s="3152">
        <f t="shared" ref="X76" si="1470">SUM(X74:X75)</f>
        <v>10396.23</v>
      </c>
      <c r="Y76" s="3152">
        <f t="shared" ref="Y76" si="1471">SUM(Y74:Y75)</f>
        <v>1.3</v>
      </c>
      <c r="Z76" s="3152">
        <f>SUM(AA76:AB76)</f>
        <v>10711.810000000001</v>
      </c>
      <c r="AA76" s="3152">
        <f t="shared" ref="AA76:AB76" si="1472">SUM(AA74:AA75)</f>
        <v>10709.52</v>
      </c>
      <c r="AB76" s="3152">
        <f t="shared" si="1472"/>
        <v>2.29</v>
      </c>
      <c r="AC76" s="3109">
        <f>SUM(B76+K76+T76)</f>
        <v>33732.477890758542</v>
      </c>
      <c r="AD76" s="3109">
        <f t="shared" ref="AD76" si="1473">SUM(C76+L76+U76)</f>
        <v>33724.775080142666</v>
      </c>
      <c r="AE76" s="3109">
        <f t="shared" ref="AE76" si="1474">SUM(D76+M76+V76)</f>
        <v>7.7028106158698142</v>
      </c>
      <c r="AF76" s="3153">
        <f t="shared" si="1374"/>
        <v>32818.759999999995</v>
      </c>
      <c r="AG76" s="3153">
        <f t="shared" si="1350"/>
        <v>32813.800000000003</v>
      </c>
      <c r="AH76" s="3153">
        <f t="shared" si="1351"/>
        <v>4.96</v>
      </c>
      <c r="AI76" s="3153">
        <f t="shared" si="1352"/>
        <v>33580.479999999996</v>
      </c>
      <c r="AJ76" s="3153">
        <f t="shared" si="1353"/>
        <v>33572.54</v>
      </c>
      <c r="AK76" s="3153">
        <f t="shared" si="1354"/>
        <v>7.94</v>
      </c>
      <c r="AL76" s="3110">
        <f t="shared" si="1247"/>
        <v>-913.71789075854758</v>
      </c>
      <c r="AM76" s="3110">
        <f t="shared" si="1248"/>
        <v>-910.9750801426635</v>
      </c>
      <c r="AN76" s="3110">
        <f t="shared" si="1249"/>
        <v>-2.7428106158698142</v>
      </c>
      <c r="AO76" s="3251">
        <f>SUM(AP76:AQ76)</f>
        <v>11244.159296919514</v>
      </c>
      <c r="AP76" s="3251">
        <f t="shared" ref="AP76" si="1475">SUM(AP74:AP75)</f>
        <v>11241.591693380889</v>
      </c>
      <c r="AQ76" s="3251">
        <f t="shared" ref="AQ76" si="1476">SUM(AQ74:AQ75)</f>
        <v>2.5676035386232714</v>
      </c>
      <c r="AR76" s="3251">
        <f>SUM(AS76:AT76)</f>
        <v>10876.11</v>
      </c>
      <c r="AS76" s="3251">
        <f t="shared" ref="AS76" si="1477">SUM(AS74:AS75)</f>
        <v>10874.460000000001</v>
      </c>
      <c r="AT76" s="3251">
        <f t="shared" ref="AT76" si="1478">SUM(AT74:AT75)</f>
        <v>1.65</v>
      </c>
      <c r="AU76" s="3251">
        <f>SUM(AV76:AW76)</f>
        <v>11542.13</v>
      </c>
      <c r="AV76" s="3251">
        <f t="shared" ref="AV76:AW76" si="1479">SUM(AV74:AV75)</f>
        <v>11536.46</v>
      </c>
      <c r="AW76" s="3251">
        <f t="shared" si="1479"/>
        <v>5.67</v>
      </c>
      <c r="AX76" s="3251">
        <f>SUM(AY76:AZ76)</f>
        <v>11244.159296919514</v>
      </c>
      <c r="AY76" s="3251">
        <f t="shared" ref="AY76" si="1480">SUM(AY74:AY75)</f>
        <v>11241.591693380889</v>
      </c>
      <c r="AZ76" s="3251">
        <f t="shared" ref="AZ76" si="1481">SUM(AZ74:AZ75)</f>
        <v>2.5676035386232714</v>
      </c>
      <c r="BA76" s="3152">
        <f>SUM(BB76:BC76)</f>
        <v>10453.750000000002</v>
      </c>
      <c r="BB76" s="3152">
        <f t="shared" ref="BB76" si="1482">SUM(BB74:BB75)</f>
        <v>10452.060000000001</v>
      </c>
      <c r="BC76" s="3152">
        <f t="shared" ref="BC76" si="1483">SUM(BC74:BC75)</f>
        <v>1.69</v>
      </c>
      <c r="BD76" s="3152">
        <f>SUM(BE76:BF76)</f>
        <v>10990.189999999997</v>
      </c>
      <c r="BE76" s="3152">
        <f t="shared" ref="BE76:BF76" si="1484">SUM(BE74:BE75)</f>
        <v>10988.379999999997</v>
      </c>
      <c r="BF76" s="3152">
        <f t="shared" si="1484"/>
        <v>1.81</v>
      </c>
      <c r="BG76" s="3251">
        <f>SUM(BH76:BI76)</f>
        <v>11244.159296919514</v>
      </c>
      <c r="BH76" s="3251">
        <f t="shared" ref="BH76" si="1485">SUM(BH74:BH75)</f>
        <v>11241.591693380889</v>
      </c>
      <c r="BI76" s="3251">
        <f t="shared" ref="BI76" si="1486">SUM(BI74:BI75)</f>
        <v>2.5676035386232714</v>
      </c>
      <c r="BJ76" s="3152">
        <f>SUM(BK76:BL76)</f>
        <v>10382.859999999999</v>
      </c>
      <c r="BK76" s="3152">
        <f t="shared" ref="BK76" si="1487">SUM(BK74:BK75)</f>
        <v>10381.449999999999</v>
      </c>
      <c r="BL76" s="3152">
        <f t="shared" ref="BL76" si="1488">SUM(BL74:BL75)</f>
        <v>1.41</v>
      </c>
      <c r="BM76" s="3152">
        <f>SUM(BN76:BO76)</f>
        <v>11707.080000000002</v>
      </c>
      <c r="BN76" s="3152">
        <f t="shared" ref="BN76:BO76" si="1489">SUM(BN74:BN75)</f>
        <v>11705.550000000001</v>
      </c>
      <c r="BO76" s="3152">
        <f t="shared" si="1489"/>
        <v>1.53</v>
      </c>
      <c r="BP76" s="3109">
        <f t="shared" si="1259"/>
        <v>33732.477890758542</v>
      </c>
      <c r="BQ76" s="3109">
        <f t="shared" si="1260"/>
        <v>33724.775080142666</v>
      </c>
      <c r="BR76" s="3109">
        <f t="shared" si="1261"/>
        <v>7.7028106158698142</v>
      </c>
      <c r="BS76" s="3153">
        <f t="shared" si="1262"/>
        <v>31712.720000000001</v>
      </c>
      <c r="BT76" s="3153">
        <f t="shared" si="1263"/>
        <v>31707.97</v>
      </c>
      <c r="BU76" s="3153">
        <f t="shared" si="1264"/>
        <v>4.75</v>
      </c>
      <c r="BV76" s="3153">
        <f t="shared" si="1265"/>
        <v>34239.399999999994</v>
      </c>
      <c r="BW76" s="3153">
        <f t="shared" si="1266"/>
        <v>34230.39</v>
      </c>
      <c r="BX76" s="3153">
        <f t="shared" si="1267"/>
        <v>9.01</v>
      </c>
      <c r="BY76" s="3154">
        <f t="shared" si="1268"/>
        <v>-2019.7578907585412</v>
      </c>
      <c r="BZ76" s="3154">
        <f t="shared" si="1269"/>
        <v>-2016.8050801426652</v>
      </c>
      <c r="CA76" s="3154">
        <f t="shared" si="1270"/>
        <v>-2.9528106158698142</v>
      </c>
      <c r="CB76" s="3109">
        <f t="shared" si="1271"/>
        <v>67464.955781517085</v>
      </c>
      <c r="CC76" s="3109">
        <f t="shared" si="1272"/>
        <v>67449.550160285333</v>
      </c>
      <c r="CD76" s="3109">
        <f t="shared" si="1273"/>
        <v>15.405621231739628</v>
      </c>
      <c r="CE76" s="3153">
        <f t="shared" si="1274"/>
        <v>64531.479999999996</v>
      </c>
      <c r="CF76" s="3153">
        <f t="shared" si="1275"/>
        <v>64521.770000000004</v>
      </c>
      <c r="CG76" s="3153">
        <f t="shared" si="1276"/>
        <v>9.7100000000000009</v>
      </c>
      <c r="CH76" s="3153">
        <f t="shared" si="1277"/>
        <v>67819.87999999999</v>
      </c>
      <c r="CI76" s="3153">
        <f t="shared" si="1278"/>
        <v>67802.929999999993</v>
      </c>
      <c r="CJ76" s="3153">
        <f t="shared" si="1279"/>
        <v>16.95</v>
      </c>
      <c r="CK76" s="3154">
        <f t="shared" si="1280"/>
        <v>-2933.4757815170888</v>
      </c>
      <c r="CL76" s="3154">
        <f t="shared" si="1281"/>
        <v>-2927.7801602853287</v>
      </c>
      <c r="CM76" s="3154">
        <f t="shared" si="1282"/>
        <v>-5.6956212317396275</v>
      </c>
      <c r="CN76" s="3251">
        <f>SUM(CO76:CP76)</f>
        <v>11628.792039931101</v>
      </c>
      <c r="CO76" s="3251">
        <f t="shared" ref="CO76:CP76" si="1490">SUM(CO74:CO75)</f>
        <v>11626.224436392476</v>
      </c>
      <c r="CP76" s="3251">
        <f t="shared" si="1490"/>
        <v>2.5676035386232714</v>
      </c>
      <c r="CQ76" s="3152">
        <f>SUM(CR76:CS76)</f>
        <v>10503.56</v>
      </c>
      <c r="CR76" s="3152">
        <f t="shared" ref="CR76:CS76" si="1491">SUM(CR74:CR75)</f>
        <v>10501.98</v>
      </c>
      <c r="CS76" s="3152">
        <f t="shared" si="1491"/>
        <v>1.58</v>
      </c>
      <c r="CT76" s="3152">
        <f>SUM(CU76:CV76)</f>
        <v>10470.870000000001</v>
      </c>
      <c r="CU76" s="3152">
        <f t="shared" ref="CU76:CV76" si="1492">SUM(CU74:CU75)</f>
        <v>10468.050000000001</v>
      </c>
      <c r="CV76" s="3152">
        <f t="shared" si="1492"/>
        <v>2.82</v>
      </c>
      <c r="CW76" s="3251">
        <f>SUM(CX76:CY76)</f>
        <v>11628.792039931101</v>
      </c>
      <c r="CX76" s="3251">
        <f t="shared" ref="CX76:CY76" si="1493">SUM(CX74:CX75)</f>
        <v>11626.224436392476</v>
      </c>
      <c r="CY76" s="3251">
        <f t="shared" si="1493"/>
        <v>2.5676035386232714</v>
      </c>
      <c r="CZ76" s="3152">
        <f>SUM(DA76:DB76)</f>
        <v>11849.009999999998</v>
      </c>
      <c r="DA76" s="3152">
        <f t="shared" ref="DA76:DB76" si="1494">SUM(DA74:DA75)</f>
        <v>11847.439999999999</v>
      </c>
      <c r="DB76" s="3152">
        <f t="shared" si="1494"/>
        <v>1.57</v>
      </c>
      <c r="DC76" s="3152">
        <f>SUM(DD76:DE76)</f>
        <v>10899.82</v>
      </c>
      <c r="DD76" s="3152">
        <f t="shared" ref="DD76:DE76" si="1495">SUM(DD74:DD75)</f>
        <v>10897</v>
      </c>
      <c r="DE76" s="3152">
        <f t="shared" si="1495"/>
        <v>2.82</v>
      </c>
      <c r="DF76" s="3251">
        <f>SUM(DG76:DH76)</f>
        <v>11628.792039931101</v>
      </c>
      <c r="DG76" s="3251">
        <f t="shared" ref="DG76:DH76" si="1496">SUM(DG74:DG75)</f>
        <v>11626.224436392476</v>
      </c>
      <c r="DH76" s="3251">
        <f t="shared" si="1496"/>
        <v>2.5676035386232714</v>
      </c>
      <c r="DI76" s="3152">
        <f>SUM(DJ76:DK76)</f>
        <v>11474.163</v>
      </c>
      <c r="DJ76" s="3152">
        <f t="shared" ref="DJ76:DK76" si="1497">SUM(DJ74:DJ75)</f>
        <v>11472.597</v>
      </c>
      <c r="DK76" s="3152">
        <f t="shared" si="1497"/>
        <v>1.5660000000000001</v>
      </c>
      <c r="DL76" s="3152">
        <f>SUM(DM76:DN76)</f>
        <v>11247.569999999998</v>
      </c>
      <c r="DM76" s="3152">
        <f t="shared" ref="DM76:DN76" si="1498">SUM(DM74:DM75)</f>
        <v>11244.349999999999</v>
      </c>
      <c r="DN76" s="3152">
        <f t="shared" si="1498"/>
        <v>3.22</v>
      </c>
      <c r="DO76" s="3109">
        <f t="shared" si="1292"/>
        <v>34886.376119793305</v>
      </c>
      <c r="DP76" s="3109">
        <f t="shared" si="1293"/>
        <v>34878.673309177429</v>
      </c>
      <c r="DQ76" s="3109">
        <f t="shared" si="1294"/>
        <v>7.7028106158698142</v>
      </c>
      <c r="DR76" s="3153">
        <f t="shared" si="1295"/>
        <v>33826.733</v>
      </c>
      <c r="DS76" s="3153">
        <f t="shared" si="1296"/>
        <v>33822.017</v>
      </c>
      <c r="DT76" s="3153">
        <f t="shared" si="1297"/>
        <v>4.7160000000000002</v>
      </c>
      <c r="DU76" s="3153">
        <f t="shared" si="1298"/>
        <v>32618.260000000002</v>
      </c>
      <c r="DV76" s="3153">
        <f t="shared" si="1299"/>
        <v>32609.4</v>
      </c>
      <c r="DW76" s="3153">
        <f t="shared" si="1300"/>
        <v>8.86</v>
      </c>
      <c r="DX76" s="3154">
        <f t="shared" si="1301"/>
        <v>-1059.6431197933052</v>
      </c>
      <c r="DY76" s="3154">
        <f t="shared" si="1302"/>
        <v>-1056.6563091774296</v>
      </c>
      <c r="DZ76" s="3154">
        <f t="shared" si="1303"/>
        <v>-2.986810615869814</v>
      </c>
      <c r="EA76" s="3292">
        <f t="shared" si="1304"/>
        <v>102351.33190131039</v>
      </c>
      <c r="EB76" s="3292">
        <f t="shared" si="1305"/>
        <v>102328.22346946277</v>
      </c>
      <c r="EC76" s="3292">
        <f t="shared" si="1306"/>
        <v>23.108431847609442</v>
      </c>
      <c r="ED76" s="3153">
        <f t="shared" si="1307"/>
        <v>98358.212999999989</v>
      </c>
      <c r="EE76" s="3153">
        <f t="shared" si="1308"/>
        <v>98343.787000000011</v>
      </c>
      <c r="EF76" s="3153">
        <f t="shared" si="1309"/>
        <v>14.426000000000002</v>
      </c>
      <c r="EG76" s="3293">
        <f t="shared" si="1310"/>
        <v>100438.13999999998</v>
      </c>
      <c r="EH76" s="3293">
        <f t="shared" si="1311"/>
        <v>100412.32999999999</v>
      </c>
      <c r="EI76" s="3293">
        <f t="shared" si="1312"/>
        <v>25.81</v>
      </c>
      <c r="EJ76" s="3154">
        <f t="shared" si="1313"/>
        <v>-3993.1189013104013</v>
      </c>
      <c r="EK76" s="3154">
        <f t="shared" si="1314"/>
        <v>-3984.4364694627584</v>
      </c>
      <c r="EL76" s="3154">
        <f t="shared" si="1315"/>
        <v>-8.6824318476094398</v>
      </c>
      <c r="EM76" s="3251">
        <f>SUM(EN76:EO76)</f>
        <v>11628.792039931101</v>
      </c>
      <c r="EN76" s="3251">
        <f t="shared" ref="EN76:EO76" si="1499">SUM(EN74:EN75)</f>
        <v>11626.224436392476</v>
      </c>
      <c r="EO76" s="3251">
        <f t="shared" si="1499"/>
        <v>2.5676035386232714</v>
      </c>
      <c r="EP76" s="3152">
        <f>SUM(EQ76:ER76)</f>
        <v>0</v>
      </c>
      <c r="EQ76" s="3152">
        <f t="shared" ref="EQ76:ER76" si="1500">SUM(EQ74:EQ75)</f>
        <v>0</v>
      </c>
      <c r="ER76" s="3152">
        <f t="shared" si="1500"/>
        <v>0</v>
      </c>
      <c r="ES76" s="3152">
        <f>SUM(ET76:EU76)</f>
        <v>11110.29</v>
      </c>
      <c r="ET76" s="3152">
        <f t="shared" ref="ET76:EU76" si="1501">SUM(ET74:ET75)</f>
        <v>11107.11</v>
      </c>
      <c r="EU76" s="3152">
        <f t="shared" si="1501"/>
        <v>3.18</v>
      </c>
      <c r="EV76" s="3251">
        <f>SUM(EW76:EX76)</f>
        <v>11628.792039931101</v>
      </c>
      <c r="EW76" s="3251">
        <f t="shared" ref="EW76:EX76" si="1502">SUM(EW74:EW75)</f>
        <v>11626.224436392476</v>
      </c>
      <c r="EX76" s="3251">
        <f t="shared" si="1502"/>
        <v>2.5676035386232714</v>
      </c>
      <c r="EY76" s="3152">
        <f>SUM(EZ76:FA76)</f>
        <v>0</v>
      </c>
      <c r="EZ76" s="3152">
        <f t="shared" ref="EZ76:FA76" si="1503">SUM(EZ74:EZ75)</f>
        <v>0</v>
      </c>
      <c r="FA76" s="3152">
        <f t="shared" si="1503"/>
        <v>0</v>
      </c>
      <c r="FB76" s="3152">
        <f>SUM(FC76:FD76)</f>
        <v>10921.220000000001</v>
      </c>
      <c r="FC76" s="3152">
        <f t="shared" ref="FC76:FD76" si="1504">SUM(FC74:FC75)</f>
        <v>10917.960000000001</v>
      </c>
      <c r="FD76" s="3152">
        <f t="shared" si="1504"/>
        <v>3.26</v>
      </c>
      <c r="FE76" s="3251">
        <f>SUM(FF76:FG76)</f>
        <v>11628.792039931101</v>
      </c>
      <c r="FF76" s="3251">
        <f t="shared" ref="FF76:FG76" si="1505">SUM(FF74:FF75)</f>
        <v>11626.224436392476</v>
      </c>
      <c r="FG76" s="3251">
        <f t="shared" si="1505"/>
        <v>2.5676035386232714</v>
      </c>
      <c r="FH76" s="3152">
        <f>SUM(FI76:FJ76)</f>
        <v>0</v>
      </c>
      <c r="FI76" s="3152">
        <f t="shared" ref="FI76:FJ76" si="1506">SUM(FI74:FI75)</f>
        <v>0</v>
      </c>
      <c r="FJ76" s="3152">
        <f t="shared" si="1506"/>
        <v>0</v>
      </c>
      <c r="FK76" s="3152">
        <f>SUM(FL76:FM76)</f>
        <v>10831.800000000001</v>
      </c>
      <c r="FL76" s="3152">
        <f t="shared" ref="FL76:FM76" si="1507">SUM(FL74:FL75)</f>
        <v>10831.800000000001</v>
      </c>
      <c r="FM76" s="3152">
        <f t="shared" si="1507"/>
        <v>0</v>
      </c>
      <c r="FN76" s="3109">
        <f t="shared" si="1325"/>
        <v>34886.376119793305</v>
      </c>
      <c r="FO76" s="3109">
        <f t="shared" si="1326"/>
        <v>34878.673309177429</v>
      </c>
      <c r="FP76" s="3109">
        <f t="shared" si="1327"/>
        <v>7.7028106158698142</v>
      </c>
      <c r="FQ76" s="3129">
        <f t="shared" si="1328"/>
        <v>0</v>
      </c>
      <c r="FR76" s="3129">
        <f t="shared" si="1329"/>
        <v>0</v>
      </c>
      <c r="FS76" s="3129">
        <f t="shared" si="1330"/>
        <v>0</v>
      </c>
      <c r="FT76" s="3129">
        <f t="shared" si="1331"/>
        <v>32863.310000000005</v>
      </c>
      <c r="FU76" s="3129">
        <f t="shared" si="1332"/>
        <v>32856.870000000003</v>
      </c>
      <c r="FV76" s="3129">
        <f t="shared" si="1333"/>
        <v>6.4399999999999995</v>
      </c>
      <c r="FW76" s="3110">
        <f t="shared" si="1334"/>
        <v>-34886.376119793305</v>
      </c>
      <c r="FX76" s="3110">
        <f t="shared" si="1335"/>
        <v>-34878.673309177429</v>
      </c>
      <c r="FY76" s="3110">
        <f t="shared" si="1336"/>
        <v>-7.7028106158698142</v>
      </c>
      <c r="FZ76" s="3219">
        <f t="shared" si="1337"/>
        <v>137237.7080211037</v>
      </c>
      <c r="GA76" s="3219">
        <f t="shared" si="1338"/>
        <v>137206.89677864019</v>
      </c>
      <c r="GB76" s="3219">
        <f t="shared" si="1339"/>
        <v>30.811242463479257</v>
      </c>
      <c r="GC76" s="3234">
        <f t="shared" si="1340"/>
        <v>98358.212999999989</v>
      </c>
      <c r="GD76" s="3234">
        <f t="shared" si="1341"/>
        <v>98343.787000000011</v>
      </c>
      <c r="GE76" s="3234">
        <f t="shared" si="1342"/>
        <v>14.426000000000002</v>
      </c>
      <c r="GF76" s="3234">
        <f t="shared" si="1343"/>
        <v>133301.44999999998</v>
      </c>
      <c r="GG76" s="3234">
        <f t="shared" si="1344"/>
        <v>133269.19999999998</v>
      </c>
      <c r="GH76" s="3234">
        <f t="shared" si="1345"/>
        <v>32.25</v>
      </c>
      <c r="GI76" s="3235">
        <f t="shared" si="612"/>
        <v>-38879.495021103707</v>
      </c>
      <c r="GJ76" s="3235">
        <f t="shared" si="1346"/>
        <v>-38863.109778640181</v>
      </c>
      <c r="GK76" s="3235">
        <f t="shared" si="1347"/>
        <v>-16.385242463479255</v>
      </c>
      <c r="GL76" s="3159"/>
      <c r="GM76" s="585"/>
    </row>
    <row r="77" spans="1:195" ht="18.75" x14ac:dyDescent="0.3">
      <c r="A77" s="3158" t="s">
        <v>70</v>
      </c>
      <c r="B77" s="3156">
        <f>SUM(B76/B70)</f>
        <v>36.841988476826401</v>
      </c>
      <c r="C77" s="3156">
        <f t="shared" ref="C77:D77" si="1508">SUM(C76/C70)</f>
        <v>36.851385527292081</v>
      </c>
      <c r="D77" s="3156">
        <f t="shared" si="1508"/>
        <v>17.407481617784892</v>
      </c>
      <c r="E77" s="3156">
        <f>SUM(E76/E70)</f>
        <v>36.842483670619956</v>
      </c>
      <c r="F77" s="3156">
        <f t="shared" ref="F77" si="1509">SUM(F76/F70)</f>
        <v>36.849968693306792</v>
      </c>
      <c r="G77" s="3156">
        <f t="shared" ref="G77" si="1510">SUM(G76/G70)</f>
        <v>17.416666666666668</v>
      </c>
      <c r="H77" s="3156">
        <f>SUM(H76/H70)</f>
        <v>36.020323802962452</v>
      </c>
      <c r="I77" s="3156">
        <f t="shared" ref="I77" si="1511">SUM(I76/I70)</f>
        <v>36.028415677182871</v>
      </c>
      <c r="J77" s="3156">
        <f t="shared" ref="J77" si="1512">SUM(J76/J70)</f>
        <v>17.571428571428569</v>
      </c>
      <c r="K77" s="3156">
        <f>SUM(K76/K70)</f>
        <v>36.841988476826401</v>
      </c>
      <c r="L77" s="3156">
        <f t="shared" ref="L77" si="1513">SUM(L76/L70)</f>
        <v>36.851385527292081</v>
      </c>
      <c r="M77" s="3156">
        <f t="shared" ref="M77" si="1514">SUM(M76/M70)</f>
        <v>17.407481617784892</v>
      </c>
      <c r="N77" s="3156">
        <f>SUM(N76/N70)</f>
        <v>36.844343434343429</v>
      </c>
      <c r="O77" s="3156">
        <f t="shared" ref="O77" si="1515">SUM(O76/O70)</f>
        <v>36.850223973594687</v>
      </c>
      <c r="P77" s="3156">
        <f t="shared" ref="P77" si="1516">SUM(P76/P70)</f>
        <v>17.444444444444446</v>
      </c>
      <c r="Q77" s="3156">
        <f>SUM(Q76/Q70)</f>
        <v>36.018316062997123</v>
      </c>
      <c r="R77" s="3156">
        <f t="shared" ref="R77:S77" si="1517">SUM(R76/R70)</f>
        <v>36.028758045594344</v>
      </c>
      <c r="S77" s="3156">
        <f t="shared" si="1517"/>
        <v>17.722222222222221</v>
      </c>
      <c r="T77" s="3156">
        <f>SUM(T76/T70)</f>
        <v>36.841988476826401</v>
      </c>
      <c r="U77" s="3156">
        <f t="shared" ref="U77" si="1518">SUM(U76/U70)</f>
        <v>36.851385527292081</v>
      </c>
      <c r="V77" s="3156">
        <f t="shared" ref="V77" si="1519">SUM(V76/V70)</f>
        <v>17.407481617784892</v>
      </c>
      <c r="W77" s="3156">
        <f>SUM(W76/W70)</f>
        <v>36.844020637552973</v>
      </c>
      <c r="X77" s="3156">
        <f t="shared" ref="X77" si="1520">SUM(X76/X70)</f>
        <v>36.849207277521984</v>
      </c>
      <c r="Y77" s="3156">
        <f t="shared" ref="Y77" si="1521">SUM(Y76/Y70)</f>
        <v>17.333333333333336</v>
      </c>
      <c r="Z77" s="3156">
        <f>SUM(Z76/Z70)</f>
        <v>36.020613356648056</v>
      </c>
      <c r="AA77" s="3156">
        <f t="shared" ref="AA77:AB77" si="1522">SUM(AA76/AA70)</f>
        <v>36.027450716544436</v>
      </c>
      <c r="AB77" s="3156">
        <f t="shared" si="1522"/>
        <v>19.083333333333336</v>
      </c>
      <c r="AC77" s="3157">
        <f>SUM(AC76/AC70)</f>
        <v>36.841988476826401</v>
      </c>
      <c r="AD77" s="3157">
        <f t="shared" ref="AD77" si="1523">SUM(AD76/AD70)</f>
        <v>36.851385527292074</v>
      </c>
      <c r="AE77" s="3157">
        <f t="shared" ref="AE77" si="1524">SUM(AE76/AE70)</f>
        <v>17.407481617784892</v>
      </c>
      <c r="AF77" s="3157">
        <f>SUM(AF76/AF70)</f>
        <v>36.843590690635729</v>
      </c>
      <c r="AG77" s="3157">
        <f t="shared" ref="AG77" si="1525">SUM(AG76/AG70)</f>
        <v>36.849812571731462</v>
      </c>
      <c r="AH77" s="3157">
        <f t="shared" ref="AH77" si="1526">SUM(AH76/AH70)</f>
        <v>17.403508771929825</v>
      </c>
      <c r="AI77" s="3157">
        <f>SUM(AI76/AI70)</f>
        <v>36.019736559831806</v>
      </c>
      <c r="AJ77" s="3157">
        <f t="shared" ref="AJ77" si="1527">SUM(AJ76/AJ70)</f>
        <v>36.028223729395606</v>
      </c>
      <c r="AK77" s="3157">
        <f t="shared" ref="AK77" si="1528">SUM(AK76/AK70)</f>
        <v>18.045454545454547</v>
      </c>
      <c r="AL77" s="3110">
        <f t="shared" si="1247"/>
        <v>1.6022138093276794E-3</v>
      </c>
      <c r="AM77" s="3110">
        <f t="shared" si="1248"/>
        <v>-1.5729555606114332E-3</v>
      </c>
      <c r="AN77" s="3110">
        <f t="shared" si="1249"/>
        <v>-3.9728458550669643E-3</v>
      </c>
      <c r="AO77" s="3251">
        <f>SUM(AO76/AO70)</f>
        <v>36.841988476826401</v>
      </c>
      <c r="AP77" s="3251">
        <f t="shared" ref="AP77" si="1529">SUM(AP76/AP70)</f>
        <v>36.851385527292081</v>
      </c>
      <c r="AQ77" s="3251">
        <f t="shared" ref="AQ77" si="1530">SUM(AQ76/AQ70)</f>
        <v>17.407481617784892</v>
      </c>
      <c r="AR77" s="3251">
        <f>SUM(AR76/AR70)</f>
        <v>36.8438151052694</v>
      </c>
      <c r="AS77" s="3251">
        <f t="shared" ref="AS77" si="1531">SUM(AS76/AS70)</f>
        <v>36.850084717045078</v>
      </c>
      <c r="AT77" s="3251">
        <f t="shared" ref="AT77" si="1532">SUM(AT76/AT70)</f>
        <v>17.368421052631579</v>
      </c>
      <c r="AU77" s="3251">
        <f>SUM(AU76/AU70)</f>
        <v>36.010638961687256</v>
      </c>
      <c r="AV77" s="3251">
        <f t="shared" ref="AV77:AW77" si="1533">SUM(AV76/AV70)</f>
        <v>36.028919425359149</v>
      </c>
      <c r="AW77" s="3251">
        <f t="shared" si="1533"/>
        <v>17.71875</v>
      </c>
      <c r="AX77" s="3156">
        <f>SUM(AX76/AX70)</f>
        <v>36.841988476826401</v>
      </c>
      <c r="AY77" s="3156">
        <f t="shared" ref="AY77" si="1534">SUM(AY76/AY70)</f>
        <v>36.851385527292081</v>
      </c>
      <c r="AZ77" s="3156">
        <f t="shared" ref="AZ77" si="1535">SUM(AZ76/AZ70)</f>
        <v>17.407481617784892</v>
      </c>
      <c r="BA77" s="3156">
        <f>SUM(BA76/BA70)</f>
        <v>36.843746916103939</v>
      </c>
      <c r="BB77" s="3156">
        <f t="shared" ref="BB77" si="1536">SUM(BB76/BB70)</f>
        <v>36.85038870379185</v>
      </c>
      <c r="BC77" s="3156">
        <f t="shared" ref="BC77" si="1537">SUM(BC76/BC70)</f>
        <v>17.422680412371133</v>
      </c>
      <c r="BD77" s="3156">
        <f>SUM(BD76/BD70)</f>
        <v>36.022780163230507</v>
      </c>
      <c r="BE77" s="3156">
        <f t="shared" ref="BE77:BF77" si="1538">SUM(BE76/BE70)</f>
        <v>36.028656677268096</v>
      </c>
      <c r="BF77" s="3156">
        <f t="shared" si="1538"/>
        <v>18.099999999999998</v>
      </c>
      <c r="BG77" s="3156">
        <f>SUM(BG76/BG70)</f>
        <v>36.841988476826401</v>
      </c>
      <c r="BH77" s="3156">
        <f t="shared" ref="BH77" si="1539">SUM(BH76/BH70)</f>
        <v>36.851385527292081</v>
      </c>
      <c r="BI77" s="3156">
        <f t="shared" ref="BI77" si="1540">SUM(BI76/BI70)</f>
        <v>17.407481617784892</v>
      </c>
      <c r="BJ77" s="3156">
        <f>SUM(BJ76/BJ70)</f>
        <v>36.844391294627798</v>
      </c>
      <c r="BK77" s="3156">
        <f t="shared" ref="BK77" si="1541">SUM(BK76/BK70)</f>
        <v>36.84997976728831</v>
      </c>
      <c r="BL77" s="3156">
        <f t="shared" ref="BL77" si="1542">SUM(BL76/BL70)</f>
        <v>17.407407407407405</v>
      </c>
      <c r="BM77" s="3156">
        <f>SUM(BM76/BM70)</f>
        <v>36.024001477013975</v>
      </c>
      <c r="BN77" s="3156">
        <f t="shared" ref="BN77:BO77" si="1543">SUM(BN76/BN70)</f>
        <v>36.029271445720092</v>
      </c>
      <c r="BO77" s="3156">
        <f t="shared" si="1543"/>
        <v>17</v>
      </c>
      <c r="BP77" s="3157">
        <f t="shared" ref="BP77:CJ77" si="1544">SUM(BP76/BP70)</f>
        <v>36.841988476826401</v>
      </c>
      <c r="BQ77" s="3157">
        <f t="shared" si="1544"/>
        <v>36.851385527292074</v>
      </c>
      <c r="BR77" s="3157">
        <f t="shared" si="1544"/>
        <v>17.407481617784892</v>
      </c>
      <c r="BS77" s="3157">
        <f t="shared" si="1544"/>
        <v>36.843981271711222</v>
      </c>
      <c r="BT77" s="3157">
        <f t="shared" si="1544"/>
        <v>36.850150559528252</v>
      </c>
      <c r="BU77" s="3157">
        <f t="shared" si="1544"/>
        <v>17.399267399267398</v>
      </c>
      <c r="BV77" s="3157">
        <f t="shared" si="1544"/>
        <v>36.019103924930818</v>
      </c>
      <c r="BW77" s="3157">
        <f t="shared" si="1544"/>
        <v>36.028955456382612</v>
      </c>
      <c r="BX77" s="3157">
        <f t="shared" si="1544"/>
        <v>17.666666666666664</v>
      </c>
      <c r="BY77" s="3110">
        <f t="shared" ref="BY77" si="1545">SUM(BS77-BP77)</f>
        <v>1.9927948848206256E-3</v>
      </c>
      <c r="BZ77" s="3110">
        <f t="shared" ref="BZ77" si="1546">SUM(BT77-BQ77)</f>
        <v>-1.2349677638212597E-3</v>
      </c>
      <c r="CA77" s="3110">
        <f t="shared" ref="CA77" si="1547">SUM(BU77-BR77)</f>
        <v>-8.2142185174944871E-3</v>
      </c>
      <c r="CB77" s="3157">
        <f t="shared" si="1544"/>
        <v>36.841988476826401</v>
      </c>
      <c r="CC77" s="3157">
        <f t="shared" si="1544"/>
        <v>36.851385527292074</v>
      </c>
      <c r="CD77" s="3157">
        <f t="shared" si="1544"/>
        <v>17.407481617784892</v>
      </c>
      <c r="CE77" s="3157">
        <f t="shared" si="1544"/>
        <v>36.843782632948304</v>
      </c>
      <c r="CF77" s="3157">
        <f t="shared" si="1544"/>
        <v>36.849978668491218</v>
      </c>
      <c r="CG77" s="3157">
        <f t="shared" si="1544"/>
        <v>17.401433691756271</v>
      </c>
      <c r="CH77" s="3157">
        <f t="shared" si="1544"/>
        <v>36.019417166347111</v>
      </c>
      <c r="CI77" s="3157">
        <f t="shared" si="1544"/>
        <v>36.028593138921948</v>
      </c>
      <c r="CJ77" s="3157">
        <f t="shared" si="1544"/>
        <v>17.842105263157894</v>
      </c>
      <c r="CK77" s="3110">
        <f t="shared" ref="CK77" si="1548">SUM(CE77-CB77)</f>
        <v>1.7941561219032565E-3</v>
      </c>
      <c r="CL77" s="3110">
        <f t="shared" ref="CL77" si="1549">SUM(CF77-CC77)</f>
        <v>-1.4068588008555594E-3</v>
      </c>
      <c r="CM77" s="3110">
        <f t="shared" ref="CM77" si="1550">SUM(CG77-CD77)</f>
        <v>-6.0479260286214753E-3</v>
      </c>
      <c r="CN77" s="3156">
        <f>SUM(CN76/CN70)</f>
        <v>38.102254781460246</v>
      </c>
      <c r="CO77" s="3156">
        <f t="shared" ref="CO77:CP77" si="1551">SUM(CO76/CO70)</f>
        <v>38.112261200928735</v>
      </c>
      <c r="CP77" s="3156">
        <f t="shared" si="1551"/>
        <v>17.407481617784892</v>
      </c>
      <c r="CQ77" s="3156">
        <f>SUM(CQ76/CQ70)</f>
        <v>38.098892967514473</v>
      </c>
      <c r="CR77" s="3156">
        <f t="shared" ref="CR77:CS77" si="1552">SUM(CR76/CR70)</f>
        <v>38.105739819521702</v>
      </c>
      <c r="CS77" s="3156">
        <f t="shared" si="1552"/>
        <v>17.362637362637365</v>
      </c>
      <c r="CT77" s="3156">
        <f>SUM(CT76/CT70)</f>
        <v>36.851094530865069</v>
      </c>
      <c r="CU77" s="3156">
        <f t="shared" ref="CU77:CV77" si="1553">SUM(CU76/CU70)</f>
        <v>36.850248178265922</v>
      </c>
      <c r="CV77" s="3156">
        <f t="shared" si="1553"/>
        <v>40.285714285714278</v>
      </c>
      <c r="CW77" s="3156">
        <f>SUM(CW76/CW70)</f>
        <v>38.102254781460246</v>
      </c>
      <c r="CX77" s="3156">
        <f t="shared" ref="CX77:CY77" si="1554">SUM(CX76/CX70)</f>
        <v>38.112261200928735</v>
      </c>
      <c r="CY77" s="3156">
        <f t="shared" si="1554"/>
        <v>17.407481617784892</v>
      </c>
      <c r="CZ77" s="3156">
        <f>SUM(CZ76/CZ70)</f>
        <v>38.105591859836885</v>
      </c>
      <c r="DA77" s="3156">
        <f t="shared" ref="DA77:DB77" si="1555">SUM(DA76/DA70)</f>
        <v>38.111573624309173</v>
      </c>
      <c r="DB77" s="3156">
        <f t="shared" si="1555"/>
        <v>17.444444444444446</v>
      </c>
      <c r="DC77" s="3156">
        <f>SUM(DC76/DC70)</f>
        <v>36.848613928329954</v>
      </c>
      <c r="DD77" s="3156">
        <f t="shared" ref="DD77:DE77" si="1556">SUM(DD76/DD70)</f>
        <v>36.847800358435059</v>
      </c>
      <c r="DE77" s="3156">
        <f t="shared" si="1556"/>
        <v>40.285714285714278</v>
      </c>
      <c r="DF77" s="3156">
        <f>SUM(DF76/DF70)</f>
        <v>38.102254781460246</v>
      </c>
      <c r="DG77" s="3156">
        <f t="shared" ref="DG77:DH77" si="1557">SUM(DG76/DG70)</f>
        <v>38.112261200928735</v>
      </c>
      <c r="DH77" s="3156">
        <f t="shared" si="1557"/>
        <v>17.407481617784892</v>
      </c>
      <c r="DI77" s="3156">
        <f>SUM(DI76/DI70)</f>
        <v>38.104824970692853</v>
      </c>
      <c r="DJ77" s="3156">
        <f t="shared" ref="DJ77:DK77" si="1558">SUM(DJ76/DJ70)</f>
        <v>38.111015144619664</v>
      </c>
      <c r="DK77" s="3156">
        <f t="shared" si="1558"/>
        <v>17.400000000000002</v>
      </c>
      <c r="DL77" s="3156">
        <f>SUM(DL76/DL70)</f>
        <v>36.84707616707616</v>
      </c>
      <c r="DM77" s="3156">
        <f t="shared" ref="DM77:DN77" si="1559">SUM(DM76/DM70)</f>
        <v>36.846304834370464</v>
      </c>
      <c r="DN77" s="3156">
        <f t="shared" si="1559"/>
        <v>39.753086419753089</v>
      </c>
      <c r="DO77" s="3157">
        <f>SUM(DO76/DO70)</f>
        <v>38.102254781460246</v>
      </c>
      <c r="DP77" s="3157">
        <f t="shared" ref="DP77:DW77" si="1560">SUM(DP76/DP70)</f>
        <v>38.112261200928735</v>
      </c>
      <c r="DQ77" s="3157">
        <f t="shared" si="1560"/>
        <v>17.407481617784892</v>
      </c>
      <c r="DR77" s="3157">
        <f>SUM(DR76/DR70)</f>
        <v>38.103251423518614</v>
      </c>
      <c r="DS77" s="3157">
        <f t="shared" si="1560"/>
        <v>38.109572571758228</v>
      </c>
      <c r="DT77" s="3157">
        <f t="shared" si="1560"/>
        <v>17.402214022140221</v>
      </c>
      <c r="DU77" s="3157">
        <f>SUM(DU76/DU70)</f>
        <v>36.848879901490072</v>
      </c>
      <c r="DV77" s="3157">
        <f t="shared" si="1560"/>
        <v>36.848070384386347</v>
      </c>
      <c r="DW77" s="3157">
        <f t="shared" si="1560"/>
        <v>40.090497737556554</v>
      </c>
      <c r="DX77" s="3110">
        <f t="shared" ref="DX77" si="1561">SUM(DR77-DO77)</f>
        <v>9.9664205836802466E-4</v>
      </c>
      <c r="DY77" s="3110">
        <f t="shared" ref="DY77" si="1562">SUM(DS77-DP77)</f>
        <v>-2.6886291705068288E-3</v>
      </c>
      <c r="DZ77" s="3110">
        <f t="shared" ref="DZ77" si="1563">SUM(DT77-DQ77)</f>
        <v>-5.2675956446712746E-3</v>
      </c>
      <c r="EA77" s="3157">
        <f>SUM(EA76/EA70)</f>
        <v>37.262077245037688</v>
      </c>
      <c r="EB77" s="3157">
        <f t="shared" ref="EB77:EI77" si="1564">SUM(EB76/EB70)</f>
        <v>37.271677418504304</v>
      </c>
      <c r="EC77" s="3157">
        <f t="shared" si="1564"/>
        <v>17.407481617784889</v>
      </c>
      <c r="ED77" s="3157">
        <f>SUM(ED76/ED70)</f>
        <v>37.267429735826852</v>
      </c>
      <c r="EE77" s="3157">
        <f t="shared" si="1564"/>
        <v>37.273671603323947</v>
      </c>
      <c r="EF77" s="3157">
        <f t="shared" si="1564"/>
        <v>17.401688781664657</v>
      </c>
      <c r="EG77" s="3157">
        <f>SUM(EG76/EG70)</f>
        <v>36.28466868492734</v>
      </c>
      <c r="EH77" s="3157">
        <f t="shared" si="1564"/>
        <v>36.290696880142278</v>
      </c>
      <c r="EI77" s="3157">
        <f t="shared" si="1564"/>
        <v>22.040990606319383</v>
      </c>
      <c r="EJ77" s="3110">
        <f t="shared" si="1313"/>
        <v>5.3524907891642215E-3</v>
      </c>
      <c r="EK77" s="3110">
        <f t="shared" si="1314"/>
        <v>1.9941848196438627E-3</v>
      </c>
      <c r="EL77" s="3110">
        <f t="shared" si="1315"/>
        <v>-5.792836120232181E-3</v>
      </c>
      <c r="EM77" s="3156">
        <f>SUM(EM76/EM70)</f>
        <v>38.102254781460246</v>
      </c>
      <c r="EN77" s="3156">
        <f t="shared" ref="EN77:EO77" si="1565">SUM(EN76/EN70)</f>
        <v>38.112261200928735</v>
      </c>
      <c r="EO77" s="3156">
        <f t="shared" si="1565"/>
        <v>17.407481617784892</v>
      </c>
      <c r="EP77" s="3156" t="e">
        <f>SUM(EP76/EP70)</f>
        <v>#DIV/0!</v>
      </c>
      <c r="EQ77" s="3156" t="e">
        <f t="shared" ref="EQ77:ER77" si="1566">SUM(EQ76/EQ70)</f>
        <v>#DIV/0!</v>
      </c>
      <c r="ER77" s="3156" t="e">
        <f t="shared" si="1566"/>
        <v>#DIV/0!</v>
      </c>
      <c r="ES77" s="3156">
        <f>SUM(ES76/ES70)</f>
        <v>36.848094296820072</v>
      </c>
      <c r="ET77" s="3156">
        <f t="shared" ref="ET77:EU77" si="1567">SUM(ET76/ET70)</f>
        <v>36.847324141774706</v>
      </c>
      <c r="EU77" s="3156">
        <f t="shared" si="1567"/>
        <v>39.75</v>
      </c>
      <c r="EV77" s="3156">
        <f>SUM(EV76/EV70)</f>
        <v>38.102254781460246</v>
      </c>
      <c r="EW77" s="3156">
        <f t="shared" ref="EW77:EX77" si="1568">SUM(EW76/EW70)</f>
        <v>38.112261200928735</v>
      </c>
      <c r="EX77" s="3156">
        <f t="shared" si="1568"/>
        <v>17.407481617784892</v>
      </c>
      <c r="EY77" s="3156" t="e">
        <f>SUM(EY76/EY70)</f>
        <v>#DIV/0!</v>
      </c>
      <c r="EZ77" s="3156" t="e">
        <f t="shared" ref="EZ77:FA77" si="1569">SUM(EZ76/EZ70)</f>
        <v>#DIV/0!</v>
      </c>
      <c r="FA77" s="3156" t="e">
        <f t="shared" si="1569"/>
        <v>#DIV/0!</v>
      </c>
      <c r="FB77" s="3156">
        <f>SUM(FB76/FB70)</f>
        <v>36.849951074670187</v>
      </c>
      <c r="FC77" s="3156">
        <f t="shared" ref="FC77:FD77" si="1570">SUM(FC76/FC70)</f>
        <v>36.848898039083338</v>
      </c>
      <c r="FD77" s="3156">
        <f t="shared" si="1570"/>
        <v>40.75</v>
      </c>
      <c r="FE77" s="3156">
        <f>SUM(FE76/FE70)</f>
        <v>38.102254781460246</v>
      </c>
      <c r="FF77" s="3156">
        <f t="shared" ref="FF77:FG77" si="1571">SUM(FF76/FF70)</f>
        <v>38.112261200928735</v>
      </c>
      <c r="FG77" s="3156">
        <f t="shared" si="1571"/>
        <v>17.407481617784892</v>
      </c>
      <c r="FH77" s="3156" t="e">
        <f>SUM(FH76/FH70)</f>
        <v>#DIV/0!</v>
      </c>
      <c r="FI77" s="3156" t="e">
        <f t="shared" ref="FI77:FJ77" si="1572">SUM(FI76/FI70)</f>
        <v>#DIV/0!</v>
      </c>
      <c r="FJ77" s="3156" t="e">
        <f t="shared" si="1572"/>
        <v>#DIV/0!</v>
      </c>
      <c r="FK77" s="3156">
        <f>SUM(FK76/FK70)</f>
        <v>36.854139022149639</v>
      </c>
      <c r="FL77" s="3156">
        <f t="shared" ref="FL77:FM77" si="1573">SUM(FL76/FL70)</f>
        <v>36.854139022149639</v>
      </c>
      <c r="FM77" s="3156" t="e">
        <f t="shared" si="1573"/>
        <v>#DIV/0!</v>
      </c>
      <c r="FN77" s="3157">
        <f>SUM(FN76/FN70)</f>
        <v>38.102254781460246</v>
      </c>
      <c r="FO77" s="3157">
        <f t="shared" ref="FO77:FV77" si="1574">SUM(FO76/FO70)</f>
        <v>38.112261200928735</v>
      </c>
      <c r="FP77" s="3157">
        <f t="shared" si="1574"/>
        <v>17.407481617784892</v>
      </c>
      <c r="FQ77" s="3157" t="e">
        <f>SUM(FQ76/FQ70)</f>
        <v>#DIV/0!</v>
      </c>
      <c r="FR77" s="3157" t="e">
        <f t="shared" si="1574"/>
        <v>#DIV/0!</v>
      </c>
      <c r="FS77" s="3157" t="e">
        <f t="shared" si="1574"/>
        <v>#DIV/0!</v>
      </c>
      <c r="FT77" s="3157">
        <f>SUM(FT76/FT70)</f>
        <v>36.850703524124356</v>
      </c>
      <c r="FU77" s="3157">
        <f t="shared" si="1574"/>
        <v>36.850093535927215</v>
      </c>
      <c r="FV77" s="3157">
        <f t="shared" si="1574"/>
        <v>40.249999999999993</v>
      </c>
      <c r="FW77" s="3110" t="e">
        <f t="shared" si="1334"/>
        <v>#DIV/0!</v>
      </c>
      <c r="FX77" s="3110" t="e">
        <f t="shared" si="1335"/>
        <v>#DIV/0!</v>
      </c>
      <c r="FY77" s="3110" t="e">
        <f t="shared" si="1336"/>
        <v>#DIV/0!</v>
      </c>
      <c r="FZ77" s="3157">
        <f>SUM(FZ76/FZ70)</f>
        <v>37.472121629143324</v>
      </c>
      <c r="GA77" s="3157">
        <f t="shared" ref="GA77:GH77" si="1575">SUM(GA76/GA70)</f>
        <v>37.481823364110404</v>
      </c>
      <c r="GB77" s="3157">
        <f t="shared" si="1575"/>
        <v>17.407481617784892</v>
      </c>
      <c r="GC77" s="3157">
        <f>SUM(GC76/GC70)</f>
        <v>37.267429735826852</v>
      </c>
      <c r="GD77" s="3157">
        <f t="shared" si="1575"/>
        <v>37.273671603323947</v>
      </c>
      <c r="GE77" s="3157">
        <f t="shared" si="1575"/>
        <v>17.401688781664657</v>
      </c>
      <c r="GF77" s="3157">
        <f>SUM(GF76/GF70)</f>
        <v>36.422594222286342</v>
      </c>
      <c r="GG77" s="3157">
        <f t="shared" si="1575"/>
        <v>36.427030018928392</v>
      </c>
      <c r="GH77" s="3157">
        <f t="shared" si="1575"/>
        <v>24.229902329075884</v>
      </c>
      <c r="GI77" s="3235">
        <f t="shared" si="612"/>
        <v>-0.20469189331647186</v>
      </c>
      <c r="GJ77" s="3235">
        <f t="shared" si="1346"/>
        <v>-0.20815176078645692</v>
      </c>
      <c r="GK77" s="3235">
        <f t="shared" si="1347"/>
        <v>-5.7928361202357337E-3</v>
      </c>
      <c r="GL77" s="3159"/>
      <c r="GM77" s="585"/>
    </row>
    <row r="78" spans="1:195" ht="18.75" x14ac:dyDescent="0.3">
      <c r="A78" s="3080" t="s">
        <v>3610</v>
      </c>
      <c r="B78" s="3735">
        <f>SUM(B79:B81)</f>
        <v>0</v>
      </c>
      <c r="C78" s="3736"/>
      <c r="D78" s="3737"/>
      <c r="E78" s="3668">
        <f>SUM(E79:E81)</f>
        <v>76.010000000000005</v>
      </c>
      <c r="F78" s="3669"/>
      <c r="G78" s="3670"/>
      <c r="H78" s="3668">
        <f>SUM(H79:H81)</f>
        <v>0</v>
      </c>
      <c r="I78" s="3669"/>
      <c r="J78" s="3670"/>
      <c r="K78" s="3735">
        <f>SUM(K79:K81)</f>
        <v>0</v>
      </c>
      <c r="L78" s="3736"/>
      <c r="M78" s="3737"/>
      <c r="N78" s="3668">
        <f>SUM(N79:N81)</f>
        <v>162.63</v>
      </c>
      <c r="O78" s="3669"/>
      <c r="P78" s="3670"/>
      <c r="Q78" s="3735">
        <f>SUM(Q79:Q81)</f>
        <v>0</v>
      </c>
      <c r="R78" s="3736"/>
      <c r="S78" s="3737"/>
      <c r="T78" s="3735">
        <f>SUM(T79:T81)</f>
        <v>0</v>
      </c>
      <c r="U78" s="3736"/>
      <c r="V78" s="3737"/>
      <c r="W78" s="3668">
        <f>SUM(W79:W81)</f>
        <v>166.96</v>
      </c>
      <c r="X78" s="3669"/>
      <c r="Y78" s="3670"/>
      <c r="Z78" s="3668">
        <f>SUM(Z79:Z81)</f>
        <v>0</v>
      </c>
      <c r="AA78" s="3669"/>
      <c r="AB78" s="3670"/>
      <c r="AC78" s="3749">
        <f>SUM(AC79:AC81)</f>
        <v>0</v>
      </c>
      <c r="AD78" s="3750"/>
      <c r="AE78" s="3751"/>
      <c r="AF78" s="3671">
        <f>SUM(AF79:AF81)</f>
        <v>405.6</v>
      </c>
      <c r="AG78" s="3672"/>
      <c r="AH78" s="3673"/>
      <c r="AI78" s="3671">
        <f>SUM(AI79:AI81)</f>
        <v>0</v>
      </c>
      <c r="AJ78" s="3672"/>
      <c r="AK78" s="3673"/>
      <c r="AL78" s="3671">
        <f>SUM(AF78-AC78)</f>
        <v>405.6</v>
      </c>
      <c r="AM78" s="3672"/>
      <c r="AN78" s="3673"/>
      <c r="AO78" s="3735">
        <f>SUM(AO79:AO81)</f>
        <v>0</v>
      </c>
      <c r="AP78" s="3736"/>
      <c r="AQ78" s="3737"/>
      <c r="AR78" s="3735">
        <f>SUM(AR79:AR81)</f>
        <v>77.460000000000008</v>
      </c>
      <c r="AS78" s="3736"/>
      <c r="AT78" s="3737"/>
      <c r="AU78" s="3735">
        <f>SUM(AU79:AU81)</f>
        <v>0</v>
      </c>
      <c r="AV78" s="3736"/>
      <c r="AW78" s="3737"/>
      <c r="AX78" s="3735">
        <f>SUM(AX79:AX81)</f>
        <v>0</v>
      </c>
      <c r="AY78" s="3736"/>
      <c r="AZ78" s="3737"/>
      <c r="BA78" s="3668">
        <f>SUM(BA79:BA81)</f>
        <v>24.96</v>
      </c>
      <c r="BB78" s="3669"/>
      <c r="BC78" s="3670"/>
      <c r="BD78" s="3735">
        <f>SUM(BD79:BD81)</f>
        <v>0</v>
      </c>
      <c r="BE78" s="3736"/>
      <c r="BF78" s="3737"/>
      <c r="BG78" s="3735">
        <f>SUM(BG79:BG81)</f>
        <v>0</v>
      </c>
      <c r="BH78" s="3736"/>
      <c r="BI78" s="3737"/>
      <c r="BJ78" s="3668">
        <f>SUM(BJ79:BJ81)</f>
        <v>54.82</v>
      </c>
      <c r="BK78" s="3669"/>
      <c r="BL78" s="3670"/>
      <c r="BM78" s="3668">
        <f>SUM(BM79:BM81)</f>
        <v>0</v>
      </c>
      <c r="BN78" s="3669"/>
      <c r="BO78" s="3670"/>
      <c r="BP78" s="3749">
        <f>SUM(BP79:BP81)</f>
        <v>0</v>
      </c>
      <c r="BQ78" s="3750"/>
      <c r="BR78" s="3751"/>
      <c r="BS78" s="3671">
        <f>SUM(BS79:BS81)</f>
        <v>157.24</v>
      </c>
      <c r="BT78" s="3672"/>
      <c r="BU78" s="3673"/>
      <c r="BV78" s="3671">
        <f>SUM(BV79:BV81)</f>
        <v>0</v>
      </c>
      <c r="BW78" s="3672"/>
      <c r="BX78" s="3673"/>
      <c r="BY78" s="3671">
        <f>SUM(BS78-BP78)</f>
        <v>157.24</v>
      </c>
      <c r="BZ78" s="3672"/>
      <c r="CA78" s="3673"/>
      <c r="CB78" s="3749">
        <f>SUM(CB79:CB81)</f>
        <v>0</v>
      </c>
      <c r="CC78" s="3750"/>
      <c r="CD78" s="3751"/>
      <c r="CE78" s="3671">
        <f>SUM(CE79:CE81)</f>
        <v>562.84</v>
      </c>
      <c r="CF78" s="3672"/>
      <c r="CG78" s="3673"/>
      <c r="CH78" s="3671">
        <f>SUM(CH79:CH81)</f>
        <v>0</v>
      </c>
      <c r="CI78" s="3672"/>
      <c r="CJ78" s="3673"/>
      <c r="CK78" s="3671">
        <f>SUM(CE78-CB78)</f>
        <v>562.84</v>
      </c>
      <c r="CL78" s="3672"/>
      <c r="CM78" s="3673"/>
      <c r="CN78" s="3735">
        <f>SUM(CN79:CN81)</f>
        <v>0</v>
      </c>
      <c r="CO78" s="3736"/>
      <c r="CP78" s="3737"/>
      <c r="CQ78" s="3668">
        <f>SUM(CQ79:CQ81)</f>
        <v>81.3</v>
      </c>
      <c r="CR78" s="3669"/>
      <c r="CS78" s="3670"/>
      <c r="CT78" s="3668">
        <f>SUM(CT79:CT81)</f>
        <v>0</v>
      </c>
      <c r="CU78" s="3669"/>
      <c r="CV78" s="3670"/>
      <c r="CW78" s="3735">
        <f>SUM(CW79:CW81)</f>
        <v>0</v>
      </c>
      <c r="CX78" s="3736"/>
      <c r="CY78" s="3737"/>
      <c r="CZ78" s="3668">
        <f>SUM(CZ79:CZ81)</f>
        <v>52.53</v>
      </c>
      <c r="DA78" s="3669"/>
      <c r="DB78" s="3670"/>
      <c r="DC78" s="3735">
        <f>SUM(DC79:DC81)</f>
        <v>0</v>
      </c>
      <c r="DD78" s="3736"/>
      <c r="DE78" s="3737"/>
      <c r="DF78" s="3735">
        <f>SUM(DF79:DF81)</f>
        <v>0</v>
      </c>
      <c r="DG78" s="3736"/>
      <c r="DH78" s="3737"/>
      <c r="DI78" s="3668">
        <f>SUM(DI79:DI81)</f>
        <v>13.54</v>
      </c>
      <c r="DJ78" s="3669"/>
      <c r="DK78" s="3670"/>
      <c r="DL78" s="3668">
        <f>SUM(DL79:DL81)</f>
        <v>0</v>
      </c>
      <c r="DM78" s="3669"/>
      <c r="DN78" s="3670"/>
      <c r="DO78" s="3749">
        <f>SUM(DO79:DO81)</f>
        <v>0</v>
      </c>
      <c r="DP78" s="3750"/>
      <c r="DQ78" s="3751"/>
      <c r="DR78" s="3671">
        <f>SUM(DR79:DR81)</f>
        <v>147.36999999999998</v>
      </c>
      <c r="DS78" s="3672"/>
      <c r="DT78" s="3673"/>
      <c r="DU78" s="3671">
        <f>SUM(DU79:DU81)</f>
        <v>0</v>
      </c>
      <c r="DV78" s="3672"/>
      <c r="DW78" s="3673"/>
      <c r="DX78" s="3671">
        <f>SUM(DR78-DO78)</f>
        <v>147.36999999999998</v>
      </c>
      <c r="DY78" s="3672"/>
      <c r="DZ78" s="3673"/>
      <c r="EA78" s="3749">
        <f>SUM(EA79:EA81)</f>
        <v>0</v>
      </c>
      <c r="EB78" s="3750"/>
      <c r="EC78" s="3751"/>
      <c r="ED78" s="3671">
        <f>SUM(ED79:ED81)</f>
        <v>710.21</v>
      </c>
      <c r="EE78" s="3672"/>
      <c r="EF78" s="3673"/>
      <c r="EG78" s="3671">
        <f>SUM(EG79:EG81)</f>
        <v>0</v>
      </c>
      <c r="EH78" s="3672"/>
      <c r="EI78" s="3673"/>
      <c r="EJ78" s="3671">
        <f>SUM(ED78-EA78)</f>
        <v>710.21</v>
      </c>
      <c r="EK78" s="3672"/>
      <c r="EL78" s="3673"/>
      <c r="EM78" s="3735">
        <f>SUM(EM79:EM81)</f>
        <v>42.820999999999998</v>
      </c>
      <c r="EN78" s="3736"/>
      <c r="EO78" s="3737"/>
      <c r="EP78" s="3668">
        <f>SUM(EP79:EP81)</f>
        <v>0</v>
      </c>
      <c r="EQ78" s="3669"/>
      <c r="ER78" s="3670"/>
      <c r="ES78" s="3668">
        <f>SUM(ES79:ES81)</f>
        <v>0</v>
      </c>
      <c r="ET78" s="3669"/>
      <c r="EU78" s="3670"/>
      <c r="EV78" s="3735">
        <f>SUM(EV79:EV81)</f>
        <v>42.820999999999998</v>
      </c>
      <c r="EW78" s="3736"/>
      <c r="EX78" s="3737"/>
      <c r="EY78" s="3668">
        <f>SUM(EY79:EY81)</f>
        <v>0</v>
      </c>
      <c r="EZ78" s="3669"/>
      <c r="FA78" s="3670"/>
      <c r="FB78" s="3735">
        <f>SUM(FB79:FB81)</f>
        <v>0</v>
      </c>
      <c r="FC78" s="3736"/>
      <c r="FD78" s="3737"/>
      <c r="FE78" s="3735">
        <f>SUM(FE79:FE81)</f>
        <v>42.820999999999998</v>
      </c>
      <c r="FF78" s="3736"/>
      <c r="FG78" s="3737"/>
      <c r="FH78" s="3668">
        <f>SUM(FH79:FH81)</f>
        <v>0</v>
      </c>
      <c r="FI78" s="3669"/>
      <c r="FJ78" s="3670"/>
      <c r="FK78" s="3668">
        <f>SUM(FK79:FK81)</f>
        <v>0</v>
      </c>
      <c r="FL78" s="3669"/>
      <c r="FM78" s="3670"/>
      <c r="FN78" s="3749">
        <f>SUM(FN79:FN81)</f>
        <v>128.46299999999999</v>
      </c>
      <c r="FO78" s="3750"/>
      <c r="FP78" s="3751"/>
      <c r="FQ78" s="3671">
        <f>SUM(FQ79:FQ81)</f>
        <v>0</v>
      </c>
      <c r="FR78" s="3672"/>
      <c r="FS78" s="3673"/>
      <c r="FT78" s="3671">
        <f>SUM(FT79:FT81)</f>
        <v>0</v>
      </c>
      <c r="FU78" s="3672"/>
      <c r="FV78" s="3673"/>
      <c r="FW78" s="3671">
        <f>SUM(FQ78-FN78)</f>
        <v>-128.46299999999999</v>
      </c>
      <c r="FX78" s="3672"/>
      <c r="FY78" s="3673"/>
      <c r="FZ78" s="3749">
        <f>SUM(FZ79:FZ81)</f>
        <v>128.46299999999999</v>
      </c>
      <c r="GA78" s="3750"/>
      <c r="GB78" s="3751"/>
      <c r="GC78" s="3671">
        <f>SUM(GC79:GC81)</f>
        <v>710.21</v>
      </c>
      <c r="GD78" s="3672"/>
      <c r="GE78" s="3673"/>
      <c r="GF78" s="3671">
        <f>SUM(GF79:GF81)</f>
        <v>0</v>
      </c>
      <c r="GG78" s="3672"/>
      <c r="GH78" s="3673"/>
      <c r="GI78" s="3671">
        <f>SUM(GC78-FZ78)</f>
        <v>581.74700000000007</v>
      </c>
      <c r="GJ78" s="3672"/>
      <c r="GK78" s="3673"/>
      <c r="GL78" s="3159"/>
      <c r="GM78" s="585"/>
    </row>
    <row r="79" spans="1:195" ht="36" customHeight="1" x14ac:dyDescent="0.3">
      <c r="A79" s="3471" t="s">
        <v>3749</v>
      </c>
      <c r="B79" s="3689">
        <f>SUM('ПОЛНАЯ СЕБЕСТОИМОСТЬ ВОДА 2019'!B218:D218/3)</f>
        <v>0</v>
      </c>
      <c r="C79" s="3690"/>
      <c r="D79" s="3691"/>
      <c r="E79" s="3634">
        <f>SUM('ПОЛНАЯ СЕБЕСТОИМОСТЬ ВОДА 2019'!E218:G218)</f>
        <v>0</v>
      </c>
      <c r="F79" s="3635"/>
      <c r="G79" s="3636"/>
      <c r="H79" s="3634">
        <v>0</v>
      </c>
      <c r="I79" s="3635"/>
      <c r="J79" s="3636"/>
      <c r="K79" s="3689">
        <f>SUM(B79)</f>
        <v>0</v>
      </c>
      <c r="L79" s="3690"/>
      <c r="M79" s="3691"/>
      <c r="N79" s="3634">
        <f>SUM('ПОЛНАЯ СЕБЕСТОИМОСТЬ ВОДА 2019'!H218:J218)</f>
        <v>0</v>
      </c>
      <c r="O79" s="3635"/>
      <c r="P79" s="3636"/>
      <c r="Q79" s="3689">
        <v>0</v>
      </c>
      <c r="R79" s="3690"/>
      <c r="S79" s="3691"/>
      <c r="T79" s="3689">
        <f>SUM(K79)</f>
        <v>0</v>
      </c>
      <c r="U79" s="3690"/>
      <c r="V79" s="3691"/>
      <c r="W79" s="3634">
        <f>SUM('ПОЛНАЯ СЕБЕСТОИМОСТЬ ВОДА 2019'!K218:M218)</f>
        <v>0</v>
      </c>
      <c r="X79" s="3635"/>
      <c r="Y79" s="3636"/>
      <c r="Z79" s="3634">
        <v>0</v>
      </c>
      <c r="AA79" s="3635"/>
      <c r="AB79" s="3636"/>
      <c r="AC79" s="3686">
        <f>SUM(B79+K79+T79)</f>
        <v>0</v>
      </c>
      <c r="AD79" s="3687"/>
      <c r="AE79" s="3688"/>
      <c r="AF79" s="3686">
        <f>SUM(E79+N79+W79)</f>
        <v>0</v>
      </c>
      <c r="AG79" s="3687"/>
      <c r="AH79" s="3688"/>
      <c r="AI79" s="3686">
        <f>SUM(H79+Q79+Z79)</f>
        <v>0</v>
      </c>
      <c r="AJ79" s="3687"/>
      <c r="AK79" s="3688"/>
      <c r="AL79" s="3738">
        <f>SUM(AF79-AC79)</f>
        <v>0</v>
      </c>
      <c r="AM79" s="3739"/>
      <c r="AN79" s="3740"/>
      <c r="AO79" s="3689">
        <f>SUM(T79)</f>
        <v>0</v>
      </c>
      <c r="AP79" s="3690"/>
      <c r="AQ79" s="3691"/>
      <c r="AR79" s="3689">
        <f>SUM('ПОЛНАЯ СЕБЕСТОИМОСТЬ ВОДА 2019'!T218:V218)</f>
        <v>0</v>
      </c>
      <c r="AS79" s="3690"/>
      <c r="AT79" s="3691"/>
      <c r="AU79" s="3689">
        <v>0</v>
      </c>
      <c r="AV79" s="3690"/>
      <c r="AW79" s="3691"/>
      <c r="AX79" s="3689">
        <f>SUM(AO79)</f>
        <v>0</v>
      </c>
      <c r="AY79" s="3690"/>
      <c r="AZ79" s="3691"/>
      <c r="BA79" s="3634">
        <f>SUM('ПОЛНАЯ СЕБЕСТОИМОСТЬ ВОДА 2019'!W218:Y218)</f>
        <v>0</v>
      </c>
      <c r="BB79" s="3635"/>
      <c r="BC79" s="3636"/>
      <c r="BD79" s="3689">
        <v>0</v>
      </c>
      <c r="BE79" s="3690"/>
      <c r="BF79" s="3691"/>
      <c r="BG79" s="3689">
        <f>SUM(AX79)</f>
        <v>0</v>
      </c>
      <c r="BH79" s="3690"/>
      <c r="BI79" s="3691"/>
      <c r="BJ79" s="3634">
        <f>SUM('ПОЛНАЯ СЕБЕСТОИМОСТЬ ВОДА 2019'!Z218:AB218)</f>
        <v>0</v>
      </c>
      <c r="BK79" s="3635"/>
      <c r="BL79" s="3636"/>
      <c r="BM79" s="3634">
        <v>0</v>
      </c>
      <c r="BN79" s="3635"/>
      <c r="BO79" s="3636"/>
      <c r="BP79" s="3686">
        <f>SUM(AO79+AX79+BG79)</f>
        <v>0</v>
      </c>
      <c r="BQ79" s="3687"/>
      <c r="BR79" s="3688"/>
      <c r="BS79" s="3686">
        <f>SUM(AR79+BA79+BJ79)</f>
        <v>0</v>
      </c>
      <c r="BT79" s="3687"/>
      <c r="BU79" s="3688"/>
      <c r="BV79" s="3686">
        <f>SUM(AU79+BD79+BM79)</f>
        <v>0</v>
      </c>
      <c r="BW79" s="3687"/>
      <c r="BX79" s="3688"/>
      <c r="BY79" s="3738">
        <f>SUM(BS79-BP79)</f>
        <v>0</v>
      </c>
      <c r="BZ79" s="3739"/>
      <c r="CA79" s="3740"/>
      <c r="CB79" s="3686">
        <f>SUM(AC79+BP79)</f>
        <v>0</v>
      </c>
      <c r="CC79" s="3687"/>
      <c r="CD79" s="3688"/>
      <c r="CE79" s="3686">
        <f>SUM(AF79+BS79)</f>
        <v>0</v>
      </c>
      <c r="CF79" s="3687"/>
      <c r="CG79" s="3688"/>
      <c r="CH79" s="3686">
        <f>SUM(AI79+BV79)</f>
        <v>0</v>
      </c>
      <c r="CI79" s="3687"/>
      <c r="CJ79" s="3688"/>
      <c r="CK79" s="3738">
        <f>SUM(CE79-CB79)</f>
        <v>0</v>
      </c>
      <c r="CL79" s="3739"/>
      <c r="CM79" s="3740"/>
      <c r="CN79" s="3689">
        <f>SUM(BG79)</f>
        <v>0</v>
      </c>
      <c r="CO79" s="3690"/>
      <c r="CP79" s="3691"/>
      <c r="CQ79" s="3634">
        <f>SUM('ПОЛНАЯ СЕБЕСТОИМОСТЬ ВОДА 2019'!AR218:AT218)</f>
        <v>0</v>
      </c>
      <c r="CR79" s="3635"/>
      <c r="CS79" s="3636"/>
      <c r="CT79" s="3634">
        <v>0</v>
      </c>
      <c r="CU79" s="3635"/>
      <c r="CV79" s="3636"/>
      <c r="CW79" s="3689">
        <f>SUM(CN79)</f>
        <v>0</v>
      </c>
      <c r="CX79" s="3690"/>
      <c r="CY79" s="3691"/>
      <c r="CZ79" s="3634">
        <f>SUM('ПОЛНАЯ СЕБЕСТОИМОСТЬ ВОДА 2019'!AU218:AW218)</f>
        <v>0</v>
      </c>
      <c r="DA79" s="3635"/>
      <c r="DB79" s="3636"/>
      <c r="DC79" s="3689">
        <v>0</v>
      </c>
      <c r="DD79" s="3690"/>
      <c r="DE79" s="3691"/>
      <c r="DF79" s="3689">
        <f>SUM(CW79)</f>
        <v>0</v>
      </c>
      <c r="DG79" s="3690"/>
      <c r="DH79" s="3691"/>
      <c r="DI79" s="3634">
        <f>SUM('ПОЛНАЯ СЕБЕСТОИМОСТЬ ВОДА 2019'!AX218:AZ218)</f>
        <v>0</v>
      </c>
      <c r="DJ79" s="3635"/>
      <c r="DK79" s="3636"/>
      <c r="DL79" s="3634">
        <v>0</v>
      </c>
      <c r="DM79" s="3635"/>
      <c r="DN79" s="3636"/>
      <c r="DO79" s="3686">
        <f>SUM(CN79+CW79+DF79)</f>
        <v>0</v>
      </c>
      <c r="DP79" s="3687"/>
      <c r="DQ79" s="3688"/>
      <c r="DR79" s="3686">
        <f>SUM(CQ79+CZ79+DI79)</f>
        <v>0</v>
      </c>
      <c r="DS79" s="3687"/>
      <c r="DT79" s="3688"/>
      <c r="DU79" s="3686">
        <f>SUM(CT79+DC79+DL79)</f>
        <v>0</v>
      </c>
      <c r="DV79" s="3687"/>
      <c r="DW79" s="3688"/>
      <c r="DX79" s="3738">
        <f>SUM(DR79-DO79)</f>
        <v>0</v>
      </c>
      <c r="DY79" s="3739"/>
      <c r="DZ79" s="3740"/>
      <c r="EA79" s="3686">
        <f>SUM(CB79+DO79)</f>
        <v>0</v>
      </c>
      <c r="EB79" s="3687"/>
      <c r="EC79" s="3688"/>
      <c r="ED79" s="3686">
        <f>SUM(CE79+DR79)</f>
        <v>0</v>
      </c>
      <c r="EE79" s="3687"/>
      <c r="EF79" s="3688"/>
      <c r="EG79" s="3686">
        <f>SUM(CH79+DU79)</f>
        <v>0</v>
      </c>
      <c r="EH79" s="3687"/>
      <c r="EI79" s="3688"/>
      <c r="EJ79" s="3738">
        <f>SUM(ED79-EA79)</f>
        <v>0</v>
      </c>
      <c r="EK79" s="3739"/>
      <c r="EL79" s="3740"/>
      <c r="EM79" s="3634">
        <f>SUM('ПОЛНАЯ СЕБЕСТОИМОСТЬ ВОДА 2019'!BM218:BO218)/3</f>
        <v>42.820999999999998</v>
      </c>
      <c r="EN79" s="3635"/>
      <c r="EO79" s="3636"/>
      <c r="EP79" s="3634">
        <f>SUM('ПОЛНАЯ СЕБЕСТОИМОСТЬ ВОДА 2019'!BP218:BR218)</f>
        <v>0</v>
      </c>
      <c r="EQ79" s="3635"/>
      <c r="ER79" s="3636"/>
      <c r="ES79" s="3634">
        <v>0</v>
      </c>
      <c r="ET79" s="3635"/>
      <c r="EU79" s="3636"/>
      <c r="EV79" s="3689">
        <f>SUM(EM79)</f>
        <v>42.820999999999998</v>
      </c>
      <c r="EW79" s="3690"/>
      <c r="EX79" s="3691"/>
      <c r="EY79" s="3634">
        <f>SUM('ПОЛНАЯ СЕБЕСТОИМОСТЬ ВОДА 2019'!BS218:BU218)</f>
        <v>0</v>
      </c>
      <c r="EZ79" s="3635"/>
      <c r="FA79" s="3636"/>
      <c r="FB79" s="3689">
        <v>0</v>
      </c>
      <c r="FC79" s="3690"/>
      <c r="FD79" s="3691"/>
      <c r="FE79" s="3689">
        <f>SUM(EV79)</f>
        <v>42.820999999999998</v>
      </c>
      <c r="FF79" s="3690"/>
      <c r="FG79" s="3691"/>
      <c r="FH79" s="3634">
        <f>SUM('ПОЛНАЯ СЕБЕСТОИМОСТЬ ВОДА 2019'!BV218:BX218)</f>
        <v>0</v>
      </c>
      <c r="FI79" s="3635"/>
      <c r="FJ79" s="3636"/>
      <c r="FK79" s="3634">
        <v>0</v>
      </c>
      <c r="FL79" s="3635"/>
      <c r="FM79" s="3636"/>
      <c r="FN79" s="3686">
        <f>SUM(EM79+EV79+FE79)</f>
        <v>128.46299999999999</v>
      </c>
      <c r="FO79" s="3687"/>
      <c r="FP79" s="3688"/>
      <c r="FQ79" s="3686">
        <f>SUM(EP79+EY79+FH79)</f>
        <v>0</v>
      </c>
      <c r="FR79" s="3687"/>
      <c r="FS79" s="3688"/>
      <c r="FT79" s="3686">
        <f>SUM(ES79+FB79+FK79)</f>
        <v>0</v>
      </c>
      <c r="FU79" s="3687"/>
      <c r="FV79" s="3688"/>
      <c r="FW79" s="3738">
        <f>SUM(FQ79-FN79)</f>
        <v>-128.46299999999999</v>
      </c>
      <c r="FX79" s="3739"/>
      <c r="FY79" s="3740"/>
      <c r="FZ79" s="3686">
        <f>SUM(EA79+FN79)</f>
        <v>128.46299999999999</v>
      </c>
      <c r="GA79" s="3687"/>
      <c r="GB79" s="3688"/>
      <c r="GC79" s="3686">
        <f>SUM(ED79+FQ79)</f>
        <v>0</v>
      </c>
      <c r="GD79" s="3687"/>
      <c r="GE79" s="3688"/>
      <c r="GF79" s="3686">
        <f>SUM(EG79+FT79)</f>
        <v>0</v>
      </c>
      <c r="GG79" s="3687"/>
      <c r="GH79" s="3688"/>
      <c r="GI79" s="3738">
        <f>SUM(GC79-FZ79)</f>
        <v>-128.46299999999999</v>
      </c>
      <c r="GJ79" s="3739"/>
      <c r="GK79" s="3740"/>
      <c r="GL79" s="3159"/>
      <c r="GM79" s="585"/>
    </row>
    <row r="80" spans="1:195" ht="35.25" customHeight="1" x14ac:dyDescent="0.3">
      <c r="A80" s="3081" t="s">
        <v>3611</v>
      </c>
      <c r="B80" s="3689">
        <f>SUM('ПОЛНАЯ СЕБЕСТОИМОСТЬ ВОДА 2019'!B219:D219/3)</f>
        <v>0</v>
      </c>
      <c r="C80" s="3690"/>
      <c r="D80" s="3691"/>
      <c r="E80" s="3634">
        <f>SUM('ПОЛНАЯ СЕБЕСТОИМОСТЬ ВОДА 2019'!E219:G219)</f>
        <v>0</v>
      </c>
      <c r="F80" s="3635"/>
      <c r="G80" s="3636"/>
      <c r="H80" s="3634">
        <v>0</v>
      </c>
      <c r="I80" s="3635"/>
      <c r="J80" s="3636"/>
      <c r="K80" s="3689">
        <f>SUM(B80)</f>
        <v>0</v>
      </c>
      <c r="L80" s="3690"/>
      <c r="M80" s="3691"/>
      <c r="N80" s="3634">
        <f>SUM('ПОЛНАЯ СЕБЕСТОИМОСТЬ ВОДА 2019'!H219:J219)</f>
        <v>0</v>
      </c>
      <c r="O80" s="3635"/>
      <c r="P80" s="3636"/>
      <c r="Q80" s="3689">
        <v>0</v>
      </c>
      <c r="R80" s="3690"/>
      <c r="S80" s="3691"/>
      <c r="T80" s="3689">
        <f>SUM(K80)</f>
        <v>0</v>
      </c>
      <c r="U80" s="3690"/>
      <c r="V80" s="3691"/>
      <c r="W80" s="3634">
        <f>SUM('ПОЛНАЯ СЕБЕСТОИМОСТЬ ВОДА 2019'!K219:M219)</f>
        <v>0</v>
      </c>
      <c r="X80" s="3635"/>
      <c r="Y80" s="3636"/>
      <c r="Z80" s="3634">
        <v>0</v>
      </c>
      <c r="AA80" s="3635"/>
      <c r="AB80" s="3636"/>
      <c r="AC80" s="3686">
        <f>SUM(B80+K80+T80)</f>
        <v>0</v>
      </c>
      <c r="AD80" s="3687"/>
      <c r="AE80" s="3688"/>
      <c r="AF80" s="3686">
        <f>SUM(E80+N80+W80)</f>
        <v>0</v>
      </c>
      <c r="AG80" s="3687"/>
      <c r="AH80" s="3688"/>
      <c r="AI80" s="3686">
        <f>SUM(H80+Q80+Z80)</f>
        <v>0</v>
      </c>
      <c r="AJ80" s="3687"/>
      <c r="AK80" s="3688"/>
      <c r="AL80" s="3738">
        <f>SUM(AF80-AC80)</f>
        <v>0</v>
      </c>
      <c r="AM80" s="3739"/>
      <c r="AN80" s="3740"/>
      <c r="AO80" s="3689">
        <f>SUM(T80)</f>
        <v>0</v>
      </c>
      <c r="AP80" s="3690"/>
      <c r="AQ80" s="3691"/>
      <c r="AR80" s="3689">
        <f>SUM('ПОЛНАЯ СЕБЕСТОИМОСТЬ ВОДА 2019'!T219:V219)</f>
        <v>45</v>
      </c>
      <c r="AS80" s="3690"/>
      <c r="AT80" s="3691"/>
      <c r="AU80" s="3689">
        <v>0</v>
      </c>
      <c r="AV80" s="3690"/>
      <c r="AW80" s="3691"/>
      <c r="AX80" s="3689">
        <f>SUM(AO80)</f>
        <v>0</v>
      </c>
      <c r="AY80" s="3690"/>
      <c r="AZ80" s="3691"/>
      <c r="BA80" s="3634">
        <f>SUM('ПОЛНАЯ СЕБЕСТОИМОСТЬ ВОДА 2019'!W219:Y219)</f>
        <v>0</v>
      </c>
      <c r="BB80" s="3635"/>
      <c r="BC80" s="3636"/>
      <c r="BD80" s="3689">
        <v>0</v>
      </c>
      <c r="BE80" s="3690"/>
      <c r="BF80" s="3691"/>
      <c r="BG80" s="3689">
        <f>SUM(AX80)</f>
        <v>0</v>
      </c>
      <c r="BH80" s="3690"/>
      <c r="BI80" s="3691"/>
      <c r="BJ80" s="3634">
        <f>SUM('ПОЛНАЯ СЕБЕСТОИМОСТЬ ВОДА 2019'!Z219:AB219)</f>
        <v>0</v>
      </c>
      <c r="BK80" s="3635"/>
      <c r="BL80" s="3636"/>
      <c r="BM80" s="3634">
        <v>0</v>
      </c>
      <c r="BN80" s="3635"/>
      <c r="BO80" s="3636"/>
      <c r="BP80" s="3686">
        <f>SUM(AO80+AX80+BG80)</f>
        <v>0</v>
      </c>
      <c r="BQ80" s="3687"/>
      <c r="BR80" s="3688"/>
      <c r="BS80" s="3686">
        <f>SUM(AR80+BA80+BJ80)</f>
        <v>45</v>
      </c>
      <c r="BT80" s="3687"/>
      <c r="BU80" s="3688"/>
      <c r="BV80" s="3686">
        <f>SUM(AU80+BD80+BM80)</f>
        <v>0</v>
      </c>
      <c r="BW80" s="3687"/>
      <c r="BX80" s="3688"/>
      <c r="BY80" s="3738">
        <f>SUM(BS80-BP80)</f>
        <v>45</v>
      </c>
      <c r="BZ80" s="3739"/>
      <c r="CA80" s="3740"/>
      <c r="CB80" s="3686">
        <f>SUM(AC80+BP80)</f>
        <v>0</v>
      </c>
      <c r="CC80" s="3687"/>
      <c r="CD80" s="3688"/>
      <c r="CE80" s="3686">
        <f>SUM(AF80+BS80)</f>
        <v>45</v>
      </c>
      <c r="CF80" s="3687"/>
      <c r="CG80" s="3688"/>
      <c r="CH80" s="3686">
        <f>SUM(AI80+BV80)</f>
        <v>0</v>
      </c>
      <c r="CI80" s="3687"/>
      <c r="CJ80" s="3688"/>
      <c r="CK80" s="3738">
        <f>SUM(CE80-CB80)</f>
        <v>45</v>
      </c>
      <c r="CL80" s="3739"/>
      <c r="CM80" s="3740"/>
      <c r="CN80" s="3689">
        <f>SUM(BG80)</f>
        <v>0</v>
      </c>
      <c r="CO80" s="3690"/>
      <c r="CP80" s="3691"/>
      <c r="CQ80" s="3634">
        <f>SUM('ПОЛНАЯ СЕБЕСТОИМОСТЬ ВОДА 2019'!AR219:AT219)</f>
        <v>0</v>
      </c>
      <c r="CR80" s="3635"/>
      <c r="CS80" s="3636"/>
      <c r="CT80" s="3634">
        <v>0</v>
      </c>
      <c r="CU80" s="3635"/>
      <c r="CV80" s="3636"/>
      <c r="CW80" s="3689">
        <f>SUM(CN80)</f>
        <v>0</v>
      </c>
      <c r="CX80" s="3690"/>
      <c r="CY80" s="3691"/>
      <c r="CZ80" s="3634">
        <f>SUM('ПОЛНАЯ СЕБЕСТОИМОСТЬ ВОДА 2019'!AU219:AW219)</f>
        <v>0</v>
      </c>
      <c r="DA80" s="3635"/>
      <c r="DB80" s="3636"/>
      <c r="DC80" s="3689">
        <v>0</v>
      </c>
      <c r="DD80" s="3690"/>
      <c r="DE80" s="3691"/>
      <c r="DF80" s="3689">
        <f>SUM(CW80)</f>
        <v>0</v>
      </c>
      <c r="DG80" s="3690"/>
      <c r="DH80" s="3691"/>
      <c r="DI80" s="3634">
        <f>SUM('ПОЛНАЯ СЕБЕСТОИМОСТЬ ВОДА 2019'!AX219:AZ219)</f>
        <v>0</v>
      </c>
      <c r="DJ80" s="3635"/>
      <c r="DK80" s="3636"/>
      <c r="DL80" s="3634">
        <v>0</v>
      </c>
      <c r="DM80" s="3635"/>
      <c r="DN80" s="3636"/>
      <c r="DO80" s="3686">
        <f>SUM(CN80+CW80+DF80)</f>
        <v>0</v>
      </c>
      <c r="DP80" s="3687"/>
      <c r="DQ80" s="3688"/>
      <c r="DR80" s="3686">
        <f>SUM(CQ80+CZ80+DI80)</f>
        <v>0</v>
      </c>
      <c r="DS80" s="3687"/>
      <c r="DT80" s="3688"/>
      <c r="DU80" s="3686">
        <f>SUM(CT80+DC80+DL80)</f>
        <v>0</v>
      </c>
      <c r="DV80" s="3687"/>
      <c r="DW80" s="3688"/>
      <c r="DX80" s="3738">
        <f>SUM(DR80-DO80)</f>
        <v>0</v>
      </c>
      <c r="DY80" s="3739"/>
      <c r="DZ80" s="3740"/>
      <c r="EA80" s="3686">
        <f>SUM(CB80+DO80)</f>
        <v>0</v>
      </c>
      <c r="EB80" s="3687"/>
      <c r="EC80" s="3688"/>
      <c r="ED80" s="3686">
        <f>SUM(CE80+DR80)</f>
        <v>45</v>
      </c>
      <c r="EE80" s="3687"/>
      <c r="EF80" s="3688"/>
      <c r="EG80" s="3686">
        <f>SUM(CH80+DU80)</f>
        <v>0</v>
      </c>
      <c r="EH80" s="3687"/>
      <c r="EI80" s="3688"/>
      <c r="EJ80" s="3738">
        <f>SUM(ED80-EA80)</f>
        <v>45</v>
      </c>
      <c r="EK80" s="3739"/>
      <c r="EL80" s="3740"/>
      <c r="EM80" s="3689">
        <f>SUM(DF80)</f>
        <v>0</v>
      </c>
      <c r="EN80" s="3690"/>
      <c r="EO80" s="3691"/>
      <c r="EP80" s="3634">
        <f>SUM('ПОЛНАЯ СЕБЕСТОИМОСТЬ ВОДА 2019'!BP219:BR219)</f>
        <v>0</v>
      </c>
      <c r="EQ80" s="3635"/>
      <c r="ER80" s="3636"/>
      <c r="ES80" s="3634">
        <v>0</v>
      </c>
      <c r="ET80" s="3635"/>
      <c r="EU80" s="3636"/>
      <c r="EV80" s="3689">
        <f>SUM(EM80)</f>
        <v>0</v>
      </c>
      <c r="EW80" s="3690"/>
      <c r="EX80" s="3691"/>
      <c r="EY80" s="3634">
        <f>SUM('ПОЛНАЯ СЕБЕСТОИМОСТЬ ВОДА 2019'!BS219:BU219)</f>
        <v>0</v>
      </c>
      <c r="EZ80" s="3635"/>
      <c r="FA80" s="3636"/>
      <c r="FB80" s="3689">
        <v>0</v>
      </c>
      <c r="FC80" s="3690"/>
      <c r="FD80" s="3691"/>
      <c r="FE80" s="3689">
        <f>SUM(EV80)</f>
        <v>0</v>
      </c>
      <c r="FF80" s="3690"/>
      <c r="FG80" s="3691"/>
      <c r="FH80" s="3634">
        <f>SUM('ПОЛНАЯ СЕБЕСТОИМОСТЬ ВОДА 2019'!BV219:BX219)</f>
        <v>0</v>
      </c>
      <c r="FI80" s="3635"/>
      <c r="FJ80" s="3636"/>
      <c r="FK80" s="3634">
        <v>0</v>
      </c>
      <c r="FL80" s="3635"/>
      <c r="FM80" s="3636"/>
      <c r="FN80" s="3686">
        <f>SUM(EM80+EV80+FE80)</f>
        <v>0</v>
      </c>
      <c r="FO80" s="3687"/>
      <c r="FP80" s="3688"/>
      <c r="FQ80" s="3686">
        <f>SUM(EP80+EY80+FH80)</f>
        <v>0</v>
      </c>
      <c r="FR80" s="3687"/>
      <c r="FS80" s="3688"/>
      <c r="FT80" s="3686">
        <f>SUM(ES80+FB80+FK80)</f>
        <v>0</v>
      </c>
      <c r="FU80" s="3687"/>
      <c r="FV80" s="3688"/>
      <c r="FW80" s="3738">
        <f>SUM(FQ80-FN80)</f>
        <v>0</v>
      </c>
      <c r="FX80" s="3739"/>
      <c r="FY80" s="3740"/>
      <c r="FZ80" s="3686">
        <f>SUM(EA80+FN80)</f>
        <v>0</v>
      </c>
      <c r="GA80" s="3687"/>
      <c r="GB80" s="3688"/>
      <c r="GC80" s="3686">
        <f>SUM(ED80+FQ80)</f>
        <v>45</v>
      </c>
      <c r="GD80" s="3687"/>
      <c r="GE80" s="3688"/>
      <c r="GF80" s="3686">
        <f>SUM(EG80+FT80)</f>
        <v>0</v>
      </c>
      <c r="GG80" s="3687"/>
      <c r="GH80" s="3688"/>
      <c r="GI80" s="3738">
        <f>SUM(GC80-FZ80)</f>
        <v>45</v>
      </c>
      <c r="GJ80" s="3739"/>
      <c r="GK80" s="3740"/>
      <c r="GL80" s="3159"/>
      <c r="GM80" s="585"/>
    </row>
    <row r="81" spans="1:194" ht="36" customHeight="1" x14ac:dyDescent="0.3">
      <c r="A81" s="3081" t="s">
        <v>3612</v>
      </c>
      <c r="B81" s="3689">
        <f>SUM('ПОЛНАЯ СЕБЕСТОИМОСТЬ ВОДА 2019'!B220:D220/3)</f>
        <v>0</v>
      </c>
      <c r="C81" s="3690"/>
      <c r="D81" s="3691"/>
      <c r="E81" s="3634">
        <f>SUM('ПОЛНАЯ СЕБЕСТОИМОСТЬ ВОДА 2019'!E220:G220)</f>
        <v>76.010000000000005</v>
      </c>
      <c r="F81" s="3635"/>
      <c r="G81" s="3636"/>
      <c r="H81" s="3634">
        <v>0</v>
      </c>
      <c r="I81" s="3635"/>
      <c r="J81" s="3636"/>
      <c r="K81" s="3689">
        <f>SUM(B81)</f>
        <v>0</v>
      </c>
      <c r="L81" s="3690"/>
      <c r="M81" s="3691"/>
      <c r="N81" s="3634">
        <f>SUM('ПОЛНАЯ СЕБЕСТОИМОСТЬ ВОДА 2019'!H220:J220)</f>
        <v>162.63</v>
      </c>
      <c r="O81" s="3635"/>
      <c r="P81" s="3636"/>
      <c r="Q81" s="3689">
        <v>0</v>
      </c>
      <c r="R81" s="3690"/>
      <c r="S81" s="3691"/>
      <c r="T81" s="3689">
        <f>SUM(K81)</f>
        <v>0</v>
      </c>
      <c r="U81" s="3690"/>
      <c r="V81" s="3691"/>
      <c r="W81" s="3634">
        <f>SUM('ПОЛНАЯ СЕБЕСТОИМОСТЬ ВОДА 2019'!K220:M220)</f>
        <v>166.96</v>
      </c>
      <c r="X81" s="3635"/>
      <c r="Y81" s="3636"/>
      <c r="Z81" s="3634">
        <v>0</v>
      </c>
      <c r="AA81" s="3635"/>
      <c r="AB81" s="3636"/>
      <c r="AC81" s="3686">
        <f>SUM(B81+K81+T81)</f>
        <v>0</v>
      </c>
      <c r="AD81" s="3687"/>
      <c r="AE81" s="3688"/>
      <c r="AF81" s="3686">
        <f>SUM(E81+N81+W81)</f>
        <v>405.6</v>
      </c>
      <c r="AG81" s="3687"/>
      <c r="AH81" s="3688"/>
      <c r="AI81" s="3686">
        <f>SUM(H81+Q81+Z81)</f>
        <v>0</v>
      </c>
      <c r="AJ81" s="3687"/>
      <c r="AK81" s="3688"/>
      <c r="AL81" s="3738">
        <f>SUM(AF81-AC81)</f>
        <v>405.6</v>
      </c>
      <c r="AM81" s="3739"/>
      <c r="AN81" s="3740"/>
      <c r="AO81" s="3689">
        <f>SUM(T81)</f>
        <v>0</v>
      </c>
      <c r="AP81" s="3690"/>
      <c r="AQ81" s="3691"/>
      <c r="AR81" s="3689">
        <f>SUM('ПОЛНАЯ СЕБЕСТОИМОСТЬ ВОДА 2019'!T220:V220)</f>
        <v>32.46</v>
      </c>
      <c r="AS81" s="3690"/>
      <c r="AT81" s="3691"/>
      <c r="AU81" s="3689">
        <v>0</v>
      </c>
      <c r="AV81" s="3690"/>
      <c r="AW81" s="3691"/>
      <c r="AX81" s="3689">
        <f>SUM(AO81)</f>
        <v>0</v>
      </c>
      <c r="AY81" s="3690"/>
      <c r="AZ81" s="3691"/>
      <c r="BA81" s="3634">
        <f>SUM('ПОЛНАЯ СЕБЕСТОИМОСТЬ ВОДА 2019'!W220:Y220)</f>
        <v>24.96</v>
      </c>
      <c r="BB81" s="3635"/>
      <c r="BC81" s="3636"/>
      <c r="BD81" s="3689">
        <v>0</v>
      </c>
      <c r="BE81" s="3690"/>
      <c r="BF81" s="3691"/>
      <c r="BG81" s="3689">
        <f>SUM(AX81)</f>
        <v>0</v>
      </c>
      <c r="BH81" s="3690"/>
      <c r="BI81" s="3691"/>
      <c r="BJ81" s="3634">
        <f>SUM('ПОЛНАЯ СЕБЕСТОИМОСТЬ ВОДА 2019'!Z220:AB220)</f>
        <v>54.82</v>
      </c>
      <c r="BK81" s="3635"/>
      <c r="BL81" s="3636"/>
      <c r="BM81" s="3634">
        <v>0</v>
      </c>
      <c r="BN81" s="3635"/>
      <c r="BO81" s="3636"/>
      <c r="BP81" s="3686">
        <f>SUM(AO81+AX81+BG81)</f>
        <v>0</v>
      </c>
      <c r="BQ81" s="3687"/>
      <c r="BR81" s="3688"/>
      <c r="BS81" s="3686">
        <f>SUM(AR81+BA81+BJ81)</f>
        <v>112.24000000000001</v>
      </c>
      <c r="BT81" s="3687"/>
      <c r="BU81" s="3688"/>
      <c r="BV81" s="3686">
        <f>SUM(AU81+BD81+BM81)</f>
        <v>0</v>
      </c>
      <c r="BW81" s="3687"/>
      <c r="BX81" s="3688"/>
      <c r="BY81" s="3738">
        <f>SUM(BS81-BP81)</f>
        <v>112.24000000000001</v>
      </c>
      <c r="BZ81" s="3739"/>
      <c r="CA81" s="3740"/>
      <c r="CB81" s="3686">
        <f>SUM(AC81+BP81)</f>
        <v>0</v>
      </c>
      <c r="CC81" s="3687"/>
      <c r="CD81" s="3688"/>
      <c r="CE81" s="3686">
        <f>SUM(AF81+BS81)</f>
        <v>517.84</v>
      </c>
      <c r="CF81" s="3687"/>
      <c r="CG81" s="3688"/>
      <c r="CH81" s="3686">
        <f>SUM(AI81+BV81)</f>
        <v>0</v>
      </c>
      <c r="CI81" s="3687"/>
      <c r="CJ81" s="3688"/>
      <c r="CK81" s="3738">
        <f>SUM(CE81-CB81)</f>
        <v>517.84</v>
      </c>
      <c r="CL81" s="3739"/>
      <c r="CM81" s="3740"/>
      <c r="CN81" s="3689">
        <f>SUM(BG81)</f>
        <v>0</v>
      </c>
      <c r="CO81" s="3690"/>
      <c r="CP81" s="3691"/>
      <c r="CQ81" s="3634">
        <f>SUM('ПОЛНАЯ СЕБЕСТОИМОСТЬ ВОДА 2019'!AR220:AT220)</f>
        <v>81.3</v>
      </c>
      <c r="CR81" s="3635"/>
      <c r="CS81" s="3636"/>
      <c r="CT81" s="3634">
        <v>0</v>
      </c>
      <c r="CU81" s="3635"/>
      <c r="CV81" s="3636"/>
      <c r="CW81" s="3689">
        <f>SUM(CN81)</f>
        <v>0</v>
      </c>
      <c r="CX81" s="3690"/>
      <c r="CY81" s="3691"/>
      <c r="CZ81" s="3634">
        <f>SUM('ПОЛНАЯ СЕБЕСТОИМОСТЬ ВОДА 2019'!AU220:AW220)</f>
        <v>52.53</v>
      </c>
      <c r="DA81" s="3635"/>
      <c r="DB81" s="3636"/>
      <c r="DC81" s="3689">
        <v>0</v>
      </c>
      <c r="DD81" s="3690"/>
      <c r="DE81" s="3691"/>
      <c r="DF81" s="3689">
        <f>SUM(CW81)</f>
        <v>0</v>
      </c>
      <c r="DG81" s="3690"/>
      <c r="DH81" s="3691"/>
      <c r="DI81" s="3634">
        <f>SUM('ПОЛНАЯ СЕБЕСТОИМОСТЬ ВОДА 2019'!AX220:AZ220)</f>
        <v>13.54</v>
      </c>
      <c r="DJ81" s="3635"/>
      <c r="DK81" s="3636"/>
      <c r="DL81" s="3634">
        <v>0</v>
      </c>
      <c r="DM81" s="3635"/>
      <c r="DN81" s="3636"/>
      <c r="DO81" s="3686">
        <f>SUM(CN81+CW81+DF81)</f>
        <v>0</v>
      </c>
      <c r="DP81" s="3687"/>
      <c r="DQ81" s="3688"/>
      <c r="DR81" s="3686">
        <f>SUM(CQ81+CZ81+DI81)</f>
        <v>147.36999999999998</v>
      </c>
      <c r="DS81" s="3687"/>
      <c r="DT81" s="3688"/>
      <c r="DU81" s="3686">
        <f>SUM(CT81+DC81+DL81)</f>
        <v>0</v>
      </c>
      <c r="DV81" s="3687"/>
      <c r="DW81" s="3688"/>
      <c r="DX81" s="3738">
        <f>SUM(DR81-DO81)</f>
        <v>147.36999999999998</v>
      </c>
      <c r="DY81" s="3739"/>
      <c r="DZ81" s="3740"/>
      <c r="EA81" s="3686">
        <f>SUM(CB81+DO81)</f>
        <v>0</v>
      </c>
      <c r="EB81" s="3687"/>
      <c r="EC81" s="3688"/>
      <c r="ED81" s="3686">
        <f>SUM(CE81+DR81)</f>
        <v>665.21</v>
      </c>
      <c r="EE81" s="3687"/>
      <c r="EF81" s="3688"/>
      <c r="EG81" s="3686">
        <f>SUM(CH81+DU81)</f>
        <v>0</v>
      </c>
      <c r="EH81" s="3687"/>
      <c r="EI81" s="3688"/>
      <c r="EJ81" s="3738">
        <f>SUM(ED81-EA81)</f>
        <v>665.21</v>
      </c>
      <c r="EK81" s="3739"/>
      <c r="EL81" s="3740"/>
      <c r="EM81" s="3689">
        <f>SUM(DF81)</f>
        <v>0</v>
      </c>
      <c r="EN81" s="3690"/>
      <c r="EO81" s="3691"/>
      <c r="EP81" s="3634">
        <f>SUM('ПОЛНАЯ СЕБЕСТОИМОСТЬ ВОДА 2019'!BP220:BR220)</f>
        <v>0</v>
      </c>
      <c r="EQ81" s="3635"/>
      <c r="ER81" s="3636"/>
      <c r="ES81" s="3634">
        <v>0</v>
      </c>
      <c r="ET81" s="3635"/>
      <c r="EU81" s="3636"/>
      <c r="EV81" s="3689">
        <f>SUM(EM81)</f>
        <v>0</v>
      </c>
      <c r="EW81" s="3690"/>
      <c r="EX81" s="3691"/>
      <c r="EY81" s="3634">
        <f>SUM('ПОЛНАЯ СЕБЕСТОИМОСТЬ ВОДА 2019'!BS220:BU220)</f>
        <v>0</v>
      </c>
      <c r="EZ81" s="3635"/>
      <c r="FA81" s="3636"/>
      <c r="FB81" s="3689">
        <v>0</v>
      </c>
      <c r="FC81" s="3690"/>
      <c r="FD81" s="3691"/>
      <c r="FE81" s="3689">
        <f>SUM(EV81)</f>
        <v>0</v>
      </c>
      <c r="FF81" s="3690"/>
      <c r="FG81" s="3691"/>
      <c r="FH81" s="3634">
        <f>SUM('ПОЛНАЯ СЕБЕСТОИМОСТЬ ВОДА 2019'!BV220:BX220)</f>
        <v>0</v>
      </c>
      <c r="FI81" s="3635"/>
      <c r="FJ81" s="3636"/>
      <c r="FK81" s="3634">
        <v>0</v>
      </c>
      <c r="FL81" s="3635"/>
      <c r="FM81" s="3636"/>
      <c r="FN81" s="3686">
        <f>SUM(EM81+EV81+FE81)</f>
        <v>0</v>
      </c>
      <c r="FO81" s="3687"/>
      <c r="FP81" s="3688"/>
      <c r="FQ81" s="3686">
        <f>SUM(EP81+EY81+FH81)</f>
        <v>0</v>
      </c>
      <c r="FR81" s="3687"/>
      <c r="FS81" s="3688"/>
      <c r="FT81" s="3686">
        <f>SUM(ES81+FB81+FK81)</f>
        <v>0</v>
      </c>
      <c r="FU81" s="3687"/>
      <c r="FV81" s="3688"/>
      <c r="FW81" s="3738">
        <f>SUM(FQ81-FN81)</f>
        <v>0</v>
      </c>
      <c r="FX81" s="3739"/>
      <c r="FY81" s="3740"/>
      <c r="FZ81" s="3686">
        <f>SUM(EA81+FN81)</f>
        <v>0</v>
      </c>
      <c r="GA81" s="3687"/>
      <c r="GB81" s="3688"/>
      <c r="GC81" s="3686">
        <f>SUM(ED81+FQ81)</f>
        <v>665.21</v>
      </c>
      <c r="GD81" s="3687"/>
      <c r="GE81" s="3688"/>
      <c r="GF81" s="3686">
        <f>SUM(EG81+FT81)</f>
        <v>0</v>
      </c>
      <c r="GG81" s="3687"/>
      <c r="GH81" s="3688"/>
      <c r="GI81" s="3738">
        <f>SUM(GC81-FZ81)</f>
        <v>665.21</v>
      </c>
      <c r="GJ81" s="3739"/>
      <c r="GK81" s="3740"/>
      <c r="GL81" s="396"/>
    </row>
    <row r="82" spans="1:194" ht="19.5" x14ac:dyDescent="0.3">
      <c r="A82" s="3080" t="s">
        <v>3747</v>
      </c>
      <c r="B82" s="3668">
        <f>SUM(B69+B78)</f>
        <v>12269.20678733173</v>
      </c>
      <c r="C82" s="3669"/>
      <c r="D82" s="3670"/>
      <c r="E82" s="3668">
        <f t="shared" ref="E82" si="1576">SUM(E69+E78)</f>
        <v>11503.007</v>
      </c>
      <c r="F82" s="3669"/>
      <c r="G82" s="3670"/>
      <c r="H82" s="3668">
        <f t="shared" ref="H82" si="1577">SUM(H69+H78)</f>
        <v>10465.86</v>
      </c>
      <c r="I82" s="3669"/>
      <c r="J82" s="3670"/>
      <c r="K82" s="3668">
        <f t="shared" ref="K82" si="1578">SUM(K69+K78)</f>
        <v>12269.20678733173</v>
      </c>
      <c r="L82" s="3669"/>
      <c r="M82" s="3670"/>
      <c r="N82" s="3668">
        <f t="shared" ref="N82" si="1579">SUM(N69+N78)</f>
        <v>10495.054999999997</v>
      </c>
      <c r="O82" s="3669"/>
      <c r="P82" s="3670"/>
      <c r="Q82" s="3668">
        <f t="shared" ref="Q82" si="1580">SUM(Q69+Q78)</f>
        <v>9420.92</v>
      </c>
      <c r="R82" s="3669"/>
      <c r="S82" s="3670"/>
      <c r="T82" s="3668">
        <f t="shared" ref="T82" si="1581">SUM(T69+T78)</f>
        <v>12269.20678733173</v>
      </c>
      <c r="U82" s="3669"/>
      <c r="V82" s="3670"/>
      <c r="W82" s="3668">
        <f t="shared" ref="W82" si="1582">SUM(W69+W78)</f>
        <v>12698.895999999999</v>
      </c>
      <c r="X82" s="3669"/>
      <c r="Y82" s="3670"/>
      <c r="Z82" s="3668">
        <f t="shared" ref="Z82:AI82" si="1583">SUM(Z69+Z78)</f>
        <v>12114.23</v>
      </c>
      <c r="AA82" s="3669"/>
      <c r="AB82" s="3670"/>
      <c r="AC82" s="3671">
        <f t="shared" si="1583"/>
        <v>36807.620361995199</v>
      </c>
      <c r="AD82" s="3672"/>
      <c r="AE82" s="3673"/>
      <c r="AF82" s="3671">
        <f t="shared" si="1583"/>
        <v>34696.957999999999</v>
      </c>
      <c r="AG82" s="3672"/>
      <c r="AH82" s="3673"/>
      <c r="AI82" s="3671">
        <f t="shared" si="1583"/>
        <v>32001.010000000002</v>
      </c>
      <c r="AJ82" s="3672"/>
      <c r="AK82" s="3673"/>
      <c r="AL82" s="3752">
        <f>SUM(AF82-AC82)</f>
        <v>-2110.6623619952006</v>
      </c>
      <c r="AM82" s="3753"/>
      <c r="AN82" s="3754"/>
      <c r="AO82" s="3735">
        <f t="shared" ref="AO82:BV82" si="1584">SUM(AO69+AO78)</f>
        <v>12269.20678733173</v>
      </c>
      <c r="AP82" s="3736"/>
      <c r="AQ82" s="3737"/>
      <c r="AR82" s="3735">
        <f t="shared" si="1584"/>
        <v>11401.967499999999</v>
      </c>
      <c r="AS82" s="3736"/>
      <c r="AT82" s="3737"/>
      <c r="AU82" s="3735">
        <f t="shared" si="1584"/>
        <v>10883.650000000001</v>
      </c>
      <c r="AV82" s="3736"/>
      <c r="AW82" s="3737"/>
      <c r="AX82" s="3668">
        <f t="shared" si="1584"/>
        <v>12269.20678733173</v>
      </c>
      <c r="AY82" s="3669"/>
      <c r="AZ82" s="3670"/>
      <c r="BA82" s="3668">
        <f t="shared" si="1584"/>
        <v>12760.908999999998</v>
      </c>
      <c r="BB82" s="3669"/>
      <c r="BC82" s="3670"/>
      <c r="BD82" s="3668">
        <f t="shared" si="1584"/>
        <v>10150.619999999999</v>
      </c>
      <c r="BE82" s="3669"/>
      <c r="BF82" s="3670"/>
      <c r="BG82" s="3668">
        <f t="shared" si="1584"/>
        <v>12269.20678733173</v>
      </c>
      <c r="BH82" s="3669"/>
      <c r="BI82" s="3670"/>
      <c r="BJ82" s="3668">
        <f t="shared" si="1584"/>
        <v>12885.936</v>
      </c>
      <c r="BK82" s="3669"/>
      <c r="BL82" s="3670"/>
      <c r="BM82" s="3668">
        <f t="shared" si="1584"/>
        <v>11471.880000000001</v>
      </c>
      <c r="BN82" s="3669"/>
      <c r="BO82" s="3670"/>
      <c r="BP82" s="3671">
        <f t="shared" si="1584"/>
        <v>36807.620361995199</v>
      </c>
      <c r="BQ82" s="3672"/>
      <c r="BR82" s="3673"/>
      <c r="BS82" s="3671">
        <f t="shared" si="1584"/>
        <v>37048.8125</v>
      </c>
      <c r="BT82" s="3672"/>
      <c r="BU82" s="3673"/>
      <c r="BV82" s="3671">
        <f t="shared" si="1584"/>
        <v>32506.149999999998</v>
      </c>
      <c r="BW82" s="3672"/>
      <c r="BX82" s="3673"/>
      <c r="BY82" s="3752">
        <f>SUM(BS82-BP82)</f>
        <v>241.19213800480065</v>
      </c>
      <c r="BZ82" s="3753"/>
      <c r="CA82" s="3754"/>
      <c r="CB82" s="3671">
        <f t="shared" ref="CB82:CH82" si="1585">SUM(CB69+CB78)</f>
        <v>73615.240723990399</v>
      </c>
      <c r="CC82" s="3672"/>
      <c r="CD82" s="3673"/>
      <c r="CE82" s="3671">
        <f t="shared" si="1585"/>
        <v>71745.770499999999</v>
      </c>
      <c r="CF82" s="3672"/>
      <c r="CG82" s="3673"/>
      <c r="CH82" s="3671">
        <f t="shared" si="1585"/>
        <v>64507.159999999989</v>
      </c>
      <c r="CI82" s="3672"/>
      <c r="CJ82" s="3673"/>
      <c r="CK82" s="3752">
        <f>SUM(CE82-CB82)</f>
        <v>-1869.4702239904</v>
      </c>
      <c r="CL82" s="3753"/>
      <c r="CM82" s="3754"/>
      <c r="CN82" s="3668">
        <f t="shared" ref="CN82:DU82" si="1586">SUM(CN69+CN78)</f>
        <v>12326.614708692012</v>
      </c>
      <c r="CO82" s="3669"/>
      <c r="CP82" s="3670"/>
      <c r="CQ82" s="3668">
        <f t="shared" si="1586"/>
        <v>11627.032999999999</v>
      </c>
      <c r="CR82" s="3669"/>
      <c r="CS82" s="3670"/>
      <c r="CT82" s="3668">
        <f t="shared" si="1586"/>
        <v>10404.999999999998</v>
      </c>
      <c r="CU82" s="3669"/>
      <c r="CV82" s="3670"/>
      <c r="CW82" s="3668">
        <f t="shared" si="1586"/>
        <v>12326.614708692012</v>
      </c>
      <c r="CX82" s="3669"/>
      <c r="CY82" s="3670"/>
      <c r="CZ82" s="3668">
        <f t="shared" si="1586"/>
        <v>12689.581</v>
      </c>
      <c r="DA82" s="3669"/>
      <c r="DB82" s="3670"/>
      <c r="DC82" s="3668">
        <f t="shared" si="1586"/>
        <v>11498.839999999998</v>
      </c>
      <c r="DD82" s="3669"/>
      <c r="DE82" s="3670"/>
      <c r="DF82" s="3668">
        <f t="shared" si="1586"/>
        <v>12326.614708692012</v>
      </c>
      <c r="DG82" s="3669"/>
      <c r="DH82" s="3670"/>
      <c r="DI82" s="3668">
        <f t="shared" si="1586"/>
        <v>13900.5527</v>
      </c>
      <c r="DJ82" s="3669"/>
      <c r="DK82" s="3670"/>
      <c r="DL82" s="3668">
        <f t="shared" si="1586"/>
        <v>11292.51</v>
      </c>
      <c r="DM82" s="3669"/>
      <c r="DN82" s="3670"/>
      <c r="DO82" s="3671">
        <f t="shared" si="1586"/>
        <v>36979.844126076037</v>
      </c>
      <c r="DP82" s="3672"/>
      <c r="DQ82" s="3673"/>
      <c r="DR82" s="3671">
        <f t="shared" si="1586"/>
        <v>38217.166700000002</v>
      </c>
      <c r="DS82" s="3672"/>
      <c r="DT82" s="3673"/>
      <c r="DU82" s="3671">
        <f t="shared" si="1586"/>
        <v>33196.35</v>
      </c>
      <c r="DV82" s="3672"/>
      <c r="DW82" s="3673"/>
      <c r="DX82" s="3752">
        <f>SUM(DR82-DO82)</f>
        <v>1237.3225739239642</v>
      </c>
      <c r="DY82" s="3753"/>
      <c r="DZ82" s="3754"/>
      <c r="EA82" s="3671">
        <f t="shared" ref="EA82:EG82" si="1587">SUM(EA69+EA78)</f>
        <v>110595.08485006641</v>
      </c>
      <c r="EB82" s="3672"/>
      <c r="EC82" s="3673"/>
      <c r="ED82" s="3671">
        <f t="shared" si="1587"/>
        <v>109962.93720000001</v>
      </c>
      <c r="EE82" s="3672"/>
      <c r="EF82" s="3673"/>
      <c r="EG82" s="3671">
        <f t="shared" si="1587"/>
        <v>97703.51</v>
      </c>
      <c r="EH82" s="3672"/>
      <c r="EI82" s="3673"/>
      <c r="EJ82" s="3752">
        <f>SUM(ED82-EA82)</f>
        <v>-632.14765006639936</v>
      </c>
      <c r="EK82" s="3753"/>
      <c r="EL82" s="3754"/>
      <c r="EM82" s="3668">
        <f t="shared" ref="EM82:FT82" si="1588">SUM(EM69+EM78)</f>
        <v>12369.435708692012</v>
      </c>
      <c r="EN82" s="3669"/>
      <c r="EO82" s="3670"/>
      <c r="EP82" s="3668">
        <f t="shared" si="1588"/>
        <v>0</v>
      </c>
      <c r="EQ82" s="3669"/>
      <c r="ER82" s="3670"/>
      <c r="ES82" s="3668">
        <f t="shared" si="1588"/>
        <v>11361.060000000001</v>
      </c>
      <c r="ET82" s="3669"/>
      <c r="EU82" s="3670"/>
      <c r="EV82" s="3668">
        <f t="shared" si="1588"/>
        <v>12369.435708692012</v>
      </c>
      <c r="EW82" s="3669"/>
      <c r="EX82" s="3670"/>
      <c r="EY82" s="3668">
        <f t="shared" si="1588"/>
        <v>0</v>
      </c>
      <c r="EZ82" s="3669"/>
      <c r="FA82" s="3670"/>
      <c r="FB82" s="3668">
        <f t="shared" si="1588"/>
        <v>11729.57</v>
      </c>
      <c r="FC82" s="3669"/>
      <c r="FD82" s="3670"/>
      <c r="FE82" s="3668">
        <f t="shared" si="1588"/>
        <v>12369.435708692012</v>
      </c>
      <c r="FF82" s="3669"/>
      <c r="FG82" s="3670"/>
      <c r="FH82" s="3668">
        <f t="shared" si="1588"/>
        <v>0</v>
      </c>
      <c r="FI82" s="3669"/>
      <c r="FJ82" s="3670"/>
      <c r="FK82" s="3668">
        <f t="shared" si="1588"/>
        <v>13329.860000000002</v>
      </c>
      <c r="FL82" s="3669"/>
      <c r="FM82" s="3670"/>
      <c r="FN82" s="3671">
        <f t="shared" si="1588"/>
        <v>37108.307126076041</v>
      </c>
      <c r="FO82" s="3672"/>
      <c r="FP82" s="3673"/>
      <c r="FQ82" s="3671">
        <f t="shared" si="1588"/>
        <v>0</v>
      </c>
      <c r="FR82" s="3672"/>
      <c r="FS82" s="3673"/>
      <c r="FT82" s="3671">
        <f t="shared" si="1588"/>
        <v>36420.49</v>
      </c>
      <c r="FU82" s="3672"/>
      <c r="FV82" s="3673"/>
      <c r="FW82" s="3752">
        <f>SUM(FQ82-FN82)</f>
        <v>-37108.307126076041</v>
      </c>
      <c r="FX82" s="3753"/>
      <c r="FY82" s="3754"/>
      <c r="FZ82" s="3671">
        <f t="shared" ref="FZ82:GF82" si="1589">SUM(FZ69+FZ78)</f>
        <v>147703.39197614245</v>
      </c>
      <c r="GA82" s="3672"/>
      <c r="GB82" s="3673"/>
      <c r="GC82" s="3671">
        <f t="shared" si="1589"/>
        <v>109962.93720000001</v>
      </c>
      <c r="GD82" s="3672"/>
      <c r="GE82" s="3673"/>
      <c r="GF82" s="3671">
        <f t="shared" si="1589"/>
        <v>134124</v>
      </c>
      <c r="GG82" s="3672"/>
      <c r="GH82" s="3673"/>
      <c r="GI82" s="3752">
        <f>SUM(GC82-FZ82)</f>
        <v>-37740.454776142433</v>
      </c>
      <c r="GJ82" s="3753"/>
      <c r="GK82" s="3754"/>
      <c r="GL82" s="396"/>
    </row>
    <row r="83" spans="1:194" ht="18.75" x14ac:dyDescent="0.3">
      <c r="A83" s="1846"/>
      <c r="B83" s="396"/>
      <c r="C83" s="396"/>
      <c r="D83" s="396"/>
      <c r="E83" s="396"/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  <c r="BG83" s="396"/>
      <c r="BH83" s="396"/>
      <c r="BI83" s="396"/>
      <c r="BJ83" s="396"/>
      <c r="BK83" s="396"/>
      <c r="BL83" s="396"/>
      <c r="BM83" s="396"/>
      <c r="BN83" s="396"/>
      <c r="BO83" s="396"/>
      <c r="BP83" s="396"/>
      <c r="BQ83" s="396"/>
      <c r="BR83" s="396"/>
      <c r="BS83" s="396"/>
      <c r="BT83" s="396"/>
      <c r="BU83" s="396"/>
      <c r="BV83" s="396"/>
      <c r="BW83" s="396"/>
      <c r="BX83" s="396"/>
      <c r="BY83" s="396"/>
      <c r="BZ83" s="396"/>
      <c r="CA83" s="396"/>
      <c r="CB83" s="396"/>
      <c r="CC83" s="396"/>
      <c r="CD83" s="396"/>
      <c r="CE83" s="396"/>
      <c r="CF83" s="396"/>
      <c r="CG83" s="396"/>
      <c r="CH83" s="396"/>
      <c r="CI83" s="396"/>
      <c r="CJ83" s="396"/>
      <c r="CK83" s="396"/>
      <c r="CL83" s="396"/>
      <c r="CM83" s="396"/>
      <c r="CN83" s="3159"/>
      <c r="CO83" s="3159"/>
      <c r="CP83" s="3159"/>
      <c r="CQ83" s="3159"/>
      <c r="CR83" s="3159"/>
      <c r="CS83" s="3159"/>
      <c r="CT83" s="3159"/>
      <c r="CU83" s="3159"/>
      <c r="CV83" s="3159"/>
      <c r="CW83" s="3159"/>
      <c r="CX83" s="3159"/>
      <c r="CY83" s="3159"/>
      <c r="CZ83" s="3159"/>
      <c r="DA83" s="3159"/>
      <c r="DB83" s="3159"/>
      <c r="DC83" s="3159"/>
      <c r="DD83" s="3159"/>
      <c r="DE83" s="3159"/>
      <c r="DF83" s="3159"/>
      <c r="DG83" s="3159"/>
      <c r="DH83" s="3159"/>
      <c r="DI83" s="3159"/>
      <c r="DJ83" s="3159"/>
      <c r="DK83" s="3159"/>
      <c r="DL83" s="3159"/>
      <c r="DM83" s="3159"/>
      <c r="DN83" s="3159"/>
      <c r="DO83" s="396"/>
      <c r="DP83" s="396"/>
      <c r="DQ83" s="396"/>
      <c r="DR83" s="396"/>
      <c r="DS83" s="396"/>
      <c r="DT83" s="396"/>
      <c r="DU83" s="396"/>
      <c r="DV83" s="396"/>
      <c r="DW83" s="396"/>
      <c r="DX83" s="396"/>
      <c r="DY83" s="396"/>
      <c r="DZ83" s="396"/>
      <c r="EA83" s="396"/>
      <c r="EB83" s="396"/>
      <c r="EC83" s="396"/>
      <c r="ED83" s="396"/>
      <c r="EE83" s="396"/>
      <c r="EF83" s="396"/>
      <c r="EG83" s="396"/>
      <c r="EH83" s="396"/>
      <c r="EI83" s="396"/>
      <c r="EJ83" s="396"/>
      <c r="EK83" s="396"/>
      <c r="EL83" s="396"/>
      <c r="EM83" s="3159"/>
      <c r="EN83" s="3159"/>
      <c r="EO83" s="3159"/>
      <c r="EP83" s="3159"/>
      <c r="EQ83" s="3159"/>
      <c r="ER83" s="3159"/>
      <c r="ES83" s="3159"/>
      <c r="ET83" s="3159"/>
      <c r="EU83" s="3159"/>
      <c r="EV83" s="3159"/>
      <c r="EW83" s="3159"/>
      <c r="EX83" s="3159"/>
      <c r="EY83" s="3159"/>
      <c r="EZ83" s="3159"/>
      <c r="FA83" s="3159"/>
      <c r="FB83" s="3159"/>
      <c r="FC83" s="3159"/>
      <c r="FD83" s="3159"/>
      <c r="FE83" s="3159"/>
      <c r="FF83" s="3159"/>
      <c r="FG83" s="3159"/>
      <c r="FH83" s="3159"/>
      <c r="FI83" s="3159"/>
      <c r="FJ83" s="3159"/>
      <c r="FK83" s="3159"/>
      <c r="FL83" s="3159"/>
      <c r="FM83" s="3159"/>
      <c r="FN83" s="396"/>
      <c r="FO83" s="396"/>
      <c r="FP83" s="396"/>
      <c r="FQ83" s="396"/>
      <c r="FR83" s="396"/>
      <c r="FS83" s="396"/>
      <c r="FT83" s="396"/>
      <c r="FU83" s="396"/>
      <c r="FV83" s="396"/>
      <c r="FW83" s="396"/>
      <c r="FX83" s="396"/>
      <c r="FY83" s="396"/>
      <c r="FZ83" s="396"/>
      <c r="GA83" s="396"/>
      <c r="GB83" s="396"/>
      <c r="GC83" s="396"/>
      <c r="GD83" s="396"/>
      <c r="GE83" s="396"/>
      <c r="GF83" s="396"/>
      <c r="GG83" s="396"/>
      <c r="GH83" s="396"/>
      <c r="GI83" s="396"/>
      <c r="GJ83" s="396"/>
      <c r="GK83" s="396"/>
      <c r="GL83" s="396"/>
    </row>
    <row r="84" spans="1:194" ht="18.75" x14ac:dyDescent="0.3">
      <c r="A84" s="1846"/>
      <c r="B84" s="1846"/>
      <c r="C84" s="1846"/>
      <c r="D84" s="1846"/>
      <c r="E84" s="1846"/>
      <c r="F84" s="1846"/>
      <c r="G84" s="1846"/>
      <c r="H84" s="1846"/>
      <c r="I84" s="1846"/>
      <c r="J84" s="1846"/>
      <c r="K84" s="1846"/>
      <c r="L84" s="1846"/>
      <c r="M84" s="1846"/>
      <c r="N84" s="1846"/>
      <c r="O84" s="1846"/>
      <c r="P84" s="1846"/>
      <c r="Q84" s="1846"/>
      <c r="R84" s="1846"/>
      <c r="S84" s="1846"/>
      <c r="T84" s="1846"/>
      <c r="U84" s="1846"/>
      <c r="V84" s="1846"/>
      <c r="W84" s="1846"/>
      <c r="X84" s="1846"/>
      <c r="Y84" s="1846"/>
      <c r="Z84" s="1846"/>
      <c r="AA84" s="1846"/>
      <c r="AB84" s="1846"/>
      <c r="AC84" s="1846"/>
      <c r="AD84" s="1846"/>
      <c r="AE84" s="1846"/>
      <c r="AF84" s="1846"/>
      <c r="AG84" s="1846"/>
      <c r="AH84" s="1846"/>
      <c r="AI84" s="1846"/>
      <c r="AJ84" s="1846"/>
      <c r="AK84" s="1846"/>
      <c r="AL84" s="1846" t="s">
        <v>3652</v>
      </c>
      <c r="AM84" s="1846"/>
      <c r="AN84" s="184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  <c r="BG84" s="396"/>
      <c r="BH84" s="396"/>
      <c r="BI84" s="396"/>
      <c r="BJ84" s="396"/>
      <c r="BK84" s="396"/>
      <c r="BL84" s="396"/>
      <c r="BM84" s="396"/>
      <c r="BN84" s="396"/>
      <c r="BO84" s="396"/>
      <c r="BP84" s="396"/>
      <c r="BQ84" s="396"/>
      <c r="BR84" s="396"/>
      <c r="BS84" s="396"/>
      <c r="BT84" s="396"/>
      <c r="BU84" s="396"/>
      <c r="BV84" s="396"/>
      <c r="BW84" s="396"/>
      <c r="BX84" s="396"/>
      <c r="BY84" s="396"/>
      <c r="BZ84" s="396"/>
      <c r="CA84" s="396"/>
      <c r="CB84" s="396"/>
      <c r="CC84" s="396"/>
      <c r="CD84" s="396"/>
      <c r="CE84" s="396"/>
      <c r="CF84" s="396"/>
      <c r="CG84" s="396"/>
      <c r="CH84" s="396"/>
      <c r="CI84" s="396"/>
      <c r="CJ84" s="396"/>
      <c r="CK84" s="396"/>
      <c r="CL84" s="396"/>
      <c r="CM84" s="396"/>
      <c r="CN84" s="3159"/>
      <c r="CO84" s="3159"/>
      <c r="CP84" s="3159"/>
      <c r="CQ84" s="3159"/>
      <c r="CR84" s="3159"/>
      <c r="CS84" s="3159"/>
      <c r="CT84" s="396"/>
      <c r="CU84" s="396"/>
      <c r="CV84" s="396"/>
      <c r="CW84" s="3159"/>
      <c r="CX84" s="3159"/>
      <c r="CY84" s="3159"/>
      <c r="CZ84" s="3159"/>
      <c r="DA84" s="3159"/>
      <c r="DB84" s="3159"/>
      <c r="DC84" s="3159"/>
      <c r="DD84" s="3159"/>
      <c r="DE84" s="3159"/>
      <c r="DF84" s="3159"/>
      <c r="DG84" s="3159"/>
      <c r="DH84" s="3159"/>
      <c r="DI84" s="3159"/>
      <c r="DJ84" s="3159"/>
      <c r="DK84" s="3159"/>
      <c r="DL84" s="3159"/>
      <c r="DM84" s="3159"/>
      <c r="DN84" s="3159"/>
      <c r="DO84" s="396"/>
      <c r="DP84" s="396"/>
      <c r="DQ84" s="396"/>
      <c r="DR84" s="396"/>
      <c r="DS84" s="396"/>
      <c r="DT84" s="396"/>
      <c r="DU84" s="396"/>
      <c r="DV84" s="396"/>
      <c r="DW84" s="396"/>
      <c r="DX84" s="396"/>
      <c r="DY84" s="396"/>
      <c r="DZ84" s="396"/>
      <c r="EA84" s="396"/>
      <c r="EB84" s="396"/>
      <c r="EC84" s="396"/>
      <c r="ED84" s="396"/>
      <c r="EE84" s="396"/>
      <c r="EF84" s="396"/>
      <c r="EG84" s="396"/>
      <c r="EH84" s="396"/>
      <c r="EI84" s="396"/>
      <c r="EJ84" s="396"/>
      <c r="EK84" s="396"/>
      <c r="EL84" s="396"/>
      <c r="EM84" s="3159"/>
      <c r="EN84" s="3159"/>
      <c r="EO84" s="3159"/>
      <c r="EP84" s="3159"/>
      <c r="EQ84" s="3159"/>
      <c r="ER84" s="3159"/>
      <c r="ES84" s="3159"/>
      <c r="ET84" s="3159"/>
      <c r="EU84" s="3159"/>
      <c r="EV84" s="3159"/>
      <c r="EW84" s="3159"/>
      <c r="EX84" s="3159"/>
      <c r="EY84" s="3159"/>
      <c r="EZ84" s="3159"/>
      <c r="FA84" s="3159"/>
      <c r="FB84" s="3159"/>
      <c r="FC84" s="3159"/>
      <c r="FD84" s="3159"/>
      <c r="FE84" s="3159"/>
      <c r="FF84" s="3159"/>
      <c r="FG84" s="3159"/>
      <c r="FH84" s="3159"/>
      <c r="FI84" s="3159"/>
      <c r="FJ84" s="3159"/>
      <c r="FK84" s="3159"/>
      <c r="FL84" s="3159"/>
      <c r="FM84" s="3159"/>
      <c r="FN84" s="396"/>
      <c r="FO84" s="396"/>
      <c r="FP84" s="396"/>
      <c r="FQ84" s="396"/>
      <c r="FR84" s="396"/>
      <c r="FS84" s="396"/>
      <c r="FT84" s="396"/>
      <c r="FU84" s="396"/>
      <c r="FV84" s="396"/>
      <c r="FW84" s="396"/>
      <c r="FX84" s="396"/>
      <c r="FY84" s="396"/>
      <c r="FZ84" s="396"/>
      <c r="GA84" s="396"/>
      <c r="GB84" s="396"/>
      <c r="GC84" s="396"/>
      <c r="GD84" s="396"/>
      <c r="GE84" s="396"/>
      <c r="GF84" s="396"/>
      <c r="GG84" s="396"/>
      <c r="GH84" s="396"/>
      <c r="GI84" s="396"/>
      <c r="GJ84" s="396"/>
      <c r="GK84" s="396"/>
      <c r="GL84" s="396"/>
    </row>
    <row r="85" spans="1:194" ht="18.75" x14ac:dyDescent="0.3">
      <c r="A85" s="1846"/>
      <c r="B85" s="1846"/>
      <c r="C85" s="1846"/>
      <c r="D85" s="1846"/>
      <c r="E85" s="1846"/>
      <c r="F85" s="1846"/>
      <c r="G85" s="1846"/>
      <c r="H85" s="1846"/>
      <c r="I85" s="1846"/>
      <c r="J85" s="1846"/>
      <c r="K85" s="1846"/>
      <c r="L85" s="1846"/>
      <c r="M85" s="1846"/>
      <c r="N85" s="1846"/>
      <c r="O85" s="1846"/>
      <c r="P85" s="1846"/>
      <c r="Q85" s="1846"/>
      <c r="R85" s="1846"/>
      <c r="S85" s="1846"/>
      <c r="T85" s="1846"/>
      <c r="U85" s="1846"/>
      <c r="V85" s="1846"/>
      <c r="W85" s="1846"/>
      <c r="X85" s="1846"/>
      <c r="Y85" s="1846"/>
      <c r="Z85" s="1846"/>
      <c r="AA85" s="1846"/>
      <c r="AB85" s="1846"/>
      <c r="AC85" s="1846"/>
      <c r="AD85" s="1846"/>
      <c r="AE85" s="1846"/>
      <c r="AF85" s="1846"/>
      <c r="AG85" s="1846"/>
      <c r="AH85" s="1846"/>
      <c r="AI85" s="1846"/>
      <c r="AJ85" s="1846"/>
      <c r="AK85" s="1846"/>
      <c r="AL85" s="1846"/>
      <c r="AM85" s="1846"/>
      <c r="AN85" s="184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  <c r="BG85" s="396"/>
      <c r="BH85" s="396"/>
      <c r="BI85" s="396"/>
      <c r="BJ85" s="396"/>
      <c r="BK85" s="396"/>
      <c r="BL85" s="396"/>
      <c r="BM85" s="396"/>
      <c r="BN85" s="396"/>
      <c r="BO85" s="396"/>
      <c r="BP85" s="396"/>
      <c r="BQ85" s="396"/>
      <c r="BR85" s="396"/>
      <c r="BS85" s="396"/>
      <c r="BT85" s="396"/>
      <c r="BU85" s="396"/>
      <c r="BV85" s="396"/>
      <c r="BW85" s="396"/>
      <c r="BX85" s="396"/>
      <c r="BY85" s="396"/>
      <c r="BZ85" s="396"/>
      <c r="CA85" s="396"/>
      <c r="CB85" s="396"/>
      <c r="CC85" s="396"/>
      <c r="CD85" s="396"/>
      <c r="CE85" s="396"/>
      <c r="CF85" s="396"/>
      <c r="CG85" s="396"/>
      <c r="CH85" s="396"/>
      <c r="CI85" s="396"/>
      <c r="CJ85" s="396"/>
      <c r="CK85" s="396"/>
      <c r="CL85" s="396"/>
      <c r="CM85" s="396"/>
      <c r="CN85" s="3159"/>
      <c r="CO85" s="3159"/>
      <c r="CP85" s="3159"/>
      <c r="CQ85" s="3159"/>
      <c r="CR85" s="3159"/>
      <c r="CS85" s="3159"/>
      <c r="CT85" s="396"/>
      <c r="CU85" s="396"/>
      <c r="CV85" s="396"/>
      <c r="CW85" s="3159"/>
      <c r="CX85" s="3159"/>
      <c r="CY85" s="3159"/>
      <c r="CZ85" s="3159"/>
      <c r="DA85" s="3159"/>
      <c r="DB85" s="3159"/>
      <c r="DC85" s="3159"/>
      <c r="DD85" s="3159"/>
      <c r="DE85" s="3159"/>
      <c r="DF85" s="3159"/>
      <c r="DG85" s="3159"/>
      <c r="DH85" s="3159"/>
      <c r="DI85" s="3159"/>
      <c r="DJ85" s="3159"/>
      <c r="DK85" s="3159"/>
      <c r="DL85" s="3159"/>
      <c r="DM85" s="3159"/>
      <c r="DN85" s="3159"/>
      <c r="DO85" s="396"/>
      <c r="DP85" s="396"/>
      <c r="DQ85" s="396"/>
      <c r="DR85" s="396"/>
      <c r="DS85" s="396"/>
      <c r="DT85" s="396"/>
      <c r="DU85" s="396"/>
      <c r="DV85" s="396"/>
      <c r="DW85" s="396"/>
      <c r="DX85" s="396"/>
      <c r="DY85" s="396"/>
      <c r="DZ85" s="396"/>
      <c r="EA85" s="396"/>
      <c r="EB85" s="396"/>
      <c r="EC85" s="396"/>
      <c r="ED85" s="396"/>
      <c r="EE85" s="396"/>
      <c r="EF85" s="396"/>
      <c r="EG85" s="396"/>
      <c r="EH85" s="396"/>
      <c r="EI85" s="396"/>
      <c r="EJ85" s="396"/>
      <c r="EK85" s="396"/>
      <c r="EL85" s="396"/>
      <c r="EM85" s="3159"/>
      <c r="EN85" s="3159"/>
      <c r="EO85" s="3159"/>
      <c r="EP85" s="3159"/>
      <c r="EQ85" s="3159"/>
      <c r="ER85" s="3159"/>
      <c r="ES85" s="3159"/>
      <c r="ET85" s="3159"/>
      <c r="EU85" s="3159"/>
      <c r="EV85" s="3159"/>
      <c r="EW85" s="3159"/>
      <c r="EX85" s="3159"/>
      <c r="EY85" s="3159"/>
      <c r="EZ85" s="3159"/>
      <c r="FA85" s="3159"/>
      <c r="FB85" s="3159"/>
      <c r="FC85" s="3159"/>
      <c r="FD85" s="3159"/>
      <c r="FE85" s="3159"/>
      <c r="FF85" s="3159"/>
      <c r="FG85" s="3159"/>
      <c r="FH85" s="3159"/>
      <c r="FI85" s="3159"/>
      <c r="FJ85" s="3159"/>
      <c r="FK85" s="3159"/>
      <c r="FL85" s="3159"/>
      <c r="FM85" s="3159"/>
      <c r="FN85" s="396"/>
      <c r="FO85" s="396"/>
      <c r="FP85" s="396"/>
      <c r="FQ85" s="396"/>
      <c r="FR85" s="396"/>
      <c r="FS85" s="396"/>
      <c r="FT85" s="396"/>
      <c r="FU85" s="396"/>
      <c r="FV85" s="396"/>
      <c r="FW85" s="396"/>
      <c r="FX85" s="396"/>
      <c r="FY85" s="396"/>
      <c r="FZ85" s="396"/>
      <c r="GA85" s="396"/>
      <c r="GB85" s="396"/>
      <c r="GC85" s="396"/>
      <c r="GD85" s="396"/>
      <c r="GE85" s="396"/>
      <c r="GF85" s="396"/>
      <c r="GG85" s="396"/>
      <c r="GH85" s="396"/>
      <c r="GI85" s="396"/>
      <c r="GJ85" s="396"/>
      <c r="GK85" s="396"/>
      <c r="GL85" s="396"/>
    </row>
    <row r="86" spans="1:194" ht="18.75" x14ac:dyDescent="0.3">
      <c r="A86" s="1846"/>
      <c r="B86" s="3160"/>
      <c r="C86" s="3160"/>
      <c r="D86" s="3160"/>
      <c r="E86" s="3160"/>
      <c r="F86" s="3160"/>
      <c r="G86" s="3160"/>
      <c r="H86" s="3160"/>
      <c r="I86" s="3160"/>
      <c r="J86" s="3160"/>
      <c r="K86" s="3160"/>
      <c r="L86" s="3160"/>
      <c r="M86" s="3160"/>
      <c r="N86" s="3160"/>
      <c r="O86" s="3160"/>
      <c r="P86" s="3160"/>
      <c r="Q86" s="3160"/>
      <c r="R86" s="3160"/>
      <c r="S86" s="3160"/>
      <c r="T86" s="3160"/>
      <c r="U86" s="3160"/>
      <c r="V86" s="3160"/>
      <c r="W86" s="3160"/>
      <c r="X86" s="3160"/>
      <c r="Y86" s="3160"/>
      <c r="Z86" s="3160"/>
      <c r="AA86" s="3160"/>
      <c r="AB86" s="3160"/>
      <c r="AC86" s="3160"/>
      <c r="AD86" s="3160"/>
      <c r="AE86" s="3160"/>
      <c r="AF86" s="3160"/>
      <c r="AG86" s="3160"/>
      <c r="AH86" s="3160"/>
      <c r="AI86" s="3160"/>
      <c r="AJ86" s="3160"/>
      <c r="AK86" s="3160"/>
      <c r="AL86" s="3160" t="s">
        <v>1406</v>
      </c>
      <c r="AM86" s="3160"/>
      <c r="AN86" s="3160"/>
      <c r="AO86" s="627"/>
      <c r="AP86" s="627"/>
      <c r="AQ86" s="627"/>
      <c r="AR86" s="627"/>
      <c r="AS86" s="627"/>
      <c r="AT86" s="627"/>
      <c r="AU86" s="627"/>
      <c r="AV86" s="627"/>
      <c r="AW86" s="627"/>
      <c r="AX86" s="627"/>
      <c r="AY86" s="627"/>
      <c r="AZ86" s="627"/>
      <c r="BA86" s="627"/>
      <c r="BB86" s="627"/>
      <c r="BC86" s="627"/>
      <c r="BD86" s="627"/>
      <c r="BE86" s="627"/>
      <c r="BF86" s="627"/>
      <c r="BG86" s="627"/>
      <c r="BH86" s="627"/>
      <c r="BI86" s="627"/>
      <c r="BJ86" s="627"/>
      <c r="BK86" s="627"/>
      <c r="BL86" s="627"/>
      <c r="BM86" s="396"/>
      <c r="BN86" s="396"/>
      <c r="BO86" s="396"/>
      <c r="BP86" s="396"/>
      <c r="BQ86" s="396"/>
      <c r="BR86" s="396"/>
      <c r="BS86" s="396"/>
      <c r="BT86" s="396"/>
      <c r="BU86" s="396"/>
      <c r="BV86" s="396"/>
      <c r="BW86" s="396"/>
      <c r="BX86" s="396"/>
      <c r="BY86" s="396"/>
      <c r="BZ86" s="396"/>
      <c r="CA86" s="396"/>
      <c r="CB86" s="396"/>
      <c r="CC86" s="396"/>
      <c r="CD86" s="396"/>
      <c r="CE86" s="396"/>
      <c r="CF86" s="396"/>
      <c r="CG86" s="396"/>
      <c r="CH86" s="396"/>
      <c r="CI86" s="396"/>
      <c r="CJ86" s="396"/>
      <c r="CK86" s="396"/>
      <c r="CL86" s="396"/>
      <c r="CM86" s="396"/>
      <c r="CN86" s="3159"/>
      <c r="CO86" s="3159"/>
      <c r="CP86" s="3159"/>
      <c r="CQ86" s="3159"/>
      <c r="CR86" s="3159"/>
      <c r="CS86" s="3159"/>
      <c r="CT86" s="3159"/>
      <c r="CU86" s="3159"/>
      <c r="CV86" s="3159"/>
      <c r="CW86" s="3159"/>
      <c r="CX86" s="3159"/>
      <c r="CY86" s="3159"/>
      <c r="CZ86" s="3159"/>
      <c r="DA86" s="3159"/>
      <c r="DB86" s="3159"/>
      <c r="DC86" s="3159"/>
      <c r="DD86" s="3159"/>
      <c r="DE86" s="3159"/>
      <c r="DF86" s="3159"/>
      <c r="DG86" s="3159"/>
      <c r="DH86" s="3159"/>
      <c r="DI86" s="3159"/>
      <c r="DJ86" s="3159"/>
      <c r="DK86" s="3159"/>
      <c r="DL86" s="3159"/>
      <c r="DM86" s="3159"/>
      <c r="DN86" s="3159"/>
      <c r="DO86" s="396"/>
      <c r="DP86" s="396"/>
      <c r="DQ86" s="396"/>
      <c r="DR86" s="396"/>
      <c r="DS86" s="396"/>
      <c r="DT86" s="396"/>
      <c r="DU86" s="396"/>
      <c r="DV86" s="396"/>
      <c r="DW86" s="396"/>
      <c r="DX86" s="396"/>
      <c r="DY86" s="396"/>
      <c r="DZ86" s="396"/>
      <c r="EA86" s="396"/>
      <c r="EB86" s="396"/>
      <c r="EC86" s="396"/>
      <c r="ED86" s="396"/>
      <c r="EE86" s="396"/>
      <c r="EF86" s="396"/>
      <c r="EG86" s="396"/>
      <c r="EH86" s="396"/>
      <c r="EI86" s="396"/>
      <c r="EJ86" s="396"/>
      <c r="EK86" s="396"/>
      <c r="EL86" s="396"/>
      <c r="EM86" s="3159"/>
      <c r="EN86" s="3159"/>
      <c r="EO86" s="3159"/>
      <c r="EP86" s="3159"/>
      <c r="EQ86" s="3159"/>
      <c r="ER86" s="3159"/>
      <c r="ES86" s="3159"/>
      <c r="ET86" s="3159"/>
      <c r="EU86" s="3159"/>
      <c r="EV86" s="3159"/>
      <c r="EW86" s="3159"/>
      <c r="EX86" s="3159"/>
      <c r="EY86" s="3159"/>
      <c r="EZ86" s="3159"/>
      <c r="FA86" s="3159"/>
      <c r="FB86" s="3159"/>
      <c r="FC86" s="3159"/>
      <c r="FD86" s="3159"/>
      <c r="FE86" s="3159"/>
      <c r="FF86" s="3159"/>
      <c r="FG86" s="3159"/>
      <c r="FH86" s="3159"/>
      <c r="FI86" s="3159"/>
      <c r="FJ86" s="3159"/>
      <c r="FK86" s="3159"/>
      <c r="FL86" s="3159"/>
      <c r="FM86" s="3159"/>
      <c r="FN86" s="396"/>
      <c r="FO86" s="396"/>
      <c r="FP86" s="396"/>
      <c r="FQ86" s="396"/>
      <c r="FR86" s="396"/>
      <c r="FS86" s="396"/>
      <c r="FT86" s="396"/>
      <c r="FU86" s="396"/>
      <c r="FV86" s="396"/>
      <c r="FW86" s="396"/>
      <c r="FX86" s="396"/>
      <c r="FY86" s="396"/>
      <c r="FZ86" s="396"/>
      <c r="GA86" s="396"/>
      <c r="GB86" s="396"/>
      <c r="GC86" s="396"/>
      <c r="GD86" s="396"/>
      <c r="GE86" s="396"/>
      <c r="GF86" s="396"/>
      <c r="GG86" s="396"/>
      <c r="GH86" s="396"/>
      <c r="GI86" s="396"/>
      <c r="GJ86" s="396"/>
      <c r="GK86" s="396"/>
      <c r="GL86" s="396"/>
    </row>
    <row r="87" spans="1:194" ht="18.75" x14ac:dyDescent="0.3">
      <c r="A87" s="1846"/>
      <c r="B87" s="3160"/>
      <c r="C87" s="3160"/>
      <c r="D87" s="3160"/>
      <c r="E87" s="3160"/>
      <c r="F87" s="3160"/>
      <c r="G87" s="3160"/>
      <c r="H87" s="3160"/>
      <c r="I87" s="3160"/>
      <c r="J87" s="3160"/>
      <c r="K87" s="3160"/>
      <c r="L87" s="3160"/>
      <c r="M87" s="3160"/>
      <c r="N87" s="3160"/>
      <c r="O87" s="3160"/>
      <c r="P87" s="3160"/>
      <c r="Q87" s="3160"/>
      <c r="R87" s="3160"/>
      <c r="S87" s="3160"/>
      <c r="T87" s="3160"/>
      <c r="U87" s="3160"/>
      <c r="V87" s="3160"/>
      <c r="W87" s="3160"/>
      <c r="X87" s="3160"/>
      <c r="Y87" s="3160"/>
      <c r="Z87" s="3160"/>
      <c r="AA87" s="3160"/>
      <c r="AB87" s="3160"/>
      <c r="AC87" s="3160"/>
      <c r="AD87" s="3160"/>
      <c r="AE87" s="3160"/>
      <c r="AF87" s="3160"/>
      <c r="AG87" s="3160"/>
      <c r="AH87" s="3160"/>
      <c r="AI87" s="3160"/>
      <c r="AJ87" s="3160"/>
      <c r="AK87" s="3160"/>
      <c r="AL87" s="3160"/>
      <c r="AM87" s="3160"/>
      <c r="AN87" s="3160"/>
      <c r="AO87" s="627"/>
      <c r="AP87" s="627"/>
      <c r="AQ87" s="627"/>
      <c r="AR87" s="627"/>
      <c r="AS87" s="627"/>
      <c r="AT87" s="627"/>
      <c r="AU87" s="627"/>
      <c r="AV87" s="627"/>
      <c r="AW87" s="627"/>
      <c r="AX87" s="627"/>
      <c r="AY87" s="627"/>
      <c r="AZ87" s="627"/>
      <c r="BA87" s="627"/>
      <c r="BB87" s="627"/>
      <c r="BC87" s="627"/>
      <c r="BD87" s="627"/>
      <c r="BE87" s="627"/>
      <c r="BF87" s="627"/>
      <c r="BG87" s="627"/>
      <c r="BH87" s="627"/>
      <c r="BI87" s="627"/>
      <c r="BJ87" s="627"/>
      <c r="BK87" s="627"/>
      <c r="BL87" s="627"/>
      <c r="BM87" s="396"/>
      <c r="BN87" s="396"/>
      <c r="BO87" s="396"/>
      <c r="BP87" s="396"/>
      <c r="BQ87" s="396"/>
      <c r="BR87" s="396"/>
      <c r="BS87" s="396"/>
      <c r="BT87" s="396"/>
      <c r="BU87" s="396"/>
      <c r="BV87" s="396"/>
      <c r="BW87" s="396"/>
      <c r="BX87" s="396"/>
      <c r="BY87" s="396"/>
      <c r="BZ87" s="396"/>
      <c r="CA87" s="396"/>
      <c r="CB87" s="396"/>
      <c r="CC87" s="396"/>
      <c r="CD87" s="396"/>
      <c r="CE87" s="396"/>
      <c r="CF87" s="396"/>
      <c r="CG87" s="396"/>
      <c r="CH87" s="396"/>
      <c r="CI87" s="396"/>
      <c r="CJ87" s="396"/>
      <c r="CK87" s="396"/>
      <c r="CL87" s="396"/>
      <c r="CM87" s="396"/>
      <c r="CN87" s="3159"/>
      <c r="CO87" s="3159"/>
      <c r="CP87" s="3159"/>
      <c r="CQ87" s="3159"/>
      <c r="CR87" s="3159"/>
      <c r="CS87" s="3159"/>
      <c r="CT87" s="3159"/>
      <c r="CU87" s="3159"/>
      <c r="CV87" s="3159"/>
      <c r="CW87" s="3159"/>
      <c r="CX87" s="3159"/>
      <c r="CY87" s="3159"/>
      <c r="CZ87" s="3159"/>
      <c r="DA87" s="3159"/>
      <c r="DB87" s="3159"/>
      <c r="DC87" s="3159"/>
      <c r="DD87" s="3159"/>
      <c r="DE87" s="3159"/>
      <c r="DF87" s="3159"/>
      <c r="DG87" s="3159"/>
      <c r="DH87" s="3159"/>
      <c r="DI87" s="3159"/>
      <c r="DJ87" s="3159"/>
      <c r="DK87" s="3159"/>
      <c r="DL87" s="3159"/>
      <c r="DM87" s="3159"/>
      <c r="DN87" s="3159"/>
      <c r="DO87" s="396"/>
      <c r="DP87" s="396"/>
      <c r="DQ87" s="396"/>
      <c r="DR87" s="396"/>
      <c r="DS87" s="396"/>
      <c r="DT87" s="396"/>
      <c r="DU87" s="396"/>
      <c r="DV87" s="396"/>
      <c r="DW87" s="396"/>
      <c r="DX87" s="396"/>
      <c r="DY87" s="396"/>
      <c r="DZ87" s="396"/>
      <c r="EA87" s="396"/>
      <c r="EB87" s="396"/>
      <c r="EC87" s="396"/>
      <c r="ED87" s="396"/>
      <c r="EE87" s="396"/>
      <c r="EF87" s="396"/>
      <c r="EG87" s="396"/>
      <c r="EH87" s="396"/>
      <c r="EI87" s="396"/>
      <c r="EJ87" s="396"/>
      <c r="EK87" s="396"/>
      <c r="EL87" s="396"/>
      <c r="EM87" s="3159"/>
      <c r="EN87" s="3159"/>
      <c r="EO87" s="3159"/>
      <c r="EP87" s="3159"/>
      <c r="EQ87" s="3159"/>
      <c r="ER87" s="3159"/>
      <c r="ES87" s="3159"/>
      <c r="ET87" s="3159"/>
      <c r="EU87" s="3159"/>
      <c r="EV87" s="3159"/>
      <c r="EW87" s="3159"/>
      <c r="EX87" s="3159"/>
      <c r="EY87" s="3159"/>
      <c r="EZ87" s="3159"/>
      <c r="FA87" s="3159"/>
      <c r="FB87" s="3159"/>
      <c r="FC87" s="3159"/>
      <c r="FD87" s="3159"/>
      <c r="FE87" s="3159"/>
      <c r="FF87" s="3159"/>
      <c r="FG87" s="3159"/>
      <c r="FH87" s="3159"/>
      <c r="FI87" s="3159"/>
      <c r="FJ87" s="3159"/>
      <c r="FK87" s="3159"/>
      <c r="FL87" s="3159"/>
      <c r="FM87" s="3159"/>
      <c r="FN87" s="396"/>
      <c r="FO87" s="396"/>
      <c r="FP87" s="396"/>
      <c r="FQ87" s="396"/>
      <c r="FR87" s="396"/>
      <c r="FS87" s="396"/>
      <c r="FT87" s="396"/>
      <c r="FU87" s="396"/>
      <c r="FV87" s="396"/>
      <c r="FW87" s="396"/>
      <c r="FX87" s="396"/>
      <c r="FY87" s="396"/>
      <c r="FZ87" s="396"/>
      <c r="GA87" s="396"/>
      <c r="GB87" s="396"/>
      <c r="GC87" s="396"/>
      <c r="GD87" s="396"/>
      <c r="GE87" s="396"/>
      <c r="GF87" s="396"/>
      <c r="GG87" s="396"/>
      <c r="GH87" s="396"/>
      <c r="GI87" s="396"/>
      <c r="GJ87" s="396"/>
      <c r="GK87" s="396"/>
      <c r="GL87" s="396"/>
    </row>
    <row r="88" spans="1:194" ht="18.75" x14ac:dyDescent="0.3">
      <c r="A88" s="627"/>
      <c r="B88" s="627"/>
      <c r="C88" s="627"/>
      <c r="D88" s="627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7"/>
      <c r="V88" s="627"/>
      <c r="W88" s="627"/>
      <c r="X88" s="627"/>
      <c r="Y88" s="627"/>
      <c r="Z88" s="627"/>
      <c r="AA88" s="627"/>
      <c r="AB88" s="627"/>
      <c r="AC88" s="627"/>
      <c r="AD88" s="627"/>
      <c r="AE88" s="627"/>
      <c r="AF88" s="627"/>
      <c r="AG88" s="627"/>
      <c r="AH88" s="627"/>
      <c r="AI88" s="627"/>
      <c r="AJ88" s="627"/>
      <c r="AK88" s="627"/>
      <c r="AL88" s="627"/>
      <c r="AM88" s="627"/>
      <c r="AN88" s="627"/>
      <c r="AO88" s="627"/>
      <c r="AP88" s="627"/>
      <c r="AQ88" s="627"/>
      <c r="AR88" s="627"/>
      <c r="AS88" s="627"/>
      <c r="AT88" s="627"/>
      <c r="AU88" s="627"/>
      <c r="AV88" s="627"/>
      <c r="AW88" s="627"/>
      <c r="AX88" s="627"/>
      <c r="AY88" s="627"/>
      <c r="AZ88" s="627"/>
      <c r="BA88" s="627"/>
      <c r="BB88" s="627"/>
      <c r="BC88" s="627"/>
      <c r="BD88" s="627"/>
      <c r="BE88" s="627"/>
      <c r="BF88" s="627"/>
      <c r="BG88" s="627"/>
      <c r="BH88" s="627"/>
      <c r="BI88" s="627"/>
      <c r="BJ88" s="627"/>
      <c r="BK88" s="627"/>
      <c r="BL88" s="627"/>
      <c r="BM88" s="396"/>
      <c r="BN88" s="396"/>
      <c r="BO88" s="396"/>
      <c r="BP88" s="396"/>
      <c r="BQ88" s="396"/>
      <c r="BR88" s="396"/>
      <c r="BS88" s="396"/>
      <c r="BT88" s="396"/>
      <c r="BU88" s="396"/>
      <c r="BV88" s="396"/>
      <c r="BW88" s="396"/>
      <c r="BX88" s="396"/>
      <c r="BY88" s="396"/>
      <c r="BZ88" s="396"/>
      <c r="CA88" s="396"/>
      <c r="CB88" s="396"/>
      <c r="CC88" s="396"/>
      <c r="CD88" s="396"/>
      <c r="CE88" s="396"/>
      <c r="CF88" s="396"/>
      <c r="CG88" s="396"/>
      <c r="CH88" s="396"/>
      <c r="CI88" s="396"/>
      <c r="CJ88" s="396"/>
      <c r="CK88" s="396"/>
      <c r="CL88" s="396"/>
      <c r="CM88" s="396"/>
      <c r="CN88" s="3159"/>
      <c r="CO88" s="3159"/>
      <c r="CP88" s="3159"/>
      <c r="CQ88" s="3159"/>
      <c r="CR88" s="3159"/>
      <c r="CS88" s="3159"/>
      <c r="CT88" s="3159"/>
      <c r="CU88" s="3159"/>
      <c r="CV88" s="3159"/>
      <c r="CW88" s="3159"/>
      <c r="CX88" s="3159"/>
      <c r="CY88" s="3159"/>
      <c r="CZ88" s="3159"/>
      <c r="DA88" s="3159"/>
      <c r="DB88" s="3159"/>
      <c r="DC88" s="3159"/>
      <c r="DD88" s="3159"/>
      <c r="DE88" s="3159"/>
      <c r="DF88" s="3159"/>
      <c r="DG88" s="3159"/>
      <c r="DH88" s="3159"/>
      <c r="DI88" s="3159"/>
      <c r="DJ88" s="3159"/>
      <c r="DK88" s="3159"/>
      <c r="DL88" s="3159"/>
      <c r="DM88" s="3159"/>
      <c r="DN88" s="3159"/>
      <c r="DO88" s="396"/>
      <c r="DP88" s="396"/>
      <c r="DQ88" s="396"/>
      <c r="DR88" s="396"/>
      <c r="DS88" s="396"/>
      <c r="DT88" s="396"/>
      <c r="DU88" s="396"/>
      <c r="DV88" s="396"/>
      <c r="DW88" s="396"/>
      <c r="DX88" s="396"/>
      <c r="DY88" s="396"/>
      <c r="DZ88" s="396"/>
      <c r="EA88" s="396"/>
      <c r="EB88" s="396"/>
      <c r="EC88" s="396"/>
      <c r="ED88" s="396"/>
      <c r="EE88" s="396"/>
      <c r="EF88" s="396"/>
      <c r="EG88" s="396"/>
      <c r="EH88" s="396"/>
      <c r="EI88" s="396"/>
      <c r="EJ88" s="396"/>
      <c r="EK88" s="396"/>
      <c r="EL88" s="396"/>
      <c r="EM88" s="3159"/>
      <c r="EN88" s="3159"/>
      <c r="EO88" s="3159"/>
      <c r="EP88" s="3159"/>
      <c r="EQ88" s="3159"/>
      <c r="ER88" s="3159"/>
      <c r="ES88" s="3159"/>
      <c r="ET88" s="3159"/>
      <c r="EU88" s="3159"/>
      <c r="EV88" s="3159"/>
      <c r="EW88" s="3159"/>
      <c r="EX88" s="3159"/>
      <c r="EY88" s="3159"/>
      <c r="EZ88" s="3159"/>
      <c r="FA88" s="3159"/>
      <c r="FB88" s="3159"/>
      <c r="FC88" s="3159"/>
      <c r="FD88" s="3159"/>
      <c r="FE88" s="3159"/>
      <c r="FF88" s="3159"/>
      <c r="FG88" s="3159"/>
      <c r="FH88" s="3159"/>
      <c r="FI88" s="3159"/>
      <c r="FJ88" s="3159"/>
      <c r="FK88" s="3159"/>
      <c r="FL88" s="3159"/>
      <c r="FM88" s="3159"/>
      <c r="FN88" s="396"/>
      <c r="FO88" s="396"/>
      <c r="FP88" s="396"/>
      <c r="FQ88" s="396"/>
      <c r="FR88" s="396"/>
      <c r="FS88" s="396"/>
      <c r="FT88" s="396"/>
      <c r="FU88" s="396"/>
      <c r="FV88" s="396"/>
      <c r="FW88" s="396"/>
      <c r="FX88" s="396"/>
      <c r="FY88" s="396"/>
      <c r="FZ88" s="396"/>
      <c r="GA88" s="396"/>
      <c r="GB88" s="396"/>
      <c r="GC88" s="396"/>
      <c r="GD88" s="396"/>
      <c r="GE88" s="396"/>
      <c r="GF88" s="396"/>
      <c r="GG88" s="396"/>
      <c r="GH88" s="396"/>
      <c r="GI88" s="396"/>
      <c r="GJ88" s="396"/>
      <c r="GK88" s="396"/>
      <c r="GL88" s="396"/>
    </row>
    <row r="89" spans="1:194" ht="18.75" x14ac:dyDescent="0.3">
      <c r="A89" s="627"/>
      <c r="B89" s="627"/>
      <c r="C89" s="627"/>
      <c r="D89" s="627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7"/>
      <c r="V89" s="627"/>
      <c r="W89" s="627"/>
      <c r="X89" s="627"/>
      <c r="Y89" s="627"/>
      <c r="Z89" s="627"/>
      <c r="AA89" s="627"/>
      <c r="AB89" s="627"/>
      <c r="AC89" s="627"/>
      <c r="AD89" s="627"/>
      <c r="AE89" s="627"/>
      <c r="AF89" s="627"/>
      <c r="AG89" s="627"/>
      <c r="AH89" s="627"/>
      <c r="AI89" s="627"/>
      <c r="AJ89" s="627"/>
      <c r="AK89" s="627"/>
      <c r="AL89" s="627"/>
      <c r="AM89" s="627"/>
      <c r="AN89" s="627"/>
      <c r="AO89" s="627"/>
      <c r="AP89" s="627"/>
      <c r="AQ89" s="627"/>
      <c r="AR89" s="627"/>
      <c r="AS89" s="627"/>
      <c r="AT89" s="627"/>
      <c r="AU89" s="627"/>
      <c r="AV89" s="627"/>
      <c r="AW89" s="627"/>
      <c r="AX89" s="627"/>
      <c r="AY89" s="627"/>
      <c r="AZ89" s="627"/>
      <c r="BA89" s="627"/>
      <c r="BB89" s="627"/>
      <c r="BC89" s="627"/>
      <c r="BD89" s="627"/>
      <c r="BE89" s="627"/>
      <c r="BF89" s="627"/>
      <c r="BG89" s="627"/>
      <c r="BH89" s="627"/>
      <c r="BI89" s="627"/>
      <c r="BJ89" s="627"/>
      <c r="BK89" s="627"/>
      <c r="BL89" s="627"/>
      <c r="BM89" s="396"/>
      <c r="BN89" s="396"/>
      <c r="BO89" s="396"/>
      <c r="BP89" s="396"/>
      <c r="BQ89" s="396"/>
      <c r="BR89" s="396"/>
      <c r="BS89" s="396"/>
      <c r="BT89" s="396"/>
      <c r="BU89" s="396"/>
      <c r="BV89" s="396"/>
      <c r="BW89" s="396"/>
      <c r="BX89" s="396"/>
      <c r="BY89" s="396"/>
      <c r="BZ89" s="396"/>
      <c r="CA89" s="396"/>
      <c r="CB89" s="396"/>
      <c r="CC89" s="396"/>
      <c r="CD89" s="396"/>
      <c r="CE89" s="396"/>
      <c r="CF89" s="396"/>
      <c r="CG89" s="396"/>
      <c r="CH89" s="396"/>
      <c r="CI89" s="396"/>
      <c r="CJ89" s="396"/>
      <c r="CK89" s="396"/>
      <c r="CL89" s="396"/>
      <c r="CM89" s="396"/>
      <c r="CN89" s="3159"/>
      <c r="CO89" s="3159"/>
      <c r="CP89" s="3159"/>
      <c r="CQ89" s="3159"/>
      <c r="CR89" s="3159"/>
      <c r="CS89" s="3159"/>
      <c r="CT89" s="3159"/>
      <c r="CU89" s="3159"/>
      <c r="CV89" s="3159"/>
      <c r="CW89" s="3159"/>
      <c r="CX89" s="3159"/>
      <c r="CY89" s="3159"/>
      <c r="CZ89" s="3159"/>
      <c r="DA89" s="3159"/>
      <c r="DB89" s="3159"/>
      <c r="DC89" s="3159"/>
      <c r="DD89" s="3159"/>
      <c r="DE89" s="3159"/>
      <c r="DF89" s="3159"/>
      <c r="DG89" s="3159"/>
      <c r="DH89" s="3159"/>
      <c r="DI89" s="3159"/>
      <c r="DJ89" s="3159"/>
      <c r="DK89" s="3159"/>
      <c r="DL89" s="3159"/>
      <c r="DM89" s="3159"/>
      <c r="DN89" s="3159"/>
      <c r="DO89" s="396"/>
      <c r="DP89" s="396"/>
      <c r="DQ89" s="396"/>
      <c r="DR89" s="396"/>
      <c r="DS89" s="396"/>
      <c r="DT89" s="396"/>
      <c r="DU89" s="396"/>
      <c r="DV89" s="396"/>
      <c r="DW89" s="396"/>
      <c r="DX89" s="396"/>
      <c r="DY89" s="396"/>
      <c r="DZ89" s="396"/>
      <c r="EA89" s="396"/>
      <c r="EB89" s="396"/>
      <c r="EC89" s="396"/>
      <c r="ED89" s="396"/>
      <c r="EE89" s="396"/>
      <c r="EF89" s="396"/>
      <c r="EG89" s="396"/>
      <c r="EH89" s="396"/>
      <c r="EI89" s="396"/>
      <c r="EJ89" s="396"/>
      <c r="EK89" s="396"/>
      <c r="EL89" s="396"/>
      <c r="EM89" s="3159"/>
      <c r="EN89" s="3159"/>
      <c r="EO89" s="3159"/>
      <c r="EP89" s="3159"/>
      <c r="EQ89" s="3159"/>
      <c r="ER89" s="3159"/>
      <c r="ES89" s="3159"/>
      <c r="ET89" s="3159"/>
      <c r="EU89" s="3159"/>
      <c r="EV89" s="3159"/>
      <c r="EW89" s="3159"/>
      <c r="EX89" s="3159"/>
      <c r="EY89" s="3159"/>
      <c r="EZ89" s="3159"/>
      <c r="FA89" s="3159"/>
      <c r="FB89" s="3159"/>
      <c r="FC89" s="3159"/>
      <c r="FD89" s="3159"/>
      <c r="FE89" s="3159"/>
      <c r="FF89" s="3159"/>
      <c r="FG89" s="3159"/>
      <c r="FH89" s="3159"/>
      <c r="FI89" s="3159"/>
      <c r="FJ89" s="3159"/>
      <c r="FK89" s="3159"/>
      <c r="FL89" s="3159"/>
      <c r="FM89" s="3159"/>
      <c r="FN89" s="396"/>
      <c r="FO89" s="396"/>
      <c r="FP89" s="396"/>
      <c r="FQ89" s="396"/>
      <c r="FR89" s="396"/>
      <c r="FS89" s="396"/>
      <c r="FT89" s="396"/>
      <c r="FU89" s="396"/>
      <c r="FV89" s="396"/>
      <c r="FW89" s="396"/>
      <c r="FX89" s="396"/>
      <c r="FY89" s="396"/>
      <c r="FZ89" s="396"/>
      <c r="GA89" s="396"/>
      <c r="GB89" s="396"/>
      <c r="GC89" s="396"/>
      <c r="GD89" s="396"/>
      <c r="GE89" s="396"/>
      <c r="GF89" s="396"/>
      <c r="GG89" s="396"/>
      <c r="GH89" s="396"/>
      <c r="GI89" s="396"/>
      <c r="GJ89" s="396"/>
      <c r="GK89" s="396"/>
      <c r="GL89" s="396"/>
    </row>
    <row r="90" spans="1:194" ht="18.75" x14ac:dyDescent="0.3">
      <c r="A90" s="627"/>
      <c r="B90" s="627"/>
      <c r="C90" s="627"/>
      <c r="D90" s="627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7"/>
      <c r="V90" s="627"/>
      <c r="W90" s="627"/>
      <c r="X90" s="627"/>
      <c r="Y90" s="627"/>
      <c r="Z90" s="627"/>
      <c r="AA90" s="627"/>
      <c r="AB90" s="627"/>
      <c r="AC90" s="627"/>
      <c r="AD90" s="627"/>
      <c r="AE90" s="627"/>
      <c r="AF90" s="627"/>
      <c r="AG90" s="627"/>
      <c r="AH90" s="627"/>
      <c r="AI90" s="627"/>
      <c r="AJ90" s="627"/>
      <c r="AK90" s="627"/>
      <c r="AL90" s="627"/>
      <c r="AM90" s="627"/>
      <c r="AN90" s="627"/>
      <c r="AO90" s="627"/>
      <c r="AP90" s="627"/>
      <c r="AQ90" s="627"/>
      <c r="AR90" s="627"/>
      <c r="AS90" s="627"/>
      <c r="AT90" s="627"/>
      <c r="AU90" s="627"/>
      <c r="AV90" s="627"/>
      <c r="AW90" s="627"/>
      <c r="AX90" s="627"/>
      <c r="AY90" s="627"/>
      <c r="AZ90" s="627"/>
      <c r="BA90" s="627"/>
      <c r="BB90" s="627"/>
      <c r="BC90" s="627"/>
      <c r="BD90" s="627"/>
      <c r="BE90" s="627"/>
      <c r="BF90" s="627"/>
      <c r="BG90" s="627"/>
      <c r="BH90" s="627"/>
      <c r="BI90" s="627"/>
      <c r="BJ90" s="627"/>
      <c r="BK90" s="627"/>
      <c r="BL90" s="627"/>
      <c r="BM90" s="396"/>
      <c r="BN90" s="396"/>
      <c r="BO90" s="396"/>
      <c r="BP90" s="396"/>
      <c r="BQ90" s="396"/>
      <c r="BR90" s="396"/>
      <c r="BS90" s="396"/>
      <c r="BT90" s="396"/>
      <c r="BU90" s="396"/>
      <c r="BV90" s="396"/>
      <c r="BW90" s="396"/>
      <c r="BX90" s="396"/>
      <c r="BY90" s="396"/>
      <c r="BZ90" s="396"/>
      <c r="CA90" s="396"/>
      <c r="CB90" s="396"/>
      <c r="CC90" s="396"/>
      <c r="CD90" s="396"/>
      <c r="CE90" s="396"/>
      <c r="CF90" s="396"/>
      <c r="CG90" s="396"/>
      <c r="CH90" s="396"/>
      <c r="CI90" s="396"/>
      <c r="CJ90" s="396"/>
      <c r="CK90" s="396"/>
      <c r="CL90" s="396"/>
      <c r="CM90" s="396"/>
      <c r="CN90" s="3159"/>
      <c r="CO90" s="3159"/>
      <c r="CP90" s="3159"/>
      <c r="CQ90" s="3159"/>
      <c r="CR90" s="3159"/>
      <c r="CS90" s="3159"/>
      <c r="CT90" s="3159"/>
      <c r="CU90" s="3159"/>
      <c r="CV90" s="3159"/>
      <c r="CW90" s="3159"/>
      <c r="CX90" s="3159"/>
      <c r="CY90" s="3159"/>
      <c r="CZ90" s="3159"/>
      <c r="DA90" s="3159"/>
      <c r="DB90" s="3159"/>
      <c r="DC90" s="3159"/>
      <c r="DD90" s="3159"/>
      <c r="DE90" s="3159"/>
      <c r="DF90" s="3159"/>
      <c r="DG90" s="3159"/>
      <c r="DH90" s="3159"/>
      <c r="DI90" s="3159"/>
      <c r="DJ90" s="3159"/>
      <c r="DK90" s="3159"/>
      <c r="DL90" s="3159"/>
      <c r="DM90" s="3159"/>
      <c r="DN90" s="3159"/>
      <c r="DO90" s="396"/>
      <c r="DP90" s="396"/>
      <c r="DQ90" s="396"/>
      <c r="DR90" s="396"/>
      <c r="DS90" s="396"/>
      <c r="DT90" s="396"/>
      <c r="DU90" s="396"/>
      <c r="DV90" s="396"/>
      <c r="DW90" s="396"/>
      <c r="DX90" s="396"/>
      <c r="DY90" s="396"/>
      <c r="DZ90" s="396"/>
      <c r="EA90" s="396"/>
      <c r="EB90" s="396"/>
      <c r="EC90" s="396"/>
      <c r="ED90" s="396"/>
      <c r="EE90" s="396"/>
      <c r="EF90" s="396"/>
      <c r="EG90" s="396"/>
      <c r="EH90" s="396"/>
      <c r="EI90" s="396"/>
      <c r="EJ90" s="396"/>
      <c r="EK90" s="396"/>
      <c r="EL90" s="396"/>
      <c r="EM90" s="3159"/>
      <c r="EN90" s="3159"/>
      <c r="EO90" s="3159"/>
      <c r="EP90" s="3159"/>
      <c r="EQ90" s="3159"/>
      <c r="ER90" s="3159"/>
      <c r="ES90" s="3159"/>
      <c r="ET90" s="3159"/>
      <c r="EU90" s="3159"/>
      <c r="EV90" s="3159"/>
      <c r="EW90" s="3159"/>
      <c r="EX90" s="3159"/>
      <c r="EY90" s="3159"/>
      <c r="EZ90" s="3159"/>
      <c r="FA90" s="3159"/>
      <c r="FB90" s="3159"/>
      <c r="FC90" s="3159"/>
      <c r="FD90" s="3159"/>
      <c r="FE90" s="3159"/>
      <c r="FF90" s="3159"/>
      <c r="FG90" s="3159"/>
      <c r="FH90" s="3159"/>
      <c r="FI90" s="3159"/>
      <c r="FJ90" s="3159"/>
      <c r="FK90" s="3159"/>
      <c r="FL90" s="3159"/>
      <c r="FM90" s="3159"/>
      <c r="FN90" s="396"/>
      <c r="FO90" s="396"/>
      <c r="FP90" s="396"/>
      <c r="FQ90" s="396"/>
      <c r="FR90" s="396"/>
      <c r="FS90" s="396"/>
      <c r="FT90" s="396"/>
      <c r="FU90" s="396"/>
      <c r="FV90" s="396"/>
      <c r="FW90" s="396"/>
      <c r="FX90" s="396"/>
      <c r="FY90" s="396"/>
      <c r="FZ90" s="396"/>
      <c r="GA90" s="396"/>
      <c r="GB90" s="396"/>
      <c r="GC90" s="396"/>
      <c r="GD90" s="396"/>
      <c r="GE90" s="396"/>
      <c r="GF90" s="396"/>
      <c r="GG90" s="396"/>
      <c r="GH90" s="396"/>
      <c r="GI90" s="396"/>
      <c r="GJ90" s="396"/>
      <c r="GK90" s="396"/>
      <c r="GL90" s="396"/>
    </row>
    <row r="91" spans="1:194" ht="18.75" x14ac:dyDescent="0.3">
      <c r="A91" s="627"/>
      <c r="B91" s="627"/>
      <c r="C91" s="627"/>
      <c r="D91" s="627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7"/>
      <c r="V91" s="627"/>
      <c r="W91" s="627"/>
      <c r="X91" s="627"/>
      <c r="Y91" s="627"/>
      <c r="Z91" s="627"/>
      <c r="AA91" s="627"/>
      <c r="AB91" s="627"/>
      <c r="AC91" s="627"/>
      <c r="AD91" s="627"/>
      <c r="AE91" s="627"/>
      <c r="AF91" s="627"/>
      <c r="AG91" s="627"/>
      <c r="AH91" s="627"/>
      <c r="AI91" s="627"/>
      <c r="AJ91" s="627"/>
      <c r="AK91" s="627"/>
      <c r="AL91" s="627"/>
      <c r="AM91" s="627"/>
      <c r="AN91" s="627"/>
      <c r="AO91" s="627"/>
      <c r="AP91" s="627"/>
      <c r="AQ91" s="627"/>
      <c r="AR91" s="627"/>
      <c r="AS91" s="627"/>
      <c r="AT91" s="627"/>
      <c r="AU91" s="627"/>
      <c r="AV91" s="627"/>
      <c r="AW91" s="627"/>
      <c r="AX91" s="627"/>
      <c r="AY91" s="627"/>
      <c r="AZ91" s="627"/>
      <c r="BA91" s="627"/>
      <c r="BB91" s="627"/>
      <c r="BC91" s="627"/>
      <c r="BD91" s="627"/>
      <c r="BE91" s="627"/>
      <c r="BF91" s="627"/>
      <c r="BG91" s="627"/>
      <c r="BH91" s="627"/>
      <c r="BI91" s="627"/>
      <c r="BJ91" s="627"/>
      <c r="BK91" s="627"/>
      <c r="BL91" s="627"/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396"/>
      <c r="CG91" s="396"/>
      <c r="CH91" s="396"/>
      <c r="CI91" s="396"/>
      <c r="CJ91" s="396"/>
      <c r="CK91" s="396"/>
      <c r="CL91" s="396"/>
      <c r="CM91" s="396"/>
      <c r="CN91" s="3159"/>
      <c r="CO91" s="3159"/>
      <c r="CP91" s="3159"/>
      <c r="CQ91" s="3159"/>
      <c r="CR91" s="3159"/>
      <c r="CS91" s="3159"/>
      <c r="CT91" s="3159"/>
      <c r="CU91" s="3159"/>
      <c r="CV91" s="3159"/>
      <c r="CW91" s="3159"/>
      <c r="CX91" s="3159"/>
      <c r="CY91" s="3159"/>
      <c r="CZ91" s="3159"/>
      <c r="DA91" s="3159"/>
      <c r="DB91" s="3159"/>
      <c r="DC91" s="3159"/>
      <c r="DD91" s="3159"/>
      <c r="DE91" s="3159"/>
      <c r="DF91" s="3159"/>
      <c r="DG91" s="3159"/>
      <c r="DH91" s="3159"/>
      <c r="DI91" s="3159"/>
      <c r="DJ91" s="3159"/>
      <c r="DK91" s="3159"/>
      <c r="DL91" s="3159"/>
      <c r="DM91" s="3159"/>
      <c r="DN91" s="3159"/>
      <c r="DO91" s="396"/>
      <c r="DP91" s="396"/>
      <c r="DQ91" s="396"/>
      <c r="DR91" s="396"/>
      <c r="DS91" s="396"/>
      <c r="DT91" s="396"/>
      <c r="DU91" s="396"/>
      <c r="DV91" s="396"/>
      <c r="DW91" s="396"/>
      <c r="DX91" s="396"/>
      <c r="DY91" s="396"/>
      <c r="DZ91" s="396"/>
      <c r="EA91" s="396"/>
      <c r="EB91" s="396"/>
      <c r="EC91" s="396"/>
      <c r="ED91" s="396"/>
      <c r="EE91" s="396"/>
      <c r="EF91" s="396"/>
      <c r="EG91" s="396"/>
      <c r="EH91" s="396"/>
      <c r="EI91" s="396"/>
      <c r="EJ91" s="396"/>
      <c r="EK91" s="396"/>
      <c r="EL91" s="396"/>
      <c r="EM91" s="3159"/>
      <c r="EN91" s="3159"/>
      <c r="EO91" s="3159"/>
      <c r="EP91" s="3159"/>
      <c r="EQ91" s="3159"/>
      <c r="ER91" s="3159"/>
      <c r="ES91" s="3159"/>
      <c r="ET91" s="3159"/>
      <c r="EU91" s="3159"/>
      <c r="EV91" s="3159"/>
      <c r="EW91" s="3159"/>
      <c r="EX91" s="3159"/>
      <c r="EY91" s="3159"/>
      <c r="EZ91" s="3159"/>
      <c r="FA91" s="3159"/>
      <c r="FB91" s="3159"/>
      <c r="FC91" s="3159"/>
      <c r="FD91" s="3159"/>
      <c r="FE91" s="3159"/>
      <c r="FF91" s="3159"/>
      <c r="FG91" s="3159"/>
      <c r="FH91" s="3159"/>
      <c r="FI91" s="3159"/>
      <c r="FJ91" s="3159"/>
      <c r="FK91" s="3159"/>
      <c r="FL91" s="3159"/>
      <c r="FM91" s="3159"/>
      <c r="FN91" s="396"/>
      <c r="FO91" s="396"/>
      <c r="FP91" s="396"/>
      <c r="FQ91" s="396"/>
      <c r="FR91" s="396"/>
      <c r="FS91" s="396"/>
      <c r="FT91" s="396"/>
      <c r="FU91" s="396"/>
      <c r="FV91" s="396"/>
      <c r="FW91" s="396"/>
      <c r="FX91" s="396"/>
      <c r="FY91" s="396"/>
      <c r="FZ91" s="396"/>
      <c r="GA91" s="396"/>
      <c r="GB91" s="396"/>
      <c r="GC91" s="396"/>
      <c r="GD91" s="396"/>
      <c r="GE91" s="396"/>
      <c r="GF91" s="396"/>
      <c r="GG91" s="396"/>
      <c r="GH91" s="396"/>
      <c r="GI91" s="396"/>
      <c r="GJ91" s="396"/>
      <c r="GK91" s="396"/>
      <c r="GL91" s="396"/>
    </row>
    <row r="92" spans="1:194" ht="18.75" x14ac:dyDescent="0.3">
      <c r="A92" s="627"/>
      <c r="B92" s="627"/>
      <c r="C92" s="627"/>
      <c r="D92" s="627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7"/>
      <c r="Z92" s="627"/>
      <c r="AA92" s="627"/>
      <c r="AB92" s="627"/>
      <c r="AC92" s="627"/>
      <c r="AD92" s="627"/>
      <c r="AE92" s="627"/>
      <c r="AF92" s="627"/>
      <c r="AG92" s="627"/>
      <c r="AH92" s="627"/>
      <c r="AI92" s="627"/>
      <c r="AJ92" s="627"/>
      <c r="AK92" s="627"/>
      <c r="AL92" s="627"/>
      <c r="AM92" s="627"/>
      <c r="AN92" s="627"/>
      <c r="AO92" s="627"/>
      <c r="AP92" s="627"/>
      <c r="AQ92" s="627"/>
      <c r="AR92" s="627"/>
      <c r="AS92" s="627"/>
      <c r="AT92" s="627"/>
      <c r="AU92" s="627"/>
      <c r="AV92" s="627"/>
      <c r="AW92" s="627"/>
      <c r="AX92" s="627"/>
      <c r="AY92" s="627"/>
      <c r="AZ92" s="627"/>
      <c r="BA92" s="627"/>
      <c r="BB92" s="627"/>
      <c r="BC92" s="627"/>
      <c r="BD92" s="627"/>
      <c r="BE92" s="627"/>
      <c r="BF92" s="627"/>
      <c r="BG92" s="627"/>
      <c r="BH92" s="627"/>
      <c r="BI92" s="627"/>
      <c r="BJ92" s="627"/>
      <c r="BK92" s="627"/>
      <c r="BL92" s="627"/>
      <c r="BM92" s="396"/>
      <c r="BN92" s="396"/>
      <c r="BO92" s="396"/>
      <c r="BP92" s="396"/>
      <c r="BQ92" s="396"/>
      <c r="BR92" s="396"/>
      <c r="BS92" s="396"/>
      <c r="BT92" s="396"/>
      <c r="BU92" s="396"/>
      <c r="BV92" s="396"/>
      <c r="BW92" s="396"/>
      <c r="BX92" s="396"/>
      <c r="BY92" s="396"/>
      <c r="BZ92" s="396"/>
      <c r="CA92" s="396"/>
      <c r="CB92" s="396"/>
      <c r="CC92" s="396"/>
      <c r="CD92" s="396"/>
      <c r="CE92" s="396"/>
      <c r="CF92" s="396"/>
      <c r="CG92" s="396"/>
      <c r="CH92" s="396"/>
      <c r="CI92" s="396"/>
      <c r="CJ92" s="396"/>
      <c r="CK92" s="396"/>
      <c r="CL92" s="396"/>
      <c r="CM92" s="396"/>
      <c r="CN92" s="3159"/>
      <c r="CO92" s="3159"/>
      <c r="CP92" s="3159"/>
      <c r="CQ92" s="3159"/>
      <c r="CR92" s="3159"/>
      <c r="CS92" s="3159"/>
      <c r="CT92" s="3159"/>
      <c r="CU92" s="3159"/>
      <c r="CV92" s="3159"/>
      <c r="CW92" s="3159"/>
      <c r="CX92" s="3159"/>
      <c r="CY92" s="3159"/>
      <c r="CZ92" s="3159"/>
      <c r="DA92" s="3159"/>
      <c r="DB92" s="3159"/>
      <c r="DC92" s="3159"/>
      <c r="DD92" s="3159"/>
      <c r="DE92" s="3159"/>
      <c r="DF92" s="3159"/>
      <c r="DG92" s="3159"/>
      <c r="DH92" s="3159"/>
      <c r="DI92" s="3159"/>
      <c r="DJ92" s="3159"/>
      <c r="DK92" s="3159"/>
      <c r="DL92" s="3159"/>
      <c r="DM92" s="3159"/>
      <c r="DN92" s="3159"/>
      <c r="DO92" s="396"/>
      <c r="DP92" s="396"/>
      <c r="DQ92" s="396"/>
      <c r="DR92" s="396"/>
      <c r="DS92" s="396"/>
      <c r="DT92" s="396"/>
      <c r="DU92" s="396"/>
      <c r="DV92" s="396"/>
      <c r="DW92" s="396"/>
      <c r="DX92" s="396"/>
      <c r="DY92" s="396"/>
      <c r="DZ92" s="396"/>
      <c r="EA92" s="396"/>
      <c r="EB92" s="396"/>
      <c r="EC92" s="396"/>
      <c r="ED92" s="396"/>
      <c r="EE92" s="396"/>
      <c r="EF92" s="396"/>
      <c r="EG92" s="396"/>
      <c r="EH92" s="396"/>
      <c r="EI92" s="396"/>
      <c r="EJ92" s="396"/>
      <c r="EK92" s="396"/>
      <c r="EL92" s="396"/>
      <c r="EM92" s="3159"/>
      <c r="EN92" s="3159"/>
      <c r="EO92" s="3159"/>
      <c r="EP92" s="3159"/>
      <c r="EQ92" s="3159"/>
      <c r="ER92" s="3159"/>
      <c r="ES92" s="3159"/>
      <c r="ET92" s="3159"/>
      <c r="EU92" s="3159"/>
      <c r="EV92" s="3159"/>
      <c r="EW92" s="3159"/>
      <c r="EX92" s="3159"/>
      <c r="EY92" s="3159"/>
      <c r="EZ92" s="3159"/>
      <c r="FA92" s="3159"/>
      <c r="FB92" s="3159"/>
      <c r="FC92" s="3159"/>
      <c r="FD92" s="3159"/>
      <c r="FE92" s="3159"/>
      <c r="FF92" s="3159"/>
      <c r="FG92" s="3159"/>
      <c r="FH92" s="3159"/>
      <c r="FI92" s="3159"/>
      <c r="FJ92" s="3159"/>
      <c r="FK92" s="3159"/>
      <c r="FL92" s="3159"/>
      <c r="FM92" s="3159"/>
      <c r="FN92" s="396"/>
      <c r="FO92" s="396"/>
      <c r="FP92" s="396"/>
      <c r="FQ92" s="396"/>
      <c r="FR92" s="396"/>
      <c r="FS92" s="396"/>
      <c r="FT92" s="396"/>
      <c r="FU92" s="396"/>
      <c r="FV92" s="396"/>
      <c r="FW92" s="396"/>
      <c r="FX92" s="396"/>
      <c r="FY92" s="396"/>
      <c r="FZ92" s="396"/>
      <c r="GA92" s="396"/>
      <c r="GB92" s="396"/>
      <c r="GC92" s="396"/>
      <c r="GD92" s="396"/>
      <c r="GE92" s="396"/>
      <c r="GF92" s="396"/>
      <c r="GG92" s="396"/>
      <c r="GH92" s="396"/>
      <c r="GI92" s="396"/>
      <c r="GJ92" s="396"/>
      <c r="GK92" s="396"/>
      <c r="GL92" s="396"/>
    </row>
    <row r="93" spans="1:194" x14ac:dyDescent="0.2">
      <c r="CN93" s="585"/>
      <c r="CO93" s="585"/>
      <c r="CP93" s="585"/>
      <c r="CQ93" s="585"/>
      <c r="CR93" s="585"/>
      <c r="CS93" s="585"/>
      <c r="CT93" s="585"/>
      <c r="CU93" s="585"/>
      <c r="CV93" s="585"/>
      <c r="CW93" s="585"/>
      <c r="CX93" s="585"/>
      <c r="CY93" s="585"/>
      <c r="CZ93" s="585"/>
      <c r="DA93" s="585"/>
      <c r="DB93" s="585"/>
      <c r="DC93" s="585"/>
      <c r="DD93" s="585"/>
      <c r="DE93" s="585"/>
      <c r="DF93" s="585"/>
      <c r="DG93" s="585"/>
      <c r="DH93" s="585"/>
      <c r="DI93" s="585"/>
      <c r="DJ93" s="585"/>
      <c r="DK93" s="585"/>
      <c r="DL93" s="585"/>
      <c r="DM93" s="585"/>
      <c r="DN93" s="585"/>
      <c r="EM93" s="585"/>
      <c r="EN93" s="585"/>
      <c r="EO93" s="585"/>
      <c r="EP93" s="585"/>
      <c r="EQ93" s="585"/>
      <c r="ER93" s="585"/>
      <c r="ES93" s="585"/>
      <c r="ET93" s="585"/>
      <c r="EU93" s="585"/>
      <c r="EV93" s="585"/>
      <c r="EW93" s="585"/>
      <c r="EX93" s="585"/>
      <c r="EY93" s="585"/>
      <c r="EZ93" s="585"/>
      <c r="FA93" s="585"/>
      <c r="FB93" s="585"/>
      <c r="FC93" s="585"/>
      <c r="FD93" s="585"/>
      <c r="FE93" s="585"/>
      <c r="FF93" s="585"/>
      <c r="FG93" s="585"/>
      <c r="FH93" s="585"/>
      <c r="FI93" s="585"/>
      <c r="FJ93" s="585"/>
      <c r="FK93" s="585"/>
      <c r="FL93" s="585"/>
      <c r="FM93" s="585"/>
    </row>
    <row r="94" spans="1:194" x14ac:dyDescent="0.2">
      <c r="CN94" s="585"/>
      <c r="CO94" s="585"/>
      <c r="CP94" s="585"/>
      <c r="CQ94" s="585"/>
      <c r="CR94" s="585"/>
      <c r="CS94" s="585"/>
      <c r="CT94" s="585"/>
      <c r="CU94" s="585"/>
      <c r="CV94" s="585"/>
      <c r="CW94" s="585"/>
      <c r="CX94" s="585"/>
      <c r="CY94" s="585"/>
      <c r="CZ94" s="585"/>
      <c r="DA94" s="585"/>
      <c r="DB94" s="585"/>
      <c r="DC94" s="585"/>
      <c r="DD94" s="585"/>
      <c r="DE94" s="585"/>
      <c r="DF94" s="585"/>
      <c r="DG94" s="585"/>
      <c r="DH94" s="585"/>
      <c r="DI94" s="585"/>
      <c r="DJ94" s="585"/>
      <c r="DK94" s="585"/>
      <c r="DL94" s="585"/>
      <c r="DM94" s="585"/>
      <c r="DN94" s="585"/>
      <c r="EM94" s="585"/>
      <c r="EN94" s="585"/>
      <c r="EO94" s="585"/>
      <c r="EP94" s="585"/>
      <c r="EQ94" s="585"/>
      <c r="ER94" s="585"/>
      <c r="ES94" s="585"/>
      <c r="ET94" s="585"/>
      <c r="EU94" s="585"/>
      <c r="EV94" s="585"/>
      <c r="EW94" s="585"/>
      <c r="EX94" s="585"/>
      <c r="EY94" s="585"/>
      <c r="EZ94" s="585"/>
      <c r="FA94" s="585"/>
      <c r="FB94" s="585"/>
      <c r="FC94" s="585"/>
      <c r="FD94" s="585"/>
      <c r="FE94" s="585"/>
      <c r="FF94" s="585"/>
      <c r="FG94" s="585"/>
      <c r="FH94" s="585"/>
      <c r="FI94" s="585"/>
      <c r="FJ94" s="585"/>
      <c r="FK94" s="585"/>
      <c r="FL94" s="585"/>
      <c r="FM94" s="585"/>
    </row>
    <row r="95" spans="1:194" x14ac:dyDescent="0.2">
      <c r="EM95" s="585"/>
      <c r="EN95" s="585"/>
      <c r="EO95" s="585"/>
      <c r="EP95" s="585"/>
      <c r="EQ95" s="585"/>
      <c r="ER95" s="585"/>
      <c r="ES95" s="585"/>
      <c r="ET95" s="585"/>
      <c r="EU95" s="585"/>
      <c r="EV95" s="585"/>
      <c r="EW95" s="585"/>
      <c r="EX95" s="585"/>
      <c r="EY95" s="585"/>
      <c r="EZ95" s="585"/>
      <c r="FA95" s="585"/>
      <c r="FB95" s="585"/>
      <c r="FC95" s="585"/>
      <c r="FD95" s="585"/>
      <c r="FE95" s="585"/>
      <c r="FF95" s="585"/>
      <c r="FG95" s="585"/>
      <c r="FH95" s="585"/>
      <c r="FI95" s="585"/>
      <c r="FJ95" s="585"/>
      <c r="FK95" s="585"/>
      <c r="FL95" s="585"/>
      <c r="FM95" s="585"/>
    </row>
  </sheetData>
  <sheetProtection formatCells="0" formatColumns="0" formatRows="0" insertColumns="0" insertRows="0" insertHyperlinks="0" deleteColumns="0" deleteRows="0" sort="0" autoFilter="0" pivotTables="0"/>
  <mergeCells count="572">
    <mergeCell ref="FN82:FP82"/>
    <mergeCell ref="FQ82:FS82"/>
    <mergeCell ref="FT82:FV82"/>
    <mergeCell ref="FW82:FY82"/>
    <mergeCell ref="FZ82:GB82"/>
    <mergeCell ref="GC82:GE82"/>
    <mergeCell ref="GF82:GH82"/>
    <mergeCell ref="GI82:GK82"/>
    <mergeCell ref="EM82:EO82"/>
    <mergeCell ref="EP82:ER82"/>
    <mergeCell ref="ES82:EU82"/>
    <mergeCell ref="EV82:EX82"/>
    <mergeCell ref="EY82:FA82"/>
    <mergeCell ref="FB82:FD82"/>
    <mergeCell ref="FE82:FG82"/>
    <mergeCell ref="FH82:FJ82"/>
    <mergeCell ref="FK82:FM82"/>
    <mergeCell ref="GI80:GK80"/>
    <mergeCell ref="EM81:EO81"/>
    <mergeCell ref="EP81:ER81"/>
    <mergeCell ref="ES81:EU81"/>
    <mergeCell ref="EV81:EX81"/>
    <mergeCell ref="EY81:FA81"/>
    <mergeCell ref="FB81:FD81"/>
    <mergeCell ref="FE81:FG81"/>
    <mergeCell ref="FH81:FJ81"/>
    <mergeCell ref="FK81:FM81"/>
    <mergeCell ref="FN81:FP81"/>
    <mergeCell ref="FQ81:FS81"/>
    <mergeCell ref="FT81:FV81"/>
    <mergeCell ref="FW81:FY81"/>
    <mergeCell ref="FZ81:GB81"/>
    <mergeCell ref="GC81:GE81"/>
    <mergeCell ref="GF81:GH81"/>
    <mergeCell ref="GI81:GK81"/>
    <mergeCell ref="FN78:FP78"/>
    <mergeCell ref="FQ78:FS78"/>
    <mergeCell ref="FT78:FV78"/>
    <mergeCell ref="FW78:FY78"/>
    <mergeCell ref="FZ78:GB78"/>
    <mergeCell ref="GC78:GE78"/>
    <mergeCell ref="GF78:GH78"/>
    <mergeCell ref="GI78:GK78"/>
    <mergeCell ref="EM80:EO80"/>
    <mergeCell ref="EP80:ER80"/>
    <mergeCell ref="ES80:EU80"/>
    <mergeCell ref="EV80:EX80"/>
    <mergeCell ref="EY80:FA80"/>
    <mergeCell ref="FB80:FD80"/>
    <mergeCell ref="FE80:FG80"/>
    <mergeCell ref="FH80:FJ80"/>
    <mergeCell ref="FK80:FM80"/>
    <mergeCell ref="FN80:FP80"/>
    <mergeCell ref="FQ80:FS80"/>
    <mergeCell ref="FT80:FV80"/>
    <mergeCell ref="FW80:FY80"/>
    <mergeCell ref="FZ80:GB80"/>
    <mergeCell ref="GC80:GE80"/>
    <mergeCell ref="GF80:GH80"/>
    <mergeCell ref="EM78:EO78"/>
    <mergeCell ref="EP78:ER78"/>
    <mergeCell ref="ES78:EU78"/>
    <mergeCell ref="EV78:EX78"/>
    <mergeCell ref="EY78:FA78"/>
    <mergeCell ref="FB78:FD78"/>
    <mergeCell ref="FE78:FG78"/>
    <mergeCell ref="FH78:FJ78"/>
    <mergeCell ref="FK78:FM78"/>
    <mergeCell ref="DO81:DQ81"/>
    <mergeCell ref="DR81:DT81"/>
    <mergeCell ref="DU81:DW81"/>
    <mergeCell ref="DX81:DZ81"/>
    <mergeCell ref="EA81:EC81"/>
    <mergeCell ref="ED81:EF81"/>
    <mergeCell ref="EG81:EI81"/>
    <mergeCell ref="EJ81:EL81"/>
    <mergeCell ref="DO82:DQ82"/>
    <mergeCell ref="DR82:DT82"/>
    <mergeCell ref="DU82:DW82"/>
    <mergeCell ref="DX82:DZ82"/>
    <mergeCell ref="EA82:EC82"/>
    <mergeCell ref="ED82:EF82"/>
    <mergeCell ref="EG82:EI82"/>
    <mergeCell ref="EJ82:EL82"/>
    <mergeCell ref="DO78:DQ78"/>
    <mergeCell ref="DR78:DT78"/>
    <mergeCell ref="DU78:DW78"/>
    <mergeCell ref="DX78:DZ78"/>
    <mergeCell ref="EA78:EC78"/>
    <mergeCell ref="ED78:EF78"/>
    <mergeCell ref="EG78:EI78"/>
    <mergeCell ref="EJ78:EL78"/>
    <mergeCell ref="DO80:DQ80"/>
    <mergeCell ref="DR80:DT80"/>
    <mergeCell ref="DU80:DW80"/>
    <mergeCell ref="DX80:DZ80"/>
    <mergeCell ref="EA80:EC80"/>
    <mergeCell ref="ED80:EF80"/>
    <mergeCell ref="EG80:EI80"/>
    <mergeCell ref="EJ80:EL80"/>
    <mergeCell ref="EG79:EI79"/>
    <mergeCell ref="EJ79:EL79"/>
    <mergeCell ref="CN82:CP82"/>
    <mergeCell ref="CQ82:CS82"/>
    <mergeCell ref="CT82:CV82"/>
    <mergeCell ref="CW82:CY82"/>
    <mergeCell ref="CZ82:DB82"/>
    <mergeCell ref="DC82:DE82"/>
    <mergeCell ref="DF82:DH82"/>
    <mergeCell ref="DI82:DK82"/>
    <mergeCell ref="DL82:DN82"/>
    <mergeCell ref="CN81:CP81"/>
    <mergeCell ref="CQ81:CS81"/>
    <mergeCell ref="CT81:CV81"/>
    <mergeCell ref="CW81:CY81"/>
    <mergeCell ref="CZ81:DB81"/>
    <mergeCell ref="DC81:DE81"/>
    <mergeCell ref="DF81:DH81"/>
    <mergeCell ref="DI81:DK81"/>
    <mergeCell ref="DL81:DN81"/>
    <mergeCell ref="CN80:CP80"/>
    <mergeCell ref="CQ80:CS80"/>
    <mergeCell ref="CT80:CV80"/>
    <mergeCell ref="CW80:CY80"/>
    <mergeCell ref="CZ80:DB80"/>
    <mergeCell ref="DC80:DE80"/>
    <mergeCell ref="DF80:DH80"/>
    <mergeCell ref="DI80:DK80"/>
    <mergeCell ref="DL80:DN80"/>
    <mergeCell ref="CN78:CP78"/>
    <mergeCell ref="CQ78:CS78"/>
    <mergeCell ref="CT78:CV78"/>
    <mergeCell ref="CW78:CY78"/>
    <mergeCell ref="CZ78:DB78"/>
    <mergeCell ref="DC78:DE78"/>
    <mergeCell ref="DF78:DH78"/>
    <mergeCell ref="DI78:DK78"/>
    <mergeCell ref="DL78:DN78"/>
    <mergeCell ref="BS82:BU82"/>
    <mergeCell ref="BV82:BX82"/>
    <mergeCell ref="BY82:CA82"/>
    <mergeCell ref="CB82:CD82"/>
    <mergeCell ref="CE82:CG82"/>
    <mergeCell ref="CH82:CJ82"/>
    <mergeCell ref="CK78:CM78"/>
    <mergeCell ref="CK80:CM80"/>
    <mergeCell ref="CK81:CM81"/>
    <mergeCell ref="CK82:CM82"/>
    <mergeCell ref="CB81:CD81"/>
    <mergeCell ref="CE81:CG81"/>
    <mergeCell ref="CH81:CJ81"/>
    <mergeCell ref="BS81:BU81"/>
    <mergeCell ref="BV81:BX81"/>
    <mergeCell ref="BY81:CA81"/>
    <mergeCell ref="BS80:BU80"/>
    <mergeCell ref="BV80:BX80"/>
    <mergeCell ref="BY80:CA80"/>
    <mergeCell ref="CB80:CD80"/>
    <mergeCell ref="CE80:CG80"/>
    <mergeCell ref="CH80:CJ80"/>
    <mergeCell ref="CE78:CG78"/>
    <mergeCell ref="CH78:CJ78"/>
    <mergeCell ref="B82:D82"/>
    <mergeCell ref="E82:G82"/>
    <mergeCell ref="H82:J82"/>
    <mergeCell ref="K82:M82"/>
    <mergeCell ref="N82:P82"/>
    <mergeCell ref="Q82:S82"/>
    <mergeCell ref="T82:V82"/>
    <mergeCell ref="W82:Y82"/>
    <mergeCell ref="Z82:AB82"/>
    <mergeCell ref="AC82:AE82"/>
    <mergeCell ref="AF82:AH82"/>
    <mergeCell ref="AI82:AK82"/>
    <mergeCell ref="AL82:AN82"/>
    <mergeCell ref="AO82:AQ82"/>
    <mergeCell ref="AR82:AT82"/>
    <mergeCell ref="AU82:AW82"/>
    <mergeCell ref="AX82:AZ82"/>
    <mergeCell ref="BA82:BC82"/>
    <mergeCell ref="BD82:BF82"/>
    <mergeCell ref="BG82:BI82"/>
    <mergeCell ref="BJ82:BL82"/>
    <mergeCell ref="BA81:BC81"/>
    <mergeCell ref="BD81:BF81"/>
    <mergeCell ref="BG81:BI81"/>
    <mergeCell ref="BJ81:BL81"/>
    <mergeCell ref="BM81:BO81"/>
    <mergeCell ref="BP81:BR81"/>
    <mergeCell ref="BM82:BO82"/>
    <mergeCell ref="BP82:BR82"/>
    <mergeCell ref="B81:D81"/>
    <mergeCell ref="E81:G81"/>
    <mergeCell ref="H81:J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L81:AN81"/>
    <mergeCell ref="AO81:AQ81"/>
    <mergeCell ref="AR81:AT81"/>
    <mergeCell ref="AU81:AW81"/>
    <mergeCell ref="AX81:AZ81"/>
    <mergeCell ref="BP80:BR80"/>
    <mergeCell ref="AC80:AE80"/>
    <mergeCell ref="AF80:AH80"/>
    <mergeCell ref="AI80:AK80"/>
    <mergeCell ref="AL80:AN80"/>
    <mergeCell ref="AO80:AQ80"/>
    <mergeCell ref="AR80:AT80"/>
    <mergeCell ref="AU80:AW80"/>
    <mergeCell ref="AX80:AZ80"/>
    <mergeCell ref="BA80:BC80"/>
    <mergeCell ref="BD80:BF80"/>
    <mergeCell ref="BG80:BI80"/>
    <mergeCell ref="BJ80:BL80"/>
    <mergeCell ref="BM80:BO80"/>
    <mergeCell ref="B80:D80"/>
    <mergeCell ref="E80:G80"/>
    <mergeCell ref="H80:J80"/>
    <mergeCell ref="K80:M80"/>
    <mergeCell ref="N80:P80"/>
    <mergeCell ref="Q80:S80"/>
    <mergeCell ref="T80:V80"/>
    <mergeCell ref="W80:Y80"/>
    <mergeCell ref="Z80:AB80"/>
    <mergeCell ref="BD78:BF78"/>
    <mergeCell ref="BG78:BI78"/>
    <mergeCell ref="BJ78:BL78"/>
    <mergeCell ref="BM78:BO78"/>
    <mergeCell ref="BP78:BR78"/>
    <mergeCell ref="BS78:BU78"/>
    <mergeCell ref="BV78:BX78"/>
    <mergeCell ref="BY78:CA78"/>
    <mergeCell ref="CB78:CD78"/>
    <mergeCell ref="AC78:AE78"/>
    <mergeCell ref="AF78:AH78"/>
    <mergeCell ref="AI78:AK78"/>
    <mergeCell ref="AL78:AN78"/>
    <mergeCell ref="AO78:AQ78"/>
    <mergeCell ref="AR78:AT78"/>
    <mergeCell ref="AU78:AW78"/>
    <mergeCell ref="AX78:AZ78"/>
    <mergeCell ref="BA78:BC78"/>
    <mergeCell ref="B78:D78"/>
    <mergeCell ref="E78:G78"/>
    <mergeCell ref="H78:J78"/>
    <mergeCell ref="K78:M78"/>
    <mergeCell ref="N78:P78"/>
    <mergeCell ref="Q78:S78"/>
    <mergeCell ref="T78:V78"/>
    <mergeCell ref="W78:Y78"/>
    <mergeCell ref="Z78:AB78"/>
    <mergeCell ref="EG39:EI39"/>
    <mergeCell ref="EJ39:EL39"/>
    <mergeCell ref="EM39:EO39"/>
    <mergeCell ref="DF39:DH39"/>
    <mergeCell ref="DI39:DK39"/>
    <mergeCell ref="DL39:DN39"/>
    <mergeCell ref="DO39:DQ39"/>
    <mergeCell ref="GF39:GH39"/>
    <mergeCell ref="GI39:GK39"/>
    <mergeCell ref="FB39:FD39"/>
    <mergeCell ref="FE39:FG39"/>
    <mergeCell ref="FH39:FJ39"/>
    <mergeCell ref="FK39:FM39"/>
    <mergeCell ref="FN39:FP39"/>
    <mergeCell ref="FQ39:FS39"/>
    <mergeCell ref="FT39:FV39"/>
    <mergeCell ref="FW39:FY39"/>
    <mergeCell ref="DU39:DW39"/>
    <mergeCell ref="DX39:DZ39"/>
    <mergeCell ref="EA39:EC39"/>
    <mergeCell ref="ED39:EF39"/>
    <mergeCell ref="DX22:DZ22"/>
    <mergeCell ref="EA22:EC22"/>
    <mergeCell ref="ED22:EF22"/>
    <mergeCell ref="EG22:EI22"/>
    <mergeCell ref="EJ22:EL22"/>
    <mergeCell ref="FN38:FY38"/>
    <mergeCell ref="FZ38:GK38"/>
    <mergeCell ref="BG39:BI39"/>
    <mergeCell ref="BJ39:BL39"/>
    <mergeCell ref="CE39:CG39"/>
    <mergeCell ref="CH39:CJ39"/>
    <mergeCell ref="CK39:CM39"/>
    <mergeCell ref="CN39:CP39"/>
    <mergeCell ref="CQ39:CS39"/>
    <mergeCell ref="DC39:DE39"/>
    <mergeCell ref="FZ39:GB39"/>
    <mergeCell ref="GC39:GE39"/>
    <mergeCell ref="CT39:CV39"/>
    <mergeCell ref="CW39:CY39"/>
    <mergeCell ref="CZ39:DB39"/>
    <mergeCell ref="EP39:ER39"/>
    <mergeCell ref="ES39:EU39"/>
    <mergeCell ref="EV39:EX39"/>
    <mergeCell ref="EY39:FA39"/>
    <mergeCell ref="EA38:EL38"/>
    <mergeCell ref="EM38:EU38"/>
    <mergeCell ref="EV38:FD38"/>
    <mergeCell ref="FE38:FM38"/>
    <mergeCell ref="GF22:GH22"/>
    <mergeCell ref="GI22:GK22"/>
    <mergeCell ref="FN22:FP22"/>
    <mergeCell ref="FQ22:FS22"/>
    <mergeCell ref="FT22:FV22"/>
    <mergeCell ref="FW22:FY22"/>
    <mergeCell ref="FH22:FJ22"/>
    <mergeCell ref="FK22:FM22"/>
    <mergeCell ref="CT22:CV22"/>
    <mergeCell ref="CW22:CY22"/>
    <mergeCell ref="CZ22:DB22"/>
    <mergeCell ref="T22:V22"/>
    <mergeCell ref="W22:Y22"/>
    <mergeCell ref="Z22:AB22"/>
    <mergeCell ref="AC22:AE22"/>
    <mergeCell ref="AF22:AH22"/>
    <mergeCell ref="AI22:AK22"/>
    <mergeCell ref="BM22:BO22"/>
    <mergeCell ref="BP22:BR22"/>
    <mergeCell ref="BS22:BU22"/>
    <mergeCell ref="B38:J38"/>
    <mergeCell ref="K38:S38"/>
    <mergeCell ref="T38:AB38"/>
    <mergeCell ref="AC38:AN38"/>
    <mergeCell ref="EV21:FD21"/>
    <mergeCell ref="FE21:FM21"/>
    <mergeCell ref="FN21:FY21"/>
    <mergeCell ref="FZ21:GK21"/>
    <mergeCell ref="B22:D22"/>
    <mergeCell ref="E22:G22"/>
    <mergeCell ref="H22:J22"/>
    <mergeCell ref="K22:M22"/>
    <mergeCell ref="N22:P22"/>
    <mergeCell ref="Q22:S22"/>
    <mergeCell ref="BY22:CA22"/>
    <mergeCell ref="AR22:AT22"/>
    <mergeCell ref="AU22:AW22"/>
    <mergeCell ref="AX22:AZ22"/>
    <mergeCell ref="BA22:BC22"/>
    <mergeCell ref="AL22:AN22"/>
    <mergeCell ref="AO22:AQ22"/>
    <mergeCell ref="DF21:DN21"/>
    <mergeCell ref="CN22:CP22"/>
    <mergeCell ref="CQ22:CS22"/>
    <mergeCell ref="DO21:DZ21"/>
    <mergeCell ref="EA21:EL21"/>
    <mergeCell ref="EM21:EU21"/>
    <mergeCell ref="BP21:CA21"/>
    <mergeCell ref="FZ5:GK5"/>
    <mergeCell ref="B21:J21"/>
    <mergeCell ref="K21:S21"/>
    <mergeCell ref="T21:AB21"/>
    <mergeCell ref="AC21:AN21"/>
    <mergeCell ref="AO21:AW21"/>
    <mergeCell ref="AX21:BF21"/>
    <mergeCell ref="BG21:BO21"/>
    <mergeCell ref="FN5:FY5"/>
    <mergeCell ref="FZ6:GB6"/>
    <mergeCell ref="GC6:GE6"/>
    <mergeCell ref="GF6:GH6"/>
    <mergeCell ref="GI6:GK6"/>
    <mergeCell ref="FK6:FM6"/>
    <mergeCell ref="FE5:FM5"/>
    <mergeCell ref="FN6:FP6"/>
    <mergeCell ref="FQ6:FS6"/>
    <mergeCell ref="FT6:FV6"/>
    <mergeCell ref="FW6:FY6"/>
    <mergeCell ref="EV6:EX6"/>
    <mergeCell ref="EY6:FA6"/>
    <mergeCell ref="FB6:FD6"/>
    <mergeCell ref="EV5:FD5"/>
    <mergeCell ref="FE6:FG6"/>
    <mergeCell ref="FH6:FJ6"/>
    <mergeCell ref="EA5:EL5"/>
    <mergeCell ref="EM6:EO6"/>
    <mergeCell ref="EP6:ER6"/>
    <mergeCell ref="ES6:EU6"/>
    <mergeCell ref="EM5:EU5"/>
    <mergeCell ref="DO5:DZ5"/>
    <mergeCell ref="EA6:EC6"/>
    <mergeCell ref="ED6:EF6"/>
    <mergeCell ref="EG6:EI6"/>
    <mergeCell ref="EJ6:EL6"/>
    <mergeCell ref="DL6:DN6"/>
    <mergeCell ref="DF5:DN5"/>
    <mergeCell ref="DO6:DQ6"/>
    <mergeCell ref="DR6:DT6"/>
    <mergeCell ref="DU6:DW6"/>
    <mergeCell ref="DX6:DZ6"/>
    <mergeCell ref="DC6:DE6"/>
    <mergeCell ref="CW5:DE5"/>
    <mergeCell ref="DF6:DH6"/>
    <mergeCell ref="DI6:DK6"/>
    <mergeCell ref="CB5:CM5"/>
    <mergeCell ref="CN6:CP6"/>
    <mergeCell ref="CQ6:CS6"/>
    <mergeCell ref="CT6:CV6"/>
    <mergeCell ref="CN5:CV5"/>
    <mergeCell ref="CW6:CY6"/>
    <mergeCell ref="CZ6:DB6"/>
    <mergeCell ref="AC6:AE6"/>
    <mergeCell ref="AC5:AN5"/>
    <mergeCell ref="BP5:CA5"/>
    <mergeCell ref="CB6:CD6"/>
    <mergeCell ref="CE6:CG6"/>
    <mergeCell ref="CH6:CJ6"/>
    <mergeCell ref="CK6:CM6"/>
    <mergeCell ref="BM6:BO6"/>
    <mergeCell ref="BG5:BO5"/>
    <mergeCell ref="BP6:BR6"/>
    <mergeCell ref="BS6:BU6"/>
    <mergeCell ref="BV6:BX6"/>
    <mergeCell ref="BY6:CA6"/>
    <mergeCell ref="AO5:AW5"/>
    <mergeCell ref="AX6:AZ6"/>
    <mergeCell ref="BA6:BC6"/>
    <mergeCell ref="BD6:BF6"/>
    <mergeCell ref="AX5:BF5"/>
    <mergeCell ref="BG6:BI6"/>
    <mergeCell ref="AO38:AW38"/>
    <mergeCell ref="AX38:BF38"/>
    <mergeCell ref="BG38:BO38"/>
    <mergeCell ref="BD22:BF22"/>
    <mergeCell ref="BG22:BI22"/>
    <mergeCell ref="BJ22:BL22"/>
    <mergeCell ref="AU39:AW39"/>
    <mergeCell ref="AX39:AZ39"/>
    <mergeCell ref="BA39:BC39"/>
    <mergeCell ref="BD39:BF39"/>
    <mergeCell ref="B39:D39"/>
    <mergeCell ref="E39:G39"/>
    <mergeCell ref="H39:J39"/>
    <mergeCell ref="K39:M39"/>
    <mergeCell ref="AL39:AN39"/>
    <mergeCell ref="AO39:AQ39"/>
    <mergeCell ref="AR39:AT39"/>
    <mergeCell ref="N39:P39"/>
    <mergeCell ref="Q39:S39"/>
    <mergeCell ref="T39:V39"/>
    <mergeCell ref="W39:Y39"/>
    <mergeCell ref="Z39:AB39"/>
    <mergeCell ref="AC39:AE39"/>
    <mergeCell ref="AF39:AH39"/>
    <mergeCell ref="AI39:AK39"/>
    <mergeCell ref="CN38:CV38"/>
    <mergeCell ref="CW38:DE38"/>
    <mergeCell ref="BV39:BX39"/>
    <mergeCell ref="BY39:CA39"/>
    <mergeCell ref="CB39:CD39"/>
    <mergeCell ref="BM39:BO39"/>
    <mergeCell ref="BP39:BR39"/>
    <mergeCell ref="BS39:BU39"/>
    <mergeCell ref="DR39:DT39"/>
    <mergeCell ref="DF38:DN38"/>
    <mergeCell ref="DO38:DZ38"/>
    <mergeCell ref="A38:A40"/>
    <mergeCell ref="FZ22:GB22"/>
    <mergeCell ref="GC22:GE22"/>
    <mergeCell ref="EV22:EX22"/>
    <mergeCell ref="EY22:FA22"/>
    <mergeCell ref="FB22:FD22"/>
    <mergeCell ref="FE22:FG22"/>
    <mergeCell ref="EM22:EO22"/>
    <mergeCell ref="EP22:ER22"/>
    <mergeCell ref="ES22:EU22"/>
    <mergeCell ref="DL22:DN22"/>
    <mergeCell ref="DO22:DQ22"/>
    <mergeCell ref="DR22:DT22"/>
    <mergeCell ref="DU22:DW22"/>
    <mergeCell ref="DC22:DE22"/>
    <mergeCell ref="DF22:DH22"/>
    <mergeCell ref="DI22:DK22"/>
    <mergeCell ref="CB22:CD22"/>
    <mergeCell ref="CE22:CG22"/>
    <mergeCell ref="CH22:CJ22"/>
    <mergeCell ref="CK22:CM22"/>
    <mergeCell ref="BV22:BX22"/>
    <mergeCell ref="BP38:CA38"/>
    <mergeCell ref="CB38:CM38"/>
    <mergeCell ref="CB21:CM21"/>
    <mergeCell ref="CN21:CV21"/>
    <mergeCell ref="CW21:DE21"/>
    <mergeCell ref="A21:A23"/>
    <mergeCell ref="BJ6:BL6"/>
    <mergeCell ref="AR6:AT6"/>
    <mergeCell ref="AU6:AW6"/>
    <mergeCell ref="AO6:AQ6"/>
    <mergeCell ref="AI6:AK6"/>
    <mergeCell ref="AL6:AN6"/>
    <mergeCell ref="AF6:AH6"/>
    <mergeCell ref="Q6:S6"/>
    <mergeCell ref="A5:A7"/>
    <mergeCell ref="B5:J5"/>
    <mergeCell ref="B6:D6"/>
    <mergeCell ref="E6:G6"/>
    <mergeCell ref="H6:J6"/>
    <mergeCell ref="K6:M6"/>
    <mergeCell ref="N6:P6"/>
    <mergeCell ref="K5:S5"/>
    <mergeCell ref="T6:V6"/>
    <mergeCell ref="W6:Y6"/>
    <mergeCell ref="Z6:AB6"/>
    <mergeCell ref="T5:AB5"/>
    <mergeCell ref="B79:D79"/>
    <mergeCell ref="E79:G79"/>
    <mergeCell ref="H79:J79"/>
    <mergeCell ref="K79:M79"/>
    <mergeCell ref="N79:P79"/>
    <mergeCell ref="Q79:S79"/>
    <mergeCell ref="T79:V79"/>
    <mergeCell ref="W79:Y79"/>
    <mergeCell ref="Z79:AB79"/>
    <mergeCell ref="AC79:AE79"/>
    <mergeCell ref="AF79:AH79"/>
    <mergeCell ref="AI79:AK79"/>
    <mergeCell ref="AL79:AN79"/>
    <mergeCell ref="AO79:AQ79"/>
    <mergeCell ref="AR79:AT79"/>
    <mergeCell ref="AU79:AW79"/>
    <mergeCell ref="AX79:AZ79"/>
    <mergeCell ref="BA79:BC79"/>
    <mergeCell ref="BD79:BF79"/>
    <mergeCell ref="BG79:BI79"/>
    <mergeCell ref="BJ79:BL79"/>
    <mergeCell ref="BM79:BO79"/>
    <mergeCell ref="BP79:BR79"/>
    <mergeCell ref="BS79:BU79"/>
    <mergeCell ref="BV79:BX79"/>
    <mergeCell ref="BY79:CA79"/>
    <mergeCell ref="CB79:CD79"/>
    <mergeCell ref="CE79:CG79"/>
    <mergeCell ref="CH79:CJ79"/>
    <mergeCell ref="CK79:CM79"/>
    <mergeCell ref="CN79:CP79"/>
    <mergeCell ref="CQ79:CS79"/>
    <mergeCell ref="CT79:CV79"/>
    <mergeCell ref="CW79:CY79"/>
    <mergeCell ref="CZ79:DB79"/>
    <mergeCell ref="DC79:DE79"/>
    <mergeCell ref="DF79:DH79"/>
    <mergeCell ref="DI79:DK79"/>
    <mergeCell ref="DL79:DN79"/>
    <mergeCell ref="DO79:DQ79"/>
    <mergeCell ref="DR79:DT79"/>
    <mergeCell ref="DU79:DW79"/>
    <mergeCell ref="DX79:DZ79"/>
    <mergeCell ref="EA79:EC79"/>
    <mergeCell ref="ED79:EF79"/>
    <mergeCell ref="FN79:FP79"/>
    <mergeCell ref="FQ79:FS79"/>
    <mergeCell ref="FT79:FV79"/>
    <mergeCell ref="FW79:FY79"/>
    <mergeCell ref="FZ79:GB79"/>
    <mergeCell ref="GC79:GE79"/>
    <mergeCell ref="GF79:GH79"/>
    <mergeCell ref="GI79:GK79"/>
    <mergeCell ref="EM79:EO79"/>
    <mergeCell ref="EP79:ER79"/>
    <mergeCell ref="ES79:EU79"/>
    <mergeCell ref="EV79:EX79"/>
    <mergeCell ref="EY79:FA79"/>
    <mergeCell ref="FB79:FD79"/>
    <mergeCell ref="FE79:FG79"/>
    <mergeCell ref="FH79:FJ79"/>
    <mergeCell ref="FK79:FM79"/>
  </mergeCells>
  <printOptions horizontalCentered="1"/>
  <pageMargins left="0" right="0" top="0" bottom="0" header="0" footer="0"/>
  <pageSetup paperSize="9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CN422"/>
  <sheetViews>
    <sheetView zoomScale="80" zoomScaleNormal="80" workbookViewId="0">
      <pane xSplit="1" ySplit="7" topLeftCell="AS209" activePane="bottomRight" state="frozen"/>
      <selection pane="topRight" activeCell="B1" sqref="B1"/>
      <selection pane="bottomLeft" activeCell="A8" sqref="A8"/>
      <selection pane="bottomRight" activeCell="AX159" sqref="AX159:AZ159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9.140625" customWidth="1"/>
    <col min="93" max="93" width="17.7109375" customWidth="1"/>
  </cols>
  <sheetData>
    <row r="1" spans="1:92" ht="20.25" x14ac:dyDescent="0.3">
      <c r="A1" s="3044" t="s">
        <v>3624</v>
      </c>
      <c r="B1" s="3045"/>
      <c r="C1" s="3045"/>
      <c r="D1" s="3045"/>
      <c r="E1" s="3045"/>
      <c r="F1" s="3045"/>
      <c r="G1" s="3045"/>
      <c r="H1" s="3045"/>
      <c r="I1" s="3045"/>
      <c r="J1" s="3045"/>
      <c r="K1" s="3045"/>
      <c r="L1" s="3045"/>
      <c r="M1" s="3045"/>
      <c r="N1" s="3045"/>
      <c r="O1" s="3045"/>
      <c r="P1" s="3045"/>
      <c r="Q1" s="3046"/>
      <c r="R1" s="3046"/>
      <c r="S1" s="3046"/>
      <c r="T1" s="3047"/>
      <c r="U1" s="3047"/>
      <c r="V1" s="3047"/>
      <c r="W1" s="3047"/>
      <c r="X1" s="3047"/>
      <c r="Y1" s="3047"/>
      <c r="Z1" s="3046"/>
      <c r="AA1" s="3046"/>
      <c r="AB1" s="3046"/>
      <c r="AC1" s="3047"/>
      <c r="AD1" s="3047"/>
      <c r="AE1" s="3047"/>
      <c r="AF1" s="3047"/>
      <c r="AG1" s="3047"/>
      <c r="AH1" s="3047"/>
      <c r="AI1" s="3047"/>
      <c r="AJ1" s="3047"/>
      <c r="AK1" s="3047"/>
      <c r="AL1" s="3047"/>
      <c r="AM1" s="3047"/>
      <c r="AN1" s="3047"/>
      <c r="AO1" s="3046"/>
      <c r="AP1" s="3046"/>
      <c r="AQ1" s="3046"/>
      <c r="AR1" s="3046"/>
      <c r="AS1" s="3046"/>
      <c r="AT1" s="3046"/>
      <c r="AU1" s="3046"/>
      <c r="AV1" s="3046"/>
      <c r="AW1" s="3046"/>
      <c r="AX1" s="3046"/>
      <c r="AY1" s="3046"/>
      <c r="AZ1" s="3046"/>
      <c r="BA1" s="3046"/>
      <c r="BB1" s="3046"/>
      <c r="BC1" s="3046"/>
      <c r="BD1" s="3046"/>
      <c r="BE1" s="3046"/>
      <c r="BF1" s="3046"/>
      <c r="BG1" s="3046"/>
      <c r="BH1" s="3046"/>
      <c r="BI1" s="3046"/>
      <c r="BJ1" s="3046"/>
      <c r="BK1" s="3046"/>
      <c r="BL1" s="3046"/>
      <c r="BM1" s="3046"/>
      <c r="BN1" s="3046"/>
      <c r="BO1" s="3046"/>
      <c r="BP1" s="3046"/>
      <c r="BQ1" s="3046"/>
      <c r="BR1" s="3046"/>
      <c r="BS1" s="3046"/>
      <c r="BT1" s="3046"/>
      <c r="BU1" s="3046"/>
      <c r="BV1" s="3046"/>
      <c r="BW1" s="3046"/>
      <c r="BX1" s="3046"/>
      <c r="BY1" s="3046"/>
      <c r="BZ1" s="3046"/>
      <c r="CA1" s="3046"/>
      <c r="CB1" s="3046"/>
      <c r="CC1" s="3046"/>
      <c r="CD1" s="3046"/>
      <c r="CE1" s="3046"/>
      <c r="CF1" s="3046"/>
      <c r="CG1" s="3046"/>
      <c r="CH1" s="3046"/>
      <c r="CI1" s="3048"/>
      <c r="CJ1" s="3048"/>
      <c r="CK1" s="3048"/>
      <c r="CL1" s="3048"/>
      <c r="CM1" s="3048"/>
      <c r="CN1" s="3049"/>
    </row>
    <row r="2" spans="1:92" ht="20.25" x14ac:dyDescent="0.3">
      <c r="A2" s="3050" t="s">
        <v>3573</v>
      </c>
      <c r="B2" s="3048"/>
      <c r="C2" s="3048"/>
      <c r="D2" s="3048"/>
      <c r="E2" s="3048"/>
      <c r="F2" s="3048"/>
      <c r="G2" s="3048"/>
      <c r="H2" s="3263"/>
      <c r="I2" s="3048"/>
      <c r="J2" s="3048"/>
      <c r="K2" s="3048"/>
      <c r="L2" s="3048"/>
      <c r="M2" s="3048"/>
      <c r="N2" s="3048"/>
      <c r="O2" s="3048"/>
      <c r="P2" s="3048"/>
      <c r="Q2" s="3048"/>
      <c r="R2" s="3048"/>
      <c r="S2" s="3048"/>
      <c r="T2" s="3051"/>
      <c r="U2" s="3051"/>
      <c r="V2" s="3051"/>
      <c r="W2" s="3051"/>
      <c r="X2" s="3051"/>
      <c r="Y2" s="3051"/>
      <c r="Z2" s="3048"/>
      <c r="AA2" s="3048"/>
      <c r="AB2" s="3048"/>
      <c r="AC2" s="3051"/>
      <c r="AD2" s="3051"/>
      <c r="AE2" s="3051"/>
      <c r="AF2" s="3051"/>
      <c r="AG2" s="3051"/>
      <c r="AH2" s="3051"/>
      <c r="AI2" s="3051"/>
      <c r="AJ2" s="3051"/>
      <c r="AK2" s="3051"/>
      <c r="AL2" s="3051"/>
      <c r="AM2" s="3051"/>
      <c r="AN2" s="3051"/>
      <c r="AO2" s="3048"/>
      <c r="AP2" s="3048"/>
      <c r="AQ2" s="3048"/>
      <c r="AR2" s="3048"/>
      <c r="AS2" s="3048"/>
      <c r="AT2" s="3048"/>
      <c r="AU2" s="3048"/>
      <c r="AV2" s="3048"/>
      <c r="AW2" s="3048"/>
      <c r="AX2" s="3048"/>
      <c r="AY2" s="3048"/>
      <c r="AZ2" s="3048"/>
      <c r="BA2" s="3048"/>
      <c r="BB2" s="3048"/>
      <c r="BC2" s="3048"/>
      <c r="BD2" s="3048"/>
      <c r="BE2" s="3048"/>
      <c r="BF2" s="3048"/>
      <c r="BG2" s="3048"/>
      <c r="BH2" s="3048"/>
      <c r="BI2" s="3048"/>
      <c r="BJ2" s="3048"/>
      <c r="BK2" s="3048"/>
      <c r="BL2" s="3048"/>
      <c r="BM2" s="3048"/>
      <c r="BN2" s="3048"/>
      <c r="BO2" s="3048"/>
      <c r="BP2" s="3048"/>
      <c r="BQ2" s="3048"/>
      <c r="BR2" s="3048"/>
      <c r="BS2" s="3048"/>
      <c r="BT2" s="3048"/>
      <c r="BU2" s="3048"/>
      <c r="BV2" s="3048"/>
      <c r="BW2" s="3048"/>
      <c r="BX2" s="3048"/>
      <c r="BY2" s="3048"/>
      <c r="BZ2" s="3048"/>
      <c r="CA2" s="3048"/>
      <c r="CB2" s="3048"/>
      <c r="CC2" s="3048"/>
      <c r="CD2" s="3048"/>
      <c r="CE2" s="3048"/>
      <c r="CF2" s="3048"/>
      <c r="CG2" s="3048"/>
      <c r="CH2" s="3048"/>
      <c r="CI2" s="3048"/>
      <c r="CJ2" s="3048"/>
      <c r="CK2" s="3048"/>
      <c r="CL2" s="3048"/>
      <c r="CM2" s="3048"/>
      <c r="CN2" s="3049"/>
    </row>
    <row r="3" spans="1:92" ht="20.25" x14ac:dyDescent="0.3">
      <c r="A3" s="3050"/>
      <c r="B3" s="3048"/>
      <c r="C3" s="3048"/>
      <c r="D3" s="3048"/>
      <c r="E3" s="3048"/>
      <c r="F3" s="3048"/>
      <c r="G3" s="3048"/>
      <c r="H3" s="3048"/>
      <c r="I3" s="3048"/>
      <c r="J3" s="3048"/>
      <c r="K3" s="3048"/>
      <c r="L3" s="3048"/>
      <c r="M3" s="3048"/>
      <c r="N3" s="3048"/>
      <c r="O3" s="3048"/>
      <c r="P3" s="3048"/>
      <c r="Q3" s="3048"/>
      <c r="R3" s="3048"/>
      <c r="S3" s="3048"/>
      <c r="T3" s="3048"/>
      <c r="U3" s="3048"/>
      <c r="V3" s="3048"/>
      <c r="W3" s="3048"/>
      <c r="X3" s="3048"/>
      <c r="Y3" s="3048"/>
      <c r="Z3" s="3048"/>
      <c r="AA3" s="3048"/>
      <c r="AB3" s="3048"/>
      <c r="AC3" s="3048"/>
      <c r="AD3" s="3048"/>
      <c r="AE3" s="3048"/>
      <c r="AF3" s="3048"/>
      <c r="AG3" s="3048"/>
      <c r="AH3" s="3048"/>
      <c r="AI3" s="3048"/>
      <c r="AJ3" s="3048"/>
      <c r="AK3" s="3048"/>
      <c r="AL3" s="3048"/>
      <c r="AM3" s="3048"/>
      <c r="AN3" s="3048"/>
      <c r="AO3" s="3048"/>
      <c r="AP3" s="3048"/>
      <c r="AQ3" s="3048"/>
      <c r="AR3" s="3048"/>
      <c r="AS3" s="3048"/>
      <c r="AT3" s="3048"/>
      <c r="AU3" s="3048"/>
      <c r="AV3" s="3048"/>
      <c r="AW3" s="3048"/>
      <c r="AX3" s="3048"/>
      <c r="AY3" s="3048"/>
      <c r="AZ3" s="3048"/>
      <c r="BA3" s="3048"/>
      <c r="BB3" s="3048"/>
      <c r="BC3" s="3048"/>
      <c r="BD3" s="3048"/>
      <c r="BE3" s="3048"/>
      <c r="BF3" s="3048"/>
      <c r="BG3" s="3048"/>
      <c r="BH3" s="3048"/>
      <c r="BI3" s="3048"/>
      <c r="BJ3" s="3048"/>
      <c r="BK3" s="3048"/>
      <c r="BL3" s="3048"/>
      <c r="BM3" s="3048"/>
      <c r="BN3" s="3048"/>
      <c r="BO3" s="3048"/>
      <c r="BP3" s="3048"/>
      <c r="BQ3" s="3048"/>
      <c r="BR3" s="3048"/>
      <c r="BS3" s="3048"/>
      <c r="BT3" s="3048"/>
      <c r="BU3" s="3048"/>
      <c r="BV3" s="3048"/>
      <c r="BW3" s="3048"/>
      <c r="BX3" s="3048"/>
      <c r="BY3" s="3048"/>
      <c r="BZ3" s="3048"/>
      <c r="CA3" s="3048"/>
      <c r="CB3" s="3048"/>
      <c r="CC3" s="3048"/>
      <c r="CD3" s="3048"/>
      <c r="CE3" s="3048"/>
      <c r="CF3" s="3048"/>
      <c r="CG3" s="3048"/>
      <c r="CH3" s="3048"/>
      <c r="CI3" s="3048"/>
      <c r="CJ3" s="3048"/>
      <c r="CK3" s="3048"/>
      <c r="CL3" s="3048"/>
      <c r="CM3" s="3048"/>
      <c r="CN3" s="3049"/>
    </row>
    <row r="4" spans="1:92" ht="18.75" x14ac:dyDescent="0.3">
      <c r="A4" s="3052" t="s">
        <v>3574</v>
      </c>
      <c r="B4" s="3053"/>
      <c r="C4" s="3053"/>
      <c r="D4" s="3053"/>
      <c r="E4" s="3053"/>
      <c r="F4" s="3053"/>
      <c r="G4" s="3053"/>
      <c r="H4" s="3053"/>
      <c r="I4" s="3053"/>
      <c r="J4" s="3053"/>
      <c r="K4" s="3053"/>
      <c r="L4" s="3053"/>
      <c r="M4" s="3053"/>
      <c r="N4" s="3053"/>
      <c r="O4" s="3053"/>
      <c r="P4" s="3053"/>
      <c r="Q4" s="3053"/>
      <c r="R4" s="3053"/>
      <c r="S4" s="3053"/>
      <c r="T4" s="3053"/>
      <c r="U4" s="3053"/>
      <c r="V4" s="3053"/>
      <c r="W4" s="3053"/>
      <c r="X4" s="3053"/>
      <c r="Y4" s="3053"/>
      <c r="Z4" s="3053"/>
      <c r="AA4" s="3053"/>
      <c r="AB4" s="3053"/>
      <c r="AC4" s="3053"/>
      <c r="AD4" s="3053"/>
      <c r="AE4" s="3053"/>
      <c r="AF4" s="3053"/>
      <c r="AG4" s="3053"/>
      <c r="AH4" s="3053"/>
      <c r="AI4" s="3053"/>
      <c r="AJ4" s="3053"/>
      <c r="AK4" s="3053"/>
      <c r="AL4" s="3053"/>
      <c r="AM4" s="3053"/>
      <c r="AN4" s="3053"/>
      <c r="AO4" s="3053"/>
      <c r="AP4" s="3053"/>
      <c r="AQ4" s="3053"/>
      <c r="AR4" s="3053"/>
      <c r="AS4" s="3053"/>
      <c r="AT4" s="3053"/>
      <c r="AU4" s="3053"/>
      <c r="AV4" s="3053"/>
      <c r="AW4" s="3053"/>
      <c r="AX4" s="3053"/>
      <c r="AY4" s="3053"/>
      <c r="AZ4" s="3053"/>
      <c r="BA4" s="3053"/>
      <c r="BB4" s="3053"/>
      <c r="BC4" s="3053"/>
      <c r="BD4" s="3053"/>
      <c r="BE4" s="3053"/>
      <c r="BF4" s="3053"/>
      <c r="BG4" s="3053"/>
      <c r="BH4" s="3053"/>
      <c r="BI4" s="3053"/>
      <c r="BJ4" s="3053"/>
      <c r="BK4" s="3053"/>
      <c r="BL4" s="3053"/>
      <c r="BM4" s="3053"/>
      <c r="BN4" s="3053"/>
      <c r="BO4" s="3053"/>
      <c r="BP4" s="3053"/>
      <c r="BQ4" s="3053"/>
      <c r="BR4" s="3053"/>
      <c r="BS4" s="3053"/>
      <c r="BT4" s="3053"/>
      <c r="BU4" s="3053"/>
      <c r="BV4" s="3053"/>
      <c r="BW4" s="3053"/>
      <c r="BX4" s="3053"/>
      <c r="BY4" s="3053"/>
      <c r="BZ4" s="3053"/>
      <c r="CA4" s="3053"/>
      <c r="CB4" s="3053"/>
      <c r="CC4" s="3053"/>
      <c r="CD4" s="3053"/>
      <c r="CE4" s="3053"/>
      <c r="CF4" s="3053"/>
      <c r="CG4" s="3053"/>
      <c r="CH4" s="3053"/>
      <c r="CI4" s="3098"/>
      <c r="CJ4" s="3099"/>
      <c r="CK4" s="3048"/>
      <c r="CL4" s="3048"/>
      <c r="CM4" s="3048"/>
      <c r="CN4" s="3049"/>
    </row>
    <row r="5" spans="1:92" ht="18.75" customHeight="1" x14ac:dyDescent="0.2">
      <c r="A5" s="3723" t="s">
        <v>536</v>
      </c>
      <c r="B5" s="3707" t="s">
        <v>3575</v>
      </c>
      <c r="C5" s="3708"/>
      <c r="D5" s="3708"/>
      <c r="E5" s="3708"/>
      <c r="F5" s="3708"/>
      <c r="G5" s="3708"/>
      <c r="H5" s="3708"/>
      <c r="I5" s="3708"/>
      <c r="J5" s="3708"/>
      <c r="K5" s="3708"/>
      <c r="L5" s="3708"/>
      <c r="M5" s="3708"/>
      <c r="N5" s="3708"/>
      <c r="O5" s="3708"/>
      <c r="P5" s="3725"/>
      <c r="Q5" s="3696" t="s">
        <v>3576</v>
      </c>
      <c r="R5" s="3697"/>
      <c r="S5" s="3697"/>
      <c r="T5" s="3697"/>
      <c r="U5" s="3697"/>
      <c r="V5" s="3697"/>
      <c r="W5" s="3697"/>
      <c r="X5" s="3697"/>
      <c r="Y5" s="3697"/>
      <c r="Z5" s="3697"/>
      <c r="AA5" s="3697"/>
      <c r="AB5" s="3697"/>
      <c r="AC5" s="3697"/>
      <c r="AD5" s="3655"/>
      <c r="AE5" s="3656"/>
      <c r="AF5" s="3692" t="s">
        <v>3577</v>
      </c>
      <c r="AG5" s="3693"/>
      <c r="AH5" s="3693"/>
      <c r="AI5" s="3693"/>
      <c r="AJ5" s="3693"/>
      <c r="AK5" s="3693"/>
      <c r="AL5" s="3693"/>
      <c r="AM5" s="3705"/>
      <c r="AN5" s="3706"/>
      <c r="AO5" s="3707" t="s">
        <v>3578</v>
      </c>
      <c r="AP5" s="3708"/>
      <c r="AQ5" s="3708"/>
      <c r="AR5" s="3708"/>
      <c r="AS5" s="3708"/>
      <c r="AT5" s="3708"/>
      <c r="AU5" s="3708"/>
      <c r="AV5" s="3708"/>
      <c r="AW5" s="3708"/>
      <c r="AX5" s="3708"/>
      <c r="AY5" s="3708"/>
      <c r="AZ5" s="3708"/>
      <c r="BA5" s="3708"/>
      <c r="BB5" s="3705"/>
      <c r="BC5" s="3706"/>
      <c r="BD5" s="3692" t="s">
        <v>3579</v>
      </c>
      <c r="BE5" s="3693"/>
      <c r="BF5" s="3693"/>
      <c r="BG5" s="3693"/>
      <c r="BH5" s="3693"/>
      <c r="BI5" s="3693"/>
      <c r="BJ5" s="3693"/>
      <c r="BK5" s="3705"/>
      <c r="BL5" s="3706"/>
      <c r="BM5" s="3707" t="s">
        <v>3580</v>
      </c>
      <c r="BN5" s="3708"/>
      <c r="BO5" s="3708"/>
      <c r="BP5" s="3708"/>
      <c r="BQ5" s="3708"/>
      <c r="BR5" s="3708"/>
      <c r="BS5" s="3708"/>
      <c r="BT5" s="3708"/>
      <c r="BU5" s="3708"/>
      <c r="BV5" s="3708"/>
      <c r="BW5" s="3708"/>
      <c r="BX5" s="3708"/>
      <c r="BY5" s="3708"/>
      <c r="BZ5" s="3705"/>
      <c r="CA5" s="3705"/>
      <c r="CB5" s="3692" t="s">
        <v>2019</v>
      </c>
      <c r="CC5" s="3693"/>
      <c r="CD5" s="3693"/>
      <c r="CE5" s="3693"/>
      <c r="CF5" s="3693"/>
      <c r="CG5" s="3693"/>
      <c r="CH5" s="3693"/>
      <c r="CI5" s="3694"/>
      <c r="CJ5" s="3695"/>
      <c r="CK5" s="3054"/>
      <c r="CL5" s="3054"/>
      <c r="CM5" s="3054"/>
      <c r="CN5" s="3055"/>
    </row>
    <row r="6" spans="1:92" ht="18.75" customHeight="1" x14ac:dyDescent="0.2">
      <c r="A6" s="3724"/>
      <c r="B6" s="3696" t="s">
        <v>3581</v>
      </c>
      <c r="C6" s="3697"/>
      <c r="D6" s="3698"/>
      <c r="E6" s="3726" t="s">
        <v>582</v>
      </c>
      <c r="F6" s="3727"/>
      <c r="G6" s="3728"/>
      <c r="H6" s="3726" t="s">
        <v>583</v>
      </c>
      <c r="I6" s="3727"/>
      <c r="J6" s="3728"/>
      <c r="K6" s="3726" t="s">
        <v>584</v>
      </c>
      <c r="L6" s="3727"/>
      <c r="M6" s="3728"/>
      <c r="N6" s="3696" t="s">
        <v>1692</v>
      </c>
      <c r="O6" s="3697"/>
      <c r="P6" s="3698"/>
      <c r="Q6" s="3696" t="s">
        <v>3581</v>
      </c>
      <c r="R6" s="3697"/>
      <c r="S6" s="3698"/>
      <c r="T6" s="3729" t="s">
        <v>3582</v>
      </c>
      <c r="U6" s="3730"/>
      <c r="V6" s="3731"/>
      <c r="W6" s="3729" t="s">
        <v>586</v>
      </c>
      <c r="X6" s="3730"/>
      <c r="Y6" s="3731"/>
      <c r="Z6" s="3729" t="s">
        <v>587</v>
      </c>
      <c r="AA6" s="3730"/>
      <c r="AB6" s="3731"/>
      <c r="AC6" s="3696" t="s">
        <v>1692</v>
      </c>
      <c r="AD6" s="3697"/>
      <c r="AE6" s="3698"/>
      <c r="AF6" s="3699" t="s">
        <v>3581</v>
      </c>
      <c r="AG6" s="3700"/>
      <c r="AH6" s="3701"/>
      <c r="AI6" s="3699" t="s">
        <v>1692</v>
      </c>
      <c r="AJ6" s="3700"/>
      <c r="AK6" s="3701"/>
      <c r="AL6" s="3699" t="s">
        <v>3583</v>
      </c>
      <c r="AM6" s="3700"/>
      <c r="AN6" s="3701"/>
      <c r="AO6" s="3712" t="s">
        <v>3581</v>
      </c>
      <c r="AP6" s="3713"/>
      <c r="AQ6" s="3714"/>
      <c r="AR6" s="3702" t="s">
        <v>588</v>
      </c>
      <c r="AS6" s="3703"/>
      <c r="AT6" s="3704"/>
      <c r="AU6" s="3702" t="s">
        <v>589</v>
      </c>
      <c r="AV6" s="3703"/>
      <c r="AW6" s="3704"/>
      <c r="AX6" s="3702" t="s">
        <v>590</v>
      </c>
      <c r="AY6" s="3703"/>
      <c r="AZ6" s="3704"/>
      <c r="BA6" s="3712" t="s">
        <v>1692</v>
      </c>
      <c r="BB6" s="3713"/>
      <c r="BC6" s="3714"/>
      <c r="BD6" s="3715" t="s">
        <v>3581</v>
      </c>
      <c r="BE6" s="3716"/>
      <c r="BF6" s="3717"/>
      <c r="BG6" s="3715" t="s">
        <v>1692</v>
      </c>
      <c r="BH6" s="3716"/>
      <c r="BI6" s="3717"/>
      <c r="BJ6" s="3715" t="s">
        <v>3583</v>
      </c>
      <c r="BK6" s="3716"/>
      <c r="BL6" s="3717"/>
      <c r="BM6" s="3762" t="s">
        <v>3581</v>
      </c>
      <c r="BN6" s="3763"/>
      <c r="BO6" s="3764"/>
      <c r="BP6" s="3709" t="s">
        <v>591</v>
      </c>
      <c r="BQ6" s="3710"/>
      <c r="BR6" s="3711"/>
      <c r="BS6" s="3709" t="s">
        <v>592</v>
      </c>
      <c r="BT6" s="3710"/>
      <c r="BU6" s="3711"/>
      <c r="BV6" s="3709" t="s">
        <v>593</v>
      </c>
      <c r="BW6" s="3710"/>
      <c r="BX6" s="3711"/>
      <c r="BY6" s="3762" t="s">
        <v>1692</v>
      </c>
      <c r="BZ6" s="3763"/>
      <c r="CA6" s="3763"/>
      <c r="CB6" s="3718" t="s">
        <v>3581</v>
      </c>
      <c r="CC6" s="3721"/>
      <c r="CD6" s="3722"/>
      <c r="CE6" s="3718" t="s">
        <v>1692</v>
      </c>
      <c r="CF6" s="3721"/>
      <c r="CG6" s="3722"/>
      <c r="CH6" s="3718" t="s">
        <v>3583</v>
      </c>
      <c r="CI6" s="3719"/>
      <c r="CJ6" s="3720"/>
      <c r="CK6" s="3054"/>
      <c r="CL6" s="3054"/>
      <c r="CM6" s="3054"/>
      <c r="CN6" s="3055"/>
    </row>
    <row r="7" spans="1:92" ht="18.75" customHeight="1" x14ac:dyDescent="0.2">
      <c r="A7" s="3724"/>
      <c r="B7" s="3095" t="s">
        <v>627</v>
      </c>
      <c r="C7" s="3095" t="s">
        <v>3625</v>
      </c>
      <c r="D7" s="3095" t="s">
        <v>3626</v>
      </c>
      <c r="E7" s="3095" t="s">
        <v>627</v>
      </c>
      <c r="F7" s="3095" t="s">
        <v>3625</v>
      </c>
      <c r="G7" s="3095" t="s">
        <v>3626</v>
      </c>
      <c r="H7" s="3095" t="s">
        <v>627</v>
      </c>
      <c r="I7" s="3095" t="s">
        <v>3625</v>
      </c>
      <c r="J7" s="3095" t="s">
        <v>3626</v>
      </c>
      <c r="K7" s="3095" t="s">
        <v>627</v>
      </c>
      <c r="L7" s="3095" t="s">
        <v>3625</v>
      </c>
      <c r="M7" s="3095" t="s">
        <v>3626</v>
      </c>
      <c r="N7" s="3095" t="s">
        <v>627</v>
      </c>
      <c r="O7" s="3095" t="s">
        <v>3625</v>
      </c>
      <c r="P7" s="3095" t="s">
        <v>3626</v>
      </c>
      <c r="Q7" s="3095" t="s">
        <v>627</v>
      </c>
      <c r="R7" s="3095" t="s">
        <v>3625</v>
      </c>
      <c r="S7" s="3095" t="s">
        <v>3626</v>
      </c>
      <c r="T7" s="3095" t="s">
        <v>627</v>
      </c>
      <c r="U7" s="3095" t="s">
        <v>3625</v>
      </c>
      <c r="V7" s="3095" t="s">
        <v>3626</v>
      </c>
      <c r="W7" s="3095" t="s">
        <v>627</v>
      </c>
      <c r="X7" s="3095" t="s">
        <v>3625</v>
      </c>
      <c r="Y7" s="3095" t="s">
        <v>3626</v>
      </c>
      <c r="Z7" s="3095" t="s">
        <v>627</v>
      </c>
      <c r="AA7" s="3095" t="s">
        <v>3625</v>
      </c>
      <c r="AB7" s="3095" t="s">
        <v>3626</v>
      </c>
      <c r="AC7" s="3095" t="s">
        <v>627</v>
      </c>
      <c r="AD7" s="3095" t="s">
        <v>3625</v>
      </c>
      <c r="AE7" s="3095" t="s">
        <v>3626</v>
      </c>
      <c r="AF7" s="3096" t="s">
        <v>627</v>
      </c>
      <c r="AG7" s="3096" t="s">
        <v>3625</v>
      </c>
      <c r="AH7" s="3096" t="s">
        <v>3626</v>
      </c>
      <c r="AI7" s="3096" t="s">
        <v>627</v>
      </c>
      <c r="AJ7" s="3096" t="s">
        <v>3625</v>
      </c>
      <c r="AK7" s="3096" t="s">
        <v>3626</v>
      </c>
      <c r="AL7" s="3096" t="s">
        <v>627</v>
      </c>
      <c r="AM7" s="3096" t="s">
        <v>3625</v>
      </c>
      <c r="AN7" s="3096" t="s">
        <v>3626</v>
      </c>
      <c r="AO7" s="3095" t="s">
        <v>627</v>
      </c>
      <c r="AP7" s="3095" t="s">
        <v>3625</v>
      </c>
      <c r="AQ7" s="3095" t="s">
        <v>3626</v>
      </c>
      <c r="AR7" s="3095" t="s">
        <v>627</v>
      </c>
      <c r="AS7" s="3095" t="s">
        <v>3625</v>
      </c>
      <c r="AT7" s="3095" t="s">
        <v>3626</v>
      </c>
      <c r="AU7" s="3095" t="s">
        <v>627</v>
      </c>
      <c r="AV7" s="3095" t="s">
        <v>3625</v>
      </c>
      <c r="AW7" s="3095" t="s">
        <v>3626</v>
      </c>
      <c r="AX7" s="3095" t="s">
        <v>627</v>
      </c>
      <c r="AY7" s="3095" t="s">
        <v>3625</v>
      </c>
      <c r="AZ7" s="3095" t="s">
        <v>3626</v>
      </c>
      <c r="BA7" s="3095" t="s">
        <v>627</v>
      </c>
      <c r="BB7" s="3095" t="s">
        <v>3625</v>
      </c>
      <c r="BC7" s="3095" t="s">
        <v>3626</v>
      </c>
      <c r="BD7" s="3096" t="s">
        <v>627</v>
      </c>
      <c r="BE7" s="3096" t="s">
        <v>3625</v>
      </c>
      <c r="BF7" s="3096" t="s">
        <v>3626</v>
      </c>
      <c r="BG7" s="3096" t="s">
        <v>627</v>
      </c>
      <c r="BH7" s="3096" t="s">
        <v>3625</v>
      </c>
      <c r="BI7" s="3096" t="s">
        <v>3626</v>
      </c>
      <c r="BJ7" s="3096" t="s">
        <v>627</v>
      </c>
      <c r="BK7" s="3096" t="s">
        <v>3625</v>
      </c>
      <c r="BL7" s="3096" t="s">
        <v>3626</v>
      </c>
      <c r="BM7" s="3095" t="s">
        <v>627</v>
      </c>
      <c r="BN7" s="3095" t="s">
        <v>3625</v>
      </c>
      <c r="BO7" s="3095" t="s">
        <v>3626</v>
      </c>
      <c r="BP7" s="3095" t="s">
        <v>627</v>
      </c>
      <c r="BQ7" s="3095" t="s">
        <v>3625</v>
      </c>
      <c r="BR7" s="3095" t="s">
        <v>3626</v>
      </c>
      <c r="BS7" s="3095" t="s">
        <v>627</v>
      </c>
      <c r="BT7" s="3095" t="s">
        <v>3625</v>
      </c>
      <c r="BU7" s="3095" t="s">
        <v>3626</v>
      </c>
      <c r="BV7" s="3095" t="s">
        <v>627</v>
      </c>
      <c r="BW7" s="3095" t="s">
        <v>3625</v>
      </c>
      <c r="BX7" s="3095" t="s">
        <v>3626</v>
      </c>
      <c r="BY7" s="3095" t="s">
        <v>627</v>
      </c>
      <c r="BZ7" s="3095" t="s">
        <v>3625</v>
      </c>
      <c r="CA7" s="3097" t="s">
        <v>3626</v>
      </c>
      <c r="CB7" s="3096" t="s">
        <v>627</v>
      </c>
      <c r="CC7" s="3096" t="s">
        <v>3625</v>
      </c>
      <c r="CD7" s="3096" t="s">
        <v>3626</v>
      </c>
      <c r="CE7" s="3096" t="s">
        <v>627</v>
      </c>
      <c r="CF7" s="3096" t="s">
        <v>3625</v>
      </c>
      <c r="CG7" s="3096" t="s">
        <v>3626</v>
      </c>
      <c r="CH7" s="3096" t="s">
        <v>627</v>
      </c>
      <c r="CI7" s="3096" t="s">
        <v>3625</v>
      </c>
      <c r="CJ7" s="3096" t="s">
        <v>3626</v>
      </c>
      <c r="CK7" s="3054"/>
      <c r="CL7" s="3054"/>
      <c r="CM7" s="3054"/>
      <c r="CN7" s="3055"/>
    </row>
    <row r="8" spans="1:92" ht="18.75" customHeight="1" x14ac:dyDescent="0.2">
      <c r="A8" s="3056" t="s">
        <v>3584</v>
      </c>
      <c r="B8" s="3057">
        <f>SUM(C8:D8)</f>
        <v>1563.7879199155666</v>
      </c>
      <c r="C8" s="3057">
        <f>SUM(CC8/4)</f>
        <v>1563.3454199155665</v>
      </c>
      <c r="D8" s="3057">
        <f>SUM(CD8/4)</f>
        <v>0.4425</v>
      </c>
      <c r="E8" s="3057">
        <f>SUM(F8:G8)</f>
        <v>568.33000000000004</v>
      </c>
      <c r="F8" s="3266">
        <v>568.21</v>
      </c>
      <c r="G8" s="3266">
        <v>0.12</v>
      </c>
      <c r="H8" s="3057">
        <f>SUM(I8:J8)</f>
        <v>493.23999999999995</v>
      </c>
      <c r="I8" s="3266">
        <v>493.15</v>
      </c>
      <c r="J8" s="3266">
        <v>0.09</v>
      </c>
      <c r="K8" s="3057">
        <f>SUM(L8:M8)</f>
        <v>534.95900000000006</v>
      </c>
      <c r="L8" s="3266">
        <v>534.88400000000001</v>
      </c>
      <c r="M8" s="3266">
        <v>7.4999999999999997E-2</v>
      </c>
      <c r="N8" s="3057">
        <f>SUM(O8:P8)</f>
        <v>1596.5290000000002</v>
      </c>
      <c r="O8" s="3057">
        <f>SUM(F8+I8+L8)</f>
        <v>1596.2440000000001</v>
      </c>
      <c r="P8" s="3057">
        <f>SUM(G8+J8+M8)</f>
        <v>0.28499999999999998</v>
      </c>
      <c r="Q8" s="3207">
        <f>SUM(R8:S8)</f>
        <v>1563.7879199155666</v>
      </c>
      <c r="R8" s="3207">
        <f>SUM(CC8/4)</f>
        <v>1563.3454199155665</v>
      </c>
      <c r="S8" s="3207">
        <f>SUM(CD8/4)</f>
        <v>0.4425</v>
      </c>
      <c r="T8" s="3057">
        <f>SUM(U8:V8)</f>
        <v>630.48400000000004</v>
      </c>
      <c r="U8" s="3266">
        <v>630.38900000000001</v>
      </c>
      <c r="V8" s="3463">
        <v>9.5000000000000001E-2</v>
      </c>
      <c r="W8" s="3057">
        <f>SUM(X8:Y8)</f>
        <v>640.53700000000003</v>
      </c>
      <c r="X8" s="3266">
        <v>640.44000000000005</v>
      </c>
      <c r="Y8" s="3463">
        <v>9.7000000000000003E-2</v>
      </c>
      <c r="Z8" s="3057">
        <f>SUM(AA8:AB8)</f>
        <v>613.39499999999998</v>
      </c>
      <c r="AA8" s="3266">
        <v>613.31399999999996</v>
      </c>
      <c r="AB8" s="3463">
        <v>8.1000000000000003E-2</v>
      </c>
      <c r="AC8" s="3057">
        <f>SUM(AD8:AE8)</f>
        <v>1884.4159999999999</v>
      </c>
      <c r="AD8" s="3057">
        <f>SUM(U8+X8+AA8)</f>
        <v>1884.143</v>
      </c>
      <c r="AE8" s="3057">
        <f>SUM(V8+Y8+AB8)</f>
        <v>0.27300000000000002</v>
      </c>
      <c r="AF8" s="3206">
        <f>SUM(AG8:AH8)</f>
        <v>3127.5758398311332</v>
      </c>
      <c r="AG8" s="3206">
        <f>SUM(C8+R8)</f>
        <v>3126.690839831133</v>
      </c>
      <c r="AH8" s="3206">
        <f>SUM(D8+S8)</f>
        <v>0.88500000000000001</v>
      </c>
      <c r="AI8" s="3058">
        <f>SUM(AJ8:AK8)</f>
        <v>3480.9450000000002</v>
      </c>
      <c r="AJ8" s="3058">
        <f>SUM(O8+AD8)</f>
        <v>3480.3870000000002</v>
      </c>
      <c r="AK8" s="3058">
        <f>SUM(P8+AE8)</f>
        <v>0.55800000000000005</v>
      </c>
      <c r="AL8" s="3058">
        <f>SUM(AM8:AN8)</f>
        <v>353.36916016886721</v>
      </c>
      <c r="AM8" s="3058">
        <f t="shared" ref="AM8:AN10" si="0">SUM(AJ8-AG8)</f>
        <v>353.69616016886721</v>
      </c>
      <c r="AN8" s="3058">
        <f t="shared" si="0"/>
        <v>-0.32699999999999996</v>
      </c>
      <c r="AO8" s="3207">
        <f>SUM(AP8:AQ8)</f>
        <v>1563.7879199155666</v>
      </c>
      <c r="AP8" s="3207">
        <f>SUM(CC8/4)</f>
        <v>1563.3454199155665</v>
      </c>
      <c r="AQ8" s="3207">
        <f>SUM(CD8/4)</f>
        <v>0.4425</v>
      </c>
      <c r="AR8" s="3207">
        <f>SUM(AS8:AT8)</f>
        <v>639.60199999999998</v>
      </c>
      <c r="AS8" s="3266">
        <v>639.51099999999997</v>
      </c>
      <c r="AT8" s="3463">
        <v>9.0999999999999998E-2</v>
      </c>
      <c r="AU8" s="3207">
        <f>SUM(AV8:AW8)</f>
        <v>554.14700000000005</v>
      </c>
      <c r="AV8" s="3463">
        <v>554.05700000000002</v>
      </c>
      <c r="AW8" s="3463">
        <v>0.09</v>
      </c>
      <c r="AX8" s="3057">
        <f>SUM(AY8:AZ8)</f>
        <v>588.95500000000004</v>
      </c>
      <c r="AY8" s="3266">
        <v>588.86500000000001</v>
      </c>
      <c r="AZ8" s="3266">
        <v>0.09</v>
      </c>
      <c r="BA8" s="3057">
        <f>SUM(BB8:BC8)</f>
        <v>1782.704</v>
      </c>
      <c r="BB8" s="3057">
        <f>SUM(AS8+AV8+AY8)</f>
        <v>1782.433</v>
      </c>
      <c r="BC8" s="3057">
        <f>SUM(AT8+AW8+AZ8)</f>
        <v>0.27100000000000002</v>
      </c>
      <c r="BD8" s="3206">
        <f>SUM(BE8:BF8)</f>
        <v>4691.3637597466995</v>
      </c>
      <c r="BE8" s="3206">
        <f>SUM(AG8+AP8)</f>
        <v>4690.0362597466992</v>
      </c>
      <c r="BF8" s="3206">
        <f>SUM(AH8+AQ8)</f>
        <v>1.3275000000000001</v>
      </c>
      <c r="BG8" s="3206">
        <f>SUM(BH8:BI8)</f>
        <v>5263.6489999999994</v>
      </c>
      <c r="BH8" s="3058">
        <f>SUM(AJ8+BB8)</f>
        <v>5262.82</v>
      </c>
      <c r="BI8" s="3058">
        <f>SUM(AK8+BC8)</f>
        <v>0.82900000000000007</v>
      </c>
      <c r="BJ8" s="3058">
        <f>SUM(BK8:BL8)</f>
        <v>572.28524025330046</v>
      </c>
      <c r="BK8" s="3058">
        <f t="shared" ref="BK8:BL10" si="1">SUM(BH8-BE8)</f>
        <v>572.78374025330049</v>
      </c>
      <c r="BL8" s="3058">
        <f t="shared" si="1"/>
        <v>-0.49850000000000005</v>
      </c>
      <c r="BM8" s="3207">
        <f>SUM(BN8:BO8)</f>
        <v>1563.7879199155666</v>
      </c>
      <c r="BN8" s="3207">
        <f>SUM(CC8/4)</f>
        <v>1563.3454199155665</v>
      </c>
      <c r="BO8" s="3207">
        <f>SUM(CD8/4)</f>
        <v>0.4425</v>
      </c>
      <c r="BP8" s="3057">
        <f>SUM(BQ8:BR8)</f>
        <v>0</v>
      </c>
      <c r="BQ8" s="3266"/>
      <c r="BR8" s="3266"/>
      <c r="BS8" s="3057">
        <f>SUM(BT8:BU8)</f>
        <v>0</v>
      </c>
      <c r="BT8" s="3266"/>
      <c r="BU8" s="3266"/>
      <c r="BV8" s="3057">
        <f>SUM(BW8:BX8)</f>
        <v>0</v>
      </c>
      <c r="BW8" s="3266"/>
      <c r="BX8" s="3266"/>
      <c r="BY8" s="3057">
        <f>SUM(BZ8:CA8)</f>
        <v>0</v>
      </c>
      <c r="BZ8" s="3057">
        <f>SUM(BQ8+BT8+BW8)</f>
        <v>0</v>
      </c>
      <c r="CA8" s="3057">
        <f>SUM(BR8+BU8+BX8)</f>
        <v>0</v>
      </c>
      <c r="CB8" s="3206">
        <f>SUM(CC8:CD8)</f>
        <v>6255.1516796622664</v>
      </c>
      <c r="CC8" s="3206">
        <f>SUM(объемы!AX38)</f>
        <v>6253.3816796622659</v>
      </c>
      <c r="CD8" s="3206">
        <f>SUM(объемы!AY38)</f>
        <v>1.77</v>
      </c>
      <c r="CE8" s="3058">
        <f>SUM(CF8:CG8)</f>
        <v>5263.6489999999994</v>
      </c>
      <c r="CF8" s="3058">
        <f>SUM(BH8+BZ8)</f>
        <v>5262.82</v>
      </c>
      <c r="CG8" s="3058">
        <f>SUM(BI8+CA8)</f>
        <v>0.82900000000000007</v>
      </c>
      <c r="CH8" s="3058">
        <f>SUM(CI8:CJ8)</f>
        <v>-991.50267966226625</v>
      </c>
      <c r="CI8" s="3058">
        <f t="shared" ref="CI8:CJ10" si="2">SUM(CF8-CC8)</f>
        <v>-990.56167966226622</v>
      </c>
      <c r="CJ8" s="3058">
        <f t="shared" si="2"/>
        <v>-0.94099999999999995</v>
      </c>
      <c r="CK8" s="3205"/>
      <c r="CL8" s="3054"/>
      <c r="CM8" s="3054"/>
      <c r="CN8" s="3055"/>
    </row>
    <row r="9" spans="1:92" ht="18.75" customHeight="1" x14ac:dyDescent="0.2">
      <c r="A9" s="3059" t="s">
        <v>20</v>
      </c>
      <c r="B9" s="3060">
        <f>SUM(C9:D9)</f>
        <v>298.5743333333333</v>
      </c>
      <c r="C9" s="3060">
        <f>SUM(CC9/4)</f>
        <v>298.5743333333333</v>
      </c>
      <c r="D9" s="3060">
        <f>SUM(CD9/4)</f>
        <v>0</v>
      </c>
      <c r="E9" s="3060">
        <f>SUM(F9:G9)</f>
        <v>40.869999999999997</v>
      </c>
      <c r="F9" s="3077">
        <v>40.869999999999997</v>
      </c>
      <c r="G9" s="3077">
        <v>0</v>
      </c>
      <c r="H9" s="3060">
        <f>SUM(I9:J9)</f>
        <v>34.53</v>
      </c>
      <c r="I9" s="3077">
        <v>34.53</v>
      </c>
      <c r="J9" s="3077">
        <v>0</v>
      </c>
      <c r="K9" s="3060">
        <f>SUM(L9:M9)</f>
        <v>33.301000000000002</v>
      </c>
      <c r="L9" s="3077">
        <v>33.301000000000002</v>
      </c>
      <c r="M9" s="3077">
        <v>0</v>
      </c>
      <c r="N9" s="3060">
        <f>SUM(O9:P9)</f>
        <v>108.70100000000001</v>
      </c>
      <c r="O9" s="3060">
        <f>SUM(F9+I9+L9)</f>
        <v>108.70100000000001</v>
      </c>
      <c r="P9" s="3060">
        <f>SUM(G9+J9+M9)</f>
        <v>0</v>
      </c>
      <c r="Q9" s="3208">
        <f>SUM(R9:S9)</f>
        <v>298.5743333333333</v>
      </c>
      <c r="R9" s="3208">
        <f>SUM(CC9/4)</f>
        <v>298.5743333333333</v>
      </c>
      <c r="S9" s="3208">
        <f>SUM(CD9/4)</f>
        <v>0</v>
      </c>
      <c r="T9" s="3060">
        <f>SUM(U9:V9)</f>
        <v>113.371</v>
      </c>
      <c r="U9" s="3077">
        <v>113.371</v>
      </c>
      <c r="V9" s="3077">
        <v>0</v>
      </c>
      <c r="W9" s="3060">
        <f>SUM(X9:Y9)</f>
        <v>150.89699999999999</v>
      </c>
      <c r="X9" s="3077">
        <v>150.89699999999999</v>
      </c>
      <c r="Y9" s="3077">
        <v>0</v>
      </c>
      <c r="Z9" s="3060">
        <f>SUM(AA9:AB9)</f>
        <v>121.114</v>
      </c>
      <c r="AA9" s="3077">
        <v>121.114</v>
      </c>
      <c r="AB9" s="3077">
        <v>0</v>
      </c>
      <c r="AC9" s="3060">
        <f>SUM(AD9:AE9)</f>
        <v>385.38199999999995</v>
      </c>
      <c r="AD9" s="3060">
        <f>SUM(U9+X9+AA9)</f>
        <v>385.38199999999995</v>
      </c>
      <c r="AE9" s="3060">
        <f>SUM(V9+Y9+AB9)</f>
        <v>0</v>
      </c>
      <c r="AF9" s="3209">
        <f>SUM(AG9:AH9)</f>
        <v>597.1486666666666</v>
      </c>
      <c r="AG9" s="3209">
        <f>SUM(C9+R9)</f>
        <v>597.1486666666666</v>
      </c>
      <c r="AH9" s="3209">
        <f>SUM(D9+S9)</f>
        <v>0</v>
      </c>
      <c r="AI9" s="3209">
        <f>SUM(AJ9:AK9)</f>
        <v>494.08299999999997</v>
      </c>
      <c r="AJ9" s="3209">
        <f>SUM(O9+AD9)</f>
        <v>494.08299999999997</v>
      </c>
      <c r="AK9" s="3062">
        <f>SUM(P9+AE9)</f>
        <v>0</v>
      </c>
      <c r="AL9" s="3062">
        <f>SUM(AM9:AN9)</f>
        <v>-103.06566666666663</v>
      </c>
      <c r="AM9" s="3062">
        <f t="shared" si="0"/>
        <v>-103.06566666666663</v>
      </c>
      <c r="AN9" s="3062">
        <f t="shared" si="0"/>
        <v>0</v>
      </c>
      <c r="AO9" s="3208">
        <f>SUM(AP9:AQ9)</f>
        <v>298.5743333333333</v>
      </c>
      <c r="AP9" s="3208">
        <f>SUM(CC9/4)</f>
        <v>298.5743333333333</v>
      </c>
      <c r="AQ9" s="3208">
        <f>SUM(CD9/4)</f>
        <v>0</v>
      </c>
      <c r="AR9" s="3060">
        <f>SUM(AS9:AT9)</f>
        <v>130.33199999999999</v>
      </c>
      <c r="AS9" s="3077">
        <v>130.33199999999999</v>
      </c>
      <c r="AT9" s="3077">
        <v>0</v>
      </c>
      <c r="AU9" s="3060">
        <f>SUM(AV9:AW9)</f>
        <v>168.31800000000001</v>
      </c>
      <c r="AV9" s="3077">
        <v>168.31800000000001</v>
      </c>
      <c r="AW9" s="3077">
        <v>0</v>
      </c>
      <c r="AX9" s="3060">
        <f>SUM(AY9:AZ9)</f>
        <v>196.87</v>
      </c>
      <c r="AY9" s="3077">
        <v>196.87</v>
      </c>
      <c r="AZ9" s="3077">
        <v>0</v>
      </c>
      <c r="BA9" s="3060">
        <f>SUM(BB9:BC9)</f>
        <v>495.52</v>
      </c>
      <c r="BB9" s="3060">
        <f>SUM(AS9+AV9+AY9)</f>
        <v>495.52</v>
      </c>
      <c r="BC9" s="3060">
        <f>SUM(AT9+AW9+AZ9)</f>
        <v>0</v>
      </c>
      <c r="BD9" s="3209">
        <f>SUM(BE9:BF9)</f>
        <v>895.72299999999996</v>
      </c>
      <c r="BE9" s="3209">
        <f>SUM(AG9+AP9)</f>
        <v>895.72299999999996</v>
      </c>
      <c r="BF9" s="3209">
        <f>SUM(AH9+AQ9)</f>
        <v>0</v>
      </c>
      <c r="BG9" s="3062">
        <f>SUM(BH9:BI9)</f>
        <v>989.60299999999995</v>
      </c>
      <c r="BH9" s="3209">
        <f>SUM(AJ9+BB9)</f>
        <v>989.60299999999995</v>
      </c>
      <c r="BI9" s="3062">
        <f>SUM(AK9+BC9)</f>
        <v>0</v>
      </c>
      <c r="BJ9" s="3062">
        <f>SUM(BK9:BL9)</f>
        <v>93.88</v>
      </c>
      <c r="BK9" s="3062">
        <f t="shared" si="1"/>
        <v>93.88</v>
      </c>
      <c r="BL9" s="3062">
        <f t="shared" si="1"/>
        <v>0</v>
      </c>
      <c r="BM9" s="3208">
        <f>SUM(BN9:BO9)</f>
        <v>298.5743333333333</v>
      </c>
      <c r="BN9" s="3208">
        <f>SUM(CC9/4)</f>
        <v>298.5743333333333</v>
      </c>
      <c r="BO9" s="3208">
        <f>SUM(CD9/4)</f>
        <v>0</v>
      </c>
      <c r="BP9" s="3060">
        <f>SUM(BQ9:BR9)</f>
        <v>0</v>
      </c>
      <c r="BQ9" s="3077"/>
      <c r="BR9" s="3077"/>
      <c r="BS9" s="3060">
        <f>SUM(BT9:BU9)</f>
        <v>0</v>
      </c>
      <c r="BT9" s="3077"/>
      <c r="BU9" s="3077"/>
      <c r="BV9" s="3060">
        <f>SUM(BW9:BX9)</f>
        <v>0</v>
      </c>
      <c r="BW9" s="3077"/>
      <c r="BX9" s="3077"/>
      <c r="BY9" s="3060">
        <f>SUM(BZ9:CA9)</f>
        <v>0</v>
      </c>
      <c r="BZ9" s="3060">
        <f>SUM(BQ9+BT9+BW9)</f>
        <v>0</v>
      </c>
      <c r="CA9" s="3060">
        <f>SUM(BR9+BU9+BX9)</f>
        <v>0</v>
      </c>
      <c r="CB9" s="3209">
        <f>SUM(CC9:CD9)</f>
        <v>1194.2973333333332</v>
      </c>
      <c r="CC9" s="3209">
        <f>SUM(объемы!AX41)</f>
        <v>1194.2973333333332</v>
      </c>
      <c r="CD9" s="3209">
        <f>SUM(объемы!AY41)</f>
        <v>0</v>
      </c>
      <c r="CE9" s="3062">
        <f>SUM(CF9:CG9)</f>
        <v>989.60299999999995</v>
      </c>
      <c r="CF9" s="3062">
        <f>SUM(BH9+BZ9)</f>
        <v>989.60299999999995</v>
      </c>
      <c r="CG9" s="3062">
        <f>SUM(BI9+CA9)</f>
        <v>0</v>
      </c>
      <c r="CH9" s="3062">
        <f>SUM(CI9:CJ9)</f>
        <v>-204.69433333333325</v>
      </c>
      <c r="CI9" s="3062">
        <f t="shared" si="2"/>
        <v>-204.69433333333325</v>
      </c>
      <c r="CJ9" s="3062">
        <f t="shared" si="2"/>
        <v>0</v>
      </c>
      <c r="CK9" s="3205"/>
      <c r="CL9" s="3054"/>
      <c r="CM9" s="3054"/>
      <c r="CN9" s="3055"/>
    </row>
    <row r="10" spans="1:92" ht="18.75" customHeight="1" x14ac:dyDescent="0.2">
      <c r="A10" s="3063" t="s">
        <v>382</v>
      </c>
      <c r="B10" s="3064">
        <f t="shared" ref="B10:D10" si="3">SUM(B9/B8)</f>
        <v>0.19093019554048876</v>
      </c>
      <c r="C10" s="3064">
        <f t="shared" si="3"/>
        <v>0.19098423773132542</v>
      </c>
      <c r="D10" s="3064">
        <f t="shared" si="3"/>
        <v>0</v>
      </c>
      <c r="E10" s="3064">
        <f t="shared" ref="E10:G10" si="4">SUM(E9/E8)</f>
        <v>7.191244523428289E-2</v>
      </c>
      <c r="F10" s="3064">
        <f t="shared" si="4"/>
        <v>7.1927632389433477E-2</v>
      </c>
      <c r="G10" s="3064">
        <f t="shared" si="4"/>
        <v>0</v>
      </c>
      <c r="H10" s="3064">
        <f t="shared" ref="H10:J10" si="5">SUM(H9/H8)</f>
        <v>7.0006487713891827E-2</v>
      </c>
      <c r="I10" s="3064">
        <f t="shared" si="5"/>
        <v>7.0019263915644336E-2</v>
      </c>
      <c r="J10" s="3064">
        <f t="shared" si="5"/>
        <v>0</v>
      </c>
      <c r="K10" s="3064">
        <f t="shared" ref="K10:M10" si="6">SUM(K9/K8)</f>
        <v>6.2249630345503112E-2</v>
      </c>
      <c r="L10" s="3064">
        <f t="shared" si="6"/>
        <v>6.2258358821725833E-2</v>
      </c>
      <c r="M10" s="3064">
        <f t="shared" si="6"/>
        <v>0</v>
      </c>
      <c r="N10" s="3064">
        <f t="shared" ref="N10:P10" si="7">SUM(N9/N8)</f>
        <v>6.8085828694624401E-2</v>
      </c>
      <c r="O10" s="3064">
        <f t="shared" si="7"/>
        <v>6.8097985019834065E-2</v>
      </c>
      <c r="P10" s="3064">
        <f t="shared" si="7"/>
        <v>0</v>
      </c>
      <c r="Q10" s="3064">
        <f t="shared" ref="Q10:AE10" si="8">SUM(Q9/Q8)</f>
        <v>0.19093019554048876</v>
      </c>
      <c r="R10" s="3064">
        <f t="shared" si="8"/>
        <v>0.19098423773132542</v>
      </c>
      <c r="S10" s="3064">
        <f t="shared" si="8"/>
        <v>0</v>
      </c>
      <c r="T10" s="3064">
        <f t="shared" si="8"/>
        <v>0.17981582403359955</v>
      </c>
      <c r="U10" s="3064">
        <f t="shared" si="8"/>
        <v>0.17984292238601879</v>
      </c>
      <c r="V10" s="3064">
        <f t="shared" si="8"/>
        <v>0</v>
      </c>
      <c r="W10" s="3064">
        <f t="shared" si="8"/>
        <v>0.23557889708166738</v>
      </c>
      <c r="X10" s="3064">
        <f t="shared" si="8"/>
        <v>0.23561457747798384</v>
      </c>
      <c r="Y10" s="3064">
        <f t="shared" si="8"/>
        <v>0</v>
      </c>
      <c r="Z10" s="3064">
        <f t="shared" si="8"/>
        <v>0.19744862608922473</v>
      </c>
      <c r="AA10" s="3064">
        <f t="shared" si="8"/>
        <v>0.19747470300694264</v>
      </c>
      <c r="AB10" s="3064">
        <f t="shared" si="8"/>
        <v>0</v>
      </c>
      <c r="AC10" s="3064">
        <f t="shared" si="8"/>
        <v>0.20451004449123758</v>
      </c>
      <c r="AD10" s="3064">
        <f t="shared" si="8"/>
        <v>0.20453967665936182</v>
      </c>
      <c r="AE10" s="3064">
        <f t="shared" si="8"/>
        <v>0</v>
      </c>
      <c r="AF10" s="3065">
        <f t="shared" ref="AF10:AH10" si="9">SUM(AF9/AF8)</f>
        <v>0.19093019554048876</v>
      </c>
      <c r="AG10" s="3065">
        <f t="shared" si="9"/>
        <v>0.19098423773132542</v>
      </c>
      <c r="AH10" s="3065">
        <f t="shared" si="9"/>
        <v>0</v>
      </c>
      <c r="AI10" s="3065">
        <f t="shared" ref="AI10" si="10">SUM(AI9/AI8)</f>
        <v>0.14193932969351711</v>
      </c>
      <c r="AJ10" s="3065">
        <f t="shared" ref="AJ10:AK10" si="11">SUM(AJ9/AJ8)</f>
        <v>0.14196208640016181</v>
      </c>
      <c r="AK10" s="3065">
        <f t="shared" si="11"/>
        <v>0</v>
      </c>
      <c r="AL10" s="3068">
        <f>SUM(AI10-AF10)</f>
        <v>-4.8990865846971654E-2</v>
      </c>
      <c r="AM10" s="3068">
        <f t="shared" si="0"/>
        <v>-4.902215133116361E-2</v>
      </c>
      <c r="AN10" s="3068">
        <f t="shared" si="0"/>
        <v>0</v>
      </c>
      <c r="AO10" s="3064">
        <f t="shared" ref="AO10:BC10" si="12">SUM(AO9/AO8)</f>
        <v>0.19093019554048876</v>
      </c>
      <c r="AP10" s="3064">
        <f t="shared" si="12"/>
        <v>0.19098423773132542</v>
      </c>
      <c r="AQ10" s="3064">
        <f t="shared" si="12"/>
        <v>0</v>
      </c>
      <c r="AR10" s="3064">
        <f t="shared" si="12"/>
        <v>0.20377046976088253</v>
      </c>
      <c r="AS10" s="3064">
        <f t="shared" si="12"/>
        <v>0.20379946552913086</v>
      </c>
      <c r="AT10" s="3064">
        <f t="shared" si="12"/>
        <v>0</v>
      </c>
      <c r="AU10" s="3064">
        <f t="shared" si="12"/>
        <v>0.30374250875670172</v>
      </c>
      <c r="AV10" s="3064">
        <f t="shared" si="12"/>
        <v>0.30379184813114896</v>
      </c>
      <c r="AW10" s="3064">
        <f t="shared" si="12"/>
        <v>0</v>
      </c>
      <c r="AX10" s="3064">
        <f t="shared" si="12"/>
        <v>0.33427002062975947</v>
      </c>
      <c r="AY10" s="3064">
        <f t="shared" si="12"/>
        <v>0.33432110925254516</v>
      </c>
      <c r="AZ10" s="3064">
        <f t="shared" si="12"/>
        <v>0</v>
      </c>
      <c r="BA10" s="3064">
        <f t="shared" si="12"/>
        <v>0.27795977346772094</v>
      </c>
      <c r="BB10" s="3064">
        <f t="shared" si="12"/>
        <v>0.27800203429806336</v>
      </c>
      <c r="BC10" s="3064">
        <f t="shared" si="12"/>
        <v>0</v>
      </c>
      <c r="BD10" s="3065">
        <f t="shared" ref="BD10:BF10" si="13">SUM(BD9/BD8)</f>
        <v>0.19093019554048879</v>
      </c>
      <c r="BE10" s="3065">
        <f t="shared" si="13"/>
        <v>0.19098423773132545</v>
      </c>
      <c r="BF10" s="3065">
        <f t="shared" si="13"/>
        <v>0</v>
      </c>
      <c r="BG10" s="3065">
        <f t="shared" ref="BG10:BI10" si="14">SUM(BG9/BG8)</f>
        <v>0.18800702706430464</v>
      </c>
      <c r="BH10" s="3065">
        <f t="shared" si="14"/>
        <v>0.18803664195241335</v>
      </c>
      <c r="BI10" s="3065">
        <f t="shared" si="14"/>
        <v>0</v>
      </c>
      <c r="BJ10" s="3068">
        <f>SUM(BG10-BD10)</f>
        <v>-2.9231684761841514E-3</v>
      </c>
      <c r="BK10" s="3068">
        <f t="shared" si="1"/>
        <v>-2.9475957789120988E-3</v>
      </c>
      <c r="BL10" s="3068">
        <f t="shared" si="1"/>
        <v>0</v>
      </c>
      <c r="BM10" s="3064">
        <f t="shared" ref="BM10:CA10" si="15">SUM(BM9/BM8)</f>
        <v>0.19093019554048876</v>
      </c>
      <c r="BN10" s="3064">
        <f t="shared" si="15"/>
        <v>0.19098423773132542</v>
      </c>
      <c r="BO10" s="3064">
        <f t="shared" si="15"/>
        <v>0</v>
      </c>
      <c r="BP10" s="3064" t="e">
        <f t="shared" si="15"/>
        <v>#DIV/0!</v>
      </c>
      <c r="BQ10" s="3064" t="e">
        <f t="shared" si="15"/>
        <v>#DIV/0!</v>
      </c>
      <c r="BR10" s="3064" t="e">
        <f t="shared" si="15"/>
        <v>#DIV/0!</v>
      </c>
      <c r="BS10" s="3064" t="e">
        <f t="shared" si="15"/>
        <v>#DIV/0!</v>
      </c>
      <c r="BT10" s="3064" t="e">
        <f t="shared" si="15"/>
        <v>#DIV/0!</v>
      </c>
      <c r="BU10" s="3064" t="e">
        <f t="shared" si="15"/>
        <v>#DIV/0!</v>
      </c>
      <c r="BV10" s="3064" t="e">
        <f t="shared" si="15"/>
        <v>#DIV/0!</v>
      </c>
      <c r="BW10" s="3064" t="e">
        <f t="shared" si="15"/>
        <v>#DIV/0!</v>
      </c>
      <c r="BX10" s="3064" t="e">
        <f t="shared" si="15"/>
        <v>#DIV/0!</v>
      </c>
      <c r="BY10" s="3064" t="e">
        <f t="shared" si="15"/>
        <v>#DIV/0!</v>
      </c>
      <c r="BZ10" s="3064" t="e">
        <f t="shared" si="15"/>
        <v>#DIV/0!</v>
      </c>
      <c r="CA10" s="3064" t="e">
        <f t="shared" si="15"/>
        <v>#DIV/0!</v>
      </c>
      <c r="CB10" s="3065">
        <f t="shared" ref="CB10:CG10" si="16">SUM(CB9/CB8)</f>
        <v>0.19093019554048876</v>
      </c>
      <c r="CC10" s="3065">
        <f t="shared" si="16"/>
        <v>0.19098423773132542</v>
      </c>
      <c r="CD10" s="3065">
        <f t="shared" si="16"/>
        <v>0</v>
      </c>
      <c r="CE10" s="3065">
        <f t="shared" si="16"/>
        <v>0.18800702706430464</v>
      </c>
      <c r="CF10" s="3065">
        <f t="shared" si="16"/>
        <v>0.18803664195241335</v>
      </c>
      <c r="CG10" s="3065">
        <f t="shared" si="16"/>
        <v>0</v>
      </c>
      <c r="CH10" s="3068">
        <f>SUM(CE10-CB10)</f>
        <v>-2.9231684761841237E-3</v>
      </c>
      <c r="CI10" s="3068">
        <f t="shared" si="2"/>
        <v>-2.947595778912071E-3</v>
      </c>
      <c r="CJ10" s="3068">
        <f t="shared" si="2"/>
        <v>0</v>
      </c>
      <c r="CK10" s="3205"/>
      <c r="CL10" s="3055"/>
      <c r="CM10" s="3055"/>
      <c r="CN10" s="3055"/>
    </row>
    <row r="11" spans="1:92" ht="18.75" customHeight="1" x14ac:dyDescent="0.2">
      <c r="A11" s="3056" t="s">
        <v>3585</v>
      </c>
      <c r="B11" s="3057">
        <f>SUM(C11:D11)</f>
        <v>1265.2135865822333</v>
      </c>
      <c r="C11" s="3057">
        <f>SUM(C8-C9)</f>
        <v>1264.7710865822332</v>
      </c>
      <c r="D11" s="3057">
        <f>SUM(D8-D9)</f>
        <v>0.4425</v>
      </c>
      <c r="E11" s="3057">
        <f>SUM(F11:G11)</f>
        <v>527.46</v>
      </c>
      <c r="F11" s="3057">
        <f>SUM(F8-F9)</f>
        <v>527.34</v>
      </c>
      <c r="G11" s="3057">
        <f>SUM(G8-G9)</f>
        <v>0.12</v>
      </c>
      <c r="H11" s="3057">
        <f>SUM(I11:J11)</f>
        <v>458.71</v>
      </c>
      <c r="I11" s="3057">
        <f>SUM(I8-I9)</f>
        <v>458.62</v>
      </c>
      <c r="J11" s="3057">
        <f>SUM(J8-J9)</f>
        <v>0.09</v>
      </c>
      <c r="K11" s="3057">
        <f>SUM(L11:M11)</f>
        <v>501.65800000000002</v>
      </c>
      <c r="L11" s="3057">
        <f>SUM(L8-L9)</f>
        <v>501.58300000000003</v>
      </c>
      <c r="M11" s="3057">
        <f>SUM(M8-M9)</f>
        <v>7.4999999999999997E-2</v>
      </c>
      <c r="N11" s="3057">
        <f>SUM(O11:P11)</f>
        <v>1487.8280000000002</v>
      </c>
      <c r="O11" s="3057">
        <f>SUM(O8-O9)</f>
        <v>1487.5430000000001</v>
      </c>
      <c r="P11" s="3057">
        <f>SUM(P8-P9)</f>
        <v>0.28499999999999998</v>
      </c>
      <c r="Q11" s="3207">
        <f>SUM(R11:S11)</f>
        <v>1265.2135865822333</v>
      </c>
      <c r="R11" s="3207">
        <f>SUM(R8-R9)</f>
        <v>1264.7710865822332</v>
      </c>
      <c r="S11" s="3207">
        <f>SUM(S8-S9)</f>
        <v>0.4425</v>
      </c>
      <c r="T11" s="3057">
        <f>SUM(U11:V11)</f>
        <v>517.11300000000006</v>
      </c>
      <c r="U11" s="3057">
        <f>SUM(U8-U9)</f>
        <v>517.01800000000003</v>
      </c>
      <c r="V11" s="3207">
        <f>SUM(V8-V9)</f>
        <v>9.5000000000000001E-2</v>
      </c>
      <c r="W11" s="3057">
        <f>SUM(X11:Y11)</f>
        <v>489.64000000000004</v>
      </c>
      <c r="X11" s="3057">
        <f>SUM(X8-X9)</f>
        <v>489.54300000000006</v>
      </c>
      <c r="Y11" s="3057">
        <f>SUM(Y8-Y9)</f>
        <v>9.7000000000000003E-2</v>
      </c>
      <c r="Z11" s="3057">
        <f>SUM(AA11:AB11)</f>
        <v>492.28099999999995</v>
      </c>
      <c r="AA11" s="3057">
        <f>SUM(AA8-AA9)</f>
        <v>492.19999999999993</v>
      </c>
      <c r="AB11" s="3057">
        <f>SUM(AB8-AB9)</f>
        <v>8.1000000000000003E-2</v>
      </c>
      <c r="AC11" s="3057">
        <f>SUM(AD11:AE11)</f>
        <v>1499.0339999999999</v>
      </c>
      <c r="AD11" s="3057">
        <f>SUM(AD8-AD9)</f>
        <v>1498.761</v>
      </c>
      <c r="AE11" s="3057">
        <f>SUM(AE8-AE9)</f>
        <v>0.27300000000000002</v>
      </c>
      <c r="AF11" s="3206">
        <f>SUM(AG11:AH11)</f>
        <v>2530.4271731644667</v>
      </c>
      <c r="AG11" s="3206">
        <f>SUM(AG8-AG9)</f>
        <v>2529.5421731644665</v>
      </c>
      <c r="AH11" s="3206">
        <f>SUM(AH8-AH9)</f>
        <v>0.88500000000000001</v>
      </c>
      <c r="AI11" s="3206">
        <f>SUM(AJ11:AK11)</f>
        <v>2986.8620000000001</v>
      </c>
      <c r="AJ11" s="3206">
        <f>SUM(AJ8-AJ9)</f>
        <v>2986.3040000000001</v>
      </c>
      <c r="AK11" s="3206">
        <f>SUM(AK8-AK9)</f>
        <v>0.55800000000000005</v>
      </c>
      <c r="AL11" s="3058">
        <f>SUM(AM11:AN11)</f>
        <v>456.43482683553384</v>
      </c>
      <c r="AM11" s="3058">
        <f>SUM(AM8-AM9)</f>
        <v>456.76182683553384</v>
      </c>
      <c r="AN11" s="3058">
        <f>SUM(AN8-AN9)</f>
        <v>-0.32699999999999996</v>
      </c>
      <c r="AO11" s="3207">
        <f>SUM(AP11:AQ11)</f>
        <v>1265.2135865822333</v>
      </c>
      <c r="AP11" s="3207">
        <f>SUM(AP8-AP9)</f>
        <v>1264.7710865822332</v>
      </c>
      <c r="AQ11" s="3207">
        <f>SUM(AQ8-AQ9)</f>
        <v>0.4425</v>
      </c>
      <c r="AR11" s="3057">
        <f>SUM(AS11:AT11)</f>
        <v>509.27</v>
      </c>
      <c r="AS11" s="3057">
        <f>SUM(AS8-AS9)</f>
        <v>509.17899999999997</v>
      </c>
      <c r="AT11" s="3057">
        <f>SUM(AT8-AT9)</f>
        <v>9.0999999999999998E-2</v>
      </c>
      <c r="AU11" s="3057">
        <f>SUM(AV11:AW11)</f>
        <v>385.82900000000001</v>
      </c>
      <c r="AV11" s="3057">
        <f>SUM(AV8-AV9)</f>
        <v>385.73900000000003</v>
      </c>
      <c r="AW11" s="3057">
        <f>SUM(AW8-AW9)</f>
        <v>0.09</v>
      </c>
      <c r="AX11" s="3057">
        <f>SUM(AY11:AZ11)</f>
        <v>392.08499999999998</v>
      </c>
      <c r="AY11" s="3057">
        <f>SUM(AY8-AY9)</f>
        <v>391.995</v>
      </c>
      <c r="AZ11" s="3057">
        <f>SUM(AZ8-AZ9)</f>
        <v>0.09</v>
      </c>
      <c r="BA11" s="3057">
        <f>SUM(BB11:BC11)</f>
        <v>1287.184</v>
      </c>
      <c r="BB11" s="3057">
        <f>SUM(BB8-BB9)</f>
        <v>1286.913</v>
      </c>
      <c r="BC11" s="3057">
        <f>SUM(BC8-BC9)</f>
        <v>0.27100000000000002</v>
      </c>
      <c r="BD11" s="3206">
        <f>SUM(BE11:BF11)</f>
        <v>3795.6407597466991</v>
      </c>
      <c r="BE11" s="3206">
        <f>SUM(BE8-BE9)</f>
        <v>3794.3132597466993</v>
      </c>
      <c r="BF11" s="3206">
        <f>SUM(BF8-BF9)</f>
        <v>1.3275000000000001</v>
      </c>
      <c r="BG11" s="3058">
        <f>SUM(BH11:BI11)</f>
        <v>4274.0459999999994</v>
      </c>
      <c r="BH11" s="3058">
        <f>SUM(BH8-BH9)</f>
        <v>4273.2169999999996</v>
      </c>
      <c r="BI11" s="3058">
        <f>SUM(BI8-BI9)</f>
        <v>0.82900000000000007</v>
      </c>
      <c r="BJ11" s="3058">
        <f>SUM(BK11:BL11)</f>
        <v>478.40524025330052</v>
      </c>
      <c r="BK11" s="3058">
        <f>SUM(BK8-BK9)</f>
        <v>478.9037402533005</v>
      </c>
      <c r="BL11" s="3058">
        <f>SUM(BL8-BL9)</f>
        <v>-0.49850000000000005</v>
      </c>
      <c r="BM11" s="3207">
        <f>SUM(BN11:BO11)</f>
        <v>1265.2135865822333</v>
      </c>
      <c r="BN11" s="3207">
        <f>SUM(BN8-BN9)</f>
        <v>1264.7710865822332</v>
      </c>
      <c r="BO11" s="3207">
        <f>SUM(BO8-BO9)</f>
        <v>0.4425</v>
      </c>
      <c r="BP11" s="3057">
        <f>SUM(BQ11:BR11)</f>
        <v>0</v>
      </c>
      <c r="BQ11" s="3057">
        <f>SUM(BQ8-BQ9)</f>
        <v>0</v>
      </c>
      <c r="BR11" s="3057">
        <f>SUM(BR8-BR9)</f>
        <v>0</v>
      </c>
      <c r="BS11" s="3057">
        <f>SUM(BT11:BU11)</f>
        <v>0</v>
      </c>
      <c r="BT11" s="3057">
        <f>SUM(BT8-BT9)</f>
        <v>0</v>
      </c>
      <c r="BU11" s="3057">
        <f>SUM(BU8-BU9)</f>
        <v>0</v>
      </c>
      <c r="BV11" s="3057">
        <f>SUM(BW11:BX11)</f>
        <v>0</v>
      </c>
      <c r="BW11" s="3057">
        <f>SUM(BW8-BW9)</f>
        <v>0</v>
      </c>
      <c r="BX11" s="3057">
        <f>SUM(BX8-BX9)</f>
        <v>0</v>
      </c>
      <c r="BY11" s="3057">
        <f>SUM(BZ11:CA11)</f>
        <v>0</v>
      </c>
      <c r="BZ11" s="3057">
        <f>SUM(BZ8-BZ9)</f>
        <v>0</v>
      </c>
      <c r="CA11" s="3057">
        <f>SUM(CA8-CA9)</f>
        <v>0</v>
      </c>
      <c r="CB11" s="3206">
        <f>SUM(CC11:CD11)</f>
        <v>5060.8543463289334</v>
      </c>
      <c r="CC11" s="3206">
        <f>SUM(CC8-CC9)</f>
        <v>5059.084346328933</v>
      </c>
      <c r="CD11" s="3206">
        <f>SUM(CD8-CD9)</f>
        <v>1.77</v>
      </c>
      <c r="CE11" s="3058">
        <f>SUM(CF11:CG11)</f>
        <v>4274.0459999999994</v>
      </c>
      <c r="CF11" s="3058">
        <f>SUM(CF8-CF9)</f>
        <v>4273.2169999999996</v>
      </c>
      <c r="CG11" s="3058">
        <f>SUM(CG8-CG9)</f>
        <v>0.82900000000000007</v>
      </c>
      <c r="CH11" s="3058">
        <f>SUM(CI11:CJ11)</f>
        <v>-786.808346328933</v>
      </c>
      <c r="CI11" s="3058">
        <f>SUM(CI8-CI9)</f>
        <v>-785.86734632893297</v>
      </c>
      <c r="CJ11" s="3058">
        <f>SUM(CJ8-CJ9)</f>
        <v>-0.94099999999999995</v>
      </c>
      <c r="CK11" s="3205"/>
      <c r="CL11" s="3055"/>
      <c r="CM11" s="3055"/>
      <c r="CN11" s="3055"/>
    </row>
    <row r="12" spans="1:92" ht="18.75" customHeight="1" x14ac:dyDescent="0.2">
      <c r="A12" s="3059" t="s">
        <v>51</v>
      </c>
      <c r="B12" s="3060">
        <f>SUM(C12:D12)</f>
        <v>349.61485574889991</v>
      </c>
      <c r="C12" s="3060">
        <f t="shared" ref="C12" si="17">SUM(C11-C14)</f>
        <v>349.61485574889991</v>
      </c>
      <c r="D12" s="3060">
        <f>SUM(D11-D14)</f>
        <v>0</v>
      </c>
      <c r="E12" s="3060">
        <f>SUM(F12:G12)</f>
        <v>215.90500000000003</v>
      </c>
      <c r="F12" s="3060">
        <f t="shared" ref="F12" si="18">SUM(F11-F14)</f>
        <v>215.90500000000003</v>
      </c>
      <c r="G12" s="3060">
        <f>SUM(G11-G14)</f>
        <v>0</v>
      </c>
      <c r="H12" s="3060">
        <f>SUM(I12:J12)</f>
        <v>161.70999999999998</v>
      </c>
      <c r="I12" s="3060">
        <f t="shared" ref="I12" si="19">SUM(I11-I14)</f>
        <v>161.70999999999998</v>
      </c>
      <c r="J12" s="3060">
        <f>SUM(J11-J14)</f>
        <v>0</v>
      </c>
      <c r="K12" s="3060">
        <f>SUM(L12:M12)</f>
        <v>219.45400000000001</v>
      </c>
      <c r="L12" s="3060">
        <f t="shared" ref="L12" si="20">SUM(L11-L14)</f>
        <v>219.45400000000001</v>
      </c>
      <c r="M12" s="3060">
        <f>SUM(M11-M14)</f>
        <v>0</v>
      </c>
      <c r="N12" s="3060">
        <f>SUM(O12:P12)</f>
        <v>597.06900000000007</v>
      </c>
      <c r="O12" s="3060">
        <f t="shared" ref="O12" si="21">SUM(O11-O14)</f>
        <v>597.06900000000007</v>
      </c>
      <c r="P12" s="3060">
        <f>SUM(P11-P14)</f>
        <v>0</v>
      </c>
      <c r="Q12" s="3208">
        <f>SUM(R12:S12)</f>
        <v>349.61485574889991</v>
      </c>
      <c r="R12" s="3208">
        <f t="shared" ref="R12" si="22">SUM(R11-R14)</f>
        <v>349.61485574889991</v>
      </c>
      <c r="S12" s="3208">
        <f>SUM(S11-S14)</f>
        <v>0</v>
      </c>
      <c r="T12" s="3060">
        <f>SUM(U12:V12)</f>
        <v>221.91800000000006</v>
      </c>
      <c r="U12" s="3060">
        <f t="shared" ref="U12" si="23">SUM(U11-U14)</f>
        <v>221.91800000000006</v>
      </c>
      <c r="V12" s="3060">
        <f>SUM(V11-V14)</f>
        <v>0</v>
      </c>
      <c r="W12" s="3060">
        <f>SUM(X12:Y12)</f>
        <v>205.90800000000007</v>
      </c>
      <c r="X12" s="3060">
        <f t="shared" ref="X12" si="24">SUM(X11-X14)</f>
        <v>205.90800000000007</v>
      </c>
      <c r="Y12" s="3060">
        <f>SUM(Y11-Y14)</f>
        <v>0</v>
      </c>
      <c r="Z12" s="3060">
        <f>SUM(AA12:AB12)</f>
        <v>210.47799999999989</v>
      </c>
      <c r="AA12" s="3060">
        <f t="shared" ref="AA12" si="25">SUM(AA11-AA14)</f>
        <v>210.47799999999989</v>
      </c>
      <c r="AB12" s="3060">
        <f>SUM(AB11-AB14)</f>
        <v>0</v>
      </c>
      <c r="AC12" s="3060">
        <f>SUM(AD12:AE12)</f>
        <v>638.30399999999997</v>
      </c>
      <c r="AD12" s="3060">
        <f t="shared" ref="AD12:AG12" si="26">SUM(AD11-AD14)</f>
        <v>638.30399999999997</v>
      </c>
      <c r="AE12" s="3060">
        <f>SUM(AE11-AE14)</f>
        <v>0</v>
      </c>
      <c r="AF12" s="3209">
        <f>SUM(AG12:AH12)</f>
        <v>699.22971149779983</v>
      </c>
      <c r="AG12" s="3209">
        <f t="shared" si="26"/>
        <v>699.22971149779983</v>
      </c>
      <c r="AH12" s="3209">
        <f>SUM(AH11-AH14)</f>
        <v>0</v>
      </c>
      <c r="AI12" s="3209">
        <f>SUM(AJ12:AK12)</f>
        <v>1235.373</v>
      </c>
      <c r="AJ12" s="3209">
        <f t="shared" ref="AJ12" si="27">SUM(AJ11-AJ14)</f>
        <v>1235.373</v>
      </c>
      <c r="AK12" s="3209">
        <f>SUM(AK11-AK14)</f>
        <v>0</v>
      </c>
      <c r="AL12" s="3062">
        <f>SUM(AM12:AN12)</f>
        <v>536.14328850220033</v>
      </c>
      <c r="AM12" s="3062">
        <f t="shared" ref="AM12" si="28">SUM(AM11-AM14)</f>
        <v>536.14328850220033</v>
      </c>
      <c r="AN12" s="3062">
        <f>SUM(AN11-AN14)</f>
        <v>0</v>
      </c>
      <c r="AO12" s="3208">
        <f>SUM(AP12:AQ12)</f>
        <v>349.61485574889991</v>
      </c>
      <c r="AP12" s="3208">
        <f t="shared" ref="AP12" si="29">SUM(AP11-AP14)</f>
        <v>349.61485574889991</v>
      </c>
      <c r="AQ12" s="3208">
        <f>SUM(AQ11-AQ14)</f>
        <v>0</v>
      </c>
      <c r="AR12" s="3060">
        <f>SUM(AS12:AT12)</f>
        <v>233.57799999999997</v>
      </c>
      <c r="AS12" s="3060">
        <f t="shared" ref="AS12" si="30">SUM(AS11-AS14)</f>
        <v>233.57799999999997</v>
      </c>
      <c r="AT12" s="3060">
        <f>SUM(AT11-AT14)</f>
        <v>0</v>
      </c>
      <c r="AU12" s="3060">
        <f>SUM(AV12:AW12)</f>
        <v>74.87700000000001</v>
      </c>
      <c r="AV12" s="3060">
        <f t="shared" ref="AV12" si="31">SUM(AV11-AV14)</f>
        <v>74.87700000000001</v>
      </c>
      <c r="AW12" s="3060">
        <f>SUM(AW11-AW14)</f>
        <v>0</v>
      </c>
      <c r="AX12" s="3060">
        <f>SUM(AY12:AZ12)</f>
        <v>90.964000000000055</v>
      </c>
      <c r="AY12" s="3060">
        <f t="shared" ref="AY12" si="32">SUM(AY11-AY14)</f>
        <v>90.964000000000055</v>
      </c>
      <c r="AZ12" s="3060">
        <f>SUM(AZ11-AZ14)</f>
        <v>0</v>
      </c>
      <c r="BA12" s="3060">
        <f>SUM(BB12:BC12)</f>
        <v>399.41899999999998</v>
      </c>
      <c r="BB12" s="3060">
        <f t="shared" ref="BB12" si="33">SUM(BB11-BB14)</f>
        <v>399.41899999999998</v>
      </c>
      <c r="BC12" s="3060">
        <f>SUM(BC11-BC14)</f>
        <v>0</v>
      </c>
      <c r="BD12" s="3209">
        <f>SUM(BE12:BF12)</f>
        <v>1048.8445672466996</v>
      </c>
      <c r="BE12" s="3209">
        <f t="shared" ref="BE12" si="34">SUM(BE11-BE14)</f>
        <v>1048.8445672466996</v>
      </c>
      <c r="BF12" s="3209">
        <f>SUM(BF11-BF14)</f>
        <v>0</v>
      </c>
      <c r="BG12" s="3062">
        <f>SUM(BH12:BI12)</f>
        <v>1634.791999999999</v>
      </c>
      <c r="BH12" s="3062">
        <f t="shared" ref="BH12" si="35">SUM(BH11-BH14)</f>
        <v>1634.791999999999</v>
      </c>
      <c r="BI12" s="3062">
        <f>SUM(BI11-BI14)</f>
        <v>0</v>
      </c>
      <c r="BJ12" s="3062">
        <f>SUM(BK12:BL12)</f>
        <v>585.94743275330006</v>
      </c>
      <c r="BK12" s="3062">
        <f t="shared" ref="BK12" si="36">SUM(BK11-BK14)</f>
        <v>585.94743275330006</v>
      </c>
      <c r="BL12" s="3062">
        <f>SUM(BL11-BL14)</f>
        <v>0</v>
      </c>
      <c r="BM12" s="3208">
        <f>SUM(BN12:BO12)</f>
        <v>349.61485574889991</v>
      </c>
      <c r="BN12" s="3208">
        <f t="shared" ref="BN12" si="37">SUM(BN11-BN14)</f>
        <v>349.61485574889991</v>
      </c>
      <c r="BO12" s="3208">
        <f>SUM(BO11-BO14)</f>
        <v>0</v>
      </c>
      <c r="BP12" s="3060">
        <f>SUM(BQ12:BR12)</f>
        <v>0</v>
      </c>
      <c r="BQ12" s="3060">
        <f t="shared" ref="BQ12" si="38">SUM(BQ11-BQ14)</f>
        <v>0</v>
      </c>
      <c r="BR12" s="3060">
        <f>SUM(BR11-BR14)</f>
        <v>0</v>
      </c>
      <c r="BS12" s="3060">
        <f>SUM(BT12:BU12)</f>
        <v>0</v>
      </c>
      <c r="BT12" s="3060">
        <f t="shared" ref="BT12" si="39">SUM(BT11-BT14)</f>
        <v>0</v>
      </c>
      <c r="BU12" s="3060">
        <f>SUM(BU11-BU14)</f>
        <v>0</v>
      </c>
      <c r="BV12" s="3060">
        <f>SUM(BW12:BX12)</f>
        <v>0</v>
      </c>
      <c r="BW12" s="3060">
        <f t="shared" ref="BW12" si="40">SUM(BW11-BW14)</f>
        <v>0</v>
      </c>
      <c r="BX12" s="3060">
        <f>SUM(BX11-BX14)</f>
        <v>0</v>
      </c>
      <c r="BY12" s="3060">
        <f>SUM(BZ12:CA12)</f>
        <v>0</v>
      </c>
      <c r="BZ12" s="3060">
        <f t="shared" ref="BZ12" si="41">SUM(BZ11-BZ14)</f>
        <v>0</v>
      </c>
      <c r="CA12" s="3060">
        <f>SUM(CA11-CA14)</f>
        <v>0</v>
      </c>
      <c r="CB12" s="3209">
        <f>SUM(CC12:CD12)</f>
        <v>1398.4594229955997</v>
      </c>
      <c r="CC12" s="3209">
        <f t="shared" ref="CC12:CD12" si="42">SUM(CC11-CC14)</f>
        <v>1398.4594229955997</v>
      </c>
      <c r="CD12" s="3209">
        <f t="shared" si="42"/>
        <v>0</v>
      </c>
      <c r="CE12" s="3062">
        <f>SUM(CF12:CG12)</f>
        <v>1634.791999999999</v>
      </c>
      <c r="CF12" s="3062">
        <f t="shared" ref="CF12" si="43">SUM(CF11-CF14)</f>
        <v>1634.791999999999</v>
      </c>
      <c r="CG12" s="3062">
        <f>SUM(CG11-CG14)</f>
        <v>0</v>
      </c>
      <c r="CH12" s="3062">
        <f>SUM(CI12:CJ12)</f>
        <v>236.33257700440004</v>
      </c>
      <c r="CI12" s="3062">
        <f t="shared" ref="CI12" si="44">SUM(CI11-CI14)</f>
        <v>236.33257700440004</v>
      </c>
      <c r="CJ12" s="3062">
        <f>SUM(CJ11-CJ14)</f>
        <v>0</v>
      </c>
      <c r="CK12" s="3205"/>
      <c r="CL12" s="3055"/>
      <c r="CM12" s="3055"/>
      <c r="CN12" s="3055"/>
    </row>
    <row r="13" spans="1:92" ht="18.75" customHeight="1" x14ac:dyDescent="0.2">
      <c r="A13" s="3063" t="s">
        <v>114</v>
      </c>
      <c r="B13" s="3064">
        <f t="shared" ref="B13:D13" si="45">SUM(B12/B11)</f>
        <v>0.27632872382703938</v>
      </c>
      <c r="C13" s="3064">
        <f t="shared" si="45"/>
        <v>0.27642540176472363</v>
      </c>
      <c r="D13" s="3064">
        <f t="shared" si="45"/>
        <v>0</v>
      </c>
      <c r="E13" s="3064">
        <f t="shared" ref="E13:G13" si="46">SUM(E12/E11)</f>
        <v>0.40932961741174689</v>
      </c>
      <c r="F13" s="3064">
        <f t="shared" si="46"/>
        <v>0.40942276330261312</v>
      </c>
      <c r="G13" s="3064">
        <f t="shared" si="46"/>
        <v>0</v>
      </c>
      <c r="H13" s="3064">
        <f t="shared" ref="H13:J13" si="47">SUM(H12/H11)</f>
        <v>0.35253210089163084</v>
      </c>
      <c r="I13" s="3064">
        <f t="shared" si="47"/>
        <v>0.35260128210719111</v>
      </c>
      <c r="J13" s="3064">
        <f t="shared" si="47"/>
        <v>0</v>
      </c>
      <c r="K13" s="3064">
        <f t="shared" ref="K13:M13" si="48">SUM(K12/K11)</f>
        <v>0.43745739129048078</v>
      </c>
      <c r="L13" s="3064">
        <f t="shared" si="48"/>
        <v>0.43752280280631523</v>
      </c>
      <c r="M13" s="3064">
        <f t="shared" si="48"/>
        <v>0</v>
      </c>
      <c r="N13" s="3064">
        <f t="shared" ref="N13:P13" si="49">SUM(N12/N11)</f>
        <v>0.40130243549657624</v>
      </c>
      <c r="O13" s="3064">
        <f t="shared" si="49"/>
        <v>0.40137932147171546</v>
      </c>
      <c r="P13" s="3064">
        <f t="shared" si="49"/>
        <v>0</v>
      </c>
      <c r="Q13" s="3064">
        <f t="shared" ref="Q13:AE13" si="50">SUM(Q12/Q11)</f>
        <v>0.27632872382703938</v>
      </c>
      <c r="R13" s="3064">
        <f t="shared" si="50"/>
        <v>0.27642540176472363</v>
      </c>
      <c r="S13" s="3064">
        <f t="shared" si="50"/>
        <v>0</v>
      </c>
      <c r="T13" s="3064">
        <f t="shared" si="50"/>
        <v>0.42914798119559949</v>
      </c>
      <c r="U13" s="3064">
        <f t="shared" si="50"/>
        <v>0.42922683542932749</v>
      </c>
      <c r="V13" s="3064">
        <f t="shared" si="50"/>
        <v>0</v>
      </c>
      <c r="W13" s="3064">
        <f t="shared" si="50"/>
        <v>0.42052936851564426</v>
      </c>
      <c r="X13" s="3064">
        <f t="shared" si="50"/>
        <v>0.42061269387980227</v>
      </c>
      <c r="Y13" s="3064">
        <f t="shared" si="50"/>
        <v>0</v>
      </c>
      <c r="Z13" s="3064">
        <f t="shared" si="50"/>
        <v>0.42755661908544085</v>
      </c>
      <c r="AA13" s="3064">
        <f t="shared" si="50"/>
        <v>0.42762698090207218</v>
      </c>
      <c r="AB13" s="3064">
        <f t="shared" si="50"/>
        <v>0</v>
      </c>
      <c r="AC13" s="3064">
        <f>SUM(AC12/AC11)</f>
        <v>0.42581022178282818</v>
      </c>
      <c r="AD13" s="3064">
        <f t="shared" si="50"/>
        <v>0.42588778330901322</v>
      </c>
      <c r="AE13" s="3064">
        <f t="shared" si="50"/>
        <v>0</v>
      </c>
      <c r="AF13" s="3065">
        <f t="shared" ref="AF13:AH13" si="51">SUM(AF12/AF11)</f>
        <v>0.27632872382703938</v>
      </c>
      <c r="AG13" s="3065">
        <f t="shared" si="51"/>
        <v>0.27642540176472363</v>
      </c>
      <c r="AH13" s="3065">
        <f t="shared" si="51"/>
        <v>0</v>
      </c>
      <c r="AI13" s="3065">
        <f t="shared" ref="AI13" si="52">SUM(AI12/AI11)</f>
        <v>0.41360230234942225</v>
      </c>
      <c r="AJ13" s="3065">
        <f t="shared" ref="AJ13:AK13" si="53">SUM(AJ12/AJ11)</f>
        <v>0.41367958519963138</v>
      </c>
      <c r="AK13" s="3065">
        <f t="shared" si="53"/>
        <v>0</v>
      </c>
      <c r="AL13" s="3065">
        <f>SUM(AI13-AF13)</f>
        <v>0.13727357852238287</v>
      </c>
      <c r="AM13" s="3065">
        <f>SUM(AJ13-AG13)</f>
        <v>0.13725418343490775</v>
      </c>
      <c r="AN13" s="3065">
        <f>SUM(AK13-AH13)</f>
        <v>0</v>
      </c>
      <c r="AO13" s="3064">
        <f t="shared" ref="AO13:BC13" si="54">SUM(AO12/AO11)</f>
        <v>0.27632872382703938</v>
      </c>
      <c r="AP13" s="3064">
        <f t="shared" si="54"/>
        <v>0.27642540176472363</v>
      </c>
      <c r="AQ13" s="3064">
        <f t="shared" si="54"/>
        <v>0</v>
      </c>
      <c r="AR13" s="3064">
        <f t="shared" si="54"/>
        <v>0.45865258114556123</v>
      </c>
      <c r="AS13" s="3064">
        <f t="shared" si="54"/>
        <v>0.45873455111070954</v>
      </c>
      <c r="AT13" s="3064">
        <f t="shared" si="54"/>
        <v>0</v>
      </c>
      <c r="AU13" s="3064">
        <f t="shared" si="54"/>
        <v>0.19406783834289285</v>
      </c>
      <c r="AV13" s="3064">
        <f t="shared" si="54"/>
        <v>0.19411311793725811</v>
      </c>
      <c r="AW13" s="3064">
        <f t="shared" si="54"/>
        <v>0</v>
      </c>
      <c r="AX13" s="3064">
        <f t="shared" si="54"/>
        <v>0.23200071413086462</v>
      </c>
      <c r="AY13" s="3064">
        <f t="shared" si="54"/>
        <v>0.23205398028036087</v>
      </c>
      <c r="AZ13" s="3064">
        <f t="shared" si="54"/>
        <v>0</v>
      </c>
      <c r="BA13" s="3064">
        <f t="shared" si="54"/>
        <v>0.3103045096893684</v>
      </c>
      <c r="BB13" s="3064">
        <f t="shared" si="54"/>
        <v>0.31036985406161877</v>
      </c>
      <c r="BC13" s="3064">
        <f t="shared" si="54"/>
        <v>0</v>
      </c>
      <c r="BD13" s="3065">
        <f t="shared" ref="BD13:BF13" si="55">SUM(BD12/BD11)</f>
        <v>0.27632872382703938</v>
      </c>
      <c r="BE13" s="3065">
        <f t="shared" si="55"/>
        <v>0.27642540176472363</v>
      </c>
      <c r="BF13" s="3065">
        <f t="shared" si="55"/>
        <v>0</v>
      </c>
      <c r="BG13" s="3065">
        <f t="shared" ref="BG13:BI13" si="56">SUM(BG12/BG11)</f>
        <v>0.38249284167741743</v>
      </c>
      <c r="BH13" s="3065">
        <f t="shared" si="56"/>
        <v>0.38256704492189353</v>
      </c>
      <c r="BI13" s="3065">
        <f t="shared" si="56"/>
        <v>0</v>
      </c>
      <c r="BJ13" s="3065">
        <f>SUM(BG13-BD13)</f>
        <v>0.10616411785037805</v>
      </c>
      <c r="BK13" s="3065">
        <f>SUM(BH13-BE13)</f>
        <v>0.1061416431571699</v>
      </c>
      <c r="BL13" s="3065">
        <f>SUM(BI13-BF13)</f>
        <v>0</v>
      </c>
      <c r="BM13" s="3064">
        <f t="shared" ref="BM13:CA13" si="57">SUM(BM12/BM11)</f>
        <v>0.27632872382703938</v>
      </c>
      <c r="BN13" s="3064">
        <f t="shared" si="57"/>
        <v>0.27642540176472363</v>
      </c>
      <c r="BO13" s="3064">
        <f t="shared" si="57"/>
        <v>0</v>
      </c>
      <c r="BP13" s="3064" t="e">
        <f t="shared" si="57"/>
        <v>#DIV/0!</v>
      </c>
      <c r="BQ13" s="3064" t="e">
        <f t="shared" si="57"/>
        <v>#DIV/0!</v>
      </c>
      <c r="BR13" s="3064" t="e">
        <f t="shared" si="57"/>
        <v>#DIV/0!</v>
      </c>
      <c r="BS13" s="3064" t="e">
        <f t="shared" si="57"/>
        <v>#DIV/0!</v>
      </c>
      <c r="BT13" s="3064" t="e">
        <f t="shared" si="57"/>
        <v>#DIV/0!</v>
      </c>
      <c r="BU13" s="3064" t="e">
        <f t="shared" si="57"/>
        <v>#DIV/0!</v>
      </c>
      <c r="BV13" s="3064" t="e">
        <f t="shared" si="57"/>
        <v>#DIV/0!</v>
      </c>
      <c r="BW13" s="3064" t="e">
        <f t="shared" si="57"/>
        <v>#DIV/0!</v>
      </c>
      <c r="BX13" s="3064" t="e">
        <f t="shared" si="57"/>
        <v>#DIV/0!</v>
      </c>
      <c r="BY13" s="3064" t="e">
        <f t="shared" si="57"/>
        <v>#DIV/0!</v>
      </c>
      <c r="BZ13" s="3064" t="e">
        <f t="shared" si="57"/>
        <v>#DIV/0!</v>
      </c>
      <c r="CA13" s="3064" t="e">
        <f t="shared" si="57"/>
        <v>#DIV/0!</v>
      </c>
      <c r="CB13" s="3065">
        <f t="shared" ref="CB13:CG13" si="58">SUM(CB12/CB11)</f>
        <v>0.27632872382703938</v>
      </c>
      <c r="CC13" s="3065">
        <f t="shared" si="58"/>
        <v>0.27642540176472363</v>
      </c>
      <c r="CD13" s="3065">
        <f t="shared" si="58"/>
        <v>0</v>
      </c>
      <c r="CE13" s="3065">
        <f t="shared" si="58"/>
        <v>0.38249284167741743</v>
      </c>
      <c r="CF13" s="3065">
        <f t="shared" si="58"/>
        <v>0.38256704492189353</v>
      </c>
      <c r="CG13" s="3065">
        <f t="shared" si="58"/>
        <v>0</v>
      </c>
      <c r="CH13" s="3065">
        <f>SUM(CE13-CB13)</f>
        <v>0.10616411785037805</v>
      </c>
      <c r="CI13" s="3065">
        <f>SUM(CF13-CC13)</f>
        <v>0.1061416431571699</v>
      </c>
      <c r="CJ13" s="3065">
        <f>SUM(CG13-CD13)</f>
        <v>0</v>
      </c>
      <c r="CK13" s="3205"/>
      <c r="CL13" s="3055"/>
      <c r="CM13" s="3055"/>
      <c r="CN13" s="3055"/>
    </row>
    <row r="14" spans="1:92" ht="18.75" customHeight="1" x14ac:dyDescent="0.2">
      <c r="A14" s="3056" t="s">
        <v>3586</v>
      </c>
      <c r="B14" s="3207">
        <f>SUM(C14:D14)</f>
        <v>915.59873083333332</v>
      </c>
      <c r="C14" s="3207">
        <f>SUM(C15:C17)</f>
        <v>915.15623083333332</v>
      </c>
      <c r="D14" s="3207">
        <f>SUM(D15:D17)</f>
        <v>0.4425</v>
      </c>
      <c r="E14" s="3057">
        <f>SUM(F14:G14)</f>
        <v>311.55500000000001</v>
      </c>
      <c r="F14" s="3057">
        <f>SUM(F15:F17)</f>
        <v>311.435</v>
      </c>
      <c r="G14" s="3057">
        <f>SUM(G15:G17)</f>
        <v>0.12</v>
      </c>
      <c r="H14" s="3057">
        <f>SUM(I14:J14)</f>
        <v>297</v>
      </c>
      <c r="I14" s="3057">
        <f>SUM(I15:I17)</f>
        <v>296.91000000000003</v>
      </c>
      <c r="J14" s="3057">
        <f>SUM(J15:J17)</f>
        <v>0.09</v>
      </c>
      <c r="K14" s="3057">
        <f>SUM(L14:M14)</f>
        <v>282.20400000000001</v>
      </c>
      <c r="L14" s="3057">
        <f>SUM(L15:L17)</f>
        <v>282.12900000000002</v>
      </c>
      <c r="M14" s="3057">
        <f>SUM(M15:M17)</f>
        <v>7.4999999999999997E-2</v>
      </c>
      <c r="N14" s="3057">
        <f>SUM(O14:P14)</f>
        <v>890.75900000000001</v>
      </c>
      <c r="O14" s="3057">
        <f>SUM(O15:O17)</f>
        <v>890.47400000000005</v>
      </c>
      <c r="P14" s="3057">
        <f>SUM(P15:P17)</f>
        <v>0.28499999999999998</v>
      </c>
      <c r="Q14" s="3207">
        <f>SUM(R14:S14)</f>
        <v>915.59873083333332</v>
      </c>
      <c r="R14" s="3207">
        <f>SUM(R15:R17)</f>
        <v>915.15623083333332</v>
      </c>
      <c r="S14" s="3207">
        <f>SUM(S15:S17)</f>
        <v>0.4425</v>
      </c>
      <c r="T14" s="3057">
        <f>SUM(U14:V14)</f>
        <v>295.19499999999999</v>
      </c>
      <c r="U14" s="3057">
        <f>SUM(U15:U17)</f>
        <v>295.09999999999997</v>
      </c>
      <c r="V14" s="3207">
        <f>SUM(V15:V17)</f>
        <v>9.5000000000000001E-2</v>
      </c>
      <c r="W14" s="3057">
        <f>SUM(X14:Y14)</f>
        <v>283.73199999999997</v>
      </c>
      <c r="X14" s="3057">
        <f>SUM(X15:X17)</f>
        <v>283.63499999999999</v>
      </c>
      <c r="Y14" s="3057">
        <f>SUM(Y15:Y17)</f>
        <v>9.7000000000000003E-2</v>
      </c>
      <c r="Z14" s="3057">
        <f>SUM(AA14:AB14)</f>
        <v>281.80300000000005</v>
      </c>
      <c r="AA14" s="3057">
        <f>SUM(AA15:AA17)</f>
        <v>281.72200000000004</v>
      </c>
      <c r="AB14" s="3057">
        <f>SUM(AB15:AB17)</f>
        <v>8.1000000000000003E-2</v>
      </c>
      <c r="AC14" s="3057">
        <f>SUM(AD14:AE14)</f>
        <v>860.73</v>
      </c>
      <c r="AD14" s="3057">
        <f>SUM(AD15:AD17)</f>
        <v>860.45699999999999</v>
      </c>
      <c r="AE14" s="3057">
        <f>SUM(AE15:AE17)</f>
        <v>0.27300000000000002</v>
      </c>
      <c r="AF14" s="3206">
        <f>SUM(AG14:AH14)</f>
        <v>1831.1974616666666</v>
      </c>
      <c r="AG14" s="3206">
        <f>SUM(AG15:AG17)</f>
        <v>1830.3124616666666</v>
      </c>
      <c r="AH14" s="3206">
        <f>SUM(AH15:AH17)</f>
        <v>0.88500000000000001</v>
      </c>
      <c r="AI14" s="3206">
        <f>SUM(AJ14:AK14)</f>
        <v>1751.489</v>
      </c>
      <c r="AJ14" s="3206">
        <f>SUM(AJ15:AJ17)</f>
        <v>1750.931</v>
      </c>
      <c r="AK14" s="3206">
        <f>SUM(AK15:AK17)</f>
        <v>0.55800000000000005</v>
      </c>
      <c r="AL14" s="3058">
        <f>SUM(AM14:AN14)</f>
        <v>-79.708461666666523</v>
      </c>
      <c r="AM14" s="3058">
        <f>SUM(AM15:AM17)</f>
        <v>-79.381461666666524</v>
      </c>
      <c r="AN14" s="3058">
        <f>SUM(AN15:AN17)</f>
        <v>-0.32699999999999996</v>
      </c>
      <c r="AO14" s="3207">
        <f>SUM(AP14:AQ14)</f>
        <v>915.59873083333332</v>
      </c>
      <c r="AP14" s="3207">
        <f>SUM(AP15:AP17)</f>
        <v>915.15623083333332</v>
      </c>
      <c r="AQ14" s="3207">
        <f>SUM(AQ15:AQ17)</f>
        <v>0.4425</v>
      </c>
      <c r="AR14" s="3057">
        <f>SUM(AS14:AT14)</f>
        <v>275.69200000000001</v>
      </c>
      <c r="AS14" s="3057">
        <f>SUM(AS15:AS17)</f>
        <v>275.601</v>
      </c>
      <c r="AT14" s="3057">
        <f>SUM(AT15:AT17)</f>
        <v>9.0999999999999998E-2</v>
      </c>
      <c r="AU14" s="3057">
        <f>SUM(AV14:AW14)</f>
        <v>310.952</v>
      </c>
      <c r="AV14" s="3057">
        <f>SUM(AV15:AV17)</f>
        <v>310.86200000000002</v>
      </c>
      <c r="AW14" s="3057">
        <f>SUM(AW15:AW17)</f>
        <v>0.09</v>
      </c>
      <c r="AX14" s="3057">
        <f>SUM(AY14:AZ14)</f>
        <v>301.12099999999992</v>
      </c>
      <c r="AY14" s="3057">
        <f>SUM(AY15:AY17)</f>
        <v>301.03099999999995</v>
      </c>
      <c r="AZ14" s="3057">
        <f>SUM(AZ15:AZ17)</f>
        <v>0.09</v>
      </c>
      <c r="BA14" s="3057">
        <f>SUM(BB14:BC14)</f>
        <v>887.76499999999999</v>
      </c>
      <c r="BB14" s="3057">
        <f>SUM(BB15:BB17)</f>
        <v>887.49400000000003</v>
      </c>
      <c r="BC14" s="3057">
        <f>SUM(BC15:BC17)</f>
        <v>0.27100000000000002</v>
      </c>
      <c r="BD14" s="3206">
        <f>SUM(BE14:BF14)</f>
        <v>2746.7961924999995</v>
      </c>
      <c r="BE14" s="3206">
        <f>SUM(BE15:BE17)</f>
        <v>2745.4686924999996</v>
      </c>
      <c r="BF14" s="3206">
        <f>SUM(BF15:BF17)</f>
        <v>1.3275000000000001</v>
      </c>
      <c r="BG14" s="3058">
        <f>SUM(BH14:BI14)</f>
        <v>2639.2540000000008</v>
      </c>
      <c r="BH14" s="3058">
        <f>SUM(BH15:BH17)</f>
        <v>2638.4250000000006</v>
      </c>
      <c r="BI14" s="3058">
        <f>SUM(BI15:BI17)</f>
        <v>0.82900000000000007</v>
      </c>
      <c r="BJ14" s="3058">
        <f>SUM(BK14:BL14)</f>
        <v>-107.54219249999959</v>
      </c>
      <c r="BK14" s="3058">
        <f>SUM(BK15:BK17)</f>
        <v>-107.04369249999958</v>
      </c>
      <c r="BL14" s="3058">
        <f>SUM(BL15:BL17)</f>
        <v>-0.49850000000000005</v>
      </c>
      <c r="BM14" s="3207">
        <f>SUM(BN14:BO14)</f>
        <v>915.59873083333332</v>
      </c>
      <c r="BN14" s="3207">
        <f>SUM(BN15:BN17)</f>
        <v>915.15623083333332</v>
      </c>
      <c r="BO14" s="3207">
        <f>SUM(BO15:BO17)</f>
        <v>0.4425</v>
      </c>
      <c r="BP14" s="3057">
        <f>SUM(BQ14:BR14)</f>
        <v>0</v>
      </c>
      <c r="BQ14" s="3057">
        <f>SUM(BQ15:BQ17)</f>
        <v>0</v>
      </c>
      <c r="BR14" s="3057">
        <f>SUM(BR15:BR17)</f>
        <v>0</v>
      </c>
      <c r="BS14" s="3057">
        <f>SUM(BT14:BU14)</f>
        <v>0</v>
      </c>
      <c r="BT14" s="3057">
        <f>SUM(BT15:BT17)</f>
        <v>0</v>
      </c>
      <c r="BU14" s="3057">
        <f>SUM(BU15:BU17)</f>
        <v>0</v>
      </c>
      <c r="BV14" s="3057">
        <f>SUM(BW14:BX14)</f>
        <v>0</v>
      </c>
      <c r="BW14" s="3057">
        <f>SUM(BW15:BW17)</f>
        <v>0</v>
      </c>
      <c r="BX14" s="3057">
        <f>SUM(BX15:BX17)</f>
        <v>0</v>
      </c>
      <c r="BY14" s="3057">
        <f>SUM(BZ14:CA14)</f>
        <v>0</v>
      </c>
      <c r="BZ14" s="3057">
        <f>SUM(BZ15:BZ17)</f>
        <v>0</v>
      </c>
      <c r="CA14" s="3057">
        <f>SUM(CA15:CA17)</f>
        <v>0</v>
      </c>
      <c r="CB14" s="3206">
        <f>SUM(CC14:CD14)</f>
        <v>3662.3949233333333</v>
      </c>
      <c r="CC14" s="3206">
        <f>SUM(CC15:CC17)</f>
        <v>3660.6249233333333</v>
      </c>
      <c r="CD14" s="3206">
        <f>SUM(CD15:CD17)</f>
        <v>1.77</v>
      </c>
      <c r="CE14" s="3058">
        <f>SUM(CF14:CG14)</f>
        <v>2639.2540000000008</v>
      </c>
      <c r="CF14" s="3058">
        <f>SUM(CF15:CF17)</f>
        <v>2638.4250000000006</v>
      </c>
      <c r="CG14" s="3058">
        <f>SUM(CG15:CG17)</f>
        <v>0.82900000000000007</v>
      </c>
      <c r="CH14" s="3058">
        <f>SUM(CI14:CJ14)</f>
        <v>-1023.140923333333</v>
      </c>
      <c r="CI14" s="3058">
        <f>SUM(CI15:CI17)</f>
        <v>-1022.199923333333</v>
      </c>
      <c r="CJ14" s="3058">
        <f>SUM(CJ15:CJ17)</f>
        <v>-0.94099999999999995</v>
      </c>
      <c r="CK14" s="3205"/>
      <c r="CL14" s="3055"/>
      <c r="CM14" s="3055"/>
      <c r="CN14" s="3055"/>
    </row>
    <row r="15" spans="1:92" ht="18.75" customHeight="1" x14ac:dyDescent="0.2">
      <c r="A15" s="3059" t="s">
        <v>24</v>
      </c>
      <c r="B15" s="3208">
        <f t="shared" ref="B15:B16" si="59">SUM(C15:D15)</f>
        <v>615.14333333333332</v>
      </c>
      <c r="C15" s="3208">
        <f t="shared" ref="C15:C16" si="60">SUM(CC15/4)</f>
        <v>615.14333333333332</v>
      </c>
      <c r="D15" s="3208">
        <f t="shared" ref="D15:D16" si="61">SUM(CD15/4)</f>
        <v>0</v>
      </c>
      <c r="E15" s="3060">
        <f t="shared" ref="E15:E16" si="62">SUM(F15:G15)</f>
        <v>215.489</v>
      </c>
      <c r="F15" s="3077">
        <v>215.489</v>
      </c>
      <c r="G15" s="3077">
        <v>0</v>
      </c>
      <c r="H15" s="3060">
        <f t="shared" ref="H15:H16" si="63">SUM(I15:J15)</f>
        <v>198.96</v>
      </c>
      <c r="I15" s="3077">
        <v>198.96</v>
      </c>
      <c r="J15" s="3077">
        <v>0</v>
      </c>
      <c r="K15" s="3060">
        <f t="shared" ref="K15:K16" si="64">SUM(L15:M15)</f>
        <v>191.499</v>
      </c>
      <c r="L15" s="3077">
        <v>191.499</v>
      </c>
      <c r="M15" s="3077">
        <v>0</v>
      </c>
      <c r="N15" s="3060">
        <f t="shared" ref="N15:N16" si="65">SUM(O15:P15)</f>
        <v>605.94799999999998</v>
      </c>
      <c r="O15" s="3060">
        <f t="shared" ref="O15:O16" si="66">SUM(F15+I15+L15)</f>
        <v>605.94799999999998</v>
      </c>
      <c r="P15" s="3060">
        <f t="shared" ref="P15:P16" si="67">SUM(G15+J15+M15)</f>
        <v>0</v>
      </c>
      <c r="Q15" s="3208">
        <f t="shared" ref="Q15:Q16" si="68">SUM(R15:S15)</f>
        <v>615.14333333333332</v>
      </c>
      <c r="R15" s="3208">
        <f>SUM(CC15/4)</f>
        <v>615.14333333333332</v>
      </c>
      <c r="S15" s="3208">
        <f>SUM(CD15/4)</f>
        <v>0</v>
      </c>
      <c r="T15" s="3060">
        <f t="shared" ref="T15:T16" si="69">SUM(U15:V15)</f>
        <v>196.1</v>
      </c>
      <c r="U15" s="3077">
        <v>196.1</v>
      </c>
      <c r="V15" s="3077">
        <v>0</v>
      </c>
      <c r="W15" s="3060">
        <f t="shared" ref="W15:W16" si="70">SUM(X15:Y15)</f>
        <v>196.53399999999999</v>
      </c>
      <c r="X15" s="3077">
        <v>196.53399999999999</v>
      </c>
      <c r="Y15" s="3077">
        <v>0</v>
      </c>
      <c r="Z15" s="3060">
        <f t="shared" ref="Z15:Z16" si="71">SUM(AA15:AB15)</f>
        <v>193.012</v>
      </c>
      <c r="AA15" s="3077">
        <v>193.012</v>
      </c>
      <c r="AB15" s="3077">
        <v>0</v>
      </c>
      <c r="AC15" s="3060">
        <f t="shared" ref="AC15:AC16" si="72">SUM(AD15:AE15)</f>
        <v>585.64599999999996</v>
      </c>
      <c r="AD15" s="3060">
        <f t="shared" ref="AD15:AD16" si="73">SUM(U15+X15+AA15)</f>
        <v>585.64599999999996</v>
      </c>
      <c r="AE15" s="3060">
        <f t="shared" ref="AE15:AE16" si="74">SUM(V15+Y15+AB15)</f>
        <v>0</v>
      </c>
      <c r="AF15" s="3209">
        <f t="shared" ref="AF15:AF16" si="75">SUM(AG15:AH15)</f>
        <v>1230.2866666666666</v>
      </c>
      <c r="AG15" s="3209">
        <f t="shared" ref="AG15:AG16" si="76">SUM(C15+R15)</f>
        <v>1230.2866666666666</v>
      </c>
      <c r="AH15" s="3209">
        <f t="shared" ref="AH15:AH16" si="77">SUM(D15+S15)</f>
        <v>0</v>
      </c>
      <c r="AI15" s="3209">
        <f t="shared" ref="AI15:AI16" si="78">SUM(AJ15:AK15)</f>
        <v>1191.5940000000001</v>
      </c>
      <c r="AJ15" s="3209">
        <f t="shared" ref="AJ15:AJ16" si="79">SUM(O15+AD15)</f>
        <v>1191.5940000000001</v>
      </c>
      <c r="AK15" s="3209">
        <f t="shared" ref="AK15:AK16" si="80">SUM(P15+AE15)</f>
        <v>0</v>
      </c>
      <c r="AL15" s="3062">
        <f t="shared" ref="AL15:AL16" si="81">SUM(AM15:AN15)</f>
        <v>-38.692666666666582</v>
      </c>
      <c r="AM15" s="3062">
        <f t="shared" ref="AM15:AM16" si="82">SUM(AJ15-AG15)</f>
        <v>-38.692666666666582</v>
      </c>
      <c r="AN15" s="3062">
        <f t="shared" ref="AN15:AN16" si="83">SUM(AK15-AH15)</f>
        <v>0</v>
      </c>
      <c r="AO15" s="3208">
        <f t="shared" ref="AO15:AO16" si="84">SUM(AP15:AQ15)</f>
        <v>615.14333333333332</v>
      </c>
      <c r="AP15" s="3208">
        <f>SUM(CC15/4)</f>
        <v>615.14333333333332</v>
      </c>
      <c r="AQ15" s="3208">
        <f>SUM(CD15/4)</f>
        <v>0</v>
      </c>
      <c r="AR15" s="3060">
        <f t="shared" ref="AR15:AR16" si="85">SUM(AS15:AT15)</f>
        <v>196.077</v>
      </c>
      <c r="AS15" s="3077">
        <v>196.077</v>
      </c>
      <c r="AT15" s="3077">
        <v>0</v>
      </c>
      <c r="AU15" s="3060">
        <f t="shared" ref="AU15:AU16" si="86">SUM(AV15:AW15)</f>
        <v>224.065</v>
      </c>
      <c r="AV15" s="3077">
        <v>224.065</v>
      </c>
      <c r="AW15" s="3077">
        <v>0</v>
      </c>
      <c r="AX15" s="3060">
        <f t="shared" ref="AX15:AX16" si="87">SUM(AY15:AZ15)</f>
        <v>184.267</v>
      </c>
      <c r="AY15" s="3077">
        <v>184.267</v>
      </c>
      <c r="AZ15" s="3077">
        <v>0</v>
      </c>
      <c r="BA15" s="3060">
        <f t="shared" ref="BA15:BA16" si="88">SUM(BB15:BC15)</f>
        <v>604.40899999999999</v>
      </c>
      <c r="BB15" s="3060">
        <f t="shared" ref="BB15:BB16" si="89">SUM(AS15+AV15+AY15)</f>
        <v>604.40899999999999</v>
      </c>
      <c r="BC15" s="3060">
        <f t="shared" ref="BC15:BC16" si="90">SUM(AT15+AW15+AZ15)</f>
        <v>0</v>
      </c>
      <c r="BD15" s="3209">
        <f t="shared" ref="BD15:BD16" si="91">SUM(BE15:BF15)</f>
        <v>1845.4299999999998</v>
      </c>
      <c r="BE15" s="3209">
        <f>SUM(AG15+AP15)</f>
        <v>1845.4299999999998</v>
      </c>
      <c r="BF15" s="3209">
        <f>SUM(AH15+AQ15)</f>
        <v>0</v>
      </c>
      <c r="BG15" s="3062">
        <f t="shared" ref="BG15:BG16" si="92">SUM(BH15:BI15)</f>
        <v>1796.0030000000002</v>
      </c>
      <c r="BH15" s="3062">
        <f t="shared" ref="BH15:BH16" si="93">SUM(AJ15+BB15)</f>
        <v>1796.0030000000002</v>
      </c>
      <c r="BI15" s="3062">
        <f t="shared" ref="BI15:BI16" si="94">SUM(AK15+BC15)</f>
        <v>0</v>
      </c>
      <c r="BJ15" s="3062">
        <f t="shared" ref="BJ15:BJ16" si="95">SUM(BK15:BL15)</f>
        <v>-49.42699999999968</v>
      </c>
      <c r="BK15" s="3062">
        <f t="shared" ref="BK15:BK16" si="96">SUM(BH15-BE15)</f>
        <v>-49.42699999999968</v>
      </c>
      <c r="BL15" s="3062">
        <f t="shared" ref="BL15:BL16" si="97">SUM(BI15-BF15)</f>
        <v>0</v>
      </c>
      <c r="BM15" s="3208">
        <f t="shared" ref="BM15:BM16" si="98">SUM(BN15:BO15)</f>
        <v>615.14333333333332</v>
      </c>
      <c r="BN15" s="3208">
        <f>SUM(CC15/4)</f>
        <v>615.14333333333332</v>
      </c>
      <c r="BO15" s="3208">
        <f>SUM(CD15/4)</f>
        <v>0</v>
      </c>
      <c r="BP15" s="3060">
        <f t="shared" ref="BP15:BP16" si="99">SUM(BQ15:BR15)</f>
        <v>0</v>
      </c>
      <c r="BQ15" s="3077"/>
      <c r="BR15" s="3077"/>
      <c r="BS15" s="3060">
        <f t="shared" ref="BS15:BS16" si="100">SUM(BT15:BU15)</f>
        <v>0</v>
      </c>
      <c r="BT15" s="3077"/>
      <c r="BU15" s="3077"/>
      <c r="BV15" s="3060">
        <f t="shared" ref="BV15:BV16" si="101">SUM(BW15:BX15)</f>
        <v>0</v>
      </c>
      <c r="BW15" s="3077"/>
      <c r="BX15" s="3077"/>
      <c r="BY15" s="3060">
        <f t="shared" ref="BY15:BY16" si="102">SUM(BZ15:CA15)</f>
        <v>0</v>
      </c>
      <c r="BZ15" s="3060">
        <f t="shared" ref="BZ15:BZ16" si="103">SUM(BQ15+BT15+BW15)</f>
        <v>0</v>
      </c>
      <c r="CA15" s="3060">
        <f t="shared" ref="CA15:CA16" si="104">SUM(BR15+BU15+BX15)</f>
        <v>0</v>
      </c>
      <c r="CB15" s="3209">
        <f t="shared" ref="CB15:CB16" si="105">SUM(CC15:CD15)</f>
        <v>2460.5733333333333</v>
      </c>
      <c r="CC15" s="3209">
        <f>SUM(объемы!AX49)</f>
        <v>2460.5733333333333</v>
      </c>
      <c r="CD15" s="3209">
        <f>SUM(объемы!AY49)</f>
        <v>0</v>
      </c>
      <c r="CE15" s="3062">
        <f t="shared" ref="CE15:CE16" si="106">SUM(CF15:CG15)</f>
        <v>1796.0030000000002</v>
      </c>
      <c r="CF15" s="3062">
        <f t="shared" ref="CF15:CF16" si="107">SUM(BH15+BZ15)</f>
        <v>1796.0030000000002</v>
      </c>
      <c r="CG15" s="3062">
        <f t="shared" ref="CG15:CG16" si="108">SUM(BI15+CA15)</f>
        <v>0</v>
      </c>
      <c r="CH15" s="3062">
        <f t="shared" ref="CH15:CH16" si="109">SUM(CI15:CJ15)</f>
        <v>-664.57033333333311</v>
      </c>
      <c r="CI15" s="3062">
        <f t="shared" ref="CI15:CI16" si="110">SUM(CF15-CC15)</f>
        <v>-664.57033333333311</v>
      </c>
      <c r="CJ15" s="3062">
        <f t="shared" ref="CJ15:CJ16" si="111">SUM(CG15-CD15)</f>
        <v>0</v>
      </c>
      <c r="CK15" s="3205"/>
      <c r="CL15" s="3055"/>
      <c r="CM15" s="3055"/>
      <c r="CN15" s="3055"/>
    </row>
    <row r="16" spans="1:92" ht="18.75" customHeight="1" x14ac:dyDescent="0.2">
      <c r="A16" s="3059" t="s">
        <v>26</v>
      </c>
      <c r="B16" s="3208">
        <f t="shared" si="59"/>
        <v>224.26249999999999</v>
      </c>
      <c r="C16" s="3208">
        <f t="shared" si="60"/>
        <v>223.82</v>
      </c>
      <c r="D16" s="3208">
        <f t="shared" si="61"/>
        <v>0.4425</v>
      </c>
      <c r="E16" s="3060">
        <f t="shared" si="62"/>
        <v>71.009</v>
      </c>
      <c r="F16" s="3077">
        <v>70.888999999999996</v>
      </c>
      <c r="G16" s="3077">
        <v>0.12</v>
      </c>
      <c r="H16" s="3060">
        <f t="shared" si="63"/>
        <v>72.710000000000008</v>
      </c>
      <c r="I16" s="3077">
        <v>72.62</v>
      </c>
      <c r="J16" s="3077">
        <v>0.09</v>
      </c>
      <c r="K16" s="3060">
        <f t="shared" si="64"/>
        <v>69.045000000000002</v>
      </c>
      <c r="L16" s="3077">
        <v>68.97</v>
      </c>
      <c r="M16" s="3077">
        <v>7.4999999999999997E-2</v>
      </c>
      <c r="N16" s="3060">
        <f t="shared" si="65"/>
        <v>212.76400000000001</v>
      </c>
      <c r="O16" s="3060">
        <f t="shared" si="66"/>
        <v>212.47900000000001</v>
      </c>
      <c r="P16" s="3060">
        <f t="shared" si="67"/>
        <v>0.28499999999999998</v>
      </c>
      <c r="Q16" s="3208">
        <f t="shared" si="68"/>
        <v>224.26249999999999</v>
      </c>
      <c r="R16" s="3208">
        <f>SUM(CC16/4)</f>
        <v>223.82</v>
      </c>
      <c r="S16" s="3208">
        <f>SUM(CD16/4)</f>
        <v>0.4425</v>
      </c>
      <c r="T16" s="3060">
        <f t="shared" si="69"/>
        <v>73.385000000000005</v>
      </c>
      <c r="U16" s="3077">
        <v>73.290000000000006</v>
      </c>
      <c r="V16" s="3462">
        <v>9.5000000000000001E-2</v>
      </c>
      <c r="W16" s="3060">
        <f t="shared" si="70"/>
        <v>65.137999999999991</v>
      </c>
      <c r="X16" s="3077">
        <v>65.040999999999997</v>
      </c>
      <c r="Y16" s="3462">
        <v>9.7000000000000003E-2</v>
      </c>
      <c r="Z16" s="3060">
        <f t="shared" si="71"/>
        <v>71.00500000000001</v>
      </c>
      <c r="AA16" s="3077">
        <v>70.924000000000007</v>
      </c>
      <c r="AB16" s="3462">
        <v>8.1000000000000003E-2</v>
      </c>
      <c r="AC16" s="3060">
        <f t="shared" si="72"/>
        <v>209.52800000000002</v>
      </c>
      <c r="AD16" s="3060">
        <f t="shared" si="73"/>
        <v>209.25500000000002</v>
      </c>
      <c r="AE16" s="3060">
        <f t="shared" si="74"/>
        <v>0.27300000000000002</v>
      </c>
      <c r="AF16" s="3209">
        <f t="shared" si="75"/>
        <v>448.52499999999998</v>
      </c>
      <c r="AG16" s="3209">
        <f t="shared" si="76"/>
        <v>447.64</v>
      </c>
      <c r="AH16" s="3209">
        <f t="shared" si="77"/>
        <v>0.88500000000000001</v>
      </c>
      <c r="AI16" s="3209">
        <f t="shared" si="78"/>
        <v>422.29200000000003</v>
      </c>
      <c r="AJ16" s="3209">
        <f t="shared" si="79"/>
        <v>421.73400000000004</v>
      </c>
      <c r="AK16" s="3209">
        <f t="shared" si="80"/>
        <v>0.55800000000000005</v>
      </c>
      <c r="AL16" s="3062">
        <f t="shared" si="81"/>
        <v>-26.232999999999947</v>
      </c>
      <c r="AM16" s="3062">
        <f t="shared" si="82"/>
        <v>-25.905999999999949</v>
      </c>
      <c r="AN16" s="3062">
        <f t="shared" si="83"/>
        <v>-0.32699999999999996</v>
      </c>
      <c r="AO16" s="3208">
        <f t="shared" si="84"/>
        <v>224.26249999999999</v>
      </c>
      <c r="AP16" s="3208">
        <f>SUM(CC16/4)</f>
        <v>223.82</v>
      </c>
      <c r="AQ16" s="3208">
        <f>SUM(CD16/4)</f>
        <v>0.4425</v>
      </c>
      <c r="AR16" s="3060">
        <f t="shared" si="85"/>
        <v>63.698999999999998</v>
      </c>
      <c r="AS16" s="3077">
        <v>63.607999999999997</v>
      </c>
      <c r="AT16" s="3077">
        <v>9.0999999999999998E-2</v>
      </c>
      <c r="AU16" s="3060">
        <f t="shared" si="86"/>
        <v>67.442000000000007</v>
      </c>
      <c r="AV16" s="3077">
        <v>67.352000000000004</v>
      </c>
      <c r="AW16" s="3077">
        <v>0.09</v>
      </c>
      <c r="AX16" s="3060">
        <f t="shared" si="87"/>
        <v>91.44</v>
      </c>
      <c r="AY16" s="3077">
        <v>91.35</v>
      </c>
      <c r="AZ16" s="3077">
        <v>0.09</v>
      </c>
      <c r="BA16" s="3060">
        <f t="shared" si="88"/>
        <v>222.58099999999999</v>
      </c>
      <c r="BB16" s="3060">
        <f t="shared" si="89"/>
        <v>222.31</v>
      </c>
      <c r="BC16" s="3060">
        <f t="shared" si="90"/>
        <v>0.27100000000000002</v>
      </c>
      <c r="BD16" s="3209">
        <f t="shared" si="91"/>
        <v>672.78750000000002</v>
      </c>
      <c r="BE16" s="3209">
        <f>SUM(AG16+AP16)</f>
        <v>671.46</v>
      </c>
      <c r="BF16" s="3209">
        <f>SUM(AH16+AQ16)</f>
        <v>1.3275000000000001</v>
      </c>
      <c r="BG16" s="3062">
        <f t="shared" si="92"/>
        <v>644.87300000000005</v>
      </c>
      <c r="BH16" s="3062">
        <f t="shared" si="93"/>
        <v>644.0440000000001</v>
      </c>
      <c r="BI16" s="3062">
        <f t="shared" si="94"/>
        <v>0.82900000000000007</v>
      </c>
      <c r="BJ16" s="3062">
        <f t="shared" si="95"/>
        <v>-27.91449999999994</v>
      </c>
      <c r="BK16" s="3062">
        <f t="shared" si="96"/>
        <v>-27.41599999999994</v>
      </c>
      <c r="BL16" s="3062">
        <f t="shared" si="97"/>
        <v>-0.49850000000000005</v>
      </c>
      <c r="BM16" s="3208">
        <f t="shared" si="98"/>
        <v>224.26249999999999</v>
      </c>
      <c r="BN16" s="3208">
        <f>SUM(CC16/4)</f>
        <v>223.82</v>
      </c>
      <c r="BO16" s="3208">
        <f>SUM(CD16/4)</f>
        <v>0.4425</v>
      </c>
      <c r="BP16" s="3060">
        <f t="shared" si="99"/>
        <v>0</v>
      </c>
      <c r="BQ16" s="3077"/>
      <c r="BR16" s="3077"/>
      <c r="BS16" s="3060">
        <f t="shared" si="100"/>
        <v>0</v>
      </c>
      <c r="BT16" s="3077"/>
      <c r="BU16" s="3077"/>
      <c r="BV16" s="3060">
        <f t="shared" si="101"/>
        <v>0</v>
      </c>
      <c r="BW16" s="3077"/>
      <c r="BX16" s="3077"/>
      <c r="BY16" s="3060">
        <f t="shared" si="102"/>
        <v>0</v>
      </c>
      <c r="BZ16" s="3060">
        <f t="shared" si="103"/>
        <v>0</v>
      </c>
      <c r="CA16" s="3060">
        <f t="shared" si="104"/>
        <v>0</v>
      </c>
      <c r="CB16" s="3209">
        <f t="shared" si="105"/>
        <v>897.05</v>
      </c>
      <c r="CC16" s="3209">
        <f>SUM(объемы!AX51)</f>
        <v>895.28</v>
      </c>
      <c r="CD16" s="3209">
        <f>SUM(объемы!AY45)</f>
        <v>1.77</v>
      </c>
      <c r="CE16" s="3062">
        <f t="shared" si="106"/>
        <v>644.87300000000005</v>
      </c>
      <c r="CF16" s="3062">
        <f t="shared" si="107"/>
        <v>644.0440000000001</v>
      </c>
      <c r="CG16" s="3062">
        <f t="shared" si="108"/>
        <v>0.82900000000000007</v>
      </c>
      <c r="CH16" s="3062">
        <f t="shared" si="109"/>
        <v>-252.17699999999988</v>
      </c>
      <c r="CI16" s="3062">
        <f t="shared" si="110"/>
        <v>-251.23599999999988</v>
      </c>
      <c r="CJ16" s="3062">
        <f t="shared" si="111"/>
        <v>-0.94099999999999995</v>
      </c>
      <c r="CK16" s="3205"/>
      <c r="CL16" s="3055"/>
      <c r="CM16" s="3055"/>
      <c r="CN16" s="3055"/>
    </row>
    <row r="17" spans="1:92" ht="18.75" customHeight="1" x14ac:dyDescent="0.2">
      <c r="A17" s="3059" t="s">
        <v>3587</v>
      </c>
      <c r="B17" s="3208">
        <f>SUM(C17:D17)</f>
        <v>76.192897500000001</v>
      </c>
      <c r="C17" s="3208">
        <f>SUM(C18:C19)</f>
        <v>76.192897500000001</v>
      </c>
      <c r="D17" s="3208">
        <f>SUM(D18:D19)</f>
        <v>0</v>
      </c>
      <c r="E17" s="3060">
        <f>SUM(F17:G17)</f>
        <v>25.056999999999999</v>
      </c>
      <c r="F17" s="3060">
        <f>SUM(F18:F19)</f>
        <v>25.056999999999999</v>
      </c>
      <c r="G17" s="3060">
        <f>SUM(G18:G19)</f>
        <v>0</v>
      </c>
      <c r="H17" s="3060">
        <f>SUM(I17:J17)</f>
        <v>25.33</v>
      </c>
      <c r="I17" s="3060">
        <f>SUM(I18:I19)</f>
        <v>25.33</v>
      </c>
      <c r="J17" s="3060">
        <f>SUM(J18:J19)</f>
        <v>0</v>
      </c>
      <c r="K17" s="3060">
        <f>SUM(L17:M17)</f>
        <v>21.66</v>
      </c>
      <c r="L17" s="3060">
        <f>SUM(L18:L19)</f>
        <v>21.66</v>
      </c>
      <c r="M17" s="3060">
        <f>SUM(M18:M19)</f>
        <v>0</v>
      </c>
      <c r="N17" s="3060">
        <f>SUM(O17:P17)</f>
        <v>72.046999999999997</v>
      </c>
      <c r="O17" s="3060">
        <f>SUM(O18:O19)</f>
        <v>72.046999999999997</v>
      </c>
      <c r="P17" s="3060">
        <f>SUM(P18:P19)</f>
        <v>0</v>
      </c>
      <c r="Q17" s="3208">
        <f>SUM(R17:S17)</f>
        <v>76.192897500000001</v>
      </c>
      <c r="R17" s="3208">
        <f>SUM(R18:R19)</f>
        <v>76.192897500000001</v>
      </c>
      <c r="S17" s="3208">
        <f>SUM(S18:S19)</f>
        <v>0</v>
      </c>
      <c r="T17" s="3060">
        <f>SUM(U17:V17)</f>
        <v>25.71</v>
      </c>
      <c r="U17" s="3060">
        <f>SUM(U18:U19)</f>
        <v>25.71</v>
      </c>
      <c r="V17" s="3060">
        <f>SUM(V18:V19)</f>
        <v>0</v>
      </c>
      <c r="W17" s="3060">
        <f>SUM(X17:Y17)</f>
        <v>22.06</v>
      </c>
      <c r="X17" s="3060">
        <f>SUM(X18:X19)</f>
        <v>22.06</v>
      </c>
      <c r="Y17" s="3060">
        <f>SUM(Y18:Y19)</f>
        <v>0</v>
      </c>
      <c r="Z17" s="3060">
        <f>SUM(AA17:AB17)</f>
        <v>17.786000000000001</v>
      </c>
      <c r="AA17" s="3060">
        <f>SUM(AA18:AA19)</f>
        <v>17.786000000000001</v>
      </c>
      <c r="AB17" s="3060">
        <f>SUM(AB18:AB19)</f>
        <v>0</v>
      </c>
      <c r="AC17" s="3060">
        <f>SUM(AD17:AE17)</f>
        <v>65.555999999999997</v>
      </c>
      <c r="AD17" s="3060">
        <f>SUM(AD18:AD19)</f>
        <v>65.555999999999997</v>
      </c>
      <c r="AE17" s="3060">
        <f>SUM(AE18:AE19)</f>
        <v>0</v>
      </c>
      <c r="AF17" s="3209">
        <f>SUM(AG17:AH17)</f>
        <v>152.385795</v>
      </c>
      <c r="AG17" s="3209">
        <f>SUM(AG18:AG19)</f>
        <v>152.385795</v>
      </c>
      <c r="AH17" s="3209">
        <f>SUM(AH18:AH19)</f>
        <v>0</v>
      </c>
      <c r="AI17" s="3209">
        <f>SUM(AJ17:AK17)</f>
        <v>137.60300000000001</v>
      </c>
      <c r="AJ17" s="3209">
        <f>SUM(AJ18:AJ19)</f>
        <v>137.60300000000001</v>
      </c>
      <c r="AK17" s="3209">
        <f>SUM(AK18:AK19)</f>
        <v>0</v>
      </c>
      <c r="AL17" s="3062">
        <f>SUM(AM17:AN17)</f>
        <v>-14.782794999999986</v>
      </c>
      <c r="AM17" s="3062">
        <f>SUM(AM18:AM19)</f>
        <v>-14.782794999999986</v>
      </c>
      <c r="AN17" s="3062">
        <f>SUM(AN18:AN19)</f>
        <v>0</v>
      </c>
      <c r="AO17" s="3208">
        <f>SUM(AP17:AQ17)</f>
        <v>76.192897500000001</v>
      </c>
      <c r="AP17" s="3208">
        <f>SUM(AP18:AP19)</f>
        <v>76.192897500000001</v>
      </c>
      <c r="AQ17" s="3208">
        <f>SUM(AQ18:AQ19)</f>
        <v>0</v>
      </c>
      <c r="AR17" s="3060">
        <f>SUM(AS17:AT17)</f>
        <v>15.916</v>
      </c>
      <c r="AS17" s="3060">
        <f>SUM(AS18:AS19)</f>
        <v>15.916</v>
      </c>
      <c r="AT17" s="3060">
        <f>SUM(AT18:AT19)</f>
        <v>0</v>
      </c>
      <c r="AU17" s="3060">
        <f>SUM(AV17:AW17)</f>
        <v>19.445</v>
      </c>
      <c r="AV17" s="3060">
        <f>SUM(AV18:AV19)</f>
        <v>19.445</v>
      </c>
      <c r="AW17" s="3060">
        <f>SUM(AW18:AW19)</f>
        <v>0</v>
      </c>
      <c r="AX17" s="3060">
        <f>SUM(AY17:AZ17)</f>
        <v>25.414000000000001</v>
      </c>
      <c r="AY17" s="3060">
        <f>SUM(AY18:AY19)</f>
        <v>25.414000000000001</v>
      </c>
      <c r="AZ17" s="3060">
        <f>SUM(AZ18:AZ19)</f>
        <v>0</v>
      </c>
      <c r="BA17" s="3060">
        <f>SUM(BB17:BC17)</f>
        <v>60.775000000000006</v>
      </c>
      <c r="BB17" s="3060">
        <f>SUM(BB18:BB19)</f>
        <v>60.775000000000006</v>
      </c>
      <c r="BC17" s="3060">
        <f>SUM(BC18:BC19)</f>
        <v>0</v>
      </c>
      <c r="BD17" s="3209">
        <f>SUM(BE17:BF17)</f>
        <v>228.57869249999999</v>
      </c>
      <c r="BE17" s="3209">
        <f>SUM(BE18:BE19)</f>
        <v>228.57869249999999</v>
      </c>
      <c r="BF17" s="3209">
        <f>SUM(BF18:BF19)</f>
        <v>0</v>
      </c>
      <c r="BG17" s="3062">
        <f>SUM(BH17:BI17)</f>
        <v>198.37800000000001</v>
      </c>
      <c r="BH17" s="3062">
        <f>SUM(BH18:BH19)</f>
        <v>198.37800000000001</v>
      </c>
      <c r="BI17" s="3062">
        <f>SUM(BI18:BI19)</f>
        <v>0</v>
      </c>
      <c r="BJ17" s="3062">
        <f>SUM(BK17:BL17)</f>
        <v>-30.200692499999963</v>
      </c>
      <c r="BK17" s="3062">
        <f>SUM(BK18:BK19)</f>
        <v>-30.200692499999963</v>
      </c>
      <c r="BL17" s="3062">
        <f>SUM(BL18:BL19)</f>
        <v>0</v>
      </c>
      <c r="BM17" s="3208">
        <f>SUM(BN17:BO17)</f>
        <v>76.192897500000001</v>
      </c>
      <c r="BN17" s="3208">
        <f>SUM(BN18:BN19)</f>
        <v>76.192897500000001</v>
      </c>
      <c r="BO17" s="3208">
        <f>SUM(BO18:BO19)</f>
        <v>0</v>
      </c>
      <c r="BP17" s="3060">
        <f>SUM(BQ17:BR17)</f>
        <v>0</v>
      </c>
      <c r="BQ17" s="3060">
        <f>SUM(BQ18:BQ19)</f>
        <v>0</v>
      </c>
      <c r="BR17" s="3060">
        <f>SUM(BR18:BR19)</f>
        <v>0</v>
      </c>
      <c r="BS17" s="3060">
        <f>SUM(BT17:BU17)</f>
        <v>0</v>
      </c>
      <c r="BT17" s="3060">
        <f>SUM(BT18:BT19)</f>
        <v>0</v>
      </c>
      <c r="BU17" s="3060">
        <f>SUM(BU18:BU19)</f>
        <v>0</v>
      </c>
      <c r="BV17" s="3060">
        <f>SUM(BW17:BX17)</f>
        <v>0</v>
      </c>
      <c r="BW17" s="3060">
        <f>SUM(BW18:BW19)</f>
        <v>0</v>
      </c>
      <c r="BX17" s="3060">
        <f>SUM(BX18:BX19)</f>
        <v>0</v>
      </c>
      <c r="BY17" s="3060">
        <f>SUM(BZ17:CA17)</f>
        <v>0</v>
      </c>
      <c r="BZ17" s="3060">
        <f>SUM(BZ18:BZ19)</f>
        <v>0</v>
      </c>
      <c r="CA17" s="3060">
        <f>SUM(CA18:CA19)</f>
        <v>0</v>
      </c>
      <c r="CB17" s="3209">
        <f>SUM(CC17:CD17)</f>
        <v>304.77159</v>
      </c>
      <c r="CC17" s="3209">
        <f>SUM(CC18:CC19)</f>
        <v>304.77159</v>
      </c>
      <c r="CD17" s="3209">
        <f>SUM(CD18:CD19)</f>
        <v>0</v>
      </c>
      <c r="CE17" s="3062">
        <f>SUM(CF17:CG17)</f>
        <v>198.37800000000001</v>
      </c>
      <c r="CF17" s="3062">
        <f>SUM(CF18:CF19)</f>
        <v>198.37800000000001</v>
      </c>
      <c r="CG17" s="3062">
        <f>SUM(CG18:CG19)</f>
        <v>0</v>
      </c>
      <c r="CH17" s="3062">
        <f>SUM(CI17:CJ17)</f>
        <v>-106.39358999999997</v>
      </c>
      <c r="CI17" s="3062">
        <f>SUM(CI18:CI19)</f>
        <v>-106.39358999999997</v>
      </c>
      <c r="CJ17" s="3062">
        <f>SUM(CJ18:CJ19)</f>
        <v>0</v>
      </c>
      <c r="CK17" s="3205"/>
      <c r="CL17" s="3055"/>
      <c r="CM17" s="3055"/>
      <c r="CN17" s="3055"/>
    </row>
    <row r="18" spans="1:92" ht="18.75" customHeight="1" x14ac:dyDescent="0.2">
      <c r="A18" s="3063" t="s">
        <v>650</v>
      </c>
      <c r="B18" s="3210">
        <f>SUM(C18:D18)</f>
        <v>66.584897499999997</v>
      </c>
      <c r="C18" s="3210">
        <f t="shared" ref="C18:C19" si="112">SUM(CC18/4)</f>
        <v>66.584897499999997</v>
      </c>
      <c r="D18" s="3210">
        <f t="shared" ref="D18:D19" si="113">SUM(CD18/4)</f>
        <v>0</v>
      </c>
      <c r="E18" s="3067">
        <f>SUM(F18:G18)</f>
        <v>25.056999999999999</v>
      </c>
      <c r="F18" s="3078">
        <v>25.056999999999999</v>
      </c>
      <c r="G18" s="3078">
        <v>0</v>
      </c>
      <c r="H18" s="3067">
        <f>SUM(I18:J18)</f>
        <v>25.33</v>
      </c>
      <c r="I18" s="3078">
        <v>25.33</v>
      </c>
      <c r="J18" s="3078">
        <v>0</v>
      </c>
      <c r="K18" s="3067">
        <f>SUM(L18:M18)</f>
        <v>21.66</v>
      </c>
      <c r="L18" s="3078">
        <v>21.66</v>
      </c>
      <c r="M18" s="3078">
        <v>0</v>
      </c>
      <c r="N18" s="3067">
        <f>SUM(O18:P18)</f>
        <v>72.046999999999997</v>
      </c>
      <c r="O18" s="3067">
        <f t="shared" ref="O18:O19" si="114">SUM(F18+I18+L18)</f>
        <v>72.046999999999997</v>
      </c>
      <c r="P18" s="3067">
        <f t="shared" ref="P18:P19" si="115">SUM(G18+J18+M18)</f>
        <v>0</v>
      </c>
      <c r="Q18" s="3210">
        <f>SUM(R18:S18)</f>
        <v>66.584897499999997</v>
      </c>
      <c r="R18" s="3210">
        <f>SUM(CC18/4)</f>
        <v>66.584897499999997</v>
      </c>
      <c r="S18" s="3210">
        <f>SUM(CD18/4)</f>
        <v>0</v>
      </c>
      <c r="T18" s="3067">
        <f>SUM(U18:V18)</f>
        <v>25.71</v>
      </c>
      <c r="U18" s="3078">
        <v>25.71</v>
      </c>
      <c r="V18" s="3078">
        <v>0</v>
      </c>
      <c r="W18" s="3067">
        <f>SUM(X18:Y18)</f>
        <v>22.06</v>
      </c>
      <c r="X18" s="3078">
        <v>22.06</v>
      </c>
      <c r="Y18" s="3078">
        <v>0</v>
      </c>
      <c r="Z18" s="3067">
        <f>SUM(AA18:AB18)</f>
        <v>17.786000000000001</v>
      </c>
      <c r="AA18" s="3078">
        <v>17.786000000000001</v>
      </c>
      <c r="AB18" s="3078">
        <v>0</v>
      </c>
      <c r="AC18" s="3067">
        <f>SUM(AD18:AE18)</f>
        <v>65.555999999999997</v>
      </c>
      <c r="AD18" s="3067">
        <f t="shared" ref="AD18:AD19" si="116">SUM(U18+X18+AA18)</f>
        <v>65.555999999999997</v>
      </c>
      <c r="AE18" s="3067">
        <f t="shared" ref="AE18:AE19" si="117">SUM(V18+Y18+AB18)</f>
        <v>0</v>
      </c>
      <c r="AF18" s="3211">
        <f>SUM(AG18:AH18)</f>
        <v>133.16979499999999</v>
      </c>
      <c r="AG18" s="3211">
        <f t="shared" ref="AG18:AG19" si="118">SUM(C18+R18)</f>
        <v>133.16979499999999</v>
      </c>
      <c r="AH18" s="3211">
        <f t="shared" ref="AH18:AH19" si="119">SUM(D18+S18)</f>
        <v>0</v>
      </c>
      <c r="AI18" s="3211">
        <f>SUM(AJ18:AK18)</f>
        <v>137.60300000000001</v>
      </c>
      <c r="AJ18" s="3211">
        <f t="shared" ref="AJ18:AJ19" si="120">SUM(O18+AD18)</f>
        <v>137.60300000000001</v>
      </c>
      <c r="AK18" s="3211">
        <f t="shared" ref="AK18:AK19" si="121">SUM(P18+AE18)</f>
        <v>0</v>
      </c>
      <c r="AL18" s="3068">
        <f>SUM(AM18:AN18)</f>
        <v>4.4332050000000152</v>
      </c>
      <c r="AM18" s="3068">
        <f t="shared" ref="AM18:AN19" si="122">SUM(AJ18-AG18)</f>
        <v>4.4332050000000152</v>
      </c>
      <c r="AN18" s="3068">
        <f t="shared" si="122"/>
        <v>0</v>
      </c>
      <c r="AO18" s="3210">
        <f>SUM(AP18:AQ18)</f>
        <v>66.584897499999997</v>
      </c>
      <c r="AP18" s="3210">
        <f>SUM(CC18/4)</f>
        <v>66.584897499999997</v>
      </c>
      <c r="AQ18" s="3210">
        <f>SUM(CD18/4)</f>
        <v>0</v>
      </c>
      <c r="AR18" s="3067">
        <f>SUM(AS18:AT18)</f>
        <v>15.916</v>
      </c>
      <c r="AS18" s="3078">
        <v>15.916</v>
      </c>
      <c r="AT18" s="3078">
        <v>0</v>
      </c>
      <c r="AU18" s="3067">
        <f>SUM(AV18:AW18)</f>
        <v>19.445</v>
      </c>
      <c r="AV18" s="3078">
        <v>19.445</v>
      </c>
      <c r="AW18" s="3078">
        <v>0</v>
      </c>
      <c r="AX18" s="3067">
        <f>SUM(AY18:AZ18)</f>
        <v>25.414000000000001</v>
      </c>
      <c r="AY18" s="3078">
        <v>25.414000000000001</v>
      </c>
      <c r="AZ18" s="3078">
        <v>0</v>
      </c>
      <c r="BA18" s="3067">
        <f>SUM(BB18:BC18)</f>
        <v>60.775000000000006</v>
      </c>
      <c r="BB18" s="3067">
        <f t="shared" ref="BB18:BB19" si="123">SUM(AS18+AV18+AY18)</f>
        <v>60.775000000000006</v>
      </c>
      <c r="BC18" s="3067">
        <f t="shared" ref="BC18:BC19" si="124">SUM(AT18+AW18+AZ18)</f>
        <v>0</v>
      </c>
      <c r="BD18" s="3211">
        <f>SUM(BE18:BF18)</f>
        <v>199.75469249999998</v>
      </c>
      <c r="BE18" s="3211">
        <f t="shared" ref="BE18:BE19" si="125">SUM(AG18+AP18)</f>
        <v>199.75469249999998</v>
      </c>
      <c r="BF18" s="3211">
        <f t="shared" ref="BF18:BF19" si="126">SUM(AH18+AQ18)</f>
        <v>0</v>
      </c>
      <c r="BG18" s="3068">
        <f>SUM(BH18:BI18)</f>
        <v>198.37800000000001</v>
      </c>
      <c r="BH18" s="3068">
        <f t="shared" ref="BH18:BH19" si="127">SUM(AJ18+BB18)</f>
        <v>198.37800000000001</v>
      </c>
      <c r="BI18" s="3068">
        <f t="shared" ref="BI18:BI19" si="128">SUM(AK18+BC18)</f>
        <v>0</v>
      </c>
      <c r="BJ18" s="3068">
        <f>SUM(BK18:BL18)</f>
        <v>-1.3766924999999617</v>
      </c>
      <c r="BK18" s="3068">
        <f t="shared" ref="BK18:BK19" si="129">SUM(BH18-BE18)</f>
        <v>-1.3766924999999617</v>
      </c>
      <c r="BL18" s="3068">
        <f t="shared" ref="BL18:BL19" si="130">SUM(BI18-BF18)</f>
        <v>0</v>
      </c>
      <c r="BM18" s="3210">
        <f>SUM(BN18:BO18)</f>
        <v>66.584897499999997</v>
      </c>
      <c r="BN18" s="3210">
        <f>SUM(CC18/4)</f>
        <v>66.584897499999997</v>
      </c>
      <c r="BO18" s="3210">
        <f>SUM(CD18/4)</f>
        <v>0</v>
      </c>
      <c r="BP18" s="3067">
        <f>SUM(BQ18:BR18)</f>
        <v>0</v>
      </c>
      <c r="BQ18" s="3078"/>
      <c r="BR18" s="3078"/>
      <c r="BS18" s="3067">
        <f>SUM(BT18:BU18)</f>
        <v>0</v>
      </c>
      <c r="BT18" s="3078"/>
      <c r="BU18" s="3078"/>
      <c r="BV18" s="3067">
        <f>SUM(BW18:BX18)</f>
        <v>0</v>
      </c>
      <c r="BW18" s="3078"/>
      <c r="BX18" s="3078"/>
      <c r="BY18" s="3067">
        <f>SUM(BZ18:CA18)</f>
        <v>0</v>
      </c>
      <c r="BZ18" s="3067">
        <f t="shared" ref="BZ18:BZ19" si="131">SUM(BQ18+BT18+BW18)</f>
        <v>0</v>
      </c>
      <c r="CA18" s="3067">
        <f t="shared" ref="CA18:CA19" si="132">SUM(BR18+BU18+BX18)</f>
        <v>0</v>
      </c>
      <c r="CB18" s="3211">
        <f>SUM(CC18:CD18)</f>
        <v>266.33958999999999</v>
      </c>
      <c r="CC18" s="3211">
        <f>SUM(объемы!AX53)</f>
        <v>266.33958999999999</v>
      </c>
      <c r="CD18" s="3211">
        <f>SUM(объемы!AY53)</f>
        <v>0</v>
      </c>
      <c r="CE18" s="3068">
        <f>SUM(CF18:CG18)</f>
        <v>198.37800000000001</v>
      </c>
      <c r="CF18" s="3068">
        <f t="shared" ref="CF18:CF19" si="133">SUM(BH18+BZ18)</f>
        <v>198.37800000000001</v>
      </c>
      <c r="CG18" s="3068">
        <f t="shared" ref="CG18:CG19" si="134">SUM(BI18+CA18)</f>
        <v>0</v>
      </c>
      <c r="CH18" s="3068">
        <f>SUM(CI18:CJ18)</f>
        <v>-67.961589999999973</v>
      </c>
      <c r="CI18" s="3068">
        <f t="shared" ref="CI18:CI19" si="135">SUM(CF18-CC18)</f>
        <v>-67.961589999999973</v>
      </c>
      <c r="CJ18" s="3068">
        <f t="shared" ref="CJ18:CJ19" si="136">SUM(CG18-CD18)</f>
        <v>0</v>
      </c>
      <c r="CK18" s="3205"/>
      <c r="CL18" s="3055"/>
      <c r="CM18" s="3055"/>
      <c r="CN18" s="3055"/>
    </row>
    <row r="19" spans="1:92" ht="18.75" customHeight="1" x14ac:dyDescent="0.2">
      <c r="A19" s="3063" t="s">
        <v>651</v>
      </c>
      <c r="B19" s="3210">
        <f>SUM(C19:D19)</f>
        <v>9.6080000000000005</v>
      </c>
      <c r="C19" s="3210">
        <f t="shared" si="112"/>
        <v>9.6080000000000005</v>
      </c>
      <c r="D19" s="3210">
        <f t="shared" si="113"/>
        <v>0</v>
      </c>
      <c r="E19" s="3067">
        <f>SUM(F19:G19)</f>
        <v>0</v>
      </c>
      <c r="F19" s="3078">
        <v>0</v>
      </c>
      <c r="G19" s="3078">
        <v>0</v>
      </c>
      <c r="H19" s="3067">
        <f>SUM(I19:J19)</f>
        <v>0</v>
      </c>
      <c r="I19" s="3078">
        <v>0</v>
      </c>
      <c r="J19" s="3078">
        <v>0</v>
      </c>
      <c r="K19" s="3067">
        <f>SUM(L19:M19)</f>
        <v>0</v>
      </c>
      <c r="L19" s="3078">
        <v>0</v>
      </c>
      <c r="M19" s="3078">
        <v>0</v>
      </c>
      <c r="N19" s="3067">
        <f>SUM(O19:P19)</f>
        <v>0</v>
      </c>
      <c r="O19" s="3067">
        <f t="shared" si="114"/>
        <v>0</v>
      </c>
      <c r="P19" s="3067">
        <f t="shared" si="115"/>
        <v>0</v>
      </c>
      <c r="Q19" s="3210">
        <f>SUM(R19:S19)</f>
        <v>9.6080000000000005</v>
      </c>
      <c r="R19" s="3210">
        <f>SUM(CC19/4)</f>
        <v>9.6080000000000005</v>
      </c>
      <c r="S19" s="3210">
        <f>SUM(CD19/4)</f>
        <v>0</v>
      </c>
      <c r="T19" s="3067">
        <f>SUM(U19:V19)</f>
        <v>0</v>
      </c>
      <c r="U19" s="3078">
        <v>0</v>
      </c>
      <c r="V19" s="3078">
        <v>0</v>
      </c>
      <c r="W19" s="3067">
        <f>SUM(X19:Y19)</f>
        <v>0</v>
      </c>
      <c r="X19" s="3078">
        <v>0</v>
      </c>
      <c r="Y19" s="3078">
        <v>0</v>
      </c>
      <c r="Z19" s="3067">
        <f>SUM(AA19:AB19)</f>
        <v>0</v>
      </c>
      <c r="AA19" s="3078">
        <v>0</v>
      </c>
      <c r="AB19" s="3078">
        <v>0</v>
      </c>
      <c r="AC19" s="3067">
        <f>SUM(AD19:AE19)</f>
        <v>0</v>
      </c>
      <c r="AD19" s="3067">
        <f t="shared" si="116"/>
        <v>0</v>
      </c>
      <c r="AE19" s="3067">
        <f t="shared" si="117"/>
        <v>0</v>
      </c>
      <c r="AF19" s="3211">
        <f>SUM(AG19:AH19)</f>
        <v>19.216000000000001</v>
      </c>
      <c r="AG19" s="3211">
        <f t="shared" si="118"/>
        <v>19.216000000000001</v>
      </c>
      <c r="AH19" s="3211">
        <f t="shared" si="119"/>
        <v>0</v>
      </c>
      <c r="AI19" s="3211">
        <f>SUM(AJ19:AK19)</f>
        <v>0</v>
      </c>
      <c r="AJ19" s="3211">
        <f t="shared" si="120"/>
        <v>0</v>
      </c>
      <c r="AK19" s="3211">
        <f t="shared" si="121"/>
        <v>0</v>
      </c>
      <c r="AL19" s="3068">
        <f>SUM(AM19:AN19)</f>
        <v>-19.216000000000001</v>
      </c>
      <c r="AM19" s="3068">
        <f t="shared" si="122"/>
        <v>-19.216000000000001</v>
      </c>
      <c r="AN19" s="3068">
        <f t="shared" si="122"/>
        <v>0</v>
      </c>
      <c r="AO19" s="3210">
        <f>SUM(AP19:AQ19)</f>
        <v>9.6080000000000005</v>
      </c>
      <c r="AP19" s="3210">
        <f>SUM(CC19/4)</f>
        <v>9.6080000000000005</v>
      </c>
      <c r="AQ19" s="3210">
        <f>SUM(CD19/4)</f>
        <v>0</v>
      </c>
      <c r="AR19" s="3067">
        <f>SUM(AS19:AT19)</f>
        <v>0</v>
      </c>
      <c r="AS19" s="3078">
        <v>0</v>
      </c>
      <c r="AT19" s="3078">
        <v>0</v>
      </c>
      <c r="AU19" s="3067">
        <f>SUM(AV19:AW19)</f>
        <v>0</v>
      </c>
      <c r="AV19" s="3078">
        <v>0</v>
      </c>
      <c r="AW19" s="3078">
        <v>0</v>
      </c>
      <c r="AX19" s="3067">
        <f>SUM(AY19:AZ19)</f>
        <v>0</v>
      </c>
      <c r="AY19" s="3078">
        <v>0</v>
      </c>
      <c r="AZ19" s="3078">
        <v>0</v>
      </c>
      <c r="BA19" s="3067">
        <f>SUM(BB19:BC19)</f>
        <v>0</v>
      </c>
      <c r="BB19" s="3067">
        <f t="shared" si="123"/>
        <v>0</v>
      </c>
      <c r="BC19" s="3067">
        <f t="shared" si="124"/>
        <v>0</v>
      </c>
      <c r="BD19" s="3211">
        <f>SUM(BE19:BF19)</f>
        <v>28.824000000000002</v>
      </c>
      <c r="BE19" s="3211">
        <f t="shared" si="125"/>
        <v>28.824000000000002</v>
      </c>
      <c r="BF19" s="3211">
        <f t="shared" si="126"/>
        <v>0</v>
      </c>
      <c r="BG19" s="3068">
        <f>SUM(BH19:BI19)</f>
        <v>0</v>
      </c>
      <c r="BH19" s="3068">
        <f t="shared" si="127"/>
        <v>0</v>
      </c>
      <c r="BI19" s="3068">
        <f t="shared" si="128"/>
        <v>0</v>
      </c>
      <c r="BJ19" s="3068">
        <f>SUM(BK19:BL19)</f>
        <v>-28.824000000000002</v>
      </c>
      <c r="BK19" s="3068">
        <f t="shared" si="129"/>
        <v>-28.824000000000002</v>
      </c>
      <c r="BL19" s="3068">
        <f t="shared" si="130"/>
        <v>0</v>
      </c>
      <c r="BM19" s="3210">
        <f>SUM(BN19:BO19)</f>
        <v>9.6080000000000005</v>
      </c>
      <c r="BN19" s="3210">
        <f>SUM(CC19/4)</f>
        <v>9.6080000000000005</v>
      </c>
      <c r="BO19" s="3210">
        <f>SUM(CD19/4)</f>
        <v>0</v>
      </c>
      <c r="BP19" s="3067">
        <f>SUM(BQ19:BR19)</f>
        <v>0</v>
      </c>
      <c r="BQ19" s="3078"/>
      <c r="BR19" s="3078"/>
      <c r="BS19" s="3067">
        <f>SUM(BT19:BU19)</f>
        <v>0</v>
      </c>
      <c r="BT19" s="3078"/>
      <c r="BU19" s="3078"/>
      <c r="BV19" s="3067">
        <f>SUM(BW19:BX19)</f>
        <v>0</v>
      </c>
      <c r="BW19" s="3078"/>
      <c r="BX19" s="3078"/>
      <c r="BY19" s="3067">
        <f>SUM(BZ19:CA19)</f>
        <v>0</v>
      </c>
      <c r="BZ19" s="3067">
        <f t="shared" si="131"/>
        <v>0</v>
      </c>
      <c r="CA19" s="3067">
        <f t="shared" si="132"/>
        <v>0</v>
      </c>
      <c r="CB19" s="3211">
        <f>SUM(CC19:CD19)</f>
        <v>38.432000000000002</v>
      </c>
      <c r="CC19" s="3211">
        <f>SUM(объемы!AX54)</f>
        <v>38.432000000000002</v>
      </c>
      <c r="CD19" s="3211">
        <f>SUM(объемы!AY54)</f>
        <v>0</v>
      </c>
      <c r="CE19" s="3068">
        <f>SUM(CF19:CG19)</f>
        <v>0</v>
      </c>
      <c r="CF19" s="3068">
        <f t="shared" si="133"/>
        <v>0</v>
      </c>
      <c r="CG19" s="3068">
        <f t="shared" si="134"/>
        <v>0</v>
      </c>
      <c r="CH19" s="3068">
        <f>SUM(CI19:CJ19)</f>
        <v>-38.432000000000002</v>
      </c>
      <c r="CI19" s="3068">
        <f t="shared" si="135"/>
        <v>-38.432000000000002</v>
      </c>
      <c r="CJ19" s="3068">
        <f t="shared" si="136"/>
        <v>0</v>
      </c>
      <c r="CK19" s="3205"/>
      <c r="CL19" s="3055"/>
      <c r="CM19" s="3055"/>
      <c r="CN19" s="3055"/>
    </row>
    <row r="20" spans="1:92" ht="18.75" customHeight="1" x14ac:dyDescent="0.3">
      <c r="A20" s="3052" t="s">
        <v>3588</v>
      </c>
      <c r="B20" s="3069"/>
      <c r="C20" s="3069"/>
      <c r="D20" s="3069"/>
      <c r="E20" s="3069"/>
      <c r="F20" s="3069"/>
      <c r="G20" s="3069"/>
      <c r="H20" s="3069"/>
      <c r="I20" s="3069"/>
      <c r="J20" s="3069"/>
      <c r="K20" s="3069"/>
      <c r="L20" s="3069"/>
      <c r="M20" s="3069"/>
      <c r="N20" s="3069"/>
      <c r="O20" s="3069"/>
      <c r="P20" s="3069"/>
      <c r="Q20" s="3069"/>
      <c r="R20" s="3069"/>
      <c r="S20" s="3069"/>
      <c r="T20" s="3069"/>
      <c r="U20" s="3069"/>
      <c r="V20" s="3069"/>
      <c r="W20" s="3069"/>
      <c r="X20" s="3069"/>
      <c r="Y20" s="3069"/>
      <c r="Z20" s="3069"/>
      <c r="AA20" s="3069"/>
      <c r="AB20" s="3069"/>
      <c r="AC20" s="3069"/>
      <c r="AD20" s="3069"/>
      <c r="AE20" s="3069"/>
      <c r="AF20" s="3069"/>
      <c r="AG20" s="3069"/>
      <c r="AH20" s="3069"/>
      <c r="AI20" s="3069"/>
      <c r="AJ20" s="3069"/>
      <c r="AK20" s="3069"/>
      <c r="AL20" s="3069"/>
      <c r="AM20" s="3069"/>
      <c r="AN20" s="3069"/>
      <c r="AO20" s="3069"/>
      <c r="AP20" s="3069"/>
      <c r="AQ20" s="3069"/>
      <c r="AR20" s="3069"/>
      <c r="AS20" s="3069"/>
      <c r="AT20" s="3069"/>
      <c r="AU20" s="3069"/>
      <c r="AV20" s="3069"/>
      <c r="AW20" s="3069"/>
      <c r="AX20" s="3069"/>
      <c r="AY20" s="3069"/>
      <c r="AZ20" s="3069"/>
      <c r="BA20" s="3069"/>
      <c r="BB20" s="3069"/>
      <c r="BC20" s="3069"/>
      <c r="BD20" s="3069"/>
      <c r="BE20" s="3069"/>
      <c r="BF20" s="3069"/>
      <c r="BG20" s="3069"/>
      <c r="BH20" s="3069"/>
      <c r="BI20" s="3069"/>
      <c r="BJ20" s="3069"/>
      <c r="BK20" s="3069"/>
      <c r="BL20" s="3069"/>
      <c r="BM20" s="3069"/>
      <c r="BN20" s="3069"/>
      <c r="BO20" s="3069"/>
      <c r="BP20" s="3069"/>
      <c r="BQ20" s="3069"/>
      <c r="BR20" s="3069"/>
      <c r="BS20" s="3069"/>
      <c r="BT20" s="3069"/>
      <c r="BU20" s="3069"/>
      <c r="BV20" s="3069"/>
      <c r="BW20" s="3069"/>
      <c r="BX20" s="3069"/>
      <c r="BY20" s="3069"/>
      <c r="BZ20" s="3069"/>
      <c r="CA20" s="3069"/>
      <c r="CB20" s="3069"/>
      <c r="CC20" s="3069"/>
      <c r="CD20" s="3069"/>
      <c r="CE20" s="3069"/>
      <c r="CF20" s="3069"/>
      <c r="CG20" s="3069"/>
      <c r="CH20" s="3069"/>
      <c r="CI20" s="3100"/>
      <c r="CJ20" s="3101"/>
      <c r="CK20" s="3055"/>
      <c r="CL20" s="3055"/>
      <c r="CM20" s="3055"/>
      <c r="CN20" s="3055"/>
    </row>
    <row r="21" spans="1:92" ht="18.75" customHeight="1" x14ac:dyDescent="0.2">
      <c r="A21" s="3723" t="s">
        <v>536</v>
      </c>
      <c r="B21" s="3707" t="s">
        <v>3575</v>
      </c>
      <c r="C21" s="3708"/>
      <c r="D21" s="3708"/>
      <c r="E21" s="3708"/>
      <c r="F21" s="3708"/>
      <c r="G21" s="3708"/>
      <c r="H21" s="3708"/>
      <c r="I21" s="3708"/>
      <c r="J21" s="3708"/>
      <c r="K21" s="3708"/>
      <c r="L21" s="3708"/>
      <c r="M21" s="3708"/>
      <c r="N21" s="3708"/>
      <c r="O21" s="3708"/>
      <c r="P21" s="3725"/>
      <c r="Q21" s="3696" t="s">
        <v>3576</v>
      </c>
      <c r="R21" s="3697"/>
      <c r="S21" s="3697"/>
      <c r="T21" s="3697"/>
      <c r="U21" s="3697"/>
      <c r="V21" s="3697"/>
      <c r="W21" s="3697"/>
      <c r="X21" s="3697"/>
      <c r="Y21" s="3697"/>
      <c r="Z21" s="3697"/>
      <c r="AA21" s="3697"/>
      <c r="AB21" s="3697"/>
      <c r="AC21" s="3697"/>
      <c r="AD21" s="3655"/>
      <c r="AE21" s="3656"/>
      <c r="AF21" s="3692" t="s">
        <v>3577</v>
      </c>
      <c r="AG21" s="3693"/>
      <c r="AH21" s="3693"/>
      <c r="AI21" s="3693"/>
      <c r="AJ21" s="3693"/>
      <c r="AK21" s="3693"/>
      <c r="AL21" s="3693"/>
      <c r="AM21" s="3705"/>
      <c r="AN21" s="3706"/>
      <c r="AO21" s="3707" t="s">
        <v>3578</v>
      </c>
      <c r="AP21" s="3708"/>
      <c r="AQ21" s="3708"/>
      <c r="AR21" s="3708"/>
      <c r="AS21" s="3708"/>
      <c r="AT21" s="3708"/>
      <c r="AU21" s="3708"/>
      <c r="AV21" s="3708"/>
      <c r="AW21" s="3708"/>
      <c r="AX21" s="3708"/>
      <c r="AY21" s="3708"/>
      <c r="AZ21" s="3708"/>
      <c r="BA21" s="3708"/>
      <c r="BB21" s="3705"/>
      <c r="BC21" s="3706"/>
      <c r="BD21" s="3692" t="s">
        <v>3579</v>
      </c>
      <c r="BE21" s="3693"/>
      <c r="BF21" s="3693"/>
      <c r="BG21" s="3693"/>
      <c r="BH21" s="3693"/>
      <c r="BI21" s="3693"/>
      <c r="BJ21" s="3693"/>
      <c r="BK21" s="3705"/>
      <c r="BL21" s="3706"/>
      <c r="BM21" s="3726" t="s">
        <v>3580</v>
      </c>
      <c r="BN21" s="3727"/>
      <c r="BO21" s="3727"/>
      <c r="BP21" s="3727"/>
      <c r="BQ21" s="3727"/>
      <c r="BR21" s="3727"/>
      <c r="BS21" s="3727"/>
      <c r="BT21" s="3727"/>
      <c r="BU21" s="3727"/>
      <c r="BV21" s="3727"/>
      <c r="BW21" s="3727"/>
      <c r="BX21" s="3727"/>
      <c r="BY21" s="3727"/>
      <c r="BZ21" s="3607"/>
      <c r="CA21" s="3607"/>
      <c r="CB21" s="3692" t="s">
        <v>2019</v>
      </c>
      <c r="CC21" s="3693"/>
      <c r="CD21" s="3693"/>
      <c r="CE21" s="3693"/>
      <c r="CF21" s="3693"/>
      <c r="CG21" s="3693"/>
      <c r="CH21" s="3693"/>
      <c r="CI21" s="3694"/>
      <c r="CJ21" s="3695"/>
      <c r="CK21" s="3055"/>
      <c r="CL21" s="3055"/>
      <c r="CM21" s="3055"/>
      <c r="CN21" s="3055"/>
    </row>
    <row r="22" spans="1:92" ht="18.75" customHeight="1" x14ac:dyDescent="0.2">
      <c r="A22" s="3724"/>
      <c r="B22" s="3696" t="s">
        <v>3581</v>
      </c>
      <c r="C22" s="3697"/>
      <c r="D22" s="3698"/>
      <c r="E22" s="3726" t="s">
        <v>582</v>
      </c>
      <c r="F22" s="3727"/>
      <c r="G22" s="3728"/>
      <c r="H22" s="3726" t="s">
        <v>583</v>
      </c>
      <c r="I22" s="3727"/>
      <c r="J22" s="3728"/>
      <c r="K22" s="3726" t="s">
        <v>584</v>
      </c>
      <c r="L22" s="3727"/>
      <c r="M22" s="3728"/>
      <c r="N22" s="3696" t="s">
        <v>1692</v>
      </c>
      <c r="O22" s="3697"/>
      <c r="P22" s="3698"/>
      <c r="Q22" s="3696" t="s">
        <v>3581</v>
      </c>
      <c r="R22" s="3697"/>
      <c r="S22" s="3698"/>
      <c r="T22" s="3729" t="s">
        <v>3582</v>
      </c>
      <c r="U22" s="3730"/>
      <c r="V22" s="3731"/>
      <c r="W22" s="3729" t="s">
        <v>586</v>
      </c>
      <c r="X22" s="3730"/>
      <c r="Y22" s="3731"/>
      <c r="Z22" s="3729" t="s">
        <v>587</v>
      </c>
      <c r="AA22" s="3730"/>
      <c r="AB22" s="3731"/>
      <c r="AC22" s="3696" t="s">
        <v>1692</v>
      </c>
      <c r="AD22" s="3697"/>
      <c r="AE22" s="3698"/>
      <c r="AF22" s="3699" t="s">
        <v>3581</v>
      </c>
      <c r="AG22" s="3700"/>
      <c r="AH22" s="3701"/>
      <c r="AI22" s="3699" t="s">
        <v>1692</v>
      </c>
      <c r="AJ22" s="3700"/>
      <c r="AK22" s="3701"/>
      <c r="AL22" s="3699" t="s">
        <v>3583</v>
      </c>
      <c r="AM22" s="3700"/>
      <c r="AN22" s="3701"/>
      <c r="AO22" s="3712" t="s">
        <v>3581</v>
      </c>
      <c r="AP22" s="3713"/>
      <c r="AQ22" s="3714"/>
      <c r="AR22" s="3702" t="s">
        <v>588</v>
      </c>
      <c r="AS22" s="3703"/>
      <c r="AT22" s="3704"/>
      <c r="AU22" s="3702" t="s">
        <v>589</v>
      </c>
      <c r="AV22" s="3703"/>
      <c r="AW22" s="3704"/>
      <c r="AX22" s="3702" t="s">
        <v>590</v>
      </c>
      <c r="AY22" s="3703"/>
      <c r="AZ22" s="3704"/>
      <c r="BA22" s="3712" t="s">
        <v>1692</v>
      </c>
      <c r="BB22" s="3713"/>
      <c r="BC22" s="3714"/>
      <c r="BD22" s="3715" t="s">
        <v>3581</v>
      </c>
      <c r="BE22" s="3716"/>
      <c r="BF22" s="3717"/>
      <c r="BG22" s="3715" t="s">
        <v>1692</v>
      </c>
      <c r="BH22" s="3716"/>
      <c r="BI22" s="3717"/>
      <c r="BJ22" s="3715" t="s">
        <v>3583</v>
      </c>
      <c r="BK22" s="3716"/>
      <c r="BL22" s="3717"/>
      <c r="BM22" s="3762" t="s">
        <v>3581</v>
      </c>
      <c r="BN22" s="3763"/>
      <c r="BO22" s="3764"/>
      <c r="BP22" s="3709" t="s">
        <v>591</v>
      </c>
      <c r="BQ22" s="3710"/>
      <c r="BR22" s="3711"/>
      <c r="BS22" s="3709" t="s">
        <v>592</v>
      </c>
      <c r="BT22" s="3710"/>
      <c r="BU22" s="3711"/>
      <c r="BV22" s="3709" t="s">
        <v>593</v>
      </c>
      <c r="BW22" s="3710"/>
      <c r="BX22" s="3711"/>
      <c r="BY22" s="3762" t="s">
        <v>1692</v>
      </c>
      <c r="BZ22" s="3763"/>
      <c r="CA22" s="3763"/>
      <c r="CB22" s="3718" t="s">
        <v>3581</v>
      </c>
      <c r="CC22" s="3721"/>
      <c r="CD22" s="3722"/>
      <c r="CE22" s="3718" t="s">
        <v>1692</v>
      </c>
      <c r="CF22" s="3721"/>
      <c r="CG22" s="3722"/>
      <c r="CH22" s="3718" t="s">
        <v>3583</v>
      </c>
      <c r="CI22" s="3719"/>
      <c r="CJ22" s="3720"/>
      <c r="CK22" s="3055"/>
      <c r="CL22" s="3055"/>
      <c r="CM22" s="3055"/>
      <c r="CN22" s="3055"/>
    </row>
    <row r="23" spans="1:92" ht="18.75" customHeight="1" x14ac:dyDescent="0.2">
      <c r="A23" s="3724"/>
      <c r="B23" s="3095" t="s">
        <v>627</v>
      </c>
      <c r="C23" s="3095" t="s">
        <v>3625</v>
      </c>
      <c r="D23" s="3095" t="s">
        <v>3626</v>
      </c>
      <c r="E23" s="3095" t="s">
        <v>627</v>
      </c>
      <c r="F23" s="3095" t="s">
        <v>3625</v>
      </c>
      <c r="G23" s="3095" t="s">
        <v>3626</v>
      </c>
      <c r="H23" s="3095" t="s">
        <v>627</v>
      </c>
      <c r="I23" s="3095" t="s">
        <v>3625</v>
      </c>
      <c r="J23" s="3095" t="s">
        <v>3626</v>
      </c>
      <c r="K23" s="3095" t="s">
        <v>627</v>
      </c>
      <c r="L23" s="3095" t="s">
        <v>3625</v>
      </c>
      <c r="M23" s="3095" t="s">
        <v>3626</v>
      </c>
      <c r="N23" s="3095" t="s">
        <v>627</v>
      </c>
      <c r="O23" s="3095" t="s">
        <v>3625</v>
      </c>
      <c r="P23" s="3095" t="s">
        <v>3626</v>
      </c>
      <c r="Q23" s="3095" t="s">
        <v>627</v>
      </c>
      <c r="R23" s="3095" t="s">
        <v>3625</v>
      </c>
      <c r="S23" s="3095" t="s">
        <v>3626</v>
      </c>
      <c r="T23" s="3095" t="s">
        <v>627</v>
      </c>
      <c r="U23" s="3095" t="s">
        <v>3625</v>
      </c>
      <c r="V23" s="3095" t="s">
        <v>3626</v>
      </c>
      <c r="W23" s="3095" t="s">
        <v>627</v>
      </c>
      <c r="X23" s="3095" t="s">
        <v>3625</v>
      </c>
      <c r="Y23" s="3095" t="s">
        <v>3626</v>
      </c>
      <c r="Z23" s="3095" t="s">
        <v>627</v>
      </c>
      <c r="AA23" s="3095" t="s">
        <v>3625</v>
      </c>
      <c r="AB23" s="3095" t="s">
        <v>3626</v>
      </c>
      <c r="AC23" s="3095" t="s">
        <v>627</v>
      </c>
      <c r="AD23" s="3095" t="s">
        <v>3625</v>
      </c>
      <c r="AE23" s="3095" t="s">
        <v>3626</v>
      </c>
      <c r="AF23" s="3096" t="s">
        <v>627</v>
      </c>
      <c r="AG23" s="3096" t="s">
        <v>3625</v>
      </c>
      <c r="AH23" s="3096" t="s">
        <v>3626</v>
      </c>
      <c r="AI23" s="3096" t="s">
        <v>627</v>
      </c>
      <c r="AJ23" s="3096" t="s">
        <v>3625</v>
      </c>
      <c r="AK23" s="3096" t="s">
        <v>3626</v>
      </c>
      <c r="AL23" s="3096" t="s">
        <v>627</v>
      </c>
      <c r="AM23" s="3096" t="s">
        <v>3625</v>
      </c>
      <c r="AN23" s="3096" t="s">
        <v>3626</v>
      </c>
      <c r="AO23" s="3095" t="s">
        <v>627</v>
      </c>
      <c r="AP23" s="3095" t="s">
        <v>3625</v>
      </c>
      <c r="AQ23" s="3095" t="s">
        <v>3626</v>
      </c>
      <c r="AR23" s="3095" t="s">
        <v>627</v>
      </c>
      <c r="AS23" s="3095" t="s">
        <v>3625</v>
      </c>
      <c r="AT23" s="3095" t="s">
        <v>3626</v>
      </c>
      <c r="AU23" s="3095" t="s">
        <v>627</v>
      </c>
      <c r="AV23" s="3095" t="s">
        <v>3625</v>
      </c>
      <c r="AW23" s="3095" t="s">
        <v>3626</v>
      </c>
      <c r="AX23" s="3095" t="s">
        <v>627</v>
      </c>
      <c r="AY23" s="3095" t="s">
        <v>3625</v>
      </c>
      <c r="AZ23" s="3095" t="s">
        <v>3626</v>
      </c>
      <c r="BA23" s="3095" t="s">
        <v>627</v>
      </c>
      <c r="BB23" s="3095" t="s">
        <v>3625</v>
      </c>
      <c r="BC23" s="3095" t="s">
        <v>3626</v>
      </c>
      <c r="BD23" s="3096" t="s">
        <v>627</v>
      </c>
      <c r="BE23" s="3096" t="s">
        <v>3625</v>
      </c>
      <c r="BF23" s="3096" t="s">
        <v>3626</v>
      </c>
      <c r="BG23" s="3096" t="s">
        <v>627</v>
      </c>
      <c r="BH23" s="3096" t="s">
        <v>3625</v>
      </c>
      <c r="BI23" s="3096" t="s">
        <v>3626</v>
      </c>
      <c r="BJ23" s="3096" t="s">
        <v>627</v>
      </c>
      <c r="BK23" s="3096" t="s">
        <v>3625</v>
      </c>
      <c r="BL23" s="3096" t="s">
        <v>3626</v>
      </c>
      <c r="BM23" s="3095" t="s">
        <v>627</v>
      </c>
      <c r="BN23" s="3095" t="s">
        <v>3625</v>
      </c>
      <c r="BO23" s="3095" t="s">
        <v>3626</v>
      </c>
      <c r="BP23" s="3095" t="s">
        <v>627</v>
      </c>
      <c r="BQ23" s="3095" t="s">
        <v>3625</v>
      </c>
      <c r="BR23" s="3095" t="s">
        <v>3626</v>
      </c>
      <c r="BS23" s="3095" t="s">
        <v>627</v>
      </c>
      <c r="BT23" s="3095" t="s">
        <v>3625</v>
      </c>
      <c r="BU23" s="3095" t="s">
        <v>3626</v>
      </c>
      <c r="BV23" s="3095" t="s">
        <v>627</v>
      </c>
      <c r="BW23" s="3095" t="s">
        <v>3625</v>
      </c>
      <c r="BX23" s="3095" t="s">
        <v>3626</v>
      </c>
      <c r="BY23" s="3095" t="s">
        <v>627</v>
      </c>
      <c r="BZ23" s="3095" t="s">
        <v>3625</v>
      </c>
      <c r="CA23" s="3097" t="s">
        <v>3626</v>
      </c>
      <c r="CB23" s="3096" t="s">
        <v>627</v>
      </c>
      <c r="CC23" s="3096" t="s">
        <v>3625</v>
      </c>
      <c r="CD23" s="3096" t="s">
        <v>3626</v>
      </c>
      <c r="CE23" s="3096" t="s">
        <v>627</v>
      </c>
      <c r="CF23" s="3096" t="s">
        <v>3625</v>
      </c>
      <c r="CG23" s="3096" t="s">
        <v>3626</v>
      </c>
      <c r="CH23" s="3096" t="s">
        <v>627</v>
      </c>
      <c r="CI23" s="3096" t="s">
        <v>3625</v>
      </c>
      <c r="CJ23" s="3096" t="s">
        <v>3626</v>
      </c>
      <c r="CK23" s="3055"/>
      <c r="CL23" s="3055"/>
      <c r="CM23" s="3055"/>
      <c r="CN23" s="3055"/>
    </row>
    <row r="24" spans="1:92" ht="18.75" customHeight="1" x14ac:dyDescent="0.3">
      <c r="A24" s="3070" t="s">
        <v>15</v>
      </c>
      <c r="B24" s="3207">
        <f>SUM(C24:D24)</f>
        <v>4878.4080234059184</v>
      </c>
      <c r="C24" s="3207">
        <f t="shared" ref="C24:G24" si="137">SUM(C25:C30)+C32</f>
        <v>4876.2597920681264</v>
      </c>
      <c r="D24" s="3207">
        <f t="shared" si="137"/>
        <v>2.1482313377916791</v>
      </c>
      <c r="E24" s="3156">
        <f>SUM(F24:G24)</f>
        <v>1392.0619999999999</v>
      </c>
      <c r="F24" s="3057">
        <f>SUM(F25:F30)+F32</f>
        <v>1390.34</v>
      </c>
      <c r="G24" s="3057">
        <f t="shared" si="137"/>
        <v>1.722</v>
      </c>
      <c r="H24" s="3156">
        <f>SUM(I24:J24)</f>
        <v>1175.1299999999997</v>
      </c>
      <c r="I24" s="3057">
        <f t="shared" ref="I24:J24" si="138">SUM(I25:I30)+I32</f>
        <v>1173.7599999999998</v>
      </c>
      <c r="J24" s="3057">
        <f t="shared" si="138"/>
        <v>1.37</v>
      </c>
      <c r="K24" s="3156">
        <f>SUM(L24:M24)</f>
        <v>1351.8100000000002</v>
      </c>
      <c r="L24" s="3057">
        <f t="shared" ref="L24:M24" si="139">SUM(L25:L30)+L32</f>
        <v>1350.2900000000002</v>
      </c>
      <c r="M24" s="3057">
        <f t="shared" si="139"/>
        <v>1.52</v>
      </c>
      <c r="N24" s="3156">
        <f>SUM(O24:P24)</f>
        <v>3919.0020000000004</v>
      </c>
      <c r="O24" s="3057">
        <f t="shared" ref="O24:P24" si="140">SUM(O25:O30)+O32</f>
        <v>3914.3900000000003</v>
      </c>
      <c r="P24" s="3057">
        <f t="shared" si="140"/>
        <v>4.6120000000000001</v>
      </c>
      <c r="Q24" s="3207">
        <f>SUM(R24:S24)</f>
        <v>4878.4080234059184</v>
      </c>
      <c r="R24" s="3207">
        <f t="shared" ref="R24:S24" si="141">SUM(R25:R30)+R32</f>
        <v>4876.2597920681264</v>
      </c>
      <c r="S24" s="3207">
        <f t="shared" si="141"/>
        <v>2.1482313377916791</v>
      </c>
      <c r="T24" s="3156">
        <f>SUM(U24:V24)</f>
        <v>1457.8000000000002</v>
      </c>
      <c r="U24" s="3057">
        <f t="shared" ref="U24:V24" si="142">SUM(U25:U30)+U32</f>
        <v>1456.42</v>
      </c>
      <c r="V24" s="3057">
        <f t="shared" si="142"/>
        <v>1.3800000000000001</v>
      </c>
      <c r="W24" s="3156">
        <f>SUM(X24:Y24)</f>
        <v>1627.41</v>
      </c>
      <c r="X24" s="3057">
        <f t="shared" ref="X24:Y24" si="143">SUM(X25:X30)+X32</f>
        <v>1625.49</v>
      </c>
      <c r="Y24" s="3057">
        <f t="shared" si="143"/>
        <v>1.92</v>
      </c>
      <c r="Z24" s="3156">
        <f>SUM(AA24:AB24)</f>
        <v>1393.01</v>
      </c>
      <c r="AA24" s="3057">
        <f t="shared" ref="AA24:AB24" si="144">SUM(AA25:AA30)+AA32</f>
        <v>1390.66</v>
      </c>
      <c r="AB24" s="3057">
        <f t="shared" si="144"/>
        <v>2.35</v>
      </c>
      <c r="AC24" s="3156">
        <f>SUM(AD24:AE24)</f>
        <v>4478.2199999999993</v>
      </c>
      <c r="AD24" s="3057">
        <f t="shared" ref="AD24:AE24" si="145">SUM(AD25:AD30)+AD32</f>
        <v>4472.57</v>
      </c>
      <c r="AE24" s="3057">
        <f t="shared" si="145"/>
        <v>5.6499999999999995</v>
      </c>
      <c r="AF24" s="3206">
        <f>SUM(AG24:AH24)</f>
        <v>9756.8160468118367</v>
      </c>
      <c r="AG24" s="3206">
        <f t="shared" ref="AG24:AH24" si="146">SUM(AG25:AG30)+AG32</f>
        <v>9752.5195841362529</v>
      </c>
      <c r="AH24" s="3206">
        <f t="shared" si="146"/>
        <v>4.2964626755833581</v>
      </c>
      <c r="AI24" s="3193">
        <f t="shared" ref="AI24:AK24" si="147">SUM(AC24+N24)</f>
        <v>8397.2219999999998</v>
      </c>
      <c r="AJ24" s="3193">
        <f t="shared" si="147"/>
        <v>8386.9599999999991</v>
      </c>
      <c r="AK24" s="3193">
        <f t="shared" si="147"/>
        <v>10.262</v>
      </c>
      <c r="AL24" s="3193">
        <f t="shared" ref="AL24:AN24" si="148">SUM(AI24-AF24)</f>
        <v>-1359.594046811837</v>
      </c>
      <c r="AM24" s="3193">
        <f t="shared" si="148"/>
        <v>-1365.5595841362538</v>
      </c>
      <c r="AN24" s="3193">
        <f t="shared" si="148"/>
        <v>5.9655373244166423</v>
      </c>
      <c r="AO24" s="3207">
        <f>SUM(AP24:AQ24)</f>
        <v>4940.0977479962612</v>
      </c>
      <c r="AP24" s="3207">
        <f t="shared" ref="AP24:AQ24" si="149">SUM(AP25:AP30)+AP32</f>
        <v>4937.9320605170178</v>
      </c>
      <c r="AQ24" s="3207">
        <f t="shared" si="149"/>
        <v>2.1656874792438408</v>
      </c>
      <c r="AR24" s="3156">
        <f>SUM(AS24:AT24)</f>
        <v>1477.07</v>
      </c>
      <c r="AS24" s="3057">
        <f t="shared" ref="AS24:AT24" si="150">SUM(AS25:AS30)+AS32</f>
        <v>1475.5</v>
      </c>
      <c r="AT24" s="3057">
        <f t="shared" si="150"/>
        <v>1.5699999999999998</v>
      </c>
      <c r="AU24" s="3156">
        <f>SUM(AV24:AW24)</f>
        <v>1488.604</v>
      </c>
      <c r="AV24" s="3057">
        <f t="shared" ref="AV24:AW24" si="151">SUM(AV25:AV30)+AV32</f>
        <v>1487.23</v>
      </c>
      <c r="AW24" s="3057">
        <f t="shared" si="151"/>
        <v>1.3739999999999999</v>
      </c>
      <c r="AX24" s="3156">
        <f>SUM(AY24:AZ24)</f>
        <v>1754.3700000000001</v>
      </c>
      <c r="AY24" s="3057">
        <f t="shared" ref="AY24:AZ24" si="152">SUM(AY25:AY30)+AY32</f>
        <v>1751.97</v>
      </c>
      <c r="AZ24" s="3057">
        <f t="shared" si="152"/>
        <v>2.4000000000000004</v>
      </c>
      <c r="BA24" s="3156">
        <f>SUM(BB24:BC24)</f>
        <v>4720.0440000000008</v>
      </c>
      <c r="BB24" s="3057">
        <f t="shared" ref="BB24:BC24" si="153">SUM(BB25:BB30)+BB32</f>
        <v>4714.7000000000007</v>
      </c>
      <c r="BC24" s="3057">
        <f t="shared" si="153"/>
        <v>5.3440000000000003</v>
      </c>
      <c r="BD24" s="3206">
        <f>SUM(BE24:BF24)</f>
        <v>14696.913794808097</v>
      </c>
      <c r="BE24" s="3206">
        <f t="shared" ref="BE24:BF24" si="154">SUM(BE25:BE30)+BE32</f>
        <v>14690.451644653271</v>
      </c>
      <c r="BF24" s="3206">
        <f t="shared" si="154"/>
        <v>6.4621501548271993</v>
      </c>
      <c r="BG24" s="3193">
        <f t="shared" ref="BG24:BI24" si="155">SUM(AI24+BA24)</f>
        <v>13117.266</v>
      </c>
      <c r="BH24" s="3193">
        <f t="shared" si="155"/>
        <v>13101.66</v>
      </c>
      <c r="BI24" s="3193">
        <f t="shared" si="155"/>
        <v>15.606000000000002</v>
      </c>
      <c r="BJ24" s="3193">
        <f t="shared" ref="BJ24:BL24" si="156">SUM(BG24-BD24)</f>
        <v>-1579.6477948080974</v>
      </c>
      <c r="BK24" s="3193">
        <f t="shared" si="156"/>
        <v>-1588.7916446532709</v>
      </c>
      <c r="BL24" s="3193">
        <f t="shared" si="156"/>
        <v>9.1438498451728023</v>
      </c>
      <c r="BM24" s="3207">
        <f>SUM(BN24:BO24)</f>
        <v>4940.0977479962612</v>
      </c>
      <c r="BN24" s="3207">
        <f t="shared" ref="BN24:BO24" si="157">SUM(BN25:BN30)+BN32</f>
        <v>4937.9320605170178</v>
      </c>
      <c r="BO24" s="3207">
        <f t="shared" si="157"/>
        <v>2.1656874792438408</v>
      </c>
      <c r="BP24" s="3156">
        <f>SUM(BQ24:BR24)</f>
        <v>0</v>
      </c>
      <c r="BQ24" s="3057">
        <f t="shared" ref="BQ24:BR24" si="158">SUM(BQ25:BQ30)+BQ32</f>
        <v>0</v>
      </c>
      <c r="BR24" s="3057">
        <f t="shared" si="158"/>
        <v>0</v>
      </c>
      <c r="BS24" s="3156">
        <f>SUM(BT24:BU24)</f>
        <v>0</v>
      </c>
      <c r="BT24" s="3057">
        <f t="shared" ref="BT24:BU24" si="159">SUM(BT25:BT30)+BT32</f>
        <v>0</v>
      </c>
      <c r="BU24" s="3057">
        <f t="shared" si="159"/>
        <v>0</v>
      </c>
      <c r="BV24" s="3156">
        <f>SUM(BW24:BX24)</f>
        <v>0</v>
      </c>
      <c r="BW24" s="3057">
        <f t="shared" ref="BW24:BX24" si="160">SUM(BW25:BW30)+BW32</f>
        <v>0</v>
      </c>
      <c r="BX24" s="3057">
        <f t="shared" si="160"/>
        <v>0</v>
      </c>
      <c r="BY24" s="3156">
        <f>SUM(BZ24:CA24)</f>
        <v>0</v>
      </c>
      <c r="BZ24" s="3057">
        <f t="shared" ref="BZ24:CA24" si="161">SUM(BZ25:BZ30)+BZ32</f>
        <v>0</v>
      </c>
      <c r="CA24" s="3057">
        <f t="shared" si="161"/>
        <v>0</v>
      </c>
      <c r="CB24" s="3206">
        <f>SUM(CC24:CD24)</f>
        <v>19637.011539897481</v>
      </c>
      <c r="CC24" s="3206">
        <f t="shared" ref="CC24:CD24" si="162">SUM(CC25:CC30)+CC32</f>
        <v>19628.383702264815</v>
      </c>
      <c r="CD24" s="3206">
        <f t="shared" si="162"/>
        <v>8.6278376326661803</v>
      </c>
      <c r="CE24" s="3193">
        <f t="shared" ref="CE24" si="163">SUM(BY24+BG24)</f>
        <v>13117.266</v>
      </c>
      <c r="CF24" s="3193">
        <f t="shared" ref="CF24:CG24" si="164">SUM(BZ24+BH24)</f>
        <v>13101.66</v>
      </c>
      <c r="CG24" s="3193">
        <f t="shared" si="164"/>
        <v>15.606000000000002</v>
      </c>
      <c r="CH24" s="3193">
        <f t="shared" ref="CH24:CJ24" si="165">SUM(CE24-CB24)</f>
        <v>-6519.7455398974816</v>
      </c>
      <c r="CI24" s="3193">
        <f t="shared" si="165"/>
        <v>-6526.7237022648151</v>
      </c>
      <c r="CJ24" s="3193">
        <f t="shared" si="165"/>
        <v>6.9781623673338213</v>
      </c>
      <c r="CK24" s="3259"/>
      <c r="CL24" s="3259"/>
      <c r="CM24" s="3259"/>
      <c r="CN24" s="3055"/>
    </row>
    <row r="25" spans="1:92" ht="18.75" customHeight="1" x14ac:dyDescent="0.3">
      <c r="A25" s="3071" t="s">
        <v>1</v>
      </c>
      <c r="B25" s="3208">
        <f t="shared" ref="B25:B30" si="166">SUM(C25:D25)</f>
        <v>1045.5885523787081</v>
      </c>
      <c r="C25" s="3208">
        <f>SUM(CC25/2)/(1+(105.9%*100-100)/2/100)/6*3</f>
        <v>1045.2926855744342</v>
      </c>
      <c r="D25" s="3208">
        <f>SUM(CD25/2)/(1+(105.9%*100-100)/2/100)/6*3</f>
        <v>0.29586680427391931</v>
      </c>
      <c r="E25" s="3136">
        <f t="shared" ref="E25:E88" si="167">SUM(F25:G25)</f>
        <v>379.87800000000004</v>
      </c>
      <c r="F25" s="3061">
        <v>379.79</v>
      </c>
      <c r="G25" s="3061">
        <v>8.7999999999999995E-2</v>
      </c>
      <c r="H25" s="3136">
        <f t="shared" ref="H25:H88" si="168">SUM(I25:J25)</f>
        <v>311.96999999999997</v>
      </c>
      <c r="I25" s="3061">
        <v>311.89999999999998</v>
      </c>
      <c r="J25" s="3061">
        <v>7.0000000000000007E-2</v>
      </c>
      <c r="K25" s="3136">
        <f t="shared" ref="K25:K88" si="169">SUM(L25:M25)</f>
        <v>317.92</v>
      </c>
      <c r="L25" s="3061">
        <v>317.87</v>
      </c>
      <c r="M25" s="3061">
        <v>0.05</v>
      </c>
      <c r="N25" s="3136">
        <f>SUM(O25:P25)</f>
        <v>1009.768</v>
      </c>
      <c r="O25" s="3136">
        <f>SUM(F25+I25+L25)</f>
        <v>1009.5600000000001</v>
      </c>
      <c r="P25" s="3136">
        <f>SUM(G25+J25+M25)</f>
        <v>0.20800000000000002</v>
      </c>
      <c r="Q25" s="3208">
        <f t="shared" ref="Q25:Q30" si="170">SUM(R25:S25)</f>
        <v>1045.5885523787081</v>
      </c>
      <c r="R25" s="3208">
        <f t="shared" ref="R25:S30" si="171">SUM(C25)</f>
        <v>1045.2926855744342</v>
      </c>
      <c r="S25" s="3208">
        <f t="shared" si="171"/>
        <v>0.29586680427391931</v>
      </c>
      <c r="T25" s="3136">
        <f t="shared" ref="T25:T30" si="172">SUM(U25:V25)</f>
        <v>467.36</v>
      </c>
      <c r="U25" s="3061">
        <v>467.29</v>
      </c>
      <c r="V25" s="3061">
        <v>7.0000000000000007E-2</v>
      </c>
      <c r="W25" s="3136">
        <f t="shared" ref="W25:W30" si="173">SUM(X25:Y25)</f>
        <v>457.98</v>
      </c>
      <c r="X25" s="3061">
        <v>457.91</v>
      </c>
      <c r="Y25" s="3061">
        <v>7.0000000000000007E-2</v>
      </c>
      <c r="Z25" s="3136">
        <f t="shared" ref="Z25:Z30" si="174">SUM(AA25:AB25)</f>
        <v>397.76</v>
      </c>
      <c r="AA25" s="3061">
        <v>397.7</v>
      </c>
      <c r="AB25" s="3061">
        <v>0.06</v>
      </c>
      <c r="AC25" s="3136">
        <f>SUM(AD25:AE25)</f>
        <v>1323.1000000000001</v>
      </c>
      <c r="AD25" s="3136">
        <f>SUM(U25+X25+AA25)</f>
        <v>1322.9</v>
      </c>
      <c r="AE25" s="3136">
        <f>SUM(V25+Y25+AB25)</f>
        <v>0.2</v>
      </c>
      <c r="AF25" s="3209">
        <f t="shared" ref="AF25:AF30" si="175">SUM(AG25:AH25)</f>
        <v>2091.1771047574161</v>
      </c>
      <c r="AG25" s="3209">
        <f t="shared" ref="AG25:AG30" si="176">SUM(C25+R25)</f>
        <v>2090.5853711488685</v>
      </c>
      <c r="AH25" s="3209">
        <f t="shared" ref="AH25" si="177">SUM(D25+S25)</f>
        <v>0.59173360854783863</v>
      </c>
      <c r="AI25" s="3264">
        <f t="shared" ref="AI25:AI30" si="178">SUM(AC25+N25)</f>
        <v>2332.8680000000004</v>
      </c>
      <c r="AJ25" s="3264">
        <f t="shared" ref="AJ25:AJ30" si="179">SUM(AD25+O25)</f>
        <v>2332.46</v>
      </c>
      <c r="AK25" s="3264">
        <f t="shared" ref="AK25:AK30" si="180">SUM(AE25+P25)</f>
        <v>0.40800000000000003</v>
      </c>
      <c r="AL25" s="3264">
        <f t="shared" ref="AL25:AL30" si="181">SUM(AI25-AF25)</f>
        <v>241.69089524258425</v>
      </c>
      <c r="AM25" s="3264">
        <f t="shared" ref="AM25:AM30" si="182">SUM(AJ25-AG25)</f>
        <v>241.87462885113155</v>
      </c>
      <c r="AN25" s="3264">
        <f t="shared" ref="AN25:AN30" si="183">SUM(AK25-AH25)</f>
        <v>-0.1837336085478386</v>
      </c>
      <c r="AO25" s="3208">
        <f t="shared" ref="AO25:AO30" si="184">SUM(AP25:AQ25)</f>
        <v>1107.2782769690521</v>
      </c>
      <c r="AP25" s="3208">
        <f t="shared" ref="AP25:AQ30" si="185">SUM(CC25-AG25)/2</f>
        <v>1106.9649540233261</v>
      </c>
      <c r="AQ25" s="3208">
        <f t="shared" si="185"/>
        <v>0.31332294572608066</v>
      </c>
      <c r="AR25" s="3136">
        <f t="shared" ref="AR25:AR30" si="186">SUM(AS25:AT25)</f>
        <v>435.40699999999998</v>
      </c>
      <c r="AS25" s="3061">
        <v>435.34</v>
      </c>
      <c r="AT25" s="3061">
        <v>6.7000000000000004E-2</v>
      </c>
      <c r="AU25" s="3136">
        <f t="shared" ref="AU25:AU30" si="187">SUM(AV25:AW25)</f>
        <v>562.13700000000006</v>
      </c>
      <c r="AV25" s="3061">
        <v>562.07000000000005</v>
      </c>
      <c r="AW25" s="3061">
        <v>6.7000000000000004E-2</v>
      </c>
      <c r="AX25" s="3136">
        <f t="shared" ref="AX25:AX30" si="188">SUM(AY25:AZ25)</f>
        <v>595.61</v>
      </c>
      <c r="AY25" s="3061">
        <v>595.54</v>
      </c>
      <c r="AZ25" s="3061">
        <v>7.0000000000000007E-2</v>
      </c>
      <c r="BA25" s="3136">
        <f>SUM(BB25:BC25)</f>
        <v>1593.154</v>
      </c>
      <c r="BB25" s="3136">
        <f>SUM(AS25+AV25+AY25)</f>
        <v>1592.95</v>
      </c>
      <c r="BC25" s="3136">
        <f>SUM(AT25+AW25+AZ25)</f>
        <v>0.20400000000000001</v>
      </c>
      <c r="BD25" s="3209">
        <f t="shared" ref="BD25:BD30" si="189">SUM(BE25:BF25)</f>
        <v>3198.4553817264687</v>
      </c>
      <c r="BE25" s="3209">
        <f t="shared" ref="BE25:BF30" si="190">SUM(AG25+AP25)</f>
        <v>3197.5503251721948</v>
      </c>
      <c r="BF25" s="3209">
        <f t="shared" si="190"/>
        <v>0.90505655427391929</v>
      </c>
      <c r="BG25" s="3264">
        <f t="shared" ref="BG25:BG30" si="191">SUM(AI25+BA25)</f>
        <v>3926.0220000000004</v>
      </c>
      <c r="BH25" s="3264">
        <f t="shared" ref="BH25:BH30" si="192">SUM(AJ25+BB25)</f>
        <v>3925.41</v>
      </c>
      <c r="BI25" s="3264">
        <f t="shared" ref="BI25:BI30" si="193">SUM(AK25+BC25)</f>
        <v>0.6120000000000001</v>
      </c>
      <c r="BJ25" s="3264">
        <f t="shared" ref="BJ25:BJ30" si="194">SUM(BG25-BD25)</f>
        <v>727.56661827353173</v>
      </c>
      <c r="BK25" s="3264">
        <f t="shared" ref="BK25:BK30" si="195">SUM(BH25-BE25)</f>
        <v>727.85967482780507</v>
      </c>
      <c r="BL25" s="3264">
        <f t="shared" ref="BL25:BL30" si="196">SUM(BI25-BF25)</f>
        <v>-0.29305655427391919</v>
      </c>
      <c r="BM25" s="3208">
        <f t="shared" ref="BM25:BM30" si="197">SUM(BN25:BO25)</f>
        <v>1107.2782769690521</v>
      </c>
      <c r="BN25" s="3208">
        <f t="shared" ref="BN25:BO30" si="198">SUM(AP25)</f>
        <v>1106.9649540233261</v>
      </c>
      <c r="BO25" s="3208">
        <f t="shared" si="198"/>
        <v>0.31332294572608066</v>
      </c>
      <c r="BP25" s="3136">
        <f t="shared" ref="BP25:BP30" si="199">SUM(BQ25:BR25)</f>
        <v>0</v>
      </c>
      <c r="BQ25" s="3061"/>
      <c r="BR25" s="3061"/>
      <c r="BS25" s="3136">
        <f t="shared" ref="BS25:BS30" si="200">SUM(BT25:BU25)</f>
        <v>0</v>
      </c>
      <c r="BT25" s="3061"/>
      <c r="BU25" s="3061"/>
      <c r="BV25" s="3136">
        <f t="shared" ref="BV25:BV30" si="201">SUM(BW25:BX25)</f>
        <v>0</v>
      </c>
      <c r="BW25" s="3061"/>
      <c r="BX25" s="3061"/>
      <c r="BY25" s="3136">
        <f>SUM(BZ25:CA25)</f>
        <v>0</v>
      </c>
      <c r="BZ25" s="3136">
        <f>SUM(BQ25+BT25+BW25)</f>
        <v>0</v>
      </c>
      <c r="CA25" s="3136">
        <f>SUM(BR25+BU25+BX25)</f>
        <v>0</v>
      </c>
      <c r="CB25" s="3209">
        <f t="shared" ref="CB25:CB30" si="202">SUM(CC25:CD25)</f>
        <v>4305.7336586955207</v>
      </c>
      <c r="CC25" s="3209">
        <f>SUM('ЭЭ вода'!S21)</f>
        <v>4304.5152791955206</v>
      </c>
      <c r="CD25" s="3209">
        <f>SUM('ЭЭ вода'!S22)</f>
        <v>1.2183794999999999</v>
      </c>
      <c r="CE25" s="3264">
        <f t="shared" ref="CE25:CE30" si="203">SUM(BY25+BG25)</f>
        <v>3926.0220000000004</v>
      </c>
      <c r="CF25" s="3264">
        <f t="shared" ref="CF25:CF30" si="204">SUM(BZ25+BH25)</f>
        <v>3925.41</v>
      </c>
      <c r="CG25" s="3264">
        <f t="shared" ref="CG25:CG30" si="205">SUM(CA25+BI25)</f>
        <v>0.6120000000000001</v>
      </c>
      <c r="CH25" s="3264">
        <f t="shared" ref="CH25:CH30" si="206">SUM(CE25-CB25)</f>
        <v>-379.71165869552033</v>
      </c>
      <c r="CI25" s="3264">
        <f t="shared" ref="CI25:CI30" si="207">SUM(CF25-CC25)</f>
        <v>-379.10527919552078</v>
      </c>
      <c r="CJ25" s="3264">
        <f t="shared" ref="CJ25:CJ30" si="208">SUM(CG25-CD25)</f>
        <v>-0.60637949999999985</v>
      </c>
      <c r="CK25" s="3259"/>
      <c r="CL25" s="3259"/>
      <c r="CM25" s="3259"/>
      <c r="CN25" s="3055"/>
    </row>
    <row r="26" spans="1:92" ht="18.75" customHeight="1" x14ac:dyDescent="0.3">
      <c r="A26" s="3071" t="s">
        <v>2</v>
      </c>
      <c r="B26" s="3208">
        <f t="shared" si="166"/>
        <v>898.77750000000003</v>
      </c>
      <c r="C26" s="3208">
        <f t="shared" ref="C26:D30" si="209">SUM(CC26/4)</f>
        <v>898.34312953796586</v>
      </c>
      <c r="D26" s="3208">
        <f t="shared" si="209"/>
        <v>0.43437046203419771</v>
      </c>
      <c r="E26" s="3136">
        <f t="shared" si="167"/>
        <v>196.07</v>
      </c>
      <c r="F26" s="3061">
        <v>196.07</v>
      </c>
      <c r="G26" s="3061"/>
      <c r="H26" s="3136">
        <f t="shared" si="168"/>
        <v>191.9</v>
      </c>
      <c r="I26" s="3061">
        <v>191.9</v>
      </c>
      <c r="J26" s="3061"/>
      <c r="K26" s="3136">
        <f t="shared" si="169"/>
        <v>191.9</v>
      </c>
      <c r="L26" s="3061">
        <v>191.9</v>
      </c>
      <c r="M26" s="3061"/>
      <c r="N26" s="3136">
        <f t="shared" ref="N26:N30" si="210">SUM(O26:P26)</f>
        <v>579.87</v>
      </c>
      <c r="O26" s="3136">
        <f t="shared" ref="O26:O30" si="211">SUM(F26+I26+L26)</f>
        <v>579.87</v>
      </c>
      <c r="P26" s="3136">
        <f t="shared" ref="P26:P30" si="212">SUM(G26+J26+M26)</f>
        <v>0</v>
      </c>
      <c r="Q26" s="3208">
        <f t="shared" si="170"/>
        <v>898.77750000000003</v>
      </c>
      <c r="R26" s="3208">
        <f t="shared" si="171"/>
        <v>898.34312953796586</v>
      </c>
      <c r="S26" s="3208">
        <f t="shared" si="171"/>
        <v>0.43437046203419771</v>
      </c>
      <c r="T26" s="3136">
        <f t="shared" si="172"/>
        <v>191.9</v>
      </c>
      <c r="U26" s="3061">
        <v>191.9</v>
      </c>
      <c r="V26" s="3061"/>
      <c r="W26" s="3136">
        <f t="shared" si="173"/>
        <v>191.9</v>
      </c>
      <c r="X26" s="3061">
        <v>191.9</v>
      </c>
      <c r="Y26" s="3061"/>
      <c r="Z26" s="3136">
        <f t="shared" si="174"/>
        <v>191.9</v>
      </c>
      <c r="AA26" s="3061">
        <v>191.9</v>
      </c>
      <c r="AB26" s="3061"/>
      <c r="AC26" s="3136">
        <f t="shared" ref="AC26:AC30" si="213">SUM(AD26:AE26)</f>
        <v>575.70000000000005</v>
      </c>
      <c r="AD26" s="3136">
        <f t="shared" ref="AD26:AD30" si="214">SUM(U26+X26+AA26)</f>
        <v>575.70000000000005</v>
      </c>
      <c r="AE26" s="3136">
        <f t="shared" ref="AE26:AE30" si="215">SUM(V26+Y26+AB26)</f>
        <v>0</v>
      </c>
      <c r="AF26" s="3209">
        <f t="shared" si="175"/>
        <v>1797.5550000000001</v>
      </c>
      <c r="AG26" s="3209">
        <f t="shared" si="176"/>
        <v>1796.6862590759317</v>
      </c>
      <c r="AH26" s="3209">
        <f t="shared" ref="AH26" si="216">SUM(D26+S26)</f>
        <v>0.86874092406839543</v>
      </c>
      <c r="AI26" s="3264">
        <f t="shared" si="178"/>
        <v>1155.5700000000002</v>
      </c>
      <c r="AJ26" s="3264">
        <f t="shared" si="179"/>
        <v>1155.5700000000002</v>
      </c>
      <c r="AK26" s="3264">
        <f t="shared" si="180"/>
        <v>0</v>
      </c>
      <c r="AL26" s="3264">
        <f t="shared" si="181"/>
        <v>-641.9849999999999</v>
      </c>
      <c r="AM26" s="3264">
        <f t="shared" si="182"/>
        <v>-641.11625907593157</v>
      </c>
      <c r="AN26" s="3264">
        <f t="shared" si="183"/>
        <v>-0.86874092406839543</v>
      </c>
      <c r="AO26" s="3208">
        <f t="shared" si="184"/>
        <v>898.77750000000003</v>
      </c>
      <c r="AP26" s="3208">
        <f t="shared" si="185"/>
        <v>898.34312953796586</v>
      </c>
      <c r="AQ26" s="3208">
        <f t="shared" si="185"/>
        <v>0.43437046203419771</v>
      </c>
      <c r="AR26" s="3136">
        <f t="shared" si="186"/>
        <v>191.9</v>
      </c>
      <c r="AS26" s="3061">
        <v>191.9</v>
      </c>
      <c r="AT26" s="3061"/>
      <c r="AU26" s="3136">
        <f t="shared" si="187"/>
        <v>191.9</v>
      </c>
      <c r="AV26" s="3061">
        <v>191.9</v>
      </c>
      <c r="AW26" s="3061"/>
      <c r="AX26" s="3136">
        <f t="shared" si="188"/>
        <v>191.9</v>
      </c>
      <c r="AY26" s="3061">
        <v>191.9</v>
      </c>
      <c r="AZ26" s="3061"/>
      <c r="BA26" s="3136">
        <f t="shared" ref="BA26:BA30" si="217">SUM(BB26:BC26)</f>
        <v>575.70000000000005</v>
      </c>
      <c r="BB26" s="3136">
        <f t="shared" ref="BB26:BB30" si="218">SUM(AS26+AV26+AY26)</f>
        <v>575.70000000000005</v>
      </c>
      <c r="BC26" s="3136">
        <f t="shared" ref="BC26:BC30" si="219">SUM(AT26+AW26+AZ26)</f>
        <v>0</v>
      </c>
      <c r="BD26" s="3209">
        <f t="shared" si="189"/>
        <v>2696.3325</v>
      </c>
      <c r="BE26" s="3209">
        <f t="shared" si="190"/>
        <v>2695.0293886138975</v>
      </c>
      <c r="BF26" s="3209">
        <f t="shared" si="190"/>
        <v>1.3031113861025931</v>
      </c>
      <c r="BG26" s="3264">
        <f t="shared" si="191"/>
        <v>1731.2700000000002</v>
      </c>
      <c r="BH26" s="3264">
        <f t="shared" si="192"/>
        <v>1731.2700000000002</v>
      </c>
      <c r="BI26" s="3264">
        <f t="shared" si="193"/>
        <v>0</v>
      </c>
      <c r="BJ26" s="3264">
        <f t="shared" si="194"/>
        <v>-965.06249999999977</v>
      </c>
      <c r="BK26" s="3264">
        <f t="shared" si="195"/>
        <v>-963.75938861389727</v>
      </c>
      <c r="BL26" s="3264">
        <f t="shared" si="196"/>
        <v>-1.3031113861025931</v>
      </c>
      <c r="BM26" s="3208">
        <f t="shared" si="197"/>
        <v>898.77750000000003</v>
      </c>
      <c r="BN26" s="3208">
        <f t="shared" si="198"/>
        <v>898.34312953796586</v>
      </c>
      <c r="BO26" s="3208">
        <f t="shared" si="198"/>
        <v>0.43437046203419771</v>
      </c>
      <c r="BP26" s="3136">
        <f t="shared" si="199"/>
        <v>0</v>
      </c>
      <c r="BQ26" s="3061"/>
      <c r="BR26" s="3061"/>
      <c r="BS26" s="3136">
        <f t="shared" si="200"/>
        <v>0</v>
      </c>
      <c r="BT26" s="3061"/>
      <c r="BU26" s="3061"/>
      <c r="BV26" s="3136">
        <f t="shared" si="201"/>
        <v>0</v>
      </c>
      <c r="BW26" s="3061"/>
      <c r="BX26" s="3061"/>
      <c r="BY26" s="3136">
        <f t="shared" ref="BY26:BY30" si="220">SUM(BZ26:CA26)</f>
        <v>0</v>
      </c>
      <c r="BZ26" s="3136">
        <f t="shared" ref="BZ26:BZ30" si="221">SUM(BQ26+BT26+BW26)</f>
        <v>0</v>
      </c>
      <c r="CA26" s="3136">
        <f t="shared" ref="CA26:CA30" si="222">SUM(BR26+BU26+BX26)</f>
        <v>0</v>
      </c>
      <c r="CB26" s="3209">
        <f t="shared" si="202"/>
        <v>3595.11</v>
      </c>
      <c r="CC26" s="3209">
        <f>SUM(вода!BR10)</f>
        <v>3593.3725181518635</v>
      </c>
      <c r="CD26" s="3209">
        <f>SUM(вода!BS10)</f>
        <v>1.7374818481367909</v>
      </c>
      <c r="CE26" s="3264">
        <f t="shared" si="203"/>
        <v>1731.2700000000002</v>
      </c>
      <c r="CF26" s="3264">
        <f t="shared" si="204"/>
        <v>1731.2700000000002</v>
      </c>
      <c r="CG26" s="3264">
        <f t="shared" si="205"/>
        <v>0</v>
      </c>
      <c r="CH26" s="3264">
        <f t="shared" si="206"/>
        <v>-1863.84</v>
      </c>
      <c r="CI26" s="3264">
        <f t="shared" si="207"/>
        <v>-1862.1025181518633</v>
      </c>
      <c r="CJ26" s="3264">
        <f t="shared" si="208"/>
        <v>-1.7374818481367909</v>
      </c>
      <c r="CK26" s="3259"/>
      <c r="CL26" s="3259"/>
      <c r="CM26" s="3259"/>
      <c r="CN26" s="3055"/>
    </row>
    <row r="27" spans="1:92" ht="18" customHeight="1" x14ac:dyDescent="0.3">
      <c r="A27" s="3072" t="s">
        <v>3589</v>
      </c>
      <c r="B27" s="3208">
        <f t="shared" si="166"/>
        <v>0</v>
      </c>
      <c r="C27" s="3208">
        <f t="shared" si="209"/>
        <v>0</v>
      </c>
      <c r="D27" s="3208">
        <f t="shared" si="209"/>
        <v>0</v>
      </c>
      <c r="E27" s="3136">
        <f t="shared" si="167"/>
        <v>0</v>
      </c>
      <c r="F27" s="3061"/>
      <c r="G27" s="3061"/>
      <c r="H27" s="3136">
        <f t="shared" si="168"/>
        <v>0</v>
      </c>
      <c r="I27" s="3061"/>
      <c r="J27" s="3061"/>
      <c r="K27" s="3136">
        <f t="shared" si="169"/>
        <v>0</v>
      </c>
      <c r="L27" s="3061"/>
      <c r="M27" s="3061"/>
      <c r="N27" s="3136">
        <f t="shared" si="210"/>
        <v>0</v>
      </c>
      <c r="O27" s="3136">
        <f t="shared" si="211"/>
        <v>0</v>
      </c>
      <c r="P27" s="3136">
        <f t="shared" si="212"/>
        <v>0</v>
      </c>
      <c r="Q27" s="3208">
        <f t="shared" si="170"/>
        <v>0</v>
      </c>
      <c r="R27" s="3208">
        <f t="shared" si="171"/>
        <v>0</v>
      </c>
      <c r="S27" s="3208">
        <f t="shared" si="171"/>
        <v>0</v>
      </c>
      <c r="T27" s="3136">
        <f t="shared" si="172"/>
        <v>0</v>
      </c>
      <c r="U27" s="3061"/>
      <c r="V27" s="3061"/>
      <c r="W27" s="3136">
        <f t="shared" si="173"/>
        <v>0</v>
      </c>
      <c r="X27" s="3061"/>
      <c r="Y27" s="3061"/>
      <c r="Z27" s="3136">
        <f t="shared" si="174"/>
        <v>0</v>
      </c>
      <c r="AA27" s="3061"/>
      <c r="AB27" s="3061"/>
      <c r="AC27" s="3136">
        <f t="shared" si="213"/>
        <v>0</v>
      </c>
      <c r="AD27" s="3136">
        <f t="shared" si="214"/>
        <v>0</v>
      </c>
      <c r="AE27" s="3136">
        <f t="shared" si="215"/>
        <v>0</v>
      </c>
      <c r="AF27" s="3209">
        <f t="shared" si="175"/>
        <v>0</v>
      </c>
      <c r="AG27" s="3209">
        <f t="shared" si="176"/>
        <v>0</v>
      </c>
      <c r="AH27" s="3209">
        <f t="shared" ref="AH27" si="223">SUM(D27+S27)</f>
        <v>0</v>
      </c>
      <c r="AI27" s="3264">
        <f t="shared" si="178"/>
        <v>0</v>
      </c>
      <c r="AJ27" s="3264">
        <f t="shared" si="179"/>
        <v>0</v>
      </c>
      <c r="AK27" s="3264">
        <f t="shared" si="180"/>
        <v>0</v>
      </c>
      <c r="AL27" s="3264">
        <f t="shared" si="181"/>
        <v>0</v>
      </c>
      <c r="AM27" s="3264">
        <f t="shared" si="182"/>
        <v>0</v>
      </c>
      <c r="AN27" s="3264">
        <f t="shared" si="183"/>
        <v>0</v>
      </c>
      <c r="AO27" s="3208">
        <f t="shared" si="184"/>
        <v>0</v>
      </c>
      <c r="AP27" s="3208">
        <f t="shared" si="185"/>
        <v>0</v>
      </c>
      <c r="AQ27" s="3208">
        <f t="shared" si="185"/>
        <v>0</v>
      </c>
      <c r="AR27" s="3136">
        <f t="shared" si="186"/>
        <v>0</v>
      </c>
      <c r="AS27" s="3061"/>
      <c r="AT27" s="3061"/>
      <c r="AU27" s="3136">
        <f t="shared" si="187"/>
        <v>0</v>
      </c>
      <c r="AV27" s="3061"/>
      <c r="AW27" s="3061"/>
      <c r="AX27" s="3136">
        <f t="shared" si="188"/>
        <v>0</v>
      </c>
      <c r="AY27" s="3061"/>
      <c r="AZ27" s="3061"/>
      <c r="BA27" s="3136">
        <f t="shared" si="217"/>
        <v>0</v>
      </c>
      <c r="BB27" s="3136">
        <f t="shared" si="218"/>
        <v>0</v>
      </c>
      <c r="BC27" s="3136">
        <f t="shared" si="219"/>
        <v>0</v>
      </c>
      <c r="BD27" s="3209">
        <f t="shared" si="189"/>
        <v>0</v>
      </c>
      <c r="BE27" s="3209">
        <f t="shared" si="190"/>
        <v>0</v>
      </c>
      <c r="BF27" s="3209">
        <f t="shared" si="190"/>
        <v>0</v>
      </c>
      <c r="BG27" s="3264">
        <f t="shared" si="191"/>
        <v>0</v>
      </c>
      <c r="BH27" s="3264">
        <f t="shared" si="192"/>
        <v>0</v>
      </c>
      <c r="BI27" s="3264">
        <f t="shared" si="193"/>
        <v>0</v>
      </c>
      <c r="BJ27" s="3264">
        <f t="shared" si="194"/>
        <v>0</v>
      </c>
      <c r="BK27" s="3264">
        <f t="shared" si="195"/>
        <v>0</v>
      </c>
      <c r="BL27" s="3264">
        <f t="shared" si="196"/>
        <v>0</v>
      </c>
      <c r="BM27" s="3208">
        <f t="shared" si="197"/>
        <v>0</v>
      </c>
      <c r="BN27" s="3208">
        <f t="shared" si="198"/>
        <v>0</v>
      </c>
      <c r="BO27" s="3208">
        <f t="shared" si="198"/>
        <v>0</v>
      </c>
      <c r="BP27" s="3136">
        <f t="shared" si="199"/>
        <v>0</v>
      </c>
      <c r="BQ27" s="3061"/>
      <c r="BR27" s="3061"/>
      <c r="BS27" s="3136">
        <f t="shared" si="200"/>
        <v>0</v>
      </c>
      <c r="BT27" s="3061"/>
      <c r="BU27" s="3061"/>
      <c r="BV27" s="3136">
        <f t="shared" si="201"/>
        <v>0</v>
      </c>
      <c r="BW27" s="3061"/>
      <c r="BX27" s="3061"/>
      <c r="BY27" s="3136">
        <f t="shared" si="220"/>
        <v>0</v>
      </c>
      <c r="BZ27" s="3136">
        <f t="shared" si="221"/>
        <v>0</v>
      </c>
      <c r="CA27" s="3136">
        <f t="shared" si="222"/>
        <v>0</v>
      </c>
      <c r="CB27" s="3209">
        <f t="shared" si="202"/>
        <v>0</v>
      </c>
      <c r="CC27" s="3209">
        <f>SUM(вода!BR11)</f>
        <v>0</v>
      </c>
      <c r="CD27" s="3209">
        <f>SUM(вода!BS11)</f>
        <v>0</v>
      </c>
      <c r="CE27" s="3264">
        <f t="shared" si="203"/>
        <v>0</v>
      </c>
      <c r="CF27" s="3264">
        <f t="shared" si="204"/>
        <v>0</v>
      </c>
      <c r="CG27" s="3264">
        <f t="shared" si="205"/>
        <v>0</v>
      </c>
      <c r="CH27" s="3264">
        <f t="shared" si="206"/>
        <v>0</v>
      </c>
      <c r="CI27" s="3264">
        <f t="shared" si="207"/>
        <v>0</v>
      </c>
      <c r="CJ27" s="3264">
        <f t="shared" si="208"/>
        <v>0</v>
      </c>
      <c r="CK27" s="3259"/>
      <c r="CL27" s="3259"/>
      <c r="CM27" s="3259"/>
      <c r="CN27" s="3055"/>
    </row>
    <row r="28" spans="1:92" ht="18.75" customHeight="1" x14ac:dyDescent="0.3">
      <c r="A28" s="3071" t="s">
        <v>3</v>
      </c>
      <c r="B28" s="3208">
        <f t="shared" si="166"/>
        <v>0</v>
      </c>
      <c r="C28" s="3208">
        <f t="shared" si="209"/>
        <v>0</v>
      </c>
      <c r="D28" s="3208">
        <f t="shared" si="209"/>
        <v>0</v>
      </c>
      <c r="E28" s="3136">
        <f t="shared" si="167"/>
        <v>0</v>
      </c>
      <c r="F28" s="3061"/>
      <c r="G28" s="3061"/>
      <c r="H28" s="3136">
        <f t="shared" si="168"/>
        <v>0</v>
      </c>
      <c r="I28" s="3061"/>
      <c r="J28" s="3061"/>
      <c r="K28" s="3136">
        <f t="shared" si="169"/>
        <v>0</v>
      </c>
      <c r="L28" s="3061"/>
      <c r="M28" s="3061"/>
      <c r="N28" s="3136">
        <f t="shared" si="210"/>
        <v>0</v>
      </c>
      <c r="O28" s="3136">
        <f t="shared" si="211"/>
        <v>0</v>
      </c>
      <c r="P28" s="3136">
        <f t="shared" si="212"/>
        <v>0</v>
      </c>
      <c r="Q28" s="3208">
        <f t="shared" si="170"/>
        <v>0</v>
      </c>
      <c r="R28" s="3208">
        <f t="shared" si="171"/>
        <v>0</v>
      </c>
      <c r="S28" s="3208">
        <f t="shared" si="171"/>
        <v>0</v>
      </c>
      <c r="T28" s="3136">
        <f t="shared" si="172"/>
        <v>0</v>
      </c>
      <c r="U28" s="3061"/>
      <c r="V28" s="3061"/>
      <c r="W28" s="3136">
        <f t="shared" si="173"/>
        <v>0</v>
      </c>
      <c r="X28" s="3061"/>
      <c r="Y28" s="3061"/>
      <c r="Z28" s="3136">
        <f t="shared" si="174"/>
        <v>0</v>
      </c>
      <c r="AA28" s="3061"/>
      <c r="AB28" s="3061"/>
      <c r="AC28" s="3136">
        <f t="shared" si="213"/>
        <v>0</v>
      </c>
      <c r="AD28" s="3136">
        <f t="shared" si="214"/>
        <v>0</v>
      </c>
      <c r="AE28" s="3136">
        <f t="shared" si="215"/>
        <v>0</v>
      </c>
      <c r="AF28" s="3209">
        <f t="shared" si="175"/>
        <v>0</v>
      </c>
      <c r="AG28" s="3209">
        <f t="shared" si="176"/>
        <v>0</v>
      </c>
      <c r="AH28" s="3209">
        <f t="shared" ref="AH28" si="224">SUM(D28+S28)</f>
        <v>0</v>
      </c>
      <c r="AI28" s="3264">
        <f t="shared" si="178"/>
        <v>0</v>
      </c>
      <c r="AJ28" s="3264">
        <f t="shared" si="179"/>
        <v>0</v>
      </c>
      <c r="AK28" s="3264">
        <f t="shared" si="180"/>
        <v>0</v>
      </c>
      <c r="AL28" s="3264">
        <f t="shared" si="181"/>
        <v>0</v>
      </c>
      <c r="AM28" s="3264">
        <f t="shared" si="182"/>
        <v>0</v>
      </c>
      <c r="AN28" s="3264">
        <f t="shared" si="183"/>
        <v>0</v>
      </c>
      <c r="AO28" s="3208">
        <f t="shared" si="184"/>
        <v>0</v>
      </c>
      <c r="AP28" s="3208">
        <f t="shared" si="185"/>
        <v>0</v>
      </c>
      <c r="AQ28" s="3208">
        <f t="shared" si="185"/>
        <v>0</v>
      </c>
      <c r="AR28" s="3136">
        <f t="shared" si="186"/>
        <v>0</v>
      </c>
      <c r="AS28" s="3061"/>
      <c r="AT28" s="3061"/>
      <c r="AU28" s="3136">
        <f t="shared" si="187"/>
        <v>0</v>
      </c>
      <c r="AV28" s="3061"/>
      <c r="AW28" s="3061"/>
      <c r="AX28" s="3136">
        <f t="shared" si="188"/>
        <v>0</v>
      </c>
      <c r="AY28" s="3061"/>
      <c r="AZ28" s="3061"/>
      <c r="BA28" s="3136">
        <f t="shared" si="217"/>
        <v>0</v>
      </c>
      <c r="BB28" s="3136">
        <f t="shared" si="218"/>
        <v>0</v>
      </c>
      <c r="BC28" s="3136">
        <f t="shared" si="219"/>
        <v>0</v>
      </c>
      <c r="BD28" s="3209">
        <f t="shared" si="189"/>
        <v>0</v>
      </c>
      <c r="BE28" s="3209">
        <f t="shared" si="190"/>
        <v>0</v>
      </c>
      <c r="BF28" s="3209">
        <f t="shared" si="190"/>
        <v>0</v>
      </c>
      <c r="BG28" s="3264">
        <f t="shared" si="191"/>
        <v>0</v>
      </c>
      <c r="BH28" s="3264">
        <f t="shared" si="192"/>
        <v>0</v>
      </c>
      <c r="BI28" s="3264">
        <f t="shared" si="193"/>
        <v>0</v>
      </c>
      <c r="BJ28" s="3264">
        <f t="shared" si="194"/>
        <v>0</v>
      </c>
      <c r="BK28" s="3264">
        <f t="shared" si="195"/>
        <v>0</v>
      </c>
      <c r="BL28" s="3264">
        <f t="shared" si="196"/>
        <v>0</v>
      </c>
      <c r="BM28" s="3208">
        <f t="shared" si="197"/>
        <v>0</v>
      </c>
      <c r="BN28" s="3208">
        <f t="shared" si="198"/>
        <v>0</v>
      </c>
      <c r="BO28" s="3208">
        <f t="shared" si="198"/>
        <v>0</v>
      </c>
      <c r="BP28" s="3136">
        <f t="shared" si="199"/>
        <v>0</v>
      </c>
      <c r="BQ28" s="3061"/>
      <c r="BR28" s="3061"/>
      <c r="BS28" s="3136">
        <f t="shared" si="200"/>
        <v>0</v>
      </c>
      <c r="BT28" s="3061"/>
      <c r="BU28" s="3061"/>
      <c r="BV28" s="3136">
        <f t="shared" si="201"/>
        <v>0</v>
      </c>
      <c r="BW28" s="3061"/>
      <c r="BX28" s="3061"/>
      <c r="BY28" s="3136">
        <f t="shared" si="220"/>
        <v>0</v>
      </c>
      <c r="BZ28" s="3136">
        <f t="shared" si="221"/>
        <v>0</v>
      </c>
      <c r="CA28" s="3136">
        <f t="shared" si="222"/>
        <v>0</v>
      </c>
      <c r="CB28" s="3209">
        <f t="shared" si="202"/>
        <v>0</v>
      </c>
      <c r="CC28" s="3209">
        <f>SUM(вода!BR12)</f>
        <v>0</v>
      </c>
      <c r="CD28" s="3209">
        <f>SUM(вода!BS12)</f>
        <v>0</v>
      </c>
      <c r="CE28" s="3264">
        <f t="shared" si="203"/>
        <v>0</v>
      </c>
      <c r="CF28" s="3264">
        <f t="shared" si="204"/>
        <v>0</v>
      </c>
      <c r="CG28" s="3264">
        <f t="shared" si="205"/>
        <v>0</v>
      </c>
      <c r="CH28" s="3264">
        <f t="shared" si="206"/>
        <v>0</v>
      </c>
      <c r="CI28" s="3264">
        <f t="shared" si="207"/>
        <v>0</v>
      </c>
      <c r="CJ28" s="3264">
        <f t="shared" si="208"/>
        <v>0</v>
      </c>
      <c r="CK28" s="3259"/>
      <c r="CL28" s="3259"/>
      <c r="CM28" s="3259"/>
      <c r="CN28" s="3055"/>
    </row>
    <row r="29" spans="1:92" ht="18.75" customHeight="1" x14ac:dyDescent="0.3">
      <c r="A29" s="3071" t="s">
        <v>4</v>
      </c>
      <c r="B29" s="3208">
        <f t="shared" si="166"/>
        <v>1959.4142370000002</v>
      </c>
      <c r="C29" s="3208">
        <f t="shared" si="209"/>
        <v>1958.4672710741263</v>
      </c>
      <c r="D29" s="3208">
        <f t="shared" si="209"/>
        <v>0.94696592587383976</v>
      </c>
      <c r="E29" s="3136">
        <f t="shared" si="167"/>
        <v>584.78499999999997</v>
      </c>
      <c r="F29" s="3061">
        <v>583.53</v>
      </c>
      <c r="G29" s="3061">
        <v>1.2549999999999999</v>
      </c>
      <c r="H29" s="3136">
        <f t="shared" si="168"/>
        <v>473.89</v>
      </c>
      <c r="I29" s="3061">
        <v>472.89</v>
      </c>
      <c r="J29" s="3061">
        <v>1</v>
      </c>
      <c r="K29" s="3136">
        <f t="shared" si="169"/>
        <v>598.53</v>
      </c>
      <c r="L29" s="3061">
        <v>597.4</v>
      </c>
      <c r="M29" s="3061">
        <v>1.1299999999999999</v>
      </c>
      <c r="N29" s="3136">
        <f t="shared" si="210"/>
        <v>1657.2050000000002</v>
      </c>
      <c r="O29" s="3136">
        <f t="shared" si="211"/>
        <v>1653.8200000000002</v>
      </c>
      <c r="P29" s="3136">
        <f t="shared" si="212"/>
        <v>3.3849999999999998</v>
      </c>
      <c r="Q29" s="3208">
        <f t="shared" si="170"/>
        <v>1959.4142370000002</v>
      </c>
      <c r="R29" s="3208">
        <f t="shared" si="171"/>
        <v>1958.4672710741263</v>
      </c>
      <c r="S29" s="3208">
        <f t="shared" si="171"/>
        <v>0.94696592587383976</v>
      </c>
      <c r="T29" s="3136">
        <f t="shared" si="172"/>
        <v>562.79</v>
      </c>
      <c r="U29" s="3061">
        <v>561.78</v>
      </c>
      <c r="V29" s="3061">
        <v>1.01</v>
      </c>
      <c r="W29" s="3136">
        <f t="shared" si="173"/>
        <v>709.03</v>
      </c>
      <c r="X29" s="3061">
        <v>707.61</v>
      </c>
      <c r="Y29" s="3061">
        <v>1.42</v>
      </c>
      <c r="Z29" s="3136">
        <f t="shared" si="174"/>
        <v>568.84</v>
      </c>
      <c r="AA29" s="3061">
        <v>567.08000000000004</v>
      </c>
      <c r="AB29" s="3061">
        <v>1.76</v>
      </c>
      <c r="AC29" s="3136">
        <f t="shared" si="213"/>
        <v>1840.6599999999999</v>
      </c>
      <c r="AD29" s="3136">
        <f t="shared" si="214"/>
        <v>1836.4699999999998</v>
      </c>
      <c r="AE29" s="3136">
        <f t="shared" si="215"/>
        <v>4.1899999999999995</v>
      </c>
      <c r="AF29" s="3209">
        <f t="shared" si="175"/>
        <v>3918.8284740000004</v>
      </c>
      <c r="AG29" s="3209">
        <f t="shared" si="176"/>
        <v>3916.9345421482526</v>
      </c>
      <c r="AH29" s="3209">
        <f t="shared" ref="AH29" si="225">SUM(D29+S29)</f>
        <v>1.8939318517476795</v>
      </c>
      <c r="AI29" s="3264">
        <f t="shared" si="178"/>
        <v>3497.8649999999998</v>
      </c>
      <c r="AJ29" s="3264">
        <f t="shared" si="179"/>
        <v>3490.29</v>
      </c>
      <c r="AK29" s="3264">
        <f t="shared" si="180"/>
        <v>7.5749999999999993</v>
      </c>
      <c r="AL29" s="3264">
        <f t="shared" si="181"/>
        <v>-420.96347400000059</v>
      </c>
      <c r="AM29" s="3264">
        <f t="shared" si="182"/>
        <v>-426.64454214825264</v>
      </c>
      <c r="AN29" s="3264">
        <f t="shared" si="183"/>
        <v>5.6810681482523195</v>
      </c>
      <c r="AO29" s="3208">
        <f t="shared" si="184"/>
        <v>1959.4142370000002</v>
      </c>
      <c r="AP29" s="3208">
        <f t="shared" si="185"/>
        <v>1958.4672710741263</v>
      </c>
      <c r="AQ29" s="3208">
        <f t="shared" si="185"/>
        <v>0.94696592587383976</v>
      </c>
      <c r="AR29" s="3136">
        <f t="shared" si="186"/>
        <v>610.82399999999996</v>
      </c>
      <c r="AS29" s="3061">
        <v>609.66999999999996</v>
      </c>
      <c r="AT29" s="3061">
        <v>1.1539999999999999</v>
      </c>
      <c r="AU29" s="3136">
        <f t="shared" si="187"/>
        <v>522.31399999999996</v>
      </c>
      <c r="AV29" s="3061">
        <v>521.30999999999995</v>
      </c>
      <c r="AW29" s="3061">
        <v>1.004</v>
      </c>
      <c r="AX29" s="3136">
        <f t="shared" si="188"/>
        <v>689.45999999999992</v>
      </c>
      <c r="AY29" s="3061">
        <v>687.67</v>
      </c>
      <c r="AZ29" s="3061">
        <v>1.79</v>
      </c>
      <c r="BA29" s="3136">
        <f t="shared" si="217"/>
        <v>1822.5980000000002</v>
      </c>
      <c r="BB29" s="3136">
        <f t="shared" si="218"/>
        <v>1818.65</v>
      </c>
      <c r="BC29" s="3136">
        <f t="shared" si="219"/>
        <v>3.948</v>
      </c>
      <c r="BD29" s="3209">
        <f t="shared" si="189"/>
        <v>5878.2427110000008</v>
      </c>
      <c r="BE29" s="3209">
        <f t="shared" si="190"/>
        <v>5875.4018132223791</v>
      </c>
      <c r="BF29" s="3209">
        <f t="shared" si="190"/>
        <v>2.8408977776215192</v>
      </c>
      <c r="BG29" s="3264">
        <f t="shared" si="191"/>
        <v>5320.4629999999997</v>
      </c>
      <c r="BH29" s="3264">
        <f t="shared" si="192"/>
        <v>5308.9400000000005</v>
      </c>
      <c r="BI29" s="3264">
        <f t="shared" si="193"/>
        <v>11.523</v>
      </c>
      <c r="BJ29" s="3264">
        <f t="shared" si="194"/>
        <v>-557.77971100000104</v>
      </c>
      <c r="BK29" s="3264">
        <f t="shared" si="195"/>
        <v>-566.46181322237862</v>
      </c>
      <c r="BL29" s="3264">
        <f t="shared" si="196"/>
        <v>8.6821022223784805</v>
      </c>
      <c r="BM29" s="3208">
        <f t="shared" si="197"/>
        <v>1959.4142370000002</v>
      </c>
      <c r="BN29" s="3208">
        <f t="shared" si="198"/>
        <v>1958.4672710741263</v>
      </c>
      <c r="BO29" s="3208">
        <f t="shared" si="198"/>
        <v>0.94696592587383976</v>
      </c>
      <c r="BP29" s="3136">
        <f t="shared" si="199"/>
        <v>0</v>
      </c>
      <c r="BQ29" s="3061"/>
      <c r="BR29" s="3061"/>
      <c r="BS29" s="3136">
        <f t="shared" si="200"/>
        <v>0</v>
      </c>
      <c r="BT29" s="3061"/>
      <c r="BU29" s="3061"/>
      <c r="BV29" s="3136">
        <f t="shared" si="201"/>
        <v>0</v>
      </c>
      <c r="BW29" s="3061"/>
      <c r="BX29" s="3061"/>
      <c r="BY29" s="3136">
        <f t="shared" si="220"/>
        <v>0</v>
      </c>
      <c r="BZ29" s="3136">
        <f t="shared" si="221"/>
        <v>0</v>
      </c>
      <c r="CA29" s="3136">
        <f t="shared" si="222"/>
        <v>0</v>
      </c>
      <c r="CB29" s="3209">
        <f t="shared" si="202"/>
        <v>7837.6569480000007</v>
      </c>
      <c r="CC29" s="3209">
        <f>SUM(вода!BR13)</f>
        <v>7833.8690842965052</v>
      </c>
      <c r="CD29" s="3209">
        <f>SUM(вода!BS13)</f>
        <v>3.7878637034953591</v>
      </c>
      <c r="CE29" s="3264">
        <f t="shared" si="203"/>
        <v>5320.4629999999997</v>
      </c>
      <c r="CF29" s="3264">
        <f t="shared" si="204"/>
        <v>5308.9400000000005</v>
      </c>
      <c r="CG29" s="3264">
        <f t="shared" si="205"/>
        <v>11.523</v>
      </c>
      <c r="CH29" s="3264">
        <f t="shared" si="206"/>
        <v>-2517.193948000001</v>
      </c>
      <c r="CI29" s="3264">
        <f t="shared" si="207"/>
        <v>-2524.9290842965047</v>
      </c>
      <c r="CJ29" s="3264">
        <f t="shared" si="208"/>
        <v>7.7351362965046402</v>
      </c>
      <c r="CK29" s="3259"/>
      <c r="CL29" s="3259"/>
      <c r="CM29" s="3259"/>
      <c r="CN29" s="3055"/>
    </row>
    <row r="30" spans="1:92" ht="18.75" customHeight="1" x14ac:dyDescent="0.3">
      <c r="A30" s="3071" t="s">
        <v>5</v>
      </c>
      <c r="B30" s="3208">
        <f t="shared" si="166"/>
        <v>589.78495159301565</v>
      </c>
      <c r="C30" s="3208">
        <f t="shared" si="209"/>
        <v>589.49991423735833</v>
      </c>
      <c r="D30" s="3208">
        <f t="shared" si="209"/>
        <v>0.28503735565729577</v>
      </c>
      <c r="E30" s="3136">
        <f t="shared" si="167"/>
        <v>176.57899999999998</v>
      </c>
      <c r="F30" s="3061">
        <v>176.2</v>
      </c>
      <c r="G30" s="3061">
        <v>0.379</v>
      </c>
      <c r="H30" s="3136">
        <f t="shared" si="168"/>
        <v>141.79000000000002</v>
      </c>
      <c r="I30" s="3061">
        <v>141.49</v>
      </c>
      <c r="J30" s="3061">
        <v>0.3</v>
      </c>
      <c r="K30" s="3136">
        <f t="shared" si="169"/>
        <v>180.72</v>
      </c>
      <c r="L30" s="3061">
        <v>180.38</v>
      </c>
      <c r="M30" s="3061">
        <v>0.34</v>
      </c>
      <c r="N30" s="3136">
        <f t="shared" si="210"/>
        <v>499.089</v>
      </c>
      <c r="O30" s="3136">
        <f t="shared" si="211"/>
        <v>498.07</v>
      </c>
      <c r="P30" s="3136">
        <f t="shared" si="212"/>
        <v>1.0190000000000001</v>
      </c>
      <c r="Q30" s="3208">
        <f t="shared" si="170"/>
        <v>589.78495159301565</v>
      </c>
      <c r="R30" s="3208">
        <f t="shared" si="171"/>
        <v>589.49991423735833</v>
      </c>
      <c r="S30" s="3208">
        <f t="shared" si="171"/>
        <v>0.28503735565729577</v>
      </c>
      <c r="T30" s="3136">
        <f t="shared" si="172"/>
        <v>180.57000000000002</v>
      </c>
      <c r="U30" s="3061">
        <v>180.27</v>
      </c>
      <c r="V30" s="3061">
        <v>0.3</v>
      </c>
      <c r="W30" s="3136">
        <f t="shared" si="173"/>
        <v>213.32</v>
      </c>
      <c r="X30" s="3061">
        <v>212.89</v>
      </c>
      <c r="Y30" s="3061">
        <v>0.43</v>
      </c>
      <c r="Z30" s="3136">
        <f t="shared" si="174"/>
        <v>171.77</v>
      </c>
      <c r="AA30" s="3061">
        <v>171.24</v>
      </c>
      <c r="AB30" s="3061">
        <v>0.53</v>
      </c>
      <c r="AC30" s="3136">
        <f t="shared" si="213"/>
        <v>565.66</v>
      </c>
      <c r="AD30" s="3136">
        <f t="shared" si="214"/>
        <v>564.4</v>
      </c>
      <c r="AE30" s="3136">
        <f t="shared" si="215"/>
        <v>1.26</v>
      </c>
      <c r="AF30" s="3209">
        <f t="shared" si="175"/>
        <v>1179.5699031860313</v>
      </c>
      <c r="AG30" s="3209">
        <f t="shared" si="176"/>
        <v>1178.9998284747167</v>
      </c>
      <c r="AH30" s="3209">
        <f t="shared" ref="AH30" si="226">SUM(D30+S30)</f>
        <v>0.57007471131459153</v>
      </c>
      <c r="AI30" s="3264">
        <f t="shared" si="178"/>
        <v>1064.749</v>
      </c>
      <c r="AJ30" s="3264">
        <f t="shared" si="179"/>
        <v>1062.47</v>
      </c>
      <c r="AK30" s="3264">
        <f t="shared" si="180"/>
        <v>2.2789999999999999</v>
      </c>
      <c r="AL30" s="3264">
        <f t="shared" si="181"/>
        <v>-114.82090318603127</v>
      </c>
      <c r="AM30" s="3264">
        <f t="shared" si="182"/>
        <v>-116.52982847471662</v>
      </c>
      <c r="AN30" s="3264">
        <f t="shared" si="183"/>
        <v>1.7089252886854083</v>
      </c>
      <c r="AO30" s="3208">
        <f t="shared" si="184"/>
        <v>589.78495159301565</v>
      </c>
      <c r="AP30" s="3208">
        <f t="shared" si="185"/>
        <v>589.49991423735833</v>
      </c>
      <c r="AQ30" s="3208">
        <f t="shared" si="185"/>
        <v>0.28503735565729577</v>
      </c>
      <c r="AR30" s="3136">
        <f t="shared" si="186"/>
        <v>183.75899999999999</v>
      </c>
      <c r="AS30" s="3061">
        <v>183.41</v>
      </c>
      <c r="AT30" s="3061">
        <v>0.34899999999999998</v>
      </c>
      <c r="AU30" s="3136">
        <f t="shared" si="187"/>
        <v>157.083</v>
      </c>
      <c r="AV30" s="3061">
        <v>156.78</v>
      </c>
      <c r="AW30" s="3061">
        <v>0.30299999999999999</v>
      </c>
      <c r="AX30" s="3136">
        <f t="shared" si="188"/>
        <v>208.16</v>
      </c>
      <c r="AY30" s="3061">
        <v>207.62</v>
      </c>
      <c r="AZ30" s="3061">
        <v>0.54</v>
      </c>
      <c r="BA30" s="3136">
        <f t="shared" si="217"/>
        <v>549.00199999999995</v>
      </c>
      <c r="BB30" s="3136">
        <f t="shared" si="218"/>
        <v>547.80999999999995</v>
      </c>
      <c r="BC30" s="3136">
        <f t="shared" si="219"/>
        <v>1.1919999999999999</v>
      </c>
      <c r="BD30" s="3209">
        <f t="shared" si="189"/>
        <v>1769.3548547790469</v>
      </c>
      <c r="BE30" s="3209">
        <f t="shared" si="190"/>
        <v>1768.499742712075</v>
      </c>
      <c r="BF30" s="3209">
        <f t="shared" si="190"/>
        <v>0.85511206697188724</v>
      </c>
      <c r="BG30" s="3264">
        <f t="shared" si="191"/>
        <v>1613.751</v>
      </c>
      <c r="BH30" s="3264">
        <f t="shared" si="192"/>
        <v>1610.28</v>
      </c>
      <c r="BI30" s="3264">
        <f t="shared" si="193"/>
        <v>3.4710000000000001</v>
      </c>
      <c r="BJ30" s="3264">
        <f t="shared" si="194"/>
        <v>-155.60385477904697</v>
      </c>
      <c r="BK30" s="3264">
        <f t="shared" si="195"/>
        <v>-158.219742712075</v>
      </c>
      <c r="BL30" s="3264">
        <f t="shared" si="196"/>
        <v>2.6158879330281128</v>
      </c>
      <c r="BM30" s="3208">
        <f t="shared" si="197"/>
        <v>589.78495159301565</v>
      </c>
      <c r="BN30" s="3208">
        <f t="shared" si="198"/>
        <v>589.49991423735833</v>
      </c>
      <c r="BO30" s="3208">
        <f t="shared" si="198"/>
        <v>0.28503735565729577</v>
      </c>
      <c r="BP30" s="3136">
        <f t="shared" si="199"/>
        <v>0</v>
      </c>
      <c r="BQ30" s="3061"/>
      <c r="BR30" s="3061"/>
      <c r="BS30" s="3136">
        <f t="shared" si="200"/>
        <v>0</v>
      </c>
      <c r="BT30" s="3061"/>
      <c r="BU30" s="3061"/>
      <c r="BV30" s="3136">
        <f t="shared" si="201"/>
        <v>0</v>
      </c>
      <c r="BW30" s="3061"/>
      <c r="BX30" s="3061"/>
      <c r="BY30" s="3136">
        <f t="shared" si="220"/>
        <v>0</v>
      </c>
      <c r="BZ30" s="3136">
        <f t="shared" si="221"/>
        <v>0</v>
      </c>
      <c r="CA30" s="3136">
        <f t="shared" si="222"/>
        <v>0</v>
      </c>
      <c r="CB30" s="3209">
        <f t="shared" si="202"/>
        <v>2359.1398063720626</v>
      </c>
      <c r="CC30" s="3209">
        <f>SUM(вода!BR14)</f>
        <v>2357.9996569494333</v>
      </c>
      <c r="CD30" s="3209">
        <f>SUM(вода!BS14)</f>
        <v>1.1401494226291831</v>
      </c>
      <c r="CE30" s="3264">
        <f t="shared" si="203"/>
        <v>1613.751</v>
      </c>
      <c r="CF30" s="3264">
        <f t="shared" si="204"/>
        <v>1610.28</v>
      </c>
      <c r="CG30" s="3264">
        <f t="shared" si="205"/>
        <v>3.4710000000000001</v>
      </c>
      <c r="CH30" s="3264">
        <f t="shared" si="206"/>
        <v>-745.38880637206262</v>
      </c>
      <c r="CI30" s="3264">
        <f t="shared" si="207"/>
        <v>-747.71965694943333</v>
      </c>
      <c r="CJ30" s="3264">
        <f t="shared" si="208"/>
        <v>2.3308505773708168</v>
      </c>
      <c r="CK30" s="3259"/>
      <c r="CL30" s="3259"/>
      <c r="CM30" s="3259"/>
      <c r="CN30" s="3055"/>
    </row>
    <row r="31" spans="1:92" ht="18.75" customHeight="1" x14ac:dyDescent="0.2">
      <c r="A31" s="3073" t="s">
        <v>318</v>
      </c>
      <c r="B31" s="3064">
        <f t="shared" ref="B31:D31" si="227">SUM(B30/B29)</f>
        <v>0.30100064624212264</v>
      </c>
      <c r="C31" s="3064">
        <f t="shared" si="227"/>
        <v>0.30100064624212258</v>
      </c>
      <c r="D31" s="3064">
        <f t="shared" si="227"/>
        <v>0.30100064624212264</v>
      </c>
      <c r="E31" s="3064">
        <f t="shared" ref="E31:P31" si="228">SUM(E30/E29)</f>
        <v>0.30195541951315441</v>
      </c>
      <c r="F31" s="3064">
        <f t="shared" si="228"/>
        <v>0.30195534077082581</v>
      </c>
      <c r="G31" s="3064">
        <f t="shared" si="228"/>
        <v>0.30199203187251</v>
      </c>
      <c r="H31" s="3064">
        <f t="shared" si="228"/>
        <v>0.29920445673046492</v>
      </c>
      <c r="I31" s="3064">
        <f t="shared" si="228"/>
        <v>0.29920277442957138</v>
      </c>
      <c r="J31" s="3064">
        <f t="shared" si="228"/>
        <v>0.3</v>
      </c>
      <c r="K31" s="3064">
        <f t="shared" si="228"/>
        <v>0.30193975239336374</v>
      </c>
      <c r="L31" s="3064">
        <f t="shared" si="228"/>
        <v>0.30194174757281556</v>
      </c>
      <c r="M31" s="3064">
        <f t="shared" si="228"/>
        <v>0.30088495575221241</v>
      </c>
      <c r="N31" s="3064">
        <f t="shared" si="228"/>
        <v>0.30116310293536402</v>
      </c>
      <c r="O31" s="3064">
        <f t="shared" si="228"/>
        <v>0.3011633672346446</v>
      </c>
      <c r="P31" s="3064">
        <f t="shared" si="228"/>
        <v>0.3010339734121123</v>
      </c>
      <c r="Q31" s="3064">
        <f t="shared" ref="Q31:AE31" si="229">SUM(Q30/Q29)</f>
        <v>0.30100064624212264</v>
      </c>
      <c r="R31" s="3064">
        <f t="shared" si="229"/>
        <v>0.30100064624212258</v>
      </c>
      <c r="S31" s="3064">
        <f t="shared" si="229"/>
        <v>0.30100064624212264</v>
      </c>
      <c r="T31" s="3064">
        <f t="shared" si="229"/>
        <v>0.3208479184065105</v>
      </c>
      <c r="U31" s="3064">
        <f t="shared" si="229"/>
        <v>0.32089074014738866</v>
      </c>
      <c r="V31" s="3064">
        <f t="shared" si="229"/>
        <v>0.29702970297029702</v>
      </c>
      <c r="W31" s="3064">
        <f t="shared" si="229"/>
        <v>0.30086174068798216</v>
      </c>
      <c r="X31" s="3064">
        <f t="shared" si="229"/>
        <v>0.30085781715916959</v>
      </c>
      <c r="Y31" s="3064">
        <f t="shared" si="229"/>
        <v>0.30281690140845069</v>
      </c>
      <c r="Z31" s="3064">
        <f t="shared" si="229"/>
        <v>0.30196540327684412</v>
      </c>
      <c r="AA31" s="3064">
        <f t="shared" si="229"/>
        <v>0.30196797629964028</v>
      </c>
      <c r="AB31" s="3064">
        <f t="shared" si="229"/>
        <v>0.30113636363636365</v>
      </c>
      <c r="AC31" s="3064">
        <f t="shared" si="229"/>
        <v>0.30731368096226352</v>
      </c>
      <c r="AD31" s="3064">
        <f t="shared" si="229"/>
        <v>0.30732873392976745</v>
      </c>
      <c r="AE31" s="3064">
        <f t="shared" si="229"/>
        <v>0.30071599045346065</v>
      </c>
      <c r="AF31" s="3065">
        <f t="shared" ref="AF31:AH31" si="230">SUM(AF30/AF29)</f>
        <v>0.30100064624212264</v>
      </c>
      <c r="AG31" s="3065">
        <f t="shared" si="230"/>
        <v>0.30100064624212258</v>
      </c>
      <c r="AH31" s="3065">
        <f t="shared" si="230"/>
        <v>0.30100064624212264</v>
      </c>
      <c r="AI31" s="3065">
        <f t="shared" ref="AI31:AK31" si="231">SUM(AI30/AI29)</f>
        <v>0.30439968380712235</v>
      </c>
      <c r="AJ31" s="3065">
        <f t="shared" si="231"/>
        <v>0.30440737016121872</v>
      </c>
      <c r="AK31" s="3065">
        <f t="shared" si="231"/>
        <v>0.30085808580858087</v>
      </c>
      <c r="AL31" s="3194">
        <f t="shared" ref="AL31" si="232">SUM(AI31-AF31)</f>
        <v>3.3990375649997073E-3</v>
      </c>
      <c r="AM31" s="3194">
        <f t="shared" ref="AM31" si="233">SUM(AJ31-AG31)</f>
        <v>3.4067239190961329E-3</v>
      </c>
      <c r="AN31" s="3194">
        <f t="shared" ref="AN31" si="234">SUM(AK31-AH31)</f>
        <v>-1.4256043354177184E-4</v>
      </c>
      <c r="AO31" s="3064">
        <f t="shared" ref="AO31:BC31" si="235">SUM(AO30/AO29)</f>
        <v>0.30100064624212264</v>
      </c>
      <c r="AP31" s="3064">
        <f t="shared" si="235"/>
        <v>0.30100064624212258</v>
      </c>
      <c r="AQ31" s="3064">
        <f t="shared" si="235"/>
        <v>0.30100064624212264</v>
      </c>
      <c r="AR31" s="3064">
        <f t="shared" si="235"/>
        <v>0.30083788456249261</v>
      </c>
      <c r="AS31" s="3064">
        <f t="shared" si="235"/>
        <v>0.30083487788475732</v>
      </c>
      <c r="AT31" s="3064">
        <f t="shared" si="235"/>
        <v>0.3024263431542461</v>
      </c>
      <c r="AU31" s="3064">
        <f t="shared" si="235"/>
        <v>0.3007443798175044</v>
      </c>
      <c r="AV31" s="3064">
        <f t="shared" si="235"/>
        <v>0.3007423605915866</v>
      </c>
      <c r="AW31" s="3064">
        <f t="shared" si="235"/>
        <v>0.30179282868525897</v>
      </c>
      <c r="AX31" s="3064">
        <f t="shared" si="235"/>
        <v>0.30191744263626608</v>
      </c>
      <c r="AY31" s="3064">
        <f t="shared" si="235"/>
        <v>0.30191807116785668</v>
      </c>
      <c r="AZ31" s="3064">
        <f t="shared" si="235"/>
        <v>0.3016759776536313</v>
      </c>
      <c r="BA31" s="3064">
        <f t="shared" si="235"/>
        <v>0.30121946803409194</v>
      </c>
      <c r="BB31" s="3064">
        <f t="shared" si="235"/>
        <v>0.30121793638138172</v>
      </c>
      <c r="BC31" s="3064">
        <f t="shared" si="235"/>
        <v>0.30192502532928062</v>
      </c>
      <c r="BD31" s="3065">
        <f t="shared" ref="BD31:BF31" si="236">SUM(BD30/BD29)</f>
        <v>0.30100064624212258</v>
      </c>
      <c r="BE31" s="3065">
        <f t="shared" si="236"/>
        <v>0.30100064624212258</v>
      </c>
      <c r="BF31" s="3065">
        <f t="shared" si="236"/>
        <v>0.30100064624212264</v>
      </c>
      <c r="BG31" s="3065">
        <f t="shared" ref="BG31:BI31" si="237">SUM(BG30/BG29)</f>
        <v>0.30331025702086456</v>
      </c>
      <c r="BH31" s="3065">
        <f t="shared" si="237"/>
        <v>0.3033147860024788</v>
      </c>
      <c r="BI31" s="3065">
        <f t="shared" si="237"/>
        <v>0.30122363967716742</v>
      </c>
      <c r="BJ31" s="3194">
        <f t="shared" ref="BJ31" si="238">SUM(BG31-BD31)</f>
        <v>2.3096107787419773E-3</v>
      </c>
      <c r="BK31" s="3194">
        <f t="shared" ref="BK31" si="239">SUM(BH31-BE31)</f>
        <v>2.3141397603562153E-3</v>
      </c>
      <c r="BL31" s="3194">
        <f t="shared" ref="BL31" si="240">SUM(BI31-BF31)</f>
        <v>2.2299343504478264E-4</v>
      </c>
      <c r="BM31" s="3064">
        <f t="shared" ref="BM31:CA31" si="241">SUM(BM30/BM29)</f>
        <v>0.30100064624212264</v>
      </c>
      <c r="BN31" s="3064">
        <f t="shared" si="241"/>
        <v>0.30100064624212258</v>
      </c>
      <c r="BO31" s="3064">
        <f t="shared" si="241"/>
        <v>0.30100064624212264</v>
      </c>
      <c r="BP31" s="3064" t="e">
        <f t="shared" si="241"/>
        <v>#DIV/0!</v>
      </c>
      <c r="BQ31" s="3064" t="e">
        <f t="shared" si="241"/>
        <v>#DIV/0!</v>
      </c>
      <c r="BR31" s="3064" t="e">
        <f t="shared" si="241"/>
        <v>#DIV/0!</v>
      </c>
      <c r="BS31" s="3064" t="e">
        <f t="shared" si="241"/>
        <v>#DIV/0!</v>
      </c>
      <c r="BT31" s="3064" t="e">
        <f t="shared" si="241"/>
        <v>#DIV/0!</v>
      </c>
      <c r="BU31" s="3064" t="e">
        <f t="shared" si="241"/>
        <v>#DIV/0!</v>
      </c>
      <c r="BV31" s="3064" t="e">
        <f t="shared" si="241"/>
        <v>#DIV/0!</v>
      </c>
      <c r="BW31" s="3064" t="e">
        <f t="shared" si="241"/>
        <v>#DIV/0!</v>
      </c>
      <c r="BX31" s="3064" t="e">
        <f t="shared" si="241"/>
        <v>#DIV/0!</v>
      </c>
      <c r="BY31" s="3064" t="e">
        <f t="shared" si="241"/>
        <v>#DIV/0!</v>
      </c>
      <c r="BZ31" s="3064" t="e">
        <f t="shared" si="241"/>
        <v>#DIV/0!</v>
      </c>
      <c r="CA31" s="3064" t="e">
        <f t="shared" si="241"/>
        <v>#DIV/0!</v>
      </c>
      <c r="CB31" s="3065">
        <f t="shared" ref="CB31:CD31" si="242">SUM(CB30/CB29)</f>
        <v>0.30100064624212264</v>
      </c>
      <c r="CC31" s="3065">
        <f t="shared" si="242"/>
        <v>0.30100064624212258</v>
      </c>
      <c r="CD31" s="3065">
        <f t="shared" si="242"/>
        <v>0.30100064624212264</v>
      </c>
      <c r="CE31" s="3065">
        <f t="shared" ref="CE31:CG31" si="243">SUM(CE30/CE29)</f>
        <v>0.30331025702086456</v>
      </c>
      <c r="CF31" s="3065">
        <f t="shared" si="243"/>
        <v>0.3033147860024788</v>
      </c>
      <c r="CG31" s="3065">
        <f t="shared" si="243"/>
        <v>0.30122363967716742</v>
      </c>
      <c r="CH31" s="3194">
        <f t="shared" ref="CH31" si="244">SUM(CE31-CB31)</f>
        <v>2.3096107787419218E-3</v>
      </c>
      <c r="CI31" s="3194">
        <f t="shared" ref="CI31" si="245">SUM(CF31-CC31)</f>
        <v>2.3141397603562153E-3</v>
      </c>
      <c r="CJ31" s="3194">
        <f t="shared" ref="CJ31" si="246">SUM(CG31-CD31)</f>
        <v>2.2299343504478264E-4</v>
      </c>
      <c r="CK31" s="3259"/>
      <c r="CL31" s="3259"/>
      <c r="CM31" s="3259"/>
      <c r="CN31" s="3055"/>
    </row>
    <row r="32" spans="1:92" ht="18.75" customHeight="1" x14ac:dyDescent="0.3">
      <c r="A32" s="3074" t="s">
        <v>3590</v>
      </c>
      <c r="B32" s="3207">
        <f>SUM(C32:D32)</f>
        <v>384.84278243419431</v>
      </c>
      <c r="C32" s="3207">
        <f t="shared" ref="C32:G32" si="247">SUM(C33:C41)+C45</f>
        <v>384.65679164424188</v>
      </c>
      <c r="D32" s="3207">
        <f t="shared" si="247"/>
        <v>0.18599078995242668</v>
      </c>
      <c r="E32" s="3156">
        <f t="shared" si="167"/>
        <v>54.75</v>
      </c>
      <c r="F32" s="3057">
        <f>SUM(F33:F41)+F45</f>
        <v>54.75</v>
      </c>
      <c r="G32" s="3057">
        <f t="shared" si="247"/>
        <v>0</v>
      </c>
      <c r="H32" s="3156">
        <f t="shared" si="168"/>
        <v>55.58</v>
      </c>
      <c r="I32" s="3057">
        <f t="shared" ref="I32:J32" si="248">SUM(I33:I41)+I45</f>
        <v>55.58</v>
      </c>
      <c r="J32" s="3057">
        <f t="shared" si="248"/>
        <v>0</v>
      </c>
      <c r="K32" s="3156">
        <f t="shared" si="169"/>
        <v>62.74</v>
      </c>
      <c r="L32" s="3057">
        <f t="shared" ref="L32:M32" si="249">SUM(L33:L41)+L45</f>
        <v>62.74</v>
      </c>
      <c r="M32" s="3057">
        <f t="shared" si="249"/>
        <v>0</v>
      </c>
      <c r="N32" s="3156">
        <f>SUM(O32:P32)</f>
        <v>173.07</v>
      </c>
      <c r="O32" s="3057">
        <f t="shared" ref="O32:P32" si="250">SUM(O33:O41)+O45</f>
        <v>173.07</v>
      </c>
      <c r="P32" s="3057">
        <f t="shared" si="250"/>
        <v>0</v>
      </c>
      <c r="Q32" s="3207">
        <f>SUM(R32:S32)</f>
        <v>384.84278243419431</v>
      </c>
      <c r="R32" s="3207">
        <f t="shared" ref="R32:S32" si="251">SUM(R33:R41)+R45</f>
        <v>384.65679164424188</v>
      </c>
      <c r="S32" s="3207">
        <f t="shared" si="251"/>
        <v>0.18599078995242668</v>
      </c>
      <c r="T32" s="3156">
        <f t="shared" ref="T32:T95" si="252">SUM(U32:V32)</f>
        <v>55.18</v>
      </c>
      <c r="U32" s="3057">
        <f t="shared" ref="U32:V32" si="253">SUM(U33:U41)+U45</f>
        <v>55.18</v>
      </c>
      <c r="V32" s="3057">
        <f t="shared" si="253"/>
        <v>0</v>
      </c>
      <c r="W32" s="3156">
        <f t="shared" ref="W32:W95" si="254">SUM(X32:Y32)</f>
        <v>55.18</v>
      </c>
      <c r="X32" s="3057">
        <f t="shared" ref="X32:Y32" si="255">SUM(X33:X41)+X45</f>
        <v>55.18</v>
      </c>
      <c r="Y32" s="3057">
        <f t="shared" si="255"/>
        <v>0</v>
      </c>
      <c r="Z32" s="3156">
        <f t="shared" ref="Z32:Z95" si="256">SUM(AA32:AB32)</f>
        <v>62.74</v>
      </c>
      <c r="AA32" s="3057">
        <f t="shared" ref="AA32:AB32" si="257">SUM(AA33:AA41)+AA45</f>
        <v>62.74</v>
      </c>
      <c r="AB32" s="3057">
        <f t="shared" si="257"/>
        <v>0</v>
      </c>
      <c r="AC32" s="3156">
        <f>SUM(AD32:AE32)</f>
        <v>173.1</v>
      </c>
      <c r="AD32" s="3057">
        <f t="shared" ref="AD32:AE32" si="258">SUM(AD33:AD41)+AD45</f>
        <v>173.1</v>
      </c>
      <c r="AE32" s="3057">
        <f t="shared" si="258"/>
        <v>0</v>
      </c>
      <c r="AF32" s="3206">
        <f>SUM(AG32:AH32)</f>
        <v>769.68556486838861</v>
      </c>
      <c r="AG32" s="3206">
        <f t="shared" ref="AG32:AH32" si="259">SUM(AG33:AG41)+AG45</f>
        <v>769.31358328848376</v>
      </c>
      <c r="AH32" s="3206">
        <f t="shared" si="259"/>
        <v>0.37198157990485337</v>
      </c>
      <c r="AI32" s="3193">
        <f t="shared" ref="AI32:AI47" si="260">SUM(AC32+N32)</f>
        <v>346.16999999999996</v>
      </c>
      <c r="AJ32" s="3193">
        <f t="shared" ref="AJ32:AJ47" si="261">SUM(AD32+O32)</f>
        <v>346.16999999999996</v>
      </c>
      <c r="AK32" s="3193">
        <f t="shared" ref="AK32:AK47" si="262">SUM(AE32+P32)</f>
        <v>0</v>
      </c>
      <c r="AL32" s="3193">
        <f t="shared" ref="AL32:AL47" si="263">SUM(AI32-AF32)</f>
        <v>-423.51556486838865</v>
      </c>
      <c r="AM32" s="3193">
        <f t="shared" ref="AM32:AM47" si="264">SUM(AJ32-AG32)</f>
        <v>-423.1435832884838</v>
      </c>
      <c r="AN32" s="3193">
        <f t="shared" ref="AN32:AN47" si="265">SUM(AK32-AH32)</f>
        <v>-0.37198157990485337</v>
      </c>
      <c r="AO32" s="3207">
        <f>SUM(AP32:AQ32)</f>
        <v>384.84278243419431</v>
      </c>
      <c r="AP32" s="3207">
        <f t="shared" ref="AP32:AQ32" si="266">SUM(AP33:AP41)+AP45</f>
        <v>384.65679164424188</v>
      </c>
      <c r="AQ32" s="3207">
        <f t="shared" si="266"/>
        <v>0.18599078995242668</v>
      </c>
      <c r="AR32" s="3156">
        <f t="shared" ref="AR32:AR95" si="267">SUM(AS32:AT32)</f>
        <v>55.18</v>
      </c>
      <c r="AS32" s="3057">
        <f t="shared" ref="AS32:AT32" si="268">SUM(AS33:AS41)+AS45</f>
        <v>55.18</v>
      </c>
      <c r="AT32" s="3057">
        <f t="shared" si="268"/>
        <v>0</v>
      </c>
      <c r="AU32" s="3156">
        <f t="shared" ref="AU32:AU95" si="269">SUM(AV32:AW32)</f>
        <v>55.17</v>
      </c>
      <c r="AV32" s="3057">
        <f t="shared" ref="AV32:AW32" si="270">SUM(AV33:AV41)+AV45</f>
        <v>55.17</v>
      </c>
      <c r="AW32" s="3057">
        <f t="shared" si="270"/>
        <v>0</v>
      </c>
      <c r="AX32" s="3156">
        <f t="shared" ref="AX32:AX95" si="271">SUM(AY32:AZ32)</f>
        <v>69.240000000000009</v>
      </c>
      <c r="AY32" s="3057">
        <f t="shared" ref="AY32:AZ32" si="272">SUM(AY33:AY41)+AY45</f>
        <v>69.240000000000009</v>
      </c>
      <c r="AZ32" s="3057">
        <f t="shared" si="272"/>
        <v>0</v>
      </c>
      <c r="BA32" s="3156">
        <f>SUM(BB32:BC32)</f>
        <v>179.59</v>
      </c>
      <c r="BB32" s="3057">
        <f t="shared" ref="BB32:BC32" si="273">SUM(BB33:BB41)+BB45</f>
        <v>179.59</v>
      </c>
      <c r="BC32" s="3057">
        <f t="shared" si="273"/>
        <v>0</v>
      </c>
      <c r="BD32" s="3206">
        <f t="shared" ref="BD32" si="274">SUM(BE32:BF32)</f>
        <v>1154.5283473025829</v>
      </c>
      <c r="BE32" s="3206">
        <f t="shared" ref="BE32" si="275">SUM(AG32+AP32)</f>
        <v>1153.9703749327257</v>
      </c>
      <c r="BF32" s="3206">
        <f t="shared" ref="BF32" si="276">SUM(AH32+AQ32)</f>
        <v>0.55797236985728005</v>
      </c>
      <c r="BG32" s="3193">
        <f t="shared" ref="BG32:BG47" si="277">SUM(AI32+BA32)</f>
        <v>525.76</v>
      </c>
      <c r="BH32" s="3193">
        <f t="shared" ref="BH32:BH47" si="278">SUM(AJ32+BB32)</f>
        <v>525.76</v>
      </c>
      <c r="BI32" s="3193">
        <f t="shared" ref="BI32:BI47" si="279">SUM(AK32+BC32)</f>
        <v>0</v>
      </c>
      <c r="BJ32" s="3193">
        <f t="shared" ref="BJ32:BJ47" si="280">SUM(BG32-BD32)</f>
        <v>-628.76834730258292</v>
      </c>
      <c r="BK32" s="3193">
        <f t="shared" ref="BK32:BK47" si="281">SUM(BH32-BE32)</f>
        <v>-628.2103749327257</v>
      </c>
      <c r="BL32" s="3193">
        <f t="shared" ref="BL32:BL47" si="282">SUM(BI32-BF32)</f>
        <v>-0.55797236985728005</v>
      </c>
      <c r="BM32" s="3207">
        <f>SUM(BN32:BO32)</f>
        <v>384.84278243419431</v>
      </c>
      <c r="BN32" s="3207">
        <f t="shared" ref="BN32:BO32" si="283">SUM(BN33:BN41)+BN45</f>
        <v>384.65679164424188</v>
      </c>
      <c r="BO32" s="3207">
        <f t="shared" si="283"/>
        <v>0.18599078995242668</v>
      </c>
      <c r="BP32" s="3156">
        <f t="shared" ref="BP32:BP95" si="284">SUM(BQ32:BR32)</f>
        <v>0</v>
      </c>
      <c r="BQ32" s="3057">
        <f t="shared" ref="BQ32:BR32" si="285">SUM(BQ33:BQ41)+BQ45</f>
        <v>0</v>
      </c>
      <c r="BR32" s="3057">
        <f t="shared" si="285"/>
        <v>0</v>
      </c>
      <c r="BS32" s="3156">
        <f t="shared" ref="BS32:BS95" si="286">SUM(BT32:BU32)</f>
        <v>0</v>
      </c>
      <c r="BT32" s="3057">
        <f t="shared" ref="BT32:BU32" si="287">SUM(BT33:BT41)+BT45</f>
        <v>0</v>
      </c>
      <c r="BU32" s="3057">
        <f t="shared" si="287"/>
        <v>0</v>
      </c>
      <c r="BV32" s="3156">
        <f t="shared" ref="BV32:BV95" si="288">SUM(BW32:BX32)</f>
        <v>0</v>
      </c>
      <c r="BW32" s="3057">
        <f t="shared" ref="BW32:BX32" si="289">SUM(BW33:BW41)+BW45</f>
        <v>0</v>
      </c>
      <c r="BX32" s="3057">
        <f t="shared" si="289"/>
        <v>0</v>
      </c>
      <c r="BY32" s="3156">
        <f>SUM(BZ32:CA32)</f>
        <v>0</v>
      </c>
      <c r="BZ32" s="3057">
        <f t="shared" ref="BZ32:CA32" si="290">SUM(BZ33:BZ41)+BZ45</f>
        <v>0</v>
      </c>
      <c r="CA32" s="3057">
        <f t="shared" si="290"/>
        <v>0</v>
      </c>
      <c r="CB32" s="3206">
        <f>SUM(CC32:CD32)</f>
        <v>1539.3711268298953</v>
      </c>
      <c r="CC32" s="3206">
        <f>SUM(вода!BR16)+вода!BR57</f>
        <v>1538.6271636714905</v>
      </c>
      <c r="CD32" s="3206">
        <f>SUM(вода!BS16)+вода!BS57</f>
        <v>0.74396315840484639</v>
      </c>
      <c r="CE32" s="3193">
        <f t="shared" ref="CE32:CE47" si="291">SUM(BY32+BG32)</f>
        <v>525.76</v>
      </c>
      <c r="CF32" s="3193">
        <f t="shared" ref="CF32:CF47" si="292">SUM(BZ32+BH32)</f>
        <v>525.76</v>
      </c>
      <c r="CG32" s="3193">
        <f t="shared" ref="CG32:CG47" si="293">SUM(CA32+BI32)</f>
        <v>0</v>
      </c>
      <c r="CH32" s="3193">
        <f t="shared" ref="CH32:CH47" si="294">SUM(CE32-CB32)</f>
        <v>-1013.6111268298953</v>
      </c>
      <c r="CI32" s="3193">
        <f t="shared" ref="CI32:CI47" si="295">SUM(CF32-CC32)</f>
        <v>-1012.8671636714905</v>
      </c>
      <c r="CJ32" s="3193">
        <f t="shared" ref="CJ32:CJ47" si="296">SUM(CG32-CD32)</f>
        <v>-0.74396315840484639</v>
      </c>
      <c r="CK32" s="3260"/>
      <c r="CL32" s="3260"/>
      <c r="CM32" s="3260"/>
      <c r="CN32" s="3255"/>
    </row>
    <row r="33" spans="1:92" ht="18.75" customHeight="1" x14ac:dyDescent="0.3">
      <c r="A33" s="3075" t="s">
        <v>72</v>
      </c>
      <c r="B33" s="3208">
        <f t="shared" ref="B33:B40" si="297">SUM(C33:D33)</f>
        <v>0</v>
      </c>
      <c r="C33" s="3208">
        <f t="shared" ref="C33:C40" si="298">SUM(CC33/4)</f>
        <v>0</v>
      </c>
      <c r="D33" s="3208">
        <f t="shared" ref="D33:D40" si="299">SUM(CD33/4)</f>
        <v>0</v>
      </c>
      <c r="E33" s="3136">
        <f t="shared" si="167"/>
        <v>0</v>
      </c>
      <c r="F33" s="3061"/>
      <c r="G33" s="3061"/>
      <c r="H33" s="3136">
        <f t="shared" si="168"/>
        <v>0</v>
      </c>
      <c r="I33" s="3061"/>
      <c r="J33" s="3061"/>
      <c r="K33" s="3136">
        <f t="shared" si="169"/>
        <v>0</v>
      </c>
      <c r="L33" s="3061"/>
      <c r="M33" s="3061"/>
      <c r="N33" s="3136">
        <f t="shared" ref="N33:N41" si="300">SUM(O33:P33)</f>
        <v>0</v>
      </c>
      <c r="O33" s="3136">
        <f t="shared" ref="O33:O40" si="301">SUM(F33+I33+L33)</f>
        <v>0</v>
      </c>
      <c r="P33" s="3136">
        <f t="shared" ref="P33:P40" si="302">SUM(G33+J33+M33)</f>
        <v>0</v>
      </c>
      <c r="Q33" s="3208">
        <f t="shared" ref="Q33:Q47" si="303">SUM(R33:S33)</f>
        <v>0</v>
      </c>
      <c r="R33" s="3208">
        <f t="shared" ref="R33:R47" si="304">SUM(C33)</f>
        <v>0</v>
      </c>
      <c r="S33" s="3208">
        <f t="shared" ref="S33:S47" si="305">SUM(D33)</f>
        <v>0</v>
      </c>
      <c r="T33" s="3136">
        <f t="shared" si="252"/>
        <v>0</v>
      </c>
      <c r="U33" s="3061"/>
      <c r="V33" s="3061"/>
      <c r="W33" s="3136">
        <f t="shared" si="254"/>
        <v>0</v>
      </c>
      <c r="X33" s="3061"/>
      <c r="Y33" s="3061"/>
      <c r="Z33" s="3136">
        <f t="shared" si="256"/>
        <v>0</v>
      </c>
      <c r="AA33" s="3061"/>
      <c r="AB33" s="3061"/>
      <c r="AC33" s="3136">
        <f t="shared" ref="AC33:AC55" si="306">SUM(AD33:AE33)</f>
        <v>0</v>
      </c>
      <c r="AD33" s="3136">
        <f t="shared" ref="AD33:AD40" si="307">SUM(U33+X33+AA33)</f>
        <v>0</v>
      </c>
      <c r="AE33" s="3136">
        <f t="shared" ref="AE33:AE40" si="308">SUM(V33+Y33+AB33)</f>
        <v>0</v>
      </c>
      <c r="AF33" s="3209">
        <f t="shared" ref="AF33:AF47" si="309">SUM(AG33:AH33)</f>
        <v>0</v>
      </c>
      <c r="AG33" s="3209">
        <f t="shared" ref="AG33:AG47" si="310">SUM(C33+R33)</f>
        <v>0</v>
      </c>
      <c r="AH33" s="3209">
        <f t="shared" ref="AH33:AH47" si="311">SUM(D33+S33)</f>
        <v>0</v>
      </c>
      <c r="AI33" s="3264">
        <f t="shared" si="260"/>
        <v>0</v>
      </c>
      <c r="AJ33" s="3264">
        <f t="shared" si="261"/>
        <v>0</v>
      </c>
      <c r="AK33" s="3264">
        <f t="shared" si="262"/>
        <v>0</v>
      </c>
      <c r="AL33" s="3264">
        <f t="shared" si="263"/>
        <v>0</v>
      </c>
      <c r="AM33" s="3264">
        <f t="shared" si="264"/>
        <v>0</v>
      </c>
      <c r="AN33" s="3264">
        <f t="shared" si="265"/>
        <v>0</v>
      </c>
      <c r="AO33" s="3208">
        <f t="shared" ref="AO33:AO47" si="312">SUM(AP33:AQ33)</f>
        <v>0</v>
      </c>
      <c r="AP33" s="3208">
        <f t="shared" ref="AP33:AP47" si="313">SUM(CC33-AG33)/2</f>
        <v>0</v>
      </c>
      <c r="AQ33" s="3208">
        <f t="shared" ref="AQ33:AQ47" si="314">SUM(CD33-AH33)/2</f>
        <v>0</v>
      </c>
      <c r="AR33" s="3136">
        <f t="shared" si="267"/>
        <v>0</v>
      </c>
      <c r="AS33" s="3061"/>
      <c r="AT33" s="3061"/>
      <c r="AU33" s="3136">
        <f t="shared" si="269"/>
        <v>0</v>
      </c>
      <c r="AV33" s="3061"/>
      <c r="AW33" s="3061"/>
      <c r="AX33" s="3136">
        <f t="shared" si="271"/>
        <v>0</v>
      </c>
      <c r="AY33" s="3061"/>
      <c r="AZ33" s="3061"/>
      <c r="BA33" s="3136">
        <f t="shared" ref="BA33:BA55" si="315">SUM(BB33:BC33)</f>
        <v>0</v>
      </c>
      <c r="BB33" s="3136">
        <f t="shared" ref="BB33:BB40" si="316">SUM(AS33+AV33+AY33)</f>
        <v>0</v>
      </c>
      <c r="BC33" s="3136">
        <f t="shared" ref="BC33:BC40" si="317">SUM(AT33+AW33+AZ33)</f>
        <v>0</v>
      </c>
      <c r="BD33" s="3209">
        <f t="shared" ref="BD33:BD47" si="318">SUM(BE33:BF33)</f>
        <v>0</v>
      </c>
      <c r="BE33" s="3209">
        <f t="shared" ref="BE33:BE47" si="319">SUM(AG33+AP33)</f>
        <v>0</v>
      </c>
      <c r="BF33" s="3209">
        <f t="shared" ref="BF33:BF47" si="320">SUM(AH33+AQ33)</f>
        <v>0</v>
      </c>
      <c r="BG33" s="3264">
        <f t="shared" si="277"/>
        <v>0</v>
      </c>
      <c r="BH33" s="3264">
        <f t="shared" si="278"/>
        <v>0</v>
      </c>
      <c r="BI33" s="3264">
        <f t="shared" si="279"/>
        <v>0</v>
      </c>
      <c r="BJ33" s="3264">
        <f t="shared" si="280"/>
        <v>0</v>
      </c>
      <c r="BK33" s="3264">
        <f t="shared" si="281"/>
        <v>0</v>
      </c>
      <c r="BL33" s="3264">
        <f t="shared" si="282"/>
        <v>0</v>
      </c>
      <c r="BM33" s="3208">
        <f t="shared" ref="BM33:BM47" si="321">SUM(BN33:BO33)</f>
        <v>0</v>
      </c>
      <c r="BN33" s="3208">
        <f t="shared" ref="BN33:BN47" si="322">SUM(AP33)</f>
        <v>0</v>
      </c>
      <c r="BO33" s="3208">
        <f t="shared" ref="BO33:BO47" si="323">SUM(AQ33)</f>
        <v>0</v>
      </c>
      <c r="BP33" s="3136">
        <f t="shared" si="284"/>
        <v>0</v>
      </c>
      <c r="BQ33" s="3061"/>
      <c r="BR33" s="3061"/>
      <c r="BS33" s="3136">
        <f t="shared" si="286"/>
        <v>0</v>
      </c>
      <c r="BT33" s="3061"/>
      <c r="BU33" s="3061"/>
      <c r="BV33" s="3136">
        <f t="shared" si="288"/>
        <v>0</v>
      </c>
      <c r="BW33" s="3061"/>
      <c r="BX33" s="3061"/>
      <c r="BY33" s="3136">
        <f t="shared" ref="BY33:BY55" si="324">SUM(BZ33:CA33)</f>
        <v>0</v>
      </c>
      <c r="BZ33" s="3136">
        <f t="shared" ref="BZ33:BZ40" si="325">SUM(BQ33+BT33+BW33)</f>
        <v>0</v>
      </c>
      <c r="CA33" s="3136">
        <f t="shared" ref="CA33:CA40" si="326">SUM(BR33+BU33+BX33)</f>
        <v>0</v>
      </c>
      <c r="CB33" s="3209">
        <f>SUM(CB32*0)</f>
        <v>0</v>
      </c>
      <c r="CC33" s="3209">
        <f>SUM(CB33/CB14*CC14)</f>
        <v>0</v>
      </c>
      <c r="CD33" s="3209">
        <f>SUM(CB33/CB14*CD14)</f>
        <v>0</v>
      </c>
      <c r="CE33" s="3264">
        <f t="shared" si="291"/>
        <v>0</v>
      </c>
      <c r="CF33" s="3264">
        <f t="shared" si="292"/>
        <v>0</v>
      </c>
      <c r="CG33" s="3264">
        <f t="shared" si="293"/>
        <v>0</v>
      </c>
      <c r="CH33" s="3264">
        <f t="shared" si="294"/>
        <v>0</v>
      </c>
      <c r="CI33" s="3264">
        <f t="shared" si="295"/>
        <v>0</v>
      </c>
      <c r="CJ33" s="3264">
        <f t="shared" si="296"/>
        <v>0</v>
      </c>
      <c r="CK33" s="3259"/>
      <c r="CL33" s="3259"/>
      <c r="CM33" s="3259"/>
      <c r="CN33" s="3254"/>
    </row>
    <row r="34" spans="1:92" ht="18.75" customHeight="1" x14ac:dyDescent="0.3">
      <c r="A34" s="3075" t="s">
        <v>117</v>
      </c>
      <c r="B34" s="3208">
        <f t="shared" si="297"/>
        <v>0</v>
      </c>
      <c r="C34" s="3208">
        <f t="shared" si="298"/>
        <v>0</v>
      </c>
      <c r="D34" s="3208">
        <f t="shared" si="299"/>
        <v>0</v>
      </c>
      <c r="E34" s="3136">
        <f t="shared" si="167"/>
        <v>0</v>
      </c>
      <c r="F34" s="3061"/>
      <c r="G34" s="3061"/>
      <c r="H34" s="3136">
        <f t="shared" si="168"/>
        <v>0</v>
      </c>
      <c r="I34" s="3061"/>
      <c r="J34" s="3061"/>
      <c r="K34" s="3136">
        <f t="shared" si="169"/>
        <v>0</v>
      </c>
      <c r="L34" s="3061"/>
      <c r="M34" s="3061"/>
      <c r="N34" s="3136">
        <f t="shared" si="300"/>
        <v>0</v>
      </c>
      <c r="O34" s="3136">
        <f t="shared" si="301"/>
        <v>0</v>
      </c>
      <c r="P34" s="3136">
        <f t="shared" si="302"/>
        <v>0</v>
      </c>
      <c r="Q34" s="3208">
        <f t="shared" si="303"/>
        <v>0</v>
      </c>
      <c r="R34" s="3208">
        <f t="shared" si="304"/>
        <v>0</v>
      </c>
      <c r="S34" s="3208">
        <f t="shared" si="305"/>
        <v>0</v>
      </c>
      <c r="T34" s="3136">
        <f t="shared" si="252"/>
        <v>0</v>
      </c>
      <c r="U34" s="3061"/>
      <c r="V34" s="3061"/>
      <c r="W34" s="3136">
        <f t="shared" si="254"/>
        <v>0</v>
      </c>
      <c r="X34" s="3061"/>
      <c r="Y34" s="3061"/>
      <c r="Z34" s="3136">
        <f t="shared" si="256"/>
        <v>0</v>
      </c>
      <c r="AA34" s="3061"/>
      <c r="AB34" s="3061"/>
      <c r="AC34" s="3136">
        <f t="shared" si="306"/>
        <v>0</v>
      </c>
      <c r="AD34" s="3136">
        <f t="shared" si="307"/>
        <v>0</v>
      </c>
      <c r="AE34" s="3136">
        <f t="shared" si="308"/>
        <v>0</v>
      </c>
      <c r="AF34" s="3209">
        <f t="shared" si="309"/>
        <v>0</v>
      </c>
      <c r="AG34" s="3209">
        <f t="shared" si="310"/>
        <v>0</v>
      </c>
      <c r="AH34" s="3209">
        <f t="shared" si="311"/>
        <v>0</v>
      </c>
      <c r="AI34" s="3264">
        <f t="shared" si="260"/>
        <v>0</v>
      </c>
      <c r="AJ34" s="3264">
        <f t="shared" si="261"/>
        <v>0</v>
      </c>
      <c r="AK34" s="3264">
        <f t="shared" si="262"/>
        <v>0</v>
      </c>
      <c r="AL34" s="3264">
        <f t="shared" si="263"/>
        <v>0</v>
      </c>
      <c r="AM34" s="3264">
        <f t="shared" si="264"/>
        <v>0</v>
      </c>
      <c r="AN34" s="3264">
        <f t="shared" si="265"/>
        <v>0</v>
      </c>
      <c r="AO34" s="3208">
        <f t="shared" si="312"/>
        <v>0</v>
      </c>
      <c r="AP34" s="3208">
        <f t="shared" si="313"/>
        <v>0</v>
      </c>
      <c r="AQ34" s="3208">
        <f t="shared" si="314"/>
        <v>0</v>
      </c>
      <c r="AR34" s="3136">
        <f t="shared" si="267"/>
        <v>0</v>
      </c>
      <c r="AS34" s="3061"/>
      <c r="AT34" s="3061"/>
      <c r="AU34" s="3136">
        <f t="shared" si="269"/>
        <v>0</v>
      </c>
      <c r="AV34" s="3061"/>
      <c r="AW34" s="3061"/>
      <c r="AX34" s="3136">
        <f t="shared" si="271"/>
        <v>0</v>
      </c>
      <c r="AY34" s="3061"/>
      <c r="AZ34" s="3061"/>
      <c r="BA34" s="3136">
        <f t="shared" si="315"/>
        <v>0</v>
      </c>
      <c r="BB34" s="3136">
        <f t="shared" si="316"/>
        <v>0</v>
      </c>
      <c r="BC34" s="3136">
        <f t="shared" si="317"/>
        <v>0</v>
      </c>
      <c r="BD34" s="3209">
        <f t="shared" si="318"/>
        <v>0</v>
      </c>
      <c r="BE34" s="3209">
        <f t="shared" si="319"/>
        <v>0</v>
      </c>
      <c r="BF34" s="3209">
        <f t="shared" si="320"/>
        <v>0</v>
      </c>
      <c r="BG34" s="3264">
        <f t="shared" si="277"/>
        <v>0</v>
      </c>
      <c r="BH34" s="3264">
        <f t="shared" si="278"/>
        <v>0</v>
      </c>
      <c r="BI34" s="3264">
        <f t="shared" si="279"/>
        <v>0</v>
      </c>
      <c r="BJ34" s="3264">
        <f t="shared" si="280"/>
        <v>0</v>
      </c>
      <c r="BK34" s="3264">
        <f t="shared" si="281"/>
        <v>0</v>
      </c>
      <c r="BL34" s="3264">
        <f t="shared" si="282"/>
        <v>0</v>
      </c>
      <c r="BM34" s="3208">
        <f t="shared" si="321"/>
        <v>0</v>
      </c>
      <c r="BN34" s="3208">
        <f t="shared" si="322"/>
        <v>0</v>
      </c>
      <c r="BO34" s="3208">
        <f t="shared" si="323"/>
        <v>0</v>
      </c>
      <c r="BP34" s="3136">
        <f t="shared" si="284"/>
        <v>0</v>
      </c>
      <c r="BQ34" s="3061"/>
      <c r="BR34" s="3061"/>
      <c r="BS34" s="3136">
        <f t="shared" si="286"/>
        <v>0</v>
      </c>
      <c r="BT34" s="3061"/>
      <c r="BU34" s="3061"/>
      <c r="BV34" s="3136">
        <f t="shared" si="288"/>
        <v>0</v>
      </c>
      <c r="BW34" s="3061"/>
      <c r="BX34" s="3061"/>
      <c r="BY34" s="3136">
        <f t="shared" si="324"/>
        <v>0</v>
      </c>
      <c r="BZ34" s="3136">
        <f t="shared" si="325"/>
        <v>0</v>
      </c>
      <c r="CA34" s="3136">
        <f t="shared" si="326"/>
        <v>0</v>
      </c>
      <c r="CB34" s="3209">
        <f>SUM(CB32*0)</f>
        <v>0</v>
      </c>
      <c r="CC34" s="3209">
        <f>SUM(CB34/CB14*CC14)</f>
        <v>0</v>
      </c>
      <c r="CD34" s="3209">
        <f>SUM(CB34/CB14*CD14)</f>
        <v>0</v>
      </c>
      <c r="CE34" s="3264">
        <f t="shared" si="291"/>
        <v>0</v>
      </c>
      <c r="CF34" s="3264">
        <f t="shared" si="292"/>
        <v>0</v>
      </c>
      <c r="CG34" s="3264">
        <f t="shared" si="293"/>
        <v>0</v>
      </c>
      <c r="CH34" s="3264">
        <f t="shared" si="294"/>
        <v>0</v>
      </c>
      <c r="CI34" s="3264">
        <f t="shared" si="295"/>
        <v>0</v>
      </c>
      <c r="CJ34" s="3264">
        <f t="shared" si="296"/>
        <v>0</v>
      </c>
      <c r="CK34" s="3259"/>
      <c r="CL34" s="3259"/>
      <c r="CM34" s="3259"/>
      <c r="CN34" s="3254"/>
    </row>
    <row r="35" spans="1:92" ht="18.75" customHeight="1" x14ac:dyDescent="0.3">
      <c r="A35" s="3075" t="s">
        <v>3591</v>
      </c>
      <c r="B35" s="3208">
        <f t="shared" si="297"/>
        <v>274.56764824999999</v>
      </c>
      <c r="C35" s="3208">
        <f t="shared" si="298"/>
        <v>274.43495236449996</v>
      </c>
      <c r="D35" s="3208">
        <f t="shared" si="299"/>
        <v>0.13269588550002148</v>
      </c>
      <c r="E35" s="3136">
        <f t="shared" si="167"/>
        <v>54.75</v>
      </c>
      <c r="F35" s="3061">
        <v>54.75</v>
      </c>
      <c r="G35" s="3061"/>
      <c r="H35" s="3136">
        <f t="shared" si="168"/>
        <v>54.75</v>
      </c>
      <c r="I35" s="3061">
        <v>54.75</v>
      </c>
      <c r="J35" s="3061"/>
      <c r="K35" s="3136">
        <f t="shared" si="169"/>
        <v>54.75</v>
      </c>
      <c r="L35" s="3061">
        <v>54.75</v>
      </c>
      <c r="M35" s="3061"/>
      <c r="N35" s="3136">
        <f t="shared" si="300"/>
        <v>164.25</v>
      </c>
      <c r="O35" s="3136">
        <f t="shared" si="301"/>
        <v>164.25</v>
      </c>
      <c r="P35" s="3136">
        <f t="shared" si="302"/>
        <v>0</v>
      </c>
      <c r="Q35" s="3208">
        <f t="shared" si="303"/>
        <v>274.56764824999999</v>
      </c>
      <c r="R35" s="3208">
        <f t="shared" si="304"/>
        <v>274.43495236449996</v>
      </c>
      <c r="S35" s="3208">
        <f t="shared" si="305"/>
        <v>0.13269588550002148</v>
      </c>
      <c r="T35" s="3136">
        <f t="shared" si="252"/>
        <v>54.75</v>
      </c>
      <c r="U35" s="3061">
        <v>54.75</v>
      </c>
      <c r="V35" s="3061"/>
      <c r="W35" s="3136">
        <f t="shared" si="254"/>
        <v>54.75</v>
      </c>
      <c r="X35" s="3061">
        <v>54.75</v>
      </c>
      <c r="Y35" s="3061"/>
      <c r="Z35" s="3136">
        <f t="shared" si="256"/>
        <v>54.75</v>
      </c>
      <c r="AA35" s="3061">
        <v>54.75</v>
      </c>
      <c r="AB35" s="3061"/>
      <c r="AC35" s="3136">
        <f t="shared" si="306"/>
        <v>164.25</v>
      </c>
      <c r="AD35" s="3136">
        <f t="shared" si="307"/>
        <v>164.25</v>
      </c>
      <c r="AE35" s="3136">
        <f t="shared" si="308"/>
        <v>0</v>
      </c>
      <c r="AF35" s="3209">
        <f t="shared" si="309"/>
        <v>549.13529649999998</v>
      </c>
      <c r="AG35" s="3209">
        <f t="shared" si="310"/>
        <v>548.86990472899993</v>
      </c>
      <c r="AH35" s="3209">
        <f t="shared" si="311"/>
        <v>0.26539177100004296</v>
      </c>
      <c r="AI35" s="3264">
        <f t="shared" si="260"/>
        <v>328.5</v>
      </c>
      <c r="AJ35" s="3264">
        <f t="shared" si="261"/>
        <v>328.5</v>
      </c>
      <c r="AK35" s="3264">
        <f t="shared" si="262"/>
        <v>0</v>
      </c>
      <c r="AL35" s="3264">
        <f t="shared" si="263"/>
        <v>-220.63529649999998</v>
      </c>
      <c r="AM35" s="3264">
        <f t="shared" si="264"/>
        <v>-220.36990472899993</v>
      </c>
      <c r="AN35" s="3264">
        <f t="shared" si="265"/>
        <v>-0.26539177100004296</v>
      </c>
      <c r="AO35" s="3208">
        <f t="shared" si="312"/>
        <v>274.56764824999999</v>
      </c>
      <c r="AP35" s="3208">
        <f t="shared" si="313"/>
        <v>274.43495236449996</v>
      </c>
      <c r="AQ35" s="3208">
        <f t="shared" si="314"/>
        <v>0.13269588550002148</v>
      </c>
      <c r="AR35" s="3136">
        <f t="shared" si="267"/>
        <v>54.75</v>
      </c>
      <c r="AS35" s="3061">
        <v>54.75</v>
      </c>
      <c r="AT35" s="3061"/>
      <c r="AU35" s="3136">
        <f t="shared" si="269"/>
        <v>54.75</v>
      </c>
      <c r="AV35" s="3061">
        <v>54.75</v>
      </c>
      <c r="AW35" s="3061"/>
      <c r="AX35" s="3136">
        <f t="shared" si="271"/>
        <v>54.75</v>
      </c>
      <c r="AY35" s="3061">
        <v>54.75</v>
      </c>
      <c r="AZ35" s="3061"/>
      <c r="BA35" s="3136">
        <f t="shared" si="315"/>
        <v>164.25</v>
      </c>
      <c r="BB35" s="3136">
        <f t="shared" si="316"/>
        <v>164.25</v>
      </c>
      <c r="BC35" s="3136">
        <f t="shared" si="317"/>
        <v>0</v>
      </c>
      <c r="BD35" s="3209">
        <f t="shared" si="318"/>
        <v>823.70294474999992</v>
      </c>
      <c r="BE35" s="3209">
        <f t="shared" si="319"/>
        <v>823.30485709349989</v>
      </c>
      <c r="BF35" s="3209">
        <f t="shared" si="320"/>
        <v>0.39808765650006445</v>
      </c>
      <c r="BG35" s="3264">
        <f t="shared" si="277"/>
        <v>492.75</v>
      </c>
      <c r="BH35" s="3264">
        <f t="shared" si="278"/>
        <v>492.75</v>
      </c>
      <c r="BI35" s="3264">
        <f t="shared" si="279"/>
        <v>0</v>
      </c>
      <c r="BJ35" s="3264">
        <f t="shared" si="280"/>
        <v>-330.95294474999992</v>
      </c>
      <c r="BK35" s="3264">
        <f t="shared" si="281"/>
        <v>-330.55485709349989</v>
      </c>
      <c r="BL35" s="3264">
        <f t="shared" si="282"/>
        <v>-0.39808765650006445</v>
      </c>
      <c r="BM35" s="3208">
        <f t="shared" si="321"/>
        <v>274.56764824999999</v>
      </c>
      <c r="BN35" s="3208">
        <f t="shared" si="322"/>
        <v>274.43495236449996</v>
      </c>
      <c r="BO35" s="3208">
        <f t="shared" si="323"/>
        <v>0.13269588550002148</v>
      </c>
      <c r="BP35" s="3136">
        <f t="shared" si="284"/>
        <v>0</v>
      </c>
      <c r="BQ35" s="3061"/>
      <c r="BR35" s="3061"/>
      <c r="BS35" s="3136">
        <f t="shared" si="286"/>
        <v>0</v>
      </c>
      <c r="BT35" s="3061"/>
      <c r="BU35" s="3061"/>
      <c r="BV35" s="3136">
        <f t="shared" si="288"/>
        <v>0</v>
      </c>
      <c r="BW35" s="3061"/>
      <c r="BX35" s="3061"/>
      <c r="BY35" s="3136">
        <f t="shared" si="324"/>
        <v>0</v>
      </c>
      <c r="BZ35" s="3136">
        <f t="shared" si="325"/>
        <v>0</v>
      </c>
      <c r="CA35" s="3136">
        <f t="shared" si="326"/>
        <v>0</v>
      </c>
      <c r="CB35" s="3209">
        <v>1098.270593</v>
      </c>
      <c r="CC35" s="3209">
        <f>SUM(CB35/CB14*CC14)</f>
        <v>1097.7398094579999</v>
      </c>
      <c r="CD35" s="3209">
        <f>SUM(CB35/CB14*CD14)</f>
        <v>0.53078354200008593</v>
      </c>
      <c r="CE35" s="3264">
        <f t="shared" si="291"/>
        <v>492.75</v>
      </c>
      <c r="CF35" s="3264">
        <f t="shared" si="292"/>
        <v>492.75</v>
      </c>
      <c r="CG35" s="3264">
        <f t="shared" si="293"/>
        <v>0</v>
      </c>
      <c r="CH35" s="3264">
        <f t="shared" si="294"/>
        <v>-605.52059299999996</v>
      </c>
      <c r="CI35" s="3264">
        <f t="shared" si="295"/>
        <v>-604.98980945799985</v>
      </c>
      <c r="CJ35" s="3264">
        <f t="shared" si="296"/>
        <v>-0.53078354200008593</v>
      </c>
      <c r="CK35" s="3259"/>
      <c r="CL35" s="3259"/>
      <c r="CM35" s="3259"/>
      <c r="CN35" s="3254"/>
    </row>
    <row r="36" spans="1:92" ht="18.75" customHeight="1" x14ac:dyDescent="0.3">
      <c r="A36" s="3075" t="s">
        <v>52</v>
      </c>
      <c r="B36" s="3208">
        <f t="shared" si="297"/>
        <v>2.3475409684155899</v>
      </c>
      <c r="C36" s="3208">
        <f t="shared" si="298"/>
        <v>2.3464064245990226</v>
      </c>
      <c r="D36" s="3208">
        <f t="shared" si="299"/>
        <v>1.1345438165673793E-3</v>
      </c>
      <c r="E36" s="3136">
        <f t="shared" si="167"/>
        <v>0</v>
      </c>
      <c r="F36" s="3061"/>
      <c r="G36" s="3061"/>
      <c r="H36" s="3136">
        <f t="shared" si="168"/>
        <v>0.83</v>
      </c>
      <c r="I36" s="3061">
        <v>0.83</v>
      </c>
      <c r="J36" s="3061"/>
      <c r="K36" s="3136">
        <f t="shared" si="169"/>
        <v>0.43</v>
      </c>
      <c r="L36" s="3061">
        <v>0.43</v>
      </c>
      <c r="M36" s="3061"/>
      <c r="N36" s="3136">
        <f t="shared" si="300"/>
        <v>1.26</v>
      </c>
      <c r="O36" s="3136">
        <f t="shared" si="301"/>
        <v>1.26</v>
      </c>
      <c r="P36" s="3136">
        <f t="shared" si="302"/>
        <v>0</v>
      </c>
      <c r="Q36" s="3208">
        <f t="shared" si="303"/>
        <v>2.3475409684155899</v>
      </c>
      <c r="R36" s="3208">
        <f t="shared" si="304"/>
        <v>2.3464064245990226</v>
      </c>
      <c r="S36" s="3208">
        <f t="shared" si="305"/>
        <v>1.1345438165673793E-3</v>
      </c>
      <c r="T36" s="3136">
        <f t="shared" si="252"/>
        <v>0.43</v>
      </c>
      <c r="U36" s="3061">
        <v>0.43</v>
      </c>
      <c r="V36" s="3061"/>
      <c r="W36" s="3136">
        <f t="shared" si="254"/>
        <v>0.43</v>
      </c>
      <c r="X36" s="3061">
        <v>0.43</v>
      </c>
      <c r="Y36" s="3061"/>
      <c r="Z36" s="3136">
        <f t="shared" si="256"/>
        <v>0.43</v>
      </c>
      <c r="AA36" s="3061">
        <v>0.43</v>
      </c>
      <c r="AB36" s="3061"/>
      <c r="AC36" s="3136">
        <f t="shared" si="306"/>
        <v>1.29</v>
      </c>
      <c r="AD36" s="3136">
        <f t="shared" si="307"/>
        <v>1.29</v>
      </c>
      <c r="AE36" s="3136">
        <f t="shared" si="308"/>
        <v>0</v>
      </c>
      <c r="AF36" s="3209">
        <f t="shared" si="309"/>
        <v>4.6950819368311798</v>
      </c>
      <c r="AG36" s="3209">
        <f t="shared" si="310"/>
        <v>4.6928128491980452</v>
      </c>
      <c r="AH36" s="3209">
        <f t="shared" si="311"/>
        <v>2.2690876331347585E-3</v>
      </c>
      <c r="AI36" s="3264">
        <f t="shared" si="260"/>
        <v>2.5499999999999998</v>
      </c>
      <c r="AJ36" s="3264">
        <f t="shared" si="261"/>
        <v>2.5499999999999998</v>
      </c>
      <c r="AK36" s="3264">
        <f t="shared" si="262"/>
        <v>0</v>
      </c>
      <c r="AL36" s="3264">
        <f t="shared" si="263"/>
        <v>-2.14508193683118</v>
      </c>
      <c r="AM36" s="3264">
        <f t="shared" si="264"/>
        <v>-2.1428128491980454</v>
      </c>
      <c r="AN36" s="3264">
        <f t="shared" si="265"/>
        <v>-2.2690876331347585E-3</v>
      </c>
      <c r="AO36" s="3208">
        <f t="shared" si="312"/>
        <v>2.3475409684155899</v>
      </c>
      <c r="AP36" s="3208">
        <f t="shared" si="313"/>
        <v>2.3464064245990226</v>
      </c>
      <c r="AQ36" s="3208">
        <f t="shared" si="314"/>
        <v>1.1345438165673793E-3</v>
      </c>
      <c r="AR36" s="3136">
        <f t="shared" si="267"/>
        <v>0.43</v>
      </c>
      <c r="AS36" s="3061">
        <v>0.43</v>
      </c>
      <c r="AT36" s="3061"/>
      <c r="AU36" s="3136">
        <f t="shared" si="269"/>
        <v>0.42</v>
      </c>
      <c r="AV36" s="3061">
        <v>0.42</v>
      </c>
      <c r="AW36" s="3061"/>
      <c r="AX36" s="3136">
        <f t="shared" si="271"/>
        <v>0.43</v>
      </c>
      <c r="AY36" s="3061">
        <v>0.43</v>
      </c>
      <c r="AZ36" s="3061"/>
      <c r="BA36" s="3136">
        <f t="shared" si="315"/>
        <v>1.28</v>
      </c>
      <c r="BB36" s="3136">
        <f t="shared" si="316"/>
        <v>1.28</v>
      </c>
      <c r="BC36" s="3136">
        <f t="shared" si="317"/>
        <v>0</v>
      </c>
      <c r="BD36" s="3209">
        <f t="shared" si="318"/>
        <v>7.0426229052467697</v>
      </c>
      <c r="BE36" s="3209">
        <f t="shared" si="319"/>
        <v>7.0392192737970678</v>
      </c>
      <c r="BF36" s="3209">
        <f t="shared" si="320"/>
        <v>3.4036314497021378E-3</v>
      </c>
      <c r="BG36" s="3264">
        <f t="shared" si="277"/>
        <v>3.83</v>
      </c>
      <c r="BH36" s="3264">
        <f t="shared" si="278"/>
        <v>3.83</v>
      </c>
      <c r="BI36" s="3264">
        <f t="shared" si="279"/>
        <v>0</v>
      </c>
      <c r="BJ36" s="3264">
        <f t="shared" si="280"/>
        <v>-3.2126229052467696</v>
      </c>
      <c r="BK36" s="3264">
        <f t="shared" si="281"/>
        <v>-3.2092192737970677</v>
      </c>
      <c r="BL36" s="3264">
        <f t="shared" si="282"/>
        <v>-3.4036314497021378E-3</v>
      </c>
      <c r="BM36" s="3208">
        <f t="shared" si="321"/>
        <v>2.3475409684155899</v>
      </c>
      <c r="BN36" s="3208">
        <f t="shared" si="322"/>
        <v>2.3464064245990226</v>
      </c>
      <c r="BO36" s="3208">
        <f t="shared" si="323"/>
        <v>1.1345438165673793E-3</v>
      </c>
      <c r="BP36" s="3136">
        <f t="shared" si="284"/>
        <v>0</v>
      </c>
      <c r="BQ36" s="3061"/>
      <c r="BR36" s="3061"/>
      <c r="BS36" s="3136">
        <f t="shared" si="286"/>
        <v>0</v>
      </c>
      <c r="BT36" s="3061"/>
      <c r="BU36" s="3061"/>
      <c r="BV36" s="3136">
        <f t="shared" si="288"/>
        <v>0</v>
      </c>
      <c r="BW36" s="3061"/>
      <c r="BX36" s="3061"/>
      <c r="BY36" s="3136">
        <f t="shared" si="324"/>
        <v>0</v>
      </c>
      <c r="BZ36" s="3136">
        <f t="shared" si="325"/>
        <v>0</v>
      </c>
      <c r="CA36" s="3136">
        <f t="shared" si="326"/>
        <v>0</v>
      </c>
      <c r="CB36" s="3209">
        <f>SUM(CB32*0.0061)</f>
        <v>9.3901638736623614</v>
      </c>
      <c r="CC36" s="3209">
        <f>SUM(CB36/CB14*CC14)</f>
        <v>9.3856256983960904</v>
      </c>
      <c r="CD36" s="3209">
        <f>SUM(CB36/CB14*CD14)</f>
        <v>4.538175266269517E-3</v>
      </c>
      <c r="CE36" s="3264">
        <f t="shared" si="291"/>
        <v>3.83</v>
      </c>
      <c r="CF36" s="3264">
        <f t="shared" si="292"/>
        <v>3.83</v>
      </c>
      <c r="CG36" s="3264">
        <f t="shared" si="293"/>
        <v>0</v>
      </c>
      <c r="CH36" s="3264">
        <f t="shared" si="294"/>
        <v>-5.5601638736623613</v>
      </c>
      <c r="CI36" s="3264">
        <f t="shared" si="295"/>
        <v>-5.5556256983960903</v>
      </c>
      <c r="CJ36" s="3264">
        <f t="shared" si="296"/>
        <v>-4.538175266269517E-3</v>
      </c>
      <c r="CK36" s="3259"/>
      <c r="CL36" s="3259"/>
      <c r="CM36" s="3259"/>
      <c r="CN36" s="3254"/>
    </row>
    <row r="37" spans="1:92" ht="18.75" customHeight="1" x14ac:dyDescent="0.3">
      <c r="A37" s="3075" t="s">
        <v>3592</v>
      </c>
      <c r="B37" s="3208">
        <f t="shared" si="297"/>
        <v>0</v>
      </c>
      <c r="C37" s="3208">
        <f t="shared" si="298"/>
        <v>0</v>
      </c>
      <c r="D37" s="3208">
        <f t="shared" si="299"/>
        <v>0</v>
      </c>
      <c r="E37" s="3136">
        <f t="shared" si="167"/>
        <v>0</v>
      </c>
      <c r="F37" s="3061"/>
      <c r="G37" s="3061"/>
      <c r="H37" s="3136">
        <f t="shared" si="168"/>
        <v>0</v>
      </c>
      <c r="I37" s="3061"/>
      <c r="J37" s="3061"/>
      <c r="K37" s="3136">
        <f t="shared" si="169"/>
        <v>0</v>
      </c>
      <c r="L37" s="3061"/>
      <c r="M37" s="3061"/>
      <c r="N37" s="3136">
        <f t="shared" si="300"/>
        <v>0</v>
      </c>
      <c r="O37" s="3136">
        <f t="shared" si="301"/>
        <v>0</v>
      </c>
      <c r="P37" s="3136">
        <f t="shared" si="302"/>
        <v>0</v>
      </c>
      <c r="Q37" s="3208">
        <f t="shared" si="303"/>
        <v>0</v>
      </c>
      <c r="R37" s="3208">
        <f t="shared" si="304"/>
        <v>0</v>
      </c>
      <c r="S37" s="3208">
        <f t="shared" si="305"/>
        <v>0</v>
      </c>
      <c r="T37" s="3136">
        <f t="shared" si="252"/>
        <v>0</v>
      </c>
      <c r="U37" s="3061"/>
      <c r="V37" s="3061"/>
      <c r="W37" s="3136">
        <f t="shared" si="254"/>
        <v>0</v>
      </c>
      <c r="X37" s="3061"/>
      <c r="Y37" s="3061"/>
      <c r="Z37" s="3136">
        <f t="shared" si="256"/>
        <v>0</v>
      </c>
      <c r="AA37" s="3061"/>
      <c r="AB37" s="3061"/>
      <c r="AC37" s="3136">
        <f t="shared" si="306"/>
        <v>0</v>
      </c>
      <c r="AD37" s="3136">
        <f t="shared" si="307"/>
        <v>0</v>
      </c>
      <c r="AE37" s="3136">
        <f t="shared" si="308"/>
        <v>0</v>
      </c>
      <c r="AF37" s="3209">
        <f t="shared" si="309"/>
        <v>0</v>
      </c>
      <c r="AG37" s="3209">
        <f t="shared" si="310"/>
        <v>0</v>
      </c>
      <c r="AH37" s="3209">
        <f t="shared" si="311"/>
        <v>0</v>
      </c>
      <c r="AI37" s="3264">
        <f t="shared" si="260"/>
        <v>0</v>
      </c>
      <c r="AJ37" s="3264">
        <f t="shared" si="261"/>
        <v>0</v>
      </c>
      <c r="AK37" s="3264">
        <f t="shared" si="262"/>
        <v>0</v>
      </c>
      <c r="AL37" s="3264">
        <f t="shared" si="263"/>
        <v>0</v>
      </c>
      <c r="AM37" s="3264">
        <f t="shared" si="264"/>
        <v>0</v>
      </c>
      <c r="AN37" s="3264">
        <f t="shared" si="265"/>
        <v>0</v>
      </c>
      <c r="AO37" s="3208">
        <f t="shared" si="312"/>
        <v>0</v>
      </c>
      <c r="AP37" s="3208">
        <f t="shared" si="313"/>
        <v>0</v>
      </c>
      <c r="AQ37" s="3208">
        <f t="shared" si="314"/>
        <v>0</v>
      </c>
      <c r="AR37" s="3136">
        <f t="shared" si="267"/>
        <v>0</v>
      </c>
      <c r="AS37" s="3061"/>
      <c r="AT37" s="3061"/>
      <c r="AU37" s="3136">
        <f t="shared" si="269"/>
        <v>0</v>
      </c>
      <c r="AV37" s="3061"/>
      <c r="AW37" s="3061"/>
      <c r="AX37" s="3136">
        <f t="shared" si="271"/>
        <v>0</v>
      </c>
      <c r="AY37" s="3061"/>
      <c r="AZ37" s="3061"/>
      <c r="BA37" s="3136">
        <f t="shared" si="315"/>
        <v>0</v>
      </c>
      <c r="BB37" s="3136">
        <f t="shared" si="316"/>
        <v>0</v>
      </c>
      <c r="BC37" s="3136">
        <f t="shared" si="317"/>
        <v>0</v>
      </c>
      <c r="BD37" s="3209">
        <f t="shared" si="318"/>
        <v>0</v>
      </c>
      <c r="BE37" s="3209">
        <f t="shared" si="319"/>
        <v>0</v>
      </c>
      <c r="BF37" s="3209">
        <f t="shared" si="320"/>
        <v>0</v>
      </c>
      <c r="BG37" s="3264">
        <f t="shared" si="277"/>
        <v>0</v>
      </c>
      <c r="BH37" s="3264">
        <f t="shared" si="278"/>
        <v>0</v>
      </c>
      <c r="BI37" s="3264">
        <f t="shared" si="279"/>
        <v>0</v>
      </c>
      <c r="BJ37" s="3264">
        <f t="shared" si="280"/>
        <v>0</v>
      </c>
      <c r="BK37" s="3264">
        <f t="shared" si="281"/>
        <v>0</v>
      </c>
      <c r="BL37" s="3264">
        <f t="shared" si="282"/>
        <v>0</v>
      </c>
      <c r="BM37" s="3208">
        <f t="shared" si="321"/>
        <v>0</v>
      </c>
      <c r="BN37" s="3208">
        <f t="shared" si="322"/>
        <v>0</v>
      </c>
      <c r="BO37" s="3208">
        <f t="shared" si="323"/>
        <v>0</v>
      </c>
      <c r="BP37" s="3136">
        <f t="shared" si="284"/>
        <v>0</v>
      </c>
      <c r="BQ37" s="3061"/>
      <c r="BR37" s="3061"/>
      <c r="BS37" s="3136">
        <f t="shared" si="286"/>
        <v>0</v>
      </c>
      <c r="BT37" s="3061"/>
      <c r="BU37" s="3061"/>
      <c r="BV37" s="3136">
        <f t="shared" si="288"/>
        <v>0</v>
      </c>
      <c r="BW37" s="3061"/>
      <c r="BX37" s="3061"/>
      <c r="BY37" s="3136">
        <f t="shared" si="324"/>
        <v>0</v>
      </c>
      <c r="BZ37" s="3136">
        <f t="shared" si="325"/>
        <v>0</v>
      </c>
      <c r="CA37" s="3136">
        <f t="shared" si="326"/>
        <v>0</v>
      </c>
      <c r="CB37" s="3209">
        <v>0</v>
      </c>
      <c r="CC37" s="3209">
        <f>SUM(CB37/CB14*CC14)</f>
        <v>0</v>
      </c>
      <c r="CD37" s="3209">
        <f>SUM(CB37/CB14*CD14)</f>
        <v>0</v>
      </c>
      <c r="CE37" s="3264">
        <f t="shared" si="291"/>
        <v>0</v>
      </c>
      <c r="CF37" s="3264">
        <f t="shared" si="292"/>
        <v>0</v>
      </c>
      <c r="CG37" s="3264">
        <f t="shared" si="293"/>
        <v>0</v>
      </c>
      <c r="CH37" s="3264">
        <f t="shared" si="294"/>
        <v>0</v>
      </c>
      <c r="CI37" s="3264">
        <f t="shared" si="295"/>
        <v>0</v>
      </c>
      <c r="CJ37" s="3264">
        <f t="shared" si="296"/>
        <v>0</v>
      </c>
      <c r="CK37" s="3259"/>
      <c r="CL37" s="3259"/>
      <c r="CM37" s="3259"/>
      <c r="CN37" s="3254"/>
    </row>
    <row r="38" spans="1:92" ht="18.75" customHeight="1" x14ac:dyDescent="0.3">
      <c r="A38" s="3075" t="s">
        <v>601</v>
      </c>
      <c r="B38" s="3208">
        <f t="shared" si="297"/>
        <v>2.7358473351584314</v>
      </c>
      <c r="C38" s="3208">
        <f t="shared" si="298"/>
        <v>2.7345251266351562</v>
      </c>
      <c r="D38" s="3208">
        <f t="shared" si="299"/>
        <v>1.322208523275E-3</v>
      </c>
      <c r="E38" s="3136">
        <f t="shared" si="167"/>
        <v>0</v>
      </c>
      <c r="F38" s="3061"/>
      <c r="G38" s="3061"/>
      <c r="H38" s="3136">
        <f t="shared" si="168"/>
        <v>0</v>
      </c>
      <c r="I38" s="3061"/>
      <c r="J38" s="3061"/>
      <c r="K38" s="3136">
        <f t="shared" si="169"/>
        <v>0</v>
      </c>
      <c r="L38" s="3061"/>
      <c r="M38" s="3061"/>
      <c r="N38" s="3136">
        <f t="shared" si="300"/>
        <v>0</v>
      </c>
      <c r="O38" s="3136">
        <f t="shared" si="301"/>
        <v>0</v>
      </c>
      <c r="P38" s="3136">
        <f t="shared" si="302"/>
        <v>0</v>
      </c>
      <c r="Q38" s="3208">
        <f t="shared" si="303"/>
        <v>2.7358473351584314</v>
      </c>
      <c r="R38" s="3208">
        <f t="shared" si="304"/>
        <v>2.7345251266351562</v>
      </c>
      <c r="S38" s="3208">
        <f t="shared" si="305"/>
        <v>1.322208523275E-3</v>
      </c>
      <c r="T38" s="3136">
        <f t="shared" si="252"/>
        <v>0</v>
      </c>
      <c r="U38" s="3061"/>
      <c r="V38" s="3061"/>
      <c r="W38" s="3136">
        <f t="shared" si="254"/>
        <v>0</v>
      </c>
      <c r="X38" s="3061"/>
      <c r="Y38" s="3061"/>
      <c r="Z38" s="3136">
        <f t="shared" si="256"/>
        <v>0</v>
      </c>
      <c r="AA38" s="3061"/>
      <c r="AB38" s="3061"/>
      <c r="AC38" s="3136">
        <f t="shared" si="306"/>
        <v>0</v>
      </c>
      <c r="AD38" s="3136">
        <f t="shared" si="307"/>
        <v>0</v>
      </c>
      <c r="AE38" s="3136">
        <f t="shared" si="308"/>
        <v>0</v>
      </c>
      <c r="AF38" s="3209">
        <f t="shared" si="309"/>
        <v>5.4716946703168627</v>
      </c>
      <c r="AG38" s="3209">
        <f t="shared" si="310"/>
        <v>5.4690502532703125</v>
      </c>
      <c r="AH38" s="3209">
        <f t="shared" si="311"/>
        <v>2.64441704655E-3</v>
      </c>
      <c r="AI38" s="3264">
        <f t="shared" si="260"/>
        <v>0</v>
      </c>
      <c r="AJ38" s="3264">
        <f t="shared" si="261"/>
        <v>0</v>
      </c>
      <c r="AK38" s="3264">
        <f t="shared" si="262"/>
        <v>0</v>
      </c>
      <c r="AL38" s="3264">
        <f t="shared" si="263"/>
        <v>-5.4716946703168627</v>
      </c>
      <c r="AM38" s="3264">
        <f t="shared" si="264"/>
        <v>-5.4690502532703125</v>
      </c>
      <c r="AN38" s="3264">
        <f t="shared" si="265"/>
        <v>-2.64441704655E-3</v>
      </c>
      <c r="AO38" s="3208">
        <f t="shared" si="312"/>
        <v>2.7358473351584314</v>
      </c>
      <c r="AP38" s="3208">
        <f t="shared" si="313"/>
        <v>2.7345251266351562</v>
      </c>
      <c r="AQ38" s="3208">
        <f t="shared" si="314"/>
        <v>1.322208523275E-3</v>
      </c>
      <c r="AR38" s="3136">
        <f t="shared" si="267"/>
        <v>0</v>
      </c>
      <c r="AS38" s="3061"/>
      <c r="AT38" s="3061"/>
      <c r="AU38" s="3136">
        <f t="shared" si="269"/>
        <v>0</v>
      </c>
      <c r="AV38" s="3061"/>
      <c r="AW38" s="3061"/>
      <c r="AX38" s="3136">
        <f t="shared" si="271"/>
        <v>0</v>
      </c>
      <c r="AY38" s="3061"/>
      <c r="AZ38" s="3061"/>
      <c r="BA38" s="3136">
        <f t="shared" si="315"/>
        <v>0</v>
      </c>
      <c r="BB38" s="3136">
        <f t="shared" si="316"/>
        <v>0</v>
      </c>
      <c r="BC38" s="3136">
        <f t="shared" si="317"/>
        <v>0</v>
      </c>
      <c r="BD38" s="3209">
        <f t="shared" si="318"/>
        <v>8.207542005475295</v>
      </c>
      <c r="BE38" s="3209">
        <f t="shared" si="319"/>
        <v>8.2035753799054696</v>
      </c>
      <c r="BF38" s="3209">
        <f t="shared" si="320"/>
        <v>3.9666255698250002E-3</v>
      </c>
      <c r="BG38" s="3264">
        <f t="shared" si="277"/>
        <v>0</v>
      </c>
      <c r="BH38" s="3264">
        <f t="shared" si="278"/>
        <v>0</v>
      </c>
      <c r="BI38" s="3264">
        <f t="shared" si="279"/>
        <v>0</v>
      </c>
      <c r="BJ38" s="3264">
        <f t="shared" si="280"/>
        <v>-8.207542005475295</v>
      </c>
      <c r="BK38" s="3264">
        <f t="shared" si="281"/>
        <v>-8.2035753799054696</v>
      </c>
      <c r="BL38" s="3264">
        <f t="shared" si="282"/>
        <v>-3.9666255698250002E-3</v>
      </c>
      <c r="BM38" s="3208">
        <f t="shared" si="321"/>
        <v>2.7358473351584314</v>
      </c>
      <c r="BN38" s="3208">
        <f t="shared" si="322"/>
        <v>2.7345251266351562</v>
      </c>
      <c r="BO38" s="3208">
        <f t="shared" si="323"/>
        <v>1.322208523275E-3</v>
      </c>
      <c r="BP38" s="3136">
        <f t="shared" si="284"/>
        <v>0</v>
      </c>
      <c r="BQ38" s="3061"/>
      <c r="BR38" s="3061"/>
      <c r="BS38" s="3136">
        <f t="shared" si="286"/>
        <v>0</v>
      </c>
      <c r="BT38" s="3061"/>
      <c r="BU38" s="3061"/>
      <c r="BV38" s="3136">
        <f t="shared" si="288"/>
        <v>0</v>
      </c>
      <c r="BW38" s="3061"/>
      <c r="BX38" s="3061"/>
      <c r="BY38" s="3136">
        <f t="shared" si="324"/>
        <v>0</v>
      </c>
      <c r="BZ38" s="3136">
        <f t="shared" si="325"/>
        <v>0</v>
      </c>
      <c r="CA38" s="3136">
        <f t="shared" si="326"/>
        <v>0</v>
      </c>
      <c r="CB38" s="3209">
        <f>SUM(CB32*0.007109)</f>
        <v>10.943389340633725</v>
      </c>
      <c r="CC38" s="3209">
        <f>SUM(CB38/CB14*CC14)</f>
        <v>10.938100506540625</v>
      </c>
      <c r="CD38" s="3209">
        <f>SUM(CB38/CB14*CD14)</f>
        <v>5.2888340931E-3</v>
      </c>
      <c r="CE38" s="3264">
        <f t="shared" si="291"/>
        <v>0</v>
      </c>
      <c r="CF38" s="3264">
        <f t="shared" si="292"/>
        <v>0</v>
      </c>
      <c r="CG38" s="3264">
        <f t="shared" si="293"/>
        <v>0</v>
      </c>
      <c r="CH38" s="3264">
        <f t="shared" si="294"/>
        <v>-10.943389340633725</v>
      </c>
      <c r="CI38" s="3264">
        <f t="shared" si="295"/>
        <v>-10.938100506540625</v>
      </c>
      <c r="CJ38" s="3264">
        <f t="shared" si="296"/>
        <v>-5.2888340931E-3</v>
      </c>
      <c r="CK38" s="3259"/>
      <c r="CL38" s="3259"/>
      <c r="CM38" s="3259"/>
      <c r="CN38" s="3254"/>
    </row>
    <row r="39" spans="1:92" ht="18.75" customHeight="1" x14ac:dyDescent="0.3">
      <c r="A39" s="3075" t="s">
        <v>98</v>
      </c>
      <c r="B39" s="3208">
        <f t="shared" si="297"/>
        <v>19.49495525</v>
      </c>
      <c r="C39" s="3208">
        <f t="shared" si="298"/>
        <v>19.485533526915834</v>
      </c>
      <c r="D39" s="3208">
        <f t="shared" si="299"/>
        <v>9.4217230841654453E-3</v>
      </c>
      <c r="E39" s="3136">
        <f t="shared" si="167"/>
        <v>0</v>
      </c>
      <c r="F39" s="3061"/>
      <c r="G39" s="3061"/>
      <c r="H39" s="3136">
        <f t="shared" si="168"/>
        <v>0</v>
      </c>
      <c r="I39" s="3061"/>
      <c r="J39" s="3061"/>
      <c r="K39" s="3136">
        <f t="shared" si="169"/>
        <v>7.56</v>
      </c>
      <c r="L39" s="3061">
        <v>7.56</v>
      </c>
      <c r="M39" s="3061"/>
      <c r="N39" s="3136">
        <f t="shared" si="300"/>
        <v>7.56</v>
      </c>
      <c r="O39" s="3136">
        <f t="shared" si="301"/>
        <v>7.56</v>
      </c>
      <c r="P39" s="3136">
        <f t="shared" si="302"/>
        <v>0</v>
      </c>
      <c r="Q39" s="3208">
        <f t="shared" si="303"/>
        <v>19.49495525</v>
      </c>
      <c r="R39" s="3208">
        <f t="shared" si="304"/>
        <v>19.485533526915834</v>
      </c>
      <c r="S39" s="3208">
        <f t="shared" si="305"/>
        <v>9.4217230841654453E-3</v>
      </c>
      <c r="T39" s="3136">
        <f t="shared" si="252"/>
        <v>0</v>
      </c>
      <c r="U39" s="3061"/>
      <c r="V39" s="3061"/>
      <c r="W39" s="3136">
        <f t="shared" si="254"/>
        <v>0</v>
      </c>
      <c r="X39" s="3061"/>
      <c r="Y39" s="3061"/>
      <c r="Z39" s="3136">
        <f t="shared" si="256"/>
        <v>7.56</v>
      </c>
      <c r="AA39" s="3061">
        <v>7.56</v>
      </c>
      <c r="AB39" s="3061"/>
      <c r="AC39" s="3136">
        <f t="shared" si="306"/>
        <v>7.56</v>
      </c>
      <c r="AD39" s="3136">
        <f t="shared" si="307"/>
        <v>7.56</v>
      </c>
      <c r="AE39" s="3136">
        <f t="shared" si="308"/>
        <v>0</v>
      </c>
      <c r="AF39" s="3209">
        <f t="shared" si="309"/>
        <v>38.989910500000001</v>
      </c>
      <c r="AG39" s="3209">
        <f t="shared" si="310"/>
        <v>38.971067053831668</v>
      </c>
      <c r="AH39" s="3209">
        <f t="shared" si="311"/>
        <v>1.8843446168330891E-2</v>
      </c>
      <c r="AI39" s="3264">
        <f t="shared" si="260"/>
        <v>15.12</v>
      </c>
      <c r="AJ39" s="3264">
        <f t="shared" si="261"/>
        <v>15.12</v>
      </c>
      <c r="AK39" s="3264">
        <f t="shared" si="262"/>
        <v>0</v>
      </c>
      <c r="AL39" s="3264">
        <f t="shared" si="263"/>
        <v>-23.869910500000003</v>
      </c>
      <c r="AM39" s="3264">
        <f t="shared" si="264"/>
        <v>-23.85106705383167</v>
      </c>
      <c r="AN39" s="3264">
        <f t="shared" si="265"/>
        <v>-1.8843446168330891E-2</v>
      </c>
      <c r="AO39" s="3208">
        <f t="shared" si="312"/>
        <v>19.49495525</v>
      </c>
      <c r="AP39" s="3208">
        <f t="shared" si="313"/>
        <v>19.485533526915834</v>
      </c>
      <c r="AQ39" s="3208">
        <f t="shared" si="314"/>
        <v>9.4217230841654453E-3</v>
      </c>
      <c r="AR39" s="3136">
        <f t="shared" si="267"/>
        <v>0</v>
      </c>
      <c r="AS39" s="3061"/>
      <c r="AT39" s="3061"/>
      <c r="AU39" s="3136">
        <f t="shared" si="269"/>
        <v>0</v>
      </c>
      <c r="AV39" s="3061"/>
      <c r="AW39" s="3061"/>
      <c r="AX39" s="3136">
        <f t="shared" si="271"/>
        <v>7.56</v>
      </c>
      <c r="AY39" s="3061">
        <v>7.56</v>
      </c>
      <c r="AZ39" s="3061"/>
      <c r="BA39" s="3136">
        <f t="shared" si="315"/>
        <v>7.56</v>
      </c>
      <c r="BB39" s="3136">
        <f t="shared" si="316"/>
        <v>7.56</v>
      </c>
      <c r="BC39" s="3136">
        <f t="shared" si="317"/>
        <v>0</v>
      </c>
      <c r="BD39" s="3209">
        <f t="shared" si="318"/>
        <v>58.484865750000004</v>
      </c>
      <c r="BE39" s="3209">
        <f t="shared" si="319"/>
        <v>58.456600580747505</v>
      </c>
      <c r="BF39" s="3209">
        <f t="shared" si="320"/>
        <v>2.8265169252496336E-2</v>
      </c>
      <c r="BG39" s="3264">
        <f t="shared" si="277"/>
        <v>22.68</v>
      </c>
      <c r="BH39" s="3264">
        <f t="shared" si="278"/>
        <v>22.68</v>
      </c>
      <c r="BI39" s="3264">
        <f t="shared" si="279"/>
        <v>0</v>
      </c>
      <c r="BJ39" s="3264">
        <f t="shared" si="280"/>
        <v>-35.804865750000005</v>
      </c>
      <c r="BK39" s="3264">
        <f t="shared" si="281"/>
        <v>-35.776600580747505</v>
      </c>
      <c r="BL39" s="3264">
        <f t="shared" si="282"/>
        <v>-2.8265169252496336E-2</v>
      </c>
      <c r="BM39" s="3208">
        <f t="shared" si="321"/>
        <v>19.49495525</v>
      </c>
      <c r="BN39" s="3208">
        <f t="shared" si="322"/>
        <v>19.485533526915834</v>
      </c>
      <c r="BO39" s="3208">
        <f t="shared" si="323"/>
        <v>9.4217230841654453E-3</v>
      </c>
      <c r="BP39" s="3136">
        <f t="shared" si="284"/>
        <v>0</v>
      </c>
      <c r="BQ39" s="3061"/>
      <c r="BR39" s="3061"/>
      <c r="BS39" s="3136">
        <f t="shared" si="286"/>
        <v>0</v>
      </c>
      <c r="BT39" s="3061"/>
      <c r="BU39" s="3061"/>
      <c r="BV39" s="3136">
        <f t="shared" si="288"/>
        <v>0</v>
      </c>
      <c r="BW39" s="3061"/>
      <c r="BX39" s="3061"/>
      <c r="BY39" s="3136">
        <f t="shared" si="324"/>
        <v>0</v>
      </c>
      <c r="BZ39" s="3136">
        <f t="shared" si="325"/>
        <v>0</v>
      </c>
      <c r="CA39" s="3136">
        <f t="shared" si="326"/>
        <v>0</v>
      </c>
      <c r="CB39" s="3209">
        <v>77.979821000000001</v>
      </c>
      <c r="CC39" s="3209">
        <f>SUM(CB39/CB14*CC14)</f>
        <v>77.942134107663335</v>
      </c>
      <c r="CD39" s="3209">
        <f>SUM(CB39/CB14*CD14)</f>
        <v>3.7686892336661781E-2</v>
      </c>
      <c r="CE39" s="3264">
        <f t="shared" si="291"/>
        <v>22.68</v>
      </c>
      <c r="CF39" s="3264">
        <f t="shared" si="292"/>
        <v>22.68</v>
      </c>
      <c r="CG39" s="3264">
        <f t="shared" si="293"/>
        <v>0</v>
      </c>
      <c r="CH39" s="3264">
        <f t="shared" si="294"/>
        <v>-55.299821000000001</v>
      </c>
      <c r="CI39" s="3264">
        <f t="shared" si="295"/>
        <v>-55.262134107663336</v>
      </c>
      <c r="CJ39" s="3264">
        <f t="shared" si="296"/>
        <v>-3.7686892336661781E-2</v>
      </c>
      <c r="CK39" s="3259"/>
      <c r="CL39" s="3259"/>
      <c r="CM39" s="3259"/>
      <c r="CN39" s="3254"/>
    </row>
    <row r="40" spans="1:92" ht="18.75" customHeight="1" x14ac:dyDescent="0.3">
      <c r="A40" s="3075" t="s">
        <v>38</v>
      </c>
      <c r="B40" s="3208">
        <f t="shared" si="297"/>
        <v>3.8484278170747381</v>
      </c>
      <c r="C40" s="3208">
        <f t="shared" si="298"/>
        <v>3.8465679091787259</v>
      </c>
      <c r="D40" s="3208">
        <f t="shared" si="299"/>
        <v>1.8599078960120973E-3</v>
      </c>
      <c r="E40" s="3136">
        <f t="shared" si="167"/>
        <v>0</v>
      </c>
      <c r="F40" s="3061"/>
      <c r="G40" s="3061"/>
      <c r="H40" s="3136">
        <f t="shared" si="168"/>
        <v>0</v>
      </c>
      <c r="I40" s="3061"/>
      <c r="J40" s="3061"/>
      <c r="K40" s="3136">
        <f t="shared" si="169"/>
        <v>0</v>
      </c>
      <c r="L40" s="3061"/>
      <c r="M40" s="3061"/>
      <c r="N40" s="3136">
        <f t="shared" si="300"/>
        <v>0</v>
      </c>
      <c r="O40" s="3136">
        <f t="shared" si="301"/>
        <v>0</v>
      </c>
      <c r="P40" s="3136">
        <f t="shared" si="302"/>
        <v>0</v>
      </c>
      <c r="Q40" s="3208">
        <f t="shared" si="303"/>
        <v>3.8484278170747381</v>
      </c>
      <c r="R40" s="3208">
        <f t="shared" si="304"/>
        <v>3.8465679091787259</v>
      </c>
      <c r="S40" s="3208">
        <f t="shared" si="305"/>
        <v>1.8599078960120973E-3</v>
      </c>
      <c r="T40" s="3136">
        <f t="shared" si="252"/>
        <v>0</v>
      </c>
      <c r="U40" s="3061"/>
      <c r="V40" s="3061"/>
      <c r="W40" s="3136">
        <f t="shared" si="254"/>
        <v>0</v>
      </c>
      <c r="X40" s="3061"/>
      <c r="Y40" s="3061"/>
      <c r="Z40" s="3136">
        <f t="shared" si="256"/>
        <v>0</v>
      </c>
      <c r="AA40" s="3061"/>
      <c r="AB40" s="3061"/>
      <c r="AC40" s="3136">
        <f t="shared" si="306"/>
        <v>0</v>
      </c>
      <c r="AD40" s="3136">
        <f t="shared" si="307"/>
        <v>0</v>
      </c>
      <c r="AE40" s="3136">
        <f t="shared" si="308"/>
        <v>0</v>
      </c>
      <c r="AF40" s="3209">
        <f t="shared" si="309"/>
        <v>7.6968556341494763</v>
      </c>
      <c r="AG40" s="3209">
        <f t="shared" si="310"/>
        <v>7.6931358183574519</v>
      </c>
      <c r="AH40" s="3209">
        <f t="shared" si="311"/>
        <v>3.7198157920241945E-3</v>
      </c>
      <c r="AI40" s="3264">
        <f t="shared" si="260"/>
        <v>0</v>
      </c>
      <c r="AJ40" s="3264">
        <f t="shared" si="261"/>
        <v>0</v>
      </c>
      <c r="AK40" s="3264">
        <f t="shared" si="262"/>
        <v>0</v>
      </c>
      <c r="AL40" s="3264">
        <f t="shared" si="263"/>
        <v>-7.6968556341494763</v>
      </c>
      <c r="AM40" s="3264">
        <f t="shared" si="264"/>
        <v>-7.6931358183574519</v>
      </c>
      <c r="AN40" s="3264">
        <f t="shared" si="265"/>
        <v>-3.7198157920241945E-3</v>
      </c>
      <c r="AO40" s="3208">
        <f t="shared" si="312"/>
        <v>3.8484278170747381</v>
      </c>
      <c r="AP40" s="3208">
        <f t="shared" si="313"/>
        <v>3.8465679091787259</v>
      </c>
      <c r="AQ40" s="3208">
        <f t="shared" si="314"/>
        <v>1.8599078960120973E-3</v>
      </c>
      <c r="AR40" s="3136">
        <f t="shared" si="267"/>
        <v>0</v>
      </c>
      <c r="AS40" s="3061"/>
      <c r="AT40" s="3061"/>
      <c r="AU40" s="3136">
        <f t="shared" si="269"/>
        <v>0</v>
      </c>
      <c r="AV40" s="3061"/>
      <c r="AW40" s="3061"/>
      <c r="AX40" s="3136">
        <f t="shared" si="271"/>
        <v>0</v>
      </c>
      <c r="AY40" s="3061"/>
      <c r="AZ40" s="3061"/>
      <c r="BA40" s="3136">
        <f t="shared" si="315"/>
        <v>0</v>
      </c>
      <c r="BB40" s="3136">
        <f t="shared" si="316"/>
        <v>0</v>
      </c>
      <c r="BC40" s="3136">
        <f t="shared" si="317"/>
        <v>0</v>
      </c>
      <c r="BD40" s="3209">
        <f t="shared" si="318"/>
        <v>11.545283451224215</v>
      </c>
      <c r="BE40" s="3209">
        <f t="shared" si="319"/>
        <v>11.539703727536178</v>
      </c>
      <c r="BF40" s="3209">
        <f t="shared" si="320"/>
        <v>5.579723688036292E-3</v>
      </c>
      <c r="BG40" s="3264">
        <f t="shared" si="277"/>
        <v>0</v>
      </c>
      <c r="BH40" s="3264">
        <f t="shared" si="278"/>
        <v>0</v>
      </c>
      <c r="BI40" s="3264">
        <f t="shared" si="279"/>
        <v>0</v>
      </c>
      <c r="BJ40" s="3264">
        <f t="shared" si="280"/>
        <v>-11.545283451224215</v>
      </c>
      <c r="BK40" s="3264">
        <f t="shared" si="281"/>
        <v>-11.539703727536178</v>
      </c>
      <c r="BL40" s="3264">
        <f t="shared" si="282"/>
        <v>-5.579723688036292E-3</v>
      </c>
      <c r="BM40" s="3208">
        <f t="shared" si="321"/>
        <v>3.8484278170747381</v>
      </c>
      <c r="BN40" s="3208">
        <f t="shared" si="322"/>
        <v>3.8465679091787259</v>
      </c>
      <c r="BO40" s="3208">
        <f t="shared" si="323"/>
        <v>1.8599078960120973E-3</v>
      </c>
      <c r="BP40" s="3136">
        <f t="shared" si="284"/>
        <v>0</v>
      </c>
      <c r="BQ40" s="3061"/>
      <c r="BR40" s="3061"/>
      <c r="BS40" s="3136">
        <f t="shared" si="286"/>
        <v>0</v>
      </c>
      <c r="BT40" s="3061"/>
      <c r="BU40" s="3061"/>
      <c r="BV40" s="3136">
        <f t="shared" si="288"/>
        <v>0</v>
      </c>
      <c r="BW40" s="3061"/>
      <c r="BX40" s="3061"/>
      <c r="BY40" s="3136">
        <f t="shared" si="324"/>
        <v>0</v>
      </c>
      <c r="BZ40" s="3136">
        <f t="shared" si="325"/>
        <v>0</v>
      </c>
      <c r="CA40" s="3136">
        <f t="shared" si="326"/>
        <v>0</v>
      </c>
      <c r="CB40" s="3209">
        <f>SUM(CB32*0.01)</f>
        <v>15.393711268298953</v>
      </c>
      <c r="CC40" s="3209">
        <f>SUM(CB40/CB14*CC14)</f>
        <v>15.386271636714904</v>
      </c>
      <c r="CD40" s="3209">
        <f>SUM(CB40/CB14*CD14)</f>
        <v>7.439631584048389E-3</v>
      </c>
      <c r="CE40" s="3264">
        <f t="shared" si="291"/>
        <v>0</v>
      </c>
      <c r="CF40" s="3264">
        <f t="shared" si="292"/>
        <v>0</v>
      </c>
      <c r="CG40" s="3264">
        <f t="shared" si="293"/>
        <v>0</v>
      </c>
      <c r="CH40" s="3264">
        <f t="shared" si="294"/>
        <v>-15.393711268298953</v>
      </c>
      <c r="CI40" s="3264">
        <f t="shared" si="295"/>
        <v>-15.386271636714904</v>
      </c>
      <c r="CJ40" s="3264">
        <f t="shared" si="296"/>
        <v>-7.439631584048389E-3</v>
      </c>
      <c r="CK40" s="3259"/>
      <c r="CL40" s="3259"/>
      <c r="CM40" s="3259"/>
      <c r="CN40" s="3254"/>
    </row>
    <row r="41" spans="1:92" ht="18.75" customHeight="1" x14ac:dyDescent="0.3">
      <c r="A41" s="3075" t="s">
        <v>602</v>
      </c>
      <c r="B41" s="3208">
        <f>SUM(C41:D41)</f>
        <v>63.375909291586787</v>
      </c>
      <c r="C41" s="3208">
        <f t="shared" ref="C41:G41" si="327">SUM(C42:C44)</f>
        <v>63.345280328355258</v>
      </c>
      <c r="D41" s="3208">
        <f t="shared" si="327"/>
        <v>3.0628963231527216E-2</v>
      </c>
      <c r="E41" s="3136">
        <f t="shared" si="167"/>
        <v>0</v>
      </c>
      <c r="F41" s="3060">
        <f t="shared" si="327"/>
        <v>0</v>
      </c>
      <c r="G41" s="3060">
        <f t="shared" si="327"/>
        <v>0</v>
      </c>
      <c r="H41" s="3136">
        <f t="shared" si="168"/>
        <v>0</v>
      </c>
      <c r="I41" s="3060">
        <f t="shared" ref="I41:J41" si="328">SUM(I42:I44)</f>
        <v>0</v>
      </c>
      <c r="J41" s="3060">
        <f t="shared" si="328"/>
        <v>0</v>
      </c>
      <c r="K41" s="3136">
        <f t="shared" si="169"/>
        <v>0</v>
      </c>
      <c r="L41" s="3060">
        <f t="shared" ref="L41:M41" si="329">SUM(L42:L44)</f>
        <v>0</v>
      </c>
      <c r="M41" s="3060">
        <f t="shared" si="329"/>
        <v>0</v>
      </c>
      <c r="N41" s="3136">
        <f t="shared" si="300"/>
        <v>0</v>
      </c>
      <c r="O41" s="3060">
        <f t="shared" ref="O41:P41" si="330">SUM(O42:O44)</f>
        <v>0</v>
      </c>
      <c r="P41" s="3060">
        <f t="shared" si="330"/>
        <v>0</v>
      </c>
      <c r="Q41" s="3208">
        <f>SUM(R41:S41)</f>
        <v>63.375909291586787</v>
      </c>
      <c r="R41" s="3208">
        <f t="shared" ref="R41:S41" si="331">SUM(R42:R44)</f>
        <v>63.345280328355258</v>
      </c>
      <c r="S41" s="3208">
        <f t="shared" si="331"/>
        <v>3.0628963231527216E-2</v>
      </c>
      <c r="T41" s="3136">
        <f t="shared" si="252"/>
        <v>0</v>
      </c>
      <c r="U41" s="3060">
        <f t="shared" ref="U41:V41" si="332">SUM(U42:U44)</f>
        <v>0</v>
      </c>
      <c r="V41" s="3060">
        <f t="shared" si="332"/>
        <v>0</v>
      </c>
      <c r="W41" s="3136">
        <f t="shared" si="254"/>
        <v>0</v>
      </c>
      <c r="X41" s="3060">
        <f t="shared" ref="X41:Y41" si="333">SUM(X42:X44)</f>
        <v>0</v>
      </c>
      <c r="Y41" s="3060">
        <f t="shared" si="333"/>
        <v>0</v>
      </c>
      <c r="Z41" s="3136">
        <f t="shared" si="256"/>
        <v>0</v>
      </c>
      <c r="AA41" s="3060">
        <f t="shared" ref="AA41:AB41" si="334">SUM(AA42:AA44)</f>
        <v>0</v>
      </c>
      <c r="AB41" s="3060">
        <f t="shared" si="334"/>
        <v>0</v>
      </c>
      <c r="AC41" s="3136">
        <f t="shared" si="306"/>
        <v>0</v>
      </c>
      <c r="AD41" s="3060">
        <f t="shared" ref="AD41:AE41" si="335">SUM(AD42:AD44)</f>
        <v>0</v>
      </c>
      <c r="AE41" s="3060">
        <f t="shared" si="335"/>
        <v>0</v>
      </c>
      <c r="AF41" s="3209">
        <f t="shared" si="309"/>
        <v>126.75181858317357</v>
      </c>
      <c r="AG41" s="3209">
        <f t="shared" si="310"/>
        <v>126.69056065671052</v>
      </c>
      <c r="AH41" s="3209">
        <f t="shared" si="311"/>
        <v>6.1257926463054432E-2</v>
      </c>
      <c r="AI41" s="3264">
        <f t="shared" si="260"/>
        <v>0</v>
      </c>
      <c r="AJ41" s="3264">
        <f t="shared" si="261"/>
        <v>0</v>
      </c>
      <c r="AK41" s="3264">
        <f t="shared" si="262"/>
        <v>0</v>
      </c>
      <c r="AL41" s="3264">
        <f t="shared" si="263"/>
        <v>-126.75181858317357</v>
      </c>
      <c r="AM41" s="3264">
        <f t="shared" si="264"/>
        <v>-126.69056065671052</v>
      </c>
      <c r="AN41" s="3264">
        <f t="shared" si="265"/>
        <v>-6.1257926463054432E-2</v>
      </c>
      <c r="AO41" s="3208">
        <f>SUM(AP41:AQ41)</f>
        <v>63.375909291586787</v>
      </c>
      <c r="AP41" s="3208">
        <f t="shared" ref="AP41" si="336">SUM(CC41-AG41)/2</f>
        <v>63.345280328355258</v>
      </c>
      <c r="AQ41" s="3208">
        <f t="shared" ref="AQ41" si="337">SUM(CD41-AH41)/2</f>
        <v>3.0628963231527216E-2</v>
      </c>
      <c r="AR41" s="3136">
        <f t="shared" si="267"/>
        <v>0</v>
      </c>
      <c r="AS41" s="3060">
        <f t="shared" ref="AS41:AT41" si="338">SUM(AS42:AS44)</f>
        <v>0</v>
      </c>
      <c r="AT41" s="3060">
        <f t="shared" si="338"/>
        <v>0</v>
      </c>
      <c r="AU41" s="3136">
        <f t="shared" si="269"/>
        <v>0</v>
      </c>
      <c r="AV41" s="3060">
        <f t="shared" ref="AV41:AW41" si="339">SUM(AV42:AV44)</f>
        <v>0</v>
      </c>
      <c r="AW41" s="3060">
        <f t="shared" si="339"/>
        <v>0</v>
      </c>
      <c r="AX41" s="3136">
        <f t="shared" si="271"/>
        <v>0</v>
      </c>
      <c r="AY41" s="3060">
        <f t="shared" ref="AY41:AZ41" si="340">SUM(AY42:AY44)</f>
        <v>0</v>
      </c>
      <c r="AZ41" s="3060">
        <f t="shared" si="340"/>
        <v>0</v>
      </c>
      <c r="BA41" s="3136">
        <f t="shared" si="315"/>
        <v>0</v>
      </c>
      <c r="BB41" s="3060">
        <f t="shared" ref="BB41:BC41" si="341">SUM(BB42:BB44)</f>
        <v>0</v>
      </c>
      <c r="BC41" s="3060">
        <f t="shared" si="341"/>
        <v>0</v>
      </c>
      <c r="BD41" s="3209">
        <f t="shared" si="318"/>
        <v>190.12772787476035</v>
      </c>
      <c r="BE41" s="3209">
        <f t="shared" si="319"/>
        <v>190.03584098506576</v>
      </c>
      <c r="BF41" s="3209">
        <f t="shared" si="320"/>
        <v>9.1886889694581642E-2</v>
      </c>
      <c r="BG41" s="3264">
        <f t="shared" si="277"/>
        <v>0</v>
      </c>
      <c r="BH41" s="3264">
        <f t="shared" si="278"/>
        <v>0</v>
      </c>
      <c r="BI41" s="3264">
        <f t="shared" si="279"/>
        <v>0</v>
      </c>
      <c r="BJ41" s="3264">
        <f t="shared" si="280"/>
        <v>-190.12772787476035</v>
      </c>
      <c r="BK41" s="3264">
        <f t="shared" si="281"/>
        <v>-190.03584098506576</v>
      </c>
      <c r="BL41" s="3264">
        <f t="shared" si="282"/>
        <v>-9.1886889694581642E-2</v>
      </c>
      <c r="BM41" s="3208">
        <f>SUM(BN41:BO41)</f>
        <v>63.375909291586787</v>
      </c>
      <c r="BN41" s="3208">
        <f t="shared" ref="BN41:BO41" si="342">SUM(BN42:BN44)</f>
        <v>63.345280328355258</v>
      </c>
      <c r="BO41" s="3208">
        <f t="shared" si="342"/>
        <v>3.0628963231527216E-2</v>
      </c>
      <c r="BP41" s="3136">
        <f t="shared" si="284"/>
        <v>0</v>
      </c>
      <c r="BQ41" s="3060">
        <f t="shared" ref="BQ41:BR41" si="343">SUM(BQ42:BQ44)</f>
        <v>0</v>
      </c>
      <c r="BR41" s="3060">
        <f t="shared" si="343"/>
        <v>0</v>
      </c>
      <c r="BS41" s="3136">
        <f t="shared" si="286"/>
        <v>0</v>
      </c>
      <c r="BT41" s="3060">
        <f t="shared" ref="BT41:BU41" si="344">SUM(BT42:BT44)</f>
        <v>0</v>
      </c>
      <c r="BU41" s="3060">
        <f t="shared" si="344"/>
        <v>0</v>
      </c>
      <c r="BV41" s="3136">
        <f t="shared" si="288"/>
        <v>0</v>
      </c>
      <c r="BW41" s="3060">
        <f t="shared" ref="BW41:BX41" si="345">SUM(BW42:BW44)</f>
        <v>0</v>
      </c>
      <c r="BX41" s="3060">
        <f t="shared" si="345"/>
        <v>0</v>
      </c>
      <c r="BY41" s="3136">
        <f t="shared" si="324"/>
        <v>0</v>
      </c>
      <c r="BZ41" s="3060">
        <f t="shared" ref="BZ41:CA41" si="346">SUM(BZ42:BZ44)</f>
        <v>0</v>
      </c>
      <c r="CA41" s="3060">
        <f t="shared" si="346"/>
        <v>0</v>
      </c>
      <c r="CB41" s="3209">
        <f>SUM(CC41:CD41)</f>
        <v>253.50363716634715</v>
      </c>
      <c r="CC41" s="3209">
        <f>SUM(CC42:CC44)</f>
        <v>253.38112131342103</v>
      </c>
      <c r="CD41" s="3209">
        <f>SUM(CD42:CD44)</f>
        <v>0.12251585292610886</v>
      </c>
      <c r="CE41" s="3264">
        <f t="shared" si="291"/>
        <v>0</v>
      </c>
      <c r="CF41" s="3264">
        <f t="shared" si="292"/>
        <v>0</v>
      </c>
      <c r="CG41" s="3264">
        <f t="shared" si="293"/>
        <v>0</v>
      </c>
      <c r="CH41" s="3264">
        <f t="shared" si="294"/>
        <v>-253.50363716634715</v>
      </c>
      <c r="CI41" s="3264">
        <f t="shared" si="295"/>
        <v>-253.38112131342103</v>
      </c>
      <c r="CJ41" s="3264">
        <f t="shared" si="296"/>
        <v>-0.12251585292610886</v>
      </c>
      <c r="CK41" s="3259"/>
      <c r="CL41" s="3259"/>
      <c r="CM41" s="3259"/>
      <c r="CN41" s="3254"/>
    </row>
    <row r="42" spans="1:92" ht="18.75" customHeight="1" x14ac:dyDescent="0.3">
      <c r="A42" s="3076" t="s">
        <v>557</v>
      </c>
      <c r="B42" s="3210">
        <f t="shared" ref="B42:B44" si="347">SUM(C42:D42)</f>
        <v>61.836538164756888</v>
      </c>
      <c r="C42" s="3210">
        <f t="shared" ref="C42:C44" si="348">SUM(CC42/4)</f>
        <v>61.806653164683766</v>
      </c>
      <c r="D42" s="3210">
        <f t="shared" ref="D42:D44" si="349">SUM(CD42/4)</f>
        <v>2.9885000073122378E-2</v>
      </c>
      <c r="E42" s="3145">
        <f t="shared" si="167"/>
        <v>0</v>
      </c>
      <c r="F42" s="3066"/>
      <c r="G42" s="3066"/>
      <c r="H42" s="3145">
        <f t="shared" si="168"/>
        <v>0</v>
      </c>
      <c r="I42" s="3066"/>
      <c r="J42" s="3066"/>
      <c r="K42" s="3145">
        <f t="shared" si="169"/>
        <v>0</v>
      </c>
      <c r="L42" s="3066"/>
      <c r="M42" s="3066"/>
      <c r="N42" s="3145">
        <f t="shared" ref="N42:N45" si="350">SUM(O42:P42)</f>
        <v>0</v>
      </c>
      <c r="O42" s="3145">
        <f t="shared" ref="O42:O44" si="351">SUM(F42+I42+L42)</f>
        <v>0</v>
      </c>
      <c r="P42" s="3145">
        <f t="shared" ref="P42:P44" si="352">SUM(G42+J42+M42)</f>
        <v>0</v>
      </c>
      <c r="Q42" s="3210">
        <f t="shared" si="303"/>
        <v>61.836538164756888</v>
      </c>
      <c r="R42" s="3210">
        <f t="shared" si="304"/>
        <v>61.806653164683766</v>
      </c>
      <c r="S42" s="3210">
        <f t="shared" si="305"/>
        <v>2.9885000073122378E-2</v>
      </c>
      <c r="T42" s="3145">
        <f t="shared" si="252"/>
        <v>0</v>
      </c>
      <c r="U42" s="3066"/>
      <c r="V42" s="3066"/>
      <c r="W42" s="3145">
        <f t="shared" si="254"/>
        <v>0</v>
      </c>
      <c r="X42" s="3066"/>
      <c r="Y42" s="3066"/>
      <c r="Z42" s="3145">
        <f t="shared" si="256"/>
        <v>0</v>
      </c>
      <c r="AA42" s="3066"/>
      <c r="AB42" s="3066"/>
      <c r="AC42" s="3145">
        <f t="shared" si="306"/>
        <v>0</v>
      </c>
      <c r="AD42" s="3145">
        <f t="shared" ref="AD42:AD44" si="353">SUM(U42+X42+AA42)</f>
        <v>0</v>
      </c>
      <c r="AE42" s="3145">
        <f t="shared" ref="AE42:AE44" si="354">SUM(V42+Y42+AB42)</f>
        <v>0</v>
      </c>
      <c r="AF42" s="3211">
        <f t="shared" si="309"/>
        <v>123.67307632951378</v>
      </c>
      <c r="AG42" s="3211">
        <f t="shared" si="310"/>
        <v>123.61330632936753</v>
      </c>
      <c r="AH42" s="3211">
        <f t="shared" si="311"/>
        <v>5.9770000146244756E-2</v>
      </c>
      <c r="AI42" s="3194">
        <f t="shared" si="260"/>
        <v>0</v>
      </c>
      <c r="AJ42" s="3194">
        <f t="shared" si="261"/>
        <v>0</v>
      </c>
      <c r="AK42" s="3194">
        <f t="shared" si="262"/>
        <v>0</v>
      </c>
      <c r="AL42" s="3194">
        <f t="shared" si="263"/>
        <v>-123.67307632951378</v>
      </c>
      <c r="AM42" s="3194">
        <f t="shared" si="264"/>
        <v>-123.61330632936753</v>
      </c>
      <c r="AN42" s="3194">
        <f t="shared" si="265"/>
        <v>-5.9770000146244756E-2</v>
      </c>
      <c r="AO42" s="3210">
        <f t="shared" si="312"/>
        <v>61.836538164756888</v>
      </c>
      <c r="AP42" s="3210">
        <f t="shared" si="313"/>
        <v>61.806653164683766</v>
      </c>
      <c r="AQ42" s="3210">
        <f t="shared" si="314"/>
        <v>2.9885000073122378E-2</v>
      </c>
      <c r="AR42" s="3145">
        <f t="shared" si="267"/>
        <v>0</v>
      </c>
      <c r="AS42" s="3066"/>
      <c r="AT42" s="3066"/>
      <c r="AU42" s="3145">
        <f t="shared" si="269"/>
        <v>0</v>
      </c>
      <c r="AV42" s="3066"/>
      <c r="AW42" s="3066"/>
      <c r="AX42" s="3145">
        <f t="shared" si="271"/>
        <v>0</v>
      </c>
      <c r="AY42" s="3066"/>
      <c r="AZ42" s="3066"/>
      <c r="BA42" s="3145">
        <f t="shared" si="315"/>
        <v>0</v>
      </c>
      <c r="BB42" s="3145">
        <f t="shared" ref="BB42:BB44" si="355">SUM(AS42+AV42+AY42)</f>
        <v>0</v>
      </c>
      <c r="BC42" s="3145">
        <f t="shared" ref="BC42:BC44" si="356">SUM(AT42+AW42+AZ42)</f>
        <v>0</v>
      </c>
      <c r="BD42" s="3211">
        <f t="shared" si="318"/>
        <v>185.50961449427066</v>
      </c>
      <c r="BE42" s="3211">
        <f t="shared" si="319"/>
        <v>185.41995949405128</v>
      </c>
      <c r="BF42" s="3211">
        <f t="shared" si="320"/>
        <v>8.9655000219367134E-2</v>
      </c>
      <c r="BG42" s="3194">
        <f t="shared" si="277"/>
        <v>0</v>
      </c>
      <c r="BH42" s="3194">
        <f t="shared" si="278"/>
        <v>0</v>
      </c>
      <c r="BI42" s="3194">
        <f t="shared" si="279"/>
        <v>0</v>
      </c>
      <c r="BJ42" s="3194">
        <f t="shared" si="280"/>
        <v>-185.50961449427066</v>
      </c>
      <c r="BK42" s="3194">
        <f t="shared" si="281"/>
        <v>-185.41995949405128</v>
      </c>
      <c r="BL42" s="3194">
        <f t="shared" si="282"/>
        <v>-8.9655000219367134E-2</v>
      </c>
      <c r="BM42" s="3210">
        <f t="shared" si="321"/>
        <v>61.836538164756888</v>
      </c>
      <c r="BN42" s="3210">
        <f t="shared" si="322"/>
        <v>61.806653164683766</v>
      </c>
      <c r="BO42" s="3210">
        <f t="shared" si="323"/>
        <v>2.9885000073122378E-2</v>
      </c>
      <c r="BP42" s="3145">
        <f t="shared" si="284"/>
        <v>0</v>
      </c>
      <c r="BQ42" s="3066"/>
      <c r="BR42" s="3066"/>
      <c r="BS42" s="3145">
        <f t="shared" si="286"/>
        <v>0</v>
      </c>
      <c r="BT42" s="3066"/>
      <c r="BU42" s="3066"/>
      <c r="BV42" s="3145">
        <f t="shared" si="288"/>
        <v>0</v>
      </c>
      <c r="BW42" s="3066"/>
      <c r="BX42" s="3066"/>
      <c r="BY42" s="3145">
        <f t="shared" si="324"/>
        <v>0</v>
      </c>
      <c r="BZ42" s="3145">
        <f t="shared" ref="BZ42:BZ44" si="357">SUM(BQ42+BT42+BW42)</f>
        <v>0</v>
      </c>
      <c r="CA42" s="3145">
        <f t="shared" ref="CA42:CA44" si="358">SUM(BR42+BU42+BX42)</f>
        <v>0</v>
      </c>
      <c r="CB42" s="3211">
        <f>SUM(CB32*0.16068)</f>
        <v>247.34615265902755</v>
      </c>
      <c r="CC42" s="3211">
        <f>SUM(CB42/CB14*CC14)</f>
        <v>247.22661265873506</v>
      </c>
      <c r="CD42" s="3211">
        <f>SUM(CB42/CB14*CD14)</f>
        <v>0.11954000029248951</v>
      </c>
      <c r="CE42" s="3194">
        <f t="shared" si="291"/>
        <v>0</v>
      </c>
      <c r="CF42" s="3194">
        <f t="shared" si="292"/>
        <v>0</v>
      </c>
      <c r="CG42" s="3194">
        <f t="shared" si="293"/>
        <v>0</v>
      </c>
      <c r="CH42" s="3194">
        <f t="shared" si="294"/>
        <v>-247.34615265902755</v>
      </c>
      <c r="CI42" s="3194">
        <f t="shared" si="295"/>
        <v>-247.22661265873506</v>
      </c>
      <c r="CJ42" s="3194">
        <f t="shared" si="296"/>
        <v>-0.11954000029248951</v>
      </c>
      <c r="CK42" s="3259"/>
      <c r="CL42" s="3259"/>
      <c r="CM42" s="3259"/>
      <c r="CN42" s="3254"/>
    </row>
    <row r="43" spans="1:92" ht="18.75" customHeight="1" x14ac:dyDescent="0.3">
      <c r="A43" s="3076" t="s">
        <v>556</v>
      </c>
      <c r="B43" s="3210">
        <f t="shared" si="347"/>
        <v>1.5393711268298953</v>
      </c>
      <c r="C43" s="3210">
        <f t="shared" si="348"/>
        <v>1.5386271636714905</v>
      </c>
      <c r="D43" s="3210">
        <f t="shared" si="349"/>
        <v>7.4396315840483899E-4</v>
      </c>
      <c r="E43" s="3145">
        <f t="shared" si="167"/>
        <v>0</v>
      </c>
      <c r="F43" s="3066"/>
      <c r="G43" s="3066"/>
      <c r="H43" s="3145">
        <f t="shared" si="168"/>
        <v>0</v>
      </c>
      <c r="I43" s="3066"/>
      <c r="J43" s="3066"/>
      <c r="K43" s="3145">
        <f t="shared" si="169"/>
        <v>0</v>
      </c>
      <c r="L43" s="3066"/>
      <c r="M43" s="3066"/>
      <c r="N43" s="3145">
        <f t="shared" si="350"/>
        <v>0</v>
      </c>
      <c r="O43" s="3145">
        <f t="shared" si="351"/>
        <v>0</v>
      </c>
      <c r="P43" s="3145">
        <f t="shared" si="352"/>
        <v>0</v>
      </c>
      <c r="Q43" s="3210">
        <f t="shared" si="303"/>
        <v>1.5393711268298953</v>
      </c>
      <c r="R43" s="3210">
        <f t="shared" si="304"/>
        <v>1.5386271636714905</v>
      </c>
      <c r="S43" s="3210">
        <f t="shared" si="305"/>
        <v>7.4396315840483899E-4</v>
      </c>
      <c r="T43" s="3145">
        <f t="shared" si="252"/>
        <v>0</v>
      </c>
      <c r="U43" s="3066"/>
      <c r="V43" s="3066"/>
      <c r="W43" s="3145">
        <f t="shared" si="254"/>
        <v>0</v>
      </c>
      <c r="X43" s="3066"/>
      <c r="Y43" s="3066"/>
      <c r="Z43" s="3145">
        <f t="shared" si="256"/>
        <v>0</v>
      </c>
      <c r="AA43" s="3066"/>
      <c r="AB43" s="3066"/>
      <c r="AC43" s="3145">
        <f t="shared" si="306"/>
        <v>0</v>
      </c>
      <c r="AD43" s="3145">
        <f t="shared" si="353"/>
        <v>0</v>
      </c>
      <c r="AE43" s="3145">
        <f t="shared" si="354"/>
        <v>0</v>
      </c>
      <c r="AF43" s="3211">
        <f t="shared" si="309"/>
        <v>3.0787422536597906</v>
      </c>
      <c r="AG43" s="3211">
        <f t="shared" si="310"/>
        <v>3.0772543273429811</v>
      </c>
      <c r="AH43" s="3211">
        <f t="shared" si="311"/>
        <v>1.487926316809678E-3</v>
      </c>
      <c r="AI43" s="3194">
        <f t="shared" si="260"/>
        <v>0</v>
      </c>
      <c r="AJ43" s="3194">
        <f t="shared" si="261"/>
        <v>0</v>
      </c>
      <c r="AK43" s="3194">
        <f t="shared" si="262"/>
        <v>0</v>
      </c>
      <c r="AL43" s="3194">
        <f t="shared" si="263"/>
        <v>-3.0787422536597906</v>
      </c>
      <c r="AM43" s="3194">
        <f t="shared" si="264"/>
        <v>-3.0772543273429811</v>
      </c>
      <c r="AN43" s="3194">
        <f t="shared" si="265"/>
        <v>-1.487926316809678E-3</v>
      </c>
      <c r="AO43" s="3210">
        <f t="shared" si="312"/>
        <v>1.5393711268298953</v>
      </c>
      <c r="AP43" s="3210">
        <f t="shared" si="313"/>
        <v>1.5386271636714905</v>
      </c>
      <c r="AQ43" s="3210">
        <f t="shared" si="314"/>
        <v>7.4396315840483899E-4</v>
      </c>
      <c r="AR43" s="3145">
        <f t="shared" si="267"/>
        <v>0</v>
      </c>
      <c r="AS43" s="3066"/>
      <c r="AT43" s="3066"/>
      <c r="AU43" s="3145">
        <f t="shared" si="269"/>
        <v>0</v>
      </c>
      <c r="AV43" s="3066"/>
      <c r="AW43" s="3066"/>
      <c r="AX43" s="3145">
        <f t="shared" si="271"/>
        <v>0</v>
      </c>
      <c r="AY43" s="3066"/>
      <c r="AZ43" s="3066"/>
      <c r="BA43" s="3145">
        <f t="shared" si="315"/>
        <v>0</v>
      </c>
      <c r="BB43" s="3145">
        <f t="shared" si="355"/>
        <v>0</v>
      </c>
      <c r="BC43" s="3145">
        <f t="shared" si="356"/>
        <v>0</v>
      </c>
      <c r="BD43" s="3211">
        <f t="shared" si="318"/>
        <v>4.6181133804896861</v>
      </c>
      <c r="BE43" s="3211">
        <f t="shared" si="319"/>
        <v>4.6158814910144716</v>
      </c>
      <c r="BF43" s="3211">
        <f t="shared" si="320"/>
        <v>2.231889475214517E-3</v>
      </c>
      <c r="BG43" s="3194">
        <f t="shared" si="277"/>
        <v>0</v>
      </c>
      <c r="BH43" s="3194">
        <f t="shared" si="278"/>
        <v>0</v>
      </c>
      <c r="BI43" s="3194">
        <f t="shared" si="279"/>
        <v>0</v>
      </c>
      <c r="BJ43" s="3194">
        <f t="shared" si="280"/>
        <v>-4.6181133804896861</v>
      </c>
      <c r="BK43" s="3194">
        <f t="shared" si="281"/>
        <v>-4.6158814910144716</v>
      </c>
      <c r="BL43" s="3194">
        <f t="shared" si="282"/>
        <v>-2.231889475214517E-3</v>
      </c>
      <c r="BM43" s="3210">
        <f t="shared" si="321"/>
        <v>1.5393711268298953</v>
      </c>
      <c r="BN43" s="3210">
        <f t="shared" si="322"/>
        <v>1.5386271636714905</v>
      </c>
      <c r="BO43" s="3210">
        <f t="shared" si="323"/>
        <v>7.4396315840483899E-4</v>
      </c>
      <c r="BP43" s="3145">
        <f t="shared" si="284"/>
        <v>0</v>
      </c>
      <c r="BQ43" s="3066"/>
      <c r="BR43" s="3066"/>
      <c r="BS43" s="3145">
        <f t="shared" si="286"/>
        <v>0</v>
      </c>
      <c r="BT43" s="3066"/>
      <c r="BU43" s="3066"/>
      <c r="BV43" s="3145">
        <f t="shared" si="288"/>
        <v>0</v>
      </c>
      <c r="BW43" s="3066"/>
      <c r="BX43" s="3066"/>
      <c r="BY43" s="3145">
        <f t="shared" si="324"/>
        <v>0</v>
      </c>
      <c r="BZ43" s="3145">
        <f t="shared" si="357"/>
        <v>0</v>
      </c>
      <c r="CA43" s="3145">
        <f t="shared" si="358"/>
        <v>0</v>
      </c>
      <c r="CB43" s="3211">
        <f>SUM(CB32*0.004)</f>
        <v>6.1574845073195812</v>
      </c>
      <c r="CC43" s="3211">
        <f>SUM(CB43/CB14*CC14)</f>
        <v>6.1545086546859622</v>
      </c>
      <c r="CD43" s="3211">
        <f>SUM(CB43/CB14*CD14)</f>
        <v>2.975852633619356E-3</v>
      </c>
      <c r="CE43" s="3194">
        <f t="shared" si="291"/>
        <v>0</v>
      </c>
      <c r="CF43" s="3194">
        <f t="shared" si="292"/>
        <v>0</v>
      </c>
      <c r="CG43" s="3194">
        <f t="shared" si="293"/>
        <v>0</v>
      </c>
      <c r="CH43" s="3194">
        <f t="shared" si="294"/>
        <v>-6.1574845073195812</v>
      </c>
      <c r="CI43" s="3194">
        <f t="shared" si="295"/>
        <v>-6.1545086546859622</v>
      </c>
      <c r="CJ43" s="3194">
        <f t="shared" si="296"/>
        <v>-2.975852633619356E-3</v>
      </c>
      <c r="CK43" s="3259"/>
      <c r="CL43" s="3259"/>
      <c r="CM43" s="3259"/>
      <c r="CN43" s="3254"/>
    </row>
    <row r="44" spans="1:92" ht="18.75" customHeight="1" x14ac:dyDescent="0.3">
      <c r="A44" s="3076" t="s">
        <v>558</v>
      </c>
      <c r="B44" s="3210">
        <f t="shared" si="347"/>
        <v>0</v>
      </c>
      <c r="C44" s="3210">
        <f t="shared" si="348"/>
        <v>0</v>
      </c>
      <c r="D44" s="3210">
        <f t="shared" si="349"/>
        <v>0</v>
      </c>
      <c r="E44" s="3145">
        <f t="shared" si="167"/>
        <v>0</v>
      </c>
      <c r="F44" s="3066"/>
      <c r="G44" s="3066"/>
      <c r="H44" s="3145">
        <f t="shared" si="168"/>
        <v>0</v>
      </c>
      <c r="I44" s="3066"/>
      <c r="J44" s="3066"/>
      <c r="K44" s="3145">
        <f t="shared" si="169"/>
        <v>0</v>
      </c>
      <c r="L44" s="3066"/>
      <c r="M44" s="3066"/>
      <c r="N44" s="3145">
        <f t="shared" si="350"/>
        <v>0</v>
      </c>
      <c r="O44" s="3145">
        <f t="shared" si="351"/>
        <v>0</v>
      </c>
      <c r="P44" s="3145">
        <f t="shared" si="352"/>
        <v>0</v>
      </c>
      <c r="Q44" s="3210">
        <f t="shared" si="303"/>
        <v>0</v>
      </c>
      <c r="R44" s="3210">
        <f t="shared" si="304"/>
        <v>0</v>
      </c>
      <c r="S44" s="3210">
        <f t="shared" si="305"/>
        <v>0</v>
      </c>
      <c r="T44" s="3145">
        <f t="shared" si="252"/>
        <v>0</v>
      </c>
      <c r="U44" s="3066"/>
      <c r="V44" s="3066"/>
      <c r="W44" s="3145">
        <f t="shared" si="254"/>
        <v>0</v>
      </c>
      <c r="X44" s="3066"/>
      <c r="Y44" s="3066"/>
      <c r="Z44" s="3145">
        <f t="shared" si="256"/>
        <v>0</v>
      </c>
      <c r="AA44" s="3066"/>
      <c r="AB44" s="3066"/>
      <c r="AC44" s="3145">
        <f t="shared" si="306"/>
        <v>0</v>
      </c>
      <c r="AD44" s="3145">
        <f t="shared" si="353"/>
        <v>0</v>
      </c>
      <c r="AE44" s="3145">
        <f t="shared" si="354"/>
        <v>0</v>
      </c>
      <c r="AF44" s="3211">
        <f t="shared" si="309"/>
        <v>0</v>
      </c>
      <c r="AG44" s="3211">
        <f t="shared" si="310"/>
        <v>0</v>
      </c>
      <c r="AH44" s="3211">
        <f t="shared" si="311"/>
        <v>0</v>
      </c>
      <c r="AI44" s="3194">
        <f t="shared" si="260"/>
        <v>0</v>
      </c>
      <c r="AJ44" s="3194">
        <f t="shared" si="261"/>
        <v>0</v>
      </c>
      <c r="AK44" s="3194">
        <f t="shared" si="262"/>
        <v>0</v>
      </c>
      <c r="AL44" s="3194">
        <f t="shared" si="263"/>
        <v>0</v>
      </c>
      <c r="AM44" s="3194">
        <f t="shared" si="264"/>
        <v>0</v>
      </c>
      <c r="AN44" s="3194">
        <f t="shared" si="265"/>
        <v>0</v>
      </c>
      <c r="AO44" s="3210">
        <f t="shared" si="312"/>
        <v>0</v>
      </c>
      <c r="AP44" s="3210">
        <f t="shared" si="313"/>
        <v>0</v>
      </c>
      <c r="AQ44" s="3210">
        <f t="shared" si="314"/>
        <v>0</v>
      </c>
      <c r="AR44" s="3145">
        <f t="shared" si="267"/>
        <v>0</v>
      </c>
      <c r="AS44" s="3066"/>
      <c r="AT44" s="3066"/>
      <c r="AU44" s="3145">
        <f t="shared" si="269"/>
        <v>0</v>
      </c>
      <c r="AV44" s="3066"/>
      <c r="AW44" s="3066"/>
      <c r="AX44" s="3145">
        <f t="shared" si="271"/>
        <v>0</v>
      </c>
      <c r="AY44" s="3066"/>
      <c r="AZ44" s="3066"/>
      <c r="BA44" s="3145">
        <f t="shared" si="315"/>
        <v>0</v>
      </c>
      <c r="BB44" s="3145">
        <f t="shared" si="355"/>
        <v>0</v>
      </c>
      <c r="BC44" s="3145">
        <f t="shared" si="356"/>
        <v>0</v>
      </c>
      <c r="BD44" s="3211">
        <f t="shared" si="318"/>
        <v>0</v>
      </c>
      <c r="BE44" s="3211">
        <f t="shared" si="319"/>
        <v>0</v>
      </c>
      <c r="BF44" s="3211">
        <f t="shared" si="320"/>
        <v>0</v>
      </c>
      <c r="BG44" s="3194">
        <f t="shared" si="277"/>
        <v>0</v>
      </c>
      <c r="BH44" s="3194">
        <f t="shared" si="278"/>
        <v>0</v>
      </c>
      <c r="BI44" s="3194">
        <f t="shared" si="279"/>
        <v>0</v>
      </c>
      <c r="BJ44" s="3194">
        <f t="shared" si="280"/>
        <v>0</v>
      </c>
      <c r="BK44" s="3194">
        <f t="shared" si="281"/>
        <v>0</v>
      </c>
      <c r="BL44" s="3194">
        <f t="shared" si="282"/>
        <v>0</v>
      </c>
      <c r="BM44" s="3210">
        <f t="shared" si="321"/>
        <v>0</v>
      </c>
      <c r="BN44" s="3210">
        <f t="shared" si="322"/>
        <v>0</v>
      </c>
      <c r="BO44" s="3210">
        <f t="shared" si="323"/>
        <v>0</v>
      </c>
      <c r="BP44" s="3145">
        <f t="shared" si="284"/>
        <v>0</v>
      </c>
      <c r="BQ44" s="3066"/>
      <c r="BR44" s="3066"/>
      <c r="BS44" s="3145">
        <f t="shared" si="286"/>
        <v>0</v>
      </c>
      <c r="BT44" s="3066"/>
      <c r="BU44" s="3066"/>
      <c r="BV44" s="3145">
        <f t="shared" si="288"/>
        <v>0</v>
      </c>
      <c r="BW44" s="3066"/>
      <c r="BX44" s="3066"/>
      <c r="BY44" s="3145">
        <f t="shared" si="324"/>
        <v>0</v>
      </c>
      <c r="BZ44" s="3145">
        <f t="shared" si="357"/>
        <v>0</v>
      </c>
      <c r="CA44" s="3145">
        <f t="shared" si="358"/>
        <v>0</v>
      </c>
      <c r="CB44" s="3211">
        <f>SUM(CB32*0)</f>
        <v>0</v>
      </c>
      <c r="CC44" s="3211">
        <f>SUM(CB44/CB14*CC14)</f>
        <v>0</v>
      </c>
      <c r="CD44" s="3211">
        <f>SUM(CB44/CB14*CD14)</f>
        <v>0</v>
      </c>
      <c r="CE44" s="3194">
        <f t="shared" si="291"/>
        <v>0</v>
      </c>
      <c r="CF44" s="3194">
        <f t="shared" si="292"/>
        <v>0</v>
      </c>
      <c r="CG44" s="3194">
        <f t="shared" si="293"/>
        <v>0</v>
      </c>
      <c r="CH44" s="3194">
        <f t="shared" si="294"/>
        <v>0</v>
      </c>
      <c r="CI44" s="3194">
        <f t="shared" si="295"/>
        <v>0</v>
      </c>
      <c r="CJ44" s="3194">
        <f t="shared" si="296"/>
        <v>0</v>
      </c>
      <c r="CK44" s="3259"/>
      <c r="CL44" s="3259"/>
      <c r="CM44" s="3259"/>
      <c r="CN44" s="3254"/>
    </row>
    <row r="45" spans="1:92" ht="18.75" customHeight="1" x14ac:dyDescent="0.3">
      <c r="A45" s="3075" t="s">
        <v>605</v>
      </c>
      <c r="B45" s="3208">
        <f>SUM(C45:D45)</f>
        <v>18.472453521958744</v>
      </c>
      <c r="C45" s="3208">
        <f t="shared" ref="C45:P45" si="359">SUM(C46:C47)</f>
        <v>18.463525964057887</v>
      </c>
      <c r="D45" s="3208">
        <f t="shared" si="359"/>
        <v>8.9275579008580679E-3</v>
      </c>
      <c r="E45" s="3136">
        <f t="shared" si="167"/>
        <v>0</v>
      </c>
      <c r="F45" s="3060">
        <f t="shared" si="359"/>
        <v>0</v>
      </c>
      <c r="G45" s="3060">
        <f t="shared" si="359"/>
        <v>0</v>
      </c>
      <c r="H45" s="3136">
        <f t="shared" si="168"/>
        <v>0</v>
      </c>
      <c r="I45" s="3060">
        <f t="shared" ref="I45:J45" si="360">SUM(I46:I47)</f>
        <v>0</v>
      </c>
      <c r="J45" s="3060">
        <f t="shared" si="360"/>
        <v>0</v>
      </c>
      <c r="K45" s="3136">
        <f t="shared" si="169"/>
        <v>0</v>
      </c>
      <c r="L45" s="3060">
        <f t="shared" ref="L45:M45" si="361">SUM(L46:L47)</f>
        <v>0</v>
      </c>
      <c r="M45" s="3060">
        <f t="shared" si="361"/>
        <v>0</v>
      </c>
      <c r="N45" s="3136">
        <f t="shared" si="350"/>
        <v>0</v>
      </c>
      <c r="O45" s="3060">
        <f t="shared" si="359"/>
        <v>0</v>
      </c>
      <c r="P45" s="3060">
        <f t="shared" si="359"/>
        <v>0</v>
      </c>
      <c r="Q45" s="3208">
        <f>SUM(R45:S45)</f>
        <v>18.472453521958744</v>
      </c>
      <c r="R45" s="3208">
        <f t="shared" ref="R45:S45" si="362">SUM(R46:R47)</f>
        <v>18.463525964057887</v>
      </c>
      <c r="S45" s="3208">
        <f t="shared" si="362"/>
        <v>8.9275579008580679E-3</v>
      </c>
      <c r="T45" s="3136">
        <f t="shared" si="252"/>
        <v>0</v>
      </c>
      <c r="U45" s="3060">
        <f t="shared" ref="U45:V45" si="363">SUM(U46:U47)</f>
        <v>0</v>
      </c>
      <c r="V45" s="3060">
        <f t="shared" si="363"/>
        <v>0</v>
      </c>
      <c r="W45" s="3136">
        <f t="shared" si="254"/>
        <v>0</v>
      </c>
      <c r="X45" s="3060">
        <f t="shared" ref="X45:Y45" si="364">SUM(X46:X47)</f>
        <v>0</v>
      </c>
      <c r="Y45" s="3060">
        <f t="shared" si="364"/>
        <v>0</v>
      </c>
      <c r="Z45" s="3136">
        <f t="shared" si="256"/>
        <v>0</v>
      </c>
      <c r="AA45" s="3060">
        <f t="shared" ref="AA45:AB45" si="365">SUM(AA46:AA47)</f>
        <v>0</v>
      </c>
      <c r="AB45" s="3060">
        <f t="shared" si="365"/>
        <v>0</v>
      </c>
      <c r="AC45" s="3136">
        <f t="shared" si="306"/>
        <v>0</v>
      </c>
      <c r="AD45" s="3060">
        <f t="shared" ref="AD45:AE45" si="366">SUM(AD46:AD47)</f>
        <v>0</v>
      </c>
      <c r="AE45" s="3060">
        <f t="shared" si="366"/>
        <v>0</v>
      </c>
      <c r="AF45" s="3209">
        <f t="shared" ref="AF45" si="367">SUM(AG45:AH45)</f>
        <v>36.944907043917489</v>
      </c>
      <c r="AG45" s="3209">
        <f t="shared" ref="AG45" si="368">SUM(C45+R45)</f>
        <v>36.927051928115773</v>
      </c>
      <c r="AH45" s="3209">
        <f t="shared" ref="AH45" si="369">SUM(D45+S45)</f>
        <v>1.7855115801716136E-2</v>
      </c>
      <c r="AI45" s="3264">
        <f t="shared" si="260"/>
        <v>0</v>
      </c>
      <c r="AJ45" s="3264">
        <f t="shared" si="261"/>
        <v>0</v>
      </c>
      <c r="AK45" s="3264">
        <f t="shared" si="262"/>
        <v>0</v>
      </c>
      <c r="AL45" s="3264">
        <f t="shared" si="263"/>
        <v>-36.944907043917489</v>
      </c>
      <c r="AM45" s="3264">
        <f t="shared" si="264"/>
        <v>-36.927051928115773</v>
      </c>
      <c r="AN45" s="3264">
        <f t="shared" si="265"/>
        <v>-1.7855115801716136E-2</v>
      </c>
      <c r="AO45" s="3208">
        <f t="shared" si="312"/>
        <v>18.472453521958744</v>
      </c>
      <c r="AP45" s="3208">
        <f t="shared" si="313"/>
        <v>18.463525964057887</v>
      </c>
      <c r="AQ45" s="3208">
        <f t="shared" si="314"/>
        <v>8.9275579008580679E-3</v>
      </c>
      <c r="AR45" s="3136">
        <f t="shared" si="267"/>
        <v>0</v>
      </c>
      <c r="AS45" s="3060">
        <f t="shared" ref="AS45:AT45" si="370">SUM(AS46:AS47)</f>
        <v>0</v>
      </c>
      <c r="AT45" s="3060">
        <f t="shared" si="370"/>
        <v>0</v>
      </c>
      <c r="AU45" s="3136">
        <f t="shared" si="269"/>
        <v>0</v>
      </c>
      <c r="AV45" s="3060">
        <f t="shared" ref="AV45:AW45" si="371">SUM(AV46:AV47)</f>
        <v>0</v>
      </c>
      <c r="AW45" s="3060">
        <f t="shared" si="371"/>
        <v>0</v>
      </c>
      <c r="AX45" s="3136">
        <f t="shared" si="271"/>
        <v>6.5</v>
      </c>
      <c r="AY45" s="3060">
        <f t="shared" ref="AY45:AZ45" si="372">SUM(AY46:AY47)</f>
        <v>6.5</v>
      </c>
      <c r="AZ45" s="3060">
        <f t="shared" si="372"/>
        <v>0</v>
      </c>
      <c r="BA45" s="3136">
        <f t="shared" si="315"/>
        <v>6.5</v>
      </c>
      <c r="BB45" s="3060">
        <f t="shared" ref="BB45:BC45" si="373">SUM(BB46:BB47)</f>
        <v>6.5</v>
      </c>
      <c r="BC45" s="3060">
        <f t="shared" si="373"/>
        <v>0</v>
      </c>
      <c r="BD45" s="3209">
        <f t="shared" si="318"/>
        <v>55.417360565876237</v>
      </c>
      <c r="BE45" s="3209">
        <f t="shared" si="319"/>
        <v>55.39057789217366</v>
      </c>
      <c r="BF45" s="3209">
        <f t="shared" si="320"/>
        <v>2.6782673702574204E-2</v>
      </c>
      <c r="BG45" s="3264">
        <f t="shared" si="277"/>
        <v>6.5</v>
      </c>
      <c r="BH45" s="3264">
        <f t="shared" si="278"/>
        <v>6.5</v>
      </c>
      <c r="BI45" s="3264">
        <f t="shared" si="279"/>
        <v>0</v>
      </c>
      <c r="BJ45" s="3264">
        <f t="shared" si="280"/>
        <v>-48.917360565876237</v>
      </c>
      <c r="BK45" s="3264">
        <f t="shared" si="281"/>
        <v>-48.89057789217366</v>
      </c>
      <c r="BL45" s="3264">
        <f t="shared" si="282"/>
        <v>-2.6782673702574204E-2</v>
      </c>
      <c r="BM45" s="3208">
        <f t="shared" si="321"/>
        <v>18.472453521958744</v>
      </c>
      <c r="BN45" s="3208">
        <f t="shared" si="322"/>
        <v>18.463525964057887</v>
      </c>
      <c r="BO45" s="3208">
        <f t="shared" si="323"/>
        <v>8.9275579008580679E-3</v>
      </c>
      <c r="BP45" s="3136">
        <f t="shared" si="284"/>
        <v>0</v>
      </c>
      <c r="BQ45" s="3060">
        <f t="shared" ref="BQ45:BR45" si="374">SUM(BQ46:BQ47)</f>
        <v>0</v>
      </c>
      <c r="BR45" s="3060">
        <f t="shared" si="374"/>
        <v>0</v>
      </c>
      <c r="BS45" s="3136">
        <f t="shared" si="286"/>
        <v>0</v>
      </c>
      <c r="BT45" s="3060">
        <f t="shared" ref="BT45:BU45" si="375">SUM(BT46:BT47)</f>
        <v>0</v>
      </c>
      <c r="BU45" s="3060">
        <f t="shared" si="375"/>
        <v>0</v>
      </c>
      <c r="BV45" s="3136">
        <f t="shared" si="288"/>
        <v>0</v>
      </c>
      <c r="BW45" s="3060">
        <f t="shared" ref="BW45:BX45" si="376">SUM(BW46:BW47)</f>
        <v>0</v>
      </c>
      <c r="BX45" s="3060">
        <f t="shared" si="376"/>
        <v>0</v>
      </c>
      <c r="BY45" s="3136">
        <f t="shared" si="324"/>
        <v>0</v>
      </c>
      <c r="BZ45" s="3060">
        <f t="shared" ref="BZ45:CA45" si="377">SUM(BZ46:BZ47)</f>
        <v>0</v>
      </c>
      <c r="CA45" s="3060">
        <f t="shared" si="377"/>
        <v>0</v>
      </c>
      <c r="CB45" s="3209">
        <f>SUM(CC45:CD45)</f>
        <v>73.889814087834978</v>
      </c>
      <c r="CC45" s="3209">
        <f>SUM(CC46:CC47)</f>
        <v>73.854103856231546</v>
      </c>
      <c r="CD45" s="3209">
        <f>SUM(CD46:CD47)</f>
        <v>3.5710231603432271E-2</v>
      </c>
      <c r="CE45" s="3264">
        <f t="shared" si="291"/>
        <v>6.5</v>
      </c>
      <c r="CF45" s="3264">
        <f t="shared" si="292"/>
        <v>6.5</v>
      </c>
      <c r="CG45" s="3264">
        <f t="shared" si="293"/>
        <v>0</v>
      </c>
      <c r="CH45" s="3264">
        <f t="shared" si="294"/>
        <v>-67.389814087834978</v>
      </c>
      <c r="CI45" s="3264">
        <f t="shared" si="295"/>
        <v>-67.354103856231546</v>
      </c>
      <c r="CJ45" s="3264">
        <f t="shared" si="296"/>
        <v>-3.5710231603432271E-2</v>
      </c>
      <c r="CK45" s="3259"/>
      <c r="CL45" s="3259"/>
      <c r="CM45" s="3259"/>
      <c r="CN45" s="3254"/>
    </row>
    <row r="46" spans="1:92" ht="18.75" customHeight="1" x14ac:dyDescent="0.3">
      <c r="A46" s="3076" t="s">
        <v>543</v>
      </c>
      <c r="B46" s="3210">
        <f t="shared" ref="B46:B47" si="378">SUM(C46:D46)</f>
        <v>7.3120128524420025</v>
      </c>
      <c r="C46" s="3210">
        <f t="shared" ref="C46:C47" si="379">SUM(CC46/4)</f>
        <v>7.3084790274395797</v>
      </c>
      <c r="D46" s="3210">
        <f t="shared" ref="D46:D47" si="380">SUM(CD46/4)</f>
        <v>3.533825002422985E-3</v>
      </c>
      <c r="E46" s="3145">
        <f t="shared" si="167"/>
        <v>0</v>
      </c>
      <c r="F46" s="3066"/>
      <c r="G46" s="3066"/>
      <c r="H46" s="3145">
        <f t="shared" si="168"/>
        <v>0</v>
      </c>
      <c r="I46" s="3066"/>
      <c r="J46" s="3066"/>
      <c r="K46" s="3145">
        <f t="shared" si="169"/>
        <v>0</v>
      </c>
      <c r="L46" s="3066"/>
      <c r="M46" s="3066"/>
      <c r="N46" s="3145">
        <f t="shared" ref="N46:N47" si="381">SUM(O46:P46)</f>
        <v>0</v>
      </c>
      <c r="O46" s="3145">
        <f t="shared" ref="O46:O47" si="382">SUM(F46+I46+L46)</f>
        <v>0</v>
      </c>
      <c r="P46" s="3145">
        <f t="shared" ref="P46:P47" si="383">SUM(G46+J46+M46)</f>
        <v>0</v>
      </c>
      <c r="Q46" s="3210">
        <f t="shared" si="303"/>
        <v>7.3120128524420025</v>
      </c>
      <c r="R46" s="3210">
        <f t="shared" si="304"/>
        <v>7.3084790274395797</v>
      </c>
      <c r="S46" s="3210">
        <f t="shared" si="305"/>
        <v>3.533825002422985E-3</v>
      </c>
      <c r="T46" s="3145">
        <f t="shared" si="252"/>
        <v>0</v>
      </c>
      <c r="U46" s="3066"/>
      <c r="V46" s="3066"/>
      <c r="W46" s="3145">
        <f t="shared" si="254"/>
        <v>0</v>
      </c>
      <c r="X46" s="3066"/>
      <c r="Y46" s="3066"/>
      <c r="Z46" s="3145">
        <f t="shared" si="256"/>
        <v>0</v>
      </c>
      <c r="AA46" s="3066"/>
      <c r="AB46" s="3066"/>
      <c r="AC46" s="3145">
        <f t="shared" si="306"/>
        <v>0</v>
      </c>
      <c r="AD46" s="3145">
        <f t="shared" ref="AD46:AD55" si="384">SUM(U46+X46+AA46)</f>
        <v>0</v>
      </c>
      <c r="AE46" s="3145">
        <f t="shared" ref="AE46:AE55" si="385">SUM(V46+Y46+AB46)</f>
        <v>0</v>
      </c>
      <c r="AF46" s="3211">
        <f t="shared" si="309"/>
        <v>14.624025704884005</v>
      </c>
      <c r="AG46" s="3211">
        <f t="shared" si="310"/>
        <v>14.616958054879159</v>
      </c>
      <c r="AH46" s="3211">
        <f t="shared" si="311"/>
        <v>7.06765000484597E-3</v>
      </c>
      <c r="AI46" s="3194">
        <f t="shared" si="260"/>
        <v>0</v>
      </c>
      <c r="AJ46" s="3194">
        <f t="shared" si="261"/>
        <v>0</v>
      </c>
      <c r="AK46" s="3194">
        <f t="shared" si="262"/>
        <v>0</v>
      </c>
      <c r="AL46" s="3194">
        <f t="shared" si="263"/>
        <v>-14.624025704884005</v>
      </c>
      <c r="AM46" s="3194">
        <f t="shared" si="264"/>
        <v>-14.616958054879159</v>
      </c>
      <c r="AN46" s="3194">
        <f t="shared" si="265"/>
        <v>-7.06765000484597E-3</v>
      </c>
      <c r="AO46" s="3210">
        <f t="shared" si="312"/>
        <v>7.3120128524420025</v>
      </c>
      <c r="AP46" s="3210">
        <f t="shared" si="313"/>
        <v>7.3084790274395797</v>
      </c>
      <c r="AQ46" s="3210">
        <f t="shared" si="314"/>
        <v>3.533825002422985E-3</v>
      </c>
      <c r="AR46" s="3145">
        <f t="shared" si="267"/>
        <v>0</v>
      </c>
      <c r="AS46" s="3066"/>
      <c r="AT46" s="3066"/>
      <c r="AU46" s="3145">
        <f t="shared" si="269"/>
        <v>0</v>
      </c>
      <c r="AV46" s="3066"/>
      <c r="AW46" s="3066"/>
      <c r="AX46" s="3145">
        <f t="shared" si="271"/>
        <v>0</v>
      </c>
      <c r="AY46" s="3066"/>
      <c r="AZ46" s="3066"/>
      <c r="BA46" s="3145">
        <f t="shared" si="315"/>
        <v>0</v>
      </c>
      <c r="BB46" s="3145">
        <f t="shared" ref="BB46:BB55" si="386">SUM(AS46+AV46+AY46)</f>
        <v>0</v>
      </c>
      <c r="BC46" s="3145">
        <f t="shared" ref="BC46:BC55" si="387">SUM(AT46+AW46+AZ46)</f>
        <v>0</v>
      </c>
      <c r="BD46" s="3211">
        <f t="shared" si="318"/>
        <v>21.936038557326007</v>
      </c>
      <c r="BE46" s="3211">
        <f t="shared" si="319"/>
        <v>21.925437082318737</v>
      </c>
      <c r="BF46" s="3211">
        <f t="shared" si="320"/>
        <v>1.0601475007268955E-2</v>
      </c>
      <c r="BG46" s="3194">
        <f t="shared" si="277"/>
        <v>0</v>
      </c>
      <c r="BH46" s="3194">
        <f t="shared" si="278"/>
        <v>0</v>
      </c>
      <c r="BI46" s="3194">
        <f t="shared" si="279"/>
        <v>0</v>
      </c>
      <c r="BJ46" s="3194">
        <f t="shared" si="280"/>
        <v>-21.936038557326007</v>
      </c>
      <c r="BK46" s="3194">
        <f t="shared" si="281"/>
        <v>-21.925437082318737</v>
      </c>
      <c r="BL46" s="3194">
        <f t="shared" si="282"/>
        <v>-1.0601475007268955E-2</v>
      </c>
      <c r="BM46" s="3210">
        <f t="shared" si="321"/>
        <v>7.3120128524420025</v>
      </c>
      <c r="BN46" s="3210">
        <f t="shared" si="322"/>
        <v>7.3084790274395797</v>
      </c>
      <c r="BO46" s="3210">
        <f t="shared" si="323"/>
        <v>3.533825002422985E-3</v>
      </c>
      <c r="BP46" s="3145">
        <f t="shared" si="284"/>
        <v>0</v>
      </c>
      <c r="BQ46" s="3066"/>
      <c r="BR46" s="3066"/>
      <c r="BS46" s="3145">
        <f t="shared" si="286"/>
        <v>0</v>
      </c>
      <c r="BT46" s="3066"/>
      <c r="BU46" s="3066"/>
      <c r="BV46" s="3145">
        <f t="shared" si="288"/>
        <v>0</v>
      </c>
      <c r="BW46" s="3066"/>
      <c r="BX46" s="3066"/>
      <c r="BY46" s="3145">
        <f t="shared" si="324"/>
        <v>0</v>
      </c>
      <c r="BZ46" s="3145">
        <f t="shared" ref="BZ46:BZ55" si="388">SUM(BQ46+BT46+BW46)</f>
        <v>0</v>
      </c>
      <c r="CA46" s="3145">
        <f t="shared" ref="CA46:CA55" si="389">SUM(BR46+BU46+BX46)</f>
        <v>0</v>
      </c>
      <c r="CB46" s="3211">
        <f>SUM(CB32*0.019)</f>
        <v>29.24805140976801</v>
      </c>
      <c r="CC46" s="3211">
        <f>SUM(CB46/CB14*CC14)</f>
        <v>29.233916109758319</v>
      </c>
      <c r="CD46" s="3211">
        <f>SUM(CB46/CB14*CD14)</f>
        <v>1.413530000969194E-2</v>
      </c>
      <c r="CE46" s="3194">
        <f t="shared" si="291"/>
        <v>0</v>
      </c>
      <c r="CF46" s="3194">
        <f t="shared" si="292"/>
        <v>0</v>
      </c>
      <c r="CG46" s="3194">
        <f t="shared" si="293"/>
        <v>0</v>
      </c>
      <c r="CH46" s="3194">
        <f t="shared" si="294"/>
        <v>-29.24805140976801</v>
      </c>
      <c r="CI46" s="3194">
        <f t="shared" si="295"/>
        <v>-29.233916109758319</v>
      </c>
      <c r="CJ46" s="3194">
        <f t="shared" si="296"/>
        <v>-1.413530000969194E-2</v>
      </c>
      <c r="CK46" s="3259"/>
      <c r="CL46" s="3259"/>
      <c r="CM46" s="3259"/>
      <c r="CN46" s="3254"/>
    </row>
    <row r="47" spans="1:92" ht="18.75" customHeight="1" x14ac:dyDescent="0.3">
      <c r="A47" s="3076" t="s">
        <v>639</v>
      </c>
      <c r="B47" s="3210">
        <f t="shared" si="378"/>
        <v>11.160440669516742</v>
      </c>
      <c r="C47" s="3210">
        <f t="shared" si="379"/>
        <v>11.155046936618307</v>
      </c>
      <c r="D47" s="3210">
        <f t="shared" si="380"/>
        <v>5.3937328984350833E-3</v>
      </c>
      <c r="E47" s="3145">
        <f t="shared" si="167"/>
        <v>0</v>
      </c>
      <c r="F47" s="3066"/>
      <c r="G47" s="3066"/>
      <c r="H47" s="3145">
        <f t="shared" si="168"/>
        <v>0</v>
      </c>
      <c r="I47" s="3066"/>
      <c r="J47" s="3066"/>
      <c r="K47" s="3145">
        <f t="shared" si="169"/>
        <v>0</v>
      </c>
      <c r="L47" s="3066"/>
      <c r="M47" s="3066"/>
      <c r="N47" s="3145">
        <f t="shared" si="381"/>
        <v>0</v>
      </c>
      <c r="O47" s="3145">
        <f t="shared" si="382"/>
        <v>0</v>
      </c>
      <c r="P47" s="3145">
        <f t="shared" si="383"/>
        <v>0</v>
      </c>
      <c r="Q47" s="3210">
        <f t="shared" si="303"/>
        <v>11.160440669516742</v>
      </c>
      <c r="R47" s="3210">
        <f t="shared" si="304"/>
        <v>11.155046936618307</v>
      </c>
      <c r="S47" s="3210">
        <f t="shared" si="305"/>
        <v>5.3937328984350833E-3</v>
      </c>
      <c r="T47" s="3145">
        <f t="shared" si="252"/>
        <v>0</v>
      </c>
      <c r="U47" s="3066"/>
      <c r="V47" s="3066"/>
      <c r="W47" s="3145">
        <f t="shared" si="254"/>
        <v>0</v>
      </c>
      <c r="X47" s="3066"/>
      <c r="Y47" s="3066"/>
      <c r="Z47" s="3145">
        <f t="shared" si="256"/>
        <v>0</v>
      </c>
      <c r="AA47" s="3066"/>
      <c r="AB47" s="3066"/>
      <c r="AC47" s="3145">
        <f t="shared" si="306"/>
        <v>0</v>
      </c>
      <c r="AD47" s="3145">
        <f t="shared" si="384"/>
        <v>0</v>
      </c>
      <c r="AE47" s="3145">
        <f t="shared" si="385"/>
        <v>0</v>
      </c>
      <c r="AF47" s="3211">
        <f t="shared" si="309"/>
        <v>22.320881339033484</v>
      </c>
      <c r="AG47" s="3211">
        <f t="shared" si="310"/>
        <v>22.310093873236614</v>
      </c>
      <c r="AH47" s="3211">
        <f t="shared" si="311"/>
        <v>1.0787465796870167E-2</v>
      </c>
      <c r="AI47" s="3194">
        <f t="shared" si="260"/>
        <v>0</v>
      </c>
      <c r="AJ47" s="3194">
        <f t="shared" si="261"/>
        <v>0</v>
      </c>
      <c r="AK47" s="3194">
        <f t="shared" si="262"/>
        <v>0</v>
      </c>
      <c r="AL47" s="3194">
        <f t="shared" si="263"/>
        <v>-22.320881339033484</v>
      </c>
      <c r="AM47" s="3194">
        <f t="shared" si="264"/>
        <v>-22.310093873236614</v>
      </c>
      <c r="AN47" s="3194">
        <f t="shared" si="265"/>
        <v>-1.0787465796870167E-2</v>
      </c>
      <c r="AO47" s="3210">
        <f t="shared" si="312"/>
        <v>11.160440669516742</v>
      </c>
      <c r="AP47" s="3210">
        <f t="shared" si="313"/>
        <v>11.155046936618307</v>
      </c>
      <c r="AQ47" s="3210">
        <f t="shared" si="314"/>
        <v>5.3937328984350833E-3</v>
      </c>
      <c r="AR47" s="3145">
        <f t="shared" si="267"/>
        <v>0</v>
      </c>
      <c r="AS47" s="3066"/>
      <c r="AT47" s="3066"/>
      <c r="AU47" s="3145">
        <f t="shared" si="269"/>
        <v>0</v>
      </c>
      <c r="AV47" s="3066"/>
      <c r="AW47" s="3066"/>
      <c r="AX47" s="3145">
        <f t="shared" si="271"/>
        <v>6.5</v>
      </c>
      <c r="AY47" s="3066">
        <v>6.5</v>
      </c>
      <c r="AZ47" s="3066"/>
      <c r="BA47" s="3145">
        <f t="shared" si="315"/>
        <v>6.5</v>
      </c>
      <c r="BB47" s="3145">
        <f t="shared" si="386"/>
        <v>6.5</v>
      </c>
      <c r="BC47" s="3145">
        <f t="shared" si="387"/>
        <v>0</v>
      </c>
      <c r="BD47" s="3211">
        <f t="shared" si="318"/>
        <v>33.481322008550229</v>
      </c>
      <c r="BE47" s="3211">
        <f t="shared" si="319"/>
        <v>33.465140809854923</v>
      </c>
      <c r="BF47" s="3211">
        <f t="shared" si="320"/>
        <v>1.6181198695305252E-2</v>
      </c>
      <c r="BG47" s="3194">
        <f t="shared" si="277"/>
        <v>6.5</v>
      </c>
      <c r="BH47" s="3194">
        <f t="shared" si="278"/>
        <v>6.5</v>
      </c>
      <c r="BI47" s="3194">
        <f t="shared" si="279"/>
        <v>0</v>
      </c>
      <c r="BJ47" s="3194">
        <f t="shared" si="280"/>
        <v>-26.981322008550229</v>
      </c>
      <c r="BK47" s="3194">
        <f t="shared" si="281"/>
        <v>-26.965140809854923</v>
      </c>
      <c r="BL47" s="3194">
        <f t="shared" si="282"/>
        <v>-1.6181198695305252E-2</v>
      </c>
      <c r="BM47" s="3210">
        <f t="shared" si="321"/>
        <v>11.160440669516742</v>
      </c>
      <c r="BN47" s="3210">
        <f t="shared" si="322"/>
        <v>11.155046936618307</v>
      </c>
      <c r="BO47" s="3210">
        <f t="shared" si="323"/>
        <v>5.3937328984350833E-3</v>
      </c>
      <c r="BP47" s="3145">
        <f t="shared" si="284"/>
        <v>0</v>
      </c>
      <c r="BQ47" s="3066"/>
      <c r="BR47" s="3066"/>
      <c r="BS47" s="3145">
        <f t="shared" si="286"/>
        <v>0</v>
      </c>
      <c r="BT47" s="3066"/>
      <c r="BU47" s="3066"/>
      <c r="BV47" s="3145">
        <f t="shared" si="288"/>
        <v>0</v>
      </c>
      <c r="BW47" s="3066"/>
      <c r="BX47" s="3066"/>
      <c r="BY47" s="3145">
        <f t="shared" si="324"/>
        <v>0</v>
      </c>
      <c r="BZ47" s="3145">
        <f t="shared" si="388"/>
        <v>0</v>
      </c>
      <c r="CA47" s="3145">
        <f t="shared" si="389"/>
        <v>0</v>
      </c>
      <c r="CB47" s="3211">
        <f>SUM(CB32*0.029)</f>
        <v>44.641762678066968</v>
      </c>
      <c r="CC47" s="3211">
        <f>SUM(CB47/CB14*CC14)</f>
        <v>44.620187746473228</v>
      </c>
      <c r="CD47" s="3211">
        <f>SUM(CB47/CB14*CD14)</f>
        <v>2.1574931593740333E-2</v>
      </c>
      <c r="CE47" s="3194">
        <f t="shared" si="291"/>
        <v>6.5</v>
      </c>
      <c r="CF47" s="3194">
        <f t="shared" si="292"/>
        <v>6.5</v>
      </c>
      <c r="CG47" s="3194">
        <f t="shared" si="293"/>
        <v>0</v>
      </c>
      <c r="CH47" s="3194">
        <f t="shared" si="294"/>
        <v>-38.141762678066968</v>
      </c>
      <c r="CI47" s="3194">
        <f t="shared" si="295"/>
        <v>-38.120187746473228</v>
      </c>
      <c r="CJ47" s="3194">
        <f t="shared" si="296"/>
        <v>-2.1574931593740333E-2</v>
      </c>
      <c r="CK47" s="3259"/>
      <c r="CL47" s="3259"/>
      <c r="CM47" s="3259"/>
      <c r="CN47" s="3254"/>
    </row>
    <row r="48" spans="1:92" ht="18.75" customHeight="1" x14ac:dyDescent="0.3">
      <c r="A48" s="3074" t="s">
        <v>7</v>
      </c>
      <c r="B48" s="3207">
        <f>SUM(C48:D48)</f>
        <v>18878.647862415226</v>
      </c>
      <c r="C48" s="3207">
        <f>SUM(C49:C55)+C57+C66</f>
        <v>18878.647862415226</v>
      </c>
      <c r="D48" s="3207">
        <f>SUM(D49:D55)+D57+D66</f>
        <v>0</v>
      </c>
      <c r="E48" s="3156">
        <f>SUM(F48:G48)</f>
        <v>6253.9699999999993</v>
      </c>
      <c r="F48" s="3057">
        <f>SUM(F49:F55)+F57+F66</f>
        <v>6253.9699999999993</v>
      </c>
      <c r="G48" s="3057">
        <f>SUM(G49:G55)+G66+G57</f>
        <v>0</v>
      </c>
      <c r="H48" s="3156">
        <f t="shared" si="168"/>
        <v>5663.66</v>
      </c>
      <c r="I48" s="3057">
        <f>SUM(I49:I55)+I57+I66</f>
        <v>5663.66</v>
      </c>
      <c r="J48" s="3057">
        <f>SUM(J49:J55)+J57+J66</f>
        <v>0</v>
      </c>
      <c r="K48" s="3156">
        <f t="shared" si="169"/>
        <v>6668.329999999999</v>
      </c>
      <c r="L48" s="3057">
        <f>SUM(L49:L55)+L57+L66</f>
        <v>6668.329999999999</v>
      </c>
      <c r="M48" s="3057">
        <f>SUM(M49:M55)+M57+M66</f>
        <v>0</v>
      </c>
      <c r="N48" s="3156">
        <f t="shared" ref="N48:N55" si="390">SUM(O48:P48)</f>
        <v>18585.96</v>
      </c>
      <c r="O48" s="3156">
        <f t="shared" ref="O48:O55" si="391">SUM(F48+I48+L48)</f>
        <v>18585.96</v>
      </c>
      <c r="P48" s="3156">
        <f t="shared" ref="P48:P55" si="392">SUM(G48+J48+M48)</f>
        <v>0</v>
      </c>
      <c r="Q48" s="3207">
        <f>SUM(R48:S48)</f>
        <v>18878.647862415226</v>
      </c>
      <c r="R48" s="3207">
        <f>SUM(R49:R55)+R57+R66</f>
        <v>18878.647862415226</v>
      </c>
      <c r="S48" s="3207">
        <f>SUM(S49:S55)+S57+S66</f>
        <v>0</v>
      </c>
      <c r="T48" s="3156">
        <f t="shared" si="252"/>
        <v>5904.0900000000011</v>
      </c>
      <c r="U48" s="3057">
        <f>SUM(U49:U55)+U57+U66</f>
        <v>5904.0900000000011</v>
      </c>
      <c r="V48" s="3057">
        <f>SUM(V49:V55)+V57+V66</f>
        <v>0</v>
      </c>
      <c r="W48" s="3156">
        <f t="shared" si="254"/>
        <v>7297.49</v>
      </c>
      <c r="X48" s="3057">
        <f>SUM(X49:X55)+X57+X66</f>
        <v>7297.49</v>
      </c>
      <c r="Y48" s="3057">
        <f>SUM(Y49:Y55)+Y57+Y66</f>
        <v>0</v>
      </c>
      <c r="Z48" s="3156">
        <f t="shared" si="256"/>
        <v>6796.0899999999992</v>
      </c>
      <c r="AA48" s="3057">
        <f>SUM(AA49:AA55)+AA57+AA66</f>
        <v>6796.0899999999992</v>
      </c>
      <c r="AB48" s="3057">
        <f>SUM(AB49:AB55)+AB57+AB66</f>
        <v>0</v>
      </c>
      <c r="AC48" s="3156">
        <f t="shared" si="306"/>
        <v>19997.670000000002</v>
      </c>
      <c r="AD48" s="3156">
        <f t="shared" si="384"/>
        <v>19997.670000000002</v>
      </c>
      <c r="AE48" s="3156">
        <f t="shared" si="385"/>
        <v>0</v>
      </c>
      <c r="AF48" s="3206">
        <f t="shared" ref="AF48" si="393">SUM(AG48:AH48)</f>
        <v>37757.295724830452</v>
      </c>
      <c r="AG48" s="3206">
        <f t="shared" ref="AG48" si="394">SUM(C48+R48)</f>
        <v>37757.295724830452</v>
      </c>
      <c r="AH48" s="3206">
        <f t="shared" ref="AH48" si="395">SUM(D48+S48)</f>
        <v>0</v>
      </c>
      <c r="AI48" s="3193">
        <f t="shared" ref="AI48:AI55" si="396">SUM(AC48+N48)</f>
        <v>38583.630000000005</v>
      </c>
      <c r="AJ48" s="3193">
        <f t="shared" ref="AJ48:AJ55" si="397">SUM(AD48+O48)</f>
        <v>38583.630000000005</v>
      </c>
      <c r="AK48" s="3193">
        <f t="shared" ref="AK48:AK55" si="398">SUM(AE48+P48)</f>
        <v>0</v>
      </c>
      <c r="AL48" s="3193">
        <f t="shared" ref="AL48:AL56" si="399">SUM(AI48-AF48)</f>
        <v>826.33427516955271</v>
      </c>
      <c r="AM48" s="3193">
        <f t="shared" ref="AM48:AM56" si="400">SUM(AJ48-AG48)</f>
        <v>826.33427516955271</v>
      </c>
      <c r="AN48" s="3193">
        <f t="shared" ref="AN48:AN56" si="401">SUM(AK48-AH48)</f>
        <v>0</v>
      </c>
      <c r="AO48" s="3207">
        <f>SUM(AP48:AQ48)</f>
        <v>18989.181901905729</v>
      </c>
      <c r="AP48" s="3207">
        <f>SUM(AP49:AP55)+AP57+AP66</f>
        <v>18989.181901905729</v>
      </c>
      <c r="AQ48" s="3207">
        <f>SUM(AQ49:AQ55)+AQ57+AQ66</f>
        <v>0</v>
      </c>
      <c r="AR48" s="3156">
        <f t="shared" si="267"/>
        <v>5380.4400000000005</v>
      </c>
      <c r="AS48" s="3057">
        <f>SUM(AS49:AS55)+AS57+AS66</f>
        <v>5380.4400000000005</v>
      </c>
      <c r="AT48" s="3057">
        <f>SUM(AT49:AT55)+AT57+AT66</f>
        <v>0</v>
      </c>
      <c r="AU48" s="3156">
        <f t="shared" si="269"/>
        <v>7165.18</v>
      </c>
      <c r="AV48" s="3057">
        <f>SUM(AV49:AV55)+AV57+AV66</f>
        <v>7165.18</v>
      </c>
      <c r="AW48" s="3057">
        <f>SUM(AW49:AW55)+AW57+AW66</f>
        <v>0</v>
      </c>
      <c r="AX48" s="3156">
        <f t="shared" si="271"/>
        <v>7622.6100000000006</v>
      </c>
      <c r="AY48" s="3057">
        <f>SUM(AY49:AY55)+AY57+AY66</f>
        <v>7622.6100000000006</v>
      </c>
      <c r="AZ48" s="3057">
        <f>SUM(AZ49:AZ55)+AZ57+AZ66</f>
        <v>0</v>
      </c>
      <c r="BA48" s="3156">
        <f t="shared" si="315"/>
        <v>20168.230000000003</v>
      </c>
      <c r="BB48" s="3156">
        <f t="shared" si="386"/>
        <v>20168.230000000003</v>
      </c>
      <c r="BC48" s="3156">
        <f t="shared" si="387"/>
        <v>0</v>
      </c>
      <c r="BD48" s="3206">
        <f t="shared" ref="BD48" si="402">SUM(BE48:BF48)</f>
        <v>56746.477626736181</v>
      </c>
      <c r="BE48" s="3206">
        <f t="shared" ref="BE48" si="403">SUM(AG48+AP48)</f>
        <v>56746.477626736181</v>
      </c>
      <c r="BF48" s="3206">
        <f t="shared" ref="BF48" si="404">SUM(AH48+AQ48)</f>
        <v>0</v>
      </c>
      <c r="BG48" s="3193">
        <f t="shared" ref="BG48:BG55" si="405">SUM(AI48+BA48)</f>
        <v>58751.860000000008</v>
      </c>
      <c r="BH48" s="3193">
        <f t="shared" ref="BH48:BH55" si="406">SUM(AJ48+BB48)</f>
        <v>58751.860000000008</v>
      </c>
      <c r="BI48" s="3193">
        <f t="shared" ref="BI48:BI55" si="407">SUM(AK48+BC48)</f>
        <v>0</v>
      </c>
      <c r="BJ48" s="3193">
        <f t="shared" ref="BJ48:BJ55" si="408">SUM(BG48-BD48)</f>
        <v>2005.3823732638266</v>
      </c>
      <c r="BK48" s="3193">
        <f t="shared" ref="BK48:BK55" si="409">SUM(BH48-BE48)</f>
        <v>2005.3823732638266</v>
      </c>
      <c r="BL48" s="3193">
        <f t="shared" ref="BL48:BL55" si="410">SUM(BI48-BF48)</f>
        <v>0</v>
      </c>
      <c r="BM48" s="3207">
        <f>SUM(BN48:BO48)</f>
        <v>18989.181901905729</v>
      </c>
      <c r="BN48" s="3207">
        <f>SUM(BN49:BN55)+BN57+BN66</f>
        <v>18989.181901905729</v>
      </c>
      <c r="BO48" s="3207">
        <f>SUM(BO49:BO55)+BO57+BO66</f>
        <v>0</v>
      </c>
      <c r="BP48" s="3156">
        <f t="shared" si="284"/>
        <v>0</v>
      </c>
      <c r="BQ48" s="3057">
        <f>SUM(BQ49:BQ55)+BQ57+BQ66</f>
        <v>0</v>
      </c>
      <c r="BR48" s="3057">
        <f>SUM(BR49:BR55)+BR57+BR66</f>
        <v>0</v>
      </c>
      <c r="BS48" s="3156">
        <f t="shared" si="286"/>
        <v>0</v>
      </c>
      <c r="BT48" s="3057">
        <f>SUM(BT49:BT55)+BT57+BT66</f>
        <v>0</v>
      </c>
      <c r="BU48" s="3057">
        <f>SUM(BU49:BU55)+BU57+BU66</f>
        <v>0</v>
      </c>
      <c r="BV48" s="3156">
        <f t="shared" si="288"/>
        <v>0</v>
      </c>
      <c r="BW48" s="3057">
        <f>SUM(BW49:BW55)+BW57+BW66</f>
        <v>0</v>
      </c>
      <c r="BX48" s="3057">
        <f>SUM(BX49:BX55)+BX57+BX66</f>
        <v>0</v>
      </c>
      <c r="BY48" s="3156">
        <f t="shared" si="324"/>
        <v>0</v>
      </c>
      <c r="BZ48" s="3156">
        <f t="shared" si="388"/>
        <v>0</v>
      </c>
      <c r="CA48" s="3156">
        <f t="shared" si="389"/>
        <v>0</v>
      </c>
      <c r="CB48" s="3206">
        <f>SUM(CC48:CD48)</f>
        <v>75735.659528613367</v>
      </c>
      <c r="CC48" s="3206">
        <f>SUM(CC49:CC55)+CC57+CC66</f>
        <v>75735.659528613367</v>
      </c>
      <c r="CD48" s="3206">
        <f>SUM(CD49:CD55)+CD57+CD66</f>
        <v>0</v>
      </c>
      <c r="CE48" s="3193">
        <f t="shared" ref="CE48:CE55" si="411">SUM(BY48+BG48)</f>
        <v>58751.860000000008</v>
      </c>
      <c r="CF48" s="3193">
        <f t="shared" ref="CF48:CF55" si="412">SUM(BZ48+BH48)</f>
        <v>58751.860000000008</v>
      </c>
      <c r="CG48" s="3193">
        <f t="shared" ref="CG48:CG55" si="413">SUM(CA48+BI48)</f>
        <v>0</v>
      </c>
      <c r="CH48" s="3193">
        <f t="shared" ref="CH48:CH55" si="414">SUM(CE48-CB48)</f>
        <v>-16983.799528613359</v>
      </c>
      <c r="CI48" s="3193">
        <f t="shared" ref="CI48:CI55" si="415">SUM(CF48-CC48)</f>
        <v>-16983.799528613359</v>
      </c>
      <c r="CJ48" s="3193">
        <f t="shared" ref="CJ48:CJ55" si="416">SUM(CG48-CD48)</f>
        <v>0</v>
      </c>
      <c r="CK48" s="3259"/>
      <c r="CL48" s="3259"/>
      <c r="CM48" s="3259"/>
      <c r="CN48" s="3055"/>
    </row>
    <row r="49" spans="1:92" ht="18.75" customHeight="1" x14ac:dyDescent="0.3">
      <c r="A49" s="3071" t="s">
        <v>1</v>
      </c>
      <c r="B49" s="3208">
        <f t="shared" ref="B49:B50" si="417">SUM(C49:D49)</f>
        <v>1873.458296449191</v>
      </c>
      <c r="C49" s="3208">
        <f>SUM(CC49/2)/(1+(105.9%*100-100)/2/100)/6*3</f>
        <v>1873.458296449191</v>
      </c>
      <c r="D49" s="3208">
        <f>SUM(CD49/2)/(1+(105.9%*100-100)/2/100)/6*3</f>
        <v>0</v>
      </c>
      <c r="E49" s="3136">
        <f t="shared" si="167"/>
        <v>516.69000000000005</v>
      </c>
      <c r="F49" s="3061">
        <v>516.69000000000005</v>
      </c>
      <c r="G49" s="3061"/>
      <c r="H49" s="3136">
        <f t="shared" si="168"/>
        <v>455.04</v>
      </c>
      <c r="I49" s="3061">
        <v>455.04</v>
      </c>
      <c r="J49" s="3061"/>
      <c r="K49" s="3136">
        <f t="shared" si="169"/>
        <v>504.58</v>
      </c>
      <c r="L49" s="3061">
        <v>504.58</v>
      </c>
      <c r="M49" s="3061"/>
      <c r="N49" s="3136">
        <f t="shared" si="390"/>
        <v>1476.31</v>
      </c>
      <c r="O49" s="3136">
        <f t="shared" si="391"/>
        <v>1476.31</v>
      </c>
      <c r="P49" s="3136">
        <f t="shared" si="392"/>
        <v>0</v>
      </c>
      <c r="Q49" s="3208">
        <f t="shared" ref="Q49:Q50" si="418">SUM(R49:S49)</f>
        <v>1873.458296449191</v>
      </c>
      <c r="R49" s="3208">
        <f t="shared" ref="R49:R50" si="419">SUM(C49)</f>
        <v>1873.458296449191</v>
      </c>
      <c r="S49" s="3208">
        <f t="shared" ref="S49:S50" si="420">SUM(D49)</f>
        <v>0</v>
      </c>
      <c r="T49" s="3136">
        <f t="shared" si="252"/>
        <v>577.14</v>
      </c>
      <c r="U49" s="3061">
        <v>577.14</v>
      </c>
      <c r="V49" s="3061"/>
      <c r="W49" s="3136">
        <f t="shared" si="254"/>
        <v>590.24</v>
      </c>
      <c r="X49" s="3061">
        <v>590.24</v>
      </c>
      <c r="Y49" s="3061"/>
      <c r="Z49" s="3136">
        <f t="shared" si="256"/>
        <v>529.72</v>
      </c>
      <c r="AA49" s="3061">
        <v>529.72</v>
      </c>
      <c r="AB49" s="3061"/>
      <c r="AC49" s="3136">
        <f t="shared" si="306"/>
        <v>1697.1000000000001</v>
      </c>
      <c r="AD49" s="3136">
        <f t="shared" si="384"/>
        <v>1697.1000000000001</v>
      </c>
      <c r="AE49" s="3136">
        <f t="shared" si="385"/>
        <v>0</v>
      </c>
      <c r="AF49" s="3209">
        <f t="shared" ref="AF49" si="421">SUM(AG49:AH49)</f>
        <v>3746.9165928983821</v>
      </c>
      <c r="AG49" s="3209">
        <f t="shared" ref="AG49" si="422">SUM(C49+R49)</f>
        <v>3746.9165928983821</v>
      </c>
      <c r="AH49" s="3209">
        <f t="shared" ref="AH49" si="423">SUM(D49+S49)</f>
        <v>0</v>
      </c>
      <c r="AI49" s="3264">
        <f t="shared" si="396"/>
        <v>3173.41</v>
      </c>
      <c r="AJ49" s="3264">
        <f t="shared" si="397"/>
        <v>3173.41</v>
      </c>
      <c r="AK49" s="3264">
        <f t="shared" si="398"/>
        <v>0</v>
      </c>
      <c r="AL49" s="3264">
        <f t="shared" si="399"/>
        <v>-573.50659289838222</v>
      </c>
      <c r="AM49" s="3264">
        <f t="shared" si="400"/>
        <v>-573.50659289838222</v>
      </c>
      <c r="AN49" s="3264">
        <f t="shared" si="401"/>
        <v>0</v>
      </c>
      <c r="AO49" s="3208">
        <f t="shared" ref="AO49:AO50" si="424">SUM(AP49:AQ49)</f>
        <v>1983.9923359396935</v>
      </c>
      <c r="AP49" s="3208">
        <f t="shared" ref="AP49:AP50" si="425">SUM(CC49-AG49)/2</f>
        <v>1983.9923359396935</v>
      </c>
      <c r="AQ49" s="3208">
        <f t="shared" ref="AQ49:AQ50" si="426">SUM(CD49-AH49)/2</f>
        <v>0</v>
      </c>
      <c r="AR49" s="3136">
        <f t="shared" si="267"/>
        <v>568.57000000000005</v>
      </c>
      <c r="AS49" s="3061">
        <v>568.57000000000005</v>
      </c>
      <c r="AT49" s="3061"/>
      <c r="AU49" s="3136">
        <f t="shared" si="269"/>
        <v>710.48</v>
      </c>
      <c r="AV49" s="3061">
        <v>710.48</v>
      </c>
      <c r="AW49" s="3061"/>
      <c r="AX49" s="3136">
        <f t="shared" si="271"/>
        <v>651.64</v>
      </c>
      <c r="AY49" s="3061">
        <v>651.64</v>
      </c>
      <c r="AZ49" s="3061"/>
      <c r="BA49" s="3136">
        <f t="shared" si="315"/>
        <v>1930.69</v>
      </c>
      <c r="BB49" s="3136">
        <f t="shared" si="386"/>
        <v>1930.69</v>
      </c>
      <c r="BC49" s="3136">
        <f t="shared" si="387"/>
        <v>0</v>
      </c>
      <c r="BD49" s="3209">
        <f t="shared" ref="BD49:BD50" si="427">SUM(BE49:BF49)</f>
        <v>5730.9089288380756</v>
      </c>
      <c r="BE49" s="3209">
        <f t="shared" ref="BE49:BE50" si="428">SUM(AG49+AP49)</f>
        <v>5730.9089288380756</v>
      </c>
      <c r="BF49" s="3209">
        <f t="shared" ref="BF49:BF50" si="429">SUM(AH49+AQ49)</f>
        <v>0</v>
      </c>
      <c r="BG49" s="3264">
        <f t="shared" si="405"/>
        <v>5104.1000000000004</v>
      </c>
      <c r="BH49" s="3264">
        <f t="shared" si="406"/>
        <v>5104.1000000000004</v>
      </c>
      <c r="BI49" s="3264">
        <f t="shared" si="407"/>
        <v>0</v>
      </c>
      <c r="BJ49" s="3264">
        <f t="shared" si="408"/>
        <v>-626.80892883807519</v>
      </c>
      <c r="BK49" s="3264">
        <f t="shared" si="409"/>
        <v>-626.80892883807519</v>
      </c>
      <c r="BL49" s="3264">
        <f t="shared" si="410"/>
        <v>0</v>
      </c>
      <c r="BM49" s="3208">
        <f t="shared" ref="BM49:BM50" si="430">SUM(BN49:BO49)</f>
        <v>1983.9923359396935</v>
      </c>
      <c r="BN49" s="3208">
        <f t="shared" ref="BN49:BN50" si="431">SUM(AP49)</f>
        <v>1983.9923359396935</v>
      </c>
      <c r="BO49" s="3208">
        <f t="shared" ref="BO49:BO50" si="432">SUM(AQ49)</f>
        <v>0</v>
      </c>
      <c r="BP49" s="3136">
        <f t="shared" si="284"/>
        <v>0</v>
      </c>
      <c r="BQ49" s="3061"/>
      <c r="BR49" s="3061"/>
      <c r="BS49" s="3136">
        <f t="shared" si="286"/>
        <v>0</v>
      </c>
      <c r="BT49" s="3061"/>
      <c r="BU49" s="3061"/>
      <c r="BV49" s="3136">
        <f t="shared" si="288"/>
        <v>0</v>
      </c>
      <c r="BW49" s="3061"/>
      <c r="BX49" s="3061"/>
      <c r="BY49" s="3136">
        <f t="shared" si="324"/>
        <v>0</v>
      </c>
      <c r="BZ49" s="3136">
        <f t="shared" si="388"/>
        <v>0</v>
      </c>
      <c r="CA49" s="3136">
        <f t="shared" si="389"/>
        <v>0</v>
      </c>
      <c r="CB49" s="3209">
        <f t="shared" ref="CB49:CB55" si="433">SUM(CC49:CD49)</f>
        <v>7714.901264777769</v>
      </c>
      <c r="CC49" s="3209">
        <f>SUM('ЭЭ вода'!S46)</f>
        <v>7714.901264777769</v>
      </c>
      <c r="CD49" s="3209">
        <v>0</v>
      </c>
      <c r="CE49" s="3264">
        <f t="shared" si="411"/>
        <v>5104.1000000000004</v>
      </c>
      <c r="CF49" s="3264">
        <f t="shared" si="412"/>
        <v>5104.1000000000004</v>
      </c>
      <c r="CG49" s="3264">
        <f t="shared" si="413"/>
        <v>0</v>
      </c>
      <c r="CH49" s="3264">
        <f t="shared" si="414"/>
        <v>-2610.8012647777687</v>
      </c>
      <c r="CI49" s="3264">
        <f t="shared" si="415"/>
        <v>-2610.8012647777687</v>
      </c>
      <c r="CJ49" s="3264">
        <f t="shared" si="416"/>
        <v>0</v>
      </c>
      <c r="CK49" s="3259"/>
      <c r="CL49" s="3259"/>
      <c r="CM49" s="3259"/>
      <c r="CN49" s="3055"/>
    </row>
    <row r="50" spans="1:92" ht="18.75" customHeight="1" x14ac:dyDescent="0.3">
      <c r="A50" s="3071" t="s">
        <v>8</v>
      </c>
      <c r="B50" s="3208">
        <f t="shared" si="417"/>
        <v>2995.4580714390409</v>
      </c>
      <c r="C50" s="3208">
        <f t="shared" ref="C50" si="434">SUM(CC50/4)</f>
        <v>2995.4580714390409</v>
      </c>
      <c r="D50" s="3208">
        <f t="shared" ref="D50" si="435">SUM(CD50/4)</f>
        <v>0</v>
      </c>
      <c r="E50" s="3136">
        <f t="shared" si="167"/>
        <v>799.17</v>
      </c>
      <c r="F50" s="3061">
        <v>799.17</v>
      </c>
      <c r="G50" s="3061"/>
      <c r="H50" s="3136">
        <f t="shared" si="168"/>
        <v>612.20000000000005</v>
      </c>
      <c r="I50" s="3061">
        <v>612.20000000000005</v>
      </c>
      <c r="J50" s="3061"/>
      <c r="K50" s="3136">
        <f t="shared" si="169"/>
        <v>631.79999999999995</v>
      </c>
      <c r="L50" s="3061">
        <v>631.79999999999995</v>
      </c>
      <c r="M50" s="3061"/>
      <c r="N50" s="3136">
        <f t="shared" si="390"/>
        <v>2043.1699999999998</v>
      </c>
      <c r="O50" s="3136">
        <f t="shared" si="391"/>
        <v>2043.1699999999998</v>
      </c>
      <c r="P50" s="3136">
        <f t="shared" si="392"/>
        <v>0</v>
      </c>
      <c r="Q50" s="3208">
        <f t="shared" si="418"/>
        <v>2995.4580714390409</v>
      </c>
      <c r="R50" s="3208">
        <f t="shared" si="419"/>
        <v>2995.4580714390409</v>
      </c>
      <c r="S50" s="3208">
        <f t="shared" si="420"/>
        <v>0</v>
      </c>
      <c r="T50" s="3136">
        <f t="shared" si="252"/>
        <v>0</v>
      </c>
      <c r="U50" s="3061"/>
      <c r="V50" s="3061"/>
      <c r="W50" s="3136">
        <f t="shared" si="254"/>
        <v>1547.87</v>
      </c>
      <c r="X50" s="3061">
        <v>1547.87</v>
      </c>
      <c r="Y50" s="3061"/>
      <c r="Z50" s="3136">
        <f t="shared" si="256"/>
        <v>1709.56</v>
      </c>
      <c r="AA50" s="3061">
        <v>1709.56</v>
      </c>
      <c r="AB50" s="3061"/>
      <c r="AC50" s="3136">
        <f t="shared" si="306"/>
        <v>3257.43</v>
      </c>
      <c r="AD50" s="3136">
        <f t="shared" si="384"/>
        <v>3257.43</v>
      </c>
      <c r="AE50" s="3136">
        <f t="shared" si="385"/>
        <v>0</v>
      </c>
      <c r="AF50" s="3209">
        <f t="shared" ref="AF50" si="436">SUM(AG50:AH50)</f>
        <v>5990.9161428780817</v>
      </c>
      <c r="AG50" s="3209">
        <f t="shared" ref="AG50" si="437">SUM(C50+R50)</f>
        <v>5990.9161428780817</v>
      </c>
      <c r="AH50" s="3209">
        <f t="shared" ref="AH50" si="438">SUM(D50+S50)</f>
        <v>0</v>
      </c>
      <c r="AI50" s="3264">
        <f t="shared" si="396"/>
        <v>5300.5999999999995</v>
      </c>
      <c r="AJ50" s="3264">
        <f t="shared" si="397"/>
        <v>5300.5999999999995</v>
      </c>
      <c r="AK50" s="3264">
        <f t="shared" si="398"/>
        <v>0</v>
      </c>
      <c r="AL50" s="3264">
        <f t="shared" si="399"/>
        <v>-690.31614287808225</v>
      </c>
      <c r="AM50" s="3264">
        <f t="shared" si="400"/>
        <v>-690.31614287808225</v>
      </c>
      <c r="AN50" s="3264">
        <f t="shared" si="401"/>
        <v>0</v>
      </c>
      <c r="AO50" s="3208">
        <f t="shared" si="424"/>
        <v>2995.4580714390409</v>
      </c>
      <c r="AP50" s="3208">
        <f t="shared" si="425"/>
        <v>2995.4580714390409</v>
      </c>
      <c r="AQ50" s="3208">
        <f t="shared" si="426"/>
        <v>0</v>
      </c>
      <c r="AR50" s="3136">
        <f t="shared" si="267"/>
        <v>524.02</v>
      </c>
      <c r="AS50" s="3061">
        <v>524.02</v>
      </c>
      <c r="AT50" s="3061"/>
      <c r="AU50" s="3136">
        <f t="shared" si="269"/>
        <v>1546.61</v>
      </c>
      <c r="AV50" s="3061">
        <v>1546.61</v>
      </c>
      <c r="AW50" s="3061"/>
      <c r="AX50" s="3136">
        <f t="shared" si="271"/>
        <v>1930.83</v>
      </c>
      <c r="AY50" s="3061">
        <v>1930.83</v>
      </c>
      <c r="AZ50" s="3061"/>
      <c r="BA50" s="3136">
        <f t="shared" si="315"/>
        <v>4001.46</v>
      </c>
      <c r="BB50" s="3136">
        <f t="shared" si="386"/>
        <v>4001.46</v>
      </c>
      <c r="BC50" s="3136">
        <f t="shared" si="387"/>
        <v>0</v>
      </c>
      <c r="BD50" s="3209">
        <f t="shared" si="427"/>
        <v>8986.3742143171221</v>
      </c>
      <c r="BE50" s="3209">
        <f t="shared" si="428"/>
        <v>8986.3742143171221</v>
      </c>
      <c r="BF50" s="3209">
        <f t="shared" si="429"/>
        <v>0</v>
      </c>
      <c r="BG50" s="3264">
        <f t="shared" si="405"/>
        <v>9302.06</v>
      </c>
      <c r="BH50" s="3264">
        <f t="shared" si="406"/>
        <v>9302.06</v>
      </c>
      <c r="BI50" s="3264">
        <f t="shared" si="407"/>
        <v>0</v>
      </c>
      <c r="BJ50" s="3264">
        <f t="shared" si="408"/>
        <v>315.68578568287739</v>
      </c>
      <c r="BK50" s="3264">
        <f t="shared" si="409"/>
        <v>315.68578568287739</v>
      </c>
      <c r="BL50" s="3264">
        <f t="shared" si="410"/>
        <v>0</v>
      </c>
      <c r="BM50" s="3208">
        <f t="shared" si="430"/>
        <v>2995.4580714390409</v>
      </c>
      <c r="BN50" s="3208">
        <f t="shared" si="431"/>
        <v>2995.4580714390409</v>
      </c>
      <c r="BO50" s="3208">
        <f t="shared" si="432"/>
        <v>0</v>
      </c>
      <c r="BP50" s="3136">
        <f t="shared" si="284"/>
        <v>0</v>
      </c>
      <c r="BQ50" s="3061"/>
      <c r="BR50" s="3061"/>
      <c r="BS50" s="3136">
        <f t="shared" si="286"/>
        <v>0</v>
      </c>
      <c r="BT50" s="3061"/>
      <c r="BU50" s="3061"/>
      <c r="BV50" s="3136">
        <f t="shared" si="288"/>
        <v>0</v>
      </c>
      <c r="BW50" s="3061"/>
      <c r="BX50" s="3061"/>
      <c r="BY50" s="3136">
        <f t="shared" si="324"/>
        <v>0</v>
      </c>
      <c r="BZ50" s="3136">
        <f t="shared" si="388"/>
        <v>0</v>
      </c>
      <c r="CA50" s="3136">
        <f t="shared" si="389"/>
        <v>0</v>
      </c>
      <c r="CB50" s="3209">
        <f t="shared" si="433"/>
        <v>11981.832285756163</v>
      </c>
      <c r="CC50" s="3209">
        <f>SUM(вода!BR19)</f>
        <v>11981.832285756163</v>
      </c>
      <c r="CD50" s="3209">
        <v>0</v>
      </c>
      <c r="CE50" s="3264">
        <f t="shared" si="411"/>
        <v>9302.06</v>
      </c>
      <c r="CF50" s="3264">
        <f t="shared" si="412"/>
        <v>9302.06</v>
      </c>
      <c r="CG50" s="3264">
        <f t="shared" si="413"/>
        <v>0</v>
      </c>
      <c r="CH50" s="3264">
        <f t="shared" si="414"/>
        <v>-2679.7722857561639</v>
      </c>
      <c r="CI50" s="3264">
        <f t="shared" si="415"/>
        <v>-2679.7722857561639</v>
      </c>
      <c r="CJ50" s="3264">
        <f t="shared" si="416"/>
        <v>0</v>
      </c>
      <c r="CK50" s="3259"/>
      <c r="CL50" s="3259"/>
      <c r="CM50" s="3259"/>
      <c r="CN50" s="3055"/>
    </row>
    <row r="51" spans="1:92" ht="18.75" customHeight="1" x14ac:dyDescent="0.3">
      <c r="A51" s="3071" t="s">
        <v>2</v>
      </c>
      <c r="B51" s="3208">
        <f t="shared" ref="B51" si="439">SUM(C51:D51)</f>
        <v>700.53</v>
      </c>
      <c r="C51" s="3208">
        <f t="shared" ref="C51" si="440">SUM(CC51/4)</f>
        <v>700.53</v>
      </c>
      <c r="D51" s="3208">
        <f t="shared" ref="D51" si="441">SUM(CD51/4)</f>
        <v>0</v>
      </c>
      <c r="E51" s="3136">
        <f t="shared" si="167"/>
        <v>586.96</v>
      </c>
      <c r="F51" s="3061">
        <v>586.96</v>
      </c>
      <c r="G51" s="3061"/>
      <c r="H51" s="3136">
        <f t="shared" si="168"/>
        <v>585.4</v>
      </c>
      <c r="I51" s="3061">
        <v>585.4</v>
      </c>
      <c r="J51" s="3061"/>
      <c r="K51" s="3136">
        <f t="shared" si="169"/>
        <v>585.28</v>
      </c>
      <c r="L51" s="3061">
        <v>585.28</v>
      </c>
      <c r="M51" s="3061"/>
      <c r="N51" s="3136">
        <f t="shared" si="390"/>
        <v>1757.64</v>
      </c>
      <c r="O51" s="3136">
        <f t="shared" si="391"/>
        <v>1757.64</v>
      </c>
      <c r="P51" s="3136">
        <f t="shared" si="392"/>
        <v>0</v>
      </c>
      <c r="Q51" s="3208">
        <f t="shared" ref="Q51" si="442">SUM(R51:S51)</f>
        <v>700.53</v>
      </c>
      <c r="R51" s="3208">
        <f t="shared" ref="R51" si="443">SUM(C51)</f>
        <v>700.53</v>
      </c>
      <c r="S51" s="3208">
        <f t="shared" ref="S51" si="444">SUM(D51)</f>
        <v>0</v>
      </c>
      <c r="T51" s="3136">
        <f t="shared" si="252"/>
        <v>594.45000000000005</v>
      </c>
      <c r="U51" s="3061">
        <v>594.45000000000005</v>
      </c>
      <c r="V51" s="3061"/>
      <c r="W51" s="3136">
        <f t="shared" si="254"/>
        <v>476.63</v>
      </c>
      <c r="X51" s="3061">
        <f>476.63</f>
        <v>476.63</v>
      </c>
      <c r="Y51" s="3061"/>
      <c r="Z51" s="3136">
        <f t="shared" si="256"/>
        <v>478.62</v>
      </c>
      <c r="AA51" s="3061">
        <v>478.62</v>
      </c>
      <c r="AB51" s="3061"/>
      <c r="AC51" s="3136">
        <f t="shared" si="306"/>
        <v>1549.6999999999998</v>
      </c>
      <c r="AD51" s="3136">
        <f t="shared" si="384"/>
        <v>1549.6999999999998</v>
      </c>
      <c r="AE51" s="3136">
        <f t="shared" si="385"/>
        <v>0</v>
      </c>
      <c r="AF51" s="3209">
        <f t="shared" ref="AF51" si="445">SUM(AG51:AH51)</f>
        <v>1401.06</v>
      </c>
      <c r="AG51" s="3209">
        <f t="shared" ref="AG51" si="446">SUM(C51+R51)</f>
        <v>1401.06</v>
      </c>
      <c r="AH51" s="3209">
        <f t="shared" ref="AH51" si="447">SUM(D51+S51)</f>
        <v>0</v>
      </c>
      <c r="AI51" s="3264">
        <f t="shared" si="396"/>
        <v>3307.34</v>
      </c>
      <c r="AJ51" s="3264">
        <f t="shared" si="397"/>
        <v>3307.34</v>
      </c>
      <c r="AK51" s="3264">
        <f t="shared" si="398"/>
        <v>0</v>
      </c>
      <c r="AL51" s="3264">
        <f t="shared" si="399"/>
        <v>1906.2800000000002</v>
      </c>
      <c r="AM51" s="3264">
        <f t="shared" si="400"/>
        <v>1906.2800000000002</v>
      </c>
      <c r="AN51" s="3264">
        <f t="shared" si="401"/>
        <v>0</v>
      </c>
      <c r="AO51" s="3208">
        <f t="shared" ref="AO51" si="448">SUM(AP51:AQ51)</f>
        <v>700.53</v>
      </c>
      <c r="AP51" s="3208">
        <f t="shared" ref="AP51" si="449">SUM(CC51-AG51)/2</f>
        <v>700.53</v>
      </c>
      <c r="AQ51" s="3208">
        <f t="shared" ref="AQ51" si="450">SUM(CD51-AH51)/2</f>
        <v>0</v>
      </c>
      <c r="AR51" s="3136">
        <f t="shared" si="267"/>
        <v>481.98</v>
      </c>
      <c r="AS51" s="3061">
        <v>481.98</v>
      </c>
      <c r="AT51" s="3061"/>
      <c r="AU51" s="3136">
        <f t="shared" si="269"/>
        <v>483.47</v>
      </c>
      <c r="AV51" s="3061">
        <v>483.47</v>
      </c>
      <c r="AW51" s="3061"/>
      <c r="AX51" s="3136">
        <f t="shared" si="271"/>
        <v>484.74</v>
      </c>
      <c r="AY51" s="3061">
        <v>484.74</v>
      </c>
      <c r="AZ51" s="3061"/>
      <c r="BA51" s="3136">
        <f t="shared" si="315"/>
        <v>1450.19</v>
      </c>
      <c r="BB51" s="3136">
        <f t="shared" si="386"/>
        <v>1450.19</v>
      </c>
      <c r="BC51" s="3136">
        <f t="shared" si="387"/>
        <v>0</v>
      </c>
      <c r="BD51" s="3209">
        <f t="shared" ref="BD51" si="451">SUM(BE51:BF51)</f>
        <v>2101.59</v>
      </c>
      <c r="BE51" s="3209">
        <f t="shared" ref="BE51" si="452">SUM(AG51+AP51)</f>
        <v>2101.59</v>
      </c>
      <c r="BF51" s="3209">
        <f t="shared" ref="BF51" si="453">SUM(AH51+AQ51)</f>
        <v>0</v>
      </c>
      <c r="BG51" s="3264">
        <f t="shared" si="405"/>
        <v>4757.5300000000007</v>
      </c>
      <c r="BH51" s="3264">
        <f t="shared" si="406"/>
        <v>4757.5300000000007</v>
      </c>
      <c r="BI51" s="3264">
        <f t="shared" si="407"/>
        <v>0</v>
      </c>
      <c r="BJ51" s="3264">
        <f t="shared" si="408"/>
        <v>2655.9400000000005</v>
      </c>
      <c r="BK51" s="3264">
        <f t="shared" si="409"/>
        <v>2655.9400000000005</v>
      </c>
      <c r="BL51" s="3264">
        <f t="shared" si="410"/>
        <v>0</v>
      </c>
      <c r="BM51" s="3208">
        <f t="shared" ref="BM51" si="454">SUM(BN51:BO51)</f>
        <v>700.53</v>
      </c>
      <c r="BN51" s="3208">
        <f t="shared" ref="BN51" si="455">SUM(AP51)</f>
        <v>700.53</v>
      </c>
      <c r="BO51" s="3208">
        <f t="shared" ref="BO51" si="456">SUM(AQ51)</f>
        <v>0</v>
      </c>
      <c r="BP51" s="3136">
        <f t="shared" si="284"/>
        <v>0</v>
      </c>
      <c r="BQ51" s="3061"/>
      <c r="BR51" s="3061"/>
      <c r="BS51" s="3136">
        <f t="shared" si="286"/>
        <v>0</v>
      </c>
      <c r="BT51" s="3061"/>
      <c r="BU51" s="3061"/>
      <c r="BV51" s="3136">
        <f t="shared" si="288"/>
        <v>0</v>
      </c>
      <c r="BW51" s="3061"/>
      <c r="BX51" s="3061"/>
      <c r="BY51" s="3136">
        <f t="shared" si="324"/>
        <v>0</v>
      </c>
      <c r="BZ51" s="3136">
        <f t="shared" si="388"/>
        <v>0</v>
      </c>
      <c r="CA51" s="3136">
        <f t="shared" si="389"/>
        <v>0</v>
      </c>
      <c r="CB51" s="3209">
        <f t="shared" si="433"/>
        <v>2802.12</v>
      </c>
      <c r="CC51" s="3209">
        <f>SUM(вода!BR20)</f>
        <v>2802.12</v>
      </c>
      <c r="CD51" s="3209">
        <v>0</v>
      </c>
      <c r="CE51" s="3264">
        <f t="shared" si="411"/>
        <v>4757.5300000000007</v>
      </c>
      <c r="CF51" s="3264">
        <f t="shared" si="412"/>
        <v>4757.5300000000007</v>
      </c>
      <c r="CG51" s="3264">
        <f t="shared" si="413"/>
        <v>0</v>
      </c>
      <c r="CH51" s="3264">
        <f t="shared" si="414"/>
        <v>1955.4100000000008</v>
      </c>
      <c r="CI51" s="3264">
        <f t="shared" si="415"/>
        <v>1955.4100000000008</v>
      </c>
      <c r="CJ51" s="3264">
        <f t="shared" si="416"/>
        <v>0</v>
      </c>
      <c r="CK51" s="3259"/>
      <c r="CL51" s="3259"/>
      <c r="CM51" s="3259"/>
      <c r="CN51" s="3055"/>
    </row>
    <row r="52" spans="1:92" ht="18.75" customHeight="1" x14ac:dyDescent="0.3">
      <c r="A52" s="3072" t="s">
        <v>3589</v>
      </c>
      <c r="B52" s="3208">
        <f t="shared" ref="B52:B55" si="457">SUM(C52:D52)</f>
        <v>0</v>
      </c>
      <c r="C52" s="3208">
        <f t="shared" ref="C52:C55" si="458">SUM(CC52/4)</f>
        <v>0</v>
      </c>
      <c r="D52" s="3208">
        <f t="shared" ref="D52:D55" si="459">SUM(CD52/4)</f>
        <v>0</v>
      </c>
      <c r="E52" s="3136">
        <f t="shared" si="167"/>
        <v>0</v>
      </c>
      <c r="F52" s="3061"/>
      <c r="G52" s="3061"/>
      <c r="H52" s="3136">
        <f t="shared" si="168"/>
        <v>0</v>
      </c>
      <c r="I52" s="3061"/>
      <c r="J52" s="3061"/>
      <c r="K52" s="3136">
        <f t="shared" si="169"/>
        <v>0</v>
      </c>
      <c r="L52" s="3061"/>
      <c r="M52" s="3061"/>
      <c r="N52" s="3136">
        <f t="shared" si="390"/>
        <v>0</v>
      </c>
      <c r="O52" s="3136">
        <f t="shared" si="391"/>
        <v>0</v>
      </c>
      <c r="P52" s="3136">
        <f t="shared" si="392"/>
        <v>0</v>
      </c>
      <c r="Q52" s="3208">
        <f t="shared" ref="Q52:Q54" si="460">SUM(R52:S52)</f>
        <v>0</v>
      </c>
      <c r="R52" s="3208">
        <f t="shared" ref="R52:R54" si="461">SUM(C52)</f>
        <v>0</v>
      </c>
      <c r="S52" s="3208">
        <f t="shared" ref="S52:S54" si="462">SUM(D52)</f>
        <v>0</v>
      </c>
      <c r="T52" s="3136">
        <f t="shared" si="252"/>
        <v>0</v>
      </c>
      <c r="U52" s="3061"/>
      <c r="V52" s="3061"/>
      <c r="W52" s="3136">
        <f t="shared" si="254"/>
        <v>0</v>
      </c>
      <c r="X52" s="3061"/>
      <c r="Y52" s="3061"/>
      <c r="Z52" s="3136">
        <f t="shared" si="256"/>
        <v>0</v>
      </c>
      <c r="AA52" s="3061"/>
      <c r="AB52" s="3061"/>
      <c r="AC52" s="3136">
        <f t="shared" si="306"/>
        <v>0</v>
      </c>
      <c r="AD52" s="3136">
        <f t="shared" si="384"/>
        <v>0</v>
      </c>
      <c r="AE52" s="3136">
        <f t="shared" si="385"/>
        <v>0</v>
      </c>
      <c r="AF52" s="3209">
        <f t="shared" ref="AF52:AF55" si="463">SUM(AG52:AH52)</f>
        <v>0</v>
      </c>
      <c r="AG52" s="3209">
        <f t="shared" ref="AG52:AG55" si="464">SUM(C52+R52)</f>
        <v>0</v>
      </c>
      <c r="AH52" s="3209">
        <f t="shared" ref="AH52:AH55" si="465">SUM(D52+S52)</f>
        <v>0</v>
      </c>
      <c r="AI52" s="3264">
        <f t="shared" si="396"/>
        <v>0</v>
      </c>
      <c r="AJ52" s="3264">
        <f t="shared" si="397"/>
        <v>0</v>
      </c>
      <c r="AK52" s="3264">
        <f t="shared" si="398"/>
        <v>0</v>
      </c>
      <c r="AL52" s="3264">
        <f t="shared" si="399"/>
        <v>0</v>
      </c>
      <c r="AM52" s="3264">
        <f t="shared" si="400"/>
        <v>0</v>
      </c>
      <c r="AN52" s="3264">
        <f t="shared" si="401"/>
        <v>0</v>
      </c>
      <c r="AO52" s="3208">
        <f t="shared" ref="AO52:AO55" si="466">SUM(AP52:AQ52)</f>
        <v>0</v>
      </c>
      <c r="AP52" s="3208">
        <f t="shared" ref="AP52:AP55" si="467">SUM(CC52-AG52)/2</f>
        <v>0</v>
      </c>
      <c r="AQ52" s="3208">
        <f t="shared" ref="AQ52:AQ55" si="468">SUM(CD52-AH52)/2</f>
        <v>0</v>
      </c>
      <c r="AR52" s="3136">
        <f t="shared" si="267"/>
        <v>0</v>
      </c>
      <c r="AS52" s="3061"/>
      <c r="AT52" s="3061"/>
      <c r="AU52" s="3136">
        <f t="shared" si="269"/>
        <v>0</v>
      </c>
      <c r="AV52" s="3061"/>
      <c r="AW52" s="3061"/>
      <c r="AX52" s="3136">
        <f t="shared" si="271"/>
        <v>0</v>
      </c>
      <c r="AY52" s="3061"/>
      <c r="AZ52" s="3061"/>
      <c r="BA52" s="3136">
        <f t="shared" si="315"/>
        <v>0</v>
      </c>
      <c r="BB52" s="3136">
        <f t="shared" si="386"/>
        <v>0</v>
      </c>
      <c r="BC52" s="3136">
        <f t="shared" si="387"/>
        <v>0</v>
      </c>
      <c r="BD52" s="3209">
        <f t="shared" ref="BD52:BD55" si="469">SUM(BE52:BF52)</f>
        <v>0</v>
      </c>
      <c r="BE52" s="3209">
        <f t="shared" ref="BE52:BE55" si="470">SUM(AG52+AP52)</f>
        <v>0</v>
      </c>
      <c r="BF52" s="3209">
        <f t="shared" ref="BF52:BF55" si="471">SUM(AH52+AQ52)</f>
        <v>0</v>
      </c>
      <c r="BG52" s="3264">
        <f t="shared" si="405"/>
        <v>0</v>
      </c>
      <c r="BH52" s="3264">
        <f t="shared" si="406"/>
        <v>0</v>
      </c>
      <c r="BI52" s="3264">
        <f t="shared" si="407"/>
        <v>0</v>
      </c>
      <c r="BJ52" s="3264">
        <f t="shared" si="408"/>
        <v>0</v>
      </c>
      <c r="BK52" s="3264">
        <f t="shared" si="409"/>
        <v>0</v>
      </c>
      <c r="BL52" s="3264">
        <f t="shared" si="410"/>
        <v>0</v>
      </c>
      <c r="BM52" s="3208">
        <f t="shared" ref="BM52:BM55" si="472">SUM(BN52:BO52)</f>
        <v>0</v>
      </c>
      <c r="BN52" s="3208">
        <f t="shared" ref="BN52:BN55" si="473">SUM(AP52)</f>
        <v>0</v>
      </c>
      <c r="BO52" s="3208">
        <f t="shared" ref="BO52:BO55" si="474">SUM(AQ52)</f>
        <v>0</v>
      </c>
      <c r="BP52" s="3136">
        <f t="shared" si="284"/>
        <v>0</v>
      </c>
      <c r="BQ52" s="3061"/>
      <c r="BR52" s="3061"/>
      <c r="BS52" s="3136">
        <f t="shared" si="286"/>
        <v>0</v>
      </c>
      <c r="BT52" s="3061"/>
      <c r="BU52" s="3061"/>
      <c r="BV52" s="3136">
        <f t="shared" si="288"/>
        <v>0</v>
      </c>
      <c r="BW52" s="3061"/>
      <c r="BX52" s="3061"/>
      <c r="BY52" s="3136">
        <f t="shared" si="324"/>
        <v>0</v>
      </c>
      <c r="BZ52" s="3136">
        <f t="shared" si="388"/>
        <v>0</v>
      </c>
      <c r="CA52" s="3136">
        <f t="shared" si="389"/>
        <v>0</v>
      </c>
      <c r="CB52" s="3209">
        <f t="shared" si="433"/>
        <v>0</v>
      </c>
      <c r="CC52" s="3209">
        <f>SUM(вода!BR21)</f>
        <v>0</v>
      </c>
      <c r="CD52" s="3209">
        <v>0</v>
      </c>
      <c r="CE52" s="3264">
        <f t="shared" si="411"/>
        <v>0</v>
      </c>
      <c r="CF52" s="3264">
        <f t="shared" si="412"/>
        <v>0</v>
      </c>
      <c r="CG52" s="3264">
        <f t="shared" si="413"/>
        <v>0</v>
      </c>
      <c r="CH52" s="3264">
        <f t="shared" si="414"/>
        <v>0</v>
      </c>
      <c r="CI52" s="3264">
        <f t="shared" si="415"/>
        <v>0</v>
      </c>
      <c r="CJ52" s="3264">
        <f t="shared" si="416"/>
        <v>0</v>
      </c>
      <c r="CK52" s="3259"/>
      <c r="CL52" s="3259"/>
      <c r="CM52" s="3259"/>
      <c r="CN52" s="3055"/>
    </row>
    <row r="53" spans="1:92" ht="18.75" customHeight="1" x14ac:dyDescent="0.3">
      <c r="A53" s="3071" t="s">
        <v>3</v>
      </c>
      <c r="B53" s="3208">
        <f t="shared" si="457"/>
        <v>0</v>
      </c>
      <c r="C53" s="3208">
        <f t="shared" si="458"/>
        <v>0</v>
      </c>
      <c r="D53" s="3208">
        <f t="shared" si="459"/>
        <v>0</v>
      </c>
      <c r="E53" s="3136">
        <f t="shared" si="167"/>
        <v>37.4</v>
      </c>
      <c r="F53" s="3061">
        <f>0.86+36.54</f>
        <v>37.4</v>
      </c>
      <c r="G53" s="3061"/>
      <c r="H53" s="3136">
        <f t="shared" si="168"/>
        <v>114.85</v>
      </c>
      <c r="I53" s="3061">
        <f>33.88+80.97</f>
        <v>114.85</v>
      </c>
      <c r="J53" s="3061"/>
      <c r="K53" s="3136">
        <f t="shared" si="169"/>
        <v>674.49</v>
      </c>
      <c r="L53" s="3061">
        <f>2.52+671.95+0.02</f>
        <v>674.49</v>
      </c>
      <c r="M53" s="3061"/>
      <c r="N53" s="3136">
        <f t="shared" si="390"/>
        <v>826.74</v>
      </c>
      <c r="O53" s="3136">
        <f t="shared" si="391"/>
        <v>826.74</v>
      </c>
      <c r="P53" s="3136">
        <f t="shared" si="392"/>
        <v>0</v>
      </c>
      <c r="Q53" s="3208">
        <f t="shared" si="460"/>
        <v>0</v>
      </c>
      <c r="R53" s="3208">
        <f t="shared" si="461"/>
        <v>0</v>
      </c>
      <c r="S53" s="3208">
        <f t="shared" si="462"/>
        <v>0</v>
      </c>
      <c r="T53" s="3136">
        <f t="shared" si="252"/>
        <v>683.86</v>
      </c>
      <c r="U53" s="3061">
        <v>683.86</v>
      </c>
      <c r="V53" s="3061"/>
      <c r="W53" s="3136">
        <f t="shared" si="254"/>
        <v>788.63</v>
      </c>
      <c r="X53" s="3061">
        <f>43.84+0.25+744.54</f>
        <v>788.63</v>
      </c>
      <c r="Y53" s="3061"/>
      <c r="Z53" s="3136">
        <f t="shared" si="256"/>
        <v>54.239999999999995</v>
      </c>
      <c r="AA53" s="3061">
        <f>48.72+5.52</f>
        <v>54.239999999999995</v>
      </c>
      <c r="AB53" s="3061"/>
      <c r="AC53" s="3136">
        <f t="shared" si="306"/>
        <v>1526.73</v>
      </c>
      <c r="AD53" s="3136">
        <f t="shared" si="384"/>
        <v>1526.73</v>
      </c>
      <c r="AE53" s="3136">
        <f t="shared" si="385"/>
        <v>0</v>
      </c>
      <c r="AF53" s="3209">
        <f t="shared" si="463"/>
        <v>0</v>
      </c>
      <c r="AG53" s="3209">
        <f t="shared" si="464"/>
        <v>0</v>
      </c>
      <c r="AH53" s="3209">
        <f t="shared" si="465"/>
        <v>0</v>
      </c>
      <c r="AI53" s="3264">
        <f t="shared" si="396"/>
        <v>2353.4700000000003</v>
      </c>
      <c r="AJ53" s="3264">
        <f t="shared" si="397"/>
        <v>2353.4700000000003</v>
      </c>
      <c r="AK53" s="3264">
        <f t="shared" si="398"/>
        <v>0</v>
      </c>
      <c r="AL53" s="3264">
        <f t="shared" si="399"/>
        <v>2353.4700000000003</v>
      </c>
      <c r="AM53" s="3264">
        <f t="shared" si="400"/>
        <v>2353.4700000000003</v>
      </c>
      <c r="AN53" s="3264">
        <f t="shared" si="401"/>
        <v>0</v>
      </c>
      <c r="AO53" s="3208">
        <f t="shared" si="466"/>
        <v>0</v>
      </c>
      <c r="AP53" s="3208">
        <f t="shared" si="467"/>
        <v>0</v>
      </c>
      <c r="AQ53" s="3208">
        <f t="shared" si="468"/>
        <v>0</v>
      </c>
      <c r="AR53" s="3136">
        <f t="shared" si="267"/>
        <v>323.04000000000002</v>
      </c>
      <c r="AS53" s="3061">
        <v>323.04000000000002</v>
      </c>
      <c r="AT53" s="3061"/>
      <c r="AU53" s="3136">
        <f t="shared" si="269"/>
        <v>177.48</v>
      </c>
      <c r="AV53" s="3061">
        <v>177.48</v>
      </c>
      <c r="AW53" s="3061"/>
      <c r="AX53" s="3136">
        <f t="shared" si="271"/>
        <v>562</v>
      </c>
      <c r="AY53" s="3061">
        <f>15.6+546.4</f>
        <v>562</v>
      </c>
      <c r="AZ53" s="3061"/>
      <c r="BA53" s="3136">
        <f t="shared" si="315"/>
        <v>1062.52</v>
      </c>
      <c r="BB53" s="3136">
        <f t="shared" si="386"/>
        <v>1062.52</v>
      </c>
      <c r="BC53" s="3136">
        <f t="shared" si="387"/>
        <v>0</v>
      </c>
      <c r="BD53" s="3209">
        <f t="shared" si="469"/>
        <v>0</v>
      </c>
      <c r="BE53" s="3209">
        <f t="shared" si="470"/>
        <v>0</v>
      </c>
      <c r="BF53" s="3209">
        <f t="shared" si="471"/>
        <v>0</v>
      </c>
      <c r="BG53" s="3264">
        <f t="shared" si="405"/>
        <v>3415.9900000000002</v>
      </c>
      <c r="BH53" s="3264">
        <f t="shared" si="406"/>
        <v>3415.9900000000002</v>
      </c>
      <c r="BI53" s="3264">
        <f t="shared" si="407"/>
        <v>0</v>
      </c>
      <c r="BJ53" s="3264">
        <f t="shared" si="408"/>
        <v>3415.9900000000002</v>
      </c>
      <c r="BK53" s="3264">
        <f t="shared" si="409"/>
        <v>3415.9900000000002</v>
      </c>
      <c r="BL53" s="3264">
        <f t="shared" si="410"/>
        <v>0</v>
      </c>
      <c r="BM53" s="3208">
        <f t="shared" si="472"/>
        <v>0</v>
      </c>
      <c r="BN53" s="3208">
        <f t="shared" si="473"/>
        <v>0</v>
      </c>
      <c r="BO53" s="3208">
        <f t="shared" si="474"/>
        <v>0</v>
      </c>
      <c r="BP53" s="3136">
        <f t="shared" si="284"/>
        <v>0</v>
      </c>
      <c r="BQ53" s="3061"/>
      <c r="BR53" s="3061"/>
      <c r="BS53" s="3136">
        <f t="shared" si="286"/>
        <v>0</v>
      </c>
      <c r="BT53" s="3061"/>
      <c r="BU53" s="3061"/>
      <c r="BV53" s="3136">
        <f t="shared" si="288"/>
        <v>0</v>
      </c>
      <c r="BW53" s="3061"/>
      <c r="BX53" s="3061"/>
      <c r="BY53" s="3136">
        <f t="shared" si="324"/>
        <v>0</v>
      </c>
      <c r="BZ53" s="3136">
        <f t="shared" si="388"/>
        <v>0</v>
      </c>
      <c r="CA53" s="3136">
        <f t="shared" si="389"/>
        <v>0</v>
      </c>
      <c r="CB53" s="3209">
        <f t="shared" si="433"/>
        <v>0</v>
      </c>
      <c r="CC53" s="3209">
        <f>SUM(вода!BR22)</f>
        <v>0</v>
      </c>
      <c r="CD53" s="3209">
        <v>0</v>
      </c>
      <c r="CE53" s="3264">
        <f t="shared" si="411"/>
        <v>3415.9900000000002</v>
      </c>
      <c r="CF53" s="3264">
        <f t="shared" si="412"/>
        <v>3415.9900000000002</v>
      </c>
      <c r="CG53" s="3264">
        <f t="shared" si="413"/>
        <v>0</v>
      </c>
      <c r="CH53" s="3264">
        <f t="shared" si="414"/>
        <v>3415.9900000000002</v>
      </c>
      <c r="CI53" s="3264">
        <f t="shared" si="415"/>
        <v>3415.9900000000002</v>
      </c>
      <c r="CJ53" s="3264">
        <f t="shared" si="416"/>
        <v>0</v>
      </c>
      <c r="CK53" s="3259"/>
      <c r="CL53" s="3259"/>
      <c r="CM53" s="3259"/>
      <c r="CN53" s="3055"/>
    </row>
    <row r="54" spans="1:92" ht="18.75" customHeight="1" x14ac:dyDescent="0.3">
      <c r="A54" s="3071" t="s">
        <v>4</v>
      </c>
      <c r="B54" s="3208">
        <f t="shared" si="457"/>
        <v>6473.5809599999993</v>
      </c>
      <c r="C54" s="3208">
        <f t="shared" si="458"/>
        <v>6473.5809599999993</v>
      </c>
      <c r="D54" s="3208">
        <f t="shared" si="459"/>
        <v>0</v>
      </c>
      <c r="E54" s="3136">
        <f t="shared" si="167"/>
        <v>1622.9499999999998</v>
      </c>
      <c r="F54" s="3061">
        <f>1585.33+37.62</f>
        <v>1622.9499999999998</v>
      </c>
      <c r="G54" s="3061"/>
      <c r="H54" s="3136">
        <f t="shared" si="168"/>
        <v>1397.51</v>
      </c>
      <c r="I54" s="3061">
        <f>1350.53+46.98</f>
        <v>1397.51</v>
      </c>
      <c r="J54" s="3061"/>
      <c r="K54" s="3136">
        <f t="shared" si="169"/>
        <v>1671.06</v>
      </c>
      <c r="L54" s="3061">
        <f>1625.08+45.98</f>
        <v>1671.06</v>
      </c>
      <c r="M54" s="3061"/>
      <c r="N54" s="3136">
        <f t="shared" si="390"/>
        <v>4691.5200000000004</v>
      </c>
      <c r="O54" s="3136">
        <f t="shared" si="391"/>
        <v>4691.5200000000004</v>
      </c>
      <c r="P54" s="3136">
        <f t="shared" si="392"/>
        <v>0</v>
      </c>
      <c r="Q54" s="3208">
        <f t="shared" si="460"/>
        <v>6473.5809599999993</v>
      </c>
      <c r="R54" s="3208">
        <f t="shared" si="461"/>
        <v>6473.5809599999993</v>
      </c>
      <c r="S54" s="3208">
        <f t="shared" si="462"/>
        <v>0</v>
      </c>
      <c r="T54" s="3136">
        <f t="shared" si="252"/>
        <v>1803.5800000000002</v>
      </c>
      <c r="U54" s="3061">
        <f>1744.17+59.41</f>
        <v>1803.5800000000002</v>
      </c>
      <c r="V54" s="3061"/>
      <c r="W54" s="3136">
        <f t="shared" si="254"/>
        <v>1835.26</v>
      </c>
      <c r="X54" s="3061">
        <f>1766.81+68.45</f>
        <v>1835.26</v>
      </c>
      <c r="Y54" s="3061"/>
      <c r="Z54" s="3136">
        <f t="shared" si="256"/>
        <v>1826.88</v>
      </c>
      <c r="AA54" s="3061">
        <f>1627.39+158.24+41.25</f>
        <v>1826.88</v>
      </c>
      <c r="AB54" s="3061"/>
      <c r="AC54" s="3136">
        <f t="shared" si="306"/>
        <v>5465.72</v>
      </c>
      <c r="AD54" s="3136">
        <f t="shared" si="384"/>
        <v>5465.72</v>
      </c>
      <c r="AE54" s="3136">
        <f t="shared" si="385"/>
        <v>0</v>
      </c>
      <c r="AF54" s="3209">
        <f t="shared" si="463"/>
        <v>12947.161919999999</v>
      </c>
      <c r="AG54" s="3209">
        <f t="shared" si="464"/>
        <v>12947.161919999999</v>
      </c>
      <c r="AH54" s="3209">
        <f t="shared" si="465"/>
        <v>0</v>
      </c>
      <c r="AI54" s="3264">
        <f t="shared" si="396"/>
        <v>10157.240000000002</v>
      </c>
      <c r="AJ54" s="3264">
        <f t="shared" si="397"/>
        <v>10157.240000000002</v>
      </c>
      <c r="AK54" s="3264">
        <f t="shared" si="398"/>
        <v>0</v>
      </c>
      <c r="AL54" s="3264">
        <f t="shared" si="399"/>
        <v>-2789.921919999997</v>
      </c>
      <c r="AM54" s="3264">
        <f t="shared" si="400"/>
        <v>-2789.921919999997</v>
      </c>
      <c r="AN54" s="3264">
        <f t="shared" si="401"/>
        <v>0</v>
      </c>
      <c r="AO54" s="3208">
        <f t="shared" si="466"/>
        <v>6473.5809599999993</v>
      </c>
      <c r="AP54" s="3208">
        <f t="shared" si="467"/>
        <v>6473.5809599999993</v>
      </c>
      <c r="AQ54" s="3208">
        <f t="shared" si="468"/>
        <v>0</v>
      </c>
      <c r="AR54" s="3136">
        <f t="shared" si="267"/>
        <v>1955.95</v>
      </c>
      <c r="AS54" s="3061">
        <f>1735.17+157.5+63.28</f>
        <v>1955.95</v>
      </c>
      <c r="AT54" s="3061"/>
      <c r="AU54" s="3136">
        <f t="shared" si="269"/>
        <v>1950.65</v>
      </c>
      <c r="AV54" s="3061">
        <f>1884.97+65.68</f>
        <v>1950.65</v>
      </c>
      <c r="AW54" s="3061"/>
      <c r="AX54" s="3136">
        <f t="shared" si="271"/>
        <v>1865.29</v>
      </c>
      <c r="AY54" s="3061">
        <v>1865.29</v>
      </c>
      <c r="AZ54" s="3061"/>
      <c r="BA54" s="3136">
        <f t="shared" si="315"/>
        <v>5771.89</v>
      </c>
      <c r="BB54" s="3136">
        <f t="shared" si="386"/>
        <v>5771.89</v>
      </c>
      <c r="BC54" s="3136">
        <f t="shared" si="387"/>
        <v>0</v>
      </c>
      <c r="BD54" s="3209">
        <f t="shared" si="469"/>
        <v>19420.742879999998</v>
      </c>
      <c r="BE54" s="3209">
        <f t="shared" si="470"/>
        <v>19420.742879999998</v>
      </c>
      <c r="BF54" s="3209">
        <f t="shared" si="471"/>
        <v>0</v>
      </c>
      <c r="BG54" s="3264">
        <f t="shared" si="405"/>
        <v>15929.130000000001</v>
      </c>
      <c r="BH54" s="3264">
        <f t="shared" si="406"/>
        <v>15929.130000000001</v>
      </c>
      <c r="BI54" s="3264">
        <f t="shared" si="407"/>
        <v>0</v>
      </c>
      <c r="BJ54" s="3264">
        <f t="shared" si="408"/>
        <v>-3491.6128799999969</v>
      </c>
      <c r="BK54" s="3264">
        <f t="shared" si="409"/>
        <v>-3491.6128799999969</v>
      </c>
      <c r="BL54" s="3264">
        <f t="shared" si="410"/>
        <v>0</v>
      </c>
      <c r="BM54" s="3208">
        <f t="shared" si="472"/>
        <v>6473.5809599999993</v>
      </c>
      <c r="BN54" s="3208">
        <f t="shared" si="473"/>
        <v>6473.5809599999993</v>
      </c>
      <c r="BO54" s="3208">
        <f t="shared" si="474"/>
        <v>0</v>
      </c>
      <c r="BP54" s="3136">
        <f t="shared" si="284"/>
        <v>0</v>
      </c>
      <c r="BQ54" s="3061"/>
      <c r="BR54" s="3061"/>
      <c r="BS54" s="3136">
        <f t="shared" si="286"/>
        <v>0</v>
      </c>
      <c r="BT54" s="3061"/>
      <c r="BU54" s="3061"/>
      <c r="BV54" s="3136">
        <f t="shared" si="288"/>
        <v>0</v>
      </c>
      <c r="BW54" s="3061"/>
      <c r="BX54" s="3061"/>
      <c r="BY54" s="3136">
        <f t="shared" si="324"/>
        <v>0</v>
      </c>
      <c r="BZ54" s="3136">
        <f t="shared" si="388"/>
        <v>0</v>
      </c>
      <c r="CA54" s="3136">
        <f t="shared" si="389"/>
        <v>0</v>
      </c>
      <c r="CB54" s="3209">
        <f t="shared" si="433"/>
        <v>25894.323839999997</v>
      </c>
      <c r="CC54" s="3209">
        <f>SUM(вода!BR23)</f>
        <v>25894.323839999997</v>
      </c>
      <c r="CD54" s="3209">
        <v>0</v>
      </c>
      <c r="CE54" s="3264">
        <f t="shared" si="411"/>
        <v>15929.130000000001</v>
      </c>
      <c r="CF54" s="3264">
        <f t="shared" si="412"/>
        <v>15929.130000000001</v>
      </c>
      <c r="CG54" s="3264">
        <f t="shared" si="413"/>
        <v>0</v>
      </c>
      <c r="CH54" s="3264">
        <f t="shared" si="414"/>
        <v>-9965.1938399999963</v>
      </c>
      <c r="CI54" s="3264">
        <f t="shared" si="415"/>
        <v>-9965.1938399999963</v>
      </c>
      <c r="CJ54" s="3264">
        <f t="shared" si="416"/>
        <v>0</v>
      </c>
      <c r="CK54" s="3259"/>
      <c r="CL54" s="3259"/>
      <c r="CM54" s="3259"/>
      <c r="CN54" s="3055"/>
    </row>
    <row r="55" spans="1:92" ht="18.75" customHeight="1" x14ac:dyDescent="0.3">
      <c r="A55" s="3071" t="s">
        <v>5</v>
      </c>
      <c r="B55" s="3208">
        <f t="shared" si="457"/>
        <v>1930.4229700880999</v>
      </c>
      <c r="C55" s="3208">
        <f t="shared" si="458"/>
        <v>1930.4229700880999</v>
      </c>
      <c r="D55" s="3208">
        <f t="shared" si="459"/>
        <v>0</v>
      </c>
      <c r="E55" s="3136">
        <f t="shared" si="167"/>
        <v>488.44</v>
      </c>
      <c r="F55" s="3061">
        <f>477.08+11.36</f>
        <v>488.44</v>
      </c>
      <c r="G55" s="3061"/>
      <c r="H55" s="3136">
        <f t="shared" si="168"/>
        <v>417.36</v>
      </c>
      <c r="I55" s="3061">
        <f>403.17+14.19</f>
        <v>417.36</v>
      </c>
      <c r="J55" s="3061"/>
      <c r="K55" s="3136">
        <f t="shared" si="169"/>
        <v>502.55</v>
      </c>
      <c r="L55" s="3061">
        <f>488.66+13.89</f>
        <v>502.55</v>
      </c>
      <c r="M55" s="3061"/>
      <c r="N55" s="3136">
        <f t="shared" si="390"/>
        <v>1408.35</v>
      </c>
      <c r="O55" s="3136">
        <f t="shared" si="391"/>
        <v>1408.35</v>
      </c>
      <c r="P55" s="3136">
        <f t="shared" si="392"/>
        <v>0</v>
      </c>
      <c r="Q55" s="3208">
        <f t="shared" ref="Q55" si="475">SUM(R55:S55)</f>
        <v>1930.4229700880999</v>
      </c>
      <c r="R55" s="3208">
        <f t="shared" ref="R55" si="476">SUM(C55)</f>
        <v>1930.4229700880999</v>
      </c>
      <c r="S55" s="3208">
        <f t="shared" ref="S55" si="477">SUM(D55)</f>
        <v>0</v>
      </c>
      <c r="T55" s="3136">
        <f t="shared" si="252"/>
        <v>567.50000000000011</v>
      </c>
      <c r="U55" s="3061">
        <f>549.45+17.94+0.11</f>
        <v>567.50000000000011</v>
      </c>
      <c r="V55" s="3061"/>
      <c r="W55" s="3136">
        <f t="shared" si="254"/>
        <v>551.76</v>
      </c>
      <c r="X55" s="3061">
        <f>531.09+20.67</f>
        <v>551.76</v>
      </c>
      <c r="Y55" s="3061"/>
      <c r="Z55" s="3136">
        <f t="shared" si="256"/>
        <v>551.75</v>
      </c>
      <c r="AA55" s="3061">
        <f>491.53+47.76+12.46</f>
        <v>551.75</v>
      </c>
      <c r="AB55" s="3061"/>
      <c r="AC55" s="3136">
        <f t="shared" si="306"/>
        <v>1671.0100000000002</v>
      </c>
      <c r="AD55" s="3136">
        <f t="shared" si="384"/>
        <v>1671.0100000000002</v>
      </c>
      <c r="AE55" s="3136">
        <f t="shared" si="385"/>
        <v>0</v>
      </c>
      <c r="AF55" s="3209">
        <f t="shared" si="463"/>
        <v>3860.8459401761997</v>
      </c>
      <c r="AG55" s="3209">
        <f t="shared" si="464"/>
        <v>3860.8459401761997</v>
      </c>
      <c r="AH55" s="3209">
        <f t="shared" si="465"/>
        <v>0</v>
      </c>
      <c r="AI55" s="3264">
        <f t="shared" si="396"/>
        <v>3079.36</v>
      </c>
      <c r="AJ55" s="3264">
        <f t="shared" si="397"/>
        <v>3079.36</v>
      </c>
      <c r="AK55" s="3264">
        <f t="shared" si="398"/>
        <v>0</v>
      </c>
      <c r="AL55" s="3264">
        <f t="shared" si="399"/>
        <v>-781.48594017619962</v>
      </c>
      <c r="AM55" s="3264">
        <f t="shared" si="400"/>
        <v>-781.48594017619962</v>
      </c>
      <c r="AN55" s="3264">
        <f t="shared" si="401"/>
        <v>0</v>
      </c>
      <c r="AO55" s="3208">
        <f t="shared" si="466"/>
        <v>1930.4229700880999</v>
      </c>
      <c r="AP55" s="3208">
        <f t="shared" si="467"/>
        <v>1930.4229700880999</v>
      </c>
      <c r="AQ55" s="3208">
        <f t="shared" si="468"/>
        <v>0</v>
      </c>
      <c r="AR55" s="3136">
        <f t="shared" si="267"/>
        <v>590.01</v>
      </c>
      <c r="AS55" s="3061">
        <f>523.35+47.55+19.11</f>
        <v>590.01</v>
      </c>
      <c r="AT55" s="3061"/>
      <c r="AU55" s="3136">
        <f t="shared" si="269"/>
        <v>589.57000000000005</v>
      </c>
      <c r="AV55" s="3061">
        <f>569.73+19.84</f>
        <v>589.57000000000005</v>
      </c>
      <c r="AW55" s="3061"/>
      <c r="AX55" s="3136">
        <f t="shared" si="271"/>
        <v>545.44000000000005</v>
      </c>
      <c r="AY55" s="3061">
        <v>545.44000000000005</v>
      </c>
      <c r="AZ55" s="3061"/>
      <c r="BA55" s="3136">
        <f t="shared" si="315"/>
        <v>1725.02</v>
      </c>
      <c r="BB55" s="3136">
        <f t="shared" si="386"/>
        <v>1725.02</v>
      </c>
      <c r="BC55" s="3136">
        <f t="shared" si="387"/>
        <v>0</v>
      </c>
      <c r="BD55" s="3209">
        <f t="shared" si="469"/>
        <v>5791.2689102642998</v>
      </c>
      <c r="BE55" s="3209">
        <f t="shared" si="470"/>
        <v>5791.2689102642998</v>
      </c>
      <c r="BF55" s="3209">
        <f t="shared" si="471"/>
        <v>0</v>
      </c>
      <c r="BG55" s="3264">
        <f t="shared" si="405"/>
        <v>4804.38</v>
      </c>
      <c r="BH55" s="3264">
        <f t="shared" si="406"/>
        <v>4804.38</v>
      </c>
      <c r="BI55" s="3264">
        <f t="shared" si="407"/>
        <v>0</v>
      </c>
      <c r="BJ55" s="3264">
        <f t="shared" si="408"/>
        <v>-986.88891026429974</v>
      </c>
      <c r="BK55" s="3264">
        <f t="shared" si="409"/>
        <v>-986.88891026429974</v>
      </c>
      <c r="BL55" s="3264">
        <f t="shared" si="410"/>
        <v>0</v>
      </c>
      <c r="BM55" s="3208">
        <f t="shared" si="472"/>
        <v>1930.4229700880999</v>
      </c>
      <c r="BN55" s="3208">
        <f t="shared" si="473"/>
        <v>1930.4229700880999</v>
      </c>
      <c r="BO55" s="3208">
        <f t="shared" si="474"/>
        <v>0</v>
      </c>
      <c r="BP55" s="3136">
        <f t="shared" si="284"/>
        <v>0</v>
      </c>
      <c r="BQ55" s="3061"/>
      <c r="BR55" s="3061"/>
      <c r="BS55" s="3136">
        <f t="shared" si="286"/>
        <v>0</v>
      </c>
      <c r="BT55" s="3061"/>
      <c r="BU55" s="3061"/>
      <c r="BV55" s="3136">
        <f t="shared" si="288"/>
        <v>0</v>
      </c>
      <c r="BW55" s="3061"/>
      <c r="BX55" s="3061"/>
      <c r="BY55" s="3136">
        <f t="shared" si="324"/>
        <v>0</v>
      </c>
      <c r="BZ55" s="3136">
        <f t="shared" si="388"/>
        <v>0</v>
      </c>
      <c r="CA55" s="3136">
        <f t="shared" si="389"/>
        <v>0</v>
      </c>
      <c r="CB55" s="3209">
        <f t="shared" si="433"/>
        <v>7721.6918803523995</v>
      </c>
      <c r="CC55" s="3209">
        <f>SUM(вода!BR24)</f>
        <v>7721.6918803523995</v>
      </c>
      <c r="CD55" s="3209">
        <v>0</v>
      </c>
      <c r="CE55" s="3264">
        <f t="shared" si="411"/>
        <v>4804.38</v>
      </c>
      <c r="CF55" s="3264">
        <f t="shared" si="412"/>
        <v>4804.38</v>
      </c>
      <c r="CG55" s="3264">
        <f t="shared" si="413"/>
        <v>0</v>
      </c>
      <c r="CH55" s="3264">
        <f t="shared" si="414"/>
        <v>-2917.3118803523994</v>
      </c>
      <c r="CI55" s="3264">
        <f t="shared" si="415"/>
        <v>-2917.3118803523994</v>
      </c>
      <c r="CJ55" s="3264">
        <f t="shared" si="416"/>
        <v>0</v>
      </c>
      <c r="CK55" s="3259"/>
      <c r="CL55" s="3259"/>
      <c r="CM55" s="3259"/>
      <c r="CN55" s="3055"/>
    </row>
    <row r="56" spans="1:92" ht="18.75" customHeight="1" x14ac:dyDescent="0.3">
      <c r="A56" s="3073" t="str">
        <f>A31</f>
        <v>то же в %</v>
      </c>
      <c r="B56" s="3064">
        <f t="shared" ref="B56:D56" si="478">SUM(B55/B54)</f>
        <v>0.29820017421827377</v>
      </c>
      <c r="C56" s="3064">
        <f t="shared" si="478"/>
        <v>0.29820017421827377</v>
      </c>
      <c r="D56" s="3064" t="e">
        <f t="shared" si="478"/>
        <v>#DIV/0!</v>
      </c>
      <c r="E56" s="3139" t="e">
        <f t="shared" si="167"/>
        <v>#DIV/0!</v>
      </c>
      <c r="F56" s="3064">
        <f t="shared" ref="F56:P56" si="479">SUM(F55/F54)</f>
        <v>0.30095813179703629</v>
      </c>
      <c r="G56" s="3064" t="e">
        <f t="shared" si="479"/>
        <v>#DIV/0!</v>
      </c>
      <c r="H56" s="3139" t="e">
        <f t="shared" si="168"/>
        <v>#DIV/0!</v>
      </c>
      <c r="I56" s="3064">
        <f t="shared" ref="I56:J56" si="480">SUM(I55/I54)</f>
        <v>0.29864544797532755</v>
      </c>
      <c r="J56" s="3064" t="e">
        <f t="shared" si="480"/>
        <v>#DIV/0!</v>
      </c>
      <c r="K56" s="3139" t="e">
        <f t="shared" si="169"/>
        <v>#DIV/0!</v>
      </c>
      <c r="L56" s="3064">
        <f t="shared" ref="L56:M56" si="481">SUM(L55/L54)</f>
        <v>0.30073725659162448</v>
      </c>
      <c r="M56" s="3064" t="e">
        <f t="shared" si="481"/>
        <v>#DIV/0!</v>
      </c>
      <c r="N56" s="3064">
        <f t="shared" si="479"/>
        <v>0.3001905565786781</v>
      </c>
      <c r="O56" s="3064">
        <f t="shared" si="479"/>
        <v>0.3001905565786781</v>
      </c>
      <c r="P56" s="3064" t="e">
        <f t="shared" si="479"/>
        <v>#DIV/0!</v>
      </c>
      <c r="Q56" s="3064">
        <f t="shared" ref="Q56:S56" si="482">SUM(Q55/Q54)</f>
        <v>0.29820017421827377</v>
      </c>
      <c r="R56" s="3064">
        <f t="shared" si="482"/>
        <v>0.29820017421827377</v>
      </c>
      <c r="S56" s="3064" t="e">
        <f t="shared" si="482"/>
        <v>#DIV/0!</v>
      </c>
      <c r="T56" s="3139" t="e">
        <f t="shared" si="252"/>
        <v>#DIV/0!</v>
      </c>
      <c r="U56" s="3064">
        <f t="shared" ref="U56:V56" si="483">SUM(U55/U54)</f>
        <v>0.31465196997083583</v>
      </c>
      <c r="V56" s="3064" t="e">
        <f t="shared" si="483"/>
        <v>#DIV/0!</v>
      </c>
      <c r="W56" s="3139" t="e">
        <f t="shared" si="254"/>
        <v>#DIV/0!</v>
      </c>
      <c r="X56" s="3064">
        <f t="shared" ref="X56:Y56" si="484">SUM(X55/X54)</f>
        <v>0.30064405043427089</v>
      </c>
      <c r="Y56" s="3064" t="e">
        <f t="shared" si="484"/>
        <v>#DIV/0!</v>
      </c>
      <c r="Z56" s="3139" t="e">
        <f t="shared" si="256"/>
        <v>#DIV/0!</v>
      </c>
      <c r="AA56" s="3064">
        <f t="shared" ref="AA56:AE56" si="485">SUM(AA55/AA54)</f>
        <v>0.30201764757400595</v>
      </c>
      <c r="AB56" s="3064" t="e">
        <f t="shared" si="485"/>
        <v>#DIV/0!</v>
      </c>
      <c r="AC56" s="3064">
        <f t="shared" si="485"/>
        <v>0.30572550368478446</v>
      </c>
      <c r="AD56" s="3064">
        <f t="shared" si="485"/>
        <v>0.30572550368478446</v>
      </c>
      <c r="AE56" s="3064" t="e">
        <f t="shared" si="485"/>
        <v>#DIV/0!</v>
      </c>
      <c r="AF56" s="3065">
        <f t="shared" ref="AF56:AK56" si="486">SUM(AF55/AF54)</f>
        <v>0.29820017421827377</v>
      </c>
      <c r="AG56" s="3065">
        <f t="shared" si="486"/>
        <v>0.29820017421827377</v>
      </c>
      <c r="AH56" s="3065" t="e">
        <f t="shared" si="486"/>
        <v>#DIV/0!</v>
      </c>
      <c r="AI56" s="3065">
        <f t="shared" si="486"/>
        <v>0.30316897109844798</v>
      </c>
      <c r="AJ56" s="3065">
        <f t="shared" si="486"/>
        <v>0.30316897109844798</v>
      </c>
      <c r="AK56" s="3065" t="e">
        <f t="shared" si="486"/>
        <v>#DIV/0!</v>
      </c>
      <c r="AL56" s="3194">
        <f t="shared" si="399"/>
        <v>4.9687968801742088E-3</v>
      </c>
      <c r="AM56" s="3194">
        <f t="shared" si="400"/>
        <v>4.9687968801742088E-3</v>
      </c>
      <c r="AN56" s="3194" t="e">
        <f t="shared" si="401"/>
        <v>#DIV/0!</v>
      </c>
      <c r="AO56" s="3064">
        <f t="shared" ref="AO56:AQ56" si="487">SUM(AO55/AO54)</f>
        <v>0.29820017421827377</v>
      </c>
      <c r="AP56" s="3064">
        <f t="shared" si="487"/>
        <v>0.29820017421827377</v>
      </c>
      <c r="AQ56" s="3064" t="e">
        <f t="shared" si="487"/>
        <v>#DIV/0!</v>
      </c>
      <c r="AR56" s="3139" t="e">
        <f t="shared" si="267"/>
        <v>#DIV/0!</v>
      </c>
      <c r="AS56" s="3064">
        <f t="shared" ref="AS56:AT56" si="488">SUM(AS55/AS54)</f>
        <v>0.30164881515376157</v>
      </c>
      <c r="AT56" s="3064" t="e">
        <f t="shared" si="488"/>
        <v>#DIV/0!</v>
      </c>
      <c r="AU56" s="3139" t="e">
        <f t="shared" si="269"/>
        <v>#DIV/0!</v>
      </c>
      <c r="AV56" s="3064">
        <f t="shared" ref="AV56:AW56" si="489">SUM(AV55/AV54)</f>
        <v>0.30224284212954655</v>
      </c>
      <c r="AW56" s="3064" t="e">
        <f t="shared" si="489"/>
        <v>#DIV/0!</v>
      </c>
      <c r="AX56" s="3139" t="e">
        <f t="shared" si="271"/>
        <v>#DIV/0!</v>
      </c>
      <c r="AY56" s="3064">
        <f t="shared" ref="AY56:BC56" si="490">SUM(AY55/AY54)</f>
        <v>0.29241565654670321</v>
      </c>
      <c r="AZ56" s="3064" t="e">
        <f t="shared" si="490"/>
        <v>#DIV/0!</v>
      </c>
      <c r="BA56" s="3064">
        <f t="shared" si="490"/>
        <v>0.29886570949896824</v>
      </c>
      <c r="BB56" s="3064">
        <f t="shared" si="490"/>
        <v>0.29886570949896824</v>
      </c>
      <c r="BC56" s="3064" t="e">
        <f t="shared" si="490"/>
        <v>#DIV/0!</v>
      </c>
      <c r="BD56" s="3065">
        <f t="shared" ref="BD56:BI56" si="491">SUM(BD55/BD54)</f>
        <v>0.29820017421827377</v>
      </c>
      <c r="BE56" s="3065">
        <f t="shared" si="491"/>
        <v>0.29820017421827377</v>
      </c>
      <c r="BF56" s="3065" t="e">
        <f t="shared" si="491"/>
        <v>#DIV/0!</v>
      </c>
      <c r="BG56" s="3065">
        <f t="shared" si="491"/>
        <v>0.30160969243141339</v>
      </c>
      <c r="BH56" s="3065">
        <f t="shared" si="491"/>
        <v>0.30160969243141339</v>
      </c>
      <c r="BI56" s="3065" t="e">
        <f t="shared" si="491"/>
        <v>#DIV/0!</v>
      </c>
      <c r="BJ56" s="3068">
        <f t="shared" ref="BJ56" si="492">SUM(BG56-BD56)</f>
        <v>3.4095182131396173E-3</v>
      </c>
      <c r="BK56" s="3068">
        <f t="shared" ref="BK56" si="493">SUM(BH56-BE56)</f>
        <v>3.4095182131396173E-3</v>
      </c>
      <c r="BL56" s="3068" t="e">
        <f t="shared" ref="BL56" si="494">SUM(BI56-BF56)</f>
        <v>#DIV/0!</v>
      </c>
      <c r="BM56" s="3064">
        <f t="shared" ref="BM56:BO56" si="495">SUM(BM55/BM54)</f>
        <v>0.29820017421827377</v>
      </c>
      <c r="BN56" s="3064">
        <f t="shared" si="495"/>
        <v>0.29820017421827377</v>
      </c>
      <c r="BO56" s="3064" t="e">
        <f t="shared" si="495"/>
        <v>#DIV/0!</v>
      </c>
      <c r="BP56" s="3139" t="e">
        <f t="shared" si="284"/>
        <v>#DIV/0!</v>
      </c>
      <c r="BQ56" s="3064" t="e">
        <f t="shared" ref="BQ56:BR56" si="496">SUM(BQ55/BQ54)</f>
        <v>#DIV/0!</v>
      </c>
      <c r="BR56" s="3064" t="e">
        <f t="shared" si="496"/>
        <v>#DIV/0!</v>
      </c>
      <c r="BS56" s="3139" t="e">
        <f t="shared" si="286"/>
        <v>#DIV/0!</v>
      </c>
      <c r="BT56" s="3064" t="e">
        <f t="shared" ref="BT56:BU56" si="497">SUM(BT55/BT54)</f>
        <v>#DIV/0!</v>
      </c>
      <c r="BU56" s="3064" t="e">
        <f t="shared" si="497"/>
        <v>#DIV/0!</v>
      </c>
      <c r="BV56" s="3139" t="e">
        <f t="shared" si="288"/>
        <v>#DIV/0!</v>
      </c>
      <c r="BW56" s="3064" t="e">
        <f t="shared" ref="BW56:CA56" si="498">SUM(BW55/BW54)</f>
        <v>#DIV/0!</v>
      </c>
      <c r="BX56" s="3064" t="e">
        <f t="shared" si="498"/>
        <v>#DIV/0!</v>
      </c>
      <c r="BY56" s="3064" t="e">
        <f t="shared" si="498"/>
        <v>#DIV/0!</v>
      </c>
      <c r="BZ56" s="3064" t="e">
        <f t="shared" si="498"/>
        <v>#DIV/0!</v>
      </c>
      <c r="CA56" s="3064" t="e">
        <f t="shared" si="498"/>
        <v>#DIV/0!</v>
      </c>
      <c r="CB56" s="3065">
        <f t="shared" ref="CB56:CG56" si="499">SUM(CB55/CB54)</f>
        <v>0.29820017421827377</v>
      </c>
      <c r="CC56" s="3065">
        <f t="shared" si="499"/>
        <v>0.29820017421827377</v>
      </c>
      <c r="CD56" s="3065" t="e">
        <f t="shared" si="499"/>
        <v>#DIV/0!</v>
      </c>
      <c r="CE56" s="3065">
        <f t="shared" si="499"/>
        <v>0.30160969243141339</v>
      </c>
      <c r="CF56" s="3065">
        <f t="shared" si="499"/>
        <v>0.30160969243141339</v>
      </c>
      <c r="CG56" s="3065" t="e">
        <f t="shared" si="499"/>
        <v>#DIV/0!</v>
      </c>
      <c r="CH56" s="3068">
        <f t="shared" ref="CH56" si="500">SUM(CE56-CB56)</f>
        <v>3.4095182131396173E-3</v>
      </c>
      <c r="CI56" s="3068">
        <f t="shared" ref="CI56" si="501">SUM(CF56-CC56)</f>
        <v>3.4095182131396173E-3</v>
      </c>
      <c r="CJ56" s="3068" t="e">
        <f t="shared" ref="CJ56" si="502">SUM(CG56-CD56)</f>
        <v>#DIV/0!</v>
      </c>
      <c r="CK56" s="3259"/>
      <c r="CL56" s="3259"/>
      <c r="CM56" s="3259"/>
      <c r="CN56" s="3055"/>
    </row>
    <row r="57" spans="1:92" ht="18.75" customHeight="1" x14ac:dyDescent="0.3">
      <c r="A57" s="3071" t="s">
        <v>3593</v>
      </c>
      <c r="B57" s="3208">
        <f>SUM(C57:D57)</f>
        <v>1151.6351995960338</v>
      </c>
      <c r="C57" s="3208">
        <f>SUM(C58+C59+C61+C62+C63+C64)</f>
        <v>1151.6351995960338</v>
      </c>
      <c r="D57" s="3208">
        <f t="shared" ref="D57" si="503">SUM(D58+D59+D61+D62+D63+D64)</f>
        <v>0</v>
      </c>
      <c r="E57" s="3136">
        <f>SUM(F57:G57)</f>
        <v>557.46999999999991</v>
      </c>
      <c r="F57" s="3060">
        <f>SUM(F58+F59+F61+F62+F63+F64)</f>
        <v>557.46999999999991</v>
      </c>
      <c r="G57" s="3060">
        <f>SUM(G58+G59+G61+G62+G63+G64)</f>
        <v>0</v>
      </c>
      <c r="H57" s="3136">
        <f t="shared" si="168"/>
        <v>546.29</v>
      </c>
      <c r="I57" s="3060">
        <f>SUM(I58+I59+I61+I62+I63+I64)</f>
        <v>546.29</v>
      </c>
      <c r="J57" s="3060">
        <f t="shared" ref="J57" si="504">SUM(J58+J59+J61+J62+J63+J64)</f>
        <v>0</v>
      </c>
      <c r="K57" s="3136">
        <f t="shared" si="169"/>
        <v>577.01</v>
      </c>
      <c r="L57" s="3060">
        <f>SUM(L58+L59+L61+L62+L63+L64)</f>
        <v>577.01</v>
      </c>
      <c r="M57" s="3060">
        <f t="shared" ref="M57" si="505">SUM(M58+M59+M61+M62+M63+M64)</f>
        <v>0</v>
      </c>
      <c r="N57" s="3136">
        <f t="shared" ref="N57:N93" si="506">SUM(O57:P57)</f>
        <v>1680.7699999999998</v>
      </c>
      <c r="O57" s="3136">
        <f t="shared" ref="O57:O92" si="507">SUM(F57+I57+L57)</f>
        <v>1680.7699999999998</v>
      </c>
      <c r="P57" s="3136">
        <f t="shared" ref="P57:P93" si="508">SUM(G57+J57+M57)</f>
        <v>0</v>
      </c>
      <c r="Q57" s="3208">
        <f>SUM(R57:S57)</f>
        <v>1151.6351995960338</v>
      </c>
      <c r="R57" s="3208">
        <f>SUM(R58+R59+R61+R62+R63+R64)</f>
        <v>1151.6351995960338</v>
      </c>
      <c r="S57" s="3208">
        <f t="shared" ref="S57" si="509">SUM(S58+S59+S61+S62+S63+S64)</f>
        <v>0</v>
      </c>
      <c r="T57" s="3136">
        <f t="shared" si="252"/>
        <v>523.34999999999991</v>
      </c>
      <c r="U57" s="3060">
        <f>SUM(U58+U59+U61+U62+U63+U64)</f>
        <v>523.34999999999991</v>
      </c>
      <c r="V57" s="3060">
        <f t="shared" ref="V57" si="510">SUM(V58+V59+V61+V62+V63+V64)</f>
        <v>0</v>
      </c>
      <c r="W57" s="3136">
        <f t="shared" si="254"/>
        <v>524.61</v>
      </c>
      <c r="X57" s="3060">
        <f>SUM(X58+X59+X61+X62+X63+X64)</f>
        <v>524.61</v>
      </c>
      <c r="Y57" s="3060">
        <f t="shared" ref="Y57" si="511">SUM(Y58+Y59+Y61+Y62+Y63+Y64)</f>
        <v>0</v>
      </c>
      <c r="Z57" s="3136">
        <f t="shared" si="256"/>
        <v>550.04000000000008</v>
      </c>
      <c r="AA57" s="3060">
        <f>SUM(AA58+AA59+AA61+AA62+AA63+AA64)</f>
        <v>550.04000000000008</v>
      </c>
      <c r="AB57" s="3060">
        <f t="shared" ref="AB57" si="512">SUM(AB58+AB59+AB61+AB62+AB63+AB64)</f>
        <v>0</v>
      </c>
      <c r="AC57" s="3136">
        <f t="shared" ref="AC57:AC99" si="513">SUM(AD57:AE57)</f>
        <v>1598</v>
      </c>
      <c r="AD57" s="3136">
        <f t="shared" ref="AD57:AD92" si="514">SUM(U57+X57+AA57)</f>
        <v>1598</v>
      </c>
      <c r="AE57" s="3136">
        <f t="shared" ref="AE57:AE99" si="515">SUM(V57+Y57+AB57)</f>
        <v>0</v>
      </c>
      <c r="AF57" s="3209">
        <f t="shared" ref="AF57" si="516">SUM(AG57:AH57)</f>
        <v>2303.2703991920675</v>
      </c>
      <c r="AG57" s="3209">
        <f t="shared" ref="AG57" si="517">SUM(C57+R57)</f>
        <v>2303.2703991920675</v>
      </c>
      <c r="AH57" s="3209">
        <f t="shared" ref="AH57" si="518">SUM(D57+S57)</f>
        <v>0</v>
      </c>
      <c r="AI57" s="3264">
        <f t="shared" ref="AI57:AI65" si="519">SUM(AC57+N57)</f>
        <v>3278.7699999999995</v>
      </c>
      <c r="AJ57" s="3264">
        <f t="shared" ref="AJ57:AJ65" si="520">SUM(AD57+O57)</f>
        <v>3278.7699999999995</v>
      </c>
      <c r="AK57" s="3264">
        <f t="shared" ref="AK57:AK65" si="521">SUM(AE57+P57)</f>
        <v>0</v>
      </c>
      <c r="AL57" s="3264">
        <f t="shared" ref="AL57:AL65" si="522">SUM(AI57-AF57)</f>
        <v>975.49960080793198</v>
      </c>
      <c r="AM57" s="3264">
        <f t="shared" ref="AM57:AM65" si="523">SUM(AJ57-AG57)</f>
        <v>975.49960080793198</v>
      </c>
      <c r="AN57" s="3264">
        <f t="shared" ref="AN57:AN65" si="524">SUM(AK57-AH57)</f>
        <v>0</v>
      </c>
      <c r="AO57" s="3208">
        <f>SUM(AP57:AQ57)</f>
        <v>1151.6351995960338</v>
      </c>
      <c r="AP57" s="3208">
        <f>SUM(AP58+AP59+AP61+AP62+AP63+AP64)</f>
        <v>1151.6351995960338</v>
      </c>
      <c r="AQ57" s="3208">
        <f t="shared" ref="AQ57" si="525">SUM(AQ58+AQ59+AQ61+AQ62+AQ63+AQ64)</f>
        <v>0</v>
      </c>
      <c r="AR57" s="3136">
        <f t="shared" si="267"/>
        <v>691.72</v>
      </c>
      <c r="AS57" s="3060">
        <f>SUM(AS58+AS59+AS61+AS62+AS63+AS64)</f>
        <v>691.72</v>
      </c>
      <c r="AT57" s="3060">
        <f t="shared" ref="AT57" si="526">SUM(AT58+AT59+AT61+AT62+AT63+AT64)</f>
        <v>0</v>
      </c>
      <c r="AU57" s="3136">
        <f t="shared" si="269"/>
        <v>632.14999999999986</v>
      </c>
      <c r="AV57" s="3060">
        <f>SUM(AV58+AV59+AV61+AV62+AV63+AV64)</f>
        <v>632.14999999999986</v>
      </c>
      <c r="AW57" s="3060">
        <f t="shared" ref="AW57" si="527">SUM(AW58+AW59+AW61+AW62+AW63+AW64)</f>
        <v>0</v>
      </c>
      <c r="AX57" s="3136">
        <f t="shared" si="271"/>
        <v>921.52</v>
      </c>
      <c r="AY57" s="3060">
        <f>SUM(AY58+AY59+AY61+AY62+AY63+AY64)</f>
        <v>921.52</v>
      </c>
      <c r="AZ57" s="3060">
        <f t="shared" ref="AZ57" si="528">SUM(AZ58+AZ59+AZ61+AZ62+AZ63+AZ64)</f>
        <v>0</v>
      </c>
      <c r="BA57" s="3136">
        <f t="shared" ref="BA57:BA99" si="529">SUM(BB57:BC57)</f>
        <v>2245.39</v>
      </c>
      <c r="BB57" s="3136">
        <f t="shared" ref="BB57:BB92" si="530">SUM(AS57+AV57+AY57)</f>
        <v>2245.39</v>
      </c>
      <c r="BC57" s="3136">
        <f t="shared" ref="BC57:BC99" si="531">SUM(AT57+AW57+AZ57)</f>
        <v>0</v>
      </c>
      <c r="BD57" s="3209">
        <f t="shared" ref="BD57" si="532">SUM(BE57:BF57)</f>
        <v>3454.9055987881011</v>
      </c>
      <c r="BE57" s="3209">
        <f t="shared" ref="BE57" si="533">SUM(AG57+AP57)</f>
        <v>3454.9055987881011</v>
      </c>
      <c r="BF57" s="3209">
        <f t="shared" ref="BF57" si="534">SUM(AH57+AQ57)</f>
        <v>0</v>
      </c>
      <c r="BG57" s="3264">
        <f t="shared" ref="BG57:BG59" si="535">SUM(AI57+BA57)</f>
        <v>5524.16</v>
      </c>
      <c r="BH57" s="3264">
        <f t="shared" ref="BH57:BH59" si="536">SUM(AJ57+BB57)</f>
        <v>5524.16</v>
      </c>
      <c r="BI57" s="3264">
        <f t="shared" ref="BI57:BI59" si="537">SUM(AK57+BC57)</f>
        <v>0</v>
      </c>
      <c r="BJ57" s="3264">
        <f t="shared" ref="BJ57:BJ59" si="538">SUM(BG57-BD57)</f>
        <v>2069.2544012118988</v>
      </c>
      <c r="BK57" s="3264">
        <f t="shared" ref="BK57:BK59" si="539">SUM(BH57-BE57)</f>
        <v>2069.2544012118988</v>
      </c>
      <c r="BL57" s="3264">
        <f t="shared" ref="BL57:BL59" si="540">SUM(BI57-BF57)</f>
        <v>0</v>
      </c>
      <c r="BM57" s="3208">
        <f>SUM(BN57:BO57)</f>
        <v>1151.6351995960338</v>
      </c>
      <c r="BN57" s="3208">
        <f>SUM(BN58+BN59+BN61+BN62+BN63+BN64)</f>
        <v>1151.6351995960338</v>
      </c>
      <c r="BO57" s="3208">
        <f t="shared" ref="BO57" si="541">SUM(BO58+BO59+BO61+BO62+BO63+BO64)</f>
        <v>0</v>
      </c>
      <c r="BP57" s="3136">
        <f t="shared" si="284"/>
        <v>0</v>
      </c>
      <c r="BQ57" s="3060">
        <f>SUM(BQ58+BQ59+BQ61+BQ62+BQ63+BQ64)</f>
        <v>0</v>
      </c>
      <c r="BR57" s="3060">
        <f t="shared" ref="BR57" si="542">SUM(BR58+BR59+BR61+BR62+BR63+BR64)</f>
        <v>0</v>
      </c>
      <c r="BS57" s="3136">
        <f t="shared" si="286"/>
        <v>0</v>
      </c>
      <c r="BT57" s="3060">
        <f>SUM(BT58+BT59+BT61+BT62+BT63+BT64)</f>
        <v>0</v>
      </c>
      <c r="BU57" s="3060">
        <f t="shared" ref="BU57" si="543">SUM(BU58+BU59+BU61+BU62+BU63+BU64)</f>
        <v>0</v>
      </c>
      <c r="BV57" s="3136">
        <f t="shared" si="288"/>
        <v>0</v>
      </c>
      <c r="BW57" s="3060">
        <f>SUM(BW58+BW59+BW61+BW62+BW63+BW64)</f>
        <v>0</v>
      </c>
      <c r="BX57" s="3060">
        <f t="shared" ref="BX57" si="544">SUM(BX58+BX59+BX61+BX62+BX63+BX64)</f>
        <v>0</v>
      </c>
      <c r="BY57" s="3136">
        <f t="shared" ref="BY57:BY99" si="545">SUM(BZ57:CA57)</f>
        <v>0</v>
      </c>
      <c r="BZ57" s="3136">
        <f t="shared" ref="BZ57:BZ92" si="546">SUM(BQ57+BT57+BW57)</f>
        <v>0</v>
      </c>
      <c r="CA57" s="3136">
        <f t="shared" ref="CA57:CA99" si="547">SUM(BR57+BU57+BX57)</f>
        <v>0</v>
      </c>
      <c r="CB57" s="3209">
        <f>SUM(CC57:CD57)</f>
        <v>4606.5407983841351</v>
      </c>
      <c r="CC57" s="3209">
        <f>SUM(CC58+CC59+CC61+CC62+CC63+CC64)</f>
        <v>4606.5407983841351</v>
      </c>
      <c r="CD57" s="3209">
        <f t="shared" ref="CD57" si="548">SUM(CD58+CD59+CD61+CD62+CD63+CD64)</f>
        <v>0</v>
      </c>
      <c r="CE57" s="3264">
        <f t="shared" ref="CE57:CE59" si="549">SUM(BY57+BG57)</f>
        <v>5524.16</v>
      </c>
      <c r="CF57" s="3264">
        <f t="shared" ref="CF57:CF59" si="550">SUM(BZ57+BH57)</f>
        <v>5524.16</v>
      </c>
      <c r="CG57" s="3264">
        <f t="shared" ref="CG57:CG59" si="551">SUM(CA57+BI57)</f>
        <v>0</v>
      </c>
      <c r="CH57" s="3264">
        <f t="shared" ref="CH57:CH59" si="552">SUM(CE57-CB57)</f>
        <v>917.61920161586477</v>
      </c>
      <c r="CI57" s="3264">
        <f t="shared" ref="CI57:CI59" si="553">SUM(CF57-CC57)</f>
        <v>917.61920161586477</v>
      </c>
      <c r="CJ57" s="3264">
        <f t="shared" ref="CJ57:CJ59" si="554">SUM(CG57-CD57)</f>
        <v>0</v>
      </c>
      <c r="CK57" s="3259"/>
      <c r="CL57" s="3259"/>
      <c r="CM57" s="3259"/>
      <c r="CN57" s="3055"/>
    </row>
    <row r="58" spans="1:92" ht="18.75" customHeight="1" x14ac:dyDescent="0.3">
      <c r="A58" s="3073" t="s">
        <v>4</v>
      </c>
      <c r="B58" s="3210">
        <f t="shared" ref="B58" si="555">SUM(C58:D58)</f>
        <v>573.61079144328767</v>
      </c>
      <c r="C58" s="3210">
        <f t="shared" ref="C58" si="556">SUM(CC58/4)</f>
        <v>573.61079144328767</v>
      </c>
      <c r="D58" s="3210">
        <f t="shared" ref="D58" si="557">SUM(CD58/4)</f>
        <v>0</v>
      </c>
      <c r="E58" s="3145">
        <f t="shared" si="167"/>
        <v>143.72</v>
      </c>
      <c r="F58" s="3078">
        <v>143.72</v>
      </c>
      <c r="G58" s="3078"/>
      <c r="H58" s="3145">
        <f t="shared" si="168"/>
        <v>140.13999999999999</v>
      </c>
      <c r="I58" s="3078">
        <v>140.13999999999999</v>
      </c>
      <c r="J58" s="3078"/>
      <c r="K58" s="3145">
        <f t="shared" si="169"/>
        <v>167.67</v>
      </c>
      <c r="L58" s="3078">
        <v>167.67</v>
      </c>
      <c r="M58" s="3078"/>
      <c r="N58" s="3145">
        <f t="shared" si="506"/>
        <v>451.53</v>
      </c>
      <c r="O58" s="3145">
        <f t="shared" si="507"/>
        <v>451.53</v>
      </c>
      <c r="P58" s="3145">
        <f t="shared" si="508"/>
        <v>0</v>
      </c>
      <c r="Q58" s="3210">
        <f t="shared" ref="Q58:Q59" si="558">SUM(R58:S58)</f>
        <v>573.61079144328767</v>
      </c>
      <c r="R58" s="3210">
        <f t="shared" ref="R58:R59" si="559">SUM(C58)</f>
        <v>573.61079144328767</v>
      </c>
      <c r="S58" s="3210">
        <f t="shared" ref="S58:S59" si="560">SUM(D58)</f>
        <v>0</v>
      </c>
      <c r="T58" s="3145">
        <f t="shared" si="252"/>
        <v>129.91999999999999</v>
      </c>
      <c r="U58" s="3078">
        <v>129.91999999999999</v>
      </c>
      <c r="V58" s="3078"/>
      <c r="W58" s="3145">
        <f t="shared" si="254"/>
        <v>136.1</v>
      </c>
      <c r="X58" s="3078">
        <v>136.1</v>
      </c>
      <c r="Y58" s="3067"/>
      <c r="Z58" s="3145">
        <f t="shared" si="256"/>
        <v>158.24</v>
      </c>
      <c r="AA58" s="3078">
        <v>158.24</v>
      </c>
      <c r="AB58" s="3078"/>
      <c r="AC58" s="3145">
        <f t="shared" si="513"/>
        <v>424.26</v>
      </c>
      <c r="AD58" s="3145">
        <f t="shared" si="514"/>
        <v>424.26</v>
      </c>
      <c r="AE58" s="3145">
        <f t="shared" si="515"/>
        <v>0</v>
      </c>
      <c r="AF58" s="3211">
        <f t="shared" ref="AF58:AF59" si="561">SUM(AG58:AH58)</f>
        <v>1147.2215828865753</v>
      </c>
      <c r="AG58" s="3211">
        <f t="shared" ref="AG58:AG59" si="562">SUM(C58+R58)</f>
        <v>1147.2215828865753</v>
      </c>
      <c r="AH58" s="3211">
        <f t="shared" ref="AH58:AH59" si="563">SUM(D58+S58)</f>
        <v>0</v>
      </c>
      <c r="AI58" s="3194">
        <f t="shared" si="519"/>
        <v>875.79</v>
      </c>
      <c r="AJ58" s="3194">
        <f t="shared" si="520"/>
        <v>875.79</v>
      </c>
      <c r="AK58" s="3194">
        <f t="shared" si="521"/>
        <v>0</v>
      </c>
      <c r="AL58" s="3194">
        <f t="shared" si="522"/>
        <v>-271.43158288657537</v>
      </c>
      <c r="AM58" s="3194">
        <f t="shared" si="523"/>
        <v>-271.43158288657537</v>
      </c>
      <c r="AN58" s="3194">
        <f t="shared" si="524"/>
        <v>0</v>
      </c>
      <c r="AO58" s="3210">
        <f t="shared" ref="AO58:AO59" si="564">SUM(AP58:AQ58)</f>
        <v>573.61079144328767</v>
      </c>
      <c r="AP58" s="3210">
        <f t="shared" ref="AP58:AP59" si="565">SUM(CC58-AG58)/2</f>
        <v>573.61079144328767</v>
      </c>
      <c r="AQ58" s="3210">
        <f t="shared" ref="AQ58:AQ59" si="566">SUM(CD58-AH58)/2</f>
        <v>0</v>
      </c>
      <c r="AR58" s="3145">
        <f t="shared" si="267"/>
        <v>157.5</v>
      </c>
      <c r="AS58" s="3078">
        <v>157.5</v>
      </c>
      <c r="AT58" s="3078"/>
      <c r="AU58" s="3145">
        <f t="shared" si="269"/>
        <v>165.88</v>
      </c>
      <c r="AV58" s="3078">
        <v>165.88</v>
      </c>
      <c r="AW58" s="3078"/>
      <c r="AX58" s="3145">
        <f t="shared" si="271"/>
        <v>128.5</v>
      </c>
      <c r="AY58" s="3078">
        <v>128.5</v>
      </c>
      <c r="AZ58" s="3078"/>
      <c r="BA58" s="3145">
        <f t="shared" si="529"/>
        <v>451.88</v>
      </c>
      <c r="BB58" s="3145">
        <f t="shared" si="530"/>
        <v>451.88</v>
      </c>
      <c r="BC58" s="3145">
        <f t="shared" si="531"/>
        <v>0</v>
      </c>
      <c r="BD58" s="3211">
        <f t="shared" ref="BD58:BD65" si="567">SUM(BE58:BF58)</f>
        <v>1720.8323743298629</v>
      </c>
      <c r="BE58" s="3211">
        <f t="shared" ref="BE58:BE65" si="568">SUM(AG58+AP58)</f>
        <v>1720.8323743298629</v>
      </c>
      <c r="BF58" s="3211">
        <f t="shared" ref="BF58:BF65" si="569">SUM(AH58+AQ58)</f>
        <v>0</v>
      </c>
      <c r="BG58" s="3194">
        <f t="shared" si="535"/>
        <v>1327.67</v>
      </c>
      <c r="BH58" s="3194">
        <f t="shared" si="536"/>
        <v>1327.67</v>
      </c>
      <c r="BI58" s="3194">
        <f t="shared" si="537"/>
        <v>0</v>
      </c>
      <c r="BJ58" s="3194">
        <f t="shared" si="538"/>
        <v>-393.16237432986281</v>
      </c>
      <c r="BK58" s="3194">
        <f t="shared" si="539"/>
        <v>-393.16237432986281</v>
      </c>
      <c r="BL58" s="3194">
        <f t="shared" si="540"/>
        <v>0</v>
      </c>
      <c r="BM58" s="3210">
        <f t="shared" ref="BM58:BM65" si="570">SUM(BN58:BO58)</f>
        <v>573.61079144328767</v>
      </c>
      <c r="BN58" s="3210">
        <f t="shared" ref="BN58:BN59" si="571">SUM(AP58)</f>
        <v>573.61079144328767</v>
      </c>
      <c r="BO58" s="3210">
        <f t="shared" ref="BO58:BO59" si="572">SUM(AQ58)</f>
        <v>0</v>
      </c>
      <c r="BP58" s="3145">
        <f t="shared" si="284"/>
        <v>0</v>
      </c>
      <c r="BQ58" s="3078"/>
      <c r="BR58" s="3078"/>
      <c r="BS58" s="3145">
        <f t="shared" si="286"/>
        <v>0</v>
      </c>
      <c r="BT58" s="3078"/>
      <c r="BU58" s="3078"/>
      <c r="BV58" s="3145">
        <f t="shared" si="288"/>
        <v>0</v>
      </c>
      <c r="BW58" s="3078"/>
      <c r="BX58" s="3078"/>
      <c r="BY58" s="3145">
        <f t="shared" si="545"/>
        <v>0</v>
      </c>
      <c r="BZ58" s="3145">
        <f t="shared" si="546"/>
        <v>0</v>
      </c>
      <c r="CA58" s="3145">
        <f t="shared" si="547"/>
        <v>0</v>
      </c>
      <c r="CB58" s="3211">
        <f t="shared" ref="CB58:CB93" si="573">SUM(CC58:CD58)</f>
        <v>2294.4431657731507</v>
      </c>
      <c r="CC58" s="3211">
        <f>SUM(вода!BR47)</f>
        <v>2294.4431657731507</v>
      </c>
      <c r="CD58" s="3211">
        <v>0</v>
      </c>
      <c r="CE58" s="3194">
        <f t="shared" si="549"/>
        <v>1327.67</v>
      </c>
      <c r="CF58" s="3194">
        <f t="shared" si="550"/>
        <v>1327.67</v>
      </c>
      <c r="CG58" s="3194">
        <f t="shared" si="551"/>
        <v>0</v>
      </c>
      <c r="CH58" s="3194">
        <f t="shared" si="552"/>
        <v>-966.77316577315059</v>
      </c>
      <c r="CI58" s="3194">
        <f t="shared" si="553"/>
        <v>-966.77316577315059</v>
      </c>
      <c r="CJ58" s="3194">
        <f t="shared" si="554"/>
        <v>0</v>
      </c>
      <c r="CK58" s="3259"/>
      <c r="CL58" s="3259"/>
      <c r="CM58" s="3259"/>
      <c r="CN58" s="3055"/>
    </row>
    <row r="59" spans="1:92" ht="18.75" customHeight="1" x14ac:dyDescent="0.3">
      <c r="A59" s="3073" t="s">
        <v>5</v>
      </c>
      <c r="B59" s="3210">
        <f t="shared" ref="B59" si="574">SUM(C59:D59)</f>
        <v>172.6536979202462</v>
      </c>
      <c r="C59" s="3210">
        <f t="shared" ref="C59" si="575">SUM(CC59/4)</f>
        <v>172.6536979202462</v>
      </c>
      <c r="D59" s="3210">
        <f t="shared" ref="D59" si="576">SUM(CD59/4)</f>
        <v>0</v>
      </c>
      <c r="E59" s="3145">
        <f t="shared" si="167"/>
        <v>43.38</v>
      </c>
      <c r="F59" s="3078">
        <v>43.38</v>
      </c>
      <c r="G59" s="3078"/>
      <c r="H59" s="3145">
        <f t="shared" si="168"/>
        <v>42.31</v>
      </c>
      <c r="I59" s="3078">
        <v>42.31</v>
      </c>
      <c r="J59" s="3078"/>
      <c r="K59" s="3145">
        <f t="shared" si="169"/>
        <v>50.61</v>
      </c>
      <c r="L59" s="3078">
        <v>50.61</v>
      </c>
      <c r="M59" s="3078"/>
      <c r="N59" s="3145">
        <f t="shared" si="506"/>
        <v>136.30000000000001</v>
      </c>
      <c r="O59" s="3145">
        <f t="shared" si="507"/>
        <v>136.30000000000001</v>
      </c>
      <c r="P59" s="3145">
        <f t="shared" si="508"/>
        <v>0</v>
      </c>
      <c r="Q59" s="3210">
        <f t="shared" si="558"/>
        <v>172.6536979202462</v>
      </c>
      <c r="R59" s="3210">
        <f t="shared" si="559"/>
        <v>172.6536979202462</v>
      </c>
      <c r="S59" s="3210">
        <f t="shared" si="560"/>
        <v>0</v>
      </c>
      <c r="T59" s="3145">
        <f t="shared" si="252"/>
        <v>39.1</v>
      </c>
      <c r="U59" s="3078">
        <v>39.1</v>
      </c>
      <c r="V59" s="3078"/>
      <c r="W59" s="3145">
        <f t="shared" si="254"/>
        <v>41.08</v>
      </c>
      <c r="X59" s="3078">
        <v>41.08</v>
      </c>
      <c r="Y59" s="3067"/>
      <c r="Z59" s="3145">
        <f t="shared" si="256"/>
        <v>47.76</v>
      </c>
      <c r="AA59" s="3078">
        <v>47.76</v>
      </c>
      <c r="AB59" s="3067"/>
      <c r="AC59" s="3145">
        <f t="shared" si="513"/>
        <v>127.94</v>
      </c>
      <c r="AD59" s="3145">
        <f t="shared" si="514"/>
        <v>127.94</v>
      </c>
      <c r="AE59" s="3145">
        <f t="shared" si="515"/>
        <v>0</v>
      </c>
      <c r="AF59" s="3211">
        <f t="shared" si="561"/>
        <v>345.3073958404924</v>
      </c>
      <c r="AG59" s="3211">
        <f t="shared" si="562"/>
        <v>345.3073958404924</v>
      </c>
      <c r="AH59" s="3211">
        <f t="shared" si="563"/>
        <v>0</v>
      </c>
      <c r="AI59" s="3194">
        <f t="shared" si="519"/>
        <v>264.24</v>
      </c>
      <c r="AJ59" s="3194">
        <f t="shared" si="520"/>
        <v>264.24</v>
      </c>
      <c r="AK59" s="3194">
        <f t="shared" si="521"/>
        <v>0</v>
      </c>
      <c r="AL59" s="3194">
        <f t="shared" si="522"/>
        <v>-81.067395840492395</v>
      </c>
      <c r="AM59" s="3194">
        <f t="shared" si="523"/>
        <v>-81.067395840492395</v>
      </c>
      <c r="AN59" s="3194">
        <f t="shared" si="524"/>
        <v>0</v>
      </c>
      <c r="AO59" s="3210">
        <f t="shared" si="564"/>
        <v>172.6536979202462</v>
      </c>
      <c r="AP59" s="3210">
        <f t="shared" si="565"/>
        <v>172.6536979202462</v>
      </c>
      <c r="AQ59" s="3210">
        <f t="shared" si="566"/>
        <v>0</v>
      </c>
      <c r="AR59" s="3145">
        <f t="shared" si="267"/>
        <v>47.55</v>
      </c>
      <c r="AS59" s="3078">
        <v>47.55</v>
      </c>
      <c r="AT59" s="3067"/>
      <c r="AU59" s="3145">
        <f t="shared" si="269"/>
        <v>50.07</v>
      </c>
      <c r="AV59" s="3078">
        <v>50.07</v>
      </c>
      <c r="AW59" s="3067"/>
      <c r="AX59" s="3145">
        <f t="shared" si="271"/>
        <v>38.159999999999997</v>
      </c>
      <c r="AY59" s="3078">
        <v>38.159999999999997</v>
      </c>
      <c r="AZ59" s="3067"/>
      <c r="BA59" s="3145">
        <f t="shared" si="529"/>
        <v>135.78</v>
      </c>
      <c r="BB59" s="3145">
        <f t="shared" si="530"/>
        <v>135.78</v>
      </c>
      <c r="BC59" s="3145">
        <f t="shared" si="531"/>
        <v>0</v>
      </c>
      <c r="BD59" s="3211">
        <f t="shared" si="567"/>
        <v>517.96109376073855</v>
      </c>
      <c r="BE59" s="3211">
        <f t="shared" si="568"/>
        <v>517.96109376073855</v>
      </c>
      <c r="BF59" s="3211">
        <f t="shared" si="569"/>
        <v>0</v>
      </c>
      <c r="BG59" s="3194">
        <f t="shared" si="535"/>
        <v>400.02</v>
      </c>
      <c r="BH59" s="3194">
        <f t="shared" si="536"/>
        <v>400.02</v>
      </c>
      <c r="BI59" s="3194">
        <f t="shared" si="537"/>
        <v>0</v>
      </c>
      <c r="BJ59" s="3194">
        <f t="shared" si="538"/>
        <v>-117.94109376073857</v>
      </c>
      <c r="BK59" s="3194">
        <f t="shared" si="539"/>
        <v>-117.94109376073857</v>
      </c>
      <c r="BL59" s="3194">
        <f t="shared" si="540"/>
        <v>0</v>
      </c>
      <c r="BM59" s="3210">
        <f t="shared" si="570"/>
        <v>172.6536979202462</v>
      </c>
      <c r="BN59" s="3210">
        <f t="shared" si="571"/>
        <v>172.6536979202462</v>
      </c>
      <c r="BO59" s="3210">
        <f t="shared" si="572"/>
        <v>0</v>
      </c>
      <c r="BP59" s="3145">
        <f t="shared" si="284"/>
        <v>0</v>
      </c>
      <c r="BQ59" s="3067"/>
      <c r="BR59" s="3067"/>
      <c r="BS59" s="3145">
        <f t="shared" si="286"/>
        <v>0</v>
      </c>
      <c r="BT59" s="3067"/>
      <c r="BU59" s="3067"/>
      <c r="BV59" s="3145">
        <f t="shared" si="288"/>
        <v>0</v>
      </c>
      <c r="BW59" s="3067"/>
      <c r="BX59" s="3067"/>
      <c r="BY59" s="3145">
        <f t="shared" si="545"/>
        <v>0</v>
      </c>
      <c r="BZ59" s="3145">
        <f t="shared" si="546"/>
        <v>0</v>
      </c>
      <c r="CA59" s="3145">
        <f t="shared" si="547"/>
        <v>0</v>
      </c>
      <c r="CB59" s="3211">
        <f t="shared" si="573"/>
        <v>690.61479168098481</v>
      </c>
      <c r="CC59" s="3211">
        <f>SUM(вода!BR48)</f>
        <v>690.61479168098481</v>
      </c>
      <c r="CD59" s="3211">
        <v>0</v>
      </c>
      <c r="CE59" s="3194">
        <f t="shared" si="549"/>
        <v>400.02</v>
      </c>
      <c r="CF59" s="3194">
        <f t="shared" si="550"/>
        <v>400.02</v>
      </c>
      <c r="CG59" s="3194">
        <f t="shared" si="551"/>
        <v>0</v>
      </c>
      <c r="CH59" s="3194">
        <f t="shared" si="552"/>
        <v>-290.59479168098483</v>
      </c>
      <c r="CI59" s="3194">
        <f t="shared" si="553"/>
        <v>-290.59479168098483</v>
      </c>
      <c r="CJ59" s="3194">
        <f t="shared" si="554"/>
        <v>0</v>
      </c>
      <c r="CK59" s="3259"/>
      <c r="CL59" s="3259"/>
      <c r="CM59" s="3259"/>
      <c r="CN59" s="3055"/>
    </row>
    <row r="60" spans="1:92" ht="18.75" customHeight="1" x14ac:dyDescent="0.2">
      <c r="A60" s="3073" t="s">
        <v>318</v>
      </c>
      <c r="B60" s="3064">
        <f t="shared" ref="B60:P60" si="577">SUM(B59/B58)</f>
        <v>0.30099450794122012</v>
      </c>
      <c r="C60" s="3064">
        <f t="shared" si="577"/>
        <v>0.30099450794122012</v>
      </c>
      <c r="D60" s="3064" t="e">
        <f t="shared" si="577"/>
        <v>#DIV/0!</v>
      </c>
      <c r="E60" s="3064">
        <f t="shared" si="577"/>
        <v>0.30183690509323685</v>
      </c>
      <c r="F60" s="3064">
        <f t="shared" si="577"/>
        <v>0.30183690509323685</v>
      </c>
      <c r="G60" s="3064" t="e">
        <f t="shared" si="577"/>
        <v>#DIV/0!</v>
      </c>
      <c r="H60" s="3064">
        <f t="shared" si="577"/>
        <v>0.30191237334094484</v>
      </c>
      <c r="I60" s="3064">
        <f t="shared" si="577"/>
        <v>0.30191237334094484</v>
      </c>
      <c r="J60" s="3064" t="e">
        <f t="shared" si="577"/>
        <v>#DIV/0!</v>
      </c>
      <c r="K60" s="3064">
        <f t="shared" si="577"/>
        <v>0.30184290570764005</v>
      </c>
      <c r="L60" s="3064">
        <f t="shared" si="577"/>
        <v>0.30184290570764005</v>
      </c>
      <c r="M60" s="3064" t="e">
        <f t="shared" si="577"/>
        <v>#DIV/0!</v>
      </c>
      <c r="N60" s="3064">
        <f t="shared" si="577"/>
        <v>0.30186255619781638</v>
      </c>
      <c r="O60" s="3064">
        <f t="shared" si="577"/>
        <v>0.30186255619781638</v>
      </c>
      <c r="P60" s="3064" t="e">
        <f t="shared" si="577"/>
        <v>#DIV/0!</v>
      </c>
      <c r="Q60" s="3064">
        <f t="shared" ref="Q60:AE60" si="578">SUM(Q59/Q58)</f>
        <v>0.30099450794122012</v>
      </c>
      <c r="R60" s="3064">
        <f t="shared" si="578"/>
        <v>0.30099450794122012</v>
      </c>
      <c r="S60" s="3064" t="e">
        <f t="shared" si="578"/>
        <v>#DIV/0!</v>
      </c>
      <c r="T60" s="3064">
        <f t="shared" si="578"/>
        <v>0.30095443349753698</v>
      </c>
      <c r="U60" s="3064">
        <f t="shared" si="578"/>
        <v>0.30095443349753698</v>
      </c>
      <c r="V60" s="3064" t="e">
        <f t="shared" si="578"/>
        <v>#DIV/0!</v>
      </c>
      <c r="W60" s="3064">
        <f t="shared" si="578"/>
        <v>0.30183688464364439</v>
      </c>
      <c r="X60" s="3064">
        <f t="shared" si="578"/>
        <v>0.30183688464364439</v>
      </c>
      <c r="Y60" s="3064" t="e">
        <f t="shared" si="578"/>
        <v>#DIV/0!</v>
      </c>
      <c r="Z60" s="3064">
        <f t="shared" si="578"/>
        <v>0.30182002022244686</v>
      </c>
      <c r="AA60" s="3064">
        <f t="shared" si="578"/>
        <v>0.30182002022244686</v>
      </c>
      <c r="AB60" s="3064" t="e">
        <f t="shared" si="578"/>
        <v>#DIV/0!</v>
      </c>
      <c r="AC60" s="3064">
        <f t="shared" si="578"/>
        <v>0.30156036392778013</v>
      </c>
      <c r="AD60" s="3064">
        <f t="shared" si="578"/>
        <v>0.30156036392778013</v>
      </c>
      <c r="AE60" s="3064" t="e">
        <f t="shared" si="578"/>
        <v>#DIV/0!</v>
      </c>
      <c r="AF60" s="3065">
        <f t="shared" ref="AF60:AK60" si="579">SUM(AF59/AF58)</f>
        <v>0.30099450794122012</v>
      </c>
      <c r="AG60" s="3065">
        <f t="shared" si="579"/>
        <v>0.30099450794122012</v>
      </c>
      <c r="AH60" s="3065" t="e">
        <f t="shared" si="579"/>
        <v>#DIV/0!</v>
      </c>
      <c r="AI60" s="3065">
        <f t="shared" si="579"/>
        <v>0.30171616483403557</v>
      </c>
      <c r="AJ60" s="3065">
        <f t="shared" si="579"/>
        <v>0.30171616483403557</v>
      </c>
      <c r="AK60" s="3065" t="e">
        <f t="shared" si="579"/>
        <v>#DIV/0!</v>
      </c>
      <c r="AL60" s="3194">
        <f t="shared" si="522"/>
        <v>7.2165689281544765E-4</v>
      </c>
      <c r="AM60" s="3194">
        <f t="shared" si="523"/>
        <v>7.2165689281544765E-4</v>
      </c>
      <c r="AN60" s="3194" t="e">
        <f t="shared" si="524"/>
        <v>#DIV/0!</v>
      </c>
      <c r="AO60" s="3064">
        <f t="shared" ref="AO60:BC60" si="580">SUM(AO59/AO58)</f>
        <v>0.30099450794122012</v>
      </c>
      <c r="AP60" s="3064">
        <f t="shared" si="580"/>
        <v>0.30099450794122012</v>
      </c>
      <c r="AQ60" s="3064" t="e">
        <f t="shared" si="580"/>
        <v>#DIV/0!</v>
      </c>
      <c r="AR60" s="3064">
        <f t="shared" si="580"/>
        <v>0.3019047619047619</v>
      </c>
      <c r="AS60" s="3064">
        <f t="shared" si="580"/>
        <v>0.3019047619047619</v>
      </c>
      <c r="AT60" s="3064" t="e">
        <f t="shared" si="580"/>
        <v>#DIV/0!</v>
      </c>
      <c r="AU60" s="3064">
        <f t="shared" si="580"/>
        <v>0.30184470701712079</v>
      </c>
      <c r="AV60" s="3064">
        <f t="shared" si="580"/>
        <v>0.30184470701712079</v>
      </c>
      <c r="AW60" s="3064" t="e">
        <f t="shared" si="580"/>
        <v>#DIV/0!</v>
      </c>
      <c r="AX60" s="3064">
        <f t="shared" si="580"/>
        <v>0.29696498054474707</v>
      </c>
      <c r="AY60" s="3064">
        <f t="shared" si="580"/>
        <v>0.29696498054474707</v>
      </c>
      <c r="AZ60" s="3064" t="e">
        <f t="shared" si="580"/>
        <v>#DIV/0!</v>
      </c>
      <c r="BA60" s="3064">
        <f t="shared" si="580"/>
        <v>0.30047800300964861</v>
      </c>
      <c r="BB60" s="3064">
        <f t="shared" si="580"/>
        <v>0.30047800300964861</v>
      </c>
      <c r="BC60" s="3064" t="e">
        <f t="shared" si="580"/>
        <v>#DIV/0!</v>
      </c>
      <c r="BD60" s="3065">
        <f t="shared" ref="BD60:BF60" si="581">SUM(BD59/BD58)</f>
        <v>0.30099450794122012</v>
      </c>
      <c r="BE60" s="3065">
        <f t="shared" si="581"/>
        <v>0.30099450794122012</v>
      </c>
      <c r="BF60" s="3065" t="e">
        <f t="shared" si="581"/>
        <v>#DIV/0!</v>
      </c>
      <c r="BG60" s="3065">
        <f t="shared" ref="BG60:BI60" si="582">SUM(BG59/BG58)</f>
        <v>0.30129474944828155</v>
      </c>
      <c r="BH60" s="3065">
        <f t="shared" si="582"/>
        <v>0.30129474944828155</v>
      </c>
      <c r="BI60" s="3065" t="e">
        <f t="shared" si="582"/>
        <v>#DIV/0!</v>
      </c>
      <c r="BJ60" s="3068">
        <f t="shared" ref="BJ60" si="583">SUM(BG60-BD60)</f>
        <v>3.0024150706142727E-4</v>
      </c>
      <c r="BK60" s="3068">
        <f t="shared" ref="BK60" si="584">SUM(BH60-BE60)</f>
        <v>3.0024150706142727E-4</v>
      </c>
      <c r="BL60" s="3068" t="e">
        <f t="shared" ref="BL60" si="585">SUM(BI60-BF60)</f>
        <v>#DIV/0!</v>
      </c>
      <c r="BM60" s="3064">
        <f t="shared" ref="BM60:CA60" si="586">SUM(BM59/BM58)</f>
        <v>0.30099450794122012</v>
      </c>
      <c r="BN60" s="3064">
        <f t="shared" si="586"/>
        <v>0.30099450794122012</v>
      </c>
      <c r="BO60" s="3064" t="e">
        <f t="shared" si="586"/>
        <v>#DIV/0!</v>
      </c>
      <c r="BP60" s="3064" t="e">
        <f t="shared" si="586"/>
        <v>#DIV/0!</v>
      </c>
      <c r="BQ60" s="3064" t="e">
        <f t="shared" si="586"/>
        <v>#DIV/0!</v>
      </c>
      <c r="BR60" s="3064" t="e">
        <f t="shared" si="586"/>
        <v>#DIV/0!</v>
      </c>
      <c r="BS60" s="3064" t="e">
        <f t="shared" si="586"/>
        <v>#DIV/0!</v>
      </c>
      <c r="BT60" s="3064" t="e">
        <f t="shared" si="586"/>
        <v>#DIV/0!</v>
      </c>
      <c r="BU60" s="3064" t="e">
        <f t="shared" si="586"/>
        <v>#DIV/0!</v>
      </c>
      <c r="BV60" s="3064" t="e">
        <f t="shared" si="586"/>
        <v>#DIV/0!</v>
      </c>
      <c r="BW60" s="3064" t="e">
        <f t="shared" si="586"/>
        <v>#DIV/0!</v>
      </c>
      <c r="BX60" s="3064" t="e">
        <f t="shared" si="586"/>
        <v>#DIV/0!</v>
      </c>
      <c r="BY60" s="3064" t="e">
        <f t="shared" si="586"/>
        <v>#DIV/0!</v>
      </c>
      <c r="BZ60" s="3064" t="e">
        <f t="shared" si="586"/>
        <v>#DIV/0!</v>
      </c>
      <c r="CA60" s="3064" t="e">
        <f t="shared" si="586"/>
        <v>#DIV/0!</v>
      </c>
      <c r="CB60" s="3065">
        <f t="shared" ref="CB60:CG60" si="587">SUM(CB59/CB58)</f>
        <v>0.30099450794122012</v>
      </c>
      <c r="CC60" s="3065">
        <f t="shared" si="587"/>
        <v>0.30099450794122012</v>
      </c>
      <c r="CD60" s="3065" t="e">
        <f t="shared" si="587"/>
        <v>#DIV/0!</v>
      </c>
      <c r="CE60" s="3065">
        <f t="shared" si="587"/>
        <v>0.30129474944828155</v>
      </c>
      <c r="CF60" s="3065">
        <f t="shared" si="587"/>
        <v>0.30129474944828155</v>
      </c>
      <c r="CG60" s="3065" t="e">
        <f t="shared" si="587"/>
        <v>#DIV/0!</v>
      </c>
      <c r="CH60" s="3194">
        <f t="shared" ref="CH60" si="588">SUM(CE60-CB60)</f>
        <v>3.0024150706142727E-4</v>
      </c>
      <c r="CI60" s="3194">
        <f t="shared" ref="CI60" si="589">SUM(CF60-CC60)</f>
        <v>3.0024150706142727E-4</v>
      </c>
      <c r="CJ60" s="3194" t="e">
        <f t="shared" ref="CJ60" si="590">SUM(CG60-CD60)</f>
        <v>#DIV/0!</v>
      </c>
      <c r="CK60" s="3259"/>
      <c r="CL60" s="3259"/>
      <c r="CM60" s="3259"/>
      <c r="CN60" s="3055"/>
    </row>
    <row r="61" spans="1:92" ht="18.75" customHeight="1" x14ac:dyDescent="0.3">
      <c r="A61" s="3073" t="s">
        <v>2</v>
      </c>
      <c r="B61" s="3210">
        <f t="shared" ref="B61:B63" si="591">SUM(C61:D61)</f>
        <v>0</v>
      </c>
      <c r="C61" s="3210">
        <f t="shared" ref="C61:C63" si="592">SUM(CC61/4)</f>
        <v>0</v>
      </c>
      <c r="D61" s="3210">
        <f t="shared" ref="D61:D63" si="593">SUM(CD61/4)</f>
        <v>0</v>
      </c>
      <c r="E61" s="3145">
        <f t="shared" si="167"/>
        <v>330.7</v>
      </c>
      <c r="F61" s="3078">
        <v>330.7</v>
      </c>
      <c r="G61" s="3078"/>
      <c r="H61" s="3145">
        <f t="shared" si="168"/>
        <v>330.7</v>
      </c>
      <c r="I61" s="3078">
        <v>330.7</v>
      </c>
      <c r="J61" s="3078"/>
      <c r="K61" s="3145">
        <f t="shared" si="169"/>
        <v>330.7</v>
      </c>
      <c r="L61" s="3078">
        <v>330.7</v>
      </c>
      <c r="M61" s="3078"/>
      <c r="N61" s="3145">
        <f t="shared" si="506"/>
        <v>992.09999999999991</v>
      </c>
      <c r="O61" s="3145">
        <f t="shared" si="507"/>
        <v>992.09999999999991</v>
      </c>
      <c r="P61" s="3145">
        <f t="shared" si="508"/>
        <v>0</v>
      </c>
      <c r="Q61" s="3210">
        <f t="shared" ref="Q61:Q63" si="594">SUM(R61:S61)</f>
        <v>0</v>
      </c>
      <c r="R61" s="3210">
        <f t="shared" ref="R61:R65" si="595">SUM(C61)</f>
        <v>0</v>
      </c>
      <c r="S61" s="3210">
        <f t="shared" ref="S61:S63" si="596">SUM(D61)</f>
        <v>0</v>
      </c>
      <c r="T61" s="3145">
        <f t="shared" si="252"/>
        <v>330.7</v>
      </c>
      <c r="U61" s="3078">
        <v>330.7</v>
      </c>
      <c r="V61" s="3078"/>
      <c r="W61" s="3145">
        <f t="shared" si="254"/>
        <v>330.7</v>
      </c>
      <c r="X61" s="3078">
        <v>330.7</v>
      </c>
      <c r="Y61" s="3078"/>
      <c r="Z61" s="3145">
        <f t="shared" si="256"/>
        <v>330.7</v>
      </c>
      <c r="AA61" s="3078">
        <v>330.7</v>
      </c>
      <c r="AB61" s="3078"/>
      <c r="AC61" s="3145">
        <f t="shared" si="513"/>
        <v>992.09999999999991</v>
      </c>
      <c r="AD61" s="3145">
        <f t="shared" si="514"/>
        <v>992.09999999999991</v>
      </c>
      <c r="AE61" s="3145">
        <f t="shared" si="515"/>
        <v>0</v>
      </c>
      <c r="AF61" s="3211">
        <f t="shared" ref="AF61:AF65" si="597">SUM(AG61:AH61)</f>
        <v>0</v>
      </c>
      <c r="AG61" s="3211">
        <f t="shared" ref="AG61:AG65" si="598">SUM(C61+R61)</f>
        <v>0</v>
      </c>
      <c r="AH61" s="3211">
        <f t="shared" ref="AH61:AH65" si="599">SUM(D61+S61)</f>
        <v>0</v>
      </c>
      <c r="AI61" s="3194">
        <f t="shared" si="519"/>
        <v>1984.1999999999998</v>
      </c>
      <c r="AJ61" s="3194">
        <f t="shared" si="520"/>
        <v>1984.1999999999998</v>
      </c>
      <c r="AK61" s="3194">
        <f t="shared" si="521"/>
        <v>0</v>
      </c>
      <c r="AL61" s="3194">
        <f t="shared" si="522"/>
        <v>1984.1999999999998</v>
      </c>
      <c r="AM61" s="3194">
        <f t="shared" si="523"/>
        <v>1984.1999999999998</v>
      </c>
      <c r="AN61" s="3194">
        <f t="shared" si="524"/>
        <v>0</v>
      </c>
      <c r="AO61" s="3210">
        <f t="shared" ref="AO61:AO63" si="600">SUM(AP61:AQ61)</f>
        <v>0</v>
      </c>
      <c r="AP61" s="3210">
        <f t="shared" ref="AP61:AP63" si="601">SUM(CC61-AG61)/2</f>
        <v>0</v>
      </c>
      <c r="AQ61" s="3210">
        <f t="shared" ref="AQ61:AQ63" si="602">SUM(CD61-AH61)/2</f>
        <v>0</v>
      </c>
      <c r="AR61" s="3145">
        <f t="shared" si="267"/>
        <v>330.7</v>
      </c>
      <c r="AS61" s="3078">
        <v>330.7</v>
      </c>
      <c r="AT61" s="3078"/>
      <c r="AU61" s="3145">
        <f t="shared" si="269"/>
        <v>330.7</v>
      </c>
      <c r="AV61" s="3078">
        <v>330.7</v>
      </c>
      <c r="AW61" s="3078"/>
      <c r="AX61" s="3145">
        <f t="shared" si="271"/>
        <v>330.7</v>
      </c>
      <c r="AY61" s="3078">
        <v>330.7</v>
      </c>
      <c r="AZ61" s="3078"/>
      <c r="BA61" s="3145">
        <f t="shared" si="529"/>
        <v>992.09999999999991</v>
      </c>
      <c r="BB61" s="3145">
        <f t="shared" si="530"/>
        <v>992.09999999999991</v>
      </c>
      <c r="BC61" s="3145">
        <f t="shared" si="531"/>
        <v>0</v>
      </c>
      <c r="BD61" s="3211">
        <f t="shared" si="567"/>
        <v>0</v>
      </c>
      <c r="BE61" s="3211">
        <f t="shared" si="568"/>
        <v>0</v>
      </c>
      <c r="BF61" s="3211">
        <f t="shared" si="569"/>
        <v>0</v>
      </c>
      <c r="BG61" s="3194">
        <f t="shared" ref="BG61:BG93" si="603">SUM(AI61+BA61)</f>
        <v>2976.2999999999997</v>
      </c>
      <c r="BH61" s="3194">
        <f t="shared" ref="BH61:BH93" si="604">SUM(AJ61+BB61)</f>
        <v>2976.2999999999997</v>
      </c>
      <c r="BI61" s="3194">
        <f t="shared" ref="BI61:BI93" si="605">SUM(AK61+BC61)</f>
        <v>0</v>
      </c>
      <c r="BJ61" s="3194">
        <f t="shared" ref="BJ61:BJ93" si="606">SUM(BG61-BD61)</f>
        <v>2976.2999999999997</v>
      </c>
      <c r="BK61" s="3194">
        <f t="shared" ref="BK61:BK93" si="607">SUM(BH61-BE61)</f>
        <v>2976.2999999999997</v>
      </c>
      <c r="BL61" s="3194">
        <f t="shared" ref="BL61:BL93" si="608">SUM(BI61-BF61)</f>
        <v>0</v>
      </c>
      <c r="BM61" s="3210">
        <f t="shared" si="570"/>
        <v>0</v>
      </c>
      <c r="BN61" s="3210">
        <f t="shared" ref="BN61:BN63" si="609">SUM(AP61)</f>
        <v>0</v>
      </c>
      <c r="BO61" s="3210">
        <f t="shared" ref="BO61:BO63" si="610">SUM(AQ61)</f>
        <v>0</v>
      </c>
      <c r="BP61" s="3145">
        <f t="shared" si="284"/>
        <v>0</v>
      </c>
      <c r="BQ61" s="3078"/>
      <c r="BR61" s="3078"/>
      <c r="BS61" s="3145">
        <f t="shared" si="286"/>
        <v>0</v>
      </c>
      <c r="BT61" s="3078"/>
      <c r="BU61" s="3078"/>
      <c r="BV61" s="3145">
        <f t="shared" si="288"/>
        <v>0</v>
      </c>
      <c r="BW61" s="3078"/>
      <c r="BX61" s="3078"/>
      <c r="BY61" s="3145">
        <f t="shared" si="545"/>
        <v>0</v>
      </c>
      <c r="BZ61" s="3145">
        <f t="shared" si="546"/>
        <v>0</v>
      </c>
      <c r="CA61" s="3145">
        <f t="shared" si="547"/>
        <v>0</v>
      </c>
      <c r="CB61" s="3211">
        <f t="shared" si="573"/>
        <v>0</v>
      </c>
      <c r="CC61" s="3211">
        <f>SUM(вода!BR44)</f>
        <v>0</v>
      </c>
      <c r="CD61" s="3211">
        <v>0</v>
      </c>
      <c r="CE61" s="3194">
        <f t="shared" ref="CE61:CE93" si="611">SUM(BY61+BG61)</f>
        <v>2976.2999999999997</v>
      </c>
      <c r="CF61" s="3194">
        <f t="shared" ref="CF61:CF93" si="612">SUM(BZ61+BH61)</f>
        <v>2976.2999999999997</v>
      </c>
      <c r="CG61" s="3194">
        <f t="shared" ref="CG61:CG93" si="613">SUM(CA61+BI61)</f>
        <v>0</v>
      </c>
      <c r="CH61" s="3194">
        <f t="shared" ref="CH61:CH93" si="614">SUM(CE61-CB61)</f>
        <v>2976.2999999999997</v>
      </c>
      <c r="CI61" s="3194">
        <f t="shared" ref="CI61:CI93" si="615">SUM(CF61-CC61)</f>
        <v>2976.2999999999997</v>
      </c>
      <c r="CJ61" s="3194">
        <f t="shared" ref="CJ61:CJ93" si="616">SUM(CG61-CD61)</f>
        <v>0</v>
      </c>
      <c r="CK61" s="3259"/>
      <c r="CL61" s="3259"/>
      <c r="CM61" s="3259"/>
      <c r="CN61" s="3055"/>
    </row>
    <row r="62" spans="1:92" ht="18.75" customHeight="1" x14ac:dyDescent="0.3">
      <c r="A62" s="3073" t="s">
        <v>9</v>
      </c>
      <c r="B62" s="3210">
        <f t="shared" si="591"/>
        <v>0</v>
      </c>
      <c r="C62" s="3210">
        <f t="shared" si="592"/>
        <v>0</v>
      </c>
      <c r="D62" s="3210">
        <f t="shared" si="593"/>
        <v>0</v>
      </c>
      <c r="E62" s="3145">
        <f t="shared" si="167"/>
        <v>0</v>
      </c>
      <c r="F62" s="3078"/>
      <c r="G62" s="3078"/>
      <c r="H62" s="3145">
        <f t="shared" si="168"/>
        <v>0</v>
      </c>
      <c r="I62" s="3078"/>
      <c r="J62" s="3078"/>
      <c r="K62" s="3145">
        <f t="shared" si="169"/>
        <v>0</v>
      </c>
      <c r="L62" s="3078"/>
      <c r="M62" s="3078"/>
      <c r="N62" s="3145">
        <f t="shared" si="506"/>
        <v>0</v>
      </c>
      <c r="O62" s="3145">
        <f t="shared" si="507"/>
        <v>0</v>
      </c>
      <c r="P62" s="3145">
        <f t="shared" si="508"/>
        <v>0</v>
      </c>
      <c r="Q62" s="3210">
        <f t="shared" si="594"/>
        <v>0</v>
      </c>
      <c r="R62" s="3210">
        <f t="shared" si="595"/>
        <v>0</v>
      </c>
      <c r="S62" s="3210">
        <f t="shared" si="596"/>
        <v>0</v>
      </c>
      <c r="T62" s="3145">
        <f t="shared" si="252"/>
        <v>0</v>
      </c>
      <c r="U62" s="3078"/>
      <c r="V62" s="3078"/>
      <c r="W62" s="3145">
        <f t="shared" si="254"/>
        <v>0</v>
      </c>
      <c r="X62" s="3078"/>
      <c r="Y62" s="3078"/>
      <c r="Z62" s="3145">
        <f t="shared" si="256"/>
        <v>0</v>
      </c>
      <c r="AA62" s="3078"/>
      <c r="AB62" s="3078"/>
      <c r="AC62" s="3145">
        <f t="shared" si="513"/>
        <v>0</v>
      </c>
      <c r="AD62" s="3145">
        <f t="shared" si="514"/>
        <v>0</v>
      </c>
      <c r="AE62" s="3145">
        <f t="shared" si="515"/>
        <v>0</v>
      </c>
      <c r="AF62" s="3211">
        <f t="shared" si="597"/>
        <v>0</v>
      </c>
      <c r="AG62" s="3211">
        <f t="shared" si="598"/>
        <v>0</v>
      </c>
      <c r="AH62" s="3211">
        <f t="shared" si="599"/>
        <v>0</v>
      </c>
      <c r="AI62" s="3194">
        <f t="shared" si="519"/>
        <v>0</v>
      </c>
      <c r="AJ62" s="3194">
        <f t="shared" si="520"/>
        <v>0</v>
      </c>
      <c r="AK62" s="3194">
        <f t="shared" si="521"/>
        <v>0</v>
      </c>
      <c r="AL62" s="3194">
        <f t="shared" si="522"/>
        <v>0</v>
      </c>
      <c r="AM62" s="3194">
        <f t="shared" si="523"/>
        <v>0</v>
      </c>
      <c r="AN62" s="3194">
        <f t="shared" si="524"/>
        <v>0</v>
      </c>
      <c r="AO62" s="3210">
        <f t="shared" si="600"/>
        <v>0</v>
      </c>
      <c r="AP62" s="3210">
        <f t="shared" si="601"/>
        <v>0</v>
      </c>
      <c r="AQ62" s="3210">
        <f t="shared" si="602"/>
        <v>0</v>
      </c>
      <c r="AR62" s="3145">
        <f t="shared" si="267"/>
        <v>141.02000000000001</v>
      </c>
      <c r="AS62" s="3078">
        <v>141.02000000000001</v>
      </c>
      <c r="AT62" s="3078"/>
      <c r="AU62" s="3145">
        <f t="shared" si="269"/>
        <v>60.94</v>
      </c>
      <c r="AV62" s="3078">
        <v>60.94</v>
      </c>
      <c r="AW62" s="3078"/>
      <c r="AX62" s="3145">
        <f t="shared" si="271"/>
        <v>355.91</v>
      </c>
      <c r="AY62" s="3078">
        <v>355.91</v>
      </c>
      <c r="AZ62" s="3078"/>
      <c r="BA62" s="3145">
        <f t="shared" si="529"/>
        <v>557.87</v>
      </c>
      <c r="BB62" s="3145">
        <f t="shared" si="530"/>
        <v>557.87</v>
      </c>
      <c r="BC62" s="3145">
        <f t="shared" si="531"/>
        <v>0</v>
      </c>
      <c r="BD62" s="3211">
        <f t="shared" si="567"/>
        <v>0</v>
      </c>
      <c r="BE62" s="3211">
        <f t="shared" si="568"/>
        <v>0</v>
      </c>
      <c r="BF62" s="3211">
        <f t="shared" si="569"/>
        <v>0</v>
      </c>
      <c r="BG62" s="3194">
        <f t="shared" si="603"/>
        <v>557.87</v>
      </c>
      <c r="BH62" s="3194">
        <f t="shared" si="604"/>
        <v>557.87</v>
      </c>
      <c r="BI62" s="3194">
        <f t="shared" si="605"/>
        <v>0</v>
      </c>
      <c r="BJ62" s="3194">
        <f t="shared" si="606"/>
        <v>557.87</v>
      </c>
      <c r="BK62" s="3194">
        <f t="shared" si="607"/>
        <v>557.87</v>
      </c>
      <c r="BL62" s="3194">
        <f t="shared" si="608"/>
        <v>0</v>
      </c>
      <c r="BM62" s="3210">
        <f t="shared" si="570"/>
        <v>0</v>
      </c>
      <c r="BN62" s="3210">
        <f t="shared" si="609"/>
        <v>0</v>
      </c>
      <c r="BO62" s="3210">
        <f t="shared" si="610"/>
        <v>0</v>
      </c>
      <c r="BP62" s="3145">
        <f t="shared" si="284"/>
        <v>0</v>
      </c>
      <c r="BQ62" s="3078"/>
      <c r="BR62" s="3078"/>
      <c r="BS62" s="3145">
        <f t="shared" si="286"/>
        <v>0</v>
      </c>
      <c r="BT62" s="3078"/>
      <c r="BU62" s="3078"/>
      <c r="BV62" s="3145">
        <f t="shared" si="288"/>
        <v>0</v>
      </c>
      <c r="BW62" s="3078"/>
      <c r="BX62" s="3078"/>
      <c r="BY62" s="3145">
        <f t="shared" si="545"/>
        <v>0</v>
      </c>
      <c r="BZ62" s="3145">
        <f t="shared" si="546"/>
        <v>0</v>
      </c>
      <c r="CA62" s="3145">
        <f t="shared" si="547"/>
        <v>0</v>
      </c>
      <c r="CB62" s="3211">
        <f t="shared" si="573"/>
        <v>0</v>
      </c>
      <c r="CC62" s="3211">
        <v>0</v>
      </c>
      <c r="CD62" s="3211">
        <v>0</v>
      </c>
      <c r="CE62" s="3194">
        <f t="shared" si="611"/>
        <v>557.87</v>
      </c>
      <c r="CF62" s="3194">
        <f t="shared" si="612"/>
        <v>557.87</v>
      </c>
      <c r="CG62" s="3194">
        <f t="shared" si="613"/>
        <v>0</v>
      </c>
      <c r="CH62" s="3194">
        <f t="shared" si="614"/>
        <v>557.87</v>
      </c>
      <c r="CI62" s="3194">
        <f t="shared" si="615"/>
        <v>557.87</v>
      </c>
      <c r="CJ62" s="3194">
        <f t="shared" si="616"/>
        <v>0</v>
      </c>
      <c r="CK62" s="3259"/>
      <c r="CL62" s="3259"/>
      <c r="CM62" s="3259"/>
      <c r="CN62" s="3055"/>
    </row>
    <row r="63" spans="1:92" ht="18.75" customHeight="1" x14ac:dyDescent="0.3">
      <c r="A63" s="3073" t="s">
        <v>1</v>
      </c>
      <c r="B63" s="3210">
        <f t="shared" si="591"/>
        <v>326.96625</v>
      </c>
      <c r="C63" s="3210">
        <f t="shared" si="592"/>
        <v>326.96625</v>
      </c>
      <c r="D63" s="3210">
        <f t="shared" si="593"/>
        <v>0</v>
      </c>
      <c r="E63" s="3145">
        <f t="shared" si="167"/>
        <v>15.74</v>
      </c>
      <c r="F63" s="3078">
        <v>15.74</v>
      </c>
      <c r="G63" s="3078"/>
      <c r="H63" s="3145">
        <f t="shared" si="168"/>
        <v>12.12</v>
      </c>
      <c r="I63" s="3078">
        <v>12.12</v>
      </c>
      <c r="J63" s="3078"/>
      <c r="K63" s="3145">
        <f t="shared" si="169"/>
        <v>12.61</v>
      </c>
      <c r="L63" s="3078">
        <v>12.61</v>
      </c>
      <c r="M63" s="3078"/>
      <c r="N63" s="3145">
        <f t="shared" si="506"/>
        <v>40.47</v>
      </c>
      <c r="O63" s="3145">
        <f t="shared" si="507"/>
        <v>40.47</v>
      </c>
      <c r="P63" s="3145">
        <f t="shared" si="508"/>
        <v>0</v>
      </c>
      <c r="Q63" s="3210">
        <f t="shared" si="594"/>
        <v>326.96625</v>
      </c>
      <c r="R63" s="3210">
        <f t="shared" si="595"/>
        <v>326.96625</v>
      </c>
      <c r="S63" s="3210">
        <f t="shared" si="596"/>
        <v>0</v>
      </c>
      <c r="T63" s="3145">
        <f t="shared" si="252"/>
        <v>10.34</v>
      </c>
      <c r="U63" s="3078">
        <v>10.34</v>
      </c>
      <c r="V63" s="3078"/>
      <c r="W63" s="3145">
        <f t="shared" si="254"/>
        <v>11.84</v>
      </c>
      <c r="X63" s="3078">
        <v>11.84</v>
      </c>
      <c r="Y63" s="3078"/>
      <c r="Z63" s="3145">
        <f t="shared" si="256"/>
        <v>13.34</v>
      </c>
      <c r="AA63" s="3078">
        <v>13.34</v>
      </c>
      <c r="AB63" s="3078"/>
      <c r="AC63" s="3145">
        <f t="shared" si="513"/>
        <v>35.519999999999996</v>
      </c>
      <c r="AD63" s="3145">
        <f t="shared" si="514"/>
        <v>35.519999999999996</v>
      </c>
      <c r="AE63" s="3145">
        <f t="shared" si="515"/>
        <v>0</v>
      </c>
      <c r="AF63" s="3211">
        <f t="shared" si="597"/>
        <v>653.9325</v>
      </c>
      <c r="AG63" s="3211">
        <f t="shared" si="598"/>
        <v>653.9325</v>
      </c>
      <c r="AH63" s="3211">
        <f t="shared" si="599"/>
        <v>0</v>
      </c>
      <c r="AI63" s="3194">
        <f t="shared" si="519"/>
        <v>75.989999999999995</v>
      </c>
      <c r="AJ63" s="3194">
        <f t="shared" si="520"/>
        <v>75.989999999999995</v>
      </c>
      <c r="AK63" s="3194">
        <f t="shared" si="521"/>
        <v>0</v>
      </c>
      <c r="AL63" s="3194">
        <f t="shared" si="522"/>
        <v>-577.9425</v>
      </c>
      <c r="AM63" s="3194">
        <f t="shared" si="523"/>
        <v>-577.9425</v>
      </c>
      <c r="AN63" s="3194">
        <f t="shared" si="524"/>
        <v>0</v>
      </c>
      <c r="AO63" s="3210">
        <f t="shared" si="600"/>
        <v>326.96625</v>
      </c>
      <c r="AP63" s="3210">
        <f t="shared" si="601"/>
        <v>326.96625</v>
      </c>
      <c r="AQ63" s="3210">
        <f t="shared" si="602"/>
        <v>0</v>
      </c>
      <c r="AR63" s="3145">
        <f t="shared" si="267"/>
        <v>14.95</v>
      </c>
      <c r="AS63" s="3078">
        <v>14.95</v>
      </c>
      <c r="AT63" s="3078"/>
      <c r="AU63" s="3145">
        <f t="shared" si="269"/>
        <v>24.56</v>
      </c>
      <c r="AV63" s="3078">
        <v>24.56</v>
      </c>
      <c r="AW63" s="3078"/>
      <c r="AX63" s="3145">
        <f t="shared" si="271"/>
        <v>68.25</v>
      </c>
      <c r="AY63" s="3078">
        <v>68.25</v>
      </c>
      <c r="AZ63" s="3078"/>
      <c r="BA63" s="3145">
        <f t="shared" si="529"/>
        <v>107.75999999999999</v>
      </c>
      <c r="BB63" s="3145">
        <f t="shared" si="530"/>
        <v>107.75999999999999</v>
      </c>
      <c r="BC63" s="3145">
        <f t="shared" si="531"/>
        <v>0</v>
      </c>
      <c r="BD63" s="3211">
        <f t="shared" si="567"/>
        <v>980.89875000000006</v>
      </c>
      <c r="BE63" s="3211">
        <f t="shared" si="568"/>
        <v>980.89875000000006</v>
      </c>
      <c r="BF63" s="3211">
        <f t="shared" si="569"/>
        <v>0</v>
      </c>
      <c r="BG63" s="3194">
        <f t="shared" si="603"/>
        <v>183.75</v>
      </c>
      <c r="BH63" s="3194">
        <f t="shared" si="604"/>
        <v>183.75</v>
      </c>
      <c r="BI63" s="3194">
        <f t="shared" si="605"/>
        <v>0</v>
      </c>
      <c r="BJ63" s="3194">
        <f t="shared" si="606"/>
        <v>-797.14875000000006</v>
      </c>
      <c r="BK63" s="3194">
        <f t="shared" si="607"/>
        <v>-797.14875000000006</v>
      </c>
      <c r="BL63" s="3194">
        <f t="shared" si="608"/>
        <v>0</v>
      </c>
      <c r="BM63" s="3210">
        <f t="shared" si="570"/>
        <v>326.96625</v>
      </c>
      <c r="BN63" s="3210">
        <f t="shared" si="609"/>
        <v>326.96625</v>
      </c>
      <c r="BO63" s="3210">
        <f t="shared" si="610"/>
        <v>0</v>
      </c>
      <c r="BP63" s="3145">
        <f t="shared" si="284"/>
        <v>0</v>
      </c>
      <c r="BQ63" s="3078"/>
      <c r="BR63" s="3078"/>
      <c r="BS63" s="3145">
        <f t="shared" si="286"/>
        <v>0</v>
      </c>
      <c r="BT63" s="3078"/>
      <c r="BU63" s="3078"/>
      <c r="BV63" s="3145">
        <f t="shared" si="288"/>
        <v>0</v>
      </c>
      <c r="BW63" s="3078"/>
      <c r="BX63" s="3078"/>
      <c r="BY63" s="3145">
        <f t="shared" si="545"/>
        <v>0</v>
      </c>
      <c r="BZ63" s="3145">
        <f t="shared" si="546"/>
        <v>0</v>
      </c>
      <c r="CA63" s="3145">
        <f t="shared" si="547"/>
        <v>0</v>
      </c>
      <c r="CB63" s="3211">
        <f t="shared" si="573"/>
        <v>1307.865</v>
      </c>
      <c r="CC63" s="3211">
        <f>SUM(вода!BR45)</f>
        <v>1307.865</v>
      </c>
      <c r="CD63" s="3211">
        <v>0</v>
      </c>
      <c r="CE63" s="3194">
        <f t="shared" si="611"/>
        <v>183.75</v>
      </c>
      <c r="CF63" s="3194">
        <f t="shared" si="612"/>
        <v>183.75</v>
      </c>
      <c r="CG63" s="3194">
        <f t="shared" si="613"/>
        <v>0</v>
      </c>
      <c r="CH63" s="3194">
        <f t="shared" si="614"/>
        <v>-1124.115</v>
      </c>
      <c r="CI63" s="3194">
        <f t="shared" si="615"/>
        <v>-1124.115</v>
      </c>
      <c r="CJ63" s="3194">
        <f t="shared" si="616"/>
        <v>0</v>
      </c>
      <c r="CK63" s="3259"/>
      <c r="CL63" s="3259"/>
      <c r="CM63" s="3259"/>
      <c r="CN63" s="3055"/>
    </row>
    <row r="64" spans="1:92" ht="18.75" customHeight="1" x14ac:dyDescent="0.3">
      <c r="A64" s="3073" t="s">
        <v>3590</v>
      </c>
      <c r="B64" s="3210">
        <f t="shared" ref="B64" si="617">SUM(C64:D64)</f>
        <v>78.4044602325</v>
      </c>
      <c r="C64" s="3210">
        <f>SUM(C65)</f>
        <v>78.4044602325</v>
      </c>
      <c r="D64" s="3210">
        <f t="shared" ref="D64" si="618">SUM(D65)</f>
        <v>0</v>
      </c>
      <c r="E64" s="3145">
        <f>SUM(F64:G64)</f>
        <v>23.93</v>
      </c>
      <c r="F64" s="3067">
        <f>SUM(F65)</f>
        <v>23.93</v>
      </c>
      <c r="G64" s="3067">
        <f>SUM(G65)</f>
        <v>0</v>
      </c>
      <c r="H64" s="3145">
        <f t="shared" si="168"/>
        <v>21.02</v>
      </c>
      <c r="I64" s="3067">
        <f>SUM(I65)</f>
        <v>21.02</v>
      </c>
      <c r="J64" s="3067">
        <f>SUM(J65)</f>
        <v>0</v>
      </c>
      <c r="K64" s="3145">
        <f t="shared" si="169"/>
        <v>15.42</v>
      </c>
      <c r="L64" s="3067">
        <f>SUM(L65)</f>
        <v>15.42</v>
      </c>
      <c r="M64" s="3067">
        <f>SUM(M65)</f>
        <v>0</v>
      </c>
      <c r="N64" s="3145">
        <f t="shared" si="506"/>
        <v>60.370000000000005</v>
      </c>
      <c r="O64" s="3145">
        <f t="shared" si="507"/>
        <v>60.370000000000005</v>
      </c>
      <c r="P64" s="3145">
        <f t="shared" si="508"/>
        <v>0</v>
      </c>
      <c r="Q64" s="3210">
        <f t="shared" ref="Q64" si="619">SUM(R64:S64)</f>
        <v>78.4044602325</v>
      </c>
      <c r="R64" s="3210">
        <f t="shared" ref="R64:S64" si="620">SUM(R65)</f>
        <v>78.4044602325</v>
      </c>
      <c r="S64" s="3210">
        <f t="shared" si="620"/>
        <v>0</v>
      </c>
      <c r="T64" s="3145">
        <f t="shared" si="252"/>
        <v>13.29</v>
      </c>
      <c r="U64" s="3067">
        <f>SUM(U65)</f>
        <v>13.29</v>
      </c>
      <c r="V64" s="3067">
        <f>SUM(V65)</f>
        <v>0</v>
      </c>
      <c r="W64" s="3145">
        <f t="shared" si="254"/>
        <v>4.8899999999999997</v>
      </c>
      <c r="X64" s="3067">
        <f>SUM(X65)</f>
        <v>4.8899999999999997</v>
      </c>
      <c r="Y64" s="3067">
        <f>SUM(Y65)</f>
        <v>0</v>
      </c>
      <c r="Z64" s="3145">
        <f t="shared" si="256"/>
        <v>0</v>
      </c>
      <c r="AA64" s="3067">
        <f>SUM(AA65)</f>
        <v>0</v>
      </c>
      <c r="AB64" s="3067">
        <f>SUM(AB65)</f>
        <v>0</v>
      </c>
      <c r="AC64" s="3145">
        <f t="shared" si="513"/>
        <v>18.18</v>
      </c>
      <c r="AD64" s="3145">
        <f t="shared" si="514"/>
        <v>18.18</v>
      </c>
      <c r="AE64" s="3145">
        <f t="shared" si="515"/>
        <v>0</v>
      </c>
      <c r="AF64" s="3211">
        <f t="shared" si="597"/>
        <v>156.808920465</v>
      </c>
      <c r="AG64" s="3211">
        <f t="shared" si="598"/>
        <v>156.808920465</v>
      </c>
      <c r="AH64" s="3211">
        <f t="shared" si="599"/>
        <v>0</v>
      </c>
      <c r="AI64" s="3194">
        <f t="shared" si="519"/>
        <v>78.550000000000011</v>
      </c>
      <c r="AJ64" s="3194">
        <f t="shared" si="520"/>
        <v>78.550000000000011</v>
      </c>
      <c r="AK64" s="3194">
        <f t="shared" si="521"/>
        <v>0</v>
      </c>
      <c r="AL64" s="3194">
        <f t="shared" si="522"/>
        <v>-78.258920464999989</v>
      </c>
      <c r="AM64" s="3194">
        <f t="shared" si="523"/>
        <v>-78.258920464999989</v>
      </c>
      <c r="AN64" s="3194">
        <f t="shared" si="524"/>
        <v>0</v>
      </c>
      <c r="AO64" s="3210">
        <f t="shared" ref="AO64:AO65" si="621">SUM(AP64:AQ64)</f>
        <v>78.4044602325</v>
      </c>
      <c r="AP64" s="3210">
        <f t="shared" ref="AP64:AQ64" si="622">SUM(AP65)</f>
        <v>78.4044602325</v>
      </c>
      <c r="AQ64" s="3210">
        <f t="shared" si="622"/>
        <v>0</v>
      </c>
      <c r="AR64" s="3145">
        <f t="shared" si="267"/>
        <v>0</v>
      </c>
      <c r="AS64" s="3067">
        <f>SUM(AS65)</f>
        <v>0</v>
      </c>
      <c r="AT64" s="3067">
        <f>SUM(AT65)</f>
        <v>0</v>
      </c>
      <c r="AU64" s="3145">
        <f t="shared" si="269"/>
        <v>0</v>
      </c>
      <c r="AV64" s="3067">
        <f>SUM(AV65)</f>
        <v>0</v>
      </c>
      <c r="AW64" s="3067">
        <f>SUM(AW65)</f>
        <v>0</v>
      </c>
      <c r="AX64" s="3145">
        <f t="shared" si="271"/>
        <v>0</v>
      </c>
      <c r="AY64" s="3067">
        <f>SUM(AY65)</f>
        <v>0</v>
      </c>
      <c r="AZ64" s="3067">
        <f>SUM(AZ65)</f>
        <v>0</v>
      </c>
      <c r="BA64" s="3145">
        <f t="shared" si="529"/>
        <v>0</v>
      </c>
      <c r="BB64" s="3145">
        <f t="shared" si="530"/>
        <v>0</v>
      </c>
      <c r="BC64" s="3145">
        <f t="shared" si="531"/>
        <v>0</v>
      </c>
      <c r="BD64" s="3211">
        <f t="shared" si="567"/>
        <v>235.21338069749999</v>
      </c>
      <c r="BE64" s="3211">
        <f t="shared" si="568"/>
        <v>235.21338069749999</v>
      </c>
      <c r="BF64" s="3211">
        <f t="shared" si="569"/>
        <v>0</v>
      </c>
      <c r="BG64" s="3194">
        <f t="shared" si="603"/>
        <v>78.550000000000011</v>
      </c>
      <c r="BH64" s="3194">
        <f t="shared" si="604"/>
        <v>78.550000000000011</v>
      </c>
      <c r="BI64" s="3194">
        <f t="shared" si="605"/>
        <v>0</v>
      </c>
      <c r="BJ64" s="3194">
        <f t="shared" si="606"/>
        <v>-156.66338069749997</v>
      </c>
      <c r="BK64" s="3194">
        <f t="shared" si="607"/>
        <v>-156.66338069749997</v>
      </c>
      <c r="BL64" s="3194">
        <f t="shared" si="608"/>
        <v>0</v>
      </c>
      <c r="BM64" s="3210">
        <f t="shared" si="570"/>
        <v>78.4044602325</v>
      </c>
      <c r="BN64" s="3210">
        <f t="shared" ref="BN64:BO64" si="623">SUM(BN65)</f>
        <v>78.4044602325</v>
      </c>
      <c r="BO64" s="3210">
        <f t="shared" si="623"/>
        <v>0</v>
      </c>
      <c r="BP64" s="3145">
        <f t="shared" si="284"/>
        <v>0</v>
      </c>
      <c r="BQ64" s="3067">
        <f>SUM(BQ65)</f>
        <v>0</v>
      </c>
      <c r="BR64" s="3067">
        <f>SUM(BR65)</f>
        <v>0</v>
      </c>
      <c r="BS64" s="3145">
        <f t="shared" si="286"/>
        <v>0</v>
      </c>
      <c r="BT64" s="3067">
        <f>SUM(BT65)</f>
        <v>0</v>
      </c>
      <c r="BU64" s="3067">
        <f>SUM(BU65)</f>
        <v>0</v>
      </c>
      <c r="BV64" s="3145">
        <f t="shared" si="288"/>
        <v>0</v>
      </c>
      <c r="BW64" s="3067">
        <f>SUM(BW65)</f>
        <v>0</v>
      </c>
      <c r="BX64" s="3067">
        <f>SUM(BX65)</f>
        <v>0</v>
      </c>
      <c r="BY64" s="3145">
        <f t="shared" si="545"/>
        <v>0</v>
      </c>
      <c r="BZ64" s="3145">
        <f t="shared" si="546"/>
        <v>0</v>
      </c>
      <c r="CA64" s="3145">
        <f t="shared" si="547"/>
        <v>0</v>
      </c>
      <c r="CB64" s="3211">
        <f t="shared" si="573"/>
        <v>313.61784093</v>
      </c>
      <c r="CC64" s="3211">
        <f t="shared" ref="CC64:CD64" si="624">SUM(CC65)</f>
        <v>313.61784093</v>
      </c>
      <c r="CD64" s="3211">
        <f t="shared" si="624"/>
        <v>0</v>
      </c>
      <c r="CE64" s="3194">
        <f t="shared" si="611"/>
        <v>78.550000000000011</v>
      </c>
      <c r="CF64" s="3194">
        <f t="shared" si="612"/>
        <v>78.550000000000011</v>
      </c>
      <c r="CG64" s="3194">
        <f t="shared" si="613"/>
        <v>0</v>
      </c>
      <c r="CH64" s="3194">
        <f t="shared" si="614"/>
        <v>-235.06784092999999</v>
      </c>
      <c r="CI64" s="3194">
        <f t="shared" si="615"/>
        <v>-235.06784092999999</v>
      </c>
      <c r="CJ64" s="3194">
        <f t="shared" si="616"/>
        <v>0</v>
      </c>
      <c r="CK64" s="3259"/>
      <c r="CL64" s="3259"/>
      <c r="CM64" s="3259"/>
      <c r="CN64" s="3055"/>
    </row>
    <row r="65" spans="1:92" ht="18.75" customHeight="1" x14ac:dyDescent="0.3">
      <c r="A65" s="3073" t="s">
        <v>3594</v>
      </c>
      <c r="B65" s="3210">
        <f t="shared" ref="B65:B67" si="625">SUM(C65:D65)</f>
        <v>78.4044602325</v>
      </c>
      <c r="C65" s="3210">
        <f t="shared" ref="C65" si="626">SUM(CC65/4)</f>
        <v>78.4044602325</v>
      </c>
      <c r="D65" s="3210">
        <f t="shared" ref="D65" si="627">SUM(CD65/4)</f>
        <v>0</v>
      </c>
      <c r="E65" s="3145">
        <f t="shared" si="167"/>
        <v>23.93</v>
      </c>
      <c r="F65" s="3078">
        <v>23.93</v>
      </c>
      <c r="G65" s="3078"/>
      <c r="H65" s="3145">
        <f t="shared" si="168"/>
        <v>21.02</v>
      </c>
      <c r="I65" s="3078">
        <v>21.02</v>
      </c>
      <c r="J65" s="3078"/>
      <c r="K65" s="3145">
        <f t="shared" si="169"/>
        <v>15.42</v>
      </c>
      <c r="L65" s="3078">
        <v>15.42</v>
      </c>
      <c r="M65" s="3078"/>
      <c r="N65" s="3145">
        <f t="shared" si="506"/>
        <v>60.370000000000005</v>
      </c>
      <c r="O65" s="3145">
        <f t="shared" si="507"/>
        <v>60.370000000000005</v>
      </c>
      <c r="P65" s="3145">
        <f t="shared" si="508"/>
        <v>0</v>
      </c>
      <c r="Q65" s="3210">
        <f t="shared" ref="Q65:Q83" si="628">SUM(R65:S65)</f>
        <v>78.4044602325</v>
      </c>
      <c r="R65" s="3210">
        <f t="shared" si="595"/>
        <v>78.4044602325</v>
      </c>
      <c r="S65" s="3210">
        <f t="shared" ref="S65" si="629">SUM(CS65/4)</f>
        <v>0</v>
      </c>
      <c r="T65" s="3145">
        <f t="shared" si="252"/>
        <v>13.29</v>
      </c>
      <c r="U65" s="3078">
        <v>13.29</v>
      </c>
      <c r="V65" s="3078"/>
      <c r="W65" s="3145">
        <f t="shared" si="254"/>
        <v>4.8899999999999997</v>
      </c>
      <c r="X65" s="3078">
        <v>4.8899999999999997</v>
      </c>
      <c r="Y65" s="3078"/>
      <c r="Z65" s="3145">
        <f t="shared" si="256"/>
        <v>0</v>
      </c>
      <c r="AA65" s="3078"/>
      <c r="AB65" s="3078"/>
      <c r="AC65" s="3145">
        <f t="shared" si="513"/>
        <v>18.18</v>
      </c>
      <c r="AD65" s="3145">
        <f t="shared" si="514"/>
        <v>18.18</v>
      </c>
      <c r="AE65" s="3145">
        <f t="shared" si="515"/>
        <v>0</v>
      </c>
      <c r="AF65" s="3211">
        <f t="shared" si="597"/>
        <v>156.808920465</v>
      </c>
      <c r="AG65" s="3211">
        <f t="shared" si="598"/>
        <v>156.808920465</v>
      </c>
      <c r="AH65" s="3211">
        <f t="shared" si="599"/>
        <v>0</v>
      </c>
      <c r="AI65" s="3194">
        <f t="shared" si="519"/>
        <v>78.550000000000011</v>
      </c>
      <c r="AJ65" s="3194">
        <f t="shared" si="520"/>
        <v>78.550000000000011</v>
      </c>
      <c r="AK65" s="3194">
        <f t="shared" si="521"/>
        <v>0</v>
      </c>
      <c r="AL65" s="3194">
        <f t="shared" si="522"/>
        <v>-78.258920464999989</v>
      </c>
      <c r="AM65" s="3194">
        <f t="shared" si="523"/>
        <v>-78.258920464999989</v>
      </c>
      <c r="AN65" s="3194">
        <f t="shared" si="524"/>
        <v>0</v>
      </c>
      <c r="AO65" s="3210">
        <f t="shared" si="621"/>
        <v>78.4044602325</v>
      </c>
      <c r="AP65" s="3210">
        <f t="shared" ref="AP65" si="630">SUM(CC65-AG65)/2</f>
        <v>78.4044602325</v>
      </c>
      <c r="AQ65" s="3210">
        <f t="shared" ref="AQ65" si="631">SUM(CD65-AH65)/2</f>
        <v>0</v>
      </c>
      <c r="AR65" s="3145">
        <f t="shared" si="267"/>
        <v>0</v>
      </c>
      <c r="AS65" s="3078"/>
      <c r="AT65" s="3078"/>
      <c r="AU65" s="3145">
        <f t="shared" si="269"/>
        <v>0</v>
      </c>
      <c r="AV65" s="3078"/>
      <c r="AW65" s="3078"/>
      <c r="AX65" s="3145">
        <f t="shared" si="271"/>
        <v>0</v>
      </c>
      <c r="AY65" s="3078"/>
      <c r="AZ65" s="3078"/>
      <c r="BA65" s="3145">
        <f t="shared" si="529"/>
        <v>0</v>
      </c>
      <c r="BB65" s="3145">
        <f t="shared" si="530"/>
        <v>0</v>
      </c>
      <c r="BC65" s="3145">
        <f t="shared" si="531"/>
        <v>0</v>
      </c>
      <c r="BD65" s="3211">
        <f t="shared" si="567"/>
        <v>235.21338069749999</v>
      </c>
      <c r="BE65" s="3211">
        <f t="shared" si="568"/>
        <v>235.21338069749999</v>
      </c>
      <c r="BF65" s="3211">
        <f t="shared" si="569"/>
        <v>0</v>
      </c>
      <c r="BG65" s="3194">
        <f t="shared" si="603"/>
        <v>78.550000000000011</v>
      </c>
      <c r="BH65" s="3194">
        <f t="shared" si="604"/>
        <v>78.550000000000011</v>
      </c>
      <c r="BI65" s="3194">
        <f t="shared" si="605"/>
        <v>0</v>
      </c>
      <c r="BJ65" s="3194">
        <f t="shared" si="606"/>
        <v>-156.66338069749997</v>
      </c>
      <c r="BK65" s="3194">
        <f t="shared" si="607"/>
        <v>-156.66338069749997</v>
      </c>
      <c r="BL65" s="3194">
        <f t="shared" si="608"/>
        <v>0</v>
      </c>
      <c r="BM65" s="3210">
        <f t="shared" si="570"/>
        <v>78.4044602325</v>
      </c>
      <c r="BN65" s="3210">
        <f t="shared" ref="BN65" si="632">SUM(AP65)</f>
        <v>78.4044602325</v>
      </c>
      <c r="BO65" s="3210">
        <f t="shared" ref="BO65" si="633">SUM(AQ65)</f>
        <v>0</v>
      </c>
      <c r="BP65" s="3145">
        <f t="shared" si="284"/>
        <v>0</v>
      </c>
      <c r="BQ65" s="3078"/>
      <c r="BR65" s="3078"/>
      <c r="BS65" s="3145">
        <f t="shared" si="286"/>
        <v>0</v>
      </c>
      <c r="BT65" s="3078"/>
      <c r="BU65" s="3078"/>
      <c r="BV65" s="3145">
        <f t="shared" si="288"/>
        <v>0</v>
      </c>
      <c r="BW65" s="3078"/>
      <c r="BX65" s="3078"/>
      <c r="BY65" s="3145">
        <f t="shared" si="545"/>
        <v>0</v>
      </c>
      <c r="BZ65" s="3145">
        <f t="shared" si="546"/>
        <v>0</v>
      </c>
      <c r="CA65" s="3145">
        <f t="shared" si="547"/>
        <v>0</v>
      </c>
      <c r="CB65" s="3211">
        <f t="shared" si="573"/>
        <v>313.61784093</v>
      </c>
      <c r="CC65" s="3211">
        <f>SUM(вода!BR46)</f>
        <v>313.61784093</v>
      </c>
      <c r="CD65" s="3211">
        <v>0</v>
      </c>
      <c r="CE65" s="3194">
        <f t="shared" si="611"/>
        <v>78.550000000000011</v>
      </c>
      <c r="CF65" s="3194">
        <f t="shared" si="612"/>
        <v>78.550000000000011</v>
      </c>
      <c r="CG65" s="3194">
        <f t="shared" si="613"/>
        <v>0</v>
      </c>
      <c r="CH65" s="3194">
        <f t="shared" si="614"/>
        <v>-235.06784092999999</v>
      </c>
      <c r="CI65" s="3194">
        <f t="shared" si="615"/>
        <v>-235.06784092999999</v>
      </c>
      <c r="CJ65" s="3194">
        <f t="shared" si="616"/>
        <v>0</v>
      </c>
      <c r="CK65" s="3259"/>
      <c r="CL65" s="3259"/>
      <c r="CM65" s="3259"/>
      <c r="CN65" s="3055"/>
    </row>
    <row r="66" spans="1:92" ht="18.75" customHeight="1" x14ac:dyDescent="0.3">
      <c r="A66" s="3074" t="s">
        <v>3590</v>
      </c>
      <c r="B66" s="3207">
        <f t="shared" si="625"/>
        <v>3753.5623648428614</v>
      </c>
      <c r="C66" s="3207">
        <f t="shared" ref="C66:D66" si="634">SUM(C67:C84)+C89</f>
        <v>3753.5623648428614</v>
      </c>
      <c r="D66" s="3207">
        <f t="shared" si="634"/>
        <v>0</v>
      </c>
      <c r="E66" s="3156">
        <f t="shared" si="167"/>
        <v>1644.8899999999999</v>
      </c>
      <c r="F66" s="3057">
        <f>SUM(F67:F84)+F89</f>
        <v>1644.8899999999999</v>
      </c>
      <c r="G66" s="3057">
        <f t="shared" ref="G66" si="635">SUM(G67:G84)+G89</f>
        <v>0</v>
      </c>
      <c r="H66" s="3156">
        <f t="shared" si="168"/>
        <v>1535.01</v>
      </c>
      <c r="I66" s="3057">
        <f t="shared" ref="I66:J66" si="636">SUM(I67:I84)+I89</f>
        <v>1535.01</v>
      </c>
      <c r="J66" s="3057">
        <f t="shared" si="636"/>
        <v>0</v>
      </c>
      <c r="K66" s="3156">
        <f t="shared" si="169"/>
        <v>1521.5599999999997</v>
      </c>
      <c r="L66" s="3057">
        <f t="shared" ref="L66:M66" si="637">SUM(L67:L84)+L89</f>
        <v>1521.5599999999997</v>
      </c>
      <c r="M66" s="3057">
        <f t="shared" si="637"/>
        <v>0</v>
      </c>
      <c r="N66" s="3156">
        <f t="shared" si="506"/>
        <v>4701.4599999999991</v>
      </c>
      <c r="O66" s="3156">
        <f t="shared" si="507"/>
        <v>4701.4599999999991</v>
      </c>
      <c r="P66" s="3156">
        <f t="shared" si="508"/>
        <v>0</v>
      </c>
      <c r="Q66" s="3207">
        <f t="shared" si="628"/>
        <v>3753.5623648428614</v>
      </c>
      <c r="R66" s="3207">
        <f t="shared" ref="R66:S66" si="638">SUM(R67:R84)+R89</f>
        <v>3753.5623648428614</v>
      </c>
      <c r="S66" s="3207">
        <f t="shared" si="638"/>
        <v>0</v>
      </c>
      <c r="T66" s="3156">
        <f t="shared" si="252"/>
        <v>1154.21</v>
      </c>
      <c r="U66" s="3057">
        <f t="shared" ref="U66:V66" si="639">SUM(U67:U84)+U89</f>
        <v>1154.21</v>
      </c>
      <c r="V66" s="3057">
        <f t="shared" si="639"/>
        <v>0</v>
      </c>
      <c r="W66" s="3156">
        <f t="shared" si="254"/>
        <v>982.49</v>
      </c>
      <c r="X66" s="3057">
        <f t="shared" ref="X66:Y66" si="640">SUM(X67:X84)+X89</f>
        <v>982.49</v>
      </c>
      <c r="Y66" s="3057">
        <f t="shared" si="640"/>
        <v>0</v>
      </c>
      <c r="Z66" s="3156">
        <f t="shared" si="256"/>
        <v>1095.28</v>
      </c>
      <c r="AA66" s="3057">
        <f t="shared" ref="AA66:AB66" si="641">SUM(AA67:AA84)+AA89</f>
        <v>1095.28</v>
      </c>
      <c r="AB66" s="3057">
        <f t="shared" si="641"/>
        <v>0</v>
      </c>
      <c r="AC66" s="3156">
        <f t="shared" si="513"/>
        <v>3231.9799999999996</v>
      </c>
      <c r="AD66" s="3156">
        <f t="shared" si="514"/>
        <v>3231.9799999999996</v>
      </c>
      <c r="AE66" s="3156">
        <f t="shared" si="515"/>
        <v>0</v>
      </c>
      <c r="AF66" s="3206">
        <f t="shared" ref="AF66:AF99" si="642">SUM(AG66:AH66)</f>
        <v>7507.1247296857227</v>
      </c>
      <c r="AG66" s="3206">
        <f t="shared" ref="AG66:AG99" si="643">SUM(C66+R66)</f>
        <v>7507.1247296857227</v>
      </c>
      <c r="AH66" s="3206">
        <f t="shared" ref="AH66:AH99" si="644">SUM(D66+S66)</f>
        <v>0</v>
      </c>
      <c r="AI66" s="3193">
        <f t="shared" ref="AI66:AI93" si="645">SUM(AC66+N66)</f>
        <v>7933.4399999999987</v>
      </c>
      <c r="AJ66" s="3193">
        <f t="shared" ref="AJ66:AJ93" si="646">SUM(AD66+O66)</f>
        <v>7933.4399999999987</v>
      </c>
      <c r="AK66" s="3193">
        <f t="shared" ref="AK66:AK93" si="647">SUM(AE66+P66)</f>
        <v>0</v>
      </c>
      <c r="AL66" s="3193">
        <f t="shared" ref="AL66:AL93" si="648">SUM(AI66-AF66)</f>
        <v>426.31527031427595</v>
      </c>
      <c r="AM66" s="3193">
        <f t="shared" ref="AM66:AM93" si="649">SUM(AJ66-AG66)</f>
        <v>426.31527031427595</v>
      </c>
      <c r="AN66" s="3193">
        <f t="shared" ref="AN66:AN93" si="650">SUM(AK66-AH66)</f>
        <v>0</v>
      </c>
      <c r="AO66" s="3207">
        <f t="shared" ref="AO66" si="651">SUM(AP66:AQ66)</f>
        <v>3753.5623648428614</v>
      </c>
      <c r="AP66" s="3207">
        <f t="shared" ref="AP66:AQ66" si="652">SUM(AP67:AP84)+AP89</f>
        <v>3753.5623648428614</v>
      </c>
      <c r="AQ66" s="3207">
        <f t="shared" si="652"/>
        <v>0</v>
      </c>
      <c r="AR66" s="3156">
        <f t="shared" si="267"/>
        <v>245.14999999999998</v>
      </c>
      <c r="AS66" s="3057">
        <f t="shared" ref="AS66:AT66" si="653">SUM(AS67:AS84)+AS89</f>
        <v>245.14999999999998</v>
      </c>
      <c r="AT66" s="3057">
        <f t="shared" si="653"/>
        <v>0</v>
      </c>
      <c r="AU66" s="3156">
        <f t="shared" si="269"/>
        <v>1074.77</v>
      </c>
      <c r="AV66" s="3057">
        <f t="shared" ref="AV66:AW66" si="654">SUM(AV67:AV84)+AV89</f>
        <v>1074.77</v>
      </c>
      <c r="AW66" s="3057">
        <f t="shared" si="654"/>
        <v>0</v>
      </c>
      <c r="AX66" s="3156">
        <f t="shared" si="271"/>
        <v>661.15000000000009</v>
      </c>
      <c r="AY66" s="3057">
        <f t="shared" ref="AY66:AZ66" si="655">SUM(AY67:AY84)+AY89</f>
        <v>661.15000000000009</v>
      </c>
      <c r="AZ66" s="3057">
        <f t="shared" si="655"/>
        <v>0</v>
      </c>
      <c r="BA66" s="3156">
        <f t="shared" si="529"/>
        <v>1981.0700000000002</v>
      </c>
      <c r="BB66" s="3156">
        <f t="shared" si="530"/>
        <v>1981.0700000000002</v>
      </c>
      <c r="BC66" s="3156">
        <f t="shared" si="531"/>
        <v>0</v>
      </c>
      <c r="BD66" s="3206">
        <f t="shared" ref="BD66:BD93" si="656">SUM(BE66:BF66)</f>
        <v>11260.687094528585</v>
      </c>
      <c r="BE66" s="3206">
        <f t="shared" ref="BE66:BE93" si="657">SUM(AG66+AP66)</f>
        <v>11260.687094528585</v>
      </c>
      <c r="BF66" s="3206">
        <f t="shared" ref="BF66:BF93" si="658">SUM(AH66+AQ66)</f>
        <v>0</v>
      </c>
      <c r="BG66" s="3193">
        <f t="shared" si="603"/>
        <v>9914.5099999999984</v>
      </c>
      <c r="BH66" s="3193">
        <f t="shared" si="604"/>
        <v>9914.5099999999984</v>
      </c>
      <c r="BI66" s="3193">
        <f t="shared" si="605"/>
        <v>0</v>
      </c>
      <c r="BJ66" s="3193">
        <f t="shared" si="606"/>
        <v>-1346.1770945285862</v>
      </c>
      <c r="BK66" s="3193">
        <f t="shared" si="607"/>
        <v>-1346.1770945285862</v>
      </c>
      <c r="BL66" s="3193">
        <f t="shared" si="608"/>
        <v>0</v>
      </c>
      <c r="BM66" s="3207">
        <f t="shared" ref="BM66" si="659">SUM(BN66:BO66)</f>
        <v>3753.5623648428614</v>
      </c>
      <c r="BN66" s="3207">
        <f t="shared" ref="BN66:BO66" si="660">SUM(BN67:BN84)+BN89</f>
        <v>3753.5623648428614</v>
      </c>
      <c r="BO66" s="3207">
        <f t="shared" si="660"/>
        <v>0</v>
      </c>
      <c r="BP66" s="3156">
        <f t="shared" si="284"/>
        <v>0</v>
      </c>
      <c r="BQ66" s="3057">
        <f t="shared" ref="BQ66:BR66" si="661">SUM(BQ67:BQ84)+BQ89</f>
        <v>0</v>
      </c>
      <c r="BR66" s="3057">
        <f t="shared" si="661"/>
        <v>0</v>
      </c>
      <c r="BS66" s="3156">
        <f t="shared" si="286"/>
        <v>0</v>
      </c>
      <c r="BT66" s="3057">
        <f t="shared" ref="BT66:BU66" si="662">SUM(BT67:BT84)+BT89</f>
        <v>0</v>
      </c>
      <c r="BU66" s="3057">
        <f t="shared" si="662"/>
        <v>0</v>
      </c>
      <c r="BV66" s="3156">
        <f t="shared" si="288"/>
        <v>0</v>
      </c>
      <c r="BW66" s="3057">
        <f t="shared" ref="BW66:BX66" si="663">SUM(BW67:BW84)+BW89</f>
        <v>0</v>
      </c>
      <c r="BX66" s="3057">
        <f t="shared" si="663"/>
        <v>0</v>
      </c>
      <c r="BY66" s="3156">
        <f t="shared" si="545"/>
        <v>0</v>
      </c>
      <c r="BZ66" s="3156">
        <f t="shared" si="546"/>
        <v>0</v>
      </c>
      <c r="CA66" s="3156">
        <f t="shared" si="547"/>
        <v>0</v>
      </c>
      <c r="CB66" s="3206">
        <f>SUM(CC66:CD66)</f>
        <v>15014.2494593429</v>
      </c>
      <c r="CC66" s="3206">
        <f>SUM(вода!BR26+вода!BR58)</f>
        <v>15014.2494593429</v>
      </c>
      <c r="CD66" s="3206">
        <v>0</v>
      </c>
      <c r="CE66" s="3193">
        <f t="shared" si="611"/>
        <v>9914.5099999999984</v>
      </c>
      <c r="CF66" s="3193">
        <f t="shared" si="612"/>
        <v>9914.5099999999984</v>
      </c>
      <c r="CG66" s="3193">
        <f t="shared" si="613"/>
        <v>0</v>
      </c>
      <c r="CH66" s="3193">
        <f t="shared" si="614"/>
        <v>-5099.7394593429017</v>
      </c>
      <c r="CI66" s="3193">
        <f t="shared" si="615"/>
        <v>-5099.7394593429017</v>
      </c>
      <c r="CJ66" s="3193">
        <f t="shared" si="616"/>
        <v>0</v>
      </c>
      <c r="CK66" s="3259"/>
      <c r="CL66" s="3259"/>
      <c r="CM66" s="3259"/>
      <c r="CN66" s="3055"/>
    </row>
    <row r="67" spans="1:92" ht="18.75" customHeight="1" x14ac:dyDescent="0.3">
      <c r="A67" s="3075" t="s">
        <v>72</v>
      </c>
      <c r="B67" s="3208">
        <f t="shared" si="625"/>
        <v>1349.7810263949266</v>
      </c>
      <c r="C67" s="3208">
        <f t="shared" ref="C67" si="664">SUM(CC67/4)</f>
        <v>1349.7810263949266</v>
      </c>
      <c r="D67" s="3208">
        <f t="shared" ref="D67" si="665">SUM(CD67/4)</f>
        <v>0</v>
      </c>
      <c r="E67" s="3136">
        <f t="shared" si="167"/>
        <v>504.69</v>
      </c>
      <c r="F67" s="3061">
        <v>504.69</v>
      </c>
      <c r="G67" s="3061"/>
      <c r="H67" s="3136">
        <f t="shared" si="168"/>
        <v>376.26</v>
      </c>
      <c r="I67" s="3061">
        <v>376.26</v>
      </c>
      <c r="J67" s="3061"/>
      <c r="K67" s="3136">
        <f t="shared" si="169"/>
        <v>550.69000000000005</v>
      </c>
      <c r="L67" s="3061">
        <v>550.69000000000005</v>
      </c>
      <c r="M67" s="3061"/>
      <c r="N67" s="3136">
        <f t="shared" si="506"/>
        <v>1431.64</v>
      </c>
      <c r="O67" s="3136">
        <f t="shared" si="507"/>
        <v>1431.64</v>
      </c>
      <c r="P67" s="3136">
        <f t="shared" si="508"/>
        <v>0</v>
      </c>
      <c r="Q67" s="3208">
        <f t="shared" si="628"/>
        <v>1349.7810263949266</v>
      </c>
      <c r="R67" s="3208">
        <f t="shared" ref="R67:R83" si="666">SUM(C67)</f>
        <v>1349.7810263949266</v>
      </c>
      <c r="S67" s="3208">
        <f t="shared" ref="S67:S83" si="667">SUM(D67)</f>
        <v>0</v>
      </c>
      <c r="T67" s="3136">
        <f t="shared" si="252"/>
        <v>361.49</v>
      </c>
      <c r="U67" s="3061">
        <v>361.49</v>
      </c>
      <c r="V67" s="3061"/>
      <c r="W67" s="3136">
        <f t="shared" si="254"/>
        <v>467.89</v>
      </c>
      <c r="X67" s="3061">
        <v>467.89</v>
      </c>
      <c r="Y67" s="3061"/>
      <c r="Z67" s="3136">
        <f t="shared" si="256"/>
        <v>516.9</v>
      </c>
      <c r="AA67" s="3061">
        <v>516.9</v>
      </c>
      <c r="AB67" s="3061"/>
      <c r="AC67" s="3136">
        <f t="shared" si="513"/>
        <v>1346.28</v>
      </c>
      <c r="AD67" s="3136">
        <f t="shared" si="514"/>
        <v>1346.28</v>
      </c>
      <c r="AE67" s="3136">
        <f t="shared" si="515"/>
        <v>0</v>
      </c>
      <c r="AF67" s="3209">
        <f t="shared" si="642"/>
        <v>2699.5620527898532</v>
      </c>
      <c r="AG67" s="3209">
        <f t="shared" si="643"/>
        <v>2699.5620527898532</v>
      </c>
      <c r="AH67" s="3209">
        <f t="shared" si="644"/>
        <v>0</v>
      </c>
      <c r="AI67" s="3264">
        <f t="shared" si="645"/>
        <v>2777.92</v>
      </c>
      <c r="AJ67" s="3264">
        <f t="shared" si="646"/>
        <v>2777.92</v>
      </c>
      <c r="AK67" s="3264">
        <f t="shared" si="647"/>
        <v>0</v>
      </c>
      <c r="AL67" s="3264">
        <f t="shared" si="648"/>
        <v>78.357947210146904</v>
      </c>
      <c r="AM67" s="3264">
        <f t="shared" si="649"/>
        <v>78.357947210146904</v>
      </c>
      <c r="AN67" s="3264">
        <f t="shared" si="650"/>
        <v>0</v>
      </c>
      <c r="AO67" s="3208">
        <f t="shared" ref="AO67:AO83" si="668">SUM(AP67:AQ67)</f>
        <v>1349.7810263949266</v>
      </c>
      <c r="AP67" s="3208">
        <f t="shared" ref="AP67:AP83" si="669">SUM(CC67-AG67)/2</f>
        <v>1349.7810263949266</v>
      </c>
      <c r="AQ67" s="3208">
        <f t="shared" ref="AQ67:AQ83" si="670">SUM(CD67-AH67)/2</f>
        <v>0</v>
      </c>
      <c r="AR67" s="3136">
        <f t="shared" si="267"/>
        <v>0</v>
      </c>
      <c r="AS67" s="3061"/>
      <c r="AT67" s="3061"/>
      <c r="AU67" s="3136">
        <f t="shared" si="269"/>
        <v>474.95</v>
      </c>
      <c r="AV67" s="3061">
        <v>474.95</v>
      </c>
      <c r="AW67" s="3061"/>
      <c r="AX67" s="3136">
        <f t="shared" si="271"/>
        <v>361.82</v>
      </c>
      <c r="AY67" s="3061">
        <v>361.82</v>
      </c>
      <c r="AZ67" s="3061"/>
      <c r="BA67" s="3136">
        <f t="shared" si="529"/>
        <v>836.77</v>
      </c>
      <c r="BB67" s="3136">
        <f t="shared" si="530"/>
        <v>836.77</v>
      </c>
      <c r="BC67" s="3136">
        <f t="shared" si="531"/>
        <v>0</v>
      </c>
      <c r="BD67" s="3209">
        <f t="shared" si="656"/>
        <v>4049.3430791847795</v>
      </c>
      <c r="BE67" s="3209">
        <f t="shared" si="657"/>
        <v>4049.3430791847795</v>
      </c>
      <c r="BF67" s="3209">
        <f t="shared" si="658"/>
        <v>0</v>
      </c>
      <c r="BG67" s="3264">
        <f t="shared" si="603"/>
        <v>3614.69</v>
      </c>
      <c r="BH67" s="3264">
        <f t="shared" si="604"/>
        <v>3614.69</v>
      </c>
      <c r="BI67" s="3264">
        <f t="shared" si="605"/>
        <v>0</v>
      </c>
      <c r="BJ67" s="3264">
        <f t="shared" si="606"/>
        <v>-434.65307918477947</v>
      </c>
      <c r="BK67" s="3264">
        <f t="shared" si="607"/>
        <v>-434.65307918477947</v>
      </c>
      <c r="BL67" s="3264">
        <f t="shared" si="608"/>
        <v>0</v>
      </c>
      <c r="BM67" s="3208">
        <f t="shared" ref="BM67:BM83" si="671">SUM(BN67:BO67)</f>
        <v>1349.7810263949266</v>
      </c>
      <c r="BN67" s="3208">
        <f t="shared" ref="BN67:BN83" si="672">SUM(AP67)</f>
        <v>1349.7810263949266</v>
      </c>
      <c r="BO67" s="3208">
        <f t="shared" ref="BO67:BO83" si="673">SUM(AQ67)</f>
        <v>0</v>
      </c>
      <c r="BP67" s="3136">
        <f t="shared" si="284"/>
        <v>0</v>
      </c>
      <c r="BQ67" s="3061"/>
      <c r="BR67" s="3061"/>
      <c r="BS67" s="3136">
        <f t="shared" si="286"/>
        <v>0</v>
      </c>
      <c r="BT67" s="3061"/>
      <c r="BU67" s="3061"/>
      <c r="BV67" s="3136">
        <f t="shared" si="288"/>
        <v>0</v>
      </c>
      <c r="BW67" s="3061"/>
      <c r="BX67" s="3061"/>
      <c r="BY67" s="3136">
        <f t="shared" si="545"/>
        <v>0</v>
      </c>
      <c r="BZ67" s="3136">
        <f t="shared" si="546"/>
        <v>0</v>
      </c>
      <c r="CA67" s="3136">
        <f t="shared" si="547"/>
        <v>0</v>
      </c>
      <c r="CB67" s="3209">
        <f t="shared" si="573"/>
        <v>5399.1241055797063</v>
      </c>
      <c r="CC67" s="3209">
        <f>CC66*0.3596</f>
        <v>5399.1241055797063</v>
      </c>
      <c r="CD67" s="3209">
        <v>0</v>
      </c>
      <c r="CE67" s="3264">
        <f t="shared" si="611"/>
        <v>3614.69</v>
      </c>
      <c r="CF67" s="3264">
        <f t="shared" si="612"/>
        <v>3614.69</v>
      </c>
      <c r="CG67" s="3264">
        <f t="shared" si="613"/>
        <v>0</v>
      </c>
      <c r="CH67" s="3264">
        <f t="shared" si="614"/>
        <v>-1784.4341055797063</v>
      </c>
      <c r="CI67" s="3264">
        <f t="shared" si="615"/>
        <v>-1784.4341055797063</v>
      </c>
      <c r="CJ67" s="3264">
        <f t="shared" si="616"/>
        <v>0</v>
      </c>
      <c r="CK67" s="3259"/>
      <c r="CL67" s="3259"/>
      <c r="CM67" s="3259"/>
      <c r="CN67" s="3055"/>
    </row>
    <row r="68" spans="1:92" ht="18.75" customHeight="1" x14ac:dyDescent="0.3">
      <c r="A68" s="3075" t="s">
        <v>117</v>
      </c>
      <c r="B68" s="3208">
        <f t="shared" ref="B68:B83" si="674">SUM(C68:D68)</f>
        <v>405.76009163874187</v>
      </c>
      <c r="C68" s="3208">
        <f t="shared" ref="C68:C83" si="675">SUM(CC68/4)</f>
        <v>405.76009163874187</v>
      </c>
      <c r="D68" s="3208">
        <f t="shared" ref="D68:D83" si="676">SUM(CD68/4)</f>
        <v>0</v>
      </c>
      <c r="E68" s="3136">
        <f t="shared" si="167"/>
        <v>152.41999999999999</v>
      </c>
      <c r="F68" s="3061">
        <v>152.41999999999999</v>
      </c>
      <c r="G68" s="3061"/>
      <c r="H68" s="3136">
        <f t="shared" si="168"/>
        <v>113.49</v>
      </c>
      <c r="I68" s="3061">
        <v>113.49</v>
      </c>
      <c r="J68" s="3061"/>
      <c r="K68" s="3136">
        <f t="shared" si="169"/>
        <v>164.65</v>
      </c>
      <c r="L68" s="3061">
        <v>164.65</v>
      </c>
      <c r="M68" s="3061"/>
      <c r="N68" s="3136">
        <f t="shared" si="506"/>
        <v>430.55999999999995</v>
      </c>
      <c r="O68" s="3136">
        <f t="shared" si="507"/>
        <v>430.55999999999995</v>
      </c>
      <c r="P68" s="3136">
        <f t="shared" si="508"/>
        <v>0</v>
      </c>
      <c r="Q68" s="3208">
        <f t="shared" si="628"/>
        <v>405.76009163874187</v>
      </c>
      <c r="R68" s="3208">
        <f t="shared" si="666"/>
        <v>405.76009163874187</v>
      </c>
      <c r="S68" s="3208">
        <f t="shared" si="667"/>
        <v>0</v>
      </c>
      <c r="T68" s="3136">
        <f t="shared" si="252"/>
        <v>117.25</v>
      </c>
      <c r="U68" s="3061">
        <v>117.25</v>
      </c>
      <c r="V68" s="3061"/>
      <c r="W68" s="3136">
        <f t="shared" si="254"/>
        <v>138.13999999999999</v>
      </c>
      <c r="X68" s="3061">
        <v>138.13999999999999</v>
      </c>
      <c r="Y68" s="3061"/>
      <c r="Z68" s="3136">
        <f t="shared" si="256"/>
        <v>156.11000000000001</v>
      </c>
      <c r="AA68" s="3061">
        <v>156.11000000000001</v>
      </c>
      <c r="AB68" s="3061"/>
      <c r="AC68" s="3136">
        <f t="shared" si="513"/>
        <v>411.5</v>
      </c>
      <c r="AD68" s="3136">
        <f t="shared" si="514"/>
        <v>411.5</v>
      </c>
      <c r="AE68" s="3136">
        <f t="shared" si="515"/>
        <v>0</v>
      </c>
      <c r="AF68" s="3209">
        <f t="shared" si="642"/>
        <v>811.52018327748374</v>
      </c>
      <c r="AG68" s="3209">
        <f t="shared" si="643"/>
        <v>811.52018327748374</v>
      </c>
      <c r="AH68" s="3209">
        <f t="shared" si="644"/>
        <v>0</v>
      </c>
      <c r="AI68" s="3264">
        <f t="shared" si="645"/>
        <v>842.06</v>
      </c>
      <c r="AJ68" s="3264">
        <f t="shared" si="646"/>
        <v>842.06</v>
      </c>
      <c r="AK68" s="3264">
        <f t="shared" si="647"/>
        <v>0</v>
      </c>
      <c r="AL68" s="3264">
        <f t="shared" si="648"/>
        <v>30.539816722516207</v>
      </c>
      <c r="AM68" s="3264">
        <f t="shared" si="649"/>
        <v>30.539816722516207</v>
      </c>
      <c r="AN68" s="3264">
        <f t="shared" si="650"/>
        <v>0</v>
      </c>
      <c r="AO68" s="3208">
        <f t="shared" si="668"/>
        <v>405.76009163874187</v>
      </c>
      <c r="AP68" s="3208">
        <f t="shared" si="669"/>
        <v>405.76009163874187</v>
      </c>
      <c r="AQ68" s="3208">
        <f t="shared" si="670"/>
        <v>0</v>
      </c>
      <c r="AR68" s="3136">
        <f t="shared" si="267"/>
        <v>0</v>
      </c>
      <c r="AS68" s="3061"/>
      <c r="AT68" s="3061"/>
      <c r="AU68" s="3136">
        <f t="shared" si="269"/>
        <v>143.29</v>
      </c>
      <c r="AV68" s="3061">
        <v>143.29</v>
      </c>
      <c r="AW68" s="3061"/>
      <c r="AX68" s="3136">
        <f t="shared" si="271"/>
        <v>109.14</v>
      </c>
      <c r="AY68" s="3061">
        <v>109.14</v>
      </c>
      <c r="AZ68" s="3061"/>
      <c r="BA68" s="3136">
        <f t="shared" si="529"/>
        <v>252.43</v>
      </c>
      <c r="BB68" s="3136">
        <f t="shared" si="530"/>
        <v>252.43</v>
      </c>
      <c r="BC68" s="3136">
        <f t="shared" si="531"/>
        <v>0</v>
      </c>
      <c r="BD68" s="3209">
        <f t="shared" si="656"/>
        <v>1217.2802749162256</v>
      </c>
      <c r="BE68" s="3209">
        <f t="shared" si="657"/>
        <v>1217.2802749162256</v>
      </c>
      <c r="BF68" s="3209">
        <f t="shared" si="658"/>
        <v>0</v>
      </c>
      <c r="BG68" s="3264">
        <f t="shared" si="603"/>
        <v>1094.49</v>
      </c>
      <c r="BH68" s="3264">
        <f t="shared" si="604"/>
        <v>1094.49</v>
      </c>
      <c r="BI68" s="3264">
        <f t="shared" si="605"/>
        <v>0</v>
      </c>
      <c r="BJ68" s="3264">
        <f t="shared" si="606"/>
        <v>-122.7902749162256</v>
      </c>
      <c r="BK68" s="3264">
        <f t="shared" si="607"/>
        <v>-122.7902749162256</v>
      </c>
      <c r="BL68" s="3264">
        <f t="shared" si="608"/>
        <v>0</v>
      </c>
      <c r="BM68" s="3208">
        <f t="shared" si="671"/>
        <v>405.76009163874187</v>
      </c>
      <c r="BN68" s="3208">
        <f t="shared" si="672"/>
        <v>405.76009163874187</v>
      </c>
      <c r="BO68" s="3208">
        <f t="shared" si="673"/>
        <v>0</v>
      </c>
      <c r="BP68" s="3136">
        <f t="shared" si="284"/>
        <v>0</v>
      </c>
      <c r="BQ68" s="3061"/>
      <c r="BR68" s="3061"/>
      <c r="BS68" s="3136">
        <f t="shared" si="286"/>
        <v>0</v>
      </c>
      <c r="BT68" s="3061"/>
      <c r="BU68" s="3061"/>
      <c r="BV68" s="3136">
        <f t="shared" si="288"/>
        <v>0</v>
      </c>
      <c r="BW68" s="3061"/>
      <c r="BX68" s="3061"/>
      <c r="BY68" s="3136">
        <f t="shared" si="545"/>
        <v>0</v>
      </c>
      <c r="BZ68" s="3136">
        <f t="shared" si="546"/>
        <v>0</v>
      </c>
      <c r="CA68" s="3136">
        <f t="shared" si="547"/>
        <v>0</v>
      </c>
      <c r="CB68" s="3209">
        <f t="shared" si="573"/>
        <v>1623.0403665549675</v>
      </c>
      <c r="CC68" s="3209">
        <f>SUM(CC66*0.1081)</f>
        <v>1623.0403665549675</v>
      </c>
      <c r="CD68" s="3209">
        <v>0</v>
      </c>
      <c r="CE68" s="3264">
        <f t="shared" si="611"/>
        <v>1094.49</v>
      </c>
      <c r="CF68" s="3264">
        <f t="shared" si="612"/>
        <v>1094.49</v>
      </c>
      <c r="CG68" s="3264">
        <f t="shared" si="613"/>
        <v>0</v>
      </c>
      <c r="CH68" s="3264">
        <f t="shared" si="614"/>
        <v>-528.55036655496747</v>
      </c>
      <c r="CI68" s="3264">
        <f t="shared" si="615"/>
        <v>-528.55036655496747</v>
      </c>
      <c r="CJ68" s="3264">
        <f t="shared" si="616"/>
        <v>0</v>
      </c>
      <c r="CK68" s="3259"/>
      <c r="CL68" s="3259"/>
      <c r="CM68" s="3259"/>
      <c r="CN68" s="3055"/>
    </row>
    <row r="69" spans="1:92" ht="18.75" customHeight="1" x14ac:dyDescent="0.3">
      <c r="A69" s="3075" t="s">
        <v>52</v>
      </c>
      <c r="B69" s="3208">
        <f t="shared" si="674"/>
        <v>33.33</v>
      </c>
      <c r="C69" s="3208">
        <f t="shared" si="675"/>
        <v>33.33</v>
      </c>
      <c r="D69" s="3208">
        <f t="shared" si="676"/>
        <v>0</v>
      </c>
      <c r="E69" s="3136">
        <f t="shared" si="167"/>
        <v>8.27</v>
      </c>
      <c r="F69" s="3061">
        <v>8.27</v>
      </c>
      <c r="G69" s="3061"/>
      <c r="H69" s="3136">
        <f t="shared" si="168"/>
        <v>13.13</v>
      </c>
      <c r="I69" s="3061">
        <v>13.13</v>
      </c>
      <c r="J69" s="3061"/>
      <c r="K69" s="3136">
        <f t="shared" si="169"/>
        <v>11.98</v>
      </c>
      <c r="L69" s="3061">
        <v>11.98</v>
      </c>
      <c r="M69" s="3061"/>
      <c r="N69" s="3136">
        <f t="shared" si="506"/>
        <v>33.379999999999995</v>
      </c>
      <c r="O69" s="3136">
        <f t="shared" si="507"/>
        <v>33.379999999999995</v>
      </c>
      <c r="P69" s="3136">
        <f t="shared" si="508"/>
        <v>0</v>
      </c>
      <c r="Q69" s="3208">
        <f t="shared" si="628"/>
        <v>33.33</v>
      </c>
      <c r="R69" s="3208">
        <f t="shared" si="666"/>
        <v>33.33</v>
      </c>
      <c r="S69" s="3208">
        <f t="shared" si="667"/>
        <v>0</v>
      </c>
      <c r="T69" s="3136">
        <f t="shared" si="252"/>
        <v>14.63</v>
      </c>
      <c r="U69" s="3061">
        <v>14.63</v>
      </c>
      <c r="V69" s="3061"/>
      <c r="W69" s="3136">
        <f t="shared" si="254"/>
        <v>9.75</v>
      </c>
      <c r="X69" s="3061">
        <v>9.75</v>
      </c>
      <c r="Y69" s="3061"/>
      <c r="Z69" s="3136">
        <f t="shared" si="256"/>
        <v>12.34</v>
      </c>
      <c r="AA69" s="3061">
        <v>12.34</v>
      </c>
      <c r="AB69" s="3061"/>
      <c r="AC69" s="3136">
        <f t="shared" si="513"/>
        <v>36.72</v>
      </c>
      <c r="AD69" s="3136">
        <f t="shared" si="514"/>
        <v>36.72</v>
      </c>
      <c r="AE69" s="3136">
        <f t="shared" si="515"/>
        <v>0</v>
      </c>
      <c r="AF69" s="3209">
        <f t="shared" si="642"/>
        <v>66.66</v>
      </c>
      <c r="AG69" s="3209">
        <f t="shared" si="643"/>
        <v>66.66</v>
      </c>
      <c r="AH69" s="3209">
        <f t="shared" si="644"/>
        <v>0</v>
      </c>
      <c r="AI69" s="3264">
        <f t="shared" si="645"/>
        <v>70.099999999999994</v>
      </c>
      <c r="AJ69" s="3264">
        <f t="shared" si="646"/>
        <v>70.099999999999994</v>
      </c>
      <c r="AK69" s="3264">
        <f t="shared" si="647"/>
        <v>0</v>
      </c>
      <c r="AL69" s="3264">
        <f t="shared" si="648"/>
        <v>3.4399999999999977</v>
      </c>
      <c r="AM69" s="3264">
        <f t="shared" si="649"/>
        <v>3.4399999999999977</v>
      </c>
      <c r="AN69" s="3264">
        <f t="shared" si="650"/>
        <v>0</v>
      </c>
      <c r="AO69" s="3208">
        <f t="shared" si="668"/>
        <v>33.33</v>
      </c>
      <c r="AP69" s="3208">
        <f t="shared" si="669"/>
        <v>33.33</v>
      </c>
      <c r="AQ69" s="3208">
        <f t="shared" si="670"/>
        <v>0</v>
      </c>
      <c r="AR69" s="3136">
        <f t="shared" si="267"/>
        <v>17.47</v>
      </c>
      <c r="AS69" s="3061">
        <v>17.47</v>
      </c>
      <c r="AT69" s="3061"/>
      <c r="AU69" s="3136">
        <f t="shared" si="269"/>
        <v>21.85</v>
      </c>
      <c r="AV69" s="3061">
        <v>21.85</v>
      </c>
      <c r="AW69" s="3061"/>
      <c r="AX69" s="3136">
        <f t="shared" si="271"/>
        <v>20.07</v>
      </c>
      <c r="AY69" s="3061">
        <v>20.07</v>
      </c>
      <c r="AZ69" s="3061"/>
      <c r="BA69" s="3136">
        <f t="shared" si="529"/>
        <v>59.39</v>
      </c>
      <c r="BB69" s="3136">
        <f t="shared" si="530"/>
        <v>59.39</v>
      </c>
      <c r="BC69" s="3136">
        <f t="shared" si="531"/>
        <v>0</v>
      </c>
      <c r="BD69" s="3209">
        <f t="shared" si="656"/>
        <v>99.99</v>
      </c>
      <c r="BE69" s="3209">
        <f t="shared" si="657"/>
        <v>99.99</v>
      </c>
      <c r="BF69" s="3209">
        <f t="shared" si="658"/>
        <v>0</v>
      </c>
      <c r="BG69" s="3264">
        <f t="shared" si="603"/>
        <v>129.49</v>
      </c>
      <c r="BH69" s="3264">
        <f t="shared" si="604"/>
        <v>129.49</v>
      </c>
      <c r="BI69" s="3264">
        <f t="shared" si="605"/>
        <v>0</v>
      </c>
      <c r="BJ69" s="3264">
        <f t="shared" si="606"/>
        <v>29.500000000000014</v>
      </c>
      <c r="BK69" s="3264">
        <f t="shared" si="607"/>
        <v>29.500000000000014</v>
      </c>
      <c r="BL69" s="3264">
        <f t="shared" si="608"/>
        <v>0</v>
      </c>
      <c r="BM69" s="3208">
        <f t="shared" si="671"/>
        <v>33.33</v>
      </c>
      <c r="BN69" s="3208">
        <f t="shared" si="672"/>
        <v>33.33</v>
      </c>
      <c r="BO69" s="3208">
        <f t="shared" si="673"/>
        <v>0</v>
      </c>
      <c r="BP69" s="3136">
        <f t="shared" si="284"/>
        <v>0</v>
      </c>
      <c r="BQ69" s="3061"/>
      <c r="BR69" s="3061"/>
      <c r="BS69" s="3136">
        <f t="shared" si="286"/>
        <v>0</v>
      </c>
      <c r="BT69" s="3061"/>
      <c r="BU69" s="3061"/>
      <c r="BV69" s="3136">
        <f t="shared" si="288"/>
        <v>0</v>
      </c>
      <c r="BW69" s="3061"/>
      <c r="BX69" s="3061"/>
      <c r="BY69" s="3136">
        <f t="shared" si="545"/>
        <v>0</v>
      </c>
      <c r="BZ69" s="3136">
        <f t="shared" si="546"/>
        <v>0</v>
      </c>
      <c r="CA69" s="3136">
        <f t="shared" si="547"/>
        <v>0</v>
      </c>
      <c r="CB69" s="3209">
        <f t="shared" si="573"/>
        <v>133.32</v>
      </c>
      <c r="CC69" s="3209">
        <v>133.32</v>
      </c>
      <c r="CD69" s="3209">
        <v>0</v>
      </c>
      <c r="CE69" s="3264">
        <f t="shared" si="611"/>
        <v>129.49</v>
      </c>
      <c r="CF69" s="3264">
        <f t="shared" si="612"/>
        <v>129.49</v>
      </c>
      <c r="CG69" s="3264">
        <f t="shared" si="613"/>
        <v>0</v>
      </c>
      <c r="CH69" s="3264">
        <f t="shared" si="614"/>
        <v>-3.8299999999999841</v>
      </c>
      <c r="CI69" s="3264">
        <f t="shared" si="615"/>
        <v>-3.8299999999999841</v>
      </c>
      <c r="CJ69" s="3264">
        <f t="shared" si="616"/>
        <v>0</v>
      </c>
      <c r="CK69" s="3259"/>
      <c r="CL69" s="3259"/>
      <c r="CM69" s="3259"/>
      <c r="CN69" s="3055"/>
    </row>
    <row r="70" spans="1:92" ht="18.75" customHeight="1" x14ac:dyDescent="0.3">
      <c r="A70" s="3075" t="s">
        <v>3592</v>
      </c>
      <c r="B70" s="3208">
        <f t="shared" si="674"/>
        <v>4.5042748378028694</v>
      </c>
      <c r="C70" s="3208">
        <f t="shared" si="675"/>
        <v>4.5042748378028694</v>
      </c>
      <c r="D70" s="3208">
        <f t="shared" si="676"/>
        <v>0</v>
      </c>
      <c r="E70" s="3136">
        <f t="shared" si="167"/>
        <v>1.55</v>
      </c>
      <c r="F70" s="3061">
        <v>1.55</v>
      </c>
      <c r="G70" s="3061"/>
      <c r="H70" s="3136">
        <f t="shared" si="168"/>
        <v>1.55</v>
      </c>
      <c r="I70" s="3061">
        <v>1.55</v>
      </c>
      <c r="J70" s="3061"/>
      <c r="K70" s="3136">
        <f t="shared" si="169"/>
        <v>1.55</v>
      </c>
      <c r="L70" s="3061">
        <v>1.55</v>
      </c>
      <c r="M70" s="3061"/>
      <c r="N70" s="3136">
        <f t="shared" si="506"/>
        <v>4.6500000000000004</v>
      </c>
      <c r="O70" s="3136">
        <f t="shared" si="507"/>
        <v>4.6500000000000004</v>
      </c>
      <c r="P70" s="3136">
        <f t="shared" si="508"/>
        <v>0</v>
      </c>
      <c r="Q70" s="3208">
        <f t="shared" si="628"/>
        <v>4.5042748378028694</v>
      </c>
      <c r="R70" s="3208">
        <f t="shared" si="666"/>
        <v>4.5042748378028694</v>
      </c>
      <c r="S70" s="3208">
        <f t="shared" si="667"/>
        <v>0</v>
      </c>
      <c r="T70" s="3136">
        <f t="shared" si="252"/>
        <v>1.55</v>
      </c>
      <c r="U70" s="3061">
        <v>1.55</v>
      </c>
      <c r="V70" s="3061"/>
      <c r="W70" s="3136">
        <f t="shared" si="254"/>
        <v>1.53</v>
      </c>
      <c r="X70" s="3061">
        <v>1.53</v>
      </c>
      <c r="Y70" s="3061"/>
      <c r="Z70" s="3136">
        <f t="shared" si="256"/>
        <v>1.43</v>
      </c>
      <c r="AA70" s="3061">
        <v>1.43</v>
      </c>
      <c r="AB70" s="3061"/>
      <c r="AC70" s="3136">
        <f t="shared" si="513"/>
        <v>4.51</v>
      </c>
      <c r="AD70" s="3136">
        <f t="shared" si="514"/>
        <v>4.51</v>
      </c>
      <c r="AE70" s="3136">
        <f t="shared" si="515"/>
        <v>0</v>
      </c>
      <c r="AF70" s="3209">
        <f t="shared" si="642"/>
        <v>9.0085496756057388</v>
      </c>
      <c r="AG70" s="3209">
        <f t="shared" si="643"/>
        <v>9.0085496756057388</v>
      </c>
      <c r="AH70" s="3209">
        <f t="shared" si="644"/>
        <v>0</v>
      </c>
      <c r="AI70" s="3264">
        <f t="shared" si="645"/>
        <v>9.16</v>
      </c>
      <c r="AJ70" s="3264">
        <f t="shared" si="646"/>
        <v>9.16</v>
      </c>
      <c r="AK70" s="3264">
        <f t="shared" si="647"/>
        <v>0</v>
      </c>
      <c r="AL70" s="3264">
        <f t="shared" si="648"/>
        <v>0.15145032439426132</v>
      </c>
      <c r="AM70" s="3264">
        <f t="shared" si="649"/>
        <v>0.15145032439426132</v>
      </c>
      <c r="AN70" s="3264">
        <f t="shared" si="650"/>
        <v>0</v>
      </c>
      <c r="AO70" s="3208">
        <f t="shared" si="668"/>
        <v>4.5042748378028694</v>
      </c>
      <c r="AP70" s="3208">
        <f t="shared" si="669"/>
        <v>4.5042748378028694</v>
      </c>
      <c r="AQ70" s="3208">
        <f t="shared" si="670"/>
        <v>0</v>
      </c>
      <c r="AR70" s="3136">
        <f t="shared" si="267"/>
        <v>1.43</v>
      </c>
      <c r="AS70" s="3061">
        <v>1.43</v>
      </c>
      <c r="AT70" s="3061"/>
      <c r="AU70" s="3136">
        <f t="shared" si="269"/>
        <v>1.43</v>
      </c>
      <c r="AV70" s="3061">
        <v>1.43</v>
      </c>
      <c r="AW70" s="3061"/>
      <c r="AX70" s="3136">
        <f t="shared" si="271"/>
        <v>1.43</v>
      </c>
      <c r="AY70" s="3061">
        <v>1.43</v>
      </c>
      <c r="AZ70" s="3061"/>
      <c r="BA70" s="3136">
        <f t="shared" si="529"/>
        <v>4.29</v>
      </c>
      <c r="BB70" s="3136">
        <f t="shared" si="530"/>
        <v>4.29</v>
      </c>
      <c r="BC70" s="3136">
        <f t="shared" si="531"/>
        <v>0</v>
      </c>
      <c r="BD70" s="3209">
        <f t="shared" si="656"/>
        <v>13.512824513408608</v>
      </c>
      <c r="BE70" s="3209">
        <f t="shared" si="657"/>
        <v>13.512824513408608</v>
      </c>
      <c r="BF70" s="3209">
        <f t="shared" si="658"/>
        <v>0</v>
      </c>
      <c r="BG70" s="3264">
        <f t="shared" si="603"/>
        <v>13.45</v>
      </c>
      <c r="BH70" s="3264">
        <f t="shared" si="604"/>
        <v>13.45</v>
      </c>
      <c r="BI70" s="3264">
        <f t="shared" si="605"/>
        <v>0</v>
      </c>
      <c r="BJ70" s="3264">
        <f t="shared" si="606"/>
        <v>-6.2824513408608951E-2</v>
      </c>
      <c r="BK70" s="3264">
        <f t="shared" si="607"/>
        <v>-6.2824513408608951E-2</v>
      </c>
      <c r="BL70" s="3264">
        <f t="shared" si="608"/>
        <v>0</v>
      </c>
      <c r="BM70" s="3208">
        <f t="shared" si="671"/>
        <v>4.5042748378028694</v>
      </c>
      <c r="BN70" s="3208">
        <f t="shared" si="672"/>
        <v>4.5042748378028694</v>
      </c>
      <c r="BO70" s="3208">
        <f t="shared" si="673"/>
        <v>0</v>
      </c>
      <c r="BP70" s="3136">
        <f t="shared" si="284"/>
        <v>0</v>
      </c>
      <c r="BQ70" s="3061"/>
      <c r="BR70" s="3061"/>
      <c r="BS70" s="3136">
        <f t="shared" si="286"/>
        <v>0</v>
      </c>
      <c r="BT70" s="3061"/>
      <c r="BU70" s="3061"/>
      <c r="BV70" s="3136">
        <f t="shared" si="288"/>
        <v>0</v>
      </c>
      <c r="BW70" s="3061"/>
      <c r="BX70" s="3061"/>
      <c r="BY70" s="3136">
        <f t="shared" si="545"/>
        <v>0</v>
      </c>
      <c r="BZ70" s="3136">
        <f t="shared" si="546"/>
        <v>0</v>
      </c>
      <c r="CA70" s="3136">
        <f t="shared" si="547"/>
        <v>0</v>
      </c>
      <c r="CB70" s="3209">
        <f t="shared" si="573"/>
        <v>18.017099351211478</v>
      </c>
      <c r="CC70" s="3209">
        <f>SUM(CC66*0.0012)</f>
        <v>18.017099351211478</v>
      </c>
      <c r="CD70" s="3209">
        <v>0</v>
      </c>
      <c r="CE70" s="3264">
        <f t="shared" si="611"/>
        <v>13.45</v>
      </c>
      <c r="CF70" s="3264">
        <f t="shared" si="612"/>
        <v>13.45</v>
      </c>
      <c r="CG70" s="3264">
        <f t="shared" si="613"/>
        <v>0</v>
      </c>
      <c r="CH70" s="3264">
        <f t="shared" si="614"/>
        <v>-4.5670993512114784</v>
      </c>
      <c r="CI70" s="3264">
        <f t="shared" si="615"/>
        <v>-4.5670993512114784</v>
      </c>
      <c r="CJ70" s="3264">
        <f t="shared" si="616"/>
        <v>0</v>
      </c>
      <c r="CK70" s="3259"/>
      <c r="CL70" s="3259"/>
      <c r="CM70" s="3259"/>
      <c r="CN70" s="3055"/>
    </row>
    <row r="71" spans="1:92" ht="18.75" customHeight="1" x14ac:dyDescent="0.3">
      <c r="A71" s="3075" t="s">
        <v>601</v>
      </c>
      <c r="B71" s="3208">
        <f t="shared" si="674"/>
        <v>105.309915</v>
      </c>
      <c r="C71" s="3208">
        <f t="shared" si="675"/>
        <v>105.309915</v>
      </c>
      <c r="D71" s="3208">
        <f t="shared" si="676"/>
        <v>0</v>
      </c>
      <c r="E71" s="3136">
        <f t="shared" si="167"/>
        <v>34.01</v>
      </c>
      <c r="F71" s="3061">
        <f>33.87+0.14</f>
        <v>34.01</v>
      </c>
      <c r="G71" s="3061"/>
      <c r="H71" s="3136">
        <f t="shared" si="168"/>
        <v>154.91999999999999</v>
      </c>
      <c r="I71" s="3061">
        <f>154.78+0.14</f>
        <v>154.91999999999999</v>
      </c>
      <c r="J71" s="3061"/>
      <c r="K71" s="3136">
        <f t="shared" si="169"/>
        <v>30.93</v>
      </c>
      <c r="L71" s="3061">
        <f>30.79+0.14</f>
        <v>30.93</v>
      </c>
      <c r="M71" s="3061"/>
      <c r="N71" s="3136">
        <f t="shared" si="506"/>
        <v>219.85999999999999</v>
      </c>
      <c r="O71" s="3136">
        <f t="shared" si="507"/>
        <v>219.85999999999999</v>
      </c>
      <c r="P71" s="3136">
        <f t="shared" si="508"/>
        <v>0</v>
      </c>
      <c r="Q71" s="3208">
        <f t="shared" si="628"/>
        <v>105.309915</v>
      </c>
      <c r="R71" s="3208">
        <f t="shared" si="666"/>
        <v>105.309915</v>
      </c>
      <c r="S71" s="3208">
        <f t="shared" si="667"/>
        <v>0</v>
      </c>
      <c r="T71" s="3136">
        <f t="shared" si="252"/>
        <v>31.42</v>
      </c>
      <c r="U71" s="3061">
        <f>31.28+0.14</f>
        <v>31.42</v>
      </c>
      <c r="V71" s="3061"/>
      <c r="W71" s="3136">
        <f t="shared" si="254"/>
        <v>47.35</v>
      </c>
      <c r="X71" s="3061">
        <f>47.2+0.15</f>
        <v>47.35</v>
      </c>
      <c r="Y71" s="3061"/>
      <c r="Z71" s="3136">
        <f t="shared" si="256"/>
        <v>37.020000000000003</v>
      </c>
      <c r="AA71" s="3061">
        <f>30.37+6.65</f>
        <v>37.020000000000003</v>
      </c>
      <c r="AB71" s="3061"/>
      <c r="AC71" s="3136">
        <f t="shared" si="513"/>
        <v>115.79000000000002</v>
      </c>
      <c r="AD71" s="3136">
        <f t="shared" si="514"/>
        <v>115.79000000000002</v>
      </c>
      <c r="AE71" s="3136">
        <f t="shared" si="515"/>
        <v>0</v>
      </c>
      <c r="AF71" s="3209">
        <f t="shared" si="642"/>
        <v>210.61983000000001</v>
      </c>
      <c r="AG71" s="3209">
        <f t="shared" si="643"/>
        <v>210.61983000000001</v>
      </c>
      <c r="AH71" s="3209">
        <f t="shared" si="644"/>
        <v>0</v>
      </c>
      <c r="AI71" s="3264">
        <f t="shared" si="645"/>
        <v>335.65</v>
      </c>
      <c r="AJ71" s="3264">
        <f t="shared" si="646"/>
        <v>335.65</v>
      </c>
      <c r="AK71" s="3264">
        <f t="shared" si="647"/>
        <v>0</v>
      </c>
      <c r="AL71" s="3264">
        <f t="shared" si="648"/>
        <v>125.03016999999997</v>
      </c>
      <c r="AM71" s="3264">
        <f t="shared" si="649"/>
        <v>125.03016999999997</v>
      </c>
      <c r="AN71" s="3264">
        <f t="shared" si="650"/>
        <v>0</v>
      </c>
      <c r="AO71" s="3208">
        <f t="shared" si="668"/>
        <v>105.309915</v>
      </c>
      <c r="AP71" s="3208">
        <f t="shared" si="669"/>
        <v>105.309915</v>
      </c>
      <c r="AQ71" s="3208">
        <f t="shared" si="670"/>
        <v>0</v>
      </c>
      <c r="AR71" s="3136">
        <f t="shared" si="267"/>
        <v>21.41</v>
      </c>
      <c r="AS71" s="3061">
        <f>21.21+0.2</f>
        <v>21.41</v>
      </c>
      <c r="AT71" s="3061"/>
      <c r="AU71" s="3136">
        <f t="shared" si="269"/>
        <v>26.47</v>
      </c>
      <c r="AV71" s="3061">
        <f>26.27+0.2</f>
        <v>26.47</v>
      </c>
      <c r="AW71" s="3061"/>
      <c r="AX71" s="3136">
        <f t="shared" si="271"/>
        <v>21.02</v>
      </c>
      <c r="AY71" s="3061">
        <f>20.82+0.2</f>
        <v>21.02</v>
      </c>
      <c r="AZ71" s="3061"/>
      <c r="BA71" s="3136">
        <f t="shared" si="529"/>
        <v>68.899999999999991</v>
      </c>
      <c r="BB71" s="3136">
        <f t="shared" si="530"/>
        <v>68.899999999999991</v>
      </c>
      <c r="BC71" s="3136">
        <f t="shared" si="531"/>
        <v>0</v>
      </c>
      <c r="BD71" s="3209">
        <f t="shared" si="656"/>
        <v>315.92974500000003</v>
      </c>
      <c r="BE71" s="3209">
        <f t="shared" si="657"/>
        <v>315.92974500000003</v>
      </c>
      <c r="BF71" s="3209">
        <f t="shared" si="658"/>
        <v>0</v>
      </c>
      <c r="BG71" s="3264">
        <f t="shared" si="603"/>
        <v>404.54999999999995</v>
      </c>
      <c r="BH71" s="3264">
        <f t="shared" si="604"/>
        <v>404.54999999999995</v>
      </c>
      <c r="BI71" s="3264">
        <f t="shared" si="605"/>
        <v>0</v>
      </c>
      <c r="BJ71" s="3264">
        <f t="shared" si="606"/>
        <v>88.620254999999929</v>
      </c>
      <c r="BK71" s="3264">
        <f t="shared" si="607"/>
        <v>88.620254999999929</v>
      </c>
      <c r="BL71" s="3264">
        <f t="shared" si="608"/>
        <v>0</v>
      </c>
      <c r="BM71" s="3208">
        <f t="shared" si="671"/>
        <v>105.309915</v>
      </c>
      <c r="BN71" s="3208">
        <f t="shared" si="672"/>
        <v>105.309915</v>
      </c>
      <c r="BO71" s="3208">
        <f t="shared" si="673"/>
        <v>0</v>
      </c>
      <c r="BP71" s="3136">
        <f t="shared" si="284"/>
        <v>0</v>
      </c>
      <c r="BQ71" s="3061"/>
      <c r="BR71" s="3061"/>
      <c r="BS71" s="3136">
        <f t="shared" si="286"/>
        <v>0</v>
      </c>
      <c r="BT71" s="3061"/>
      <c r="BU71" s="3061"/>
      <c r="BV71" s="3136">
        <f t="shared" si="288"/>
        <v>0</v>
      </c>
      <c r="BW71" s="3061"/>
      <c r="BX71" s="3061"/>
      <c r="BY71" s="3136">
        <f t="shared" si="545"/>
        <v>0</v>
      </c>
      <c r="BZ71" s="3136">
        <f t="shared" si="546"/>
        <v>0</v>
      </c>
      <c r="CA71" s="3136">
        <f t="shared" si="547"/>
        <v>0</v>
      </c>
      <c r="CB71" s="3209">
        <f t="shared" si="573"/>
        <v>421.23966000000001</v>
      </c>
      <c r="CC71" s="3209">
        <v>421.23966000000001</v>
      </c>
      <c r="CD71" s="3209">
        <v>0</v>
      </c>
      <c r="CE71" s="3264">
        <f t="shared" si="611"/>
        <v>404.54999999999995</v>
      </c>
      <c r="CF71" s="3264">
        <f t="shared" si="612"/>
        <v>404.54999999999995</v>
      </c>
      <c r="CG71" s="3264">
        <f t="shared" si="613"/>
        <v>0</v>
      </c>
      <c r="CH71" s="3264">
        <f t="shared" si="614"/>
        <v>-16.68966000000006</v>
      </c>
      <c r="CI71" s="3264">
        <f t="shared" si="615"/>
        <v>-16.68966000000006</v>
      </c>
      <c r="CJ71" s="3264">
        <f t="shared" si="616"/>
        <v>0</v>
      </c>
      <c r="CK71" s="3259"/>
      <c r="CL71" s="3259"/>
      <c r="CM71" s="3259"/>
      <c r="CN71" s="3055"/>
    </row>
    <row r="72" spans="1:92" ht="18.75" customHeight="1" x14ac:dyDescent="0.3">
      <c r="A72" s="3075" t="s">
        <v>3595</v>
      </c>
      <c r="B72" s="3208">
        <f t="shared" si="674"/>
        <v>7.6986198768834768</v>
      </c>
      <c r="C72" s="3208">
        <f t="shared" si="675"/>
        <v>7.6986198768834768</v>
      </c>
      <c r="D72" s="3208">
        <f t="shared" si="676"/>
        <v>0</v>
      </c>
      <c r="E72" s="3136">
        <f t="shared" si="167"/>
        <v>0</v>
      </c>
      <c r="F72" s="3061"/>
      <c r="G72" s="3061"/>
      <c r="H72" s="3136">
        <f t="shared" si="168"/>
        <v>0</v>
      </c>
      <c r="I72" s="3061"/>
      <c r="J72" s="3061"/>
      <c r="K72" s="3136">
        <f t="shared" si="169"/>
        <v>0</v>
      </c>
      <c r="L72" s="3061"/>
      <c r="M72" s="3061"/>
      <c r="N72" s="3136">
        <f t="shared" si="506"/>
        <v>0</v>
      </c>
      <c r="O72" s="3136">
        <f t="shared" si="507"/>
        <v>0</v>
      </c>
      <c r="P72" s="3136">
        <f t="shared" si="508"/>
        <v>0</v>
      </c>
      <c r="Q72" s="3208">
        <f t="shared" si="628"/>
        <v>7.6986198768834768</v>
      </c>
      <c r="R72" s="3208">
        <f t="shared" si="666"/>
        <v>7.6986198768834768</v>
      </c>
      <c r="S72" s="3208">
        <f t="shared" si="667"/>
        <v>0</v>
      </c>
      <c r="T72" s="3136">
        <f t="shared" si="252"/>
        <v>0</v>
      </c>
      <c r="U72" s="3061"/>
      <c r="V72" s="3061"/>
      <c r="W72" s="3136">
        <f t="shared" si="254"/>
        <v>0</v>
      </c>
      <c r="X72" s="3061"/>
      <c r="Y72" s="3061"/>
      <c r="Z72" s="3136">
        <f t="shared" si="256"/>
        <v>0</v>
      </c>
      <c r="AA72" s="3061"/>
      <c r="AB72" s="3061"/>
      <c r="AC72" s="3136">
        <f t="shared" si="513"/>
        <v>0</v>
      </c>
      <c r="AD72" s="3136">
        <f t="shared" si="514"/>
        <v>0</v>
      </c>
      <c r="AE72" s="3136">
        <f t="shared" si="515"/>
        <v>0</v>
      </c>
      <c r="AF72" s="3209">
        <f t="shared" si="642"/>
        <v>15.397239753766954</v>
      </c>
      <c r="AG72" s="3209">
        <f t="shared" si="643"/>
        <v>15.397239753766954</v>
      </c>
      <c r="AH72" s="3209">
        <f t="shared" si="644"/>
        <v>0</v>
      </c>
      <c r="AI72" s="3264">
        <f t="shared" si="645"/>
        <v>0</v>
      </c>
      <c r="AJ72" s="3264">
        <f t="shared" si="646"/>
        <v>0</v>
      </c>
      <c r="AK72" s="3264">
        <f t="shared" si="647"/>
        <v>0</v>
      </c>
      <c r="AL72" s="3264">
        <f t="shared" si="648"/>
        <v>-15.397239753766954</v>
      </c>
      <c r="AM72" s="3264">
        <f t="shared" si="649"/>
        <v>-15.397239753766954</v>
      </c>
      <c r="AN72" s="3264">
        <f t="shared" si="650"/>
        <v>0</v>
      </c>
      <c r="AO72" s="3208">
        <f t="shared" si="668"/>
        <v>7.6986198768834768</v>
      </c>
      <c r="AP72" s="3208">
        <f t="shared" si="669"/>
        <v>7.6986198768834768</v>
      </c>
      <c r="AQ72" s="3208">
        <f t="shared" si="670"/>
        <v>0</v>
      </c>
      <c r="AR72" s="3136">
        <f t="shared" si="267"/>
        <v>0</v>
      </c>
      <c r="AS72" s="3061"/>
      <c r="AT72" s="3061"/>
      <c r="AU72" s="3136">
        <f t="shared" si="269"/>
        <v>0</v>
      </c>
      <c r="AV72" s="3061"/>
      <c r="AW72" s="3061"/>
      <c r="AX72" s="3136">
        <f t="shared" si="271"/>
        <v>0</v>
      </c>
      <c r="AY72" s="3061"/>
      <c r="AZ72" s="3061"/>
      <c r="BA72" s="3136">
        <f t="shared" si="529"/>
        <v>0</v>
      </c>
      <c r="BB72" s="3136">
        <f t="shared" si="530"/>
        <v>0</v>
      </c>
      <c r="BC72" s="3136">
        <f t="shared" si="531"/>
        <v>0</v>
      </c>
      <c r="BD72" s="3209">
        <f t="shared" si="656"/>
        <v>23.09585963065043</v>
      </c>
      <c r="BE72" s="3209">
        <f t="shared" si="657"/>
        <v>23.09585963065043</v>
      </c>
      <c r="BF72" s="3209">
        <f t="shared" si="658"/>
        <v>0</v>
      </c>
      <c r="BG72" s="3264">
        <f t="shared" si="603"/>
        <v>0</v>
      </c>
      <c r="BH72" s="3264">
        <f t="shared" si="604"/>
        <v>0</v>
      </c>
      <c r="BI72" s="3264">
        <f t="shared" si="605"/>
        <v>0</v>
      </c>
      <c r="BJ72" s="3264">
        <f t="shared" si="606"/>
        <v>-23.09585963065043</v>
      </c>
      <c r="BK72" s="3264">
        <f t="shared" si="607"/>
        <v>-23.09585963065043</v>
      </c>
      <c r="BL72" s="3264">
        <f t="shared" si="608"/>
        <v>0</v>
      </c>
      <c r="BM72" s="3208">
        <f t="shared" si="671"/>
        <v>7.6986198768834768</v>
      </c>
      <c r="BN72" s="3208">
        <f t="shared" si="672"/>
        <v>7.6986198768834768</v>
      </c>
      <c r="BO72" s="3208">
        <f t="shared" si="673"/>
        <v>0</v>
      </c>
      <c r="BP72" s="3136">
        <f t="shared" si="284"/>
        <v>0</v>
      </c>
      <c r="BQ72" s="3061"/>
      <c r="BR72" s="3061"/>
      <c r="BS72" s="3136">
        <f t="shared" si="286"/>
        <v>0</v>
      </c>
      <c r="BT72" s="3061"/>
      <c r="BU72" s="3061"/>
      <c r="BV72" s="3136">
        <f t="shared" si="288"/>
        <v>0</v>
      </c>
      <c r="BW72" s="3061"/>
      <c r="BX72" s="3061"/>
      <c r="BY72" s="3136">
        <f t="shared" si="545"/>
        <v>0</v>
      </c>
      <c r="BZ72" s="3136">
        <f t="shared" si="546"/>
        <v>0</v>
      </c>
      <c r="CA72" s="3136">
        <f t="shared" si="547"/>
        <v>0</v>
      </c>
      <c r="CB72" s="3209">
        <f t="shared" si="573"/>
        <v>30.794479507533907</v>
      </c>
      <c r="CC72" s="3209">
        <f>SUM('вода 2018 коррект'!W15)</f>
        <v>30.794479507533907</v>
      </c>
      <c r="CD72" s="3209">
        <v>0</v>
      </c>
      <c r="CE72" s="3264">
        <f t="shared" si="611"/>
        <v>0</v>
      </c>
      <c r="CF72" s="3264">
        <f t="shared" si="612"/>
        <v>0</v>
      </c>
      <c r="CG72" s="3264">
        <f t="shared" si="613"/>
        <v>0</v>
      </c>
      <c r="CH72" s="3264">
        <f t="shared" si="614"/>
        <v>-30.794479507533907</v>
      </c>
      <c r="CI72" s="3264">
        <f t="shared" si="615"/>
        <v>-30.794479507533907</v>
      </c>
      <c r="CJ72" s="3264">
        <f t="shared" si="616"/>
        <v>0</v>
      </c>
      <c r="CK72" s="3259"/>
      <c r="CL72" s="3259"/>
      <c r="CM72" s="3259"/>
      <c r="CN72" s="3055"/>
    </row>
    <row r="73" spans="1:92" ht="18.75" customHeight="1" x14ac:dyDescent="0.3">
      <c r="A73" s="3075" t="s">
        <v>603</v>
      </c>
      <c r="B73" s="3208">
        <f t="shared" si="674"/>
        <v>0</v>
      </c>
      <c r="C73" s="3208">
        <f t="shared" si="675"/>
        <v>0</v>
      </c>
      <c r="D73" s="3208">
        <f t="shared" si="676"/>
        <v>0</v>
      </c>
      <c r="E73" s="3136">
        <f t="shared" si="167"/>
        <v>0</v>
      </c>
      <c r="F73" s="3061"/>
      <c r="G73" s="3061"/>
      <c r="H73" s="3136">
        <f t="shared" si="168"/>
        <v>0</v>
      </c>
      <c r="I73" s="3061"/>
      <c r="J73" s="3061"/>
      <c r="K73" s="3136">
        <f t="shared" si="169"/>
        <v>0</v>
      </c>
      <c r="L73" s="3061"/>
      <c r="M73" s="3061"/>
      <c r="N73" s="3136">
        <f t="shared" si="506"/>
        <v>0</v>
      </c>
      <c r="O73" s="3136">
        <f t="shared" si="507"/>
        <v>0</v>
      </c>
      <c r="P73" s="3136">
        <f t="shared" si="508"/>
        <v>0</v>
      </c>
      <c r="Q73" s="3208">
        <f t="shared" si="628"/>
        <v>0</v>
      </c>
      <c r="R73" s="3208">
        <f t="shared" si="666"/>
        <v>0</v>
      </c>
      <c r="S73" s="3208">
        <f t="shared" si="667"/>
        <v>0</v>
      </c>
      <c r="T73" s="3136">
        <f t="shared" si="252"/>
        <v>0</v>
      </c>
      <c r="U73" s="3061"/>
      <c r="V73" s="3061"/>
      <c r="W73" s="3136">
        <f t="shared" si="254"/>
        <v>0</v>
      </c>
      <c r="X73" s="3061"/>
      <c r="Y73" s="3061"/>
      <c r="Z73" s="3136">
        <f t="shared" si="256"/>
        <v>44.88</v>
      </c>
      <c r="AA73" s="3061">
        <v>44.88</v>
      </c>
      <c r="AB73" s="3061"/>
      <c r="AC73" s="3136">
        <f t="shared" si="513"/>
        <v>44.88</v>
      </c>
      <c r="AD73" s="3136">
        <f t="shared" si="514"/>
        <v>44.88</v>
      </c>
      <c r="AE73" s="3136">
        <f t="shared" si="515"/>
        <v>0</v>
      </c>
      <c r="AF73" s="3209">
        <f t="shared" si="642"/>
        <v>0</v>
      </c>
      <c r="AG73" s="3209">
        <f t="shared" si="643"/>
        <v>0</v>
      </c>
      <c r="AH73" s="3209">
        <f t="shared" si="644"/>
        <v>0</v>
      </c>
      <c r="AI73" s="3264">
        <f t="shared" si="645"/>
        <v>44.88</v>
      </c>
      <c r="AJ73" s="3264">
        <f t="shared" si="646"/>
        <v>44.88</v>
      </c>
      <c r="AK73" s="3264">
        <f t="shared" si="647"/>
        <v>0</v>
      </c>
      <c r="AL73" s="3264">
        <f t="shared" si="648"/>
        <v>44.88</v>
      </c>
      <c r="AM73" s="3264">
        <f t="shared" si="649"/>
        <v>44.88</v>
      </c>
      <c r="AN73" s="3264">
        <f t="shared" si="650"/>
        <v>0</v>
      </c>
      <c r="AO73" s="3208">
        <f t="shared" si="668"/>
        <v>0</v>
      </c>
      <c r="AP73" s="3208">
        <f t="shared" si="669"/>
        <v>0</v>
      </c>
      <c r="AQ73" s="3208">
        <f t="shared" si="670"/>
        <v>0</v>
      </c>
      <c r="AR73" s="3136">
        <f t="shared" si="267"/>
        <v>44.88</v>
      </c>
      <c r="AS73" s="3061">
        <v>44.88</v>
      </c>
      <c r="AT73" s="3061"/>
      <c r="AU73" s="3136">
        <f t="shared" si="269"/>
        <v>0</v>
      </c>
      <c r="AV73" s="3061"/>
      <c r="AW73" s="3061"/>
      <c r="AX73" s="3136">
        <f t="shared" si="271"/>
        <v>0</v>
      </c>
      <c r="AY73" s="3061"/>
      <c r="AZ73" s="3061"/>
      <c r="BA73" s="3136">
        <f t="shared" si="529"/>
        <v>44.88</v>
      </c>
      <c r="BB73" s="3136">
        <f t="shared" si="530"/>
        <v>44.88</v>
      </c>
      <c r="BC73" s="3136">
        <f t="shared" si="531"/>
        <v>0</v>
      </c>
      <c r="BD73" s="3209">
        <f t="shared" si="656"/>
        <v>0</v>
      </c>
      <c r="BE73" s="3209">
        <f t="shared" si="657"/>
        <v>0</v>
      </c>
      <c r="BF73" s="3209">
        <f t="shared" si="658"/>
        <v>0</v>
      </c>
      <c r="BG73" s="3264">
        <f t="shared" si="603"/>
        <v>89.76</v>
      </c>
      <c r="BH73" s="3264">
        <f t="shared" si="604"/>
        <v>89.76</v>
      </c>
      <c r="BI73" s="3264">
        <f t="shared" si="605"/>
        <v>0</v>
      </c>
      <c r="BJ73" s="3264">
        <f t="shared" si="606"/>
        <v>89.76</v>
      </c>
      <c r="BK73" s="3264">
        <f t="shared" si="607"/>
        <v>89.76</v>
      </c>
      <c r="BL73" s="3264">
        <f t="shared" si="608"/>
        <v>0</v>
      </c>
      <c r="BM73" s="3208">
        <f t="shared" si="671"/>
        <v>0</v>
      </c>
      <c r="BN73" s="3208">
        <f t="shared" si="672"/>
        <v>0</v>
      </c>
      <c r="BO73" s="3208">
        <f t="shared" si="673"/>
        <v>0</v>
      </c>
      <c r="BP73" s="3136">
        <f t="shared" si="284"/>
        <v>0</v>
      </c>
      <c r="BQ73" s="3061"/>
      <c r="BR73" s="3061"/>
      <c r="BS73" s="3136">
        <f t="shared" si="286"/>
        <v>0</v>
      </c>
      <c r="BT73" s="3061"/>
      <c r="BU73" s="3061"/>
      <c r="BV73" s="3136">
        <f t="shared" si="288"/>
        <v>0</v>
      </c>
      <c r="BW73" s="3061"/>
      <c r="BX73" s="3061"/>
      <c r="BY73" s="3136">
        <f t="shared" si="545"/>
        <v>0</v>
      </c>
      <c r="BZ73" s="3136">
        <f t="shared" si="546"/>
        <v>0</v>
      </c>
      <c r="CA73" s="3136">
        <f t="shared" si="547"/>
        <v>0</v>
      </c>
      <c r="CB73" s="3209">
        <f t="shared" si="573"/>
        <v>0</v>
      </c>
      <c r="CC73" s="3209">
        <v>0</v>
      </c>
      <c r="CD73" s="3209">
        <v>0</v>
      </c>
      <c r="CE73" s="3264">
        <f t="shared" si="611"/>
        <v>89.76</v>
      </c>
      <c r="CF73" s="3264">
        <f t="shared" si="612"/>
        <v>89.76</v>
      </c>
      <c r="CG73" s="3264">
        <f t="shared" si="613"/>
        <v>0</v>
      </c>
      <c r="CH73" s="3264">
        <f t="shared" si="614"/>
        <v>89.76</v>
      </c>
      <c r="CI73" s="3264">
        <f t="shared" si="615"/>
        <v>89.76</v>
      </c>
      <c r="CJ73" s="3264">
        <f t="shared" si="616"/>
        <v>0</v>
      </c>
      <c r="CK73" s="3259"/>
      <c r="CL73" s="3259"/>
      <c r="CM73" s="3259"/>
      <c r="CN73" s="3055"/>
    </row>
    <row r="74" spans="1:92" ht="18.75" customHeight="1" x14ac:dyDescent="0.3">
      <c r="A74" s="3075" t="s">
        <v>98</v>
      </c>
      <c r="B74" s="3208">
        <f t="shared" si="674"/>
        <v>24.75</v>
      </c>
      <c r="C74" s="3208">
        <f t="shared" si="675"/>
        <v>24.75</v>
      </c>
      <c r="D74" s="3208">
        <f t="shared" si="676"/>
        <v>0</v>
      </c>
      <c r="E74" s="3136">
        <f t="shared" si="167"/>
        <v>0</v>
      </c>
      <c r="F74" s="3061"/>
      <c r="G74" s="3061"/>
      <c r="H74" s="3136">
        <f t="shared" si="168"/>
        <v>0</v>
      </c>
      <c r="I74" s="3061"/>
      <c r="J74" s="3061"/>
      <c r="K74" s="3136">
        <f t="shared" si="169"/>
        <v>12.61</v>
      </c>
      <c r="L74" s="3061">
        <v>12.61</v>
      </c>
      <c r="M74" s="3061"/>
      <c r="N74" s="3136">
        <f t="shared" si="506"/>
        <v>12.61</v>
      </c>
      <c r="O74" s="3136">
        <f t="shared" si="507"/>
        <v>12.61</v>
      </c>
      <c r="P74" s="3136">
        <f t="shared" si="508"/>
        <v>0</v>
      </c>
      <c r="Q74" s="3208">
        <f t="shared" si="628"/>
        <v>24.75</v>
      </c>
      <c r="R74" s="3208">
        <f t="shared" si="666"/>
        <v>24.75</v>
      </c>
      <c r="S74" s="3208">
        <f t="shared" si="667"/>
        <v>0</v>
      </c>
      <c r="T74" s="3136">
        <f t="shared" si="252"/>
        <v>0</v>
      </c>
      <c r="U74" s="3061"/>
      <c r="V74" s="3061"/>
      <c r="W74" s="3136">
        <f t="shared" si="254"/>
        <v>0</v>
      </c>
      <c r="X74" s="3061"/>
      <c r="Y74" s="3061"/>
      <c r="Z74" s="3136">
        <f t="shared" si="256"/>
        <v>12.61</v>
      </c>
      <c r="AA74" s="3061">
        <v>12.61</v>
      </c>
      <c r="AB74" s="3061"/>
      <c r="AC74" s="3136">
        <f t="shared" si="513"/>
        <v>12.61</v>
      </c>
      <c r="AD74" s="3136">
        <f t="shared" si="514"/>
        <v>12.61</v>
      </c>
      <c r="AE74" s="3136">
        <f t="shared" si="515"/>
        <v>0</v>
      </c>
      <c r="AF74" s="3209">
        <f t="shared" si="642"/>
        <v>49.5</v>
      </c>
      <c r="AG74" s="3209">
        <f t="shared" si="643"/>
        <v>49.5</v>
      </c>
      <c r="AH74" s="3209">
        <f t="shared" si="644"/>
        <v>0</v>
      </c>
      <c r="AI74" s="3264">
        <f t="shared" si="645"/>
        <v>25.22</v>
      </c>
      <c r="AJ74" s="3264">
        <f t="shared" si="646"/>
        <v>25.22</v>
      </c>
      <c r="AK74" s="3264">
        <f t="shared" si="647"/>
        <v>0</v>
      </c>
      <c r="AL74" s="3264">
        <f t="shared" si="648"/>
        <v>-24.28</v>
      </c>
      <c r="AM74" s="3264">
        <f t="shared" si="649"/>
        <v>-24.28</v>
      </c>
      <c r="AN74" s="3264">
        <f t="shared" si="650"/>
        <v>0</v>
      </c>
      <c r="AO74" s="3208">
        <f t="shared" si="668"/>
        <v>24.75</v>
      </c>
      <c r="AP74" s="3208">
        <f t="shared" si="669"/>
        <v>24.75</v>
      </c>
      <c r="AQ74" s="3208">
        <f t="shared" si="670"/>
        <v>0</v>
      </c>
      <c r="AR74" s="3136">
        <f t="shared" si="267"/>
        <v>0</v>
      </c>
      <c r="AS74" s="3061"/>
      <c r="AT74" s="3061"/>
      <c r="AU74" s="3136">
        <f t="shared" si="269"/>
        <v>0</v>
      </c>
      <c r="AV74" s="3061"/>
      <c r="AW74" s="3061"/>
      <c r="AX74" s="3136">
        <f t="shared" si="271"/>
        <v>12.61</v>
      </c>
      <c r="AY74" s="3061">
        <v>12.61</v>
      </c>
      <c r="AZ74" s="3061"/>
      <c r="BA74" s="3136">
        <f t="shared" si="529"/>
        <v>12.61</v>
      </c>
      <c r="BB74" s="3136">
        <f t="shared" si="530"/>
        <v>12.61</v>
      </c>
      <c r="BC74" s="3136">
        <f t="shared" si="531"/>
        <v>0</v>
      </c>
      <c r="BD74" s="3209">
        <f t="shared" si="656"/>
        <v>74.25</v>
      </c>
      <c r="BE74" s="3209">
        <f t="shared" si="657"/>
        <v>74.25</v>
      </c>
      <c r="BF74" s="3209">
        <f t="shared" si="658"/>
        <v>0</v>
      </c>
      <c r="BG74" s="3264">
        <f t="shared" si="603"/>
        <v>37.83</v>
      </c>
      <c r="BH74" s="3264">
        <f t="shared" si="604"/>
        <v>37.83</v>
      </c>
      <c r="BI74" s="3264">
        <f t="shared" si="605"/>
        <v>0</v>
      </c>
      <c r="BJ74" s="3264">
        <f t="shared" si="606"/>
        <v>-36.42</v>
      </c>
      <c r="BK74" s="3264">
        <f t="shared" si="607"/>
        <v>-36.42</v>
      </c>
      <c r="BL74" s="3264">
        <f t="shared" si="608"/>
        <v>0</v>
      </c>
      <c r="BM74" s="3208">
        <f t="shared" si="671"/>
        <v>24.75</v>
      </c>
      <c r="BN74" s="3208">
        <f t="shared" si="672"/>
        <v>24.75</v>
      </c>
      <c r="BO74" s="3208">
        <f t="shared" si="673"/>
        <v>0</v>
      </c>
      <c r="BP74" s="3136">
        <f t="shared" si="284"/>
        <v>0</v>
      </c>
      <c r="BQ74" s="3061"/>
      <c r="BR74" s="3061"/>
      <c r="BS74" s="3136">
        <f t="shared" si="286"/>
        <v>0</v>
      </c>
      <c r="BT74" s="3061"/>
      <c r="BU74" s="3061"/>
      <c r="BV74" s="3136">
        <f t="shared" si="288"/>
        <v>0</v>
      </c>
      <c r="BW74" s="3061"/>
      <c r="BX74" s="3061"/>
      <c r="BY74" s="3136">
        <f t="shared" si="545"/>
        <v>0</v>
      </c>
      <c r="BZ74" s="3136">
        <f t="shared" si="546"/>
        <v>0</v>
      </c>
      <c r="CA74" s="3136">
        <f t="shared" si="547"/>
        <v>0</v>
      </c>
      <c r="CB74" s="3209">
        <f t="shared" si="573"/>
        <v>99</v>
      </c>
      <c r="CC74" s="3209">
        <v>99</v>
      </c>
      <c r="CD74" s="3209">
        <v>0</v>
      </c>
      <c r="CE74" s="3264">
        <f t="shared" si="611"/>
        <v>37.83</v>
      </c>
      <c r="CF74" s="3264">
        <f t="shared" si="612"/>
        <v>37.83</v>
      </c>
      <c r="CG74" s="3264">
        <f t="shared" si="613"/>
        <v>0</v>
      </c>
      <c r="CH74" s="3264">
        <f t="shared" si="614"/>
        <v>-61.17</v>
      </c>
      <c r="CI74" s="3264">
        <f t="shared" si="615"/>
        <v>-61.17</v>
      </c>
      <c r="CJ74" s="3264">
        <f t="shared" si="616"/>
        <v>0</v>
      </c>
      <c r="CK74" s="3259"/>
      <c r="CL74" s="3259"/>
      <c r="CM74" s="3259"/>
      <c r="CN74" s="3055"/>
    </row>
    <row r="75" spans="1:92" ht="18.75" customHeight="1" x14ac:dyDescent="0.3">
      <c r="A75" s="3075" t="s">
        <v>42</v>
      </c>
      <c r="B75" s="3208">
        <f t="shared" si="674"/>
        <v>11.260687094507174</v>
      </c>
      <c r="C75" s="3208">
        <f t="shared" si="675"/>
        <v>11.260687094507174</v>
      </c>
      <c r="D75" s="3208">
        <f t="shared" si="676"/>
        <v>0</v>
      </c>
      <c r="E75" s="3136">
        <f t="shared" si="167"/>
        <v>0.61</v>
      </c>
      <c r="F75" s="3061">
        <v>0.61</v>
      </c>
      <c r="G75" s="3061"/>
      <c r="H75" s="3136">
        <f t="shared" si="168"/>
        <v>0</v>
      </c>
      <c r="I75" s="3061"/>
      <c r="J75" s="3061"/>
      <c r="K75" s="3136">
        <f t="shared" si="169"/>
        <v>2.76</v>
      </c>
      <c r="L75" s="3061">
        <v>2.76</v>
      </c>
      <c r="M75" s="3061"/>
      <c r="N75" s="3136">
        <f t="shared" si="506"/>
        <v>3.3699999999999997</v>
      </c>
      <c r="O75" s="3136">
        <f t="shared" si="507"/>
        <v>3.3699999999999997</v>
      </c>
      <c r="P75" s="3136">
        <f t="shared" si="508"/>
        <v>0</v>
      </c>
      <c r="Q75" s="3208">
        <f t="shared" si="628"/>
        <v>11.260687094507174</v>
      </c>
      <c r="R75" s="3208">
        <f t="shared" si="666"/>
        <v>11.260687094507174</v>
      </c>
      <c r="S75" s="3208">
        <f t="shared" si="667"/>
        <v>0</v>
      </c>
      <c r="T75" s="3136">
        <f t="shared" si="252"/>
        <v>0</v>
      </c>
      <c r="U75" s="3061"/>
      <c r="V75" s="3061"/>
      <c r="W75" s="3136">
        <f t="shared" si="254"/>
        <v>0</v>
      </c>
      <c r="X75" s="3061"/>
      <c r="Y75" s="3061"/>
      <c r="Z75" s="3136">
        <f t="shared" si="256"/>
        <v>1.34</v>
      </c>
      <c r="AA75" s="3061">
        <v>1.34</v>
      </c>
      <c r="AB75" s="3061"/>
      <c r="AC75" s="3136">
        <f t="shared" si="513"/>
        <v>1.34</v>
      </c>
      <c r="AD75" s="3136">
        <f t="shared" si="514"/>
        <v>1.34</v>
      </c>
      <c r="AE75" s="3136">
        <f t="shared" si="515"/>
        <v>0</v>
      </c>
      <c r="AF75" s="3209">
        <f t="shared" si="642"/>
        <v>22.521374189014349</v>
      </c>
      <c r="AG75" s="3209">
        <f t="shared" si="643"/>
        <v>22.521374189014349</v>
      </c>
      <c r="AH75" s="3209">
        <f t="shared" si="644"/>
        <v>0</v>
      </c>
      <c r="AI75" s="3264">
        <f t="shared" si="645"/>
        <v>4.71</v>
      </c>
      <c r="AJ75" s="3264">
        <f t="shared" si="646"/>
        <v>4.71</v>
      </c>
      <c r="AK75" s="3264">
        <f t="shared" si="647"/>
        <v>0</v>
      </c>
      <c r="AL75" s="3264">
        <f t="shared" si="648"/>
        <v>-17.811374189014348</v>
      </c>
      <c r="AM75" s="3264">
        <f t="shared" si="649"/>
        <v>-17.811374189014348</v>
      </c>
      <c r="AN75" s="3264">
        <f t="shared" si="650"/>
        <v>0</v>
      </c>
      <c r="AO75" s="3208">
        <f t="shared" si="668"/>
        <v>11.260687094507174</v>
      </c>
      <c r="AP75" s="3208">
        <f t="shared" si="669"/>
        <v>11.260687094507174</v>
      </c>
      <c r="AQ75" s="3208">
        <f t="shared" si="670"/>
        <v>0</v>
      </c>
      <c r="AR75" s="3136">
        <f t="shared" si="267"/>
        <v>0</v>
      </c>
      <c r="AS75" s="3061"/>
      <c r="AT75" s="3061"/>
      <c r="AU75" s="3136">
        <f t="shared" si="269"/>
        <v>0</v>
      </c>
      <c r="AV75" s="3061"/>
      <c r="AW75" s="3061"/>
      <c r="AX75" s="3136">
        <f t="shared" si="271"/>
        <v>25.63</v>
      </c>
      <c r="AY75" s="3061">
        <v>25.63</v>
      </c>
      <c r="AZ75" s="3061"/>
      <c r="BA75" s="3136">
        <f t="shared" si="529"/>
        <v>25.63</v>
      </c>
      <c r="BB75" s="3136">
        <f t="shared" si="530"/>
        <v>25.63</v>
      </c>
      <c r="BC75" s="3136">
        <f t="shared" si="531"/>
        <v>0</v>
      </c>
      <c r="BD75" s="3209">
        <f t="shared" si="656"/>
        <v>33.782061283521521</v>
      </c>
      <c r="BE75" s="3209">
        <f t="shared" si="657"/>
        <v>33.782061283521521</v>
      </c>
      <c r="BF75" s="3209">
        <f t="shared" si="658"/>
        <v>0</v>
      </c>
      <c r="BG75" s="3264">
        <f t="shared" si="603"/>
        <v>30.34</v>
      </c>
      <c r="BH75" s="3264">
        <f t="shared" si="604"/>
        <v>30.34</v>
      </c>
      <c r="BI75" s="3264">
        <f t="shared" si="605"/>
        <v>0</v>
      </c>
      <c r="BJ75" s="3264">
        <f t="shared" si="606"/>
        <v>-3.4420612835215216</v>
      </c>
      <c r="BK75" s="3264">
        <f t="shared" si="607"/>
        <v>-3.4420612835215216</v>
      </c>
      <c r="BL75" s="3264">
        <f t="shared" si="608"/>
        <v>0</v>
      </c>
      <c r="BM75" s="3208">
        <f t="shared" si="671"/>
        <v>11.260687094507174</v>
      </c>
      <c r="BN75" s="3208">
        <f t="shared" si="672"/>
        <v>11.260687094507174</v>
      </c>
      <c r="BO75" s="3208">
        <f t="shared" si="673"/>
        <v>0</v>
      </c>
      <c r="BP75" s="3136">
        <f t="shared" si="284"/>
        <v>0</v>
      </c>
      <c r="BQ75" s="3061"/>
      <c r="BR75" s="3061"/>
      <c r="BS75" s="3136">
        <f t="shared" si="286"/>
        <v>0</v>
      </c>
      <c r="BT75" s="3061"/>
      <c r="BU75" s="3061"/>
      <c r="BV75" s="3136">
        <f t="shared" si="288"/>
        <v>0</v>
      </c>
      <c r="BW75" s="3061"/>
      <c r="BX75" s="3061"/>
      <c r="BY75" s="3136">
        <f t="shared" si="545"/>
        <v>0</v>
      </c>
      <c r="BZ75" s="3136">
        <f t="shared" si="546"/>
        <v>0</v>
      </c>
      <c r="CA75" s="3136">
        <f t="shared" si="547"/>
        <v>0</v>
      </c>
      <c r="CB75" s="3209">
        <f t="shared" si="573"/>
        <v>45.042748378028698</v>
      </c>
      <c r="CC75" s="3209">
        <f>SUM(CC66*0.003)</f>
        <v>45.042748378028698</v>
      </c>
      <c r="CD75" s="3209">
        <v>0</v>
      </c>
      <c r="CE75" s="3264">
        <f t="shared" si="611"/>
        <v>30.34</v>
      </c>
      <c r="CF75" s="3264">
        <f t="shared" si="612"/>
        <v>30.34</v>
      </c>
      <c r="CG75" s="3264">
        <f t="shared" si="613"/>
        <v>0</v>
      </c>
      <c r="CH75" s="3264">
        <f t="shared" si="614"/>
        <v>-14.702748378028698</v>
      </c>
      <c r="CI75" s="3264">
        <f t="shared" si="615"/>
        <v>-14.702748378028698</v>
      </c>
      <c r="CJ75" s="3264">
        <f t="shared" si="616"/>
        <v>0</v>
      </c>
      <c r="CK75" s="3259"/>
      <c r="CL75" s="3259"/>
      <c r="CM75" s="3259"/>
      <c r="CN75" s="3055"/>
    </row>
    <row r="76" spans="1:92" ht="18.75" customHeight="1" x14ac:dyDescent="0.3">
      <c r="A76" s="3075" t="s">
        <v>604</v>
      </c>
      <c r="B76" s="3208">
        <f t="shared" si="674"/>
        <v>28.75</v>
      </c>
      <c r="C76" s="3208">
        <f t="shared" si="675"/>
        <v>28.75</v>
      </c>
      <c r="D76" s="3208">
        <f t="shared" si="676"/>
        <v>0</v>
      </c>
      <c r="E76" s="3136">
        <f t="shared" si="167"/>
        <v>7.67</v>
      </c>
      <c r="F76" s="3061">
        <v>7.67</v>
      </c>
      <c r="G76" s="3061"/>
      <c r="H76" s="3136">
        <f t="shared" si="168"/>
        <v>0</v>
      </c>
      <c r="I76" s="3061"/>
      <c r="J76" s="3061"/>
      <c r="K76" s="3136">
        <f t="shared" si="169"/>
        <v>34.94</v>
      </c>
      <c r="L76" s="3061">
        <f>31.12+3.82</f>
        <v>34.94</v>
      </c>
      <c r="M76" s="3061"/>
      <c r="N76" s="3136">
        <f t="shared" si="506"/>
        <v>42.61</v>
      </c>
      <c r="O76" s="3136">
        <f t="shared" si="507"/>
        <v>42.61</v>
      </c>
      <c r="P76" s="3136">
        <f t="shared" si="508"/>
        <v>0</v>
      </c>
      <c r="Q76" s="3208">
        <f t="shared" si="628"/>
        <v>28.75</v>
      </c>
      <c r="R76" s="3208">
        <f t="shared" si="666"/>
        <v>28.75</v>
      </c>
      <c r="S76" s="3208">
        <f t="shared" si="667"/>
        <v>0</v>
      </c>
      <c r="T76" s="3136">
        <f t="shared" si="252"/>
        <v>8</v>
      </c>
      <c r="U76" s="3061">
        <v>8</v>
      </c>
      <c r="V76" s="3061"/>
      <c r="W76" s="3136">
        <f t="shared" si="254"/>
        <v>1.51</v>
      </c>
      <c r="X76" s="3061">
        <v>1.51</v>
      </c>
      <c r="Y76" s="3061"/>
      <c r="Z76" s="3136">
        <f t="shared" si="256"/>
        <v>10.59</v>
      </c>
      <c r="AA76" s="3061">
        <f>6.77+3.82</f>
        <v>10.59</v>
      </c>
      <c r="AB76" s="3061"/>
      <c r="AC76" s="3136">
        <f t="shared" si="513"/>
        <v>20.100000000000001</v>
      </c>
      <c r="AD76" s="3136">
        <f t="shared" si="514"/>
        <v>20.100000000000001</v>
      </c>
      <c r="AE76" s="3136">
        <f t="shared" si="515"/>
        <v>0</v>
      </c>
      <c r="AF76" s="3209">
        <f t="shared" si="642"/>
        <v>57.5</v>
      </c>
      <c r="AG76" s="3209">
        <f t="shared" si="643"/>
        <v>57.5</v>
      </c>
      <c r="AH76" s="3209">
        <f t="shared" si="644"/>
        <v>0</v>
      </c>
      <c r="AI76" s="3264">
        <f t="shared" si="645"/>
        <v>62.71</v>
      </c>
      <c r="AJ76" s="3264">
        <f t="shared" si="646"/>
        <v>62.71</v>
      </c>
      <c r="AK76" s="3264">
        <f t="shared" si="647"/>
        <v>0</v>
      </c>
      <c r="AL76" s="3264">
        <f t="shared" si="648"/>
        <v>5.2100000000000009</v>
      </c>
      <c r="AM76" s="3264">
        <f t="shared" si="649"/>
        <v>5.2100000000000009</v>
      </c>
      <c r="AN76" s="3264">
        <f t="shared" si="650"/>
        <v>0</v>
      </c>
      <c r="AO76" s="3208">
        <f t="shared" si="668"/>
        <v>28.75</v>
      </c>
      <c r="AP76" s="3208">
        <f t="shared" si="669"/>
        <v>28.75</v>
      </c>
      <c r="AQ76" s="3208">
        <f t="shared" si="670"/>
        <v>0</v>
      </c>
      <c r="AR76" s="3136">
        <f t="shared" si="267"/>
        <v>0.37</v>
      </c>
      <c r="AS76" s="3061">
        <v>0.37</v>
      </c>
      <c r="AT76" s="3061"/>
      <c r="AU76" s="3136">
        <f t="shared" si="269"/>
        <v>27.46</v>
      </c>
      <c r="AV76" s="3061">
        <f>19.63+7.83</f>
        <v>27.46</v>
      </c>
      <c r="AW76" s="3061"/>
      <c r="AX76" s="3136">
        <f t="shared" si="271"/>
        <v>18.09</v>
      </c>
      <c r="AY76" s="3061">
        <f>14.27+3.82</f>
        <v>18.09</v>
      </c>
      <c r="AZ76" s="3061"/>
      <c r="BA76" s="3136">
        <f t="shared" si="529"/>
        <v>45.92</v>
      </c>
      <c r="BB76" s="3136">
        <f t="shared" si="530"/>
        <v>45.92</v>
      </c>
      <c r="BC76" s="3136">
        <f t="shared" si="531"/>
        <v>0</v>
      </c>
      <c r="BD76" s="3209">
        <f t="shared" si="656"/>
        <v>86.25</v>
      </c>
      <c r="BE76" s="3209">
        <f t="shared" si="657"/>
        <v>86.25</v>
      </c>
      <c r="BF76" s="3209">
        <f t="shared" si="658"/>
        <v>0</v>
      </c>
      <c r="BG76" s="3264">
        <f t="shared" si="603"/>
        <v>108.63</v>
      </c>
      <c r="BH76" s="3264">
        <f t="shared" si="604"/>
        <v>108.63</v>
      </c>
      <c r="BI76" s="3264">
        <f t="shared" si="605"/>
        <v>0</v>
      </c>
      <c r="BJ76" s="3264">
        <f t="shared" si="606"/>
        <v>22.379999999999995</v>
      </c>
      <c r="BK76" s="3264">
        <f t="shared" si="607"/>
        <v>22.379999999999995</v>
      </c>
      <c r="BL76" s="3264">
        <f t="shared" si="608"/>
        <v>0</v>
      </c>
      <c r="BM76" s="3208">
        <f t="shared" si="671"/>
        <v>28.75</v>
      </c>
      <c r="BN76" s="3208">
        <f t="shared" si="672"/>
        <v>28.75</v>
      </c>
      <c r="BO76" s="3208">
        <f t="shared" si="673"/>
        <v>0</v>
      </c>
      <c r="BP76" s="3136">
        <f t="shared" si="284"/>
        <v>0</v>
      </c>
      <c r="BQ76" s="3061"/>
      <c r="BR76" s="3061"/>
      <c r="BS76" s="3136">
        <f t="shared" si="286"/>
        <v>0</v>
      </c>
      <c r="BT76" s="3061"/>
      <c r="BU76" s="3061"/>
      <c r="BV76" s="3136">
        <f t="shared" si="288"/>
        <v>0</v>
      </c>
      <c r="BW76" s="3061"/>
      <c r="BX76" s="3061"/>
      <c r="BY76" s="3136">
        <f t="shared" si="545"/>
        <v>0</v>
      </c>
      <c r="BZ76" s="3136">
        <f t="shared" si="546"/>
        <v>0</v>
      </c>
      <c r="CA76" s="3136">
        <f t="shared" si="547"/>
        <v>0</v>
      </c>
      <c r="CB76" s="3209">
        <f t="shared" si="573"/>
        <v>115</v>
      </c>
      <c r="CC76" s="3209">
        <v>115</v>
      </c>
      <c r="CD76" s="3209">
        <v>0</v>
      </c>
      <c r="CE76" s="3264">
        <f t="shared" si="611"/>
        <v>108.63</v>
      </c>
      <c r="CF76" s="3264">
        <f t="shared" si="612"/>
        <v>108.63</v>
      </c>
      <c r="CG76" s="3264">
        <f t="shared" si="613"/>
        <v>0</v>
      </c>
      <c r="CH76" s="3264">
        <f t="shared" si="614"/>
        <v>-6.3700000000000045</v>
      </c>
      <c r="CI76" s="3264">
        <f t="shared" si="615"/>
        <v>-6.3700000000000045</v>
      </c>
      <c r="CJ76" s="3264">
        <f t="shared" si="616"/>
        <v>0</v>
      </c>
      <c r="CK76" s="3259"/>
      <c r="CL76" s="3259"/>
      <c r="CM76" s="3259"/>
      <c r="CN76" s="3055"/>
    </row>
    <row r="77" spans="1:92" ht="18.75" customHeight="1" x14ac:dyDescent="0.3">
      <c r="A77" s="3075" t="s">
        <v>3596</v>
      </c>
      <c r="B77" s="3208">
        <f t="shared" si="674"/>
        <v>0</v>
      </c>
      <c r="C77" s="3208">
        <f t="shared" si="675"/>
        <v>0</v>
      </c>
      <c r="D77" s="3208">
        <f t="shared" si="676"/>
        <v>0</v>
      </c>
      <c r="E77" s="3136">
        <f t="shared" si="167"/>
        <v>0</v>
      </c>
      <c r="F77" s="3061"/>
      <c r="G77" s="3061"/>
      <c r="H77" s="3136">
        <f t="shared" si="168"/>
        <v>0</v>
      </c>
      <c r="I77" s="3061"/>
      <c r="J77" s="3061"/>
      <c r="K77" s="3136">
        <f t="shared" si="169"/>
        <v>0</v>
      </c>
      <c r="L77" s="3061"/>
      <c r="M77" s="3061"/>
      <c r="N77" s="3136">
        <f t="shared" si="506"/>
        <v>0</v>
      </c>
      <c r="O77" s="3136">
        <f t="shared" si="507"/>
        <v>0</v>
      </c>
      <c r="P77" s="3136">
        <f t="shared" si="508"/>
        <v>0</v>
      </c>
      <c r="Q77" s="3208">
        <f t="shared" si="628"/>
        <v>0</v>
      </c>
      <c r="R77" s="3208">
        <f t="shared" si="666"/>
        <v>0</v>
      </c>
      <c r="S77" s="3208">
        <f t="shared" si="667"/>
        <v>0</v>
      </c>
      <c r="T77" s="3136">
        <f t="shared" si="252"/>
        <v>0</v>
      </c>
      <c r="U77" s="3061"/>
      <c r="V77" s="3061"/>
      <c r="W77" s="3136">
        <f t="shared" si="254"/>
        <v>0</v>
      </c>
      <c r="X77" s="3061"/>
      <c r="Y77" s="3061"/>
      <c r="Z77" s="3136">
        <f t="shared" si="256"/>
        <v>0</v>
      </c>
      <c r="AA77" s="3061"/>
      <c r="AB77" s="3061"/>
      <c r="AC77" s="3136">
        <f t="shared" si="513"/>
        <v>0</v>
      </c>
      <c r="AD77" s="3136">
        <f t="shared" si="514"/>
        <v>0</v>
      </c>
      <c r="AE77" s="3136">
        <f t="shared" si="515"/>
        <v>0</v>
      </c>
      <c r="AF77" s="3209">
        <f t="shared" si="642"/>
        <v>0</v>
      </c>
      <c r="AG77" s="3209">
        <f t="shared" si="643"/>
        <v>0</v>
      </c>
      <c r="AH77" s="3209">
        <f t="shared" si="644"/>
        <v>0</v>
      </c>
      <c r="AI77" s="3264">
        <f t="shared" si="645"/>
        <v>0</v>
      </c>
      <c r="AJ77" s="3264">
        <f t="shared" si="646"/>
        <v>0</v>
      </c>
      <c r="AK77" s="3264">
        <f t="shared" si="647"/>
        <v>0</v>
      </c>
      <c r="AL77" s="3264">
        <f t="shared" si="648"/>
        <v>0</v>
      </c>
      <c r="AM77" s="3264">
        <f t="shared" si="649"/>
        <v>0</v>
      </c>
      <c r="AN77" s="3264">
        <f t="shared" si="650"/>
        <v>0</v>
      </c>
      <c r="AO77" s="3208">
        <f t="shared" si="668"/>
        <v>0</v>
      </c>
      <c r="AP77" s="3208">
        <f t="shared" si="669"/>
        <v>0</v>
      </c>
      <c r="AQ77" s="3208">
        <f t="shared" si="670"/>
        <v>0</v>
      </c>
      <c r="AR77" s="3136">
        <f t="shared" si="267"/>
        <v>0</v>
      </c>
      <c r="AS77" s="3061"/>
      <c r="AT77" s="3061"/>
      <c r="AU77" s="3136">
        <f t="shared" si="269"/>
        <v>0</v>
      </c>
      <c r="AV77" s="3061"/>
      <c r="AW77" s="3061"/>
      <c r="AX77" s="3136">
        <f t="shared" si="271"/>
        <v>0</v>
      </c>
      <c r="AY77" s="3061"/>
      <c r="AZ77" s="3061"/>
      <c r="BA77" s="3136">
        <f t="shared" si="529"/>
        <v>0</v>
      </c>
      <c r="BB77" s="3136">
        <f t="shared" si="530"/>
        <v>0</v>
      </c>
      <c r="BC77" s="3136">
        <f t="shared" si="531"/>
        <v>0</v>
      </c>
      <c r="BD77" s="3209">
        <f t="shared" si="656"/>
        <v>0</v>
      </c>
      <c r="BE77" s="3209">
        <f t="shared" si="657"/>
        <v>0</v>
      </c>
      <c r="BF77" s="3209">
        <f t="shared" si="658"/>
        <v>0</v>
      </c>
      <c r="BG77" s="3264">
        <f t="shared" si="603"/>
        <v>0</v>
      </c>
      <c r="BH77" s="3264">
        <f t="shared" si="604"/>
        <v>0</v>
      </c>
      <c r="BI77" s="3264">
        <f t="shared" si="605"/>
        <v>0</v>
      </c>
      <c r="BJ77" s="3264">
        <f t="shared" si="606"/>
        <v>0</v>
      </c>
      <c r="BK77" s="3264">
        <f t="shared" si="607"/>
        <v>0</v>
      </c>
      <c r="BL77" s="3264">
        <f t="shared" si="608"/>
        <v>0</v>
      </c>
      <c r="BM77" s="3208">
        <f t="shared" si="671"/>
        <v>0</v>
      </c>
      <c r="BN77" s="3208">
        <f t="shared" si="672"/>
        <v>0</v>
      </c>
      <c r="BO77" s="3208">
        <f t="shared" si="673"/>
        <v>0</v>
      </c>
      <c r="BP77" s="3136">
        <f t="shared" si="284"/>
        <v>0</v>
      </c>
      <c r="BQ77" s="3061"/>
      <c r="BR77" s="3061"/>
      <c r="BS77" s="3136">
        <f t="shared" si="286"/>
        <v>0</v>
      </c>
      <c r="BT77" s="3061"/>
      <c r="BU77" s="3061"/>
      <c r="BV77" s="3136">
        <f t="shared" si="288"/>
        <v>0</v>
      </c>
      <c r="BW77" s="3061"/>
      <c r="BX77" s="3061"/>
      <c r="BY77" s="3136">
        <f t="shared" si="545"/>
        <v>0</v>
      </c>
      <c r="BZ77" s="3136">
        <f t="shared" si="546"/>
        <v>0</v>
      </c>
      <c r="CA77" s="3136">
        <f t="shared" si="547"/>
        <v>0</v>
      </c>
      <c r="CB77" s="3209">
        <f t="shared" si="573"/>
        <v>0</v>
      </c>
      <c r="CC77" s="3209">
        <v>0</v>
      </c>
      <c r="CD77" s="3209">
        <v>0</v>
      </c>
      <c r="CE77" s="3264">
        <f t="shared" si="611"/>
        <v>0</v>
      </c>
      <c r="CF77" s="3264">
        <f t="shared" si="612"/>
        <v>0</v>
      </c>
      <c r="CG77" s="3264">
        <f t="shared" si="613"/>
        <v>0</v>
      </c>
      <c r="CH77" s="3264">
        <f t="shared" si="614"/>
        <v>0</v>
      </c>
      <c r="CI77" s="3264">
        <f t="shared" si="615"/>
        <v>0</v>
      </c>
      <c r="CJ77" s="3264">
        <f t="shared" si="616"/>
        <v>0</v>
      </c>
      <c r="CK77" s="3259"/>
      <c r="CL77" s="3259"/>
      <c r="CM77" s="3259"/>
      <c r="CN77" s="3055"/>
    </row>
    <row r="78" spans="1:92" ht="18.75" customHeight="1" x14ac:dyDescent="0.3">
      <c r="A78" s="3075" t="s">
        <v>607</v>
      </c>
      <c r="B78" s="3208">
        <f t="shared" si="674"/>
        <v>40.687750000000001</v>
      </c>
      <c r="C78" s="3208">
        <f t="shared" si="675"/>
        <v>40.687750000000001</v>
      </c>
      <c r="D78" s="3208">
        <f t="shared" si="676"/>
        <v>0</v>
      </c>
      <c r="E78" s="3136">
        <f t="shared" si="167"/>
        <v>0.35</v>
      </c>
      <c r="F78" s="3061">
        <v>0.35</v>
      </c>
      <c r="G78" s="3061"/>
      <c r="H78" s="3136">
        <f t="shared" si="168"/>
        <v>14.5</v>
      </c>
      <c r="I78" s="3061">
        <f>0.35+14.15</f>
        <v>14.5</v>
      </c>
      <c r="J78" s="3061"/>
      <c r="K78" s="3136">
        <f t="shared" si="169"/>
        <v>86.259999999999991</v>
      </c>
      <c r="L78" s="3061">
        <f>0.35+85.91</f>
        <v>86.259999999999991</v>
      </c>
      <c r="M78" s="3061"/>
      <c r="N78" s="3136">
        <f t="shared" si="506"/>
        <v>101.10999999999999</v>
      </c>
      <c r="O78" s="3136">
        <f t="shared" si="507"/>
        <v>101.10999999999999</v>
      </c>
      <c r="P78" s="3136">
        <f t="shared" si="508"/>
        <v>0</v>
      </c>
      <c r="Q78" s="3208">
        <f t="shared" si="628"/>
        <v>40.687750000000001</v>
      </c>
      <c r="R78" s="3208">
        <f t="shared" si="666"/>
        <v>40.687750000000001</v>
      </c>
      <c r="S78" s="3208">
        <f t="shared" si="667"/>
        <v>0</v>
      </c>
      <c r="T78" s="3136">
        <f t="shared" si="252"/>
        <v>8.42</v>
      </c>
      <c r="U78" s="3061">
        <f>0.35+8.07</f>
        <v>8.42</v>
      </c>
      <c r="V78" s="3061"/>
      <c r="W78" s="3136">
        <f t="shared" si="254"/>
        <v>0.35</v>
      </c>
      <c r="X78" s="3061">
        <f>0.35</f>
        <v>0.35</v>
      </c>
      <c r="Y78" s="3061"/>
      <c r="Z78" s="3136">
        <f t="shared" si="256"/>
        <v>194.06</v>
      </c>
      <c r="AA78" s="3061">
        <f>0.35+193.71</f>
        <v>194.06</v>
      </c>
      <c r="AB78" s="3061"/>
      <c r="AC78" s="3136">
        <f t="shared" si="513"/>
        <v>202.83</v>
      </c>
      <c r="AD78" s="3136">
        <f t="shared" si="514"/>
        <v>202.83</v>
      </c>
      <c r="AE78" s="3136">
        <f t="shared" si="515"/>
        <v>0</v>
      </c>
      <c r="AF78" s="3209">
        <f t="shared" si="642"/>
        <v>81.375500000000002</v>
      </c>
      <c r="AG78" s="3209">
        <f t="shared" si="643"/>
        <v>81.375500000000002</v>
      </c>
      <c r="AH78" s="3209">
        <f t="shared" si="644"/>
        <v>0</v>
      </c>
      <c r="AI78" s="3264">
        <f t="shared" si="645"/>
        <v>303.94</v>
      </c>
      <c r="AJ78" s="3264">
        <f t="shared" si="646"/>
        <v>303.94</v>
      </c>
      <c r="AK78" s="3264">
        <f t="shared" si="647"/>
        <v>0</v>
      </c>
      <c r="AL78" s="3264">
        <f t="shared" si="648"/>
        <v>222.56450000000001</v>
      </c>
      <c r="AM78" s="3264">
        <f t="shared" si="649"/>
        <v>222.56450000000001</v>
      </c>
      <c r="AN78" s="3264">
        <f t="shared" si="650"/>
        <v>0</v>
      </c>
      <c r="AO78" s="3208">
        <f t="shared" si="668"/>
        <v>40.687750000000001</v>
      </c>
      <c r="AP78" s="3208">
        <f t="shared" si="669"/>
        <v>40.687750000000001</v>
      </c>
      <c r="AQ78" s="3208">
        <f t="shared" si="670"/>
        <v>0</v>
      </c>
      <c r="AR78" s="3136">
        <f t="shared" si="267"/>
        <v>0.35</v>
      </c>
      <c r="AS78" s="3061">
        <v>0.35</v>
      </c>
      <c r="AT78" s="3061"/>
      <c r="AU78" s="3136">
        <f t="shared" si="269"/>
        <v>111.56</v>
      </c>
      <c r="AV78" s="3061">
        <v>111.56</v>
      </c>
      <c r="AW78" s="3061"/>
      <c r="AX78" s="3136">
        <f t="shared" si="271"/>
        <v>-140.44999999999999</v>
      </c>
      <c r="AY78" s="3061">
        <v>-140.44999999999999</v>
      </c>
      <c r="AZ78" s="3061"/>
      <c r="BA78" s="3136">
        <f t="shared" si="529"/>
        <v>-28.539999999999992</v>
      </c>
      <c r="BB78" s="3136">
        <f t="shared" si="530"/>
        <v>-28.539999999999992</v>
      </c>
      <c r="BC78" s="3136">
        <f t="shared" si="531"/>
        <v>0</v>
      </c>
      <c r="BD78" s="3209">
        <f t="shared" si="656"/>
        <v>122.06325000000001</v>
      </c>
      <c r="BE78" s="3209">
        <f t="shared" si="657"/>
        <v>122.06325000000001</v>
      </c>
      <c r="BF78" s="3209">
        <f t="shared" si="658"/>
        <v>0</v>
      </c>
      <c r="BG78" s="3264">
        <f t="shared" si="603"/>
        <v>275.39999999999998</v>
      </c>
      <c r="BH78" s="3264">
        <f t="shared" si="604"/>
        <v>275.39999999999998</v>
      </c>
      <c r="BI78" s="3264">
        <f t="shared" si="605"/>
        <v>0</v>
      </c>
      <c r="BJ78" s="3264">
        <f t="shared" si="606"/>
        <v>153.33674999999997</v>
      </c>
      <c r="BK78" s="3264">
        <f t="shared" si="607"/>
        <v>153.33674999999997</v>
      </c>
      <c r="BL78" s="3264">
        <f t="shared" si="608"/>
        <v>0</v>
      </c>
      <c r="BM78" s="3208">
        <f t="shared" si="671"/>
        <v>40.687750000000001</v>
      </c>
      <c r="BN78" s="3208">
        <f t="shared" si="672"/>
        <v>40.687750000000001</v>
      </c>
      <c r="BO78" s="3208">
        <f t="shared" si="673"/>
        <v>0</v>
      </c>
      <c r="BP78" s="3136">
        <f t="shared" si="284"/>
        <v>0</v>
      </c>
      <c r="BQ78" s="3061"/>
      <c r="BR78" s="3061"/>
      <c r="BS78" s="3136">
        <f t="shared" si="286"/>
        <v>0</v>
      </c>
      <c r="BT78" s="3061"/>
      <c r="BU78" s="3061"/>
      <c r="BV78" s="3136">
        <f t="shared" si="288"/>
        <v>0</v>
      </c>
      <c r="BW78" s="3061"/>
      <c r="BX78" s="3061"/>
      <c r="BY78" s="3136">
        <f t="shared" si="545"/>
        <v>0</v>
      </c>
      <c r="BZ78" s="3136">
        <f t="shared" si="546"/>
        <v>0</v>
      </c>
      <c r="CA78" s="3136">
        <f t="shared" si="547"/>
        <v>0</v>
      </c>
      <c r="CB78" s="3209">
        <f t="shared" si="573"/>
        <v>162.751</v>
      </c>
      <c r="CC78" s="3209">
        <f>180-17.249</f>
        <v>162.751</v>
      </c>
      <c r="CD78" s="3209">
        <v>0</v>
      </c>
      <c r="CE78" s="3264">
        <f t="shared" si="611"/>
        <v>275.39999999999998</v>
      </c>
      <c r="CF78" s="3264">
        <f t="shared" si="612"/>
        <v>275.39999999999998</v>
      </c>
      <c r="CG78" s="3264">
        <f t="shared" si="613"/>
        <v>0</v>
      </c>
      <c r="CH78" s="3264">
        <f t="shared" si="614"/>
        <v>112.64899999999997</v>
      </c>
      <c r="CI78" s="3264">
        <f t="shared" si="615"/>
        <v>112.64899999999997</v>
      </c>
      <c r="CJ78" s="3264">
        <f t="shared" si="616"/>
        <v>0</v>
      </c>
      <c r="CK78" s="3259"/>
      <c r="CL78" s="3259"/>
      <c r="CM78" s="3259"/>
      <c r="CN78" s="3055"/>
    </row>
    <row r="79" spans="1:92" ht="18.75" customHeight="1" x14ac:dyDescent="0.3">
      <c r="A79" s="3075" t="s">
        <v>611</v>
      </c>
      <c r="B79" s="3208">
        <f t="shared" si="674"/>
        <v>0</v>
      </c>
      <c r="C79" s="3208">
        <f t="shared" si="675"/>
        <v>0</v>
      </c>
      <c r="D79" s="3208">
        <f t="shared" si="676"/>
        <v>0</v>
      </c>
      <c r="E79" s="3136">
        <f t="shared" si="167"/>
        <v>36.56</v>
      </c>
      <c r="F79" s="3061">
        <v>36.56</v>
      </c>
      <c r="G79" s="3061"/>
      <c r="H79" s="3136">
        <f t="shared" si="168"/>
        <v>41.52</v>
      </c>
      <c r="I79" s="3061">
        <v>41.52</v>
      </c>
      <c r="J79" s="3061"/>
      <c r="K79" s="3136">
        <f t="shared" si="169"/>
        <v>39.04</v>
      </c>
      <c r="L79" s="3061">
        <v>39.04</v>
      </c>
      <c r="M79" s="3061"/>
      <c r="N79" s="3136">
        <f t="shared" si="506"/>
        <v>117.12</v>
      </c>
      <c r="O79" s="3136">
        <f t="shared" si="507"/>
        <v>117.12</v>
      </c>
      <c r="P79" s="3136">
        <f t="shared" si="508"/>
        <v>0</v>
      </c>
      <c r="Q79" s="3208">
        <f t="shared" si="628"/>
        <v>0</v>
      </c>
      <c r="R79" s="3208">
        <f t="shared" si="666"/>
        <v>0</v>
      </c>
      <c r="S79" s="3208">
        <f t="shared" si="667"/>
        <v>0</v>
      </c>
      <c r="T79" s="3136">
        <f t="shared" si="252"/>
        <v>37.64</v>
      </c>
      <c r="U79" s="3061">
        <v>37.64</v>
      </c>
      <c r="V79" s="3061"/>
      <c r="W79" s="3136">
        <f t="shared" si="254"/>
        <v>37.72</v>
      </c>
      <c r="X79" s="3061">
        <v>37.72</v>
      </c>
      <c r="Y79" s="3061"/>
      <c r="Z79" s="3136">
        <f t="shared" si="256"/>
        <v>37.24</v>
      </c>
      <c r="AA79" s="3061">
        <v>37.24</v>
      </c>
      <c r="AB79" s="3061"/>
      <c r="AC79" s="3136">
        <f t="shared" si="513"/>
        <v>112.6</v>
      </c>
      <c r="AD79" s="3136">
        <f t="shared" si="514"/>
        <v>112.6</v>
      </c>
      <c r="AE79" s="3136">
        <f t="shared" si="515"/>
        <v>0</v>
      </c>
      <c r="AF79" s="3209">
        <f t="shared" si="642"/>
        <v>0</v>
      </c>
      <c r="AG79" s="3209">
        <f t="shared" si="643"/>
        <v>0</v>
      </c>
      <c r="AH79" s="3209">
        <f t="shared" si="644"/>
        <v>0</v>
      </c>
      <c r="AI79" s="3264">
        <f t="shared" si="645"/>
        <v>229.72</v>
      </c>
      <c r="AJ79" s="3264">
        <f t="shared" si="646"/>
        <v>229.72</v>
      </c>
      <c r="AK79" s="3264">
        <f t="shared" si="647"/>
        <v>0</v>
      </c>
      <c r="AL79" s="3264">
        <f t="shared" si="648"/>
        <v>229.72</v>
      </c>
      <c r="AM79" s="3264">
        <f t="shared" si="649"/>
        <v>229.72</v>
      </c>
      <c r="AN79" s="3264">
        <f t="shared" si="650"/>
        <v>0</v>
      </c>
      <c r="AO79" s="3208">
        <f t="shared" si="668"/>
        <v>0</v>
      </c>
      <c r="AP79" s="3208">
        <f t="shared" si="669"/>
        <v>0</v>
      </c>
      <c r="AQ79" s="3208">
        <f t="shared" si="670"/>
        <v>0</v>
      </c>
      <c r="AR79" s="3136">
        <f t="shared" si="267"/>
        <v>36.54</v>
      </c>
      <c r="AS79" s="3061">
        <v>36.54</v>
      </c>
      <c r="AT79" s="3061"/>
      <c r="AU79" s="3136">
        <f t="shared" si="269"/>
        <v>32.85</v>
      </c>
      <c r="AV79" s="3061">
        <v>32.85</v>
      </c>
      <c r="AW79" s="3061"/>
      <c r="AX79" s="3136">
        <f t="shared" si="271"/>
        <v>36.81</v>
      </c>
      <c r="AY79" s="3061">
        <v>36.81</v>
      </c>
      <c r="AZ79" s="3061"/>
      <c r="BA79" s="3136">
        <f t="shared" si="529"/>
        <v>106.2</v>
      </c>
      <c r="BB79" s="3136">
        <f t="shared" si="530"/>
        <v>106.2</v>
      </c>
      <c r="BC79" s="3136">
        <f t="shared" si="531"/>
        <v>0</v>
      </c>
      <c r="BD79" s="3209">
        <f t="shared" si="656"/>
        <v>0</v>
      </c>
      <c r="BE79" s="3209">
        <f t="shared" si="657"/>
        <v>0</v>
      </c>
      <c r="BF79" s="3209">
        <f t="shared" si="658"/>
        <v>0</v>
      </c>
      <c r="BG79" s="3264">
        <f t="shared" si="603"/>
        <v>335.92</v>
      </c>
      <c r="BH79" s="3264">
        <f t="shared" si="604"/>
        <v>335.92</v>
      </c>
      <c r="BI79" s="3264">
        <f t="shared" si="605"/>
        <v>0</v>
      </c>
      <c r="BJ79" s="3264">
        <f t="shared" si="606"/>
        <v>335.92</v>
      </c>
      <c r="BK79" s="3264">
        <f t="shared" si="607"/>
        <v>335.92</v>
      </c>
      <c r="BL79" s="3264">
        <f t="shared" si="608"/>
        <v>0</v>
      </c>
      <c r="BM79" s="3208">
        <f t="shared" si="671"/>
        <v>0</v>
      </c>
      <c r="BN79" s="3208">
        <f t="shared" si="672"/>
        <v>0</v>
      </c>
      <c r="BO79" s="3208">
        <f t="shared" si="673"/>
        <v>0</v>
      </c>
      <c r="BP79" s="3136">
        <f t="shared" si="284"/>
        <v>0</v>
      </c>
      <c r="BQ79" s="3061"/>
      <c r="BR79" s="3061"/>
      <c r="BS79" s="3136">
        <f t="shared" si="286"/>
        <v>0</v>
      </c>
      <c r="BT79" s="3061"/>
      <c r="BU79" s="3061"/>
      <c r="BV79" s="3136">
        <f t="shared" si="288"/>
        <v>0</v>
      </c>
      <c r="BW79" s="3061"/>
      <c r="BX79" s="3061"/>
      <c r="BY79" s="3136">
        <f t="shared" si="545"/>
        <v>0</v>
      </c>
      <c r="BZ79" s="3136">
        <f t="shared" si="546"/>
        <v>0</v>
      </c>
      <c r="CA79" s="3136">
        <f t="shared" si="547"/>
        <v>0</v>
      </c>
      <c r="CB79" s="3209">
        <f t="shared" si="573"/>
        <v>0</v>
      </c>
      <c r="CC79" s="3209">
        <v>0</v>
      </c>
      <c r="CD79" s="3209">
        <v>0</v>
      </c>
      <c r="CE79" s="3264">
        <f t="shared" si="611"/>
        <v>335.92</v>
      </c>
      <c r="CF79" s="3264">
        <f t="shared" si="612"/>
        <v>335.92</v>
      </c>
      <c r="CG79" s="3264">
        <f t="shared" si="613"/>
        <v>0</v>
      </c>
      <c r="CH79" s="3264">
        <f t="shared" si="614"/>
        <v>335.92</v>
      </c>
      <c r="CI79" s="3264">
        <f t="shared" si="615"/>
        <v>335.92</v>
      </c>
      <c r="CJ79" s="3264">
        <f t="shared" si="616"/>
        <v>0</v>
      </c>
      <c r="CK79" s="3259"/>
      <c r="CL79" s="3259"/>
      <c r="CM79" s="3259"/>
      <c r="CN79" s="3055"/>
    </row>
    <row r="80" spans="1:92" ht="18.75" customHeight="1" x14ac:dyDescent="0.3">
      <c r="A80" s="3075" t="s">
        <v>608</v>
      </c>
      <c r="B80" s="3208">
        <f t="shared" si="674"/>
        <v>0</v>
      </c>
      <c r="C80" s="3208">
        <f t="shared" si="675"/>
        <v>0</v>
      </c>
      <c r="D80" s="3208">
        <f t="shared" si="676"/>
        <v>0</v>
      </c>
      <c r="E80" s="3136">
        <f t="shared" si="167"/>
        <v>0</v>
      </c>
      <c r="F80" s="3061"/>
      <c r="G80" s="3061"/>
      <c r="H80" s="3136">
        <f t="shared" si="168"/>
        <v>8.92</v>
      </c>
      <c r="I80" s="3061">
        <v>8.92</v>
      </c>
      <c r="J80" s="3061"/>
      <c r="K80" s="3136">
        <f t="shared" si="169"/>
        <v>8.85</v>
      </c>
      <c r="L80" s="3061">
        <v>8.85</v>
      </c>
      <c r="M80" s="3061"/>
      <c r="N80" s="3136">
        <f t="shared" si="506"/>
        <v>17.77</v>
      </c>
      <c r="O80" s="3136">
        <f t="shared" si="507"/>
        <v>17.77</v>
      </c>
      <c r="P80" s="3136">
        <f t="shared" si="508"/>
        <v>0</v>
      </c>
      <c r="Q80" s="3208">
        <f t="shared" si="628"/>
        <v>0</v>
      </c>
      <c r="R80" s="3208">
        <f t="shared" si="666"/>
        <v>0</v>
      </c>
      <c r="S80" s="3208">
        <f t="shared" si="667"/>
        <v>0</v>
      </c>
      <c r="T80" s="3136">
        <f t="shared" si="252"/>
        <v>8.3000000000000007</v>
      </c>
      <c r="U80" s="3061">
        <v>8.3000000000000007</v>
      </c>
      <c r="V80" s="3061"/>
      <c r="W80" s="3136">
        <f t="shared" si="254"/>
        <v>8.34</v>
      </c>
      <c r="X80" s="3061">
        <v>8.34</v>
      </c>
      <c r="Y80" s="3061"/>
      <c r="Z80" s="3136">
        <f t="shared" si="256"/>
        <v>8.11</v>
      </c>
      <c r="AA80" s="3061">
        <v>8.11</v>
      </c>
      <c r="AB80" s="3061"/>
      <c r="AC80" s="3136">
        <f t="shared" si="513"/>
        <v>24.75</v>
      </c>
      <c r="AD80" s="3136">
        <f t="shared" si="514"/>
        <v>24.75</v>
      </c>
      <c r="AE80" s="3136">
        <f t="shared" si="515"/>
        <v>0</v>
      </c>
      <c r="AF80" s="3209">
        <f t="shared" si="642"/>
        <v>0</v>
      </c>
      <c r="AG80" s="3209">
        <f t="shared" si="643"/>
        <v>0</v>
      </c>
      <c r="AH80" s="3209">
        <f t="shared" si="644"/>
        <v>0</v>
      </c>
      <c r="AI80" s="3264">
        <f t="shared" si="645"/>
        <v>42.519999999999996</v>
      </c>
      <c r="AJ80" s="3264">
        <f t="shared" si="646"/>
        <v>42.519999999999996</v>
      </c>
      <c r="AK80" s="3264">
        <f t="shared" si="647"/>
        <v>0</v>
      </c>
      <c r="AL80" s="3264">
        <f t="shared" si="648"/>
        <v>42.519999999999996</v>
      </c>
      <c r="AM80" s="3264">
        <f t="shared" si="649"/>
        <v>42.519999999999996</v>
      </c>
      <c r="AN80" s="3264">
        <f t="shared" si="650"/>
        <v>0</v>
      </c>
      <c r="AO80" s="3208">
        <f t="shared" si="668"/>
        <v>0</v>
      </c>
      <c r="AP80" s="3208">
        <f t="shared" si="669"/>
        <v>0</v>
      </c>
      <c r="AQ80" s="3208">
        <f t="shared" si="670"/>
        <v>0</v>
      </c>
      <c r="AR80" s="3136">
        <f t="shared" si="267"/>
        <v>8.06</v>
      </c>
      <c r="AS80" s="3061">
        <v>8.06</v>
      </c>
      <c r="AT80" s="3061"/>
      <c r="AU80" s="3136">
        <f t="shared" si="269"/>
        <v>8</v>
      </c>
      <c r="AV80" s="3061">
        <v>8</v>
      </c>
      <c r="AW80" s="3061"/>
      <c r="AX80" s="3136">
        <f t="shared" si="271"/>
        <v>8.19</v>
      </c>
      <c r="AY80" s="3061">
        <v>8.19</v>
      </c>
      <c r="AZ80" s="3061"/>
      <c r="BA80" s="3136">
        <f t="shared" si="529"/>
        <v>24.25</v>
      </c>
      <c r="BB80" s="3136">
        <f t="shared" si="530"/>
        <v>24.25</v>
      </c>
      <c r="BC80" s="3136">
        <f t="shared" si="531"/>
        <v>0</v>
      </c>
      <c r="BD80" s="3209">
        <f t="shared" si="656"/>
        <v>0</v>
      </c>
      <c r="BE80" s="3209">
        <f t="shared" si="657"/>
        <v>0</v>
      </c>
      <c r="BF80" s="3209">
        <f t="shared" si="658"/>
        <v>0</v>
      </c>
      <c r="BG80" s="3264">
        <f t="shared" si="603"/>
        <v>66.77</v>
      </c>
      <c r="BH80" s="3264">
        <f t="shared" si="604"/>
        <v>66.77</v>
      </c>
      <c r="BI80" s="3264">
        <f t="shared" si="605"/>
        <v>0</v>
      </c>
      <c r="BJ80" s="3264">
        <f t="shared" si="606"/>
        <v>66.77</v>
      </c>
      <c r="BK80" s="3264">
        <f t="shared" si="607"/>
        <v>66.77</v>
      </c>
      <c r="BL80" s="3264">
        <f t="shared" si="608"/>
        <v>0</v>
      </c>
      <c r="BM80" s="3208">
        <f t="shared" si="671"/>
        <v>0</v>
      </c>
      <c r="BN80" s="3208">
        <f t="shared" si="672"/>
        <v>0</v>
      </c>
      <c r="BO80" s="3208">
        <f t="shared" si="673"/>
        <v>0</v>
      </c>
      <c r="BP80" s="3136">
        <f t="shared" si="284"/>
        <v>0</v>
      </c>
      <c r="BQ80" s="3061"/>
      <c r="BR80" s="3061"/>
      <c r="BS80" s="3136">
        <f t="shared" si="286"/>
        <v>0</v>
      </c>
      <c r="BT80" s="3061"/>
      <c r="BU80" s="3061"/>
      <c r="BV80" s="3136">
        <f t="shared" si="288"/>
        <v>0</v>
      </c>
      <c r="BW80" s="3061"/>
      <c r="BX80" s="3061"/>
      <c r="BY80" s="3136">
        <f t="shared" si="545"/>
        <v>0</v>
      </c>
      <c r="BZ80" s="3136">
        <f t="shared" si="546"/>
        <v>0</v>
      </c>
      <c r="CA80" s="3136">
        <f t="shared" si="547"/>
        <v>0</v>
      </c>
      <c r="CB80" s="3209">
        <f t="shared" si="573"/>
        <v>0</v>
      </c>
      <c r="CC80" s="3209">
        <v>0</v>
      </c>
      <c r="CD80" s="3209">
        <v>0</v>
      </c>
      <c r="CE80" s="3264">
        <f t="shared" si="611"/>
        <v>66.77</v>
      </c>
      <c r="CF80" s="3264">
        <f t="shared" si="612"/>
        <v>66.77</v>
      </c>
      <c r="CG80" s="3264">
        <f t="shared" si="613"/>
        <v>0</v>
      </c>
      <c r="CH80" s="3264">
        <f t="shared" si="614"/>
        <v>66.77</v>
      </c>
      <c r="CI80" s="3264">
        <f t="shared" si="615"/>
        <v>66.77</v>
      </c>
      <c r="CJ80" s="3264">
        <f t="shared" si="616"/>
        <v>0</v>
      </c>
      <c r="CK80" s="3259"/>
      <c r="CL80" s="3259"/>
      <c r="CM80" s="3259"/>
      <c r="CN80" s="3055"/>
    </row>
    <row r="81" spans="1:92" ht="18.75" customHeight="1" x14ac:dyDescent="0.3">
      <c r="A81" s="3075" t="s">
        <v>3597</v>
      </c>
      <c r="B81" s="3208">
        <f t="shared" si="674"/>
        <v>72.75</v>
      </c>
      <c r="C81" s="3208">
        <f t="shared" si="675"/>
        <v>72.75</v>
      </c>
      <c r="D81" s="3208">
        <f t="shared" si="676"/>
        <v>0</v>
      </c>
      <c r="E81" s="3136">
        <f t="shared" si="167"/>
        <v>0</v>
      </c>
      <c r="F81" s="3061"/>
      <c r="G81" s="3061"/>
      <c r="H81" s="3136">
        <f t="shared" si="168"/>
        <v>0</v>
      </c>
      <c r="I81" s="3061"/>
      <c r="J81" s="3061"/>
      <c r="K81" s="3136">
        <f t="shared" si="169"/>
        <v>0</v>
      </c>
      <c r="L81" s="3061"/>
      <c r="M81" s="3061"/>
      <c r="N81" s="3136">
        <f t="shared" si="506"/>
        <v>0</v>
      </c>
      <c r="O81" s="3136">
        <f t="shared" si="507"/>
        <v>0</v>
      </c>
      <c r="P81" s="3136">
        <f t="shared" si="508"/>
        <v>0</v>
      </c>
      <c r="Q81" s="3208">
        <f t="shared" si="628"/>
        <v>72.75</v>
      </c>
      <c r="R81" s="3208">
        <f t="shared" si="666"/>
        <v>72.75</v>
      </c>
      <c r="S81" s="3208">
        <f t="shared" si="667"/>
        <v>0</v>
      </c>
      <c r="T81" s="3136">
        <f t="shared" si="252"/>
        <v>0</v>
      </c>
      <c r="U81" s="3061"/>
      <c r="V81" s="3061"/>
      <c r="W81" s="3136">
        <f t="shared" si="254"/>
        <v>0</v>
      </c>
      <c r="X81" s="3061"/>
      <c r="Y81" s="3061"/>
      <c r="Z81" s="3136">
        <f t="shared" si="256"/>
        <v>0</v>
      </c>
      <c r="AA81" s="3061"/>
      <c r="AB81" s="3061"/>
      <c r="AC81" s="3136">
        <f t="shared" si="513"/>
        <v>0</v>
      </c>
      <c r="AD81" s="3136">
        <f t="shared" si="514"/>
        <v>0</v>
      </c>
      <c r="AE81" s="3136">
        <f t="shared" si="515"/>
        <v>0</v>
      </c>
      <c r="AF81" s="3209">
        <f t="shared" si="642"/>
        <v>145.5</v>
      </c>
      <c r="AG81" s="3209">
        <f t="shared" si="643"/>
        <v>145.5</v>
      </c>
      <c r="AH81" s="3209">
        <f t="shared" si="644"/>
        <v>0</v>
      </c>
      <c r="AI81" s="3264">
        <f t="shared" si="645"/>
        <v>0</v>
      </c>
      <c r="AJ81" s="3264">
        <f t="shared" si="646"/>
        <v>0</v>
      </c>
      <c r="AK81" s="3264">
        <f t="shared" si="647"/>
        <v>0</v>
      </c>
      <c r="AL81" s="3264">
        <f t="shared" si="648"/>
        <v>-145.5</v>
      </c>
      <c r="AM81" s="3264">
        <f t="shared" si="649"/>
        <v>-145.5</v>
      </c>
      <c r="AN81" s="3264">
        <f t="shared" si="650"/>
        <v>0</v>
      </c>
      <c r="AO81" s="3208">
        <f t="shared" si="668"/>
        <v>72.75</v>
      </c>
      <c r="AP81" s="3208">
        <f t="shared" si="669"/>
        <v>72.75</v>
      </c>
      <c r="AQ81" s="3208">
        <f t="shared" si="670"/>
        <v>0</v>
      </c>
      <c r="AR81" s="3136">
        <f t="shared" si="267"/>
        <v>0</v>
      </c>
      <c r="AS81" s="3061"/>
      <c r="AT81" s="3061"/>
      <c r="AU81" s="3136">
        <f t="shared" si="269"/>
        <v>0</v>
      </c>
      <c r="AV81" s="3061"/>
      <c r="AW81" s="3061"/>
      <c r="AX81" s="3136">
        <f t="shared" si="271"/>
        <v>0</v>
      </c>
      <c r="AY81" s="3061"/>
      <c r="AZ81" s="3061"/>
      <c r="BA81" s="3136">
        <f t="shared" si="529"/>
        <v>0</v>
      </c>
      <c r="BB81" s="3136">
        <f t="shared" si="530"/>
        <v>0</v>
      </c>
      <c r="BC81" s="3136">
        <f t="shared" si="531"/>
        <v>0</v>
      </c>
      <c r="BD81" s="3209">
        <f t="shared" si="656"/>
        <v>218.25</v>
      </c>
      <c r="BE81" s="3209">
        <f t="shared" si="657"/>
        <v>218.25</v>
      </c>
      <c r="BF81" s="3209">
        <f t="shared" si="658"/>
        <v>0</v>
      </c>
      <c r="BG81" s="3264">
        <f t="shared" si="603"/>
        <v>0</v>
      </c>
      <c r="BH81" s="3264">
        <f t="shared" si="604"/>
        <v>0</v>
      </c>
      <c r="BI81" s="3264">
        <f t="shared" si="605"/>
        <v>0</v>
      </c>
      <c r="BJ81" s="3264">
        <f t="shared" si="606"/>
        <v>-218.25</v>
      </c>
      <c r="BK81" s="3264">
        <f t="shared" si="607"/>
        <v>-218.25</v>
      </c>
      <c r="BL81" s="3264">
        <f t="shared" si="608"/>
        <v>0</v>
      </c>
      <c r="BM81" s="3208">
        <f t="shared" si="671"/>
        <v>72.75</v>
      </c>
      <c r="BN81" s="3208">
        <f t="shared" si="672"/>
        <v>72.75</v>
      </c>
      <c r="BO81" s="3208">
        <f t="shared" si="673"/>
        <v>0</v>
      </c>
      <c r="BP81" s="3136">
        <f t="shared" si="284"/>
        <v>0</v>
      </c>
      <c r="BQ81" s="3061"/>
      <c r="BR81" s="3061"/>
      <c r="BS81" s="3136">
        <f t="shared" si="286"/>
        <v>0</v>
      </c>
      <c r="BT81" s="3061"/>
      <c r="BU81" s="3061"/>
      <c r="BV81" s="3136">
        <f t="shared" si="288"/>
        <v>0</v>
      </c>
      <c r="BW81" s="3061"/>
      <c r="BX81" s="3061"/>
      <c r="BY81" s="3136">
        <f t="shared" si="545"/>
        <v>0</v>
      </c>
      <c r="BZ81" s="3136">
        <f t="shared" si="546"/>
        <v>0</v>
      </c>
      <c r="CA81" s="3136">
        <f t="shared" si="547"/>
        <v>0</v>
      </c>
      <c r="CB81" s="3209">
        <f t="shared" si="573"/>
        <v>291</v>
      </c>
      <c r="CC81" s="3209">
        <v>291</v>
      </c>
      <c r="CD81" s="3209">
        <v>0</v>
      </c>
      <c r="CE81" s="3264">
        <f t="shared" si="611"/>
        <v>0</v>
      </c>
      <c r="CF81" s="3264">
        <f t="shared" si="612"/>
        <v>0</v>
      </c>
      <c r="CG81" s="3264">
        <f t="shared" si="613"/>
        <v>0</v>
      </c>
      <c r="CH81" s="3264">
        <f t="shared" si="614"/>
        <v>-291</v>
      </c>
      <c r="CI81" s="3264">
        <f t="shared" si="615"/>
        <v>-291</v>
      </c>
      <c r="CJ81" s="3264">
        <f t="shared" si="616"/>
        <v>0</v>
      </c>
      <c r="CK81" s="3259"/>
      <c r="CL81" s="3259"/>
      <c r="CM81" s="3259"/>
      <c r="CN81" s="3055"/>
    </row>
    <row r="82" spans="1:92" ht="18.75" customHeight="1" x14ac:dyDescent="0.3">
      <c r="A82" s="3075" t="s">
        <v>38</v>
      </c>
      <c r="B82" s="3208">
        <f t="shared" si="674"/>
        <v>19.5</v>
      </c>
      <c r="C82" s="3208">
        <f t="shared" si="675"/>
        <v>19.5</v>
      </c>
      <c r="D82" s="3208">
        <f t="shared" si="676"/>
        <v>0</v>
      </c>
      <c r="E82" s="3136">
        <f t="shared" si="167"/>
        <v>0</v>
      </c>
      <c r="F82" s="3061"/>
      <c r="G82" s="3061"/>
      <c r="H82" s="3136">
        <f t="shared" si="168"/>
        <v>4.7</v>
      </c>
      <c r="I82" s="3061">
        <v>4.7</v>
      </c>
      <c r="J82" s="3061"/>
      <c r="K82" s="3136">
        <f t="shared" si="169"/>
        <v>0</v>
      </c>
      <c r="L82" s="3061"/>
      <c r="M82" s="3061"/>
      <c r="N82" s="3136">
        <f t="shared" si="506"/>
        <v>4.7</v>
      </c>
      <c r="O82" s="3136">
        <f t="shared" si="507"/>
        <v>4.7</v>
      </c>
      <c r="P82" s="3136">
        <f t="shared" si="508"/>
        <v>0</v>
      </c>
      <c r="Q82" s="3208">
        <f t="shared" si="628"/>
        <v>19.5</v>
      </c>
      <c r="R82" s="3208">
        <f t="shared" si="666"/>
        <v>19.5</v>
      </c>
      <c r="S82" s="3208">
        <f t="shared" si="667"/>
        <v>0</v>
      </c>
      <c r="T82" s="3136">
        <f t="shared" si="252"/>
        <v>34.700000000000003</v>
      </c>
      <c r="U82" s="3061">
        <v>34.700000000000003</v>
      </c>
      <c r="V82" s="3061"/>
      <c r="W82" s="3136">
        <f t="shared" si="254"/>
        <v>0</v>
      </c>
      <c r="X82" s="3061"/>
      <c r="Y82" s="3061"/>
      <c r="Z82" s="3136">
        <f t="shared" si="256"/>
        <v>0</v>
      </c>
      <c r="AA82" s="3061"/>
      <c r="AB82" s="3061"/>
      <c r="AC82" s="3136">
        <f t="shared" si="513"/>
        <v>34.700000000000003</v>
      </c>
      <c r="AD82" s="3136">
        <f t="shared" si="514"/>
        <v>34.700000000000003</v>
      </c>
      <c r="AE82" s="3136">
        <f t="shared" si="515"/>
        <v>0</v>
      </c>
      <c r="AF82" s="3209">
        <f t="shared" si="642"/>
        <v>39</v>
      </c>
      <c r="AG82" s="3209">
        <f t="shared" si="643"/>
        <v>39</v>
      </c>
      <c r="AH82" s="3209">
        <f t="shared" si="644"/>
        <v>0</v>
      </c>
      <c r="AI82" s="3264">
        <f t="shared" si="645"/>
        <v>39.400000000000006</v>
      </c>
      <c r="AJ82" s="3264">
        <f t="shared" si="646"/>
        <v>39.400000000000006</v>
      </c>
      <c r="AK82" s="3264">
        <f t="shared" si="647"/>
        <v>0</v>
      </c>
      <c r="AL82" s="3264">
        <f t="shared" si="648"/>
        <v>0.40000000000000568</v>
      </c>
      <c r="AM82" s="3264">
        <f t="shared" si="649"/>
        <v>0.40000000000000568</v>
      </c>
      <c r="AN82" s="3264">
        <f t="shared" si="650"/>
        <v>0</v>
      </c>
      <c r="AO82" s="3208">
        <f t="shared" si="668"/>
        <v>19.5</v>
      </c>
      <c r="AP82" s="3208">
        <f t="shared" si="669"/>
        <v>19.5</v>
      </c>
      <c r="AQ82" s="3208">
        <f t="shared" si="670"/>
        <v>0</v>
      </c>
      <c r="AR82" s="3136">
        <f t="shared" si="267"/>
        <v>0</v>
      </c>
      <c r="AS82" s="3061"/>
      <c r="AT82" s="3061"/>
      <c r="AU82" s="3136">
        <f t="shared" si="269"/>
        <v>5.7</v>
      </c>
      <c r="AV82" s="3061">
        <v>5.7</v>
      </c>
      <c r="AW82" s="3061"/>
      <c r="AX82" s="3136">
        <f t="shared" si="271"/>
        <v>0</v>
      </c>
      <c r="AY82" s="3061"/>
      <c r="AZ82" s="3061"/>
      <c r="BA82" s="3136">
        <f t="shared" si="529"/>
        <v>5.7</v>
      </c>
      <c r="BB82" s="3136">
        <f t="shared" si="530"/>
        <v>5.7</v>
      </c>
      <c r="BC82" s="3136">
        <f t="shared" si="531"/>
        <v>0</v>
      </c>
      <c r="BD82" s="3209">
        <f t="shared" si="656"/>
        <v>58.5</v>
      </c>
      <c r="BE82" s="3209">
        <f t="shared" si="657"/>
        <v>58.5</v>
      </c>
      <c r="BF82" s="3209">
        <f t="shared" si="658"/>
        <v>0</v>
      </c>
      <c r="BG82" s="3264">
        <f t="shared" si="603"/>
        <v>45.100000000000009</v>
      </c>
      <c r="BH82" s="3264">
        <f t="shared" si="604"/>
        <v>45.100000000000009</v>
      </c>
      <c r="BI82" s="3264">
        <f t="shared" si="605"/>
        <v>0</v>
      </c>
      <c r="BJ82" s="3264">
        <f t="shared" si="606"/>
        <v>-13.399999999999991</v>
      </c>
      <c r="BK82" s="3264">
        <f t="shared" si="607"/>
        <v>-13.399999999999991</v>
      </c>
      <c r="BL82" s="3264">
        <f t="shared" si="608"/>
        <v>0</v>
      </c>
      <c r="BM82" s="3208">
        <f t="shared" si="671"/>
        <v>19.5</v>
      </c>
      <c r="BN82" s="3208">
        <f t="shared" si="672"/>
        <v>19.5</v>
      </c>
      <c r="BO82" s="3208">
        <f t="shared" si="673"/>
        <v>0</v>
      </c>
      <c r="BP82" s="3136">
        <f t="shared" si="284"/>
        <v>0</v>
      </c>
      <c r="BQ82" s="3061"/>
      <c r="BR82" s="3061"/>
      <c r="BS82" s="3136">
        <f t="shared" si="286"/>
        <v>0</v>
      </c>
      <c r="BT82" s="3061"/>
      <c r="BU82" s="3061"/>
      <c r="BV82" s="3136">
        <f t="shared" si="288"/>
        <v>0</v>
      </c>
      <c r="BW82" s="3061"/>
      <c r="BX82" s="3061"/>
      <c r="BY82" s="3136">
        <f t="shared" si="545"/>
        <v>0</v>
      </c>
      <c r="BZ82" s="3136">
        <f t="shared" si="546"/>
        <v>0</v>
      </c>
      <c r="CA82" s="3136">
        <f t="shared" si="547"/>
        <v>0</v>
      </c>
      <c r="CB82" s="3209">
        <f t="shared" si="573"/>
        <v>78</v>
      </c>
      <c r="CC82" s="3209">
        <v>78</v>
      </c>
      <c r="CD82" s="3209">
        <v>0</v>
      </c>
      <c r="CE82" s="3264">
        <f t="shared" si="611"/>
        <v>45.100000000000009</v>
      </c>
      <c r="CF82" s="3264">
        <f t="shared" si="612"/>
        <v>45.100000000000009</v>
      </c>
      <c r="CG82" s="3264">
        <f t="shared" si="613"/>
        <v>0</v>
      </c>
      <c r="CH82" s="3264">
        <f t="shared" si="614"/>
        <v>-32.899999999999991</v>
      </c>
      <c r="CI82" s="3264">
        <f t="shared" si="615"/>
        <v>-32.899999999999991</v>
      </c>
      <c r="CJ82" s="3264">
        <f t="shared" si="616"/>
        <v>0</v>
      </c>
      <c r="CK82" s="3259"/>
      <c r="CL82" s="3259"/>
      <c r="CM82" s="3259"/>
      <c r="CN82" s="3055"/>
    </row>
    <row r="83" spans="1:92" ht="18.75" customHeight="1" x14ac:dyDescent="0.3">
      <c r="A83" s="3075" t="s">
        <v>3598</v>
      </c>
      <c r="B83" s="3208">
        <f t="shared" si="674"/>
        <v>5.085</v>
      </c>
      <c r="C83" s="3208">
        <f t="shared" si="675"/>
        <v>5.085</v>
      </c>
      <c r="D83" s="3208">
        <f t="shared" si="676"/>
        <v>0</v>
      </c>
      <c r="E83" s="3136">
        <f t="shared" si="167"/>
        <v>0.28000000000000003</v>
      </c>
      <c r="F83" s="3061">
        <v>0.28000000000000003</v>
      </c>
      <c r="G83" s="3061"/>
      <c r="H83" s="3136">
        <f t="shared" si="168"/>
        <v>0.28000000000000003</v>
      </c>
      <c r="I83" s="3061">
        <v>0.28000000000000003</v>
      </c>
      <c r="J83" s="3061"/>
      <c r="K83" s="3136">
        <f t="shared" si="169"/>
        <v>0.28000000000000003</v>
      </c>
      <c r="L83" s="3061">
        <v>0.28000000000000003</v>
      </c>
      <c r="M83" s="3061"/>
      <c r="N83" s="3136">
        <f t="shared" si="506"/>
        <v>0.84000000000000008</v>
      </c>
      <c r="O83" s="3136">
        <f t="shared" si="507"/>
        <v>0.84000000000000008</v>
      </c>
      <c r="P83" s="3136">
        <f t="shared" si="508"/>
        <v>0</v>
      </c>
      <c r="Q83" s="3208">
        <f t="shared" si="628"/>
        <v>5.085</v>
      </c>
      <c r="R83" s="3208">
        <f t="shared" si="666"/>
        <v>5.085</v>
      </c>
      <c r="S83" s="3208">
        <f t="shared" si="667"/>
        <v>0</v>
      </c>
      <c r="T83" s="3136">
        <f t="shared" si="252"/>
        <v>43.78</v>
      </c>
      <c r="U83" s="3061">
        <f>0.28+43.5</f>
        <v>43.78</v>
      </c>
      <c r="V83" s="3061"/>
      <c r="W83" s="3136">
        <f t="shared" si="254"/>
        <v>0.28000000000000003</v>
      </c>
      <c r="X83" s="3061">
        <v>0.28000000000000003</v>
      </c>
      <c r="Y83" s="3061"/>
      <c r="Z83" s="3136">
        <f t="shared" si="256"/>
        <v>0.28000000000000003</v>
      </c>
      <c r="AA83" s="3061">
        <v>0.28000000000000003</v>
      </c>
      <c r="AB83" s="3061"/>
      <c r="AC83" s="3136">
        <f t="shared" si="513"/>
        <v>44.34</v>
      </c>
      <c r="AD83" s="3136">
        <f t="shared" si="514"/>
        <v>44.34</v>
      </c>
      <c r="AE83" s="3136">
        <f t="shared" si="515"/>
        <v>0</v>
      </c>
      <c r="AF83" s="3209">
        <f t="shared" si="642"/>
        <v>10.17</v>
      </c>
      <c r="AG83" s="3209">
        <f t="shared" si="643"/>
        <v>10.17</v>
      </c>
      <c r="AH83" s="3209">
        <f t="shared" si="644"/>
        <v>0</v>
      </c>
      <c r="AI83" s="3264">
        <f t="shared" si="645"/>
        <v>45.180000000000007</v>
      </c>
      <c r="AJ83" s="3264">
        <f t="shared" si="646"/>
        <v>45.180000000000007</v>
      </c>
      <c r="AK83" s="3264">
        <f t="shared" si="647"/>
        <v>0</v>
      </c>
      <c r="AL83" s="3264">
        <f t="shared" si="648"/>
        <v>35.010000000000005</v>
      </c>
      <c r="AM83" s="3264">
        <f t="shared" si="649"/>
        <v>35.010000000000005</v>
      </c>
      <c r="AN83" s="3264">
        <f t="shared" si="650"/>
        <v>0</v>
      </c>
      <c r="AO83" s="3208">
        <f t="shared" si="668"/>
        <v>5.085</v>
      </c>
      <c r="AP83" s="3208">
        <f t="shared" si="669"/>
        <v>5.085</v>
      </c>
      <c r="AQ83" s="3208">
        <f t="shared" si="670"/>
        <v>0</v>
      </c>
      <c r="AR83" s="3136">
        <f t="shared" si="267"/>
        <v>10.78</v>
      </c>
      <c r="AS83" s="3061">
        <v>10.78</v>
      </c>
      <c r="AT83" s="3061"/>
      <c r="AU83" s="3136">
        <f t="shared" si="269"/>
        <v>4.3099999999999996</v>
      </c>
      <c r="AV83" s="3061">
        <v>4.3099999999999996</v>
      </c>
      <c r="AW83" s="3061"/>
      <c r="AX83" s="3136">
        <f t="shared" si="271"/>
        <v>0</v>
      </c>
      <c r="AY83" s="3061"/>
      <c r="AZ83" s="3061"/>
      <c r="BA83" s="3136">
        <f t="shared" si="529"/>
        <v>15.09</v>
      </c>
      <c r="BB83" s="3136">
        <f t="shared" si="530"/>
        <v>15.09</v>
      </c>
      <c r="BC83" s="3136">
        <f t="shared" si="531"/>
        <v>0</v>
      </c>
      <c r="BD83" s="3209">
        <f t="shared" si="656"/>
        <v>15.254999999999999</v>
      </c>
      <c r="BE83" s="3209">
        <f t="shared" si="657"/>
        <v>15.254999999999999</v>
      </c>
      <c r="BF83" s="3209">
        <f t="shared" si="658"/>
        <v>0</v>
      </c>
      <c r="BG83" s="3264">
        <f t="shared" si="603"/>
        <v>60.27000000000001</v>
      </c>
      <c r="BH83" s="3264">
        <f t="shared" si="604"/>
        <v>60.27000000000001</v>
      </c>
      <c r="BI83" s="3264">
        <f t="shared" si="605"/>
        <v>0</v>
      </c>
      <c r="BJ83" s="3264">
        <f t="shared" si="606"/>
        <v>45.015000000000015</v>
      </c>
      <c r="BK83" s="3264">
        <f t="shared" si="607"/>
        <v>45.015000000000015</v>
      </c>
      <c r="BL83" s="3264">
        <f t="shared" si="608"/>
        <v>0</v>
      </c>
      <c r="BM83" s="3208">
        <f t="shared" si="671"/>
        <v>5.085</v>
      </c>
      <c r="BN83" s="3208">
        <f t="shared" si="672"/>
        <v>5.085</v>
      </c>
      <c r="BO83" s="3208">
        <f t="shared" si="673"/>
        <v>0</v>
      </c>
      <c r="BP83" s="3136">
        <f t="shared" si="284"/>
        <v>0</v>
      </c>
      <c r="BQ83" s="3061"/>
      <c r="BR83" s="3061"/>
      <c r="BS83" s="3136">
        <f t="shared" si="286"/>
        <v>0</v>
      </c>
      <c r="BT83" s="3061"/>
      <c r="BU83" s="3061"/>
      <c r="BV83" s="3136">
        <f t="shared" si="288"/>
        <v>0</v>
      </c>
      <c r="BW83" s="3061"/>
      <c r="BX83" s="3061"/>
      <c r="BY83" s="3136">
        <f t="shared" si="545"/>
        <v>0</v>
      </c>
      <c r="BZ83" s="3136">
        <f t="shared" si="546"/>
        <v>0</v>
      </c>
      <c r="CA83" s="3136">
        <f t="shared" si="547"/>
        <v>0</v>
      </c>
      <c r="CB83" s="3209">
        <f t="shared" si="573"/>
        <v>20.34</v>
      </c>
      <c r="CC83" s="3209">
        <v>20.34</v>
      </c>
      <c r="CD83" s="3209">
        <v>0</v>
      </c>
      <c r="CE83" s="3264">
        <f t="shared" si="611"/>
        <v>60.27000000000001</v>
      </c>
      <c r="CF83" s="3264">
        <f t="shared" si="612"/>
        <v>60.27000000000001</v>
      </c>
      <c r="CG83" s="3264">
        <f t="shared" si="613"/>
        <v>0</v>
      </c>
      <c r="CH83" s="3264">
        <f t="shared" si="614"/>
        <v>39.930000000000007</v>
      </c>
      <c r="CI83" s="3264">
        <f t="shared" si="615"/>
        <v>39.930000000000007</v>
      </c>
      <c r="CJ83" s="3264">
        <f t="shared" si="616"/>
        <v>0</v>
      </c>
      <c r="CK83" s="3259"/>
      <c r="CL83" s="3259"/>
      <c r="CM83" s="3259"/>
      <c r="CN83" s="3055"/>
    </row>
    <row r="84" spans="1:92" ht="18.75" customHeight="1" x14ac:dyDescent="0.3">
      <c r="A84" s="3075" t="s">
        <v>602</v>
      </c>
      <c r="B84" s="3208">
        <f t="shared" ref="B84:B89" si="677">SUM(C84:D84)</f>
        <v>1535.2549999999999</v>
      </c>
      <c r="C84" s="3208">
        <f t="shared" ref="C84:D84" si="678">SUM(C85:C88)</f>
        <v>1535.2549999999999</v>
      </c>
      <c r="D84" s="3208">
        <f t="shared" si="678"/>
        <v>0</v>
      </c>
      <c r="E84" s="3136">
        <f t="shared" si="167"/>
        <v>884.93000000000006</v>
      </c>
      <c r="F84" s="3060">
        <f>SUM(F85:F88)</f>
        <v>884.93000000000006</v>
      </c>
      <c r="G84" s="3060">
        <f t="shared" ref="G84" si="679">SUM(G85:G88)</f>
        <v>0</v>
      </c>
      <c r="H84" s="3136">
        <f t="shared" si="168"/>
        <v>754.42</v>
      </c>
      <c r="I84" s="3060">
        <f t="shared" ref="I84" si="680">SUM(I85:I88)</f>
        <v>754.42</v>
      </c>
      <c r="J84" s="3060">
        <f t="shared" ref="J84" si="681">SUM(J85:J88)</f>
        <v>0</v>
      </c>
      <c r="K84" s="3136">
        <f t="shared" si="169"/>
        <v>565.16999999999996</v>
      </c>
      <c r="L84" s="3060">
        <f t="shared" ref="L84" si="682">SUM(L85:L88)</f>
        <v>565.16999999999996</v>
      </c>
      <c r="M84" s="3060">
        <f t="shared" ref="M84" si="683">SUM(M85:M88)</f>
        <v>0</v>
      </c>
      <c r="N84" s="3136">
        <f t="shared" si="506"/>
        <v>2204.52</v>
      </c>
      <c r="O84" s="3136">
        <f t="shared" si="507"/>
        <v>2204.52</v>
      </c>
      <c r="P84" s="3136">
        <f t="shared" si="508"/>
        <v>0</v>
      </c>
      <c r="Q84" s="3208">
        <f t="shared" ref="Q84:Q88" si="684">SUM(R84:S84)</f>
        <v>1535.2549999999999</v>
      </c>
      <c r="R84" s="3208">
        <f t="shared" ref="R84" si="685">SUM(R85:R88)</f>
        <v>1535.2549999999999</v>
      </c>
      <c r="S84" s="3208">
        <f t="shared" ref="S84" si="686">SUM(S85:S88)</f>
        <v>0</v>
      </c>
      <c r="T84" s="3136">
        <f t="shared" si="252"/>
        <v>355.41</v>
      </c>
      <c r="U84" s="3060">
        <f t="shared" ref="U84" si="687">SUM(U85:U88)</f>
        <v>355.41</v>
      </c>
      <c r="V84" s="3060">
        <f t="shared" ref="V84" si="688">SUM(V85:V88)</f>
        <v>0</v>
      </c>
      <c r="W84" s="3136">
        <f t="shared" si="254"/>
        <v>137.69</v>
      </c>
      <c r="X84" s="3060">
        <f t="shared" ref="X84" si="689">SUM(X85:X88)</f>
        <v>137.69</v>
      </c>
      <c r="Y84" s="3060">
        <f t="shared" ref="Y84" si="690">SUM(Y85:Y88)</f>
        <v>0</v>
      </c>
      <c r="Z84" s="3136">
        <f t="shared" si="256"/>
        <v>8.17</v>
      </c>
      <c r="AA84" s="3060">
        <f t="shared" ref="AA84" si="691">SUM(AA85:AA88)</f>
        <v>8.17</v>
      </c>
      <c r="AB84" s="3060">
        <f t="shared" ref="AB84" si="692">SUM(AB85:AB88)</f>
        <v>0</v>
      </c>
      <c r="AC84" s="3136">
        <f t="shared" si="513"/>
        <v>501.27000000000004</v>
      </c>
      <c r="AD84" s="3136">
        <f t="shared" si="514"/>
        <v>501.27000000000004</v>
      </c>
      <c r="AE84" s="3136">
        <f t="shared" si="515"/>
        <v>0</v>
      </c>
      <c r="AF84" s="3209">
        <f t="shared" si="642"/>
        <v>3070.5099999999998</v>
      </c>
      <c r="AG84" s="3209">
        <f t="shared" si="643"/>
        <v>3070.5099999999998</v>
      </c>
      <c r="AH84" s="3209">
        <f t="shared" si="644"/>
        <v>0</v>
      </c>
      <c r="AI84" s="3264">
        <f t="shared" si="645"/>
        <v>2705.79</v>
      </c>
      <c r="AJ84" s="3264">
        <f t="shared" si="646"/>
        <v>2705.79</v>
      </c>
      <c r="AK84" s="3264">
        <f t="shared" si="647"/>
        <v>0</v>
      </c>
      <c r="AL84" s="3264">
        <f t="shared" si="648"/>
        <v>-364.7199999999998</v>
      </c>
      <c r="AM84" s="3264">
        <f t="shared" si="649"/>
        <v>-364.7199999999998</v>
      </c>
      <c r="AN84" s="3264">
        <f t="shared" si="650"/>
        <v>0</v>
      </c>
      <c r="AO84" s="3208">
        <f t="shared" ref="AO84:AO88" si="693">SUM(AP84:AQ84)</f>
        <v>1535.2549999999999</v>
      </c>
      <c r="AP84" s="3208">
        <f t="shared" ref="AP84" si="694">SUM(AP85:AP88)</f>
        <v>1535.2549999999999</v>
      </c>
      <c r="AQ84" s="3208">
        <f t="shared" ref="AQ84" si="695">SUM(AQ85:AQ88)</f>
        <v>0</v>
      </c>
      <c r="AR84" s="3136">
        <f t="shared" si="267"/>
        <v>42.29</v>
      </c>
      <c r="AS84" s="3060">
        <f t="shared" ref="AS84" si="696">SUM(AS85:AS88)</f>
        <v>42.29</v>
      </c>
      <c r="AT84" s="3060">
        <f t="shared" ref="AT84" si="697">SUM(AT85:AT88)</f>
        <v>0</v>
      </c>
      <c r="AU84" s="3136">
        <f t="shared" si="269"/>
        <v>88.359999999999985</v>
      </c>
      <c r="AV84" s="3060">
        <f t="shared" ref="AV84" si="698">SUM(AV85:AV88)</f>
        <v>88.359999999999985</v>
      </c>
      <c r="AW84" s="3060">
        <f t="shared" ref="AW84" si="699">SUM(AW85:AW88)</f>
        <v>0</v>
      </c>
      <c r="AX84" s="3136">
        <f t="shared" si="271"/>
        <v>66.39</v>
      </c>
      <c r="AY84" s="3060">
        <f t="shared" ref="AY84" si="700">SUM(AY85:AY88)</f>
        <v>66.39</v>
      </c>
      <c r="AZ84" s="3060">
        <f t="shared" ref="AZ84" si="701">SUM(AZ85:AZ88)</f>
        <v>0</v>
      </c>
      <c r="BA84" s="3136">
        <f t="shared" si="529"/>
        <v>197.03999999999996</v>
      </c>
      <c r="BB84" s="3136">
        <f t="shared" si="530"/>
        <v>197.03999999999996</v>
      </c>
      <c r="BC84" s="3136">
        <f t="shared" si="531"/>
        <v>0</v>
      </c>
      <c r="BD84" s="3209">
        <f t="shared" si="656"/>
        <v>4605.7649999999994</v>
      </c>
      <c r="BE84" s="3209">
        <f t="shared" si="657"/>
        <v>4605.7649999999994</v>
      </c>
      <c r="BF84" s="3209">
        <f t="shared" si="658"/>
        <v>0</v>
      </c>
      <c r="BG84" s="3264">
        <f t="shared" si="603"/>
        <v>2902.83</v>
      </c>
      <c r="BH84" s="3264">
        <f t="shared" si="604"/>
        <v>2902.83</v>
      </c>
      <c r="BI84" s="3264">
        <f t="shared" si="605"/>
        <v>0</v>
      </c>
      <c r="BJ84" s="3264">
        <f t="shared" si="606"/>
        <v>-1702.9349999999995</v>
      </c>
      <c r="BK84" s="3264">
        <f t="shared" si="607"/>
        <v>-1702.9349999999995</v>
      </c>
      <c r="BL84" s="3264">
        <f t="shared" si="608"/>
        <v>0</v>
      </c>
      <c r="BM84" s="3208">
        <f t="shared" ref="BM84:BM88" si="702">SUM(BN84:BO84)</f>
        <v>1535.2549999999999</v>
      </c>
      <c r="BN84" s="3208">
        <f t="shared" ref="BN84" si="703">SUM(BN85:BN88)</f>
        <v>1535.2549999999999</v>
      </c>
      <c r="BO84" s="3208">
        <f t="shared" ref="BO84" si="704">SUM(BO85:BO88)</f>
        <v>0</v>
      </c>
      <c r="BP84" s="3136">
        <f t="shared" si="284"/>
        <v>0</v>
      </c>
      <c r="BQ84" s="3060">
        <f t="shared" ref="BQ84" si="705">SUM(BQ85:BQ88)</f>
        <v>0</v>
      </c>
      <c r="BR84" s="3060">
        <f t="shared" ref="BR84" si="706">SUM(BR85:BR88)</f>
        <v>0</v>
      </c>
      <c r="BS84" s="3136">
        <f t="shared" si="286"/>
        <v>0</v>
      </c>
      <c r="BT84" s="3060">
        <f t="shared" ref="BT84" si="707">SUM(BT85:BT88)</f>
        <v>0</v>
      </c>
      <c r="BU84" s="3060">
        <f t="shared" ref="BU84" si="708">SUM(BU85:BU88)</f>
        <v>0</v>
      </c>
      <c r="BV84" s="3136">
        <f t="shared" si="288"/>
        <v>0</v>
      </c>
      <c r="BW84" s="3060">
        <f t="shared" ref="BW84" si="709">SUM(BW85:BW88)</f>
        <v>0</v>
      </c>
      <c r="BX84" s="3060">
        <f t="shared" ref="BX84" si="710">SUM(BX85:BX88)</f>
        <v>0</v>
      </c>
      <c r="BY84" s="3136">
        <f t="shared" si="545"/>
        <v>0</v>
      </c>
      <c r="BZ84" s="3136">
        <f t="shared" si="546"/>
        <v>0</v>
      </c>
      <c r="CA84" s="3136">
        <f t="shared" si="547"/>
        <v>0</v>
      </c>
      <c r="CB84" s="3209">
        <f t="shared" ref="CB84:CD84" si="711">SUM(CB85:CB88)</f>
        <v>6141.0199999999995</v>
      </c>
      <c r="CC84" s="3209">
        <f t="shared" si="711"/>
        <v>6141.0199999999995</v>
      </c>
      <c r="CD84" s="3209">
        <f t="shared" si="711"/>
        <v>0</v>
      </c>
      <c r="CE84" s="3264">
        <f t="shared" si="611"/>
        <v>2902.83</v>
      </c>
      <c r="CF84" s="3264">
        <f t="shared" si="612"/>
        <v>2902.83</v>
      </c>
      <c r="CG84" s="3264">
        <f t="shared" si="613"/>
        <v>0</v>
      </c>
      <c r="CH84" s="3264">
        <f t="shared" si="614"/>
        <v>-3238.1899999999996</v>
      </c>
      <c r="CI84" s="3264">
        <f t="shared" si="615"/>
        <v>-3238.1899999999996</v>
      </c>
      <c r="CJ84" s="3264">
        <f t="shared" si="616"/>
        <v>0</v>
      </c>
      <c r="CK84" s="3260"/>
      <c r="CL84" s="3260"/>
      <c r="CM84" s="3260"/>
      <c r="CN84" s="3055"/>
    </row>
    <row r="85" spans="1:92" ht="18.75" customHeight="1" x14ac:dyDescent="0.3">
      <c r="A85" s="3076" t="s">
        <v>3599</v>
      </c>
      <c r="B85" s="3210">
        <f t="shared" si="677"/>
        <v>1317.0374999999999</v>
      </c>
      <c r="C85" s="3210">
        <f t="shared" ref="C85:C88" si="712">SUM(CC85/4)</f>
        <v>1317.0374999999999</v>
      </c>
      <c r="D85" s="3210">
        <f t="shared" ref="D85:D88" si="713">SUM(CD85/4)</f>
        <v>0</v>
      </c>
      <c r="E85" s="3145">
        <f t="shared" si="167"/>
        <v>790.48</v>
      </c>
      <c r="F85" s="3066">
        <f>146.63+643.85</f>
        <v>790.48</v>
      </c>
      <c r="G85" s="3066"/>
      <c r="H85" s="3145">
        <f t="shared" si="168"/>
        <v>598.92999999999995</v>
      </c>
      <c r="I85" s="3066">
        <f>142.28+456.65</f>
        <v>598.92999999999995</v>
      </c>
      <c r="J85" s="3066"/>
      <c r="K85" s="3145">
        <f t="shared" si="169"/>
        <v>546.18999999999994</v>
      </c>
      <c r="L85" s="3066">
        <f>102.3+443.89</f>
        <v>546.18999999999994</v>
      </c>
      <c r="M85" s="3066"/>
      <c r="N85" s="3145">
        <f t="shared" si="506"/>
        <v>1935.6</v>
      </c>
      <c r="O85" s="3145">
        <f t="shared" si="507"/>
        <v>1935.6</v>
      </c>
      <c r="P85" s="3145">
        <f t="shared" si="508"/>
        <v>0</v>
      </c>
      <c r="Q85" s="3210">
        <f t="shared" si="684"/>
        <v>1317.0374999999999</v>
      </c>
      <c r="R85" s="3210">
        <f t="shared" ref="R85:R88" si="714">SUM(C85)</f>
        <v>1317.0374999999999</v>
      </c>
      <c r="S85" s="3210">
        <f t="shared" ref="S85:S88" si="715">SUM(D85)</f>
        <v>0</v>
      </c>
      <c r="T85" s="3145">
        <f t="shared" si="252"/>
        <v>349.79</v>
      </c>
      <c r="U85" s="3066">
        <f>62.88+286.91</f>
        <v>349.79</v>
      </c>
      <c r="V85" s="3066"/>
      <c r="W85" s="3145">
        <f t="shared" si="254"/>
        <v>126.44</v>
      </c>
      <c r="X85" s="3066">
        <f>23.72+102.72</f>
        <v>126.44</v>
      </c>
      <c r="Y85" s="3066"/>
      <c r="Z85" s="3145">
        <f t="shared" si="256"/>
        <v>4.8600000000000003</v>
      </c>
      <c r="AA85" s="3066">
        <v>4.8600000000000003</v>
      </c>
      <c r="AB85" s="3066"/>
      <c r="AC85" s="3145">
        <f t="shared" si="513"/>
        <v>481.09000000000003</v>
      </c>
      <c r="AD85" s="3145">
        <f t="shared" si="514"/>
        <v>481.09000000000003</v>
      </c>
      <c r="AE85" s="3145">
        <f t="shared" si="515"/>
        <v>0</v>
      </c>
      <c r="AF85" s="3211">
        <f t="shared" si="642"/>
        <v>2634.0749999999998</v>
      </c>
      <c r="AG85" s="3211">
        <f t="shared" si="643"/>
        <v>2634.0749999999998</v>
      </c>
      <c r="AH85" s="3211">
        <f t="shared" si="644"/>
        <v>0</v>
      </c>
      <c r="AI85" s="3194">
        <f t="shared" si="645"/>
        <v>2416.69</v>
      </c>
      <c r="AJ85" s="3194">
        <f t="shared" si="646"/>
        <v>2416.69</v>
      </c>
      <c r="AK85" s="3194">
        <f t="shared" si="647"/>
        <v>0</v>
      </c>
      <c r="AL85" s="3194">
        <f t="shared" si="648"/>
        <v>-217.38499999999976</v>
      </c>
      <c r="AM85" s="3194">
        <f t="shared" si="649"/>
        <v>-217.38499999999976</v>
      </c>
      <c r="AN85" s="3194">
        <f t="shared" si="650"/>
        <v>0</v>
      </c>
      <c r="AO85" s="3210">
        <f t="shared" si="693"/>
        <v>1317.0374999999999</v>
      </c>
      <c r="AP85" s="3210">
        <f t="shared" ref="AP85:AP88" si="716">SUM(CC85-AG85)/2</f>
        <v>1317.0374999999999</v>
      </c>
      <c r="AQ85" s="3210">
        <f t="shared" ref="AQ85:AQ88" si="717">SUM(CD85-AH85)/2</f>
        <v>0</v>
      </c>
      <c r="AR85" s="3145">
        <f t="shared" si="267"/>
        <v>3.61</v>
      </c>
      <c r="AS85" s="3066">
        <v>3.61</v>
      </c>
      <c r="AT85" s="3066"/>
      <c r="AU85" s="3145">
        <f t="shared" si="269"/>
        <v>4.57</v>
      </c>
      <c r="AV85" s="3066">
        <v>4.57</v>
      </c>
      <c r="AW85" s="3066"/>
      <c r="AX85" s="3145">
        <f t="shared" si="271"/>
        <v>18.87</v>
      </c>
      <c r="AY85" s="3066">
        <v>18.87</v>
      </c>
      <c r="AZ85" s="3066"/>
      <c r="BA85" s="3145">
        <f t="shared" si="529"/>
        <v>27.05</v>
      </c>
      <c r="BB85" s="3145">
        <f t="shared" si="530"/>
        <v>27.05</v>
      </c>
      <c r="BC85" s="3145">
        <f t="shared" si="531"/>
        <v>0</v>
      </c>
      <c r="BD85" s="3211">
        <f t="shared" si="656"/>
        <v>3951.1124999999997</v>
      </c>
      <c r="BE85" s="3211">
        <f t="shared" si="657"/>
        <v>3951.1124999999997</v>
      </c>
      <c r="BF85" s="3211">
        <f t="shared" si="658"/>
        <v>0</v>
      </c>
      <c r="BG85" s="3194">
        <f t="shared" si="603"/>
        <v>2443.7400000000002</v>
      </c>
      <c r="BH85" s="3194">
        <f t="shared" si="604"/>
        <v>2443.7400000000002</v>
      </c>
      <c r="BI85" s="3194">
        <f t="shared" si="605"/>
        <v>0</v>
      </c>
      <c r="BJ85" s="3194">
        <f t="shared" si="606"/>
        <v>-1507.3724999999995</v>
      </c>
      <c r="BK85" s="3194">
        <f t="shared" si="607"/>
        <v>-1507.3724999999995</v>
      </c>
      <c r="BL85" s="3194">
        <f t="shared" si="608"/>
        <v>0</v>
      </c>
      <c r="BM85" s="3210">
        <f t="shared" si="702"/>
        <v>1317.0374999999999</v>
      </c>
      <c r="BN85" s="3210">
        <f t="shared" ref="BN85:BN88" si="718">SUM(AP85)</f>
        <v>1317.0374999999999</v>
      </c>
      <c r="BO85" s="3210">
        <f t="shared" ref="BO85:BO88" si="719">SUM(AQ85)</f>
        <v>0</v>
      </c>
      <c r="BP85" s="3145">
        <f t="shared" si="284"/>
        <v>0</v>
      </c>
      <c r="BQ85" s="3066"/>
      <c r="BR85" s="3066"/>
      <c r="BS85" s="3145">
        <f t="shared" si="286"/>
        <v>0</v>
      </c>
      <c r="BT85" s="3066"/>
      <c r="BU85" s="3066"/>
      <c r="BV85" s="3145">
        <f t="shared" si="288"/>
        <v>0</v>
      </c>
      <c r="BW85" s="3066"/>
      <c r="BX85" s="3066"/>
      <c r="BY85" s="3145">
        <f t="shared" si="545"/>
        <v>0</v>
      </c>
      <c r="BZ85" s="3145">
        <f t="shared" si="546"/>
        <v>0</v>
      </c>
      <c r="CA85" s="3145">
        <f t="shared" si="547"/>
        <v>0</v>
      </c>
      <c r="CB85" s="3211">
        <f t="shared" si="573"/>
        <v>5268.15</v>
      </c>
      <c r="CC85" s="3211">
        <v>5268.15</v>
      </c>
      <c r="CD85" s="3211">
        <v>0</v>
      </c>
      <c r="CE85" s="3194">
        <f t="shared" si="611"/>
        <v>2443.7400000000002</v>
      </c>
      <c r="CF85" s="3194">
        <f t="shared" si="612"/>
        <v>2443.7400000000002</v>
      </c>
      <c r="CG85" s="3194">
        <f t="shared" si="613"/>
        <v>0</v>
      </c>
      <c r="CH85" s="3194">
        <f t="shared" si="614"/>
        <v>-2824.4099999999994</v>
      </c>
      <c r="CI85" s="3194">
        <f t="shared" si="615"/>
        <v>-2824.4099999999994</v>
      </c>
      <c r="CJ85" s="3194">
        <f t="shared" si="616"/>
        <v>0</v>
      </c>
      <c r="CK85" s="3259"/>
      <c r="CL85" s="3259"/>
      <c r="CM85" s="3259"/>
      <c r="CN85" s="3055"/>
    </row>
    <row r="86" spans="1:92" ht="18.75" customHeight="1" x14ac:dyDescent="0.3">
      <c r="A86" s="3076" t="s">
        <v>557</v>
      </c>
      <c r="B86" s="3210">
        <f t="shared" si="677"/>
        <v>207.5925</v>
      </c>
      <c r="C86" s="3210">
        <f t="shared" si="712"/>
        <v>207.5925</v>
      </c>
      <c r="D86" s="3210">
        <f t="shared" si="713"/>
        <v>0</v>
      </c>
      <c r="E86" s="3145">
        <f t="shared" si="167"/>
        <v>93.09</v>
      </c>
      <c r="F86" s="3066">
        <v>93.09</v>
      </c>
      <c r="G86" s="3066"/>
      <c r="H86" s="3145">
        <f t="shared" si="168"/>
        <v>155.49</v>
      </c>
      <c r="I86" s="3066">
        <v>155.49</v>
      </c>
      <c r="J86" s="3066"/>
      <c r="K86" s="3145">
        <f t="shared" si="169"/>
        <v>17.760000000000002</v>
      </c>
      <c r="L86" s="3066">
        <v>17.760000000000002</v>
      </c>
      <c r="M86" s="3066"/>
      <c r="N86" s="3145">
        <f t="shared" si="506"/>
        <v>266.34000000000003</v>
      </c>
      <c r="O86" s="3145">
        <f t="shared" si="507"/>
        <v>266.34000000000003</v>
      </c>
      <c r="P86" s="3145">
        <f t="shared" si="508"/>
        <v>0</v>
      </c>
      <c r="Q86" s="3210">
        <f t="shared" si="684"/>
        <v>207.5925</v>
      </c>
      <c r="R86" s="3210">
        <f t="shared" si="714"/>
        <v>207.5925</v>
      </c>
      <c r="S86" s="3210">
        <f t="shared" si="715"/>
        <v>0</v>
      </c>
      <c r="T86" s="3145">
        <f t="shared" si="252"/>
        <v>0.86999999999999988</v>
      </c>
      <c r="U86" s="3066">
        <f>0.69+0.18</f>
        <v>0.86999999999999988</v>
      </c>
      <c r="V86" s="3066"/>
      <c r="W86" s="3145">
        <f t="shared" si="254"/>
        <v>8.4</v>
      </c>
      <c r="X86" s="3066">
        <v>8.4</v>
      </c>
      <c r="Y86" s="3066"/>
      <c r="Z86" s="3145">
        <f t="shared" si="256"/>
        <v>0</v>
      </c>
      <c r="AA86" s="3066"/>
      <c r="AB86" s="3066"/>
      <c r="AC86" s="3145">
        <f t="shared" si="513"/>
        <v>9.27</v>
      </c>
      <c r="AD86" s="3145">
        <f t="shared" si="514"/>
        <v>9.27</v>
      </c>
      <c r="AE86" s="3145">
        <f t="shared" si="515"/>
        <v>0</v>
      </c>
      <c r="AF86" s="3211">
        <f t="shared" si="642"/>
        <v>415.185</v>
      </c>
      <c r="AG86" s="3211">
        <f t="shared" si="643"/>
        <v>415.185</v>
      </c>
      <c r="AH86" s="3211">
        <f t="shared" si="644"/>
        <v>0</v>
      </c>
      <c r="AI86" s="3194">
        <f t="shared" si="645"/>
        <v>275.61</v>
      </c>
      <c r="AJ86" s="3194">
        <f t="shared" si="646"/>
        <v>275.61</v>
      </c>
      <c r="AK86" s="3194">
        <f t="shared" si="647"/>
        <v>0</v>
      </c>
      <c r="AL86" s="3194">
        <f t="shared" si="648"/>
        <v>-139.57499999999999</v>
      </c>
      <c r="AM86" s="3194">
        <f t="shared" si="649"/>
        <v>-139.57499999999999</v>
      </c>
      <c r="AN86" s="3194">
        <f t="shared" si="650"/>
        <v>0</v>
      </c>
      <c r="AO86" s="3210">
        <f t="shared" si="693"/>
        <v>207.5925</v>
      </c>
      <c r="AP86" s="3210">
        <f t="shared" si="716"/>
        <v>207.5925</v>
      </c>
      <c r="AQ86" s="3210">
        <f t="shared" si="717"/>
        <v>0</v>
      </c>
      <c r="AR86" s="3145">
        <f t="shared" si="267"/>
        <v>38.68</v>
      </c>
      <c r="AS86" s="3066">
        <v>38.68</v>
      </c>
      <c r="AT86" s="3066"/>
      <c r="AU86" s="3145">
        <f t="shared" si="269"/>
        <v>80.849999999999994</v>
      </c>
      <c r="AV86" s="3066">
        <v>80.849999999999994</v>
      </c>
      <c r="AW86" s="3066"/>
      <c r="AX86" s="3145">
        <f t="shared" si="271"/>
        <v>28.84</v>
      </c>
      <c r="AY86" s="3066">
        <f>5.11+23.73</f>
        <v>28.84</v>
      </c>
      <c r="AZ86" s="3066"/>
      <c r="BA86" s="3145">
        <f t="shared" si="529"/>
        <v>148.37</v>
      </c>
      <c r="BB86" s="3145">
        <f t="shared" si="530"/>
        <v>148.37</v>
      </c>
      <c r="BC86" s="3145">
        <f t="shared" si="531"/>
        <v>0</v>
      </c>
      <c r="BD86" s="3211">
        <f t="shared" si="656"/>
        <v>622.77750000000003</v>
      </c>
      <c r="BE86" s="3211">
        <f t="shared" si="657"/>
        <v>622.77750000000003</v>
      </c>
      <c r="BF86" s="3211">
        <f t="shared" si="658"/>
        <v>0</v>
      </c>
      <c r="BG86" s="3194">
        <f t="shared" si="603"/>
        <v>423.98</v>
      </c>
      <c r="BH86" s="3194">
        <f t="shared" si="604"/>
        <v>423.98</v>
      </c>
      <c r="BI86" s="3194">
        <f t="shared" si="605"/>
        <v>0</v>
      </c>
      <c r="BJ86" s="3194">
        <f t="shared" si="606"/>
        <v>-198.79750000000001</v>
      </c>
      <c r="BK86" s="3194">
        <f t="shared" si="607"/>
        <v>-198.79750000000001</v>
      </c>
      <c r="BL86" s="3194">
        <f t="shared" si="608"/>
        <v>0</v>
      </c>
      <c r="BM86" s="3210">
        <f t="shared" si="702"/>
        <v>207.5925</v>
      </c>
      <c r="BN86" s="3210">
        <f t="shared" si="718"/>
        <v>207.5925</v>
      </c>
      <c r="BO86" s="3210">
        <f t="shared" si="719"/>
        <v>0</v>
      </c>
      <c r="BP86" s="3145">
        <f t="shared" si="284"/>
        <v>0</v>
      </c>
      <c r="BQ86" s="3066"/>
      <c r="BR86" s="3066"/>
      <c r="BS86" s="3145">
        <f t="shared" si="286"/>
        <v>0</v>
      </c>
      <c r="BT86" s="3066"/>
      <c r="BU86" s="3066"/>
      <c r="BV86" s="3145">
        <f t="shared" si="288"/>
        <v>0</v>
      </c>
      <c r="BW86" s="3066"/>
      <c r="BX86" s="3066"/>
      <c r="BY86" s="3145">
        <f t="shared" si="545"/>
        <v>0</v>
      </c>
      <c r="BZ86" s="3145">
        <f t="shared" si="546"/>
        <v>0</v>
      </c>
      <c r="CA86" s="3145">
        <f t="shared" si="547"/>
        <v>0</v>
      </c>
      <c r="CB86" s="3211">
        <f t="shared" si="573"/>
        <v>830.37</v>
      </c>
      <c r="CC86" s="3211">
        <v>830.37</v>
      </c>
      <c r="CD86" s="3211">
        <v>0</v>
      </c>
      <c r="CE86" s="3194">
        <f t="shared" si="611"/>
        <v>423.98</v>
      </c>
      <c r="CF86" s="3194">
        <f t="shared" si="612"/>
        <v>423.98</v>
      </c>
      <c r="CG86" s="3194">
        <f t="shared" si="613"/>
        <v>0</v>
      </c>
      <c r="CH86" s="3194">
        <f t="shared" si="614"/>
        <v>-406.39</v>
      </c>
      <c r="CI86" s="3194">
        <f t="shared" si="615"/>
        <v>-406.39</v>
      </c>
      <c r="CJ86" s="3194">
        <f t="shared" si="616"/>
        <v>0</v>
      </c>
      <c r="CK86" s="3259"/>
      <c r="CL86" s="3259"/>
      <c r="CM86" s="3259"/>
      <c r="CN86" s="3055"/>
    </row>
    <row r="87" spans="1:92" ht="18.75" customHeight="1" x14ac:dyDescent="0.3">
      <c r="A87" s="3076" t="s">
        <v>556</v>
      </c>
      <c r="B87" s="3210">
        <f t="shared" si="677"/>
        <v>0</v>
      </c>
      <c r="C87" s="3210">
        <f t="shared" si="712"/>
        <v>0</v>
      </c>
      <c r="D87" s="3210">
        <f t="shared" si="713"/>
        <v>0</v>
      </c>
      <c r="E87" s="3145">
        <f t="shared" si="167"/>
        <v>0</v>
      </c>
      <c r="F87" s="3066"/>
      <c r="G87" s="3066"/>
      <c r="H87" s="3145">
        <f t="shared" si="168"/>
        <v>0</v>
      </c>
      <c r="I87" s="3066"/>
      <c r="J87" s="3066"/>
      <c r="K87" s="3145">
        <f t="shared" si="169"/>
        <v>0</v>
      </c>
      <c r="L87" s="3066"/>
      <c r="M87" s="3066"/>
      <c r="N87" s="3145">
        <f t="shared" si="506"/>
        <v>0</v>
      </c>
      <c r="O87" s="3145">
        <f t="shared" si="507"/>
        <v>0</v>
      </c>
      <c r="P87" s="3145">
        <f t="shared" si="508"/>
        <v>0</v>
      </c>
      <c r="Q87" s="3210">
        <f t="shared" si="684"/>
        <v>0</v>
      </c>
      <c r="R87" s="3210">
        <f t="shared" si="714"/>
        <v>0</v>
      </c>
      <c r="S87" s="3210">
        <f t="shared" si="715"/>
        <v>0</v>
      </c>
      <c r="T87" s="3145">
        <f t="shared" si="252"/>
        <v>0</v>
      </c>
      <c r="U87" s="3066"/>
      <c r="V87" s="3066"/>
      <c r="W87" s="3145">
        <f t="shared" si="254"/>
        <v>0</v>
      </c>
      <c r="X87" s="3066"/>
      <c r="Y87" s="3066"/>
      <c r="Z87" s="3145">
        <f t="shared" si="256"/>
        <v>0</v>
      </c>
      <c r="AA87" s="3066"/>
      <c r="AB87" s="3066"/>
      <c r="AC87" s="3145">
        <f t="shared" si="513"/>
        <v>0</v>
      </c>
      <c r="AD87" s="3145">
        <f t="shared" si="514"/>
        <v>0</v>
      </c>
      <c r="AE87" s="3145">
        <f t="shared" si="515"/>
        <v>0</v>
      </c>
      <c r="AF87" s="3211">
        <f t="shared" si="642"/>
        <v>0</v>
      </c>
      <c r="AG87" s="3211">
        <f t="shared" si="643"/>
        <v>0</v>
      </c>
      <c r="AH87" s="3211">
        <f t="shared" si="644"/>
        <v>0</v>
      </c>
      <c r="AI87" s="3194">
        <f t="shared" si="645"/>
        <v>0</v>
      </c>
      <c r="AJ87" s="3194">
        <f t="shared" si="646"/>
        <v>0</v>
      </c>
      <c r="AK87" s="3194">
        <f t="shared" si="647"/>
        <v>0</v>
      </c>
      <c r="AL87" s="3194">
        <f t="shared" si="648"/>
        <v>0</v>
      </c>
      <c r="AM87" s="3194">
        <f t="shared" si="649"/>
        <v>0</v>
      </c>
      <c r="AN87" s="3194">
        <f t="shared" si="650"/>
        <v>0</v>
      </c>
      <c r="AO87" s="3210">
        <f t="shared" si="693"/>
        <v>0</v>
      </c>
      <c r="AP87" s="3210">
        <f t="shared" si="716"/>
        <v>0</v>
      </c>
      <c r="AQ87" s="3210">
        <f t="shared" si="717"/>
        <v>0</v>
      </c>
      <c r="AR87" s="3145">
        <f t="shared" si="267"/>
        <v>0</v>
      </c>
      <c r="AS87" s="3066"/>
      <c r="AT87" s="3066"/>
      <c r="AU87" s="3145">
        <f t="shared" si="269"/>
        <v>0</v>
      </c>
      <c r="AV87" s="3066"/>
      <c r="AW87" s="3066"/>
      <c r="AX87" s="3145">
        <f t="shared" si="271"/>
        <v>0</v>
      </c>
      <c r="AY87" s="3066"/>
      <c r="AZ87" s="3066"/>
      <c r="BA87" s="3145">
        <f t="shared" si="529"/>
        <v>0</v>
      </c>
      <c r="BB87" s="3145">
        <f t="shared" si="530"/>
        <v>0</v>
      </c>
      <c r="BC87" s="3145">
        <f t="shared" si="531"/>
        <v>0</v>
      </c>
      <c r="BD87" s="3211">
        <f t="shared" si="656"/>
        <v>0</v>
      </c>
      <c r="BE87" s="3211">
        <f t="shared" si="657"/>
        <v>0</v>
      </c>
      <c r="BF87" s="3211">
        <f t="shared" si="658"/>
        <v>0</v>
      </c>
      <c r="BG87" s="3194">
        <f t="shared" si="603"/>
        <v>0</v>
      </c>
      <c r="BH87" s="3194">
        <f t="shared" si="604"/>
        <v>0</v>
      </c>
      <c r="BI87" s="3194">
        <f t="shared" si="605"/>
        <v>0</v>
      </c>
      <c r="BJ87" s="3194">
        <f t="shared" si="606"/>
        <v>0</v>
      </c>
      <c r="BK87" s="3194">
        <f t="shared" si="607"/>
        <v>0</v>
      </c>
      <c r="BL87" s="3194">
        <f t="shared" si="608"/>
        <v>0</v>
      </c>
      <c r="BM87" s="3210">
        <f t="shared" si="702"/>
        <v>0</v>
      </c>
      <c r="BN87" s="3210">
        <f t="shared" si="718"/>
        <v>0</v>
      </c>
      <c r="BO87" s="3210">
        <f t="shared" si="719"/>
        <v>0</v>
      </c>
      <c r="BP87" s="3145">
        <f t="shared" si="284"/>
        <v>0</v>
      </c>
      <c r="BQ87" s="3066"/>
      <c r="BR87" s="3066"/>
      <c r="BS87" s="3145">
        <f t="shared" si="286"/>
        <v>0</v>
      </c>
      <c r="BT87" s="3066"/>
      <c r="BU87" s="3066"/>
      <c r="BV87" s="3145">
        <f t="shared" si="288"/>
        <v>0</v>
      </c>
      <c r="BW87" s="3066"/>
      <c r="BX87" s="3066"/>
      <c r="BY87" s="3145">
        <f t="shared" si="545"/>
        <v>0</v>
      </c>
      <c r="BZ87" s="3145">
        <f t="shared" si="546"/>
        <v>0</v>
      </c>
      <c r="CA87" s="3145">
        <f t="shared" si="547"/>
        <v>0</v>
      </c>
      <c r="CB87" s="3211">
        <f t="shared" si="573"/>
        <v>0</v>
      </c>
      <c r="CC87" s="3211">
        <v>0</v>
      </c>
      <c r="CD87" s="3211">
        <v>0</v>
      </c>
      <c r="CE87" s="3194">
        <f t="shared" si="611"/>
        <v>0</v>
      </c>
      <c r="CF87" s="3194">
        <f t="shared" si="612"/>
        <v>0</v>
      </c>
      <c r="CG87" s="3194">
        <f t="shared" si="613"/>
        <v>0</v>
      </c>
      <c r="CH87" s="3194">
        <f t="shared" si="614"/>
        <v>0</v>
      </c>
      <c r="CI87" s="3194">
        <f t="shared" si="615"/>
        <v>0</v>
      </c>
      <c r="CJ87" s="3194">
        <f t="shared" si="616"/>
        <v>0</v>
      </c>
      <c r="CK87" s="3259"/>
      <c r="CL87" s="3259"/>
      <c r="CM87" s="3259"/>
      <c r="CN87" s="3055"/>
    </row>
    <row r="88" spans="1:92" ht="18.75" customHeight="1" x14ac:dyDescent="0.3">
      <c r="A88" s="3076" t="s">
        <v>3600</v>
      </c>
      <c r="B88" s="3210">
        <f t="shared" si="677"/>
        <v>10.625</v>
      </c>
      <c r="C88" s="3210">
        <f t="shared" si="712"/>
        <v>10.625</v>
      </c>
      <c r="D88" s="3210">
        <f t="shared" si="713"/>
        <v>0</v>
      </c>
      <c r="E88" s="3145">
        <f t="shared" si="167"/>
        <v>1.36</v>
      </c>
      <c r="F88" s="3066">
        <v>1.36</v>
      </c>
      <c r="G88" s="3066"/>
      <c r="H88" s="3145">
        <f t="shared" si="168"/>
        <v>0</v>
      </c>
      <c r="I88" s="3066"/>
      <c r="J88" s="3066"/>
      <c r="K88" s="3145">
        <f t="shared" si="169"/>
        <v>1.22</v>
      </c>
      <c r="L88" s="3066">
        <v>1.22</v>
      </c>
      <c r="M88" s="3066"/>
      <c r="N88" s="3145">
        <f t="shared" si="506"/>
        <v>2.58</v>
      </c>
      <c r="O88" s="3145">
        <f t="shared" si="507"/>
        <v>2.58</v>
      </c>
      <c r="P88" s="3145">
        <f t="shared" si="508"/>
        <v>0</v>
      </c>
      <c r="Q88" s="3210">
        <f t="shared" si="684"/>
        <v>10.625</v>
      </c>
      <c r="R88" s="3210">
        <f t="shared" si="714"/>
        <v>10.625</v>
      </c>
      <c r="S88" s="3210">
        <f t="shared" si="715"/>
        <v>0</v>
      </c>
      <c r="T88" s="3145">
        <f t="shared" si="252"/>
        <v>4.75</v>
      </c>
      <c r="U88" s="3066">
        <v>4.75</v>
      </c>
      <c r="V88" s="3066"/>
      <c r="W88" s="3145">
        <f t="shared" si="254"/>
        <v>2.85</v>
      </c>
      <c r="X88" s="3066">
        <v>2.85</v>
      </c>
      <c r="Y88" s="3066"/>
      <c r="Z88" s="3145">
        <f t="shared" si="256"/>
        <v>3.31</v>
      </c>
      <c r="AA88" s="3066">
        <v>3.31</v>
      </c>
      <c r="AB88" s="3066"/>
      <c r="AC88" s="3145">
        <f t="shared" si="513"/>
        <v>10.91</v>
      </c>
      <c r="AD88" s="3145">
        <f t="shared" si="514"/>
        <v>10.91</v>
      </c>
      <c r="AE88" s="3145">
        <f t="shared" si="515"/>
        <v>0</v>
      </c>
      <c r="AF88" s="3211">
        <f t="shared" si="642"/>
        <v>21.25</v>
      </c>
      <c r="AG88" s="3211">
        <f t="shared" si="643"/>
        <v>21.25</v>
      </c>
      <c r="AH88" s="3211">
        <f t="shared" si="644"/>
        <v>0</v>
      </c>
      <c r="AI88" s="3194">
        <f t="shared" si="645"/>
        <v>13.49</v>
      </c>
      <c r="AJ88" s="3194">
        <f t="shared" si="646"/>
        <v>13.49</v>
      </c>
      <c r="AK88" s="3194">
        <f t="shared" si="647"/>
        <v>0</v>
      </c>
      <c r="AL88" s="3194">
        <f t="shared" si="648"/>
        <v>-7.76</v>
      </c>
      <c r="AM88" s="3194">
        <f t="shared" si="649"/>
        <v>-7.76</v>
      </c>
      <c r="AN88" s="3194">
        <f t="shared" si="650"/>
        <v>0</v>
      </c>
      <c r="AO88" s="3210">
        <f t="shared" si="693"/>
        <v>10.625</v>
      </c>
      <c r="AP88" s="3210">
        <f t="shared" si="716"/>
        <v>10.625</v>
      </c>
      <c r="AQ88" s="3210">
        <f t="shared" si="717"/>
        <v>0</v>
      </c>
      <c r="AR88" s="3145">
        <f t="shared" si="267"/>
        <v>0</v>
      </c>
      <c r="AS88" s="3066"/>
      <c r="AT88" s="3066"/>
      <c r="AU88" s="3145">
        <f t="shared" si="269"/>
        <v>2.94</v>
      </c>
      <c r="AV88" s="3066">
        <v>2.94</v>
      </c>
      <c r="AW88" s="3066"/>
      <c r="AX88" s="3145">
        <f t="shared" si="271"/>
        <v>18.68</v>
      </c>
      <c r="AY88" s="3066">
        <v>18.68</v>
      </c>
      <c r="AZ88" s="3066"/>
      <c r="BA88" s="3145">
        <f t="shared" si="529"/>
        <v>21.62</v>
      </c>
      <c r="BB88" s="3145">
        <f t="shared" si="530"/>
        <v>21.62</v>
      </c>
      <c r="BC88" s="3145">
        <f t="shared" si="531"/>
        <v>0</v>
      </c>
      <c r="BD88" s="3211">
        <f t="shared" si="656"/>
        <v>31.875</v>
      </c>
      <c r="BE88" s="3211">
        <f t="shared" si="657"/>
        <v>31.875</v>
      </c>
      <c r="BF88" s="3211">
        <f t="shared" si="658"/>
        <v>0</v>
      </c>
      <c r="BG88" s="3194">
        <f t="shared" si="603"/>
        <v>35.11</v>
      </c>
      <c r="BH88" s="3194">
        <f t="shared" si="604"/>
        <v>35.11</v>
      </c>
      <c r="BI88" s="3194">
        <f t="shared" si="605"/>
        <v>0</v>
      </c>
      <c r="BJ88" s="3194">
        <f t="shared" si="606"/>
        <v>3.2349999999999994</v>
      </c>
      <c r="BK88" s="3194">
        <f t="shared" si="607"/>
        <v>3.2349999999999994</v>
      </c>
      <c r="BL88" s="3194">
        <f t="shared" si="608"/>
        <v>0</v>
      </c>
      <c r="BM88" s="3210">
        <f t="shared" si="702"/>
        <v>10.625</v>
      </c>
      <c r="BN88" s="3210">
        <f t="shared" si="718"/>
        <v>10.625</v>
      </c>
      <c r="BO88" s="3210">
        <f t="shared" si="719"/>
        <v>0</v>
      </c>
      <c r="BP88" s="3145">
        <f t="shared" si="284"/>
        <v>0</v>
      </c>
      <c r="BQ88" s="3066"/>
      <c r="BR88" s="3066"/>
      <c r="BS88" s="3145">
        <f t="shared" si="286"/>
        <v>0</v>
      </c>
      <c r="BT88" s="3066"/>
      <c r="BU88" s="3066"/>
      <c r="BV88" s="3145">
        <f t="shared" si="288"/>
        <v>0</v>
      </c>
      <c r="BW88" s="3066"/>
      <c r="BX88" s="3066"/>
      <c r="BY88" s="3145">
        <f t="shared" si="545"/>
        <v>0</v>
      </c>
      <c r="BZ88" s="3145">
        <f t="shared" si="546"/>
        <v>0</v>
      </c>
      <c r="CA88" s="3145">
        <f t="shared" si="547"/>
        <v>0</v>
      </c>
      <c r="CB88" s="3211">
        <f t="shared" si="573"/>
        <v>42.5</v>
      </c>
      <c r="CC88" s="3211">
        <v>42.5</v>
      </c>
      <c r="CD88" s="3211">
        <v>0</v>
      </c>
      <c r="CE88" s="3194">
        <f t="shared" si="611"/>
        <v>35.11</v>
      </c>
      <c r="CF88" s="3194">
        <f t="shared" si="612"/>
        <v>35.11</v>
      </c>
      <c r="CG88" s="3194">
        <f t="shared" si="613"/>
        <v>0</v>
      </c>
      <c r="CH88" s="3194">
        <f t="shared" si="614"/>
        <v>-7.3900000000000006</v>
      </c>
      <c r="CI88" s="3194">
        <f t="shared" si="615"/>
        <v>-7.3900000000000006</v>
      </c>
      <c r="CJ88" s="3194">
        <f t="shared" si="616"/>
        <v>0</v>
      </c>
      <c r="CK88" s="3259"/>
      <c r="CL88" s="3259"/>
      <c r="CM88" s="3259"/>
      <c r="CN88" s="3055"/>
    </row>
    <row r="89" spans="1:92" ht="18.75" customHeight="1" x14ac:dyDescent="0.3">
      <c r="A89" s="3075" t="s">
        <v>605</v>
      </c>
      <c r="B89" s="3208">
        <f t="shared" si="677"/>
        <v>109.14000000000001</v>
      </c>
      <c r="C89" s="3208">
        <f t="shared" ref="C89:G89" si="720">SUM(C90:C93)</f>
        <v>109.14000000000001</v>
      </c>
      <c r="D89" s="3208">
        <f t="shared" si="720"/>
        <v>0</v>
      </c>
      <c r="E89" s="3136">
        <f t="shared" ref="E89:E99" si="721">SUM(F89:G89)</f>
        <v>13.55</v>
      </c>
      <c r="F89" s="3060">
        <f>SUM(F90:F93)</f>
        <v>13.55</v>
      </c>
      <c r="G89" s="3060">
        <f t="shared" si="720"/>
        <v>0</v>
      </c>
      <c r="H89" s="3136">
        <f t="shared" ref="H89:H99" si="722">SUM(I89:J89)</f>
        <v>51.32</v>
      </c>
      <c r="I89" s="3060">
        <f t="shared" ref="I89:J89" si="723">SUM(I90:I93)</f>
        <v>51.32</v>
      </c>
      <c r="J89" s="3060">
        <f t="shared" si="723"/>
        <v>0</v>
      </c>
      <c r="K89" s="3136">
        <f t="shared" ref="K89:K99" si="724">SUM(L89:M89)</f>
        <v>11.85</v>
      </c>
      <c r="L89" s="3060">
        <f t="shared" ref="L89:M89" si="725">SUM(L90:L93)</f>
        <v>11.85</v>
      </c>
      <c r="M89" s="3060">
        <f t="shared" si="725"/>
        <v>0</v>
      </c>
      <c r="N89" s="3136">
        <f t="shared" si="506"/>
        <v>76.72</v>
      </c>
      <c r="O89" s="3136">
        <f t="shared" si="507"/>
        <v>76.72</v>
      </c>
      <c r="P89" s="3136">
        <f t="shared" si="508"/>
        <v>0</v>
      </c>
      <c r="Q89" s="3208">
        <f t="shared" ref="Q89:Q93" si="726">SUM(R89:S89)</f>
        <v>109.14000000000001</v>
      </c>
      <c r="R89" s="3208">
        <f t="shared" ref="R89:S89" si="727">SUM(R90:R93)</f>
        <v>109.14000000000001</v>
      </c>
      <c r="S89" s="3208">
        <f t="shared" si="727"/>
        <v>0</v>
      </c>
      <c r="T89" s="3136">
        <f t="shared" si="252"/>
        <v>131.62</v>
      </c>
      <c r="U89" s="3060">
        <f t="shared" ref="U89:V89" si="728">SUM(U90:U93)</f>
        <v>131.62</v>
      </c>
      <c r="V89" s="3060">
        <f t="shared" si="728"/>
        <v>0</v>
      </c>
      <c r="W89" s="3136">
        <f t="shared" si="254"/>
        <v>131.94</v>
      </c>
      <c r="X89" s="3060">
        <f t="shared" ref="X89:Y89" si="729">SUM(X90:X93)</f>
        <v>131.94</v>
      </c>
      <c r="Y89" s="3060">
        <f t="shared" si="729"/>
        <v>0</v>
      </c>
      <c r="Z89" s="3136">
        <f t="shared" si="256"/>
        <v>54.2</v>
      </c>
      <c r="AA89" s="3060">
        <f t="shared" ref="AA89:AB89" si="730">SUM(AA90:AA93)</f>
        <v>54.2</v>
      </c>
      <c r="AB89" s="3060">
        <f t="shared" si="730"/>
        <v>0</v>
      </c>
      <c r="AC89" s="3136">
        <f t="shared" si="513"/>
        <v>317.76</v>
      </c>
      <c r="AD89" s="3136">
        <f t="shared" si="514"/>
        <v>317.76</v>
      </c>
      <c r="AE89" s="3136">
        <f t="shared" si="515"/>
        <v>0</v>
      </c>
      <c r="AF89" s="3209">
        <f t="shared" si="642"/>
        <v>218.28000000000003</v>
      </c>
      <c r="AG89" s="3209">
        <f t="shared" si="643"/>
        <v>218.28000000000003</v>
      </c>
      <c r="AH89" s="3209">
        <f t="shared" si="644"/>
        <v>0</v>
      </c>
      <c r="AI89" s="3264">
        <f t="shared" si="645"/>
        <v>394.48</v>
      </c>
      <c r="AJ89" s="3264">
        <f t="shared" si="646"/>
        <v>394.48</v>
      </c>
      <c r="AK89" s="3264">
        <f t="shared" si="647"/>
        <v>0</v>
      </c>
      <c r="AL89" s="3264">
        <f t="shared" si="648"/>
        <v>176.2</v>
      </c>
      <c r="AM89" s="3264">
        <f t="shared" si="649"/>
        <v>176.2</v>
      </c>
      <c r="AN89" s="3264">
        <f t="shared" si="650"/>
        <v>0</v>
      </c>
      <c r="AO89" s="3208">
        <f t="shared" ref="AO89" si="731">SUM(AP89:AQ89)</f>
        <v>109.14000000000001</v>
      </c>
      <c r="AP89" s="3208">
        <f t="shared" ref="AP89:AQ89" si="732">SUM(AP90:AP93)</f>
        <v>109.14000000000001</v>
      </c>
      <c r="AQ89" s="3208">
        <f t="shared" si="732"/>
        <v>0</v>
      </c>
      <c r="AR89" s="3136">
        <f t="shared" si="267"/>
        <v>61.57</v>
      </c>
      <c r="AS89" s="3060">
        <f t="shared" ref="AS89:AT89" si="733">SUM(AS90:AS93)</f>
        <v>61.57</v>
      </c>
      <c r="AT89" s="3060">
        <f t="shared" si="733"/>
        <v>0</v>
      </c>
      <c r="AU89" s="3136">
        <f t="shared" si="269"/>
        <v>128.54</v>
      </c>
      <c r="AV89" s="3060">
        <f t="shared" ref="AV89:AW89" si="734">SUM(AV90:AV93)</f>
        <v>128.54</v>
      </c>
      <c r="AW89" s="3060">
        <f t="shared" si="734"/>
        <v>0</v>
      </c>
      <c r="AX89" s="3136">
        <f t="shared" si="271"/>
        <v>120.39999999999998</v>
      </c>
      <c r="AY89" s="3060">
        <f t="shared" ref="AY89:AZ89" si="735">SUM(AY90:AY93)</f>
        <v>120.39999999999998</v>
      </c>
      <c r="AZ89" s="3060">
        <f t="shared" si="735"/>
        <v>0</v>
      </c>
      <c r="BA89" s="3136">
        <f t="shared" si="529"/>
        <v>310.51</v>
      </c>
      <c r="BB89" s="3136">
        <f t="shared" si="530"/>
        <v>310.51</v>
      </c>
      <c r="BC89" s="3136">
        <f t="shared" si="531"/>
        <v>0</v>
      </c>
      <c r="BD89" s="3209">
        <f t="shared" si="656"/>
        <v>327.42000000000007</v>
      </c>
      <c r="BE89" s="3209">
        <f t="shared" si="657"/>
        <v>327.42000000000007</v>
      </c>
      <c r="BF89" s="3209">
        <f t="shared" si="658"/>
        <v>0</v>
      </c>
      <c r="BG89" s="3264">
        <f t="shared" si="603"/>
        <v>704.99</v>
      </c>
      <c r="BH89" s="3264">
        <f t="shared" si="604"/>
        <v>704.99</v>
      </c>
      <c r="BI89" s="3264">
        <f t="shared" si="605"/>
        <v>0</v>
      </c>
      <c r="BJ89" s="3264">
        <f t="shared" si="606"/>
        <v>377.56999999999994</v>
      </c>
      <c r="BK89" s="3264">
        <f t="shared" si="607"/>
        <v>377.56999999999994</v>
      </c>
      <c r="BL89" s="3264">
        <f t="shared" si="608"/>
        <v>0</v>
      </c>
      <c r="BM89" s="3208">
        <f t="shared" ref="BM89" si="736">SUM(BN89:BO89)</f>
        <v>109.14000000000001</v>
      </c>
      <c r="BN89" s="3208">
        <f t="shared" ref="BN89:BO89" si="737">SUM(BN90:BN93)</f>
        <v>109.14000000000001</v>
      </c>
      <c r="BO89" s="3208">
        <f t="shared" si="737"/>
        <v>0</v>
      </c>
      <c r="BP89" s="3136">
        <f t="shared" si="284"/>
        <v>0</v>
      </c>
      <c r="BQ89" s="3060">
        <f t="shared" ref="BQ89:BR89" si="738">SUM(BQ90:BQ93)</f>
        <v>0</v>
      </c>
      <c r="BR89" s="3060">
        <f t="shared" si="738"/>
        <v>0</v>
      </c>
      <c r="BS89" s="3136">
        <f t="shared" si="286"/>
        <v>0</v>
      </c>
      <c r="BT89" s="3060">
        <f t="shared" ref="BT89:BU89" si="739">SUM(BT90:BT93)</f>
        <v>0</v>
      </c>
      <c r="BU89" s="3060">
        <f t="shared" si="739"/>
        <v>0</v>
      </c>
      <c r="BV89" s="3136">
        <f t="shared" si="288"/>
        <v>0</v>
      </c>
      <c r="BW89" s="3060">
        <f t="shared" ref="BW89:BX89" si="740">SUM(BW90:BW93)</f>
        <v>0</v>
      </c>
      <c r="BX89" s="3060">
        <f t="shared" si="740"/>
        <v>0</v>
      </c>
      <c r="BY89" s="3136">
        <f t="shared" si="545"/>
        <v>0</v>
      </c>
      <c r="BZ89" s="3136">
        <f t="shared" si="546"/>
        <v>0</v>
      </c>
      <c r="CA89" s="3136">
        <f t="shared" si="547"/>
        <v>0</v>
      </c>
      <c r="CB89" s="3209">
        <f t="shared" ref="CB89:CD89" si="741">SUM(CB90:CB93)</f>
        <v>436.56000000000006</v>
      </c>
      <c r="CC89" s="3209">
        <f t="shared" si="741"/>
        <v>436.56000000000006</v>
      </c>
      <c r="CD89" s="3209">
        <f t="shared" si="741"/>
        <v>0</v>
      </c>
      <c r="CE89" s="3264">
        <f t="shared" si="611"/>
        <v>704.99</v>
      </c>
      <c r="CF89" s="3264">
        <f t="shared" si="612"/>
        <v>704.99</v>
      </c>
      <c r="CG89" s="3264">
        <f t="shared" si="613"/>
        <v>0</v>
      </c>
      <c r="CH89" s="3264">
        <f t="shared" si="614"/>
        <v>268.42999999999995</v>
      </c>
      <c r="CI89" s="3264">
        <f t="shared" si="615"/>
        <v>268.42999999999995</v>
      </c>
      <c r="CJ89" s="3264">
        <f t="shared" si="616"/>
        <v>0</v>
      </c>
      <c r="CK89" s="3260"/>
      <c r="CL89" s="3260"/>
      <c r="CM89" s="3260"/>
      <c r="CN89" s="3055"/>
    </row>
    <row r="90" spans="1:92" ht="18.75" customHeight="1" x14ac:dyDescent="0.3">
      <c r="A90" s="3076" t="s">
        <v>543</v>
      </c>
      <c r="B90" s="3210">
        <f t="shared" ref="B90:B93" si="742">SUM(C90:D90)</f>
        <v>77.432500000000005</v>
      </c>
      <c r="C90" s="3210">
        <f t="shared" ref="C90:C93" si="743">SUM(CC90/4)</f>
        <v>77.432500000000005</v>
      </c>
      <c r="D90" s="3210">
        <f t="shared" ref="D90:D93" si="744">SUM(CD90/4)</f>
        <v>0</v>
      </c>
      <c r="E90" s="3145">
        <f t="shared" si="721"/>
        <v>0</v>
      </c>
      <c r="F90" s="3066"/>
      <c r="G90" s="3066"/>
      <c r="H90" s="3145">
        <f t="shared" si="722"/>
        <v>3.92</v>
      </c>
      <c r="I90" s="3066">
        <v>3.92</v>
      </c>
      <c r="J90" s="3066"/>
      <c r="K90" s="3145">
        <f t="shared" si="724"/>
        <v>9.1</v>
      </c>
      <c r="L90" s="3066">
        <v>9.1</v>
      </c>
      <c r="M90" s="3066"/>
      <c r="N90" s="3145">
        <f t="shared" si="506"/>
        <v>13.02</v>
      </c>
      <c r="O90" s="3145">
        <f t="shared" si="507"/>
        <v>13.02</v>
      </c>
      <c r="P90" s="3145">
        <f t="shared" si="508"/>
        <v>0</v>
      </c>
      <c r="Q90" s="3210">
        <f t="shared" si="726"/>
        <v>77.432500000000005</v>
      </c>
      <c r="R90" s="3210">
        <f t="shared" ref="R90:R93" si="745">SUM(C90)</f>
        <v>77.432500000000005</v>
      </c>
      <c r="S90" s="3210">
        <f t="shared" ref="S90:S93" si="746">SUM(D90)</f>
        <v>0</v>
      </c>
      <c r="T90" s="3145">
        <f t="shared" si="252"/>
        <v>59.32</v>
      </c>
      <c r="U90" s="3066">
        <v>59.32</v>
      </c>
      <c r="V90" s="3066"/>
      <c r="W90" s="3145">
        <f t="shared" si="254"/>
        <v>120.5</v>
      </c>
      <c r="X90" s="3066">
        <f>86.22+34.28</f>
        <v>120.5</v>
      </c>
      <c r="Y90" s="3066"/>
      <c r="Z90" s="3145">
        <f t="shared" si="256"/>
        <v>45.89</v>
      </c>
      <c r="AA90" s="3066">
        <f>29.24+16.65</f>
        <v>45.89</v>
      </c>
      <c r="AB90" s="3066"/>
      <c r="AC90" s="3145">
        <f t="shared" si="513"/>
        <v>225.70999999999998</v>
      </c>
      <c r="AD90" s="3145">
        <f t="shared" si="514"/>
        <v>225.70999999999998</v>
      </c>
      <c r="AE90" s="3145">
        <f t="shared" si="515"/>
        <v>0</v>
      </c>
      <c r="AF90" s="3211">
        <f t="shared" si="642"/>
        <v>154.86500000000001</v>
      </c>
      <c r="AG90" s="3211">
        <f t="shared" si="643"/>
        <v>154.86500000000001</v>
      </c>
      <c r="AH90" s="3211">
        <f t="shared" si="644"/>
        <v>0</v>
      </c>
      <c r="AI90" s="3194">
        <f t="shared" si="645"/>
        <v>238.73</v>
      </c>
      <c r="AJ90" s="3194">
        <f t="shared" si="646"/>
        <v>238.73</v>
      </c>
      <c r="AK90" s="3194">
        <f t="shared" si="647"/>
        <v>0</v>
      </c>
      <c r="AL90" s="3194">
        <f t="shared" si="648"/>
        <v>83.864999999999981</v>
      </c>
      <c r="AM90" s="3194">
        <f t="shared" si="649"/>
        <v>83.864999999999981</v>
      </c>
      <c r="AN90" s="3194">
        <f t="shared" si="650"/>
        <v>0</v>
      </c>
      <c r="AO90" s="3210">
        <f t="shared" ref="AO90:AO93" si="747">SUM(AP90:AQ90)</f>
        <v>77.432500000000005</v>
      </c>
      <c r="AP90" s="3210">
        <f t="shared" ref="AP90:AP93" si="748">SUM(CC90-AG90)/2</f>
        <v>77.432500000000005</v>
      </c>
      <c r="AQ90" s="3210">
        <f t="shared" ref="AQ90:AQ93" si="749">SUM(CD90-AH90)/2</f>
        <v>0</v>
      </c>
      <c r="AR90" s="3145">
        <f t="shared" si="267"/>
        <v>42.660000000000004</v>
      </c>
      <c r="AS90" s="3066">
        <f>35.78+6.88</f>
        <v>42.660000000000004</v>
      </c>
      <c r="AT90" s="3066"/>
      <c r="AU90" s="3145">
        <f t="shared" si="269"/>
        <v>111.86999999999999</v>
      </c>
      <c r="AV90" s="3066">
        <f>86.71+25.16</f>
        <v>111.86999999999999</v>
      </c>
      <c r="AW90" s="3066"/>
      <c r="AX90" s="3145">
        <f t="shared" si="271"/>
        <v>118.33999999999999</v>
      </c>
      <c r="AY90" s="3066">
        <f>87.96+30.38</f>
        <v>118.33999999999999</v>
      </c>
      <c r="AZ90" s="3066"/>
      <c r="BA90" s="3145">
        <f t="shared" si="529"/>
        <v>272.87</v>
      </c>
      <c r="BB90" s="3145">
        <f t="shared" si="530"/>
        <v>272.87</v>
      </c>
      <c r="BC90" s="3145">
        <f t="shared" si="531"/>
        <v>0</v>
      </c>
      <c r="BD90" s="3211">
        <f t="shared" si="656"/>
        <v>232.29750000000001</v>
      </c>
      <c r="BE90" s="3211">
        <f t="shared" si="657"/>
        <v>232.29750000000001</v>
      </c>
      <c r="BF90" s="3211">
        <f t="shared" si="658"/>
        <v>0</v>
      </c>
      <c r="BG90" s="3194">
        <f t="shared" si="603"/>
        <v>511.6</v>
      </c>
      <c r="BH90" s="3194">
        <f t="shared" si="604"/>
        <v>511.6</v>
      </c>
      <c r="BI90" s="3194">
        <f t="shared" si="605"/>
        <v>0</v>
      </c>
      <c r="BJ90" s="3194">
        <f t="shared" si="606"/>
        <v>279.30250000000001</v>
      </c>
      <c r="BK90" s="3194">
        <f t="shared" si="607"/>
        <v>279.30250000000001</v>
      </c>
      <c r="BL90" s="3194">
        <f t="shared" si="608"/>
        <v>0</v>
      </c>
      <c r="BM90" s="3210">
        <f t="shared" ref="BM90:BM93" si="750">SUM(BN90:BO90)</f>
        <v>77.432500000000005</v>
      </c>
      <c r="BN90" s="3210">
        <f t="shared" ref="BN90:BN93" si="751">SUM(AP90)</f>
        <v>77.432500000000005</v>
      </c>
      <c r="BO90" s="3210">
        <f t="shared" ref="BO90:BO93" si="752">SUM(AQ90)</f>
        <v>0</v>
      </c>
      <c r="BP90" s="3145">
        <f t="shared" si="284"/>
        <v>0</v>
      </c>
      <c r="BQ90" s="3066"/>
      <c r="BR90" s="3066"/>
      <c r="BS90" s="3145">
        <f t="shared" si="286"/>
        <v>0</v>
      </c>
      <c r="BT90" s="3066"/>
      <c r="BU90" s="3066"/>
      <c r="BV90" s="3145">
        <f t="shared" si="288"/>
        <v>0</v>
      </c>
      <c r="BW90" s="3066"/>
      <c r="BX90" s="3066"/>
      <c r="BY90" s="3145">
        <f t="shared" si="545"/>
        <v>0</v>
      </c>
      <c r="BZ90" s="3145">
        <f t="shared" si="546"/>
        <v>0</v>
      </c>
      <c r="CA90" s="3145">
        <f t="shared" si="547"/>
        <v>0</v>
      </c>
      <c r="CB90" s="3211">
        <f t="shared" si="573"/>
        <v>309.73</v>
      </c>
      <c r="CC90" s="3211">
        <v>309.73</v>
      </c>
      <c r="CD90" s="3211">
        <v>0</v>
      </c>
      <c r="CE90" s="3194">
        <f t="shared" si="611"/>
        <v>511.6</v>
      </c>
      <c r="CF90" s="3194">
        <f t="shared" si="612"/>
        <v>511.6</v>
      </c>
      <c r="CG90" s="3194">
        <f t="shared" si="613"/>
        <v>0</v>
      </c>
      <c r="CH90" s="3194">
        <f t="shared" si="614"/>
        <v>201.87</v>
      </c>
      <c r="CI90" s="3194">
        <f t="shared" si="615"/>
        <v>201.87</v>
      </c>
      <c r="CJ90" s="3194">
        <f t="shared" si="616"/>
        <v>0</v>
      </c>
      <c r="CK90" s="3259"/>
      <c r="CL90" s="3259"/>
      <c r="CM90" s="3259"/>
      <c r="CN90" s="3055"/>
    </row>
    <row r="91" spans="1:92" ht="18.75" customHeight="1" x14ac:dyDescent="0.3">
      <c r="A91" s="3076" t="s">
        <v>639</v>
      </c>
      <c r="B91" s="3210">
        <f t="shared" si="742"/>
        <v>7.22</v>
      </c>
      <c r="C91" s="3210">
        <f t="shared" si="743"/>
        <v>7.22</v>
      </c>
      <c r="D91" s="3210">
        <f t="shared" si="744"/>
        <v>0</v>
      </c>
      <c r="E91" s="3145">
        <f t="shared" si="721"/>
        <v>12.39</v>
      </c>
      <c r="F91" s="3066">
        <f>0.5+2.8+1.6+0.49+7</f>
        <v>12.39</v>
      </c>
      <c r="G91" s="3066"/>
      <c r="H91" s="3145">
        <f t="shared" si="722"/>
        <v>23.740000000000002</v>
      </c>
      <c r="I91" s="3066">
        <f>23.19+0.55</f>
        <v>23.740000000000002</v>
      </c>
      <c r="J91" s="3066"/>
      <c r="K91" s="3145">
        <f t="shared" si="724"/>
        <v>1.9</v>
      </c>
      <c r="L91" s="3066">
        <v>1.9</v>
      </c>
      <c r="M91" s="3066"/>
      <c r="N91" s="3145">
        <f t="shared" si="506"/>
        <v>38.03</v>
      </c>
      <c r="O91" s="3145">
        <f t="shared" si="507"/>
        <v>38.03</v>
      </c>
      <c r="P91" s="3145">
        <f t="shared" si="508"/>
        <v>0</v>
      </c>
      <c r="Q91" s="3210">
        <f t="shared" si="726"/>
        <v>7.22</v>
      </c>
      <c r="R91" s="3210">
        <f t="shared" si="745"/>
        <v>7.22</v>
      </c>
      <c r="S91" s="3210">
        <f t="shared" si="746"/>
        <v>0</v>
      </c>
      <c r="T91" s="3145">
        <f t="shared" si="252"/>
        <v>46.51</v>
      </c>
      <c r="U91" s="3066">
        <v>46.51</v>
      </c>
      <c r="V91" s="3066"/>
      <c r="W91" s="3145">
        <f t="shared" si="254"/>
        <v>9.75</v>
      </c>
      <c r="X91" s="3066">
        <v>9.75</v>
      </c>
      <c r="Y91" s="3066"/>
      <c r="Z91" s="3145">
        <f t="shared" si="256"/>
        <v>5.97</v>
      </c>
      <c r="AA91" s="3066">
        <v>5.97</v>
      </c>
      <c r="AB91" s="3066"/>
      <c r="AC91" s="3145">
        <f t="shared" si="513"/>
        <v>62.23</v>
      </c>
      <c r="AD91" s="3145">
        <f t="shared" si="514"/>
        <v>62.23</v>
      </c>
      <c r="AE91" s="3145">
        <f t="shared" si="515"/>
        <v>0</v>
      </c>
      <c r="AF91" s="3211">
        <f t="shared" si="642"/>
        <v>14.44</v>
      </c>
      <c r="AG91" s="3211">
        <f t="shared" si="643"/>
        <v>14.44</v>
      </c>
      <c r="AH91" s="3211">
        <f t="shared" si="644"/>
        <v>0</v>
      </c>
      <c r="AI91" s="3194">
        <f t="shared" si="645"/>
        <v>100.25999999999999</v>
      </c>
      <c r="AJ91" s="3194">
        <f t="shared" si="646"/>
        <v>100.25999999999999</v>
      </c>
      <c r="AK91" s="3194">
        <f t="shared" si="647"/>
        <v>0</v>
      </c>
      <c r="AL91" s="3194">
        <f t="shared" si="648"/>
        <v>85.82</v>
      </c>
      <c r="AM91" s="3194">
        <f t="shared" si="649"/>
        <v>85.82</v>
      </c>
      <c r="AN91" s="3194">
        <f t="shared" si="650"/>
        <v>0</v>
      </c>
      <c r="AO91" s="3210">
        <f t="shared" si="747"/>
        <v>7.22</v>
      </c>
      <c r="AP91" s="3210">
        <f t="shared" si="748"/>
        <v>7.22</v>
      </c>
      <c r="AQ91" s="3210">
        <f t="shared" si="749"/>
        <v>0</v>
      </c>
      <c r="AR91" s="3145">
        <f t="shared" si="267"/>
        <v>17.059999999999999</v>
      </c>
      <c r="AS91" s="3066">
        <f>0.56+16.5</f>
        <v>17.059999999999999</v>
      </c>
      <c r="AT91" s="3066"/>
      <c r="AU91" s="3145">
        <f t="shared" si="269"/>
        <v>16.669999999999998</v>
      </c>
      <c r="AV91" s="3066">
        <f>13.87+2.8</f>
        <v>16.669999999999998</v>
      </c>
      <c r="AW91" s="3066"/>
      <c r="AX91" s="3145">
        <f t="shared" si="271"/>
        <v>1.71</v>
      </c>
      <c r="AY91" s="3066">
        <v>1.71</v>
      </c>
      <c r="AZ91" s="3066"/>
      <c r="BA91" s="3145">
        <f t="shared" si="529"/>
        <v>35.44</v>
      </c>
      <c r="BB91" s="3145">
        <f t="shared" si="530"/>
        <v>35.44</v>
      </c>
      <c r="BC91" s="3145">
        <f t="shared" si="531"/>
        <v>0</v>
      </c>
      <c r="BD91" s="3211">
        <f t="shared" si="656"/>
        <v>21.66</v>
      </c>
      <c r="BE91" s="3211">
        <f t="shared" si="657"/>
        <v>21.66</v>
      </c>
      <c r="BF91" s="3211">
        <f t="shared" si="658"/>
        <v>0</v>
      </c>
      <c r="BG91" s="3194">
        <f t="shared" si="603"/>
        <v>135.69999999999999</v>
      </c>
      <c r="BH91" s="3194">
        <f t="shared" si="604"/>
        <v>135.69999999999999</v>
      </c>
      <c r="BI91" s="3194">
        <f t="shared" si="605"/>
        <v>0</v>
      </c>
      <c r="BJ91" s="3194">
        <f t="shared" si="606"/>
        <v>114.03999999999999</v>
      </c>
      <c r="BK91" s="3194">
        <f t="shared" si="607"/>
        <v>114.03999999999999</v>
      </c>
      <c r="BL91" s="3194">
        <f t="shared" si="608"/>
        <v>0</v>
      </c>
      <c r="BM91" s="3210">
        <f t="shared" si="750"/>
        <v>7.22</v>
      </c>
      <c r="BN91" s="3210">
        <f t="shared" si="751"/>
        <v>7.22</v>
      </c>
      <c r="BO91" s="3210">
        <f t="shared" si="752"/>
        <v>0</v>
      </c>
      <c r="BP91" s="3145">
        <f t="shared" si="284"/>
        <v>0</v>
      </c>
      <c r="BQ91" s="3066"/>
      <c r="BR91" s="3066"/>
      <c r="BS91" s="3145">
        <f t="shared" si="286"/>
        <v>0</v>
      </c>
      <c r="BT91" s="3066"/>
      <c r="BU91" s="3066"/>
      <c r="BV91" s="3145">
        <f t="shared" si="288"/>
        <v>0</v>
      </c>
      <c r="BW91" s="3066"/>
      <c r="BX91" s="3066"/>
      <c r="BY91" s="3145">
        <f t="shared" si="545"/>
        <v>0</v>
      </c>
      <c r="BZ91" s="3145">
        <f t="shared" si="546"/>
        <v>0</v>
      </c>
      <c r="CA91" s="3145">
        <f t="shared" si="547"/>
        <v>0</v>
      </c>
      <c r="CB91" s="3211">
        <f t="shared" si="573"/>
        <v>28.88</v>
      </c>
      <c r="CC91" s="3211">
        <v>28.88</v>
      </c>
      <c r="CD91" s="3211">
        <v>0</v>
      </c>
      <c r="CE91" s="3194">
        <f t="shared" si="611"/>
        <v>135.69999999999999</v>
      </c>
      <c r="CF91" s="3194">
        <f t="shared" si="612"/>
        <v>135.69999999999999</v>
      </c>
      <c r="CG91" s="3194">
        <f t="shared" si="613"/>
        <v>0</v>
      </c>
      <c r="CH91" s="3194">
        <f t="shared" si="614"/>
        <v>106.82</v>
      </c>
      <c r="CI91" s="3194">
        <f t="shared" si="615"/>
        <v>106.82</v>
      </c>
      <c r="CJ91" s="3194">
        <f t="shared" si="616"/>
        <v>0</v>
      </c>
      <c r="CK91" s="3259"/>
      <c r="CL91" s="3259"/>
      <c r="CM91" s="3259"/>
      <c r="CN91" s="3055"/>
    </row>
    <row r="92" spans="1:92" ht="18.75" customHeight="1" x14ac:dyDescent="0.3">
      <c r="A92" s="3076" t="s">
        <v>552</v>
      </c>
      <c r="B92" s="3210">
        <f t="shared" si="742"/>
        <v>22.745000000000001</v>
      </c>
      <c r="C92" s="3210">
        <f t="shared" si="743"/>
        <v>22.745000000000001</v>
      </c>
      <c r="D92" s="3210">
        <f t="shared" si="744"/>
        <v>0</v>
      </c>
      <c r="E92" s="3145">
        <f t="shared" si="721"/>
        <v>0</v>
      </c>
      <c r="F92" s="3066"/>
      <c r="G92" s="3066"/>
      <c r="H92" s="3145">
        <f t="shared" si="722"/>
        <v>22.97</v>
      </c>
      <c r="I92" s="3066">
        <f>16.47+3.5+3</f>
        <v>22.97</v>
      </c>
      <c r="J92" s="3066"/>
      <c r="K92" s="3145">
        <f t="shared" si="724"/>
        <v>0</v>
      </c>
      <c r="L92" s="3066"/>
      <c r="M92" s="3066"/>
      <c r="N92" s="3145">
        <f t="shared" si="506"/>
        <v>22.97</v>
      </c>
      <c r="O92" s="3145">
        <f t="shared" si="507"/>
        <v>22.97</v>
      </c>
      <c r="P92" s="3145">
        <f t="shared" si="508"/>
        <v>0</v>
      </c>
      <c r="Q92" s="3210">
        <f t="shared" si="726"/>
        <v>22.745000000000001</v>
      </c>
      <c r="R92" s="3210">
        <f t="shared" si="745"/>
        <v>22.745000000000001</v>
      </c>
      <c r="S92" s="3210">
        <f t="shared" si="746"/>
        <v>0</v>
      </c>
      <c r="T92" s="3145">
        <f t="shared" si="252"/>
        <v>24.509999999999998</v>
      </c>
      <c r="U92" s="3066">
        <f>9.16+11.34+4.01</f>
        <v>24.509999999999998</v>
      </c>
      <c r="V92" s="3066"/>
      <c r="W92" s="3145">
        <f t="shared" si="254"/>
        <v>0</v>
      </c>
      <c r="X92" s="3066"/>
      <c r="Y92" s="3066"/>
      <c r="Z92" s="3145">
        <f t="shared" si="256"/>
        <v>0</v>
      </c>
      <c r="AA92" s="3066"/>
      <c r="AB92" s="3066"/>
      <c r="AC92" s="3145">
        <f t="shared" si="513"/>
        <v>24.509999999999998</v>
      </c>
      <c r="AD92" s="3145">
        <f t="shared" si="514"/>
        <v>24.509999999999998</v>
      </c>
      <c r="AE92" s="3145">
        <f t="shared" si="515"/>
        <v>0</v>
      </c>
      <c r="AF92" s="3211">
        <f t="shared" si="642"/>
        <v>45.49</v>
      </c>
      <c r="AG92" s="3211">
        <f t="shared" si="643"/>
        <v>45.49</v>
      </c>
      <c r="AH92" s="3211">
        <f t="shared" si="644"/>
        <v>0</v>
      </c>
      <c r="AI92" s="3194">
        <f t="shared" si="645"/>
        <v>47.48</v>
      </c>
      <c r="AJ92" s="3194">
        <f t="shared" si="646"/>
        <v>47.48</v>
      </c>
      <c r="AK92" s="3194">
        <f t="shared" si="647"/>
        <v>0</v>
      </c>
      <c r="AL92" s="3194">
        <f t="shared" si="648"/>
        <v>1.9899999999999949</v>
      </c>
      <c r="AM92" s="3194">
        <f t="shared" si="649"/>
        <v>1.9899999999999949</v>
      </c>
      <c r="AN92" s="3194">
        <f t="shared" si="650"/>
        <v>0</v>
      </c>
      <c r="AO92" s="3210">
        <f t="shared" si="747"/>
        <v>22.745000000000001</v>
      </c>
      <c r="AP92" s="3210">
        <f t="shared" si="748"/>
        <v>22.745000000000001</v>
      </c>
      <c r="AQ92" s="3210">
        <f t="shared" si="749"/>
        <v>0</v>
      </c>
      <c r="AR92" s="3145">
        <f t="shared" si="267"/>
        <v>0</v>
      </c>
      <c r="AS92" s="3066"/>
      <c r="AT92" s="3066"/>
      <c r="AU92" s="3145">
        <f t="shared" si="269"/>
        <v>0</v>
      </c>
      <c r="AV92" s="3066"/>
      <c r="AW92" s="3066"/>
      <c r="AX92" s="3145">
        <f t="shared" si="271"/>
        <v>0</v>
      </c>
      <c r="AY92" s="3066"/>
      <c r="AZ92" s="3066"/>
      <c r="BA92" s="3145">
        <f t="shared" si="529"/>
        <v>0</v>
      </c>
      <c r="BB92" s="3145">
        <f t="shared" si="530"/>
        <v>0</v>
      </c>
      <c r="BC92" s="3145">
        <f t="shared" si="531"/>
        <v>0</v>
      </c>
      <c r="BD92" s="3211">
        <f t="shared" si="656"/>
        <v>68.234999999999999</v>
      </c>
      <c r="BE92" s="3211">
        <f t="shared" si="657"/>
        <v>68.234999999999999</v>
      </c>
      <c r="BF92" s="3211">
        <f t="shared" si="658"/>
        <v>0</v>
      </c>
      <c r="BG92" s="3194">
        <f t="shared" si="603"/>
        <v>47.48</v>
      </c>
      <c r="BH92" s="3194">
        <f t="shared" si="604"/>
        <v>47.48</v>
      </c>
      <c r="BI92" s="3194">
        <f t="shared" si="605"/>
        <v>0</v>
      </c>
      <c r="BJ92" s="3194">
        <f t="shared" si="606"/>
        <v>-20.755000000000003</v>
      </c>
      <c r="BK92" s="3194">
        <f t="shared" si="607"/>
        <v>-20.755000000000003</v>
      </c>
      <c r="BL92" s="3194">
        <f t="shared" si="608"/>
        <v>0</v>
      </c>
      <c r="BM92" s="3210">
        <f t="shared" si="750"/>
        <v>22.745000000000001</v>
      </c>
      <c r="BN92" s="3210">
        <f t="shared" si="751"/>
        <v>22.745000000000001</v>
      </c>
      <c r="BO92" s="3210">
        <f t="shared" si="752"/>
        <v>0</v>
      </c>
      <c r="BP92" s="3145">
        <f t="shared" si="284"/>
        <v>0</v>
      </c>
      <c r="BQ92" s="3066"/>
      <c r="BR92" s="3066"/>
      <c r="BS92" s="3145">
        <f t="shared" si="286"/>
        <v>0</v>
      </c>
      <c r="BT92" s="3066"/>
      <c r="BU92" s="3066"/>
      <c r="BV92" s="3145">
        <f t="shared" si="288"/>
        <v>0</v>
      </c>
      <c r="BW92" s="3066"/>
      <c r="BX92" s="3066"/>
      <c r="BY92" s="3145">
        <f t="shared" si="545"/>
        <v>0</v>
      </c>
      <c r="BZ92" s="3145">
        <f t="shared" si="546"/>
        <v>0</v>
      </c>
      <c r="CA92" s="3145">
        <f t="shared" si="547"/>
        <v>0</v>
      </c>
      <c r="CB92" s="3211">
        <f t="shared" si="573"/>
        <v>90.98</v>
      </c>
      <c r="CC92" s="3211">
        <v>90.98</v>
      </c>
      <c r="CD92" s="3211">
        <v>0</v>
      </c>
      <c r="CE92" s="3194">
        <f t="shared" si="611"/>
        <v>47.48</v>
      </c>
      <c r="CF92" s="3194">
        <f t="shared" si="612"/>
        <v>47.48</v>
      </c>
      <c r="CG92" s="3194">
        <f t="shared" si="613"/>
        <v>0</v>
      </c>
      <c r="CH92" s="3194">
        <f t="shared" si="614"/>
        <v>-43.500000000000007</v>
      </c>
      <c r="CI92" s="3194">
        <f t="shared" si="615"/>
        <v>-43.500000000000007</v>
      </c>
      <c r="CJ92" s="3194">
        <f t="shared" si="616"/>
        <v>0</v>
      </c>
      <c r="CK92" s="3259"/>
      <c r="CL92" s="3259"/>
      <c r="CM92" s="3259"/>
      <c r="CN92" s="3055"/>
    </row>
    <row r="93" spans="1:92" ht="18.75" customHeight="1" x14ac:dyDescent="0.3">
      <c r="A93" s="3076" t="s">
        <v>609</v>
      </c>
      <c r="B93" s="3210">
        <f t="shared" si="742"/>
        <v>1.7424999999999999</v>
      </c>
      <c r="C93" s="3210">
        <f t="shared" si="743"/>
        <v>1.7424999999999999</v>
      </c>
      <c r="D93" s="3210">
        <f t="shared" si="744"/>
        <v>0</v>
      </c>
      <c r="E93" s="3145">
        <f t="shared" si="721"/>
        <v>1.1600000000000001</v>
      </c>
      <c r="F93" s="3066">
        <f>0.54+0.62</f>
        <v>1.1600000000000001</v>
      </c>
      <c r="G93" s="3066"/>
      <c r="H93" s="3145">
        <f t="shared" si="722"/>
        <v>0.69</v>
      </c>
      <c r="I93" s="3066">
        <v>0.69</v>
      </c>
      <c r="J93" s="3066"/>
      <c r="K93" s="3145">
        <f t="shared" si="724"/>
        <v>0.85</v>
      </c>
      <c r="L93" s="3066">
        <f>0.28+0.57</f>
        <v>0.85</v>
      </c>
      <c r="M93" s="3066"/>
      <c r="N93" s="3145">
        <f t="shared" si="506"/>
        <v>2.7</v>
      </c>
      <c r="O93" s="3145">
        <f>SUM(F93+I93+L93)</f>
        <v>2.7</v>
      </c>
      <c r="P93" s="3145">
        <f t="shared" si="508"/>
        <v>0</v>
      </c>
      <c r="Q93" s="3210">
        <f t="shared" si="726"/>
        <v>1.7424999999999999</v>
      </c>
      <c r="R93" s="3210">
        <f t="shared" si="745"/>
        <v>1.7424999999999999</v>
      </c>
      <c r="S93" s="3210">
        <f t="shared" si="746"/>
        <v>0</v>
      </c>
      <c r="T93" s="3145">
        <f t="shared" si="252"/>
        <v>1.28</v>
      </c>
      <c r="U93" s="3066">
        <v>1.28</v>
      </c>
      <c r="V93" s="3066"/>
      <c r="W93" s="3145">
        <f t="shared" si="254"/>
        <v>1.69</v>
      </c>
      <c r="X93" s="3066">
        <v>1.69</v>
      </c>
      <c r="Y93" s="3066"/>
      <c r="Z93" s="3145">
        <f t="shared" si="256"/>
        <v>2.34</v>
      </c>
      <c r="AA93" s="3066">
        <v>2.34</v>
      </c>
      <c r="AB93" s="3066"/>
      <c r="AC93" s="3145">
        <f t="shared" si="513"/>
        <v>5.31</v>
      </c>
      <c r="AD93" s="3145">
        <f>SUM(U93+X93+AA93)</f>
        <v>5.31</v>
      </c>
      <c r="AE93" s="3145">
        <f t="shared" si="515"/>
        <v>0</v>
      </c>
      <c r="AF93" s="3211">
        <f t="shared" si="642"/>
        <v>3.4849999999999999</v>
      </c>
      <c r="AG93" s="3211">
        <f t="shared" si="643"/>
        <v>3.4849999999999999</v>
      </c>
      <c r="AH93" s="3211">
        <f t="shared" si="644"/>
        <v>0</v>
      </c>
      <c r="AI93" s="3194">
        <f t="shared" si="645"/>
        <v>8.01</v>
      </c>
      <c r="AJ93" s="3194">
        <f t="shared" si="646"/>
        <v>8.01</v>
      </c>
      <c r="AK93" s="3194">
        <f t="shared" si="647"/>
        <v>0</v>
      </c>
      <c r="AL93" s="3194">
        <f t="shared" si="648"/>
        <v>4.5250000000000004</v>
      </c>
      <c r="AM93" s="3194">
        <f t="shared" si="649"/>
        <v>4.5250000000000004</v>
      </c>
      <c r="AN93" s="3194">
        <f t="shared" si="650"/>
        <v>0</v>
      </c>
      <c r="AO93" s="3210">
        <f t="shared" si="747"/>
        <v>1.7424999999999999</v>
      </c>
      <c r="AP93" s="3210">
        <f t="shared" si="748"/>
        <v>1.7424999999999999</v>
      </c>
      <c r="AQ93" s="3210">
        <f t="shared" si="749"/>
        <v>0</v>
      </c>
      <c r="AR93" s="3145">
        <f t="shared" si="267"/>
        <v>1.85</v>
      </c>
      <c r="AS93" s="3066">
        <f>0.62+1.23</f>
        <v>1.85</v>
      </c>
      <c r="AT93" s="3066"/>
      <c r="AU93" s="3145">
        <f t="shared" si="269"/>
        <v>0</v>
      </c>
      <c r="AV93" s="3066"/>
      <c r="AW93" s="3066"/>
      <c r="AX93" s="3145">
        <f t="shared" si="271"/>
        <v>0.35</v>
      </c>
      <c r="AY93" s="3066">
        <v>0.35</v>
      </c>
      <c r="AZ93" s="3066"/>
      <c r="BA93" s="3145">
        <f t="shared" si="529"/>
        <v>2.2000000000000002</v>
      </c>
      <c r="BB93" s="3145">
        <f>SUM(AS93+AV93+AY93)</f>
        <v>2.2000000000000002</v>
      </c>
      <c r="BC93" s="3145">
        <f t="shared" si="531"/>
        <v>0</v>
      </c>
      <c r="BD93" s="3211">
        <f t="shared" si="656"/>
        <v>5.2275</v>
      </c>
      <c r="BE93" s="3211">
        <f t="shared" si="657"/>
        <v>5.2275</v>
      </c>
      <c r="BF93" s="3211">
        <f t="shared" si="658"/>
        <v>0</v>
      </c>
      <c r="BG93" s="3194">
        <f t="shared" si="603"/>
        <v>10.210000000000001</v>
      </c>
      <c r="BH93" s="3194">
        <f t="shared" si="604"/>
        <v>10.210000000000001</v>
      </c>
      <c r="BI93" s="3194">
        <f t="shared" si="605"/>
        <v>0</v>
      </c>
      <c r="BJ93" s="3194">
        <f t="shared" si="606"/>
        <v>4.9825000000000008</v>
      </c>
      <c r="BK93" s="3194">
        <f t="shared" si="607"/>
        <v>4.9825000000000008</v>
      </c>
      <c r="BL93" s="3194">
        <f t="shared" si="608"/>
        <v>0</v>
      </c>
      <c r="BM93" s="3210">
        <f t="shared" si="750"/>
        <v>1.7424999999999999</v>
      </c>
      <c r="BN93" s="3210">
        <f t="shared" si="751"/>
        <v>1.7424999999999999</v>
      </c>
      <c r="BO93" s="3210">
        <f t="shared" si="752"/>
        <v>0</v>
      </c>
      <c r="BP93" s="3145">
        <f t="shared" si="284"/>
        <v>0</v>
      </c>
      <c r="BQ93" s="3066"/>
      <c r="BR93" s="3066"/>
      <c r="BS93" s="3145">
        <f t="shared" si="286"/>
        <v>0</v>
      </c>
      <c r="BT93" s="3066"/>
      <c r="BU93" s="3066"/>
      <c r="BV93" s="3145">
        <f t="shared" si="288"/>
        <v>0</v>
      </c>
      <c r="BW93" s="3066"/>
      <c r="BX93" s="3066"/>
      <c r="BY93" s="3145">
        <f t="shared" si="545"/>
        <v>0</v>
      </c>
      <c r="BZ93" s="3145">
        <f>SUM(BQ93+BT93+BW93)</f>
        <v>0</v>
      </c>
      <c r="CA93" s="3145">
        <f t="shared" si="547"/>
        <v>0</v>
      </c>
      <c r="CB93" s="3211">
        <f t="shared" si="573"/>
        <v>6.97</v>
      </c>
      <c r="CC93" s="3211">
        <v>6.97</v>
      </c>
      <c r="CD93" s="3211">
        <v>0</v>
      </c>
      <c r="CE93" s="3194">
        <f t="shared" si="611"/>
        <v>10.210000000000001</v>
      </c>
      <c r="CF93" s="3194">
        <f t="shared" si="612"/>
        <v>10.210000000000001</v>
      </c>
      <c r="CG93" s="3194">
        <f t="shared" si="613"/>
        <v>0</v>
      </c>
      <c r="CH93" s="3194">
        <f t="shared" si="614"/>
        <v>3.2400000000000011</v>
      </c>
      <c r="CI93" s="3194">
        <f t="shared" si="615"/>
        <v>3.2400000000000011</v>
      </c>
      <c r="CJ93" s="3194">
        <f t="shared" si="616"/>
        <v>0</v>
      </c>
      <c r="CK93" s="3259"/>
      <c r="CL93" s="3259"/>
      <c r="CM93" s="3259"/>
      <c r="CN93" s="3055"/>
    </row>
    <row r="94" spans="1:92" ht="18.75" customHeight="1" x14ac:dyDescent="0.3">
      <c r="A94" s="3074" t="s">
        <v>16</v>
      </c>
      <c r="B94" s="3207">
        <f>SUM(C94:D94)</f>
        <v>4860.3604708581597</v>
      </c>
      <c r="C94" s="3207">
        <f t="shared" ref="C94:D94" si="753">SUM(C95:C99)+C101</f>
        <v>4858.0115057100784</v>
      </c>
      <c r="D94" s="3207">
        <f t="shared" si="753"/>
        <v>2.3489651480810427</v>
      </c>
      <c r="E94" s="3156">
        <f t="shared" si="721"/>
        <v>1141.5000000000002</v>
      </c>
      <c r="F94" s="3057">
        <f>SUM(F95:F99)+F101</f>
        <v>1141.5000000000002</v>
      </c>
      <c r="G94" s="3057">
        <f t="shared" ref="G94" si="754">SUM(G95:G99)+G101</f>
        <v>0</v>
      </c>
      <c r="H94" s="3156">
        <f t="shared" si="722"/>
        <v>1170.97</v>
      </c>
      <c r="I94" s="3057">
        <f t="shared" ref="I94:J94" si="755">SUM(I95:I99)+I101</f>
        <v>1170.97</v>
      </c>
      <c r="J94" s="3057">
        <f t="shared" si="755"/>
        <v>0</v>
      </c>
      <c r="K94" s="3156">
        <f t="shared" si="724"/>
        <v>1236.73</v>
      </c>
      <c r="L94" s="3057">
        <f t="shared" ref="L94:M94" si="756">SUM(L95:L99)+L101</f>
        <v>1236.73</v>
      </c>
      <c r="M94" s="3057">
        <f t="shared" si="756"/>
        <v>0</v>
      </c>
      <c r="N94" s="3156">
        <f t="shared" ref="N94:N99" si="757">SUM(O94:P94)</f>
        <v>3549.2000000000003</v>
      </c>
      <c r="O94" s="3156">
        <f t="shared" ref="O94:O99" si="758">SUM(F94+I94+L94)</f>
        <v>3549.2000000000003</v>
      </c>
      <c r="P94" s="3156">
        <f t="shared" ref="P94:P99" si="759">SUM(G94+J94+M94)</f>
        <v>0</v>
      </c>
      <c r="Q94" s="3207">
        <f>SUM(R94:S94)</f>
        <v>4860.3604708581597</v>
      </c>
      <c r="R94" s="3207">
        <f t="shared" ref="R94:S94" si="760">SUM(R95:R99)+R101</f>
        <v>4858.0115057100784</v>
      </c>
      <c r="S94" s="3207">
        <f t="shared" si="760"/>
        <v>2.3489651480810427</v>
      </c>
      <c r="T94" s="3156">
        <f t="shared" si="252"/>
        <v>1203.9100000000001</v>
      </c>
      <c r="U94" s="3057">
        <f t="shared" ref="U94:V94" si="761">SUM(U95:U99)+U101</f>
        <v>1203.9100000000001</v>
      </c>
      <c r="V94" s="3057">
        <f t="shared" si="761"/>
        <v>0</v>
      </c>
      <c r="W94" s="3156">
        <f t="shared" si="254"/>
        <v>1192.4899999999998</v>
      </c>
      <c r="X94" s="3057">
        <f t="shared" ref="X94:Y94" si="762">SUM(X95:X99)+X101</f>
        <v>1192.4899999999998</v>
      </c>
      <c r="Y94" s="3057">
        <f t="shared" si="762"/>
        <v>0</v>
      </c>
      <c r="Z94" s="3156">
        <f t="shared" si="256"/>
        <v>1314.19</v>
      </c>
      <c r="AA94" s="3057">
        <f t="shared" ref="AA94:AB94" si="763">SUM(AA95:AA99)+AA101</f>
        <v>1314.19</v>
      </c>
      <c r="AB94" s="3057">
        <f t="shared" si="763"/>
        <v>0</v>
      </c>
      <c r="AC94" s="3156">
        <f t="shared" si="513"/>
        <v>3710.5899999999997</v>
      </c>
      <c r="AD94" s="3156">
        <f t="shared" ref="AD94:AD99" si="764">SUM(U94+X94+AA94)</f>
        <v>3710.5899999999997</v>
      </c>
      <c r="AE94" s="3156">
        <f t="shared" si="515"/>
        <v>0</v>
      </c>
      <c r="AF94" s="3206">
        <f t="shared" si="642"/>
        <v>9720.7209417163194</v>
      </c>
      <c r="AG94" s="3206">
        <f t="shared" si="643"/>
        <v>9716.0230114201568</v>
      </c>
      <c r="AH94" s="3206">
        <f t="shared" si="644"/>
        <v>4.6979302961620855</v>
      </c>
      <c r="AI94" s="3193">
        <f t="shared" ref="AI94:AI99" si="765">SUM(AC94+N94)</f>
        <v>7259.79</v>
      </c>
      <c r="AJ94" s="3193">
        <f t="shared" ref="AJ94:AJ99" si="766">SUM(AD94+O94)</f>
        <v>7259.79</v>
      </c>
      <c r="AK94" s="3193">
        <f t="shared" ref="AK94:AK99" si="767">SUM(AE94+P94)</f>
        <v>0</v>
      </c>
      <c r="AL94" s="3193">
        <f t="shared" ref="AL94:AL99" si="768">SUM(AI94-AF94)</f>
        <v>-2460.9309417163195</v>
      </c>
      <c r="AM94" s="3193">
        <f t="shared" ref="AM94:AM99" si="769">SUM(AJ94-AG94)</f>
        <v>-2456.2330114201568</v>
      </c>
      <c r="AN94" s="3193">
        <f t="shared" ref="AN94:AN99" si="770">SUM(AK94-AH94)</f>
        <v>-4.6979302961620855</v>
      </c>
      <c r="AO94" s="3207">
        <f>SUM(AP94:AQ94)</f>
        <v>4860.3604708581597</v>
      </c>
      <c r="AP94" s="3207">
        <f t="shared" ref="AP94:AQ94" si="771">SUM(AP95:AP99)+AP101</f>
        <v>4858.0115057100784</v>
      </c>
      <c r="AQ94" s="3207">
        <f t="shared" si="771"/>
        <v>2.3489651480810427</v>
      </c>
      <c r="AR94" s="3156">
        <f t="shared" si="267"/>
        <v>1851.71</v>
      </c>
      <c r="AS94" s="3057">
        <f t="shared" ref="AS94:AT94" si="772">SUM(AS95:AS99)+AS101</f>
        <v>1851.71</v>
      </c>
      <c r="AT94" s="3057">
        <f t="shared" si="772"/>
        <v>0</v>
      </c>
      <c r="AU94" s="3156">
        <f t="shared" si="269"/>
        <v>1285.06</v>
      </c>
      <c r="AV94" s="3057">
        <f>SUM(AV95:AV99)+AV101</f>
        <v>1285.06</v>
      </c>
      <c r="AW94" s="3057">
        <f t="shared" ref="AW94" si="773">SUM(AW95:AW99)+AW101</f>
        <v>0</v>
      </c>
      <c r="AX94" s="3156">
        <f t="shared" si="271"/>
        <v>1059.2599999999998</v>
      </c>
      <c r="AY94" s="3057">
        <f t="shared" ref="AY94:AZ94" si="774">SUM(AY95:AY99)+AY101</f>
        <v>1059.2599999999998</v>
      </c>
      <c r="AZ94" s="3057">
        <f t="shared" si="774"/>
        <v>0</v>
      </c>
      <c r="BA94" s="3156">
        <f t="shared" si="529"/>
        <v>4196.03</v>
      </c>
      <c r="BB94" s="3156">
        <f t="shared" ref="BB94:BB99" si="775">SUM(AS94+AV94+AY94)</f>
        <v>4196.03</v>
      </c>
      <c r="BC94" s="3156">
        <f t="shared" si="531"/>
        <v>0</v>
      </c>
      <c r="BD94" s="3206">
        <f t="shared" ref="BD94:BD99" si="776">SUM(BE94:BF94)</f>
        <v>14581.08141257448</v>
      </c>
      <c r="BE94" s="3206">
        <f t="shared" ref="BE94:BE99" si="777">SUM(AG94+AP94)</f>
        <v>14574.034517130236</v>
      </c>
      <c r="BF94" s="3206">
        <f t="shared" ref="BF94:BF99" si="778">SUM(AH94+AQ94)</f>
        <v>7.0468954442431286</v>
      </c>
      <c r="BG94" s="3193">
        <f t="shared" ref="BG94:BG99" si="779">SUM(AI94+BA94)</f>
        <v>11455.82</v>
      </c>
      <c r="BH94" s="3193">
        <f t="shared" ref="BH94:BH99" si="780">SUM(AJ94+BB94)</f>
        <v>11455.82</v>
      </c>
      <c r="BI94" s="3193">
        <f t="shared" ref="BI94:BI99" si="781">SUM(AK94+BC94)</f>
        <v>0</v>
      </c>
      <c r="BJ94" s="3193">
        <f t="shared" ref="BJ94:BJ99" si="782">SUM(BG94-BD94)</f>
        <v>-3125.2614125744803</v>
      </c>
      <c r="BK94" s="3193">
        <f t="shared" ref="BK94:BK99" si="783">SUM(BH94-BE94)</f>
        <v>-3118.2145171302363</v>
      </c>
      <c r="BL94" s="3193">
        <f t="shared" ref="BL94:BL99" si="784">SUM(BI94-BF94)</f>
        <v>-7.0468954442431286</v>
      </c>
      <c r="BM94" s="3207">
        <f>SUM(BN94:BO94)</f>
        <v>4860.3604708581597</v>
      </c>
      <c r="BN94" s="3207">
        <f t="shared" ref="BN94:BO94" si="785">SUM(BN95:BN99)+BN101</f>
        <v>4858.0115057100784</v>
      </c>
      <c r="BO94" s="3207">
        <f t="shared" si="785"/>
        <v>2.3489651480810427</v>
      </c>
      <c r="BP94" s="3156">
        <f t="shared" si="284"/>
        <v>0</v>
      </c>
      <c r="BQ94" s="3057">
        <f t="shared" ref="BQ94:BR94" si="786">SUM(BQ95:BQ99)+BQ101</f>
        <v>0</v>
      </c>
      <c r="BR94" s="3057">
        <f t="shared" si="786"/>
        <v>0</v>
      </c>
      <c r="BS94" s="3156">
        <f t="shared" si="286"/>
        <v>0</v>
      </c>
      <c r="BT94" s="3057">
        <f t="shared" ref="BT94:BU94" si="787">SUM(BT95:BT99)+BT101</f>
        <v>0</v>
      </c>
      <c r="BU94" s="3057">
        <f t="shared" si="787"/>
        <v>0</v>
      </c>
      <c r="BV94" s="3156">
        <f t="shared" si="288"/>
        <v>0</v>
      </c>
      <c r="BW94" s="3057">
        <f t="shared" ref="BW94:BX94" si="788">SUM(BW95:BW99)+BW101</f>
        <v>0</v>
      </c>
      <c r="BX94" s="3057">
        <f t="shared" si="788"/>
        <v>0</v>
      </c>
      <c r="BY94" s="3156">
        <f t="shared" si="545"/>
        <v>0</v>
      </c>
      <c r="BZ94" s="3156">
        <f t="shared" ref="BZ94:BZ99" si="789">SUM(BQ94+BT94+BW94)</f>
        <v>0</v>
      </c>
      <c r="CA94" s="3156">
        <f t="shared" si="547"/>
        <v>0</v>
      </c>
      <c r="CB94" s="3206">
        <f>SUM(CC94:CD94)</f>
        <v>19441.441874880904</v>
      </c>
      <c r="CC94" s="3206">
        <f>SUM(вода!BR27)</f>
        <v>19432.046014292711</v>
      </c>
      <c r="CD94" s="3206">
        <f>SUM(вода!BS27)</f>
        <v>9.3958605881912014</v>
      </c>
      <c r="CE94" s="3193">
        <f t="shared" ref="CE94:CE99" si="790">SUM(BY94+BG94)</f>
        <v>11455.82</v>
      </c>
      <c r="CF94" s="3193">
        <f t="shared" ref="CF94:CF99" si="791">SUM(BZ94+BH94)</f>
        <v>11455.82</v>
      </c>
      <c r="CG94" s="3193">
        <f t="shared" ref="CG94:CG99" si="792">SUM(CA94+BI94)</f>
        <v>0</v>
      </c>
      <c r="CH94" s="3193">
        <f t="shared" ref="CH94:CH99" si="793">SUM(CE94-CB94)</f>
        <v>-7985.6218748809042</v>
      </c>
      <c r="CI94" s="3193">
        <f t="shared" ref="CI94:CI99" si="794">SUM(CF94-CC94)</f>
        <v>-7976.2260142927116</v>
      </c>
      <c r="CJ94" s="3193">
        <f t="shared" ref="CJ94:CJ99" si="795">SUM(CG94-CD94)</f>
        <v>-9.3958605881912014</v>
      </c>
      <c r="CK94" s="3259"/>
      <c r="CL94" s="3259"/>
      <c r="CM94" s="3259"/>
      <c r="CN94" s="3055"/>
    </row>
    <row r="95" spans="1:92" ht="18.75" customHeight="1" x14ac:dyDescent="0.3">
      <c r="A95" s="3071" t="s">
        <v>3</v>
      </c>
      <c r="B95" s="3208">
        <f t="shared" ref="B95:B99" si="796">SUM(C95:D95)</f>
        <v>262.39156250000002</v>
      </c>
      <c r="C95" s="3208">
        <f t="shared" ref="C95:C99" si="797">SUM(CC95/4)</f>
        <v>262.26475119883037</v>
      </c>
      <c r="D95" s="3208">
        <f t="shared" ref="D95:D99" si="798">SUM(CD95/4)</f>
        <v>0.1268113011696444</v>
      </c>
      <c r="E95" s="3136">
        <f t="shared" si="721"/>
        <v>4.55</v>
      </c>
      <c r="F95" s="3061">
        <f>4.3+0.25</f>
        <v>4.55</v>
      </c>
      <c r="G95" s="3061"/>
      <c r="H95" s="3136">
        <f t="shared" si="722"/>
        <v>31.51</v>
      </c>
      <c r="I95" s="3061">
        <v>31.51</v>
      </c>
      <c r="J95" s="3061"/>
      <c r="K95" s="3136">
        <f t="shared" si="724"/>
        <v>17.02</v>
      </c>
      <c r="L95" s="3061">
        <v>17.02</v>
      </c>
      <c r="M95" s="3061"/>
      <c r="N95" s="3136">
        <f t="shared" si="757"/>
        <v>53.08</v>
      </c>
      <c r="O95" s="3136">
        <f t="shared" si="758"/>
        <v>53.08</v>
      </c>
      <c r="P95" s="3136">
        <f t="shared" si="759"/>
        <v>0</v>
      </c>
      <c r="Q95" s="3208">
        <f t="shared" ref="Q95:Q99" si="799">SUM(R95:S95)</f>
        <v>262.39156250000002</v>
      </c>
      <c r="R95" s="3208">
        <f t="shared" ref="R95:R99" si="800">SUM(C95)</f>
        <v>262.26475119883037</v>
      </c>
      <c r="S95" s="3208">
        <f t="shared" ref="S95:S99" si="801">SUM(D95)</f>
        <v>0.1268113011696444</v>
      </c>
      <c r="T95" s="3136">
        <f t="shared" si="252"/>
        <v>44.25</v>
      </c>
      <c r="U95" s="3061">
        <f>28.29+15.96</f>
        <v>44.25</v>
      </c>
      <c r="V95" s="3061"/>
      <c r="W95" s="3136">
        <f t="shared" si="254"/>
        <v>42.05</v>
      </c>
      <c r="X95" s="3061">
        <f>41.8+0.25</f>
        <v>42.05</v>
      </c>
      <c r="Y95" s="3061"/>
      <c r="Z95" s="3136">
        <f t="shared" si="256"/>
        <v>57.99</v>
      </c>
      <c r="AA95" s="3061">
        <f>5.6+25.82+8.79+17.78</f>
        <v>57.99</v>
      </c>
      <c r="AB95" s="3061"/>
      <c r="AC95" s="3136">
        <f t="shared" si="513"/>
        <v>144.29</v>
      </c>
      <c r="AD95" s="3136">
        <f t="shared" si="764"/>
        <v>144.29</v>
      </c>
      <c r="AE95" s="3136">
        <f t="shared" si="515"/>
        <v>0</v>
      </c>
      <c r="AF95" s="3209">
        <f t="shared" si="642"/>
        <v>524.78312500000004</v>
      </c>
      <c r="AG95" s="3209">
        <f t="shared" si="643"/>
        <v>524.52950239766074</v>
      </c>
      <c r="AH95" s="3209">
        <f t="shared" si="644"/>
        <v>0.25362260233928879</v>
      </c>
      <c r="AI95" s="3264">
        <f t="shared" si="765"/>
        <v>197.37</v>
      </c>
      <c r="AJ95" s="3264">
        <f t="shared" si="766"/>
        <v>197.37</v>
      </c>
      <c r="AK95" s="3264">
        <f t="shared" si="767"/>
        <v>0</v>
      </c>
      <c r="AL95" s="3264">
        <f t="shared" si="768"/>
        <v>-327.41312500000004</v>
      </c>
      <c r="AM95" s="3264">
        <f t="shared" si="769"/>
        <v>-327.15950239766073</v>
      </c>
      <c r="AN95" s="3264">
        <f t="shared" si="770"/>
        <v>-0.25362260233928879</v>
      </c>
      <c r="AO95" s="3208">
        <f t="shared" ref="AO95:AO99" si="802">SUM(AP95:AQ95)</f>
        <v>262.39156250000002</v>
      </c>
      <c r="AP95" s="3208">
        <f t="shared" ref="AP95:AP99" si="803">SUM(CC95-AG95)/2</f>
        <v>262.26475119883037</v>
      </c>
      <c r="AQ95" s="3208">
        <f t="shared" ref="AQ95:AQ99" si="804">SUM(CD95-AH95)/2</f>
        <v>0.1268113011696444</v>
      </c>
      <c r="AR95" s="3136">
        <f t="shared" si="267"/>
        <v>58.12</v>
      </c>
      <c r="AS95" s="3061">
        <f>57.87+0.25</f>
        <v>58.12</v>
      </c>
      <c r="AT95" s="3061"/>
      <c r="AU95" s="3136">
        <f t="shared" si="269"/>
        <v>26.54</v>
      </c>
      <c r="AV95" s="3061">
        <v>26.54</v>
      </c>
      <c r="AW95" s="3061"/>
      <c r="AX95" s="3136">
        <f t="shared" si="271"/>
        <v>12.42</v>
      </c>
      <c r="AY95" s="3061">
        <v>12.42</v>
      </c>
      <c r="AZ95" s="3061"/>
      <c r="BA95" s="3136">
        <f t="shared" si="529"/>
        <v>97.08</v>
      </c>
      <c r="BB95" s="3136">
        <f t="shared" si="775"/>
        <v>97.08</v>
      </c>
      <c r="BC95" s="3136">
        <f t="shared" si="531"/>
        <v>0</v>
      </c>
      <c r="BD95" s="3209">
        <f t="shared" si="776"/>
        <v>787.1746875</v>
      </c>
      <c r="BE95" s="3209">
        <f t="shared" si="777"/>
        <v>786.7942535964911</v>
      </c>
      <c r="BF95" s="3209">
        <f t="shared" si="778"/>
        <v>0.38043390350893319</v>
      </c>
      <c r="BG95" s="3264">
        <f t="shared" si="779"/>
        <v>294.45</v>
      </c>
      <c r="BH95" s="3264">
        <f t="shared" si="780"/>
        <v>294.45</v>
      </c>
      <c r="BI95" s="3264">
        <f t="shared" si="781"/>
        <v>0</v>
      </c>
      <c r="BJ95" s="3264">
        <f t="shared" si="782"/>
        <v>-492.72468750000002</v>
      </c>
      <c r="BK95" s="3264">
        <f t="shared" si="783"/>
        <v>-492.34425359649111</v>
      </c>
      <c r="BL95" s="3264">
        <f t="shared" si="784"/>
        <v>-0.38043390350893319</v>
      </c>
      <c r="BM95" s="3208">
        <f t="shared" ref="BM95:BM99" si="805">SUM(BN95:BO95)</f>
        <v>262.39156250000002</v>
      </c>
      <c r="BN95" s="3208">
        <f t="shared" ref="BN95:BN99" si="806">SUM(AP95)</f>
        <v>262.26475119883037</v>
      </c>
      <c r="BO95" s="3208">
        <f t="shared" ref="BO95:BO99" si="807">SUM(AQ95)</f>
        <v>0.1268113011696444</v>
      </c>
      <c r="BP95" s="3136">
        <f t="shared" si="284"/>
        <v>0</v>
      </c>
      <c r="BQ95" s="3061"/>
      <c r="BR95" s="3061"/>
      <c r="BS95" s="3136">
        <f t="shared" si="286"/>
        <v>0</v>
      </c>
      <c r="BT95" s="3061"/>
      <c r="BU95" s="3061"/>
      <c r="BV95" s="3136">
        <f t="shared" si="288"/>
        <v>0</v>
      </c>
      <c r="BW95" s="3061"/>
      <c r="BX95" s="3061"/>
      <c r="BY95" s="3136">
        <f t="shared" si="545"/>
        <v>0</v>
      </c>
      <c r="BZ95" s="3136">
        <f t="shared" si="789"/>
        <v>0</v>
      </c>
      <c r="CA95" s="3136">
        <f t="shared" si="547"/>
        <v>0</v>
      </c>
      <c r="CB95" s="3209">
        <f t="shared" ref="CB95:CB101" si="808">SUM(CC95:CD95)</f>
        <v>1049.5662500000001</v>
      </c>
      <c r="CC95" s="3209">
        <f>SUM(вода!BR28)</f>
        <v>1049.0590047953215</v>
      </c>
      <c r="CD95" s="3209">
        <f>SUM(вода!BS28)</f>
        <v>0.50724520467857759</v>
      </c>
      <c r="CE95" s="3264">
        <f t="shared" si="790"/>
        <v>294.45</v>
      </c>
      <c r="CF95" s="3264">
        <f t="shared" si="791"/>
        <v>294.45</v>
      </c>
      <c r="CG95" s="3264">
        <f t="shared" si="792"/>
        <v>0</v>
      </c>
      <c r="CH95" s="3264">
        <f t="shared" si="793"/>
        <v>-755.11625000000004</v>
      </c>
      <c r="CI95" s="3264">
        <f t="shared" si="794"/>
        <v>-754.60900479532143</v>
      </c>
      <c r="CJ95" s="3264">
        <f t="shared" si="795"/>
        <v>-0.50724520467857759</v>
      </c>
      <c r="CK95" s="3259"/>
      <c r="CL95" s="3259"/>
      <c r="CM95" s="3259"/>
      <c r="CN95" s="3055"/>
    </row>
    <row r="96" spans="1:92" ht="18.75" customHeight="1" x14ac:dyDescent="0.3">
      <c r="A96" s="3071" t="s">
        <v>2</v>
      </c>
      <c r="B96" s="3208">
        <f t="shared" si="796"/>
        <v>13.47</v>
      </c>
      <c r="C96" s="3208">
        <f t="shared" si="797"/>
        <v>13.463490079442799</v>
      </c>
      <c r="D96" s="3208">
        <f t="shared" si="798"/>
        <v>6.5099205572020247E-3</v>
      </c>
      <c r="E96" s="3136">
        <f t="shared" si="721"/>
        <v>3.94</v>
      </c>
      <c r="F96" s="3061">
        <v>3.94</v>
      </c>
      <c r="G96" s="3061"/>
      <c r="H96" s="3136">
        <f t="shared" si="722"/>
        <v>3.81</v>
      </c>
      <c r="I96" s="3061">
        <v>3.81</v>
      </c>
      <c r="J96" s="3061"/>
      <c r="K96" s="3136">
        <f t="shared" si="724"/>
        <v>3.71</v>
      </c>
      <c r="L96" s="3061">
        <v>3.71</v>
      </c>
      <c r="M96" s="3061"/>
      <c r="N96" s="3136">
        <f t="shared" si="757"/>
        <v>11.46</v>
      </c>
      <c r="O96" s="3136">
        <f t="shared" si="758"/>
        <v>11.46</v>
      </c>
      <c r="P96" s="3136">
        <f t="shared" si="759"/>
        <v>0</v>
      </c>
      <c r="Q96" s="3208">
        <f t="shared" si="799"/>
        <v>13.47</v>
      </c>
      <c r="R96" s="3208">
        <f t="shared" si="800"/>
        <v>13.463490079442799</v>
      </c>
      <c r="S96" s="3208">
        <f t="shared" si="801"/>
        <v>6.5099205572020247E-3</v>
      </c>
      <c r="T96" s="3136">
        <f t="shared" ref="T96:T99" si="809">SUM(U96:V96)</f>
        <v>3.71</v>
      </c>
      <c r="U96" s="3061">
        <v>3.71</v>
      </c>
      <c r="V96" s="3061"/>
      <c r="W96" s="3136">
        <f t="shared" ref="W96:W99" si="810">SUM(X96:Y96)</f>
        <v>3.71</v>
      </c>
      <c r="X96" s="3061">
        <v>3.71</v>
      </c>
      <c r="Y96" s="3061"/>
      <c r="Z96" s="3136">
        <f t="shared" ref="Z96:Z99" si="811">SUM(AA96:AB96)</f>
        <v>3.71</v>
      </c>
      <c r="AA96" s="3061">
        <v>3.71</v>
      </c>
      <c r="AB96" s="3061"/>
      <c r="AC96" s="3136">
        <f t="shared" si="513"/>
        <v>11.129999999999999</v>
      </c>
      <c r="AD96" s="3136">
        <f t="shared" si="764"/>
        <v>11.129999999999999</v>
      </c>
      <c r="AE96" s="3136">
        <f t="shared" si="515"/>
        <v>0</v>
      </c>
      <c r="AF96" s="3209">
        <f t="shared" si="642"/>
        <v>26.94</v>
      </c>
      <c r="AG96" s="3209">
        <f t="shared" si="643"/>
        <v>26.926980158885598</v>
      </c>
      <c r="AH96" s="3209">
        <f t="shared" si="644"/>
        <v>1.3019841114404049E-2</v>
      </c>
      <c r="AI96" s="3264">
        <f t="shared" si="765"/>
        <v>22.59</v>
      </c>
      <c r="AJ96" s="3264">
        <f t="shared" si="766"/>
        <v>22.59</v>
      </c>
      <c r="AK96" s="3264">
        <f t="shared" si="767"/>
        <v>0</v>
      </c>
      <c r="AL96" s="3264">
        <f t="shared" si="768"/>
        <v>-4.3500000000000014</v>
      </c>
      <c r="AM96" s="3264">
        <f t="shared" si="769"/>
        <v>-4.3369801588855985</v>
      </c>
      <c r="AN96" s="3264">
        <f t="shared" si="770"/>
        <v>-1.3019841114404049E-2</v>
      </c>
      <c r="AO96" s="3208">
        <f t="shared" si="802"/>
        <v>13.47</v>
      </c>
      <c r="AP96" s="3208">
        <f t="shared" si="803"/>
        <v>13.463490079442799</v>
      </c>
      <c r="AQ96" s="3208">
        <f t="shared" si="804"/>
        <v>6.5099205572020247E-3</v>
      </c>
      <c r="AR96" s="3136">
        <f t="shared" ref="AR96:AR99" si="812">SUM(AS96:AT96)</f>
        <v>6.21</v>
      </c>
      <c r="AS96" s="3061">
        <v>6.21</v>
      </c>
      <c r="AT96" s="3061"/>
      <c r="AU96" s="3136">
        <f t="shared" ref="AU96:AU99" si="813">SUM(AV96:AW96)</f>
        <v>2.63</v>
      </c>
      <c r="AV96" s="3061">
        <v>2.63</v>
      </c>
      <c r="AW96" s="3061"/>
      <c r="AX96" s="3136">
        <f t="shared" ref="AX96:AX99" si="814">SUM(AY96:AZ96)</f>
        <v>2.63</v>
      </c>
      <c r="AY96" s="3061">
        <v>2.63</v>
      </c>
      <c r="AZ96" s="3061"/>
      <c r="BA96" s="3136">
        <f t="shared" si="529"/>
        <v>11.469999999999999</v>
      </c>
      <c r="BB96" s="3136">
        <f t="shared" si="775"/>
        <v>11.469999999999999</v>
      </c>
      <c r="BC96" s="3136">
        <f t="shared" si="531"/>
        <v>0</v>
      </c>
      <c r="BD96" s="3209">
        <f t="shared" si="776"/>
        <v>40.410000000000004</v>
      </c>
      <c r="BE96" s="3209">
        <f t="shared" si="777"/>
        <v>40.390470238328398</v>
      </c>
      <c r="BF96" s="3209">
        <f t="shared" si="778"/>
        <v>1.9529761671606076E-2</v>
      </c>
      <c r="BG96" s="3264">
        <f t="shared" si="779"/>
        <v>34.06</v>
      </c>
      <c r="BH96" s="3264">
        <f t="shared" si="780"/>
        <v>34.06</v>
      </c>
      <c r="BI96" s="3264">
        <f t="shared" si="781"/>
        <v>0</v>
      </c>
      <c r="BJ96" s="3264">
        <f t="shared" si="782"/>
        <v>-6.3500000000000014</v>
      </c>
      <c r="BK96" s="3264">
        <f t="shared" si="783"/>
        <v>-6.3304702383283953</v>
      </c>
      <c r="BL96" s="3264">
        <f t="shared" si="784"/>
        <v>-1.9529761671606076E-2</v>
      </c>
      <c r="BM96" s="3208">
        <f t="shared" si="805"/>
        <v>13.47</v>
      </c>
      <c r="BN96" s="3208">
        <f t="shared" si="806"/>
        <v>13.463490079442799</v>
      </c>
      <c r="BO96" s="3208">
        <f t="shared" si="807"/>
        <v>6.5099205572020247E-3</v>
      </c>
      <c r="BP96" s="3136">
        <f t="shared" ref="BP96:BP99" si="815">SUM(BQ96:BR96)</f>
        <v>0</v>
      </c>
      <c r="BQ96" s="3061"/>
      <c r="BR96" s="3061"/>
      <c r="BS96" s="3136">
        <f t="shared" ref="BS96:BS99" si="816">SUM(BT96:BU96)</f>
        <v>0</v>
      </c>
      <c r="BT96" s="3061"/>
      <c r="BU96" s="3061"/>
      <c r="BV96" s="3136">
        <f t="shared" ref="BV96:BV99" si="817">SUM(BW96:BX96)</f>
        <v>0</v>
      </c>
      <c r="BW96" s="3061"/>
      <c r="BX96" s="3061"/>
      <c r="BY96" s="3136">
        <f t="shared" si="545"/>
        <v>0</v>
      </c>
      <c r="BZ96" s="3136">
        <f t="shared" si="789"/>
        <v>0</v>
      </c>
      <c r="CA96" s="3136">
        <f t="shared" si="547"/>
        <v>0</v>
      </c>
      <c r="CB96" s="3209">
        <f t="shared" si="808"/>
        <v>53.88</v>
      </c>
      <c r="CC96" s="3209">
        <f>SUM(вода!BR29)</f>
        <v>53.853960317771197</v>
      </c>
      <c r="CD96" s="3209">
        <f>SUM(вода!BS29)</f>
        <v>2.6039682228808099E-2</v>
      </c>
      <c r="CE96" s="3264">
        <f t="shared" si="790"/>
        <v>34.06</v>
      </c>
      <c r="CF96" s="3264">
        <f t="shared" si="791"/>
        <v>34.06</v>
      </c>
      <c r="CG96" s="3264">
        <f t="shared" si="792"/>
        <v>0</v>
      </c>
      <c r="CH96" s="3264">
        <f t="shared" si="793"/>
        <v>-19.82</v>
      </c>
      <c r="CI96" s="3264">
        <f t="shared" si="794"/>
        <v>-19.793960317771194</v>
      </c>
      <c r="CJ96" s="3264">
        <f t="shared" si="795"/>
        <v>-2.6039682228808099E-2</v>
      </c>
      <c r="CK96" s="3259"/>
      <c r="CL96" s="3259"/>
      <c r="CM96" s="3259"/>
      <c r="CN96" s="3055"/>
    </row>
    <row r="97" spans="1:92" ht="18.75" customHeight="1" x14ac:dyDescent="0.3">
      <c r="A97" s="3071" t="s">
        <v>3601</v>
      </c>
      <c r="B97" s="3208">
        <f t="shared" si="796"/>
        <v>0</v>
      </c>
      <c r="C97" s="3208">
        <f t="shared" si="797"/>
        <v>0</v>
      </c>
      <c r="D97" s="3208">
        <f t="shared" si="798"/>
        <v>0</v>
      </c>
      <c r="E97" s="3136">
        <f t="shared" si="721"/>
        <v>0</v>
      </c>
      <c r="F97" s="3061"/>
      <c r="G97" s="3061"/>
      <c r="H97" s="3136">
        <f t="shared" si="722"/>
        <v>0</v>
      </c>
      <c r="I97" s="3061"/>
      <c r="J97" s="3061"/>
      <c r="K97" s="3136">
        <f t="shared" si="724"/>
        <v>0</v>
      </c>
      <c r="L97" s="3061"/>
      <c r="M97" s="3061"/>
      <c r="N97" s="3136">
        <f t="shared" si="757"/>
        <v>0</v>
      </c>
      <c r="O97" s="3136">
        <f t="shared" si="758"/>
        <v>0</v>
      </c>
      <c r="P97" s="3136">
        <f t="shared" si="759"/>
        <v>0</v>
      </c>
      <c r="Q97" s="3208">
        <f t="shared" si="799"/>
        <v>0</v>
      </c>
      <c r="R97" s="3208">
        <f t="shared" si="800"/>
        <v>0</v>
      </c>
      <c r="S97" s="3208">
        <f t="shared" si="801"/>
        <v>0</v>
      </c>
      <c r="T97" s="3136">
        <f t="shared" si="809"/>
        <v>0</v>
      </c>
      <c r="U97" s="3061"/>
      <c r="V97" s="3061"/>
      <c r="W97" s="3136">
        <f t="shared" si="810"/>
        <v>0</v>
      </c>
      <c r="X97" s="3061"/>
      <c r="Y97" s="3061"/>
      <c r="Z97" s="3136">
        <f t="shared" si="811"/>
        <v>0</v>
      </c>
      <c r="AA97" s="3061"/>
      <c r="AB97" s="3061"/>
      <c r="AC97" s="3136">
        <f t="shared" si="513"/>
        <v>0</v>
      </c>
      <c r="AD97" s="3136">
        <f t="shared" si="764"/>
        <v>0</v>
      </c>
      <c r="AE97" s="3136">
        <f t="shared" si="515"/>
        <v>0</v>
      </c>
      <c r="AF97" s="3209">
        <f t="shared" si="642"/>
        <v>0</v>
      </c>
      <c r="AG97" s="3209">
        <f t="shared" si="643"/>
        <v>0</v>
      </c>
      <c r="AH97" s="3209">
        <f t="shared" si="644"/>
        <v>0</v>
      </c>
      <c r="AI97" s="3264">
        <f t="shared" si="765"/>
        <v>0</v>
      </c>
      <c r="AJ97" s="3264">
        <f t="shared" si="766"/>
        <v>0</v>
      </c>
      <c r="AK97" s="3264">
        <f t="shared" si="767"/>
        <v>0</v>
      </c>
      <c r="AL97" s="3264">
        <f t="shared" si="768"/>
        <v>0</v>
      </c>
      <c r="AM97" s="3264">
        <f t="shared" si="769"/>
        <v>0</v>
      </c>
      <c r="AN97" s="3264">
        <f t="shared" si="770"/>
        <v>0</v>
      </c>
      <c r="AO97" s="3208">
        <f t="shared" si="802"/>
        <v>0</v>
      </c>
      <c r="AP97" s="3208">
        <f t="shared" si="803"/>
        <v>0</v>
      </c>
      <c r="AQ97" s="3208">
        <f t="shared" si="804"/>
        <v>0</v>
      </c>
      <c r="AR97" s="3136">
        <f t="shared" si="812"/>
        <v>0</v>
      </c>
      <c r="AS97" s="3061"/>
      <c r="AT97" s="3061"/>
      <c r="AU97" s="3136">
        <f t="shared" si="813"/>
        <v>0</v>
      </c>
      <c r="AV97" s="3061"/>
      <c r="AW97" s="3061"/>
      <c r="AX97" s="3136">
        <f t="shared" si="814"/>
        <v>0</v>
      </c>
      <c r="AY97" s="3061"/>
      <c r="AZ97" s="3061"/>
      <c r="BA97" s="3136">
        <f t="shared" si="529"/>
        <v>0</v>
      </c>
      <c r="BB97" s="3136">
        <f t="shared" si="775"/>
        <v>0</v>
      </c>
      <c r="BC97" s="3136">
        <f t="shared" si="531"/>
        <v>0</v>
      </c>
      <c r="BD97" s="3209">
        <f t="shared" si="776"/>
        <v>0</v>
      </c>
      <c r="BE97" s="3209">
        <f t="shared" si="777"/>
        <v>0</v>
      </c>
      <c r="BF97" s="3209">
        <f t="shared" si="778"/>
        <v>0</v>
      </c>
      <c r="BG97" s="3264">
        <f t="shared" si="779"/>
        <v>0</v>
      </c>
      <c r="BH97" s="3264">
        <f t="shared" si="780"/>
        <v>0</v>
      </c>
      <c r="BI97" s="3264">
        <f t="shared" si="781"/>
        <v>0</v>
      </c>
      <c r="BJ97" s="3264">
        <f t="shared" si="782"/>
        <v>0</v>
      </c>
      <c r="BK97" s="3264">
        <f t="shared" si="783"/>
        <v>0</v>
      </c>
      <c r="BL97" s="3264">
        <f t="shared" si="784"/>
        <v>0</v>
      </c>
      <c r="BM97" s="3208">
        <f t="shared" si="805"/>
        <v>0</v>
      </c>
      <c r="BN97" s="3208">
        <f t="shared" si="806"/>
        <v>0</v>
      </c>
      <c r="BO97" s="3208">
        <f t="shared" si="807"/>
        <v>0</v>
      </c>
      <c r="BP97" s="3136">
        <f t="shared" si="815"/>
        <v>0</v>
      </c>
      <c r="BQ97" s="3061"/>
      <c r="BR97" s="3061"/>
      <c r="BS97" s="3136">
        <f t="shared" si="816"/>
        <v>0</v>
      </c>
      <c r="BT97" s="3061"/>
      <c r="BU97" s="3061"/>
      <c r="BV97" s="3136">
        <f t="shared" si="817"/>
        <v>0</v>
      </c>
      <c r="BW97" s="3061"/>
      <c r="BX97" s="3061"/>
      <c r="BY97" s="3136">
        <f t="shared" si="545"/>
        <v>0</v>
      </c>
      <c r="BZ97" s="3136">
        <f t="shared" si="789"/>
        <v>0</v>
      </c>
      <c r="CA97" s="3136">
        <f t="shared" si="547"/>
        <v>0</v>
      </c>
      <c r="CB97" s="3209">
        <f t="shared" si="808"/>
        <v>0</v>
      </c>
      <c r="CC97" s="3209">
        <f>SUM(вода!BR30)</f>
        <v>0</v>
      </c>
      <c r="CD97" s="3209">
        <f>SUM(вода!BS30)</f>
        <v>0</v>
      </c>
      <c r="CE97" s="3264">
        <f t="shared" si="790"/>
        <v>0</v>
      </c>
      <c r="CF97" s="3264">
        <f t="shared" si="791"/>
        <v>0</v>
      </c>
      <c r="CG97" s="3264">
        <f t="shared" si="792"/>
        <v>0</v>
      </c>
      <c r="CH97" s="3264">
        <f t="shared" si="793"/>
        <v>0</v>
      </c>
      <c r="CI97" s="3264">
        <f t="shared" si="794"/>
        <v>0</v>
      </c>
      <c r="CJ97" s="3264">
        <f t="shared" si="795"/>
        <v>0</v>
      </c>
      <c r="CK97" s="3259"/>
      <c r="CL97" s="3259"/>
      <c r="CM97" s="3259"/>
      <c r="CN97" s="3055"/>
    </row>
    <row r="98" spans="1:92" ht="18.75" customHeight="1" x14ac:dyDescent="0.3">
      <c r="A98" s="3071" t="s">
        <v>4</v>
      </c>
      <c r="B98" s="3208">
        <f t="shared" si="796"/>
        <v>2913.1114319999997</v>
      </c>
      <c r="C98" s="3208">
        <f t="shared" si="797"/>
        <v>2911.7035534553379</v>
      </c>
      <c r="D98" s="3208">
        <f t="shared" si="798"/>
        <v>1.4078785446619917</v>
      </c>
      <c r="E98" s="3136">
        <f t="shared" si="721"/>
        <v>714.19</v>
      </c>
      <c r="F98" s="3061">
        <v>714.19</v>
      </c>
      <c r="G98" s="3061"/>
      <c r="H98" s="3136">
        <f t="shared" si="722"/>
        <v>723.5</v>
      </c>
      <c r="I98" s="3061">
        <v>723.5</v>
      </c>
      <c r="J98" s="3061"/>
      <c r="K98" s="3136">
        <f t="shared" si="724"/>
        <v>783.07</v>
      </c>
      <c r="L98" s="3061">
        <v>783.07</v>
      </c>
      <c r="M98" s="3061"/>
      <c r="N98" s="3136">
        <f t="shared" si="757"/>
        <v>2220.7600000000002</v>
      </c>
      <c r="O98" s="3136">
        <f t="shared" si="758"/>
        <v>2220.7600000000002</v>
      </c>
      <c r="P98" s="3136">
        <f t="shared" si="759"/>
        <v>0</v>
      </c>
      <c r="Q98" s="3208">
        <f t="shared" si="799"/>
        <v>2913.1114319999997</v>
      </c>
      <c r="R98" s="3208">
        <f t="shared" si="800"/>
        <v>2911.7035534553379</v>
      </c>
      <c r="S98" s="3208">
        <f t="shared" si="801"/>
        <v>1.4078785446619917</v>
      </c>
      <c r="T98" s="3136">
        <f t="shared" si="809"/>
        <v>738.97</v>
      </c>
      <c r="U98" s="3061">
        <v>738.97</v>
      </c>
      <c r="V98" s="3061"/>
      <c r="W98" s="3136">
        <f t="shared" si="810"/>
        <v>754.9</v>
      </c>
      <c r="X98" s="3061">
        <v>754.9</v>
      </c>
      <c r="Y98" s="3061"/>
      <c r="Z98" s="3136">
        <f t="shared" si="811"/>
        <v>784.95</v>
      </c>
      <c r="AA98" s="3061">
        <v>784.95</v>
      </c>
      <c r="AB98" s="3061"/>
      <c r="AC98" s="3136">
        <f t="shared" si="513"/>
        <v>2278.8199999999997</v>
      </c>
      <c r="AD98" s="3136">
        <f t="shared" si="764"/>
        <v>2278.8199999999997</v>
      </c>
      <c r="AE98" s="3136">
        <f t="shared" si="515"/>
        <v>0</v>
      </c>
      <c r="AF98" s="3209">
        <f t="shared" si="642"/>
        <v>5826.2228639999994</v>
      </c>
      <c r="AG98" s="3209">
        <f t="shared" si="643"/>
        <v>5823.4071069106758</v>
      </c>
      <c r="AH98" s="3209">
        <f t="shared" si="644"/>
        <v>2.8157570893239834</v>
      </c>
      <c r="AI98" s="3264">
        <f t="shared" si="765"/>
        <v>4499.58</v>
      </c>
      <c r="AJ98" s="3264">
        <f t="shared" si="766"/>
        <v>4499.58</v>
      </c>
      <c r="AK98" s="3264">
        <f t="shared" si="767"/>
        <v>0</v>
      </c>
      <c r="AL98" s="3264">
        <f t="shared" si="768"/>
        <v>-1326.6428639999995</v>
      </c>
      <c r="AM98" s="3264">
        <f t="shared" si="769"/>
        <v>-1323.8271069106759</v>
      </c>
      <c r="AN98" s="3264">
        <f t="shared" si="770"/>
        <v>-2.8157570893239834</v>
      </c>
      <c r="AO98" s="3208">
        <f t="shared" si="802"/>
        <v>2913.1114319999997</v>
      </c>
      <c r="AP98" s="3208">
        <f t="shared" si="803"/>
        <v>2911.7035534553379</v>
      </c>
      <c r="AQ98" s="3208">
        <f t="shared" si="804"/>
        <v>1.4078785446619917</v>
      </c>
      <c r="AR98" s="3136">
        <f t="shared" si="812"/>
        <v>791.14</v>
      </c>
      <c r="AS98" s="3061">
        <v>791.14</v>
      </c>
      <c r="AT98" s="3061"/>
      <c r="AU98" s="3136">
        <f t="shared" si="813"/>
        <v>819.12</v>
      </c>
      <c r="AV98" s="3061">
        <v>819.12</v>
      </c>
      <c r="AW98" s="3061"/>
      <c r="AX98" s="3136">
        <f t="shared" si="814"/>
        <v>648.16999999999996</v>
      </c>
      <c r="AY98" s="3061">
        <v>648.16999999999996</v>
      </c>
      <c r="AZ98" s="3061"/>
      <c r="BA98" s="3136">
        <f t="shared" si="529"/>
        <v>2258.4299999999998</v>
      </c>
      <c r="BB98" s="3136">
        <f t="shared" si="775"/>
        <v>2258.4299999999998</v>
      </c>
      <c r="BC98" s="3136">
        <f t="shared" si="531"/>
        <v>0</v>
      </c>
      <c r="BD98" s="3209">
        <f t="shared" si="776"/>
        <v>8739.3342959999991</v>
      </c>
      <c r="BE98" s="3209">
        <f t="shared" si="777"/>
        <v>8735.1106603660137</v>
      </c>
      <c r="BF98" s="3209">
        <f t="shared" si="778"/>
        <v>4.2236356339859746</v>
      </c>
      <c r="BG98" s="3264">
        <f t="shared" si="779"/>
        <v>6758.01</v>
      </c>
      <c r="BH98" s="3264">
        <f t="shared" si="780"/>
        <v>6758.01</v>
      </c>
      <c r="BI98" s="3264">
        <f t="shared" si="781"/>
        <v>0</v>
      </c>
      <c r="BJ98" s="3264">
        <f t="shared" si="782"/>
        <v>-1981.3242959999989</v>
      </c>
      <c r="BK98" s="3264">
        <f t="shared" si="783"/>
        <v>-1977.1006603660135</v>
      </c>
      <c r="BL98" s="3264">
        <f t="shared" si="784"/>
        <v>-4.2236356339859746</v>
      </c>
      <c r="BM98" s="3208">
        <f t="shared" si="805"/>
        <v>2913.1114319999997</v>
      </c>
      <c r="BN98" s="3208">
        <f t="shared" si="806"/>
        <v>2911.7035534553379</v>
      </c>
      <c r="BO98" s="3208">
        <f t="shared" si="807"/>
        <v>1.4078785446619917</v>
      </c>
      <c r="BP98" s="3136">
        <f t="shared" si="815"/>
        <v>0</v>
      </c>
      <c r="BQ98" s="3061"/>
      <c r="BR98" s="3061"/>
      <c r="BS98" s="3136">
        <f t="shared" si="816"/>
        <v>0</v>
      </c>
      <c r="BT98" s="3061"/>
      <c r="BU98" s="3061"/>
      <c r="BV98" s="3136">
        <f t="shared" si="817"/>
        <v>0</v>
      </c>
      <c r="BW98" s="3061"/>
      <c r="BX98" s="3061"/>
      <c r="BY98" s="3136">
        <f t="shared" si="545"/>
        <v>0</v>
      </c>
      <c r="BZ98" s="3136">
        <f t="shared" si="789"/>
        <v>0</v>
      </c>
      <c r="CA98" s="3136">
        <f t="shared" si="547"/>
        <v>0</v>
      </c>
      <c r="CB98" s="3209">
        <f t="shared" si="808"/>
        <v>11652.445727999999</v>
      </c>
      <c r="CC98" s="3209">
        <f>SUM(вода!BR31)</f>
        <v>11646.814213821352</v>
      </c>
      <c r="CD98" s="3209">
        <f>SUM(вода!BS31)</f>
        <v>5.6315141786479668</v>
      </c>
      <c r="CE98" s="3264">
        <f t="shared" si="790"/>
        <v>6758.01</v>
      </c>
      <c r="CF98" s="3264">
        <f t="shared" si="791"/>
        <v>6758.01</v>
      </c>
      <c r="CG98" s="3264">
        <f t="shared" si="792"/>
        <v>0</v>
      </c>
      <c r="CH98" s="3264">
        <f t="shared" si="793"/>
        <v>-4894.4357279999986</v>
      </c>
      <c r="CI98" s="3264">
        <f t="shared" si="794"/>
        <v>-4888.8042138213514</v>
      </c>
      <c r="CJ98" s="3264">
        <f t="shared" si="795"/>
        <v>-5.6315141786479668</v>
      </c>
      <c r="CK98" s="3259"/>
      <c r="CL98" s="3259"/>
      <c r="CM98" s="3259"/>
      <c r="CN98" s="3055"/>
    </row>
    <row r="99" spans="1:92" ht="18.75" customHeight="1" x14ac:dyDescent="0.3">
      <c r="A99" s="3071" t="s">
        <v>5</v>
      </c>
      <c r="B99" s="3208">
        <f t="shared" si="796"/>
        <v>874.80637635815947</v>
      </c>
      <c r="C99" s="3208">
        <f t="shared" si="797"/>
        <v>874.38359090804624</v>
      </c>
      <c r="D99" s="3208">
        <f t="shared" si="798"/>
        <v>0.42278545011324381</v>
      </c>
      <c r="E99" s="3136">
        <f t="shared" si="721"/>
        <v>215.69</v>
      </c>
      <c r="F99" s="3061">
        <v>215.69</v>
      </c>
      <c r="G99" s="3061"/>
      <c r="H99" s="3136">
        <f t="shared" si="722"/>
        <v>216.23</v>
      </c>
      <c r="I99" s="3061">
        <v>216.23</v>
      </c>
      <c r="J99" s="3061"/>
      <c r="K99" s="3136">
        <f t="shared" si="724"/>
        <v>235.87</v>
      </c>
      <c r="L99" s="3061">
        <v>235.87</v>
      </c>
      <c r="M99" s="3061"/>
      <c r="N99" s="3136">
        <f t="shared" si="757"/>
        <v>667.79</v>
      </c>
      <c r="O99" s="3136">
        <f t="shared" si="758"/>
        <v>667.79</v>
      </c>
      <c r="P99" s="3136">
        <f t="shared" si="759"/>
        <v>0</v>
      </c>
      <c r="Q99" s="3208">
        <f t="shared" si="799"/>
        <v>874.80637635815947</v>
      </c>
      <c r="R99" s="3208">
        <f t="shared" si="800"/>
        <v>874.38359090804624</v>
      </c>
      <c r="S99" s="3208">
        <f t="shared" si="801"/>
        <v>0.42278545011324381</v>
      </c>
      <c r="T99" s="3136">
        <f t="shared" si="809"/>
        <v>223.17</v>
      </c>
      <c r="U99" s="3061">
        <v>223.17</v>
      </c>
      <c r="V99" s="3061"/>
      <c r="W99" s="3136">
        <f t="shared" si="810"/>
        <v>227.98</v>
      </c>
      <c r="X99" s="3061">
        <v>227.98</v>
      </c>
      <c r="Y99" s="3061"/>
      <c r="Z99" s="3136">
        <f t="shared" si="811"/>
        <v>236.25</v>
      </c>
      <c r="AA99" s="3061">
        <v>236.25</v>
      </c>
      <c r="AB99" s="3061"/>
      <c r="AC99" s="3136">
        <f t="shared" si="513"/>
        <v>687.4</v>
      </c>
      <c r="AD99" s="3136">
        <f t="shared" si="764"/>
        <v>687.4</v>
      </c>
      <c r="AE99" s="3136">
        <f t="shared" si="515"/>
        <v>0</v>
      </c>
      <c r="AF99" s="3209">
        <f t="shared" si="642"/>
        <v>1749.6127527163189</v>
      </c>
      <c r="AG99" s="3209">
        <f t="shared" si="643"/>
        <v>1748.7671818160925</v>
      </c>
      <c r="AH99" s="3209">
        <f t="shared" si="644"/>
        <v>0.84557090022648762</v>
      </c>
      <c r="AI99" s="3264">
        <f t="shared" si="765"/>
        <v>1355.19</v>
      </c>
      <c r="AJ99" s="3264">
        <f t="shared" si="766"/>
        <v>1355.19</v>
      </c>
      <c r="AK99" s="3264">
        <f t="shared" si="767"/>
        <v>0</v>
      </c>
      <c r="AL99" s="3264">
        <f t="shared" si="768"/>
        <v>-394.42275271631888</v>
      </c>
      <c r="AM99" s="3264">
        <f t="shared" si="769"/>
        <v>-393.57718181609243</v>
      </c>
      <c r="AN99" s="3264">
        <f t="shared" si="770"/>
        <v>-0.84557090022648762</v>
      </c>
      <c r="AO99" s="3208">
        <f t="shared" si="802"/>
        <v>874.80637635815947</v>
      </c>
      <c r="AP99" s="3208">
        <f t="shared" si="803"/>
        <v>874.38359090804624</v>
      </c>
      <c r="AQ99" s="3208">
        <f t="shared" si="804"/>
        <v>0.42278545011324381</v>
      </c>
      <c r="AR99" s="3136">
        <f t="shared" si="812"/>
        <v>237.23</v>
      </c>
      <c r="AS99" s="3061">
        <v>237.23</v>
      </c>
      <c r="AT99" s="3061"/>
      <c r="AU99" s="3136">
        <f t="shared" si="813"/>
        <v>247.37</v>
      </c>
      <c r="AV99" s="3061">
        <v>247.37</v>
      </c>
      <c r="AW99" s="3061"/>
      <c r="AX99" s="3136">
        <f t="shared" si="814"/>
        <v>194.94</v>
      </c>
      <c r="AY99" s="3061">
        <v>194.94</v>
      </c>
      <c r="AZ99" s="3061"/>
      <c r="BA99" s="3136">
        <f t="shared" si="529"/>
        <v>679.54</v>
      </c>
      <c r="BB99" s="3136">
        <f t="shared" si="775"/>
        <v>679.54</v>
      </c>
      <c r="BC99" s="3136">
        <f t="shared" si="531"/>
        <v>0</v>
      </c>
      <c r="BD99" s="3209">
        <f t="shared" si="776"/>
        <v>2624.4191290744784</v>
      </c>
      <c r="BE99" s="3209">
        <f t="shared" si="777"/>
        <v>2623.1507727241387</v>
      </c>
      <c r="BF99" s="3209">
        <f t="shared" si="778"/>
        <v>1.2683563503397315</v>
      </c>
      <c r="BG99" s="3264">
        <f t="shared" si="779"/>
        <v>2034.73</v>
      </c>
      <c r="BH99" s="3264">
        <f t="shared" si="780"/>
        <v>2034.73</v>
      </c>
      <c r="BI99" s="3264">
        <f t="shared" si="781"/>
        <v>0</v>
      </c>
      <c r="BJ99" s="3264">
        <f t="shared" si="782"/>
        <v>-589.68912907447839</v>
      </c>
      <c r="BK99" s="3264">
        <f t="shared" si="783"/>
        <v>-588.42077272413871</v>
      </c>
      <c r="BL99" s="3264">
        <f t="shared" si="784"/>
        <v>-1.2683563503397315</v>
      </c>
      <c r="BM99" s="3208">
        <f t="shared" si="805"/>
        <v>874.80637635815947</v>
      </c>
      <c r="BN99" s="3208">
        <f t="shared" si="806"/>
        <v>874.38359090804624</v>
      </c>
      <c r="BO99" s="3208">
        <f t="shared" si="807"/>
        <v>0.42278545011324381</v>
      </c>
      <c r="BP99" s="3136">
        <f t="shared" si="815"/>
        <v>0</v>
      </c>
      <c r="BQ99" s="3061"/>
      <c r="BR99" s="3061"/>
      <c r="BS99" s="3136">
        <f t="shared" si="816"/>
        <v>0</v>
      </c>
      <c r="BT99" s="3061"/>
      <c r="BU99" s="3061"/>
      <c r="BV99" s="3136">
        <f t="shared" si="817"/>
        <v>0</v>
      </c>
      <c r="BW99" s="3061"/>
      <c r="BX99" s="3061"/>
      <c r="BY99" s="3136">
        <f t="shared" si="545"/>
        <v>0</v>
      </c>
      <c r="BZ99" s="3136">
        <f t="shared" si="789"/>
        <v>0</v>
      </c>
      <c r="CA99" s="3136">
        <f t="shared" si="547"/>
        <v>0</v>
      </c>
      <c r="CB99" s="3209">
        <f t="shared" si="808"/>
        <v>3499.2255054326379</v>
      </c>
      <c r="CC99" s="3209">
        <f>SUM(вода!BR32)</f>
        <v>3497.534363632185</v>
      </c>
      <c r="CD99" s="3209">
        <f>SUM(вода!BS32)</f>
        <v>1.6911418004529752</v>
      </c>
      <c r="CE99" s="3264">
        <f t="shared" si="790"/>
        <v>2034.73</v>
      </c>
      <c r="CF99" s="3264">
        <f t="shared" si="791"/>
        <v>2034.73</v>
      </c>
      <c r="CG99" s="3264">
        <f t="shared" si="792"/>
        <v>0</v>
      </c>
      <c r="CH99" s="3264">
        <f t="shared" si="793"/>
        <v>-1464.4955054326379</v>
      </c>
      <c r="CI99" s="3264">
        <f t="shared" si="794"/>
        <v>-1462.804363632185</v>
      </c>
      <c r="CJ99" s="3264">
        <f t="shared" si="795"/>
        <v>-1.6911418004529752</v>
      </c>
      <c r="CK99" s="3259"/>
      <c r="CL99" s="3259"/>
      <c r="CM99" s="3259"/>
      <c r="CN99" s="3055"/>
    </row>
    <row r="100" spans="1:92" ht="18.75" customHeight="1" x14ac:dyDescent="0.2">
      <c r="A100" s="3073" t="str">
        <f>A56</f>
        <v>то же в %</v>
      </c>
      <c r="B100" s="3064">
        <f t="shared" ref="B100:D100" si="818">SUM(B99/B98)</f>
        <v>0.30029966129979457</v>
      </c>
      <c r="C100" s="3064">
        <f t="shared" si="818"/>
        <v>0.30029966129979457</v>
      </c>
      <c r="D100" s="3064">
        <f t="shared" si="818"/>
        <v>0.30029966129979457</v>
      </c>
      <c r="E100" s="3064">
        <f t="shared" ref="E100:P100" si="819">SUM(E99/E98)</f>
        <v>0.30200646886682814</v>
      </c>
      <c r="F100" s="3064">
        <f t="shared" si="819"/>
        <v>0.30200646886682814</v>
      </c>
      <c r="G100" s="3064" t="e">
        <f t="shared" si="819"/>
        <v>#DIV/0!</v>
      </c>
      <c r="H100" s="3064">
        <f t="shared" ref="H100:J100" si="820">SUM(H99/H98)</f>
        <v>0.29886662059433311</v>
      </c>
      <c r="I100" s="3064">
        <f t="shared" si="820"/>
        <v>0.29886662059433311</v>
      </c>
      <c r="J100" s="3064" t="e">
        <f t="shared" si="820"/>
        <v>#DIV/0!</v>
      </c>
      <c r="K100" s="3064">
        <f t="shared" ref="K100:M100" si="821">SUM(K99/K98)</f>
        <v>0.30121189676529553</v>
      </c>
      <c r="L100" s="3064">
        <f t="shared" si="821"/>
        <v>0.30121189676529553</v>
      </c>
      <c r="M100" s="3064" t="e">
        <f t="shared" si="821"/>
        <v>#DIV/0!</v>
      </c>
      <c r="N100" s="3064">
        <f t="shared" si="819"/>
        <v>0.30070336281273075</v>
      </c>
      <c r="O100" s="3064">
        <f t="shared" si="819"/>
        <v>0.30070336281273075</v>
      </c>
      <c r="P100" s="3064" t="e">
        <f t="shared" si="819"/>
        <v>#DIV/0!</v>
      </c>
      <c r="Q100" s="3064">
        <f t="shared" ref="Q100:AE100" si="822">SUM(Q99/Q98)</f>
        <v>0.30029966129979457</v>
      </c>
      <c r="R100" s="3064">
        <f t="shared" si="822"/>
        <v>0.30029966129979457</v>
      </c>
      <c r="S100" s="3064">
        <f t="shared" si="822"/>
        <v>0.30029966129979457</v>
      </c>
      <c r="T100" s="3064">
        <f t="shared" si="822"/>
        <v>0.30200143442900251</v>
      </c>
      <c r="U100" s="3064">
        <f t="shared" si="822"/>
        <v>0.30200143442900251</v>
      </c>
      <c r="V100" s="3064" t="e">
        <f t="shared" si="822"/>
        <v>#DIV/0!</v>
      </c>
      <c r="W100" s="3064">
        <f t="shared" si="822"/>
        <v>0.30200026493575305</v>
      </c>
      <c r="X100" s="3064">
        <f t="shared" si="822"/>
        <v>0.30200026493575305</v>
      </c>
      <c r="Y100" s="3064" t="e">
        <f t="shared" si="822"/>
        <v>#DIV/0!</v>
      </c>
      <c r="Z100" s="3064">
        <f t="shared" si="822"/>
        <v>0.30097458436843111</v>
      </c>
      <c r="AA100" s="3064">
        <f t="shared" si="822"/>
        <v>0.30097458436843111</v>
      </c>
      <c r="AB100" s="3064" t="e">
        <f t="shared" si="822"/>
        <v>#DIV/0!</v>
      </c>
      <c r="AC100" s="3064">
        <f t="shared" si="822"/>
        <v>0.30164734380073899</v>
      </c>
      <c r="AD100" s="3064">
        <f t="shared" si="822"/>
        <v>0.30164734380073899</v>
      </c>
      <c r="AE100" s="3064" t="e">
        <f t="shared" si="822"/>
        <v>#DIV/0!</v>
      </c>
      <c r="AF100" s="3065">
        <f t="shared" ref="AF100:AK100" si="823">SUM(AF99/AF98)</f>
        <v>0.30029966129979457</v>
      </c>
      <c r="AG100" s="3065">
        <f t="shared" si="823"/>
        <v>0.30029966129979457</v>
      </c>
      <c r="AH100" s="3065">
        <f t="shared" si="823"/>
        <v>0.30029966129979457</v>
      </c>
      <c r="AI100" s="3065">
        <f t="shared" si="823"/>
        <v>0.30118144360140281</v>
      </c>
      <c r="AJ100" s="3065">
        <f t="shared" si="823"/>
        <v>0.30118144360140281</v>
      </c>
      <c r="AK100" s="3065" t="e">
        <f t="shared" si="823"/>
        <v>#DIV/0!</v>
      </c>
      <c r="AL100" s="3068">
        <f t="shared" ref="AL100:AL124" si="824">SUM(AI100-AF100)</f>
        <v>8.8178230160823601E-4</v>
      </c>
      <c r="AM100" s="3068">
        <f t="shared" ref="AM100" si="825">SUM(AJ100-AG100)</f>
        <v>8.8178230160823601E-4</v>
      </c>
      <c r="AN100" s="3068" t="e">
        <f t="shared" ref="AN100" si="826">SUM(AK100-AH100)</f>
        <v>#DIV/0!</v>
      </c>
      <c r="AO100" s="3064">
        <f t="shared" ref="AO100:BC100" si="827">SUM(AO99/AO98)</f>
        <v>0.30029966129979457</v>
      </c>
      <c r="AP100" s="3064">
        <f t="shared" si="827"/>
        <v>0.30029966129979457</v>
      </c>
      <c r="AQ100" s="3064">
        <f t="shared" si="827"/>
        <v>0.30029966129979457</v>
      </c>
      <c r="AR100" s="3064">
        <f t="shared" si="827"/>
        <v>0.29985843213590513</v>
      </c>
      <c r="AS100" s="3064">
        <f t="shared" si="827"/>
        <v>0.29985843213590513</v>
      </c>
      <c r="AT100" s="3064" t="e">
        <f t="shared" si="827"/>
        <v>#DIV/0!</v>
      </c>
      <c r="AU100" s="3064">
        <f t="shared" si="827"/>
        <v>0.30199482371325326</v>
      </c>
      <c r="AV100" s="3064">
        <f t="shared" si="827"/>
        <v>0.30199482371325326</v>
      </c>
      <c r="AW100" s="3064" t="e">
        <f t="shared" si="827"/>
        <v>#DIV/0!</v>
      </c>
      <c r="AX100" s="3064">
        <f t="shared" si="827"/>
        <v>0.30075443170773103</v>
      </c>
      <c r="AY100" s="3064">
        <f t="shared" si="827"/>
        <v>0.30075443170773103</v>
      </c>
      <c r="AZ100" s="3064" t="e">
        <f t="shared" si="827"/>
        <v>#DIV/0!</v>
      </c>
      <c r="BA100" s="3064">
        <f t="shared" si="827"/>
        <v>0.30089044158995409</v>
      </c>
      <c r="BB100" s="3064">
        <f t="shared" si="827"/>
        <v>0.30089044158995409</v>
      </c>
      <c r="BC100" s="3064" t="e">
        <f t="shared" si="827"/>
        <v>#DIV/0!</v>
      </c>
      <c r="BD100" s="3065">
        <f t="shared" ref="BD100:BI100" si="828">SUM(BD99/BD98)</f>
        <v>0.30029966129979457</v>
      </c>
      <c r="BE100" s="3065">
        <f t="shared" si="828"/>
        <v>0.30029966129979457</v>
      </c>
      <c r="BF100" s="3065">
        <f t="shared" si="828"/>
        <v>0.30029966129979463</v>
      </c>
      <c r="BG100" s="3065">
        <f t="shared" si="828"/>
        <v>0.30108419490352928</v>
      </c>
      <c r="BH100" s="3065">
        <f t="shared" si="828"/>
        <v>0.30108419490352928</v>
      </c>
      <c r="BI100" s="3065" t="e">
        <f t="shared" si="828"/>
        <v>#DIV/0!</v>
      </c>
      <c r="BJ100" s="3068">
        <f t="shared" ref="BJ100:BJ124" si="829">SUM(BG100-BD100)</f>
        <v>7.8453360373470504E-4</v>
      </c>
      <c r="BK100" s="3068">
        <f t="shared" ref="BK100" si="830">SUM(BH100-BE100)</f>
        <v>7.8453360373470504E-4</v>
      </c>
      <c r="BL100" s="3068" t="e">
        <f t="shared" ref="BL100" si="831">SUM(BI100-BF100)</f>
        <v>#DIV/0!</v>
      </c>
      <c r="BM100" s="3064">
        <f t="shared" ref="BM100:CA100" si="832">SUM(BM99/BM98)</f>
        <v>0.30029966129979457</v>
      </c>
      <c r="BN100" s="3064">
        <f t="shared" si="832"/>
        <v>0.30029966129979457</v>
      </c>
      <c r="BO100" s="3064">
        <f t="shared" si="832"/>
        <v>0.30029966129979457</v>
      </c>
      <c r="BP100" s="3064" t="e">
        <f t="shared" si="832"/>
        <v>#DIV/0!</v>
      </c>
      <c r="BQ100" s="3064" t="e">
        <f t="shared" si="832"/>
        <v>#DIV/0!</v>
      </c>
      <c r="BR100" s="3064" t="e">
        <f t="shared" si="832"/>
        <v>#DIV/0!</v>
      </c>
      <c r="BS100" s="3064" t="e">
        <f t="shared" si="832"/>
        <v>#DIV/0!</v>
      </c>
      <c r="BT100" s="3064" t="e">
        <f t="shared" si="832"/>
        <v>#DIV/0!</v>
      </c>
      <c r="BU100" s="3064" t="e">
        <f t="shared" si="832"/>
        <v>#DIV/0!</v>
      </c>
      <c r="BV100" s="3064" t="e">
        <f t="shared" si="832"/>
        <v>#DIV/0!</v>
      </c>
      <c r="BW100" s="3064" t="e">
        <f t="shared" si="832"/>
        <v>#DIV/0!</v>
      </c>
      <c r="BX100" s="3064" t="e">
        <f t="shared" si="832"/>
        <v>#DIV/0!</v>
      </c>
      <c r="BY100" s="3064" t="e">
        <f t="shared" si="832"/>
        <v>#DIV/0!</v>
      </c>
      <c r="BZ100" s="3064" t="e">
        <f t="shared" si="832"/>
        <v>#DIV/0!</v>
      </c>
      <c r="CA100" s="3064" t="e">
        <f t="shared" si="832"/>
        <v>#DIV/0!</v>
      </c>
      <c r="CB100" s="3065">
        <f t="shared" ref="CB100:CG100" si="833">SUM(CB99/CB98)</f>
        <v>0.30029966129979457</v>
      </c>
      <c r="CC100" s="3065">
        <f t="shared" si="833"/>
        <v>0.30029966129979457</v>
      </c>
      <c r="CD100" s="3065">
        <f t="shared" si="833"/>
        <v>0.30029966129979457</v>
      </c>
      <c r="CE100" s="3065">
        <f t="shared" si="833"/>
        <v>0.30108419490352928</v>
      </c>
      <c r="CF100" s="3065">
        <f t="shared" si="833"/>
        <v>0.30108419490352928</v>
      </c>
      <c r="CG100" s="3065" t="e">
        <f t="shared" si="833"/>
        <v>#DIV/0!</v>
      </c>
      <c r="CH100" s="3068">
        <f t="shared" ref="CH100:CH124" si="834">SUM(CE100-CB100)</f>
        <v>7.8453360373470504E-4</v>
      </c>
      <c r="CI100" s="3068">
        <f t="shared" ref="CI100" si="835">SUM(CF100-CC100)</f>
        <v>7.8453360373470504E-4</v>
      </c>
      <c r="CJ100" s="3068" t="e">
        <f t="shared" ref="CJ100" si="836">SUM(CG100-CD100)</f>
        <v>#DIV/0!</v>
      </c>
      <c r="CK100" s="3259"/>
      <c r="CL100" s="3259"/>
      <c r="CM100" s="3259"/>
      <c r="CN100" s="3055"/>
    </row>
    <row r="101" spans="1:92" ht="18.75" customHeight="1" x14ac:dyDescent="0.3">
      <c r="A101" s="3074" t="s">
        <v>3590</v>
      </c>
      <c r="B101" s="3207">
        <f t="shared" ref="B101:B117" si="837">SUM(C101:D101)</f>
        <v>796.58109999999999</v>
      </c>
      <c r="C101" s="3207">
        <f t="shared" ref="C101:D101" si="838">SUM(C102:C112)+C114</f>
        <v>796.19612006842101</v>
      </c>
      <c r="D101" s="3207">
        <f t="shared" si="838"/>
        <v>0.38497993157896077</v>
      </c>
      <c r="E101" s="3057">
        <f t="shared" ref="E101:G101" si="839">SUM(E102:E112)+E114</f>
        <v>203.13000000000002</v>
      </c>
      <c r="F101" s="3057">
        <f>SUM(F102:F112)+F114</f>
        <v>203.13000000000002</v>
      </c>
      <c r="G101" s="3057">
        <f t="shared" si="839"/>
        <v>0</v>
      </c>
      <c r="H101" s="3057">
        <f t="shared" ref="H101:J101" si="840">SUM(H102:H112)+H114</f>
        <v>195.92</v>
      </c>
      <c r="I101" s="3057">
        <f t="shared" si="840"/>
        <v>195.92</v>
      </c>
      <c r="J101" s="3057">
        <f t="shared" si="840"/>
        <v>0</v>
      </c>
      <c r="K101" s="3057">
        <f t="shared" ref="K101:M101" si="841">SUM(K102:K112)+K114</f>
        <v>197.05999999999997</v>
      </c>
      <c r="L101" s="3057">
        <f t="shared" si="841"/>
        <v>197.05999999999997</v>
      </c>
      <c r="M101" s="3057">
        <f t="shared" si="841"/>
        <v>0</v>
      </c>
      <c r="N101" s="3156">
        <f t="shared" ref="N101:N117" si="842">SUM(O101:P101)</f>
        <v>596.11</v>
      </c>
      <c r="O101" s="3156">
        <f t="shared" ref="O101:O117" si="843">SUM(F101+I101+L101)</f>
        <v>596.11</v>
      </c>
      <c r="P101" s="3156">
        <f t="shared" ref="P101:P117" si="844">SUM(G101+J101+M101)</f>
        <v>0</v>
      </c>
      <c r="Q101" s="3207">
        <f t="shared" ref="Q101:Q111" si="845">SUM(R101:S101)</f>
        <v>796.58109999999999</v>
      </c>
      <c r="R101" s="3207">
        <f t="shared" ref="R101:S101" si="846">SUM(R102:R112)+R114</f>
        <v>796.19612006842101</v>
      </c>
      <c r="S101" s="3207">
        <f t="shared" si="846"/>
        <v>0.38497993157896077</v>
      </c>
      <c r="T101" s="3057">
        <f t="shared" ref="T101:AB101" si="847">SUM(T102:T112)+T114</f>
        <v>193.81</v>
      </c>
      <c r="U101" s="3057">
        <f t="shared" si="847"/>
        <v>193.81</v>
      </c>
      <c r="V101" s="3057">
        <f t="shared" si="847"/>
        <v>0</v>
      </c>
      <c r="W101" s="3057">
        <f t="shared" si="847"/>
        <v>163.85</v>
      </c>
      <c r="X101" s="3057">
        <f t="shared" si="847"/>
        <v>163.85</v>
      </c>
      <c r="Y101" s="3057">
        <f t="shared" si="847"/>
        <v>0</v>
      </c>
      <c r="Z101" s="3057">
        <f t="shared" si="847"/>
        <v>231.29</v>
      </c>
      <c r="AA101" s="3057">
        <f t="shared" si="847"/>
        <v>231.29</v>
      </c>
      <c r="AB101" s="3057">
        <f t="shared" si="847"/>
        <v>0</v>
      </c>
      <c r="AC101" s="3156">
        <f t="shared" ref="AC101:AC123" si="848">SUM(AD101:AE101)</f>
        <v>588.94999999999993</v>
      </c>
      <c r="AD101" s="3156">
        <f t="shared" ref="AD101:AD123" si="849">SUM(U101+X101+AA101)</f>
        <v>588.94999999999993</v>
      </c>
      <c r="AE101" s="3156">
        <f t="shared" ref="AE101:AE123" si="850">SUM(V101+Y101+AB101)</f>
        <v>0</v>
      </c>
      <c r="AF101" s="3206">
        <f t="shared" ref="AF101:AF137" si="851">SUM(AG101:AH101)</f>
        <v>1593.1622</v>
      </c>
      <c r="AG101" s="3206">
        <f t="shared" ref="AG101:AG137" si="852">SUM(C101+R101)</f>
        <v>1592.392240136842</v>
      </c>
      <c r="AH101" s="3206">
        <f t="shared" ref="AH101:AH137" si="853">SUM(D101+S101)</f>
        <v>0.76995986315792153</v>
      </c>
      <c r="AI101" s="3193">
        <f t="shared" ref="AI101:AI117" si="854">SUM(AC101+N101)</f>
        <v>1185.06</v>
      </c>
      <c r="AJ101" s="3193">
        <f t="shared" ref="AJ101:AJ117" si="855">SUM(AD101+O101)</f>
        <v>1185.06</v>
      </c>
      <c r="AK101" s="3193">
        <f t="shared" ref="AK101:AK117" si="856">SUM(AE101+P101)</f>
        <v>0</v>
      </c>
      <c r="AL101" s="3193">
        <f t="shared" ref="AL101:AL117" si="857">SUM(AI101-AF101)</f>
        <v>-408.10220000000004</v>
      </c>
      <c r="AM101" s="3193">
        <f t="shared" ref="AM101:AM117" si="858">SUM(AJ101-AG101)</f>
        <v>-407.33224013684207</v>
      </c>
      <c r="AN101" s="3193">
        <f t="shared" ref="AN101:AN117" si="859">SUM(AK101-AH101)</f>
        <v>-0.76995986315792153</v>
      </c>
      <c r="AO101" s="3207">
        <f t="shared" ref="AO101" si="860">SUM(AP101:AQ101)</f>
        <v>796.58109999999999</v>
      </c>
      <c r="AP101" s="3207">
        <f t="shared" ref="AP101:AQ101" si="861">SUM(AP102:AP112)+AP114</f>
        <v>796.19612006842101</v>
      </c>
      <c r="AQ101" s="3207">
        <f t="shared" si="861"/>
        <v>0.38497993157896077</v>
      </c>
      <c r="AR101" s="3057">
        <f t="shared" ref="AR101:AZ101" si="862">SUM(AR102:AR112)+AR114</f>
        <v>759.01</v>
      </c>
      <c r="AS101" s="3057">
        <f t="shared" si="862"/>
        <v>759.01</v>
      </c>
      <c r="AT101" s="3057">
        <f t="shared" si="862"/>
        <v>0</v>
      </c>
      <c r="AU101" s="3057">
        <f t="shared" si="862"/>
        <v>189.40000000000003</v>
      </c>
      <c r="AV101" s="3057">
        <f>SUM(AV102:AV112)+AV114</f>
        <v>189.40000000000003</v>
      </c>
      <c r="AW101" s="3057">
        <f t="shared" si="862"/>
        <v>0</v>
      </c>
      <c r="AX101" s="3057">
        <f t="shared" si="862"/>
        <v>201.1</v>
      </c>
      <c r="AY101" s="3057">
        <f t="shared" si="862"/>
        <v>201.1</v>
      </c>
      <c r="AZ101" s="3057">
        <f t="shared" si="862"/>
        <v>0</v>
      </c>
      <c r="BA101" s="3156">
        <f t="shared" ref="BA101:BA123" si="863">SUM(BB101:BC101)</f>
        <v>1149.51</v>
      </c>
      <c r="BB101" s="3156">
        <f t="shared" ref="BB101:BB123" si="864">SUM(AS101+AV101+AY101)</f>
        <v>1149.51</v>
      </c>
      <c r="BC101" s="3156">
        <f t="shared" ref="BC101:BC123" si="865">SUM(AT101+AW101+AZ101)</f>
        <v>0</v>
      </c>
      <c r="BD101" s="3206">
        <f t="shared" ref="BD101:BD117" si="866">SUM(BE101:BF101)</f>
        <v>2389.7433000000001</v>
      </c>
      <c r="BE101" s="3206">
        <f t="shared" ref="BE101:BE117" si="867">SUM(AG101+AP101)</f>
        <v>2388.5883602052631</v>
      </c>
      <c r="BF101" s="3206">
        <f t="shared" ref="BF101:BF117" si="868">SUM(AH101+AQ101)</f>
        <v>1.1549397947368822</v>
      </c>
      <c r="BG101" s="3193">
        <f t="shared" ref="BG101:BG117" si="869">SUM(AI101+BA101)</f>
        <v>2334.5699999999997</v>
      </c>
      <c r="BH101" s="3193">
        <f t="shared" ref="BH101:BH117" si="870">SUM(AJ101+BB101)</f>
        <v>2334.5699999999997</v>
      </c>
      <c r="BI101" s="3193">
        <f t="shared" ref="BI101:BI117" si="871">SUM(AK101+BC101)</f>
        <v>0</v>
      </c>
      <c r="BJ101" s="3193">
        <f t="shared" ref="BJ101:BJ117" si="872">SUM(BG101-BD101)</f>
        <v>-55.173300000000381</v>
      </c>
      <c r="BK101" s="3193">
        <f t="shared" ref="BK101:BK117" si="873">SUM(BH101-BE101)</f>
        <v>-54.018360205263434</v>
      </c>
      <c r="BL101" s="3193">
        <f t="shared" ref="BL101:BL117" si="874">SUM(BI101-BF101)</f>
        <v>-1.1549397947368822</v>
      </c>
      <c r="BM101" s="3207">
        <f t="shared" ref="BM101" si="875">SUM(BN101:BO101)</f>
        <v>796.58109999999999</v>
      </c>
      <c r="BN101" s="3207">
        <f t="shared" ref="BN101:BO101" si="876">SUM(BN102:BN112)+BN114</f>
        <v>796.19612006842101</v>
      </c>
      <c r="BO101" s="3207">
        <f t="shared" si="876"/>
        <v>0.38497993157896077</v>
      </c>
      <c r="BP101" s="3057">
        <f t="shared" ref="BP101:BX101" si="877">SUM(BP102:BP112)+BP114</f>
        <v>0</v>
      </c>
      <c r="BQ101" s="3057">
        <f t="shared" si="877"/>
        <v>0</v>
      </c>
      <c r="BR101" s="3057">
        <f t="shared" si="877"/>
        <v>0</v>
      </c>
      <c r="BS101" s="3057">
        <f t="shared" si="877"/>
        <v>0</v>
      </c>
      <c r="BT101" s="3057">
        <f t="shared" si="877"/>
        <v>0</v>
      </c>
      <c r="BU101" s="3057">
        <f t="shared" si="877"/>
        <v>0</v>
      </c>
      <c r="BV101" s="3057">
        <f t="shared" si="877"/>
        <v>0</v>
      </c>
      <c r="BW101" s="3057">
        <f t="shared" si="877"/>
        <v>0</v>
      </c>
      <c r="BX101" s="3057">
        <f t="shared" si="877"/>
        <v>0</v>
      </c>
      <c r="BY101" s="3156">
        <f t="shared" ref="BY101:BY123" si="878">SUM(BZ101:CA101)</f>
        <v>0</v>
      </c>
      <c r="BZ101" s="3156">
        <f t="shared" ref="BZ101:BZ123" si="879">SUM(BQ101+BT101+BW101)</f>
        <v>0</v>
      </c>
      <c r="CA101" s="3156">
        <f t="shared" ref="CA101:CA123" si="880">SUM(BR101+BU101+BX101)</f>
        <v>0</v>
      </c>
      <c r="CB101" s="3206">
        <f t="shared" si="808"/>
        <v>3186.3243914482641</v>
      </c>
      <c r="CC101" s="3206">
        <f>SUM(вода!BR34)</f>
        <v>3184.7844717260814</v>
      </c>
      <c r="CD101" s="3206">
        <f>SUM(вода!BS34)</f>
        <v>1.5399197221828722</v>
      </c>
      <c r="CE101" s="3193">
        <f t="shared" ref="CE101:CE117" si="881">SUM(BY101+BG101)</f>
        <v>2334.5699999999997</v>
      </c>
      <c r="CF101" s="3193">
        <f t="shared" ref="CF101:CF117" si="882">SUM(BZ101+BH101)</f>
        <v>2334.5699999999997</v>
      </c>
      <c r="CG101" s="3193">
        <f t="shared" ref="CG101:CG117" si="883">SUM(CA101+BI101)</f>
        <v>0</v>
      </c>
      <c r="CH101" s="3193">
        <f t="shared" ref="CH101:CH117" si="884">SUM(CE101-CB101)</f>
        <v>-851.75439144826441</v>
      </c>
      <c r="CI101" s="3193">
        <f t="shared" ref="CI101:CI117" si="885">SUM(CF101-CC101)</f>
        <v>-850.21447172608168</v>
      </c>
      <c r="CJ101" s="3193">
        <f t="shared" ref="CJ101:CJ117" si="886">SUM(CG101-CD101)</f>
        <v>-1.5399197221828722</v>
      </c>
      <c r="CK101" s="3259"/>
      <c r="CL101" s="3259"/>
      <c r="CM101" s="3259"/>
      <c r="CN101" s="3055"/>
    </row>
    <row r="102" spans="1:92" ht="18.75" customHeight="1" x14ac:dyDescent="0.3">
      <c r="A102" s="3075" t="s">
        <v>72</v>
      </c>
      <c r="B102" s="3208">
        <f t="shared" si="837"/>
        <v>0</v>
      </c>
      <c r="C102" s="3208">
        <f t="shared" ref="C102:C111" si="887">SUM(CC102/4)</f>
        <v>0</v>
      </c>
      <c r="D102" s="3208">
        <f t="shared" ref="D102:D111" si="888">SUM(CD102/4)</f>
        <v>0</v>
      </c>
      <c r="E102" s="3136">
        <f t="shared" ref="E102:E152" si="889">SUM(F102:G102)</f>
        <v>0</v>
      </c>
      <c r="F102" s="3061"/>
      <c r="G102" s="3061"/>
      <c r="H102" s="3136">
        <f t="shared" ref="H102:H111" si="890">SUM(I102:J102)</f>
        <v>0</v>
      </c>
      <c r="I102" s="3061"/>
      <c r="J102" s="3061"/>
      <c r="K102" s="3136">
        <f t="shared" ref="K102:K111" si="891">SUM(L102:M102)</f>
        <v>0</v>
      </c>
      <c r="L102" s="3061"/>
      <c r="M102" s="3061"/>
      <c r="N102" s="3136">
        <f t="shared" si="842"/>
        <v>0</v>
      </c>
      <c r="O102" s="3136">
        <f t="shared" si="843"/>
        <v>0</v>
      </c>
      <c r="P102" s="3136">
        <f t="shared" si="844"/>
        <v>0</v>
      </c>
      <c r="Q102" s="3208">
        <f t="shared" si="845"/>
        <v>0</v>
      </c>
      <c r="R102" s="3208">
        <f t="shared" ref="R102:R111" si="892">SUM(C102)</f>
        <v>0</v>
      </c>
      <c r="S102" s="3208">
        <f t="shared" ref="S102:S111" si="893">SUM(D102)</f>
        <v>0</v>
      </c>
      <c r="T102" s="3136">
        <f t="shared" ref="T102:T111" si="894">SUM(U102:V102)</f>
        <v>0</v>
      </c>
      <c r="U102" s="3061"/>
      <c r="V102" s="3061"/>
      <c r="W102" s="3136">
        <f t="shared" ref="W102:W111" si="895">SUM(X102:Y102)</f>
        <v>0</v>
      </c>
      <c r="X102" s="3061"/>
      <c r="Y102" s="3061"/>
      <c r="Z102" s="3136">
        <f t="shared" ref="Z102:Z111" si="896">SUM(AA102:AB102)</f>
        <v>0</v>
      </c>
      <c r="AA102" s="3061"/>
      <c r="AB102" s="3061"/>
      <c r="AC102" s="3136">
        <f t="shared" si="848"/>
        <v>0</v>
      </c>
      <c r="AD102" s="3136">
        <f t="shared" si="849"/>
        <v>0</v>
      </c>
      <c r="AE102" s="3136">
        <f t="shared" si="850"/>
        <v>0</v>
      </c>
      <c r="AF102" s="3209">
        <f t="shared" si="851"/>
        <v>0</v>
      </c>
      <c r="AG102" s="3209">
        <f t="shared" si="852"/>
        <v>0</v>
      </c>
      <c r="AH102" s="3209">
        <f t="shared" si="853"/>
        <v>0</v>
      </c>
      <c r="AI102" s="3264">
        <f t="shared" si="854"/>
        <v>0</v>
      </c>
      <c r="AJ102" s="3264">
        <f t="shared" si="855"/>
        <v>0</v>
      </c>
      <c r="AK102" s="3264">
        <f t="shared" si="856"/>
        <v>0</v>
      </c>
      <c r="AL102" s="3264">
        <f t="shared" si="857"/>
        <v>0</v>
      </c>
      <c r="AM102" s="3264">
        <f t="shared" si="858"/>
        <v>0</v>
      </c>
      <c r="AN102" s="3264">
        <f t="shared" si="859"/>
        <v>0</v>
      </c>
      <c r="AO102" s="3208">
        <f t="shared" ref="AO102:AO111" si="897">SUM(AP102:AQ102)</f>
        <v>0</v>
      </c>
      <c r="AP102" s="3208">
        <f t="shared" ref="AP102:AP111" si="898">SUM(CC102-AG102)/2</f>
        <v>0</v>
      </c>
      <c r="AQ102" s="3208">
        <f t="shared" ref="AQ102:AQ111" si="899">SUM(CD102-AH102)/2</f>
        <v>0</v>
      </c>
      <c r="AR102" s="3136">
        <f t="shared" ref="AR102:AR111" si="900">SUM(AS102:AT102)</f>
        <v>376.46</v>
      </c>
      <c r="AS102" s="3061">
        <v>376.46</v>
      </c>
      <c r="AT102" s="3061"/>
      <c r="AU102" s="3136">
        <f t="shared" ref="AU102:AU111" si="901">SUM(AV102:AW102)</f>
        <v>0</v>
      </c>
      <c r="AV102" s="3061"/>
      <c r="AW102" s="3061"/>
      <c r="AX102" s="3136">
        <f t="shared" ref="AX102:AX111" si="902">SUM(AY102:AZ102)</f>
        <v>0</v>
      </c>
      <c r="AY102" s="3061"/>
      <c r="AZ102" s="3061"/>
      <c r="BA102" s="3136">
        <f t="shared" si="863"/>
        <v>376.46</v>
      </c>
      <c r="BB102" s="3136">
        <f t="shared" si="864"/>
        <v>376.46</v>
      </c>
      <c r="BC102" s="3136">
        <f t="shared" si="865"/>
        <v>0</v>
      </c>
      <c r="BD102" s="3209">
        <f t="shared" si="866"/>
        <v>0</v>
      </c>
      <c r="BE102" s="3209">
        <f t="shared" si="867"/>
        <v>0</v>
      </c>
      <c r="BF102" s="3209">
        <f t="shared" si="868"/>
        <v>0</v>
      </c>
      <c r="BG102" s="3264">
        <f t="shared" si="869"/>
        <v>376.46</v>
      </c>
      <c r="BH102" s="3264">
        <f t="shared" si="870"/>
        <v>376.46</v>
      </c>
      <c r="BI102" s="3264">
        <f t="shared" si="871"/>
        <v>0</v>
      </c>
      <c r="BJ102" s="3264">
        <f t="shared" si="872"/>
        <v>376.46</v>
      </c>
      <c r="BK102" s="3264">
        <f t="shared" si="873"/>
        <v>376.46</v>
      </c>
      <c r="BL102" s="3264">
        <f t="shared" si="874"/>
        <v>0</v>
      </c>
      <c r="BM102" s="3208">
        <f t="shared" ref="BM102:BM111" si="903">SUM(BN102:BO102)</f>
        <v>0</v>
      </c>
      <c r="BN102" s="3208">
        <f t="shared" ref="BN102:BN111" si="904">SUM(AP102)</f>
        <v>0</v>
      </c>
      <c r="BO102" s="3208">
        <f t="shared" ref="BO102:BO111" si="905">SUM(AQ102)</f>
        <v>0</v>
      </c>
      <c r="BP102" s="3136">
        <f t="shared" ref="BP102:BP111" si="906">SUM(BQ102:BR102)</f>
        <v>0</v>
      </c>
      <c r="BQ102" s="3061"/>
      <c r="BR102" s="3061"/>
      <c r="BS102" s="3136">
        <f t="shared" ref="BS102:BS111" si="907">SUM(BT102:BU102)</f>
        <v>0</v>
      </c>
      <c r="BT102" s="3061"/>
      <c r="BU102" s="3061"/>
      <c r="BV102" s="3136">
        <f t="shared" ref="BV102:BV111" si="908">SUM(BW102:BX102)</f>
        <v>0</v>
      </c>
      <c r="BW102" s="3061"/>
      <c r="BX102" s="3061"/>
      <c r="BY102" s="3136">
        <f t="shared" si="878"/>
        <v>0</v>
      </c>
      <c r="BZ102" s="3136">
        <f t="shared" si="879"/>
        <v>0</v>
      </c>
      <c r="CA102" s="3136">
        <f t="shared" si="880"/>
        <v>0</v>
      </c>
      <c r="CB102" s="3209">
        <v>0</v>
      </c>
      <c r="CC102" s="3209">
        <f>SUM(CB102/CB14*CC14)</f>
        <v>0</v>
      </c>
      <c r="CD102" s="3209">
        <f>SUM(CB102/CB14*CD14)</f>
        <v>0</v>
      </c>
      <c r="CE102" s="3264">
        <f t="shared" si="881"/>
        <v>376.46</v>
      </c>
      <c r="CF102" s="3264">
        <f t="shared" si="882"/>
        <v>376.46</v>
      </c>
      <c r="CG102" s="3264">
        <f t="shared" si="883"/>
        <v>0</v>
      </c>
      <c r="CH102" s="3264">
        <f t="shared" si="884"/>
        <v>376.46</v>
      </c>
      <c r="CI102" s="3264">
        <f t="shared" si="885"/>
        <v>376.46</v>
      </c>
      <c r="CJ102" s="3264">
        <f t="shared" si="886"/>
        <v>0</v>
      </c>
      <c r="CK102" s="3259"/>
      <c r="CL102" s="3259"/>
      <c r="CM102" s="3259"/>
      <c r="CN102" s="3055"/>
    </row>
    <row r="103" spans="1:92" ht="18.75" customHeight="1" x14ac:dyDescent="0.3">
      <c r="A103" s="3075" t="s">
        <v>117</v>
      </c>
      <c r="B103" s="3208">
        <f t="shared" si="837"/>
        <v>0</v>
      </c>
      <c r="C103" s="3208">
        <f t="shared" si="887"/>
        <v>0</v>
      </c>
      <c r="D103" s="3208">
        <f t="shared" si="888"/>
        <v>0</v>
      </c>
      <c r="E103" s="3136">
        <f t="shared" si="889"/>
        <v>0</v>
      </c>
      <c r="F103" s="3061"/>
      <c r="G103" s="3061"/>
      <c r="H103" s="3136">
        <f t="shared" si="890"/>
        <v>0</v>
      </c>
      <c r="I103" s="3061"/>
      <c r="J103" s="3061"/>
      <c r="K103" s="3136">
        <f t="shared" si="891"/>
        <v>0</v>
      </c>
      <c r="L103" s="3061"/>
      <c r="M103" s="3061"/>
      <c r="N103" s="3136">
        <f t="shared" si="842"/>
        <v>0</v>
      </c>
      <c r="O103" s="3136">
        <f t="shared" si="843"/>
        <v>0</v>
      </c>
      <c r="P103" s="3136">
        <f t="shared" si="844"/>
        <v>0</v>
      </c>
      <c r="Q103" s="3208">
        <f t="shared" si="845"/>
        <v>0</v>
      </c>
      <c r="R103" s="3208">
        <f t="shared" si="892"/>
        <v>0</v>
      </c>
      <c r="S103" s="3208">
        <f t="shared" si="893"/>
        <v>0</v>
      </c>
      <c r="T103" s="3136">
        <f t="shared" si="894"/>
        <v>0</v>
      </c>
      <c r="U103" s="3061"/>
      <c r="V103" s="3061"/>
      <c r="W103" s="3136">
        <f t="shared" si="895"/>
        <v>0</v>
      </c>
      <c r="X103" s="3061"/>
      <c r="Y103" s="3061"/>
      <c r="Z103" s="3136">
        <f t="shared" si="896"/>
        <v>0</v>
      </c>
      <c r="AA103" s="3061"/>
      <c r="AB103" s="3061"/>
      <c r="AC103" s="3136">
        <f t="shared" si="848"/>
        <v>0</v>
      </c>
      <c r="AD103" s="3136">
        <f t="shared" si="849"/>
        <v>0</v>
      </c>
      <c r="AE103" s="3136">
        <f t="shared" si="850"/>
        <v>0</v>
      </c>
      <c r="AF103" s="3209">
        <f t="shared" si="851"/>
        <v>0</v>
      </c>
      <c r="AG103" s="3209">
        <f t="shared" si="852"/>
        <v>0</v>
      </c>
      <c r="AH103" s="3209">
        <f t="shared" si="853"/>
        <v>0</v>
      </c>
      <c r="AI103" s="3264">
        <f t="shared" si="854"/>
        <v>0</v>
      </c>
      <c r="AJ103" s="3264">
        <f t="shared" si="855"/>
        <v>0</v>
      </c>
      <c r="AK103" s="3264">
        <f t="shared" si="856"/>
        <v>0</v>
      </c>
      <c r="AL103" s="3264">
        <f t="shared" si="857"/>
        <v>0</v>
      </c>
      <c r="AM103" s="3264">
        <f t="shared" si="858"/>
        <v>0</v>
      </c>
      <c r="AN103" s="3264">
        <f t="shared" si="859"/>
        <v>0</v>
      </c>
      <c r="AO103" s="3208">
        <f t="shared" si="897"/>
        <v>0</v>
      </c>
      <c r="AP103" s="3208">
        <f t="shared" si="898"/>
        <v>0</v>
      </c>
      <c r="AQ103" s="3208">
        <f t="shared" si="899"/>
        <v>0</v>
      </c>
      <c r="AR103" s="3136">
        <f t="shared" si="900"/>
        <v>113.55</v>
      </c>
      <c r="AS103" s="3061">
        <v>113.55</v>
      </c>
      <c r="AT103" s="3061"/>
      <c r="AU103" s="3136">
        <f t="shared" si="901"/>
        <v>0</v>
      </c>
      <c r="AV103" s="3061"/>
      <c r="AW103" s="3061"/>
      <c r="AX103" s="3136">
        <f t="shared" si="902"/>
        <v>0</v>
      </c>
      <c r="AY103" s="3061"/>
      <c r="AZ103" s="3061"/>
      <c r="BA103" s="3136">
        <f t="shared" si="863"/>
        <v>113.55</v>
      </c>
      <c r="BB103" s="3136">
        <f t="shared" si="864"/>
        <v>113.55</v>
      </c>
      <c r="BC103" s="3136">
        <f t="shared" si="865"/>
        <v>0</v>
      </c>
      <c r="BD103" s="3209">
        <f t="shared" si="866"/>
        <v>0</v>
      </c>
      <c r="BE103" s="3209">
        <f t="shared" si="867"/>
        <v>0</v>
      </c>
      <c r="BF103" s="3209">
        <f t="shared" si="868"/>
        <v>0</v>
      </c>
      <c r="BG103" s="3264">
        <f t="shared" si="869"/>
        <v>113.55</v>
      </c>
      <c r="BH103" s="3264">
        <f t="shared" si="870"/>
        <v>113.55</v>
      </c>
      <c r="BI103" s="3264">
        <f t="shared" si="871"/>
        <v>0</v>
      </c>
      <c r="BJ103" s="3264">
        <f t="shared" si="872"/>
        <v>113.55</v>
      </c>
      <c r="BK103" s="3264">
        <f t="shared" si="873"/>
        <v>113.55</v>
      </c>
      <c r="BL103" s="3264">
        <f t="shared" si="874"/>
        <v>0</v>
      </c>
      <c r="BM103" s="3208">
        <f t="shared" si="903"/>
        <v>0</v>
      </c>
      <c r="BN103" s="3208">
        <f t="shared" si="904"/>
        <v>0</v>
      </c>
      <c r="BO103" s="3208">
        <f t="shared" si="905"/>
        <v>0</v>
      </c>
      <c r="BP103" s="3136">
        <f t="shared" si="906"/>
        <v>0</v>
      </c>
      <c r="BQ103" s="3061"/>
      <c r="BR103" s="3061"/>
      <c r="BS103" s="3136">
        <f t="shared" si="907"/>
        <v>0</v>
      </c>
      <c r="BT103" s="3061"/>
      <c r="BU103" s="3061"/>
      <c r="BV103" s="3136">
        <f t="shared" si="908"/>
        <v>0</v>
      </c>
      <c r="BW103" s="3061"/>
      <c r="BX103" s="3061"/>
      <c r="BY103" s="3136">
        <f t="shared" si="878"/>
        <v>0</v>
      </c>
      <c r="BZ103" s="3136">
        <f t="shared" si="879"/>
        <v>0</v>
      </c>
      <c r="CA103" s="3136">
        <f t="shared" si="880"/>
        <v>0</v>
      </c>
      <c r="CB103" s="3209">
        <v>0</v>
      </c>
      <c r="CC103" s="3209">
        <f>SUM(CB103/CB14*CC14)</f>
        <v>0</v>
      </c>
      <c r="CD103" s="3209">
        <f>SUM(CB103/CB14*CD14)</f>
        <v>0</v>
      </c>
      <c r="CE103" s="3264">
        <f t="shared" si="881"/>
        <v>113.55</v>
      </c>
      <c r="CF103" s="3264">
        <f t="shared" si="882"/>
        <v>113.55</v>
      </c>
      <c r="CG103" s="3264">
        <f t="shared" si="883"/>
        <v>0</v>
      </c>
      <c r="CH103" s="3264">
        <f t="shared" si="884"/>
        <v>113.55</v>
      </c>
      <c r="CI103" s="3264">
        <f t="shared" si="885"/>
        <v>113.55</v>
      </c>
      <c r="CJ103" s="3264">
        <f t="shared" si="886"/>
        <v>0</v>
      </c>
      <c r="CK103" s="3259"/>
      <c r="CL103" s="3259"/>
      <c r="CM103" s="3259"/>
      <c r="CN103" s="3055"/>
    </row>
    <row r="104" spans="1:92" ht="18.75" customHeight="1" x14ac:dyDescent="0.3">
      <c r="A104" s="3075" t="s">
        <v>52</v>
      </c>
      <c r="B104" s="3208">
        <f t="shared" si="837"/>
        <v>3.8374999999999999</v>
      </c>
      <c r="C104" s="3208">
        <f t="shared" si="887"/>
        <v>3.8356453734121554</v>
      </c>
      <c r="D104" s="3208">
        <f t="shared" si="888"/>
        <v>1.8546265878443035E-3</v>
      </c>
      <c r="E104" s="3136">
        <f t="shared" si="889"/>
        <v>0.47</v>
      </c>
      <c r="F104" s="3061">
        <v>0.47</v>
      </c>
      <c r="G104" s="3061"/>
      <c r="H104" s="3136">
        <f t="shared" si="890"/>
        <v>0</v>
      </c>
      <c r="I104" s="3061"/>
      <c r="J104" s="3061"/>
      <c r="K104" s="3136">
        <f t="shared" si="891"/>
        <v>0.48</v>
      </c>
      <c r="L104" s="3061">
        <v>0.48</v>
      </c>
      <c r="M104" s="3061"/>
      <c r="N104" s="3136">
        <f t="shared" si="842"/>
        <v>0.95</v>
      </c>
      <c r="O104" s="3136">
        <f t="shared" si="843"/>
        <v>0.95</v>
      </c>
      <c r="P104" s="3136">
        <f t="shared" si="844"/>
        <v>0</v>
      </c>
      <c r="Q104" s="3208">
        <f t="shared" si="845"/>
        <v>3.8374999999999999</v>
      </c>
      <c r="R104" s="3208">
        <f t="shared" si="892"/>
        <v>3.8356453734121554</v>
      </c>
      <c r="S104" s="3208">
        <f t="shared" si="893"/>
        <v>1.8546265878443035E-3</v>
      </c>
      <c r="T104" s="3136">
        <f t="shared" si="894"/>
        <v>1.1200000000000001</v>
      </c>
      <c r="U104" s="3061">
        <v>1.1200000000000001</v>
      </c>
      <c r="V104" s="3061"/>
      <c r="W104" s="3136">
        <f t="shared" si="895"/>
        <v>0</v>
      </c>
      <c r="X104" s="3061"/>
      <c r="Y104" s="3061"/>
      <c r="Z104" s="3136">
        <f t="shared" si="896"/>
        <v>0.51</v>
      </c>
      <c r="AA104" s="3061">
        <v>0.51</v>
      </c>
      <c r="AB104" s="3061"/>
      <c r="AC104" s="3136">
        <f t="shared" si="848"/>
        <v>1.6300000000000001</v>
      </c>
      <c r="AD104" s="3136">
        <f t="shared" si="849"/>
        <v>1.6300000000000001</v>
      </c>
      <c r="AE104" s="3136">
        <f t="shared" si="850"/>
        <v>0</v>
      </c>
      <c r="AF104" s="3209">
        <f t="shared" si="851"/>
        <v>7.6749999999999998</v>
      </c>
      <c r="AG104" s="3209">
        <f t="shared" si="852"/>
        <v>7.6712907468243108</v>
      </c>
      <c r="AH104" s="3209">
        <f t="shared" si="853"/>
        <v>3.7092531756886069E-3</v>
      </c>
      <c r="AI104" s="3264">
        <f t="shared" si="854"/>
        <v>2.58</v>
      </c>
      <c r="AJ104" s="3264">
        <f t="shared" si="855"/>
        <v>2.58</v>
      </c>
      <c r="AK104" s="3264">
        <f t="shared" si="856"/>
        <v>0</v>
      </c>
      <c r="AL104" s="3264">
        <f t="shared" si="857"/>
        <v>-5.0949999999999998</v>
      </c>
      <c r="AM104" s="3264">
        <f t="shared" si="858"/>
        <v>-5.0912907468243107</v>
      </c>
      <c r="AN104" s="3264">
        <f t="shared" si="859"/>
        <v>-3.7092531756886069E-3</v>
      </c>
      <c r="AO104" s="3208">
        <f t="shared" si="897"/>
        <v>3.8374999999999999</v>
      </c>
      <c r="AP104" s="3208">
        <f t="shared" si="898"/>
        <v>3.8356453734121554</v>
      </c>
      <c r="AQ104" s="3208">
        <f t="shared" si="899"/>
        <v>1.8546265878443035E-3</v>
      </c>
      <c r="AR104" s="3136">
        <f t="shared" si="900"/>
        <v>0.44</v>
      </c>
      <c r="AS104" s="3061">
        <v>0.44</v>
      </c>
      <c r="AT104" s="3061"/>
      <c r="AU104" s="3136">
        <f t="shared" si="901"/>
        <v>0.44</v>
      </c>
      <c r="AV104" s="3061">
        <v>0.44</v>
      </c>
      <c r="AW104" s="3061"/>
      <c r="AX104" s="3136">
        <f t="shared" si="902"/>
        <v>1.32</v>
      </c>
      <c r="AY104" s="3061">
        <v>1.32</v>
      </c>
      <c r="AZ104" s="3061"/>
      <c r="BA104" s="3136">
        <f t="shared" si="863"/>
        <v>2.2000000000000002</v>
      </c>
      <c r="BB104" s="3136">
        <f t="shared" si="864"/>
        <v>2.2000000000000002</v>
      </c>
      <c r="BC104" s="3136">
        <f t="shared" si="865"/>
        <v>0</v>
      </c>
      <c r="BD104" s="3209">
        <f t="shared" si="866"/>
        <v>11.512499999999999</v>
      </c>
      <c r="BE104" s="3209">
        <f t="shared" si="867"/>
        <v>11.506936120236466</v>
      </c>
      <c r="BF104" s="3209">
        <f t="shared" si="868"/>
        <v>5.5638797635329104E-3</v>
      </c>
      <c r="BG104" s="3264">
        <f t="shared" si="869"/>
        <v>4.78</v>
      </c>
      <c r="BH104" s="3264">
        <f t="shared" si="870"/>
        <v>4.78</v>
      </c>
      <c r="BI104" s="3264">
        <f t="shared" si="871"/>
        <v>0</v>
      </c>
      <c r="BJ104" s="3264">
        <f t="shared" si="872"/>
        <v>-6.732499999999999</v>
      </c>
      <c r="BK104" s="3264">
        <f t="shared" si="873"/>
        <v>-6.7269361202364655</v>
      </c>
      <c r="BL104" s="3264">
        <f t="shared" si="874"/>
        <v>-5.5638797635329104E-3</v>
      </c>
      <c r="BM104" s="3208">
        <f t="shared" si="903"/>
        <v>3.8374999999999999</v>
      </c>
      <c r="BN104" s="3208">
        <f t="shared" si="904"/>
        <v>3.8356453734121554</v>
      </c>
      <c r="BO104" s="3208">
        <f t="shared" si="905"/>
        <v>1.8546265878443035E-3</v>
      </c>
      <c r="BP104" s="3136">
        <f t="shared" si="906"/>
        <v>0</v>
      </c>
      <c r="BQ104" s="3061"/>
      <c r="BR104" s="3061"/>
      <c r="BS104" s="3136">
        <f t="shared" si="907"/>
        <v>0</v>
      </c>
      <c r="BT104" s="3061"/>
      <c r="BU104" s="3061"/>
      <c r="BV104" s="3136">
        <f t="shared" si="908"/>
        <v>0</v>
      </c>
      <c r="BW104" s="3061"/>
      <c r="BX104" s="3061"/>
      <c r="BY104" s="3136">
        <f t="shared" si="878"/>
        <v>0</v>
      </c>
      <c r="BZ104" s="3136">
        <f t="shared" si="879"/>
        <v>0</v>
      </c>
      <c r="CA104" s="3136">
        <f t="shared" si="880"/>
        <v>0</v>
      </c>
      <c r="CB104" s="3209">
        <v>15.35</v>
      </c>
      <c r="CC104" s="3209">
        <f>SUM(CB104/CB14*CC14)</f>
        <v>15.342581493648622</v>
      </c>
      <c r="CD104" s="3209">
        <f>SUM(CB104/CB14*CD14)</f>
        <v>7.4185063513772138E-3</v>
      </c>
      <c r="CE104" s="3264">
        <f t="shared" si="881"/>
        <v>4.78</v>
      </c>
      <c r="CF104" s="3264">
        <f t="shared" si="882"/>
        <v>4.78</v>
      </c>
      <c r="CG104" s="3264">
        <f t="shared" si="883"/>
        <v>0</v>
      </c>
      <c r="CH104" s="3264">
        <f t="shared" si="884"/>
        <v>-10.57</v>
      </c>
      <c r="CI104" s="3264">
        <f t="shared" si="885"/>
        <v>-10.562581493648622</v>
      </c>
      <c r="CJ104" s="3264">
        <f t="shared" si="886"/>
        <v>-7.4185063513772138E-3</v>
      </c>
      <c r="CK104" s="3259"/>
      <c r="CL104" s="3259"/>
      <c r="CM104" s="3259"/>
      <c r="CN104" s="3055"/>
    </row>
    <row r="105" spans="1:92" ht="18.75" customHeight="1" x14ac:dyDescent="0.3">
      <c r="A105" s="3075" t="s">
        <v>599</v>
      </c>
      <c r="B105" s="3208">
        <f t="shared" si="837"/>
        <v>570.80999999999995</v>
      </c>
      <c r="C105" s="3208">
        <f t="shared" si="887"/>
        <v>570.53413305469508</v>
      </c>
      <c r="D105" s="3208">
        <f t="shared" si="888"/>
        <v>0.27586694530486172</v>
      </c>
      <c r="E105" s="3136">
        <f t="shared" si="889"/>
        <v>150.99</v>
      </c>
      <c r="F105" s="3061">
        <f>2.07-13.63+162.55</f>
        <v>150.99</v>
      </c>
      <c r="G105" s="3061"/>
      <c r="H105" s="3136">
        <f t="shared" si="890"/>
        <v>126.56</v>
      </c>
      <c r="I105" s="3061">
        <f>0.34-29.21+155.43</f>
        <v>126.56</v>
      </c>
      <c r="J105" s="3061"/>
      <c r="K105" s="3136">
        <f t="shared" si="891"/>
        <v>112.25999999999999</v>
      </c>
      <c r="L105" s="3061">
        <f>0.69-30.35+141.92</f>
        <v>112.25999999999999</v>
      </c>
      <c r="M105" s="3061"/>
      <c r="N105" s="3136">
        <f t="shared" si="842"/>
        <v>389.81</v>
      </c>
      <c r="O105" s="3136">
        <f t="shared" si="843"/>
        <v>389.81</v>
      </c>
      <c r="P105" s="3136">
        <f t="shared" si="844"/>
        <v>0</v>
      </c>
      <c r="Q105" s="3208">
        <f t="shared" si="845"/>
        <v>570.80999999999995</v>
      </c>
      <c r="R105" s="3208">
        <f t="shared" si="892"/>
        <v>570.53413305469508</v>
      </c>
      <c r="S105" s="3208">
        <f t="shared" si="893"/>
        <v>0.27586694530486172</v>
      </c>
      <c r="T105" s="3136">
        <f t="shared" si="894"/>
        <v>142.6</v>
      </c>
      <c r="U105" s="3061">
        <f>-5.82+148.42</f>
        <v>142.6</v>
      </c>
      <c r="V105" s="3061"/>
      <c r="W105" s="3136">
        <f t="shared" si="895"/>
        <v>119.32000000000001</v>
      </c>
      <c r="X105" s="3061">
        <f>1.03-1.94+120.23</f>
        <v>119.32000000000001</v>
      </c>
      <c r="Y105" s="3061"/>
      <c r="Z105" s="3136">
        <f t="shared" si="896"/>
        <v>158.81</v>
      </c>
      <c r="AA105" s="3061">
        <f>0.69-4.46+162.58</f>
        <v>158.81</v>
      </c>
      <c r="AB105" s="3061"/>
      <c r="AC105" s="3136">
        <f t="shared" si="848"/>
        <v>420.73</v>
      </c>
      <c r="AD105" s="3136">
        <f t="shared" si="849"/>
        <v>420.73</v>
      </c>
      <c r="AE105" s="3136">
        <f t="shared" si="850"/>
        <v>0</v>
      </c>
      <c r="AF105" s="3209">
        <f t="shared" si="851"/>
        <v>1141.6199999999999</v>
      </c>
      <c r="AG105" s="3209">
        <f t="shared" si="852"/>
        <v>1141.0682661093902</v>
      </c>
      <c r="AH105" s="3209">
        <f t="shared" si="853"/>
        <v>0.55173389060972344</v>
      </c>
      <c r="AI105" s="3264">
        <f t="shared" si="854"/>
        <v>810.54</v>
      </c>
      <c r="AJ105" s="3264">
        <f t="shared" si="855"/>
        <v>810.54</v>
      </c>
      <c r="AK105" s="3264">
        <f t="shared" si="856"/>
        <v>0</v>
      </c>
      <c r="AL105" s="3264">
        <f t="shared" si="857"/>
        <v>-331.07999999999993</v>
      </c>
      <c r="AM105" s="3264">
        <f t="shared" si="858"/>
        <v>-330.52826610939019</v>
      </c>
      <c r="AN105" s="3264">
        <f t="shared" si="859"/>
        <v>-0.55173389060972344</v>
      </c>
      <c r="AO105" s="3208">
        <f t="shared" si="897"/>
        <v>570.80999999999995</v>
      </c>
      <c r="AP105" s="3208">
        <f t="shared" si="898"/>
        <v>570.53413305469508</v>
      </c>
      <c r="AQ105" s="3208">
        <f t="shared" si="899"/>
        <v>0.27586694530486172</v>
      </c>
      <c r="AR105" s="3136">
        <f t="shared" si="900"/>
        <v>165.88000000000002</v>
      </c>
      <c r="AS105" s="3061">
        <f>1.05-12.44+177.27</f>
        <v>165.88000000000002</v>
      </c>
      <c r="AT105" s="3061"/>
      <c r="AU105" s="3136">
        <f t="shared" si="901"/>
        <v>128.45000000000002</v>
      </c>
      <c r="AV105" s="3061">
        <f>1.57-7.61+134.49</f>
        <v>128.45000000000002</v>
      </c>
      <c r="AW105" s="3061"/>
      <c r="AX105" s="3136">
        <f t="shared" si="902"/>
        <v>141.22</v>
      </c>
      <c r="AY105" s="3061">
        <f>1.05-2.48+142.65</f>
        <v>141.22</v>
      </c>
      <c r="AZ105" s="3061"/>
      <c r="BA105" s="3136">
        <f t="shared" si="863"/>
        <v>435.55000000000007</v>
      </c>
      <c r="BB105" s="3136">
        <f t="shared" si="864"/>
        <v>435.55000000000007</v>
      </c>
      <c r="BC105" s="3136">
        <f t="shared" si="865"/>
        <v>0</v>
      </c>
      <c r="BD105" s="3209">
        <f t="shared" si="866"/>
        <v>1712.4299999999998</v>
      </c>
      <c r="BE105" s="3209">
        <f t="shared" si="867"/>
        <v>1711.6023991640852</v>
      </c>
      <c r="BF105" s="3209">
        <f t="shared" si="868"/>
        <v>0.82760083591458522</v>
      </c>
      <c r="BG105" s="3264">
        <f t="shared" si="869"/>
        <v>1246.0900000000001</v>
      </c>
      <c r="BH105" s="3264">
        <f t="shared" si="870"/>
        <v>1246.0900000000001</v>
      </c>
      <c r="BI105" s="3264">
        <f t="shared" si="871"/>
        <v>0</v>
      </c>
      <c r="BJ105" s="3264">
        <f t="shared" si="872"/>
        <v>-466.33999999999969</v>
      </c>
      <c r="BK105" s="3264">
        <f t="shared" si="873"/>
        <v>-465.51239916408508</v>
      </c>
      <c r="BL105" s="3264">
        <f t="shared" si="874"/>
        <v>-0.82760083591458522</v>
      </c>
      <c r="BM105" s="3208">
        <f t="shared" si="903"/>
        <v>570.80999999999995</v>
      </c>
      <c r="BN105" s="3208">
        <f t="shared" si="904"/>
        <v>570.53413305469508</v>
      </c>
      <c r="BO105" s="3208">
        <f t="shared" si="905"/>
        <v>0.27586694530486172</v>
      </c>
      <c r="BP105" s="3136">
        <f t="shared" si="906"/>
        <v>0</v>
      </c>
      <c r="BQ105" s="3061"/>
      <c r="BR105" s="3061"/>
      <c r="BS105" s="3136">
        <f t="shared" si="907"/>
        <v>0</v>
      </c>
      <c r="BT105" s="3061"/>
      <c r="BU105" s="3061"/>
      <c r="BV105" s="3136">
        <f t="shared" si="908"/>
        <v>0</v>
      </c>
      <c r="BW105" s="3061"/>
      <c r="BX105" s="3061"/>
      <c r="BY105" s="3136">
        <f t="shared" si="878"/>
        <v>0</v>
      </c>
      <c r="BZ105" s="3136">
        <f t="shared" si="879"/>
        <v>0</v>
      </c>
      <c r="CA105" s="3136">
        <f t="shared" si="880"/>
        <v>0</v>
      </c>
      <c r="CB105" s="3209">
        <v>2283.2399999999998</v>
      </c>
      <c r="CC105" s="3209">
        <f>SUM(CB105/CB14*CC14)</f>
        <v>2282.1365322187803</v>
      </c>
      <c r="CD105" s="3209">
        <f>SUM(CB105/CB14*CD14)</f>
        <v>1.1034677812194469</v>
      </c>
      <c r="CE105" s="3264">
        <f t="shared" si="881"/>
        <v>1246.0900000000001</v>
      </c>
      <c r="CF105" s="3264">
        <f t="shared" si="882"/>
        <v>1246.0900000000001</v>
      </c>
      <c r="CG105" s="3264">
        <f t="shared" si="883"/>
        <v>0</v>
      </c>
      <c r="CH105" s="3264">
        <f t="shared" si="884"/>
        <v>-1037.1499999999996</v>
      </c>
      <c r="CI105" s="3264">
        <f t="shared" si="885"/>
        <v>-1036.0465322187802</v>
      </c>
      <c r="CJ105" s="3264">
        <f t="shared" si="886"/>
        <v>-1.1034677812194469</v>
      </c>
      <c r="CK105" s="3259"/>
      <c r="CL105" s="3259"/>
      <c r="CM105" s="3259"/>
      <c r="CN105" s="3055"/>
    </row>
    <row r="106" spans="1:92" ht="18.75" customHeight="1" x14ac:dyDescent="0.3">
      <c r="A106" s="3075" t="s">
        <v>601</v>
      </c>
      <c r="B106" s="3208">
        <f t="shared" si="837"/>
        <v>37.943600000000004</v>
      </c>
      <c r="C106" s="3208">
        <f t="shared" si="887"/>
        <v>37.925262225563905</v>
      </c>
      <c r="D106" s="3208">
        <f t="shared" si="888"/>
        <v>1.8337774436098797E-2</v>
      </c>
      <c r="E106" s="3136">
        <f t="shared" si="889"/>
        <v>15.26</v>
      </c>
      <c r="F106" s="3061">
        <v>15.26</v>
      </c>
      <c r="G106" s="3061"/>
      <c r="H106" s="3136">
        <f t="shared" si="890"/>
        <v>29.04</v>
      </c>
      <c r="I106" s="3061">
        <v>29.04</v>
      </c>
      <c r="J106" s="3061"/>
      <c r="K106" s="3136">
        <f t="shared" si="891"/>
        <v>16.28</v>
      </c>
      <c r="L106" s="3061">
        <v>16.28</v>
      </c>
      <c r="M106" s="3061"/>
      <c r="N106" s="3136">
        <f t="shared" si="842"/>
        <v>60.58</v>
      </c>
      <c r="O106" s="3136">
        <f t="shared" si="843"/>
        <v>60.58</v>
      </c>
      <c r="P106" s="3136">
        <f t="shared" si="844"/>
        <v>0</v>
      </c>
      <c r="Q106" s="3208">
        <f t="shared" si="845"/>
        <v>37.943600000000004</v>
      </c>
      <c r="R106" s="3208">
        <f t="shared" si="892"/>
        <v>37.925262225563905</v>
      </c>
      <c r="S106" s="3208">
        <f t="shared" si="893"/>
        <v>1.8337774436098797E-2</v>
      </c>
      <c r="T106" s="3136">
        <f t="shared" si="894"/>
        <v>6.77</v>
      </c>
      <c r="U106" s="3061">
        <v>6.77</v>
      </c>
      <c r="V106" s="3061"/>
      <c r="W106" s="3136">
        <f t="shared" si="895"/>
        <v>32.659999999999997</v>
      </c>
      <c r="X106" s="3061">
        <v>32.659999999999997</v>
      </c>
      <c r="Y106" s="3061"/>
      <c r="Z106" s="3136">
        <f t="shared" si="896"/>
        <v>6.28</v>
      </c>
      <c r="AA106" s="3061">
        <v>6.28</v>
      </c>
      <c r="AB106" s="3061"/>
      <c r="AC106" s="3136">
        <f t="shared" si="848"/>
        <v>45.709999999999994</v>
      </c>
      <c r="AD106" s="3136">
        <f t="shared" si="849"/>
        <v>45.709999999999994</v>
      </c>
      <c r="AE106" s="3136">
        <f t="shared" si="850"/>
        <v>0</v>
      </c>
      <c r="AF106" s="3209">
        <f t="shared" si="851"/>
        <v>75.887200000000007</v>
      </c>
      <c r="AG106" s="3209">
        <f t="shared" si="852"/>
        <v>75.850524451127811</v>
      </c>
      <c r="AH106" s="3209">
        <f t="shared" si="853"/>
        <v>3.6675548872197594E-2</v>
      </c>
      <c r="AI106" s="3264">
        <f t="shared" si="854"/>
        <v>106.28999999999999</v>
      </c>
      <c r="AJ106" s="3264">
        <f t="shared" si="855"/>
        <v>106.28999999999999</v>
      </c>
      <c r="AK106" s="3264">
        <f t="shared" si="856"/>
        <v>0</v>
      </c>
      <c r="AL106" s="3264">
        <f t="shared" si="857"/>
        <v>30.402799999999985</v>
      </c>
      <c r="AM106" s="3264">
        <f t="shared" si="858"/>
        <v>30.439475548872181</v>
      </c>
      <c r="AN106" s="3264">
        <f t="shared" si="859"/>
        <v>-3.6675548872197594E-2</v>
      </c>
      <c r="AO106" s="3208">
        <f t="shared" si="897"/>
        <v>37.943600000000004</v>
      </c>
      <c r="AP106" s="3208">
        <f t="shared" si="898"/>
        <v>37.925262225563905</v>
      </c>
      <c r="AQ106" s="3208">
        <f t="shared" si="899"/>
        <v>1.8337774436098797E-2</v>
      </c>
      <c r="AR106" s="3136">
        <f t="shared" si="900"/>
        <v>15.24</v>
      </c>
      <c r="AS106" s="3061">
        <v>15.24</v>
      </c>
      <c r="AT106" s="3061"/>
      <c r="AU106" s="3136">
        <f t="shared" si="901"/>
        <v>9.23</v>
      </c>
      <c r="AV106" s="3061">
        <v>9.23</v>
      </c>
      <c r="AW106" s="3061"/>
      <c r="AX106" s="3136">
        <f t="shared" si="902"/>
        <v>8.44</v>
      </c>
      <c r="AY106" s="3061">
        <v>8.44</v>
      </c>
      <c r="AZ106" s="3061"/>
      <c r="BA106" s="3136">
        <f t="shared" si="863"/>
        <v>32.909999999999997</v>
      </c>
      <c r="BB106" s="3136">
        <f t="shared" si="864"/>
        <v>32.909999999999997</v>
      </c>
      <c r="BC106" s="3136">
        <f t="shared" si="865"/>
        <v>0</v>
      </c>
      <c r="BD106" s="3209">
        <f t="shared" si="866"/>
        <v>113.83080000000002</v>
      </c>
      <c r="BE106" s="3209">
        <f t="shared" si="867"/>
        <v>113.77578667669172</v>
      </c>
      <c r="BF106" s="3209">
        <f t="shared" si="868"/>
        <v>5.5013323308296391E-2</v>
      </c>
      <c r="BG106" s="3264">
        <f t="shared" si="869"/>
        <v>139.19999999999999</v>
      </c>
      <c r="BH106" s="3264">
        <f t="shared" si="870"/>
        <v>139.19999999999999</v>
      </c>
      <c r="BI106" s="3264">
        <f t="shared" si="871"/>
        <v>0</v>
      </c>
      <c r="BJ106" s="3264">
        <f t="shared" si="872"/>
        <v>25.369199999999964</v>
      </c>
      <c r="BK106" s="3264">
        <f t="shared" si="873"/>
        <v>25.424213323308265</v>
      </c>
      <c r="BL106" s="3264">
        <f t="shared" si="874"/>
        <v>-5.5013323308296391E-2</v>
      </c>
      <c r="BM106" s="3208">
        <f t="shared" si="903"/>
        <v>37.943600000000004</v>
      </c>
      <c r="BN106" s="3208">
        <f t="shared" si="904"/>
        <v>37.925262225563905</v>
      </c>
      <c r="BO106" s="3208">
        <f t="shared" si="905"/>
        <v>1.8337774436098797E-2</v>
      </c>
      <c r="BP106" s="3136">
        <f t="shared" si="906"/>
        <v>0</v>
      </c>
      <c r="BQ106" s="3061"/>
      <c r="BR106" s="3061"/>
      <c r="BS106" s="3136">
        <f t="shared" si="907"/>
        <v>0</v>
      </c>
      <c r="BT106" s="3061"/>
      <c r="BU106" s="3061"/>
      <c r="BV106" s="3136">
        <f t="shared" si="908"/>
        <v>0</v>
      </c>
      <c r="BW106" s="3061"/>
      <c r="BX106" s="3061"/>
      <c r="BY106" s="3136">
        <f t="shared" si="878"/>
        <v>0</v>
      </c>
      <c r="BZ106" s="3136">
        <f t="shared" si="879"/>
        <v>0</v>
      </c>
      <c r="CA106" s="3136">
        <f t="shared" si="880"/>
        <v>0</v>
      </c>
      <c r="CB106" s="3209">
        <f>142.28+9.4944</f>
        <v>151.77440000000001</v>
      </c>
      <c r="CC106" s="3209">
        <f>SUM(CB106/CB14*CC14)</f>
        <v>151.70104890225562</v>
      </c>
      <c r="CD106" s="3209">
        <f>SUM(CB106/CB14*CD14)</f>
        <v>7.3351097744395188E-2</v>
      </c>
      <c r="CE106" s="3264">
        <f t="shared" si="881"/>
        <v>139.19999999999999</v>
      </c>
      <c r="CF106" s="3264">
        <f t="shared" si="882"/>
        <v>139.19999999999999</v>
      </c>
      <c r="CG106" s="3264">
        <f t="shared" si="883"/>
        <v>0</v>
      </c>
      <c r="CH106" s="3264">
        <f t="shared" si="884"/>
        <v>-12.574400000000026</v>
      </c>
      <c r="CI106" s="3264">
        <f t="shared" si="885"/>
        <v>-12.501048902255633</v>
      </c>
      <c r="CJ106" s="3264">
        <f t="shared" si="886"/>
        <v>-7.3351097744395188E-2</v>
      </c>
      <c r="CK106" s="3259"/>
      <c r="CL106" s="3259"/>
      <c r="CM106" s="3259"/>
      <c r="CN106" s="3055"/>
    </row>
    <row r="107" spans="1:92" ht="18.75" customHeight="1" x14ac:dyDescent="0.3">
      <c r="A107" s="3075" t="s">
        <v>600</v>
      </c>
      <c r="B107" s="3208">
        <f t="shared" si="837"/>
        <v>30.160000000000004</v>
      </c>
      <c r="C107" s="3208">
        <f t="shared" si="887"/>
        <v>30.145423964067916</v>
      </c>
      <c r="D107" s="3208">
        <f t="shared" si="888"/>
        <v>1.4576035932087089E-2</v>
      </c>
      <c r="E107" s="3136">
        <f t="shared" si="889"/>
        <v>9.7100000000000009</v>
      </c>
      <c r="F107" s="3061">
        <f>8.91+0.8</f>
        <v>9.7100000000000009</v>
      </c>
      <c r="G107" s="3061"/>
      <c r="H107" s="3136">
        <f t="shared" si="890"/>
        <v>9.73</v>
      </c>
      <c r="I107" s="3061">
        <f>0.8+8.93</f>
        <v>9.73</v>
      </c>
      <c r="J107" s="3061"/>
      <c r="K107" s="3136">
        <f t="shared" si="891"/>
        <v>9.73</v>
      </c>
      <c r="L107" s="3061">
        <f>8.93+0.8</f>
        <v>9.73</v>
      </c>
      <c r="M107" s="3061"/>
      <c r="N107" s="3136">
        <f t="shared" si="842"/>
        <v>29.17</v>
      </c>
      <c r="O107" s="3136">
        <f t="shared" si="843"/>
        <v>29.17</v>
      </c>
      <c r="P107" s="3136">
        <f t="shared" si="844"/>
        <v>0</v>
      </c>
      <c r="Q107" s="3208">
        <f t="shared" si="845"/>
        <v>30.160000000000004</v>
      </c>
      <c r="R107" s="3208">
        <f t="shared" si="892"/>
        <v>30.145423964067916</v>
      </c>
      <c r="S107" s="3208">
        <f t="shared" si="893"/>
        <v>1.4576035932087089E-2</v>
      </c>
      <c r="T107" s="3136">
        <f t="shared" si="894"/>
        <v>9.67</v>
      </c>
      <c r="U107" s="3061">
        <f>8.87+0.8</f>
        <v>9.67</v>
      </c>
      <c r="V107" s="3061"/>
      <c r="W107" s="3136">
        <f t="shared" si="895"/>
        <v>8.1999999999999993</v>
      </c>
      <c r="X107" s="3061">
        <f>8.87-0.67</f>
        <v>8.1999999999999993</v>
      </c>
      <c r="Y107" s="3061"/>
      <c r="Z107" s="3136">
        <f t="shared" si="896"/>
        <v>8.9499999999999993</v>
      </c>
      <c r="AA107" s="3061">
        <v>8.9499999999999993</v>
      </c>
      <c r="AB107" s="3061"/>
      <c r="AC107" s="3136">
        <f t="shared" si="848"/>
        <v>26.819999999999997</v>
      </c>
      <c r="AD107" s="3136">
        <f t="shared" si="849"/>
        <v>26.819999999999997</v>
      </c>
      <c r="AE107" s="3136">
        <f t="shared" si="850"/>
        <v>0</v>
      </c>
      <c r="AF107" s="3209">
        <f t="shared" si="851"/>
        <v>60.320000000000007</v>
      </c>
      <c r="AG107" s="3209">
        <f t="shared" si="852"/>
        <v>60.290847928135832</v>
      </c>
      <c r="AH107" s="3209">
        <f t="shared" si="853"/>
        <v>2.9152071864174178E-2</v>
      </c>
      <c r="AI107" s="3264">
        <f t="shared" si="854"/>
        <v>55.989999999999995</v>
      </c>
      <c r="AJ107" s="3264">
        <f t="shared" si="855"/>
        <v>55.989999999999995</v>
      </c>
      <c r="AK107" s="3264">
        <f t="shared" si="856"/>
        <v>0</v>
      </c>
      <c r="AL107" s="3264">
        <f t="shared" si="857"/>
        <v>-4.3300000000000125</v>
      </c>
      <c r="AM107" s="3264">
        <f t="shared" si="858"/>
        <v>-4.3008479281358376</v>
      </c>
      <c r="AN107" s="3264">
        <f t="shared" si="859"/>
        <v>-2.9152071864174178E-2</v>
      </c>
      <c r="AO107" s="3208">
        <f t="shared" si="897"/>
        <v>30.160000000000004</v>
      </c>
      <c r="AP107" s="3208">
        <f t="shared" si="898"/>
        <v>30.145423964067916</v>
      </c>
      <c r="AQ107" s="3208">
        <f t="shared" si="899"/>
        <v>1.4576035932087089E-2</v>
      </c>
      <c r="AR107" s="3136">
        <f t="shared" si="900"/>
        <v>9.31</v>
      </c>
      <c r="AS107" s="3061">
        <v>9.31</v>
      </c>
      <c r="AT107" s="3061"/>
      <c r="AU107" s="3136">
        <f t="shared" si="901"/>
        <v>9.31</v>
      </c>
      <c r="AV107" s="3061">
        <v>9.31</v>
      </c>
      <c r="AW107" s="3061"/>
      <c r="AX107" s="3136">
        <f t="shared" si="902"/>
        <v>9.31</v>
      </c>
      <c r="AY107" s="3061">
        <v>9.31</v>
      </c>
      <c r="AZ107" s="3061"/>
      <c r="BA107" s="3136">
        <f t="shared" si="863"/>
        <v>27.93</v>
      </c>
      <c r="BB107" s="3136">
        <f t="shared" si="864"/>
        <v>27.93</v>
      </c>
      <c r="BC107" s="3136">
        <f t="shared" si="865"/>
        <v>0</v>
      </c>
      <c r="BD107" s="3209">
        <f t="shared" si="866"/>
        <v>90.48</v>
      </c>
      <c r="BE107" s="3209">
        <f t="shared" si="867"/>
        <v>90.436271892203749</v>
      </c>
      <c r="BF107" s="3209">
        <f t="shared" si="868"/>
        <v>4.3728107796261267E-2</v>
      </c>
      <c r="BG107" s="3264">
        <f t="shared" si="869"/>
        <v>83.919999999999987</v>
      </c>
      <c r="BH107" s="3264">
        <f t="shared" si="870"/>
        <v>83.919999999999987</v>
      </c>
      <c r="BI107" s="3264">
        <f t="shared" si="871"/>
        <v>0</v>
      </c>
      <c r="BJ107" s="3264">
        <f t="shared" si="872"/>
        <v>-6.5600000000000165</v>
      </c>
      <c r="BK107" s="3264">
        <f t="shared" si="873"/>
        <v>-6.5162718922037612</v>
      </c>
      <c r="BL107" s="3264">
        <f t="shared" si="874"/>
        <v>-4.3728107796261267E-2</v>
      </c>
      <c r="BM107" s="3208">
        <f t="shared" si="903"/>
        <v>30.160000000000004</v>
      </c>
      <c r="BN107" s="3208">
        <f t="shared" si="904"/>
        <v>30.145423964067916</v>
      </c>
      <c r="BO107" s="3208">
        <f t="shared" si="905"/>
        <v>1.4576035932087089E-2</v>
      </c>
      <c r="BP107" s="3136">
        <f t="shared" si="906"/>
        <v>0</v>
      </c>
      <c r="BQ107" s="3061"/>
      <c r="BR107" s="3061"/>
      <c r="BS107" s="3136">
        <f t="shared" si="907"/>
        <v>0</v>
      </c>
      <c r="BT107" s="3061"/>
      <c r="BU107" s="3061"/>
      <c r="BV107" s="3136">
        <f t="shared" si="908"/>
        <v>0</v>
      </c>
      <c r="BW107" s="3061"/>
      <c r="BX107" s="3061"/>
      <c r="BY107" s="3136">
        <f t="shared" si="878"/>
        <v>0</v>
      </c>
      <c r="BZ107" s="3136">
        <f t="shared" si="879"/>
        <v>0</v>
      </c>
      <c r="CA107" s="3136">
        <f t="shared" si="880"/>
        <v>0</v>
      </c>
      <c r="CB107" s="3209">
        <v>120.64</v>
      </c>
      <c r="CC107" s="3209">
        <f>SUM(CB107/CB14*CC14)</f>
        <v>120.58169585627166</v>
      </c>
      <c r="CD107" s="3209">
        <f>SUM(CB107/CB14*CD14)</f>
        <v>5.8304143728348357E-2</v>
      </c>
      <c r="CE107" s="3264">
        <f t="shared" si="881"/>
        <v>83.919999999999987</v>
      </c>
      <c r="CF107" s="3264">
        <f t="shared" si="882"/>
        <v>83.919999999999987</v>
      </c>
      <c r="CG107" s="3264">
        <f t="shared" si="883"/>
        <v>0</v>
      </c>
      <c r="CH107" s="3264">
        <f t="shared" si="884"/>
        <v>-36.720000000000013</v>
      </c>
      <c r="CI107" s="3264">
        <f t="shared" si="885"/>
        <v>-36.661695856271677</v>
      </c>
      <c r="CJ107" s="3264">
        <f t="shared" si="886"/>
        <v>-5.8304143728348357E-2</v>
      </c>
      <c r="CK107" s="3259"/>
      <c r="CL107" s="3259"/>
      <c r="CM107" s="3259"/>
      <c r="CN107" s="3055"/>
    </row>
    <row r="108" spans="1:92" ht="18.75" customHeight="1" x14ac:dyDescent="0.3">
      <c r="A108" s="3075" t="s">
        <v>610</v>
      </c>
      <c r="B108" s="3208">
        <f t="shared" si="837"/>
        <v>6.2450000000000001</v>
      </c>
      <c r="C108" s="3208">
        <f t="shared" si="887"/>
        <v>6.2419818519762638</v>
      </c>
      <c r="D108" s="3208">
        <f t="shared" si="888"/>
        <v>3.0181480237362027E-3</v>
      </c>
      <c r="E108" s="3136">
        <f t="shared" si="889"/>
        <v>0</v>
      </c>
      <c r="F108" s="3061"/>
      <c r="G108" s="3061"/>
      <c r="H108" s="3136">
        <f t="shared" si="890"/>
        <v>0</v>
      </c>
      <c r="I108" s="3061"/>
      <c r="J108" s="3061"/>
      <c r="K108" s="3136">
        <f t="shared" si="891"/>
        <v>1.9</v>
      </c>
      <c r="L108" s="3061">
        <v>1.9</v>
      </c>
      <c r="M108" s="3061"/>
      <c r="N108" s="3136">
        <f t="shared" si="842"/>
        <v>1.9</v>
      </c>
      <c r="O108" s="3136">
        <f t="shared" si="843"/>
        <v>1.9</v>
      </c>
      <c r="P108" s="3136">
        <f t="shared" si="844"/>
        <v>0</v>
      </c>
      <c r="Q108" s="3208">
        <f t="shared" si="845"/>
        <v>6.2450000000000001</v>
      </c>
      <c r="R108" s="3208">
        <f t="shared" si="892"/>
        <v>6.2419818519762638</v>
      </c>
      <c r="S108" s="3208">
        <f t="shared" si="893"/>
        <v>3.0181480237362027E-3</v>
      </c>
      <c r="T108" s="3136">
        <f t="shared" si="894"/>
        <v>0</v>
      </c>
      <c r="U108" s="3061"/>
      <c r="V108" s="3061"/>
      <c r="W108" s="3136">
        <f t="shared" si="895"/>
        <v>0</v>
      </c>
      <c r="X108" s="3061"/>
      <c r="Y108" s="3061"/>
      <c r="Z108" s="3136">
        <f t="shared" si="896"/>
        <v>1.26</v>
      </c>
      <c r="AA108" s="3061">
        <v>1.26</v>
      </c>
      <c r="AB108" s="3061"/>
      <c r="AC108" s="3136">
        <f t="shared" si="848"/>
        <v>1.26</v>
      </c>
      <c r="AD108" s="3136">
        <f t="shared" si="849"/>
        <v>1.26</v>
      </c>
      <c r="AE108" s="3136">
        <f t="shared" si="850"/>
        <v>0</v>
      </c>
      <c r="AF108" s="3209">
        <f t="shared" si="851"/>
        <v>12.49</v>
      </c>
      <c r="AG108" s="3209">
        <f t="shared" si="852"/>
        <v>12.483963703952528</v>
      </c>
      <c r="AH108" s="3209">
        <f t="shared" si="853"/>
        <v>6.0362960474724054E-3</v>
      </c>
      <c r="AI108" s="3264">
        <f t="shared" si="854"/>
        <v>3.16</v>
      </c>
      <c r="AJ108" s="3264">
        <f t="shared" si="855"/>
        <v>3.16</v>
      </c>
      <c r="AK108" s="3264">
        <f t="shared" si="856"/>
        <v>0</v>
      </c>
      <c r="AL108" s="3264">
        <f t="shared" si="857"/>
        <v>-9.33</v>
      </c>
      <c r="AM108" s="3264">
        <f t="shared" si="858"/>
        <v>-9.3239637039525274</v>
      </c>
      <c r="AN108" s="3264">
        <f t="shared" si="859"/>
        <v>-6.0362960474724054E-3</v>
      </c>
      <c r="AO108" s="3208">
        <f t="shared" si="897"/>
        <v>6.2450000000000001</v>
      </c>
      <c r="AP108" s="3208">
        <f t="shared" si="898"/>
        <v>6.2419818519762638</v>
      </c>
      <c r="AQ108" s="3208">
        <f t="shared" si="899"/>
        <v>3.0181480237362027E-3</v>
      </c>
      <c r="AR108" s="3136">
        <f t="shared" si="900"/>
        <v>0</v>
      </c>
      <c r="AS108" s="3061"/>
      <c r="AT108" s="3061"/>
      <c r="AU108" s="3136">
        <f t="shared" si="901"/>
        <v>2.52</v>
      </c>
      <c r="AV108" s="3061">
        <v>2.52</v>
      </c>
      <c r="AW108" s="3061"/>
      <c r="AX108" s="3136">
        <f t="shared" si="902"/>
        <v>5.64</v>
      </c>
      <c r="AY108" s="3061">
        <v>5.64</v>
      </c>
      <c r="AZ108" s="3061"/>
      <c r="BA108" s="3136">
        <f t="shared" si="863"/>
        <v>8.16</v>
      </c>
      <c r="BB108" s="3136">
        <f t="shared" si="864"/>
        <v>8.16</v>
      </c>
      <c r="BC108" s="3136">
        <f t="shared" si="865"/>
        <v>0</v>
      </c>
      <c r="BD108" s="3209">
        <f t="shared" si="866"/>
        <v>18.734999999999999</v>
      </c>
      <c r="BE108" s="3209">
        <f t="shared" si="867"/>
        <v>18.725945555928792</v>
      </c>
      <c r="BF108" s="3209">
        <f t="shared" si="868"/>
        <v>9.0544440712086085E-3</v>
      </c>
      <c r="BG108" s="3264">
        <f t="shared" si="869"/>
        <v>11.32</v>
      </c>
      <c r="BH108" s="3264">
        <f t="shared" si="870"/>
        <v>11.32</v>
      </c>
      <c r="BI108" s="3264">
        <f t="shared" si="871"/>
        <v>0</v>
      </c>
      <c r="BJ108" s="3264">
        <f t="shared" si="872"/>
        <v>-7.4149999999999991</v>
      </c>
      <c r="BK108" s="3264">
        <f t="shared" si="873"/>
        <v>-7.4059455559287919</v>
      </c>
      <c r="BL108" s="3264">
        <f t="shared" si="874"/>
        <v>-9.0544440712086085E-3</v>
      </c>
      <c r="BM108" s="3208">
        <f t="shared" si="903"/>
        <v>6.2450000000000001</v>
      </c>
      <c r="BN108" s="3208">
        <f t="shared" si="904"/>
        <v>6.2419818519762638</v>
      </c>
      <c r="BO108" s="3208">
        <f t="shared" si="905"/>
        <v>3.0181480237362027E-3</v>
      </c>
      <c r="BP108" s="3136">
        <f t="shared" si="906"/>
        <v>0</v>
      </c>
      <c r="BQ108" s="3061"/>
      <c r="BR108" s="3061"/>
      <c r="BS108" s="3136">
        <f t="shared" si="907"/>
        <v>0</v>
      </c>
      <c r="BT108" s="3061"/>
      <c r="BU108" s="3061"/>
      <c r="BV108" s="3136">
        <f t="shared" si="908"/>
        <v>0</v>
      </c>
      <c r="BW108" s="3061"/>
      <c r="BX108" s="3061"/>
      <c r="BY108" s="3136">
        <f t="shared" si="878"/>
        <v>0</v>
      </c>
      <c r="BZ108" s="3136">
        <f t="shared" si="879"/>
        <v>0</v>
      </c>
      <c r="CA108" s="3136">
        <f t="shared" si="880"/>
        <v>0</v>
      </c>
      <c r="CB108" s="3209">
        <v>24.98</v>
      </c>
      <c r="CC108" s="3209">
        <f>SUM(CB108/CB14*CC14)</f>
        <v>24.967927407905055</v>
      </c>
      <c r="CD108" s="3209">
        <f>SUM(CB108/CB14*CD14)</f>
        <v>1.2072592094944811E-2</v>
      </c>
      <c r="CE108" s="3264">
        <f t="shared" si="881"/>
        <v>11.32</v>
      </c>
      <c r="CF108" s="3264">
        <f t="shared" si="882"/>
        <v>11.32</v>
      </c>
      <c r="CG108" s="3264">
        <f t="shared" si="883"/>
        <v>0</v>
      </c>
      <c r="CH108" s="3264">
        <f t="shared" si="884"/>
        <v>-13.66</v>
      </c>
      <c r="CI108" s="3264">
        <f t="shared" si="885"/>
        <v>-13.647927407905055</v>
      </c>
      <c r="CJ108" s="3264">
        <f t="shared" si="886"/>
        <v>-1.2072592094944811E-2</v>
      </c>
      <c r="CK108" s="3259"/>
      <c r="CL108" s="3259"/>
      <c r="CM108" s="3259"/>
      <c r="CN108" s="3055"/>
    </row>
    <row r="109" spans="1:92" ht="18.75" customHeight="1" x14ac:dyDescent="0.3">
      <c r="A109" s="3075" t="s">
        <v>41</v>
      </c>
      <c r="B109" s="3208">
        <f t="shared" si="837"/>
        <v>0</v>
      </c>
      <c r="C109" s="3208">
        <f t="shared" si="887"/>
        <v>0</v>
      </c>
      <c r="D109" s="3208">
        <f t="shared" si="888"/>
        <v>0</v>
      </c>
      <c r="E109" s="3136">
        <f t="shared" si="889"/>
        <v>0</v>
      </c>
      <c r="F109" s="3061"/>
      <c r="G109" s="3061"/>
      <c r="H109" s="3136">
        <f t="shared" si="890"/>
        <v>0</v>
      </c>
      <c r="I109" s="3061"/>
      <c r="J109" s="3061"/>
      <c r="K109" s="3136">
        <f t="shared" si="891"/>
        <v>0</v>
      </c>
      <c r="L109" s="3061"/>
      <c r="M109" s="3061"/>
      <c r="N109" s="3136">
        <f t="shared" si="842"/>
        <v>0</v>
      </c>
      <c r="O109" s="3136">
        <f t="shared" si="843"/>
        <v>0</v>
      </c>
      <c r="P109" s="3136">
        <f t="shared" si="844"/>
        <v>0</v>
      </c>
      <c r="Q109" s="3208">
        <f t="shared" si="845"/>
        <v>0</v>
      </c>
      <c r="R109" s="3208">
        <f t="shared" si="892"/>
        <v>0</v>
      </c>
      <c r="S109" s="3208">
        <f t="shared" si="893"/>
        <v>0</v>
      </c>
      <c r="T109" s="3136">
        <f t="shared" si="894"/>
        <v>0</v>
      </c>
      <c r="U109" s="3061"/>
      <c r="V109" s="3061"/>
      <c r="W109" s="3136">
        <f t="shared" si="895"/>
        <v>0</v>
      </c>
      <c r="X109" s="3061"/>
      <c r="Y109" s="3061"/>
      <c r="Z109" s="3136">
        <f t="shared" si="896"/>
        <v>0</v>
      </c>
      <c r="AA109" s="3061"/>
      <c r="AB109" s="3061"/>
      <c r="AC109" s="3136">
        <f t="shared" si="848"/>
        <v>0</v>
      </c>
      <c r="AD109" s="3136">
        <f t="shared" si="849"/>
        <v>0</v>
      </c>
      <c r="AE109" s="3136">
        <f t="shared" si="850"/>
        <v>0</v>
      </c>
      <c r="AF109" s="3209">
        <f t="shared" si="851"/>
        <v>0</v>
      </c>
      <c r="AG109" s="3209">
        <f t="shared" si="852"/>
        <v>0</v>
      </c>
      <c r="AH109" s="3209">
        <f t="shared" si="853"/>
        <v>0</v>
      </c>
      <c r="AI109" s="3264">
        <f t="shared" si="854"/>
        <v>0</v>
      </c>
      <c r="AJ109" s="3264">
        <f t="shared" si="855"/>
        <v>0</v>
      </c>
      <c r="AK109" s="3264">
        <f t="shared" si="856"/>
        <v>0</v>
      </c>
      <c r="AL109" s="3264">
        <f t="shared" si="857"/>
        <v>0</v>
      </c>
      <c r="AM109" s="3264">
        <f t="shared" si="858"/>
        <v>0</v>
      </c>
      <c r="AN109" s="3264">
        <f t="shared" si="859"/>
        <v>0</v>
      </c>
      <c r="AO109" s="3208">
        <f t="shared" si="897"/>
        <v>0</v>
      </c>
      <c r="AP109" s="3208">
        <f t="shared" si="898"/>
        <v>0</v>
      </c>
      <c r="AQ109" s="3208">
        <f t="shared" si="899"/>
        <v>0</v>
      </c>
      <c r="AR109" s="3136">
        <f t="shared" si="900"/>
        <v>0</v>
      </c>
      <c r="AS109" s="3061"/>
      <c r="AT109" s="3061"/>
      <c r="AU109" s="3136">
        <f t="shared" si="901"/>
        <v>0</v>
      </c>
      <c r="AV109" s="3061"/>
      <c r="AW109" s="3061"/>
      <c r="AX109" s="3136">
        <f t="shared" si="902"/>
        <v>0</v>
      </c>
      <c r="AY109" s="3061"/>
      <c r="AZ109" s="3061"/>
      <c r="BA109" s="3136">
        <f t="shared" si="863"/>
        <v>0</v>
      </c>
      <c r="BB109" s="3136">
        <f t="shared" si="864"/>
        <v>0</v>
      </c>
      <c r="BC109" s="3136">
        <f t="shared" si="865"/>
        <v>0</v>
      </c>
      <c r="BD109" s="3209">
        <f t="shared" si="866"/>
        <v>0</v>
      </c>
      <c r="BE109" s="3209">
        <f t="shared" si="867"/>
        <v>0</v>
      </c>
      <c r="BF109" s="3209">
        <f t="shared" si="868"/>
        <v>0</v>
      </c>
      <c r="BG109" s="3264">
        <f t="shared" si="869"/>
        <v>0</v>
      </c>
      <c r="BH109" s="3264">
        <f t="shared" si="870"/>
        <v>0</v>
      </c>
      <c r="BI109" s="3264">
        <f t="shared" si="871"/>
        <v>0</v>
      </c>
      <c r="BJ109" s="3264">
        <f t="shared" si="872"/>
        <v>0</v>
      </c>
      <c r="BK109" s="3264">
        <f t="shared" si="873"/>
        <v>0</v>
      </c>
      <c r="BL109" s="3264">
        <f t="shared" si="874"/>
        <v>0</v>
      </c>
      <c r="BM109" s="3208">
        <f t="shared" si="903"/>
        <v>0</v>
      </c>
      <c r="BN109" s="3208">
        <f t="shared" si="904"/>
        <v>0</v>
      </c>
      <c r="BO109" s="3208">
        <f t="shared" si="905"/>
        <v>0</v>
      </c>
      <c r="BP109" s="3136">
        <f t="shared" si="906"/>
        <v>0</v>
      </c>
      <c r="BQ109" s="3061"/>
      <c r="BR109" s="3061"/>
      <c r="BS109" s="3136">
        <f t="shared" si="907"/>
        <v>0</v>
      </c>
      <c r="BT109" s="3061"/>
      <c r="BU109" s="3061"/>
      <c r="BV109" s="3136">
        <f t="shared" si="908"/>
        <v>0</v>
      </c>
      <c r="BW109" s="3061"/>
      <c r="BX109" s="3061"/>
      <c r="BY109" s="3136">
        <f t="shared" si="878"/>
        <v>0</v>
      </c>
      <c r="BZ109" s="3136">
        <f t="shared" si="879"/>
        <v>0</v>
      </c>
      <c r="CA109" s="3136">
        <f t="shared" si="880"/>
        <v>0</v>
      </c>
      <c r="CB109" s="3209">
        <v>0</v>
      </c>
      <c r="CC109" s="3209">
        <f>SUM(CB109/CB14*CC14)</f>
        <v>0</v>
      </c>
      <c r="CD109" s="3209">
        <f>SUM(CB109/CB14*CD14)</f>
        <v>0</v>
      </c>
      <c r="CE109" s="3264">
        <f t="shared" si="881"/>
        <v>0</v>
      </c>
      <c r="CF109" s="3264">
        <f t="shared" si="882"/>
        <v>0</v>
      </c>
      <c r="CG109" s="3264">
        <f t="shared" si="883"/>
        <v>0</v>
      </c>
      <c r="CH109" s="3264">
        <f t="shared" si="884"/>
        <v>0</v>
      </c>
      <c r="CI109" s="3264">
        <f t="shared" si="885"/>
        <v>0</v>
      </c>
      <c r="CJ109" s="3264">
        <f t="shared" si="886"/>
        <v>0</v>
      </c>
      <c r="CK109" s="3259"/>
      <c r="CL109" s="3259"/>
      <c r="CM109" s="3259"/>
      <c r="CN109" s="3055"/>
    </row>
    <row r="110" spans="1:92" ht="18.75" customHeight="1" x14ac:dyDescent="0.3">
      <c r="A110" s="3075" t="s">
        <v>38</v>
      </c>
      <c r="B110" s="3208">
        <f t="shared" si="837"/>
        <v>6</v>
      </c>
      <c r="C110" s="3208">
        <f t="shared" si="887"/>
        <v>5.9971002581036963</v>
      </c>
      <c r="D110" s="3208">
        <f t="shared" si="888"/>
        <v>2.8997418963037972E-3</v>
      </c>
      <c r="E110" s="3136">
        <f t="shared" si="889"/>
        <v>0</v>
      </c>
      <c r="F110" s="3061"/>
      <c r="G110" s="3061"/>
      <c r="H110" s="3136">
        <f t="shared" si="890"/>
        <v>0</v>
      </c>
      <c r="I110" s="3061"/>
      <c r="J110" s="3061"/>
      <c r="K110" s="3136">
        <f t="shared" si="891"/>
        <v>30</v>
      </c>
      <c r="L110" s="3061">
        <v>30</v>
      </c>
      <c r="M110" s="3061"/>
      <c r="N110" s="3136">
        <f t="shared" si="842"/>
        <v>30</v>
      </c>
      <c r="O110" s="3136">
        <f t="shared" si="843"/>
        <v>30</v>
      </c>
      <c r="P110" s="3136">
        <f t="shared" si="844"/>
        <v>0</v>
      </c>
      <c r="Q110" s="3208">
        <f t="shared" si="845"/>
        <v>6</v>
      </c>
      <c r="R110" s="3208">
        <f t="shared" si="892"/>
        <v>5.9971002581036963</v>
      </c>
      <c r="S110" s="3208">
        <f t="shared" si="893"/>
        <v>2.8997418963037972E-3</v>
      </c>
      <c r="T110" s="3136">
        <f t="shared" si="894"/>
        <v>0</v>
      </c>
      <c r="U110" s="3061"/>
      <c r="V110" s="3061"/>
      <c r="W110" s="3136">
        <f t="shared" si="895"/>
        <v>0</v>
      </c>
      <c r="X110" s="3061"/>
      <c r="Y110" s="3061"/>
      <c r="Z110" s="3136">
        <f t="shared" si="896"/>
        <v>0</v>
      </c>
      <c r="AA110" s="3061"/>
      <c r="AB110" s="3061"/>
      <c r="AC110" s="3136">
        <f t="shared" si="848"/>
        <v>0</v>
      </c>
      <c r="AD110" s="3136">
        <f t="shared" si="849"/>
        <v>0</v>
      </c>
      <c r="AE110" s="3136">
        <f t="shared" si="850"/>
        <v>0</v>
      </c>
      <c r="AF110" s="3209">
        <f t="shared" si="851"/>
        <v>12</v>
      </c>
      <c r="AG110" s="3209">
        <f t="shared" si="852"/>
        <v>11.994200516207393</v>
      </c>
      <c r="AH110" s="3209">
        <f t="shared" si="853"/>
        <v>5.7994837926075944E-3</v>
      </c>
      <c r="AI110" s="3264">
        <f t="shared" si="854"/>
        <v>30</v>
      </c>
      <c r="AJ110" s="3264">
        <f t="shared" si="855"/>
        <v>30</v>
      </c>
      <c r="AK110" s="3264">
        <f t="shared" si="856"/>
        <v>0</v>
      </c>
      <c r="AL110" s="3264">
        <f t="shared" si="857"/>
        <v>18</v>
      </c>
      <c r="AM110" s="3264">
        <f t="shared" si="858"/>
        <v>18.005799483792607</v>
      </c>
      <c r="AN110" s="3264">
        <f t="shared" si="859"/>
        <v>-5.7994837926075944E-3</v>
      </c>
      <c r="AO110" s="3208">
        <f t="shared" si="897"/>
        <v>6</v>
      </c>
      <c r="AP110" s="3208">
        <f t="shared" si="898"/>
        <v>5.9971002581036963</v>
      </c>
      <c r="AQ110" s="3208">
        <f t="shared" si="899"/>
        <v>2.8997418963037972E-3</v>
      </c>
      <c r="AR110" s="3136">
        <f t="shared" si="900"/>
        <v>0</v>
      </c>
      <c r="AS110" s="3061"/>
      <c r="AT110" s="3061"/>
      <c r="AU110" s="3136">
        <f t="shared" si="901"/>
        <v>0</v>
      </c>
      <c r="AV110" s="3061"/>
      <c r="AW110" s="3061"/>
      <c r="AX110" s="3136">
        <f t="shared" si="902"/>
        <v>0</v>
      </c>
      <c r="AY110" s="3061"/>
      <c r="AZ110" s="3061"/>
      <c r="BA110" s="3136">
        <f t="shared" si="863"/>
        <v>0</v>
      </c>
      <c r="BB110" s="3136">
        <f t="shared" si="864"/>
        <v>0</v>
      </c>
      <c r="BC110" s="3136">
        <f t="shared" si="865"/>
        <v>0</v>
      </c>
      <c r="BD110" s="3209">
        <f t="shared" si="866"/>
        <v>18</v>
      </c>
      <c r="BE110" s="3209">
        <f t="shared" si="867"/>
        <v>17.991300774311089</v>
      </c>
      <c r="BF110" s="3209">
        <f t="shared" si="868"/>
        <v>8.6992256889113911E-3</v>
      </c>
      <c r="BG110" s="3264">
        <f t="shared" si="869"/>
        <v>30</v>
      </c>
      <c r="BH110" s="3264">
        <f t="shared" si="870"/>
        <v>30</v>
      </c>
      <c r="BI110" s="3264">
        <f t="shared" si="871"/>
        <v>0</v>
      </c>
      <c r="BJ110" s="3264">
        <f t="shared" si="872"/>
        <v>12</v>
      </c>
      <c r="BK110" s="3264">
        <f t="shared" si="873"/>
        <v>12.008699225688911</v>
      </c>
      <c r="BL110" s="3264">
        <f t="shared" si="874"/>
        <v>-8.6992256889113911E-3</v>
      </c>
      <c r="BM110" s="3208">
        <f t="shared" si="903"/>
        <v>6</v>
      </c>
      <c r="BN110" s="3208">
        <f t="shared" si="904"/>
        <v>5.9971002581036963</v>
      </c>
      <c r="BO110" s="3208">
        <f t="shared" si="905"/>
        <v>2.8997418963037972E-3</v>
      </c>
      <c r="BP110" s="3136">
        <f t="shared" si="906"/>
        <v>0</v>
      </c>
      <c r="BQ110" s="3061"/>
      <c r="BR110" s="3061"/>
      <c r="BS110" s="3136">
        <f t="shared" si="907"/>
        <v>0</v>
      </c>
      <c r="BT110" s="3061"/>
      <c r="BU110" s="3061"/>
      <c r="BV110" s="3136">
        <f t="shared" si="908"/>
        <v>0</v>
      </c>
      <c r="BW110" s="3061"/>
      <c r="BX110" s="3061"/>
      <c r="BY110" s="3136">
        <f t="shared" si="878"/>
        <v>0</v>
      </c>
      <c r="BZ110" s="3136">
        <f t="shared" si="879"/>
        <v>0</v>
      </c>
      <c r="CA110" s="3136">
        <f t="shared" si="880"/>
        <v>0</v>
      </c>
      <c r="CB110" s="3209">
        <v>24</v>
      </c>
      <c r="CC110" s="3209">
        <f>SUM(CB110/CB14*CC14)</f>
        <v>23.988401032414785</v>
      </c>
      <c r="CD110" s="3209">
        <f>SUM(CB110/CB14*CD14)</f>
        <v>1.1598967585215189E-2</v>
      </c>
      <c r="CE110" s="3264">
        <f t="shared" si="881"/>
        <v>30</v>
      </c>
      <c r="CF110" s="3264">
        <f t="shared" si="882"/>
        <v>30</v>
      </c>
      <c r="CG110" s="3264">
        <f t="shared" si="883"/>
        <v>0</v>
      </c>
      <c r="CH110" s="3264">
        <f t="shared" si="884"/>
        <v>6</v>
      </c>
      <c r="CI110" s="3264">
        <f t="shared" si="885"/>
        <v>6.0115989675852148</v>
      </c>
      <c r="CJ110" s="3264">
        <f t="shared" si="886"/>
        <v>-1.1598967585215189E-2</v>
      </c>
      <c r="CK110" s="3259"/>
      <c r="CL110" s="3259"/>
      <c r="CM110" s="3259"/>
      <c r="CN110" s="3055"/>
    </row>
    <row r="111" spans="1:92" ht="18.75" customHeight="1" x14ac:dyDescent="0.3">
      <c r="A111" s="3075" t="s">
        <v>32</v>
      </c>
      <c r="B111" s="3208">
        <f t="shared" si="837"/>
        <v>11.7</v>
      </c>
      <c r="C111" s="3208">
        <f t="shared" si="887"/>
        <v>11.694345503302207</v>
      </c>
      <c r="D111" s="3208">
        <f t="shared" si="888"/>
        <v>5.6544966977924048E-3</v>
      </c>
      <c r="E111" s="3136">
        <f t="shared" si="889"/>
        <v>14.4</v>
      </c>
      <c r="F111" s="3061">
        <v>14.4</v>
      </c>
      <c r="G111" s="3061"/>
      <c r="H111" s="3136">
        <f t="shared" si="890"/>
        <v>0</v>
      </c>
      <c r="I111" s="3061"/>
      <c r="J111" s="3061"/>
      <c r="K111" s="3136">
        <f t="shared" si="891"/>
        <v>0</v>
      </c>
      <c r="L111" s="3061"/>
      <c r="M111" s="3061"/>
      <c r="N111" s="3136">
        <f t="shared" si="842"/>
        <v>14.4</v>
      </c>
      <c r="O111" s="3136">
        <f t="shared" si="843"/>
        <v>14.4</v>
      </c>
      <c r="P111" s="3136">
        <f t="shared" si="844"/>
        <v>0</v>
      </c>
      <c r="Q111" s="3208">
        <f t="shared" si="845"/>
        <v>11.7</v>
      </c>
      <c r="R111" s="3208">
        <f t="shared" si="892"/>
        <v>11.694345503302207</v>
      </c>
      <c r="S111" s="3208">
        <f t="shared" si="893"/>
        <v>5.6544966977924048E-3</v>
      </c>
      <c r="T111" s="3136">
        <f t="shared" si="894"/>
        <v>14.4</v>
      </c>
      <c r="U111" s="3061">
        <v>14.4</v>
      </c>
      <c r="V111" s="3061"/>
      <c r="W111" s="3136">
        <f t="shared" si="895"/>
        <v>0</v>
      </c>
      <c r="X111" s="3061"/>
      <c r="Y111" s="3061"/>
      <c r="Z111" s="3136">
        <f t="shared" si="896"/>
        <v>14.4</v>
      </c>
      <c r="AA111" s="3061">
        <v>14.4</v>
      </c>
      <c r="AB111" s="3061"/>
      <c r="AC111" s="3136">
        <f t="shared" si="848"/>
        <v>28.8</v>
      </c>
      <c r="AD111" s="3136">
        <f t="shared" si="849"/>
        <v>28.8</v>
      </c>
      <c r="AE111" s="3136">
        <f t="shared" si="850"/>
        <v>0</v>
      </c>
      <c r="AF111" s="3209">
        <f t="shared" si="851"/>
        <v>23.4</v>
      </c>
      <c r="AG111" s="3209">
        <f t="shared" si="852"/>
        <v>23.388691006604414</v>
      </c>
      <c r="AH111" s="3209">
        <f t="shared" si="853"/>
        <v>1.130899339558481E-2</v>
      </c>
      <c r="AI111" s="3264">
        <f t="shared" si="854"/>
        <v>43.2</v>
      </c>
      <c r="AJ111" s="3264">
        <f t="shared" si="855"/>
        <v>43.2</v>
      </c>
      <c r="AK111" s="3264">
        <f t="shared" si="856"/>
        <v>0</v>
      </c>
      <c r="AL111" s="3264">
        <f t="shared" si="857"/>
        <v>19.800000000000004</v>
      </c>
      <c r="AM111" s="3264">
        <f t="shared" si="858"/>
        <v>19.811308993395588</v>
      </c>
      <c r="AN111" s="3264">
        <f t="shared" si="859"/>
        <v>-1.130899339558481E-2</v>
      </c>
      <c r="AO111" s="3208">
        <f t="shared" si="897"/>
        <v>11.7</v>
      </c>
      <c r="AP111" s="3208">
        <f t="shared" si="898"/>
        <v>11.694345503302207</v>
      </c>
      <c r="AQ111" s="3208">
        <f t="shared" si="899"/>
        <v>5.6544966977924048E-3</v>
      </c>
      <c r="AR111" s="3136">
        <f t="shared" si="900"/>
        <v>0</v>
      </c>
      <c r="AS111" s="3061"/>
      <c r="AT111" s="3061"/>
      <c r="AU111" s="3136">
        <f t="shared" si="901"/>
        <v>0</v>
      </c>
      <c r="AV111" s="3061"/>
      <c r="AW111" s="3061"/>
      <c r="AX111" s="3136">
        <f t="shared" si="902"/>
        <v>0</v>
      </c>
      <c r="AY111" s="3061"/>
      <c r="AZ111" s="3061"/>
      <c r="BA111" s="3136">
        <f t="shared" si="863"/>
        <v>0</v>
      </c>
      <c r="BB111" s="3136">
        <f t="shared" si="864"/>
        <v>0</v>
      </c>
      <c r="BC111" s="3136">
        <f t="shared" si="865"/>
        <v>0</v>
      </c>
      <c r="BD111" s="3209">
        <f t="shared" si="866"/>
        <v>35.099999999999994</v>
      </c>
      <c r="BE111" s="3209">
        <f t="shared" si="867"/>
        <v>35.08303650990662</v>
      </c>
      <c r="BF111" s="3209">
        <f t="shared" si="868"/>
        <v>1.6963490093377213E-2</v>
      </c>
      <c r="BG111" s="3264">
        <f t="shared" si="869"/>
        <v>43.2</v>
      </c>
      <c r="BH111" s="3264">
        <f t="shared" si="870"/>
        <v>43.2</v>
      </c>
      <c r="BI111" s="3264">
        <f t="shared" si="871"/>
        <v>0</v>
      </c>
      <c r="BJ111" s="3264">
        <f t="shared" si="872"/>
        <v>8.1000000000000085</v>
      </c>
      <c r="BK111" s="3264">
        <f t="shared" si="873"/>
        <v>8.1169634900933829</v>
      </c>
      <c r="BL111" s="3264">
        <f t="shared" si="874"/>
        <v>-1.6963490093377213E-2</v>
      </c>
      <c r="BM111" s="3208">
        <f t="shared" si="903"/>
        <v>11.7</v>
      </c>
      <c r="BN111" s="3208">
        <f t="shared" si="904"/>
        <v>11.694345503302207</v>
      </c>
      <c r="BO111" s="3208">
        <f t="shared" si="905"/>
        <v>5.6544966977924048E-3</v>
      </c>
      <c r="BP111" s="3136">
        <f t="shared" si="906"/>
        <v>0</v>
      </c>
      <c r="BQ111" s="3061"/>
      <c r="BR111" s="3061"/>
      <c r="BS111" s="3136">
        <f t="shared" si="907"/>
        <v>0</v>
      </c>
      <c r="BT111" s="3061"/>
      <c r="BU111" s="3061"/>
      <c r="BV111" s="3136">
        <f t="shared" si="908"/>
        <v>0</v>
      </c>
      <c r="BW111" s="3061"/>
      <c r="BX111" s="3061"/>
      <c r="BY111" s="3136">
        <f t="shared" si="878"/>
        <v>0</v>
      </c>
      <c r="BZ111" s="3136">
        <f t="shared" si="879"/>
        <v>0</v>
      </c>
      <c r="CA111" s="3136">
        <f t="shared" si="880"/>
        <v>0</v>
      </c>
      <c r="CB111" s="3209">
        <v>46.8</v>
      </c>
      <c r="CC111" s="3209">
        <f>SUM(CB111/CB14*CC14)</f>
        <v>46.777382013208829</v>
      </c>
      <c r="CD111" s="3209">
        <f>SUM(CB111/CB14*CD14)</f>
        <v>2.2617986791169619E-2</v>
      </c>
      <c r="CE111" s="3264">
        <f t="shared" si="881"/>
        <v>43.2</v>
      </c>
      <c r="CF111" s="3264">
        <f t="shared" si="882"/>
        <v>43.2</v>
      </c>
      <c r="CG111" s="3264">
        <f t="shared" si="883"/>
        <v>0</v>
      </c>
      <c r="CH111" s="3264">
        <f t="shared" si="884"/>
        <v>-3.5999999999999943</v>
      </c>
      <c r="CI111" s="3264">
        <f t="shared" si="885"/>
        <v>-3.5773820132088261</v>
      </c>
      <c r="CJ111" s="3264">
        <f t="shared" si="886"/>
        <v>-2.2617986791169619E-2</v>
      </c>
      <c r="CK111" s="3259"/>
      <c r="CL111" s="3259"/>
      <c r="CM111" s="3259"/>
      <c r="CN111" s="3055"/>
    </row>
    <row r="112" spans="1:92" ht="18.75" customHeight="1" x14ac:dyDescent="0.3">
      <c r="A112" s="3075" t="s">
        <v>602</v>
      </c>
      <c r="B112" s="3208">
        <f t="shared" si="837"/>
        <v>56.942499999999995</v>
      </c>
      <c r="C112" s="3208">
        <f t="shared" ref="C112:D112" si="909">SUM(C113)</f>
        <v>56.914980241178284</v>
      </c>
      <c r="D112" s="3208">
        <f t="shared" si="909"/>
        <v>2.7519758821713161E-2</v>
      </c>
      <c r="E112" s="3060">
        <f t="shared" ref="E112:M112" si="910">SUM(E113)</f>
        <v>0</v>
      </c>
      <c r="F112" s="3060">
        <f t="shared" si="910"/>
        <v>0</v>
      </c>
      <c r="G112" s="3060">
        <f t="shared" si="910"/>
        <v>0</v>
      </c>
      <c r="H112" s="3060">
        <f t="shared" si="910"/>
        <v>13.46</v>
      </c>
      <c r="I112" s="3060">
        <f t="shared" si="910"/>
        <v>13.46</v>
      </c>
      <c r="J112" s="3060">
        <f t="shared" si="910"/>
        <v>0</v>
      </c>
      <c r="K112" s="3060">
        <f t="shared" si="910"/>
        <v>1.87</v>
      </c>
      <c r="L112" s="3060">
        <f t="shared" si="910"/>
        <v>1.87</v>
      </c>
      <c r="M112" s="3060">
        <f t="shared" si="910"/>
        <v>0</v>
      </c>
      <c r="N112" s="3136">
        <f t="shared" si="842"/>
        <v>15.330000000000002</v>
      </c>
      <c r="O112" s="3136">
        <f t="shared" si="843"/>
        <v>15.330000000000002</v>
      </c>
      <c r="P112" s="3136">
        <f t="shared" si="844"/>
        <v>0</v>
      </c>
      <c r="Q112" s="3208">
        <f t="shared" ref="Q112:Q113" si="911">SUM(R112:S112)</f>
        <v>56.942499999999995</v>
      </c>
      <c r="R112" s="3208">
        <f t="shared" ref="R112:S112" si="912">SUM(R113)</f>
        <v>56.914980241178284</v>
      </c>
      <c r="S112" s="3208">
        <f t="shared" si="912"/>
        <v>2.7519758821713161E-2</v>
      </c>
      <c r="T112" s="3060">
        <f t="shared" ref="T112:AB112" si="913">SUM(T113)</f>
        <v>9.52</v>
      </c>
      <c r="U112" s="3060">
        <f t="shared" si="913"/>
        <v>9.52</v>
      </c>
      <c r="V112" s="3060">
        <f t="shared" si="913"/>
        <v>0</v>
      </c>
      <c r="W112" s="3060">
        <f t="shared" si="913"/>
        <v>3.67</v>
      </c>
      <c r="X112" s="3060">
        <f t="shared" si="913"/>
        <v>3.67</v>
      </c>
      <c r="Y112" s="3060">
        <f t="shared" si="913"/>
        <v>0</v>
      </c>
      <c r="Z112" s="3060">
        <f t="shared" si="913"/>
        <v>0.9</v>
      </c>
      <c r="AA112" s="3060">
        <f t="shared" si="913"/>
        <v>0.9</v>
      </c>
      <c r="AB112" s="3060">
        <f t="shared" si="913"/>
        <v>0</v>
      </c>
      <c r="AC112" s="3136">
        <f t="shared" si="848"/>
        <v>14.09</v>
      </c>
      <c r="AD112" s="3136">
        <f t="shared" si="849"/>
        <v>14.09</v>
      </c>
      <c r="AE112" s="3136">
        <f t="shared" si="850"/>
        <v>0</v>
      </c>
      <c r="AF112" s="3209">
        <f t="shared" si="851"/>
        <v>113.88499999999999</v>
      </c>
      <c r="AG112" s="3209">
        <f t="shared" si="852"/>
        <v>113.82996048235657</v>
      </c>
      <c r="AH112" s="3209">
        <f t="shared" si="853"/>
        <v>5.5039517643426322E-2</v>
      </c>
      <c r="AI112" s="3264">
        <f t="shared" si="854"/>
        <v>29.42</v>
      </c>
      <c r="AJ112" s="3264">
        <f t="shared" si="855"/>
        <v>29.42</v>
      </c>
      <c r="AK112" s="3264">
        <f t="shared" si="856"/>
        <v>0</v>
      </c>
      <c r="AL112" s="3264">
        <f t="shared" si="857"/>
        <v>-84.464999999999989</v>
      </c>
      <c r="AM112" s="3264">
        <f t="shared" si="858"/>
        <v>-84.409960482356567</v>
      </c>
      <c r="AN112" s="3264">
        <f t="shared" si="859"/>
        <v>-5.5039517643426322E-2</v>
      </c>
      <c r="AO112" s="3208">
        <f t="shared" ref="AO112" si="914">SUM(AP112:AQ112)</f>
        <v>56.942499999999995</v>
      </c>
      <c r="AP112" s="3208">
        <f t="shared" ref="AP112:AQ112" si="915">SUM(AP113)</f>
        <v>56.914980241178284</v>
      </c>
      <c r="AQ112" s="3208">
        <f t="shared" si="915"/>
        <v>2.7519758821713161E-2</v>
      </c>
      <c r="AR112" s="3060">
        <f t="shared" ref="AR112:AZ112" si="916">SUM(AR113)</f>
        <v>5.81</v>
      </c>
      <c r="AS112" s="3060">
        <f t="shared" si="916"/>
        <v>5.81</v>
      </c>
      <c r="AT112" s="3060">
        <f t="shared" si="916"/>
        <v>0</v>
      </c>
      <c r="AU112" s="3060">
        <f t="shared" si="916"/>
        <v>0.05</v>
      </c>
      <c r="AV112" s="3060">
        <f>SUM(AV113)</f>
        <v>0.05</v>
      </c>
      <c r="AW112" s="3060">
        <f t="shared" si="916"/>
        <v>0</v>
      </c>
      <c r="AX112" s="3060">
        <f t="shared" si="916"/>
        <v>0.02</v>
      </c>
      <c r="AY112" s="3060">
        <f t="shared" si="916"/>
        <v>0.02</v>
      </c>
      <c r="AZ112" s="3060">
        <f t="shared" si="916"/>
        <v>0</v>
      </c>
      <c r="BA112" s="3136">
        <f t="shared" si="863"/>
        <v>5.879999999999999</v>
      </c>
      <c r="BB112" s="3136">
        <f t="shared" si="864"/>
        <v>5.879999999999999</v>
      </c>
      <c r="BC112" s="3136">
        <f t="shared" si="865"/>
        <v>0</v>
      </c>
      <c r="BD112" s="3209">
        <f t="shared" si="866"/>
        <v>170.82749999999999</v>
      </c>
      <c r="BE112" s="3209">
        <f t="shared" si="867"/>
        <v>170.74494072353485</v>
      </c>
      <c r="BF112" s="3209">
        <f t="shared" si="868"/>
        <v>8.2559276465139483E-2</v>
      </c>
      <c r="BG112" s="3264">
        <f t="shared" si="869"/>
        <v>35.299999999999997</v>
      </c>
      <c r="BH112" s="3264">
        <f t="shared" si="870"/>
        <v>35.299999999999997</v>
      </c>
      <c r="BI112" s="3264">
        <f t="shared" si="871"/>
        <v>0</v>
      </c>
      <c r="BJ112" s="3264">
        <f t="shared" si="872"/>
        <v>-135.52749999999997</v>
      </c>
      <c r="BK112" s="3264">
        <f t="shared" si="873"/>
        <v>-135.44494072353484</v>
      </c>
      <c r="BL112" s="3264">
        <f t="shared" si="874"/>
        <v>-8.2559276465139483E-2</v>
      </c>
      <c r="BM112" s="3208">
        <f t="shared" ref="BM112" si="917">SUM(BN112:BO112)</f>
        <v>56.942499999999995</v>
      </c>
      <c r="BN112" s="3208">
        <f t="shared" ref="BN112:BO112" si="918">SUM(BN113)</f>
        <v>56.914980241178284</v>
      </c>
      <c r="BO112" s="3208">
        <f t="shared" si="918"/>
        <v>2.7519758821713161E-2</v>
      </c>
      <c r="BP112" s="3060">
        <f t="shared" ref="BP112:BX112" si="919">SUM(BP113)</f>
        <v>0</v>
      </c>
      <c r="BQ112" s="3060">
        <f t="shared" si="919"/>
        <v>0</v>
      </c>
      <c r="BR112" s="3060">
        <f t="shared" si="919"/>
        <v>0</v>
      </c>
      <c r="BS112" s="3060">
        <f t="shared" si="919"/>
        <v>0</v>
      </c>
      <c r="BT112" s="3060">
        <f t="shared" si="919"/>
        <v>0</v>
      </c>
      <c r="BU112" s="3060">
        <f t="shared" si="919"/>
        <v>0</v>
      </c>
      <c r="BV112" s="3060">
        <f t="shared" si="919"/>
        <v>0</v>
      </c>
      <c r="BW112" s="3060">
        <f t="shared" si="919"/>
        <v>0</v>
      </c>
      <c r="BX112" s="3060">
        <f t="shared" si="919"/>
        <v>0</v>
      </c>
      <c r="BY112" s="3136">
        <f t="shared" si="878"/>
        <v>0</v>
      </c>
      <c r="BZ112" s="3136">
        <f t="shared" si="879"/>
        <v>0</v>
      </c>
      <c r="CA112" s="3136">
        <f t="shared" si="880"/>
        <v>0</v>
      </c>
      <c r="CB112" s="3209">
        <f>SUM(CC112:CD112)</f>
        <v>227.76999999999998</v>
      </c>
      <c r="CC112" s="3209">
        <f>SUM(CC113)</f>
        <v>227.65992096471314</v>
      </c>
      <c r="CD112" s="3209">
        <f>SUM(CD113)</f>
        <v>0.11007903528685264</v>
      </c>
      <c r="CE112" s="3264">
        <f t="shared" si="881"/>
        <v>35.299999999999997</v>
      </c>
      <c r="CF112" s="3264">
        <f t="shared" si="882"/>
        <v>35.299999999999997</v>
      </c>
      <c r="CG112" s="3264">
        <f t="shared" si="883"/>
        <v>0</v>
      </c>
      <c r="CH112" s="3264">
        <f t="shared" si="884"/>
        <v>-192.46999999999997</v>
      </c>
      <c r="CI112" s="3264">
        <f t="shared" si="885"/>
        <v>-192.35992096471313</v>
      </c>
      <c r="CJ112" s="3264">
        <f t="shared" si="886"/>
        <v>-0.11007903528685264</v>
      </c>
      <c r="CK112" s="3259"/>
      <c r="CL112" s="3259"/>
      <c r="CM112" s="3259"/>
      <c r="CN112" s="3055"/>
    </row>
    <row r="113" spans="1:92" ht="18.75" customHeight="1" x14ac:dyDescent="0.3">
      <c r="A113" s="3076" t="s">
        <v>557</v>
      </c>
      <c r="B113" s="3210">
        <f t="shared" ref="B113" si="920">SUM(C113:D113)</f>
        <v>56.942499999999995</v>
      </c>
      <c r="C113" s="3210">
        <f t="shared" ref="C113" si="921">SUM(CC113/4)</f>
        <v>56.914980241178284</v>
      </c>
      <c r="D113" s="3210">
        <f t="shared" ref="D113" si="922">SUM(CD113/4)</f>
        <v>2.7519758821713161E-2</v>
      </c>
      <c r="E113" s="3145">
        <f t="shared" si="889"/>
        <v>0</v>
      </c>
      <c r="F113" s="3066"/>
      <c r="G113" s="3066"/>
      <c r="H113" s="3145">
        <f t="shared" ref="H113" si="923">SUM(I113:J113)</f>
        <v>13.46</v>
      </c>
      <c r="I113" s="3066">
        <v>13.46</v>
      </c>
      <c r="J113" s="3066"/>
      <c r="K113" s="3145">
        <f t="shared" ref="K113" si="924">SUM(L113:M113)</f>
        <v>1.87</v>
      </c>
      <c r="L113" s="3066">
        <v>1.87</v>
      </c>
      <c r="M113" s="3066"/>
      <c r="N113" s="3145">
        <f t="shared" si="842"/>
        <v>15.330000000000002</v>
      </c>
      <c r="O113" s="3145">
        <f t="shared" si="843"/>
        <v>15.330000000000002</v>
      </c>
      <c r="P113" s="3145">
        <f t="shared" si="844"/>
        <v>0</v>
      </c>
      <c r="Q113" s="3210">
        <f t="shared" si="911"/>
        <v>56.942499999999995</v>
      </c>
      <c r="R113" s="3210">
        <f t="shared" ref="R113" si="925">SUM(C113)</f>
        <v>56.914980241178284</v>
      </c>
      <c r="S113" s="3210">
        <f t="shared" ref="S113" si="926">SUM(D113)</f>
        <v>2.7519758821713161E-2</v>
      </c>
      <c r="T113" s="3145">
        <f t="shared" ref="T113" si="927">SUM(U113:V113)</f>
        <v>9.52</v>
      </c>
      <c r="U113" s="3066">
        <v>9.52</v>
      </c>
      <c r="V113" s="3066"/>
      <c r="W113" s="3145">
        <f t="shared" ref="W113" si="928">SUM(X113:Y113)</f>
        <v>3.67</v>
      </c>
      <c r="X113" s="3066">
        <v>3.67</v>
      </c>
      <c r="Y113" s="3066"/>
      <c r="Z113" s="3145">
        <f t="shared" ref="Z113" si="929">SUM(AA113:AB113)</f>
        <v>0.9</v>
      </c>
      <c r="AA113" s="3066">
        <v>0.9</v>
      </c>
      <c r="AB113" s="3066"/>
      <c r="AC113" s="3145">
        <f t="shared" si="848"/>
        <v>14.09</v>
      </c>
      <c r="AD113" s="3145">
        <f t="shared" si="849"/>
        <v>14.09</v>
      </c>
      <c r="AE113" s="3145">
        <f t="shared" si="850"/>
        <v>0</v>
      </c>
      <c r="AF113" s="3211">
        <f t="shared" si="851"/>
        <v>113.88499999999999</v>
      </c>
      <c r="AG113" s="3211">
        <f t="shared" si="852"/>
        <v>113.82996048235657</v>
      </c>
      <c r="AH113" s="3211">
        <f t="shared" si="853"/>
        <v>5.5039517643426322E-2</v>
      </c>
      <c r="AI113" s="3194">
        <f t="shared" si="854"/>
        <v>29.42</v>
      </c>
      <c r="AJ113" s="3194">
        <f t="shared" si="855"/>
        <v>29.42</v>
      </c>
      <c r="AK113" s="3194">
        <f t="shared" si="856"/>
        <v>0</v>
      </c>
      <c r="AL113" s="3194">
        <f t="shared" si="857"/>
        <v>-84.464999999999989</v>
      </c>
      <c r="AM113" s="3194">
        <f t="shared" si="858"/>
        <v>-84.409960482356567</v>
      </c>
      <c r="AN113" s="3194">
        <f t="shared" si="859"/>
        <v>-5.5039517643426322E-2</v>
      </c>
      <c r="AO113" s="3210">
        <f t="shared" ref="AO113" si="930">SUM(AP113:AQ113)</f>
        <v>56.942499999999995</v>
      </c>
      <c r="AP113" s="3210">
        <f t="shared" ref="AP113" si="931">SUM(CC113-AG113)/2</f>
        <v>56.914980241178284</v>
      </c>
      <c r="AQ113" s="3210">
        <f t="shared" ref="AQ113" si="932">SUM(CD113-AH113)/2</f>
        <v>2.7519758821713161E-2</v>
      </c>
      <c r="AR113" s="3145">
        <f t="shared" ref="AR113" si="933">SUM(AS113:AT113)</f>
        <v>5.81</v>
      </c>
      <c r="AS113" s="3066">
        <v>5.81</v>
      </c>
      <c r="AT113" s="3066"/>
      <c r="AU113" s="3145">
        <f t="shared" ref="AU113" si="934">SUM(AV113:AW113)</f>
        <v>0.05</v>
      </c>
      <c r="AV113" s="3066">
        <v>0.05</v>
      </c>
      <c r="AW113" s="3066"/>
      <c r="AX113" s="3145">
        <f t="shared" ref="AX113" si="935">SUM(AY113:AZ113)</f>
        <v>0.02</v>
      </c>
      <c r="AY113" s="3066">
        <v>0.02</v>
      </c>
      <c r="AZ113" s="3066"/>
      <c r="BA113" s="3145">
        <f t="shared" si="863"/>
        <v>5.879999999999999</v>
      </c>
      <c r="BB113" s="3145">
        <f t="shared" si="864"/>
        <v>5.879999999999999</v>
      </c>
      <c r="BC113" s="3145">
        <f t="shared" si="865"/>
        <v>0</v>
      </c>
      <c r="BD113" s="3211">
        <f t="shared" si="866"/>
        <v>170.82749999999999</v>
      </c>
      <c r="BE113" s="3211">
        <f t="shared" si="867"/>
        <v>170.74494072353485</v>
      </c>
      <c r="BF113" s="3211">
        <f t="shared" si="868"/>
        <v>8.2559276465139483E-2</v>
      </c>
      <c r="BG113" s="3194">
        <f t="shared" si="869"/>
        <v>35.299999999999997</v>
      </c>
      <c r="BH113" s="3194">
        <f t="shared" si="870"/>
        <v>35.299999999999997</v>
      </c>
      <c r="BI113" s="3194">
        <f t="shared" si="871"/>
        <v>0</v>
      </c>
      <c r="BJ113" s="3194">
        <f t="shared" si="872"/>
        <v>-135.52749999999997</v>
      </c>
      <c r="BK113" s="3194">
        <f t="shared" si="873"/>
        <v>-135.44494072353484</v>
      </c>
      <c r="BL113" s="3194">
        <f t="shared" si="874"/>
        <v>-8.2559276465139483E-2</v>
      </c>
      <c r="BM113" s="3210">
        <f t="shared" ref="BM113" si="936">SUM(BN113:BO113)</f>
        <v>56.942499999999995</v>
      </c>
      <c r="BN113" s="3210">
        <f t="shared" ref="BN113" si="937">SUM(AP113)</f>
        <v>56.914980241178284</v>
      </c>
      <c r="BO113" s="3210">
        <f t="shared" ref="BO113" si="938">SUM(AQ113)</f>
        <v>2.7519758821713161E-2</v>
      </c>
      <c r="BP113" s="3145">
        <f t="shared" ref="BP113" si="939">SUM(BQ113:BR113)</f>
        <v>0</v>
      </c>
      <c r="BQ113" s="3066"/>
      <c r="BR113" s="3066"/>
      <c r="BS113" s="3145">
        <f t="shared" ref="BS113" si="940">SUM(BT113:BU113)</f>
        <v>0</v>
      </c>
      <c r="BT113" s="3066"/>
      <c r="BU113" s="3066"/>
      <c r="BV113" s="3145">
        <f t="shared" ref="BV113" si="941">SUM(BW113:BX113)</f>
        <v>0</v>
      </c>
      <c r="BW113" s="3066"/>
      <c r="BX113" s="3066"/>
      <c r="BY113" s="3145">
        <f t="shared" si="878"/>
        <v>0</v>
      </c>
      <c r="BZ113" s="3145">
        <f t="shared" si="879"/>
        <v>0</v>
      </c>
      <c r="CA113" s="3145">
        <f t="shared" si="880"/>
        <v>0</v>
      </c>
      <c r="CB113" s="3211">
        <v>227.77</v>
      </c>
      <c r="CC113" s="3211">
        <f>SUM(CB113/CB14*CC14)</f>
        <v>227.65992096471314</v>
      </c>
      <c r="CD113" s="3211">
        <f>SUM(CB113/CB14*CD14)</f>
        <v>0.11007903528685264</v>
      </c>
      <c r="CE113" s="3194">
        <f t="shared" si="881"/>
        <v>35.299999999999997</v>
      </c>
      <c r="CF113" s="3194">
        <f t="shared" si="882"/>
        <v>35.299999999999997</v>
      </c>
      <c r="CG113" s="3194">
        <f t="shared" si="883"/>
        <v>0</v>
      </c>
      <c r="CH113" s="3194">
        <f t="shared" si="884"/>
        <v>-192.47000000000003</v>
      </c>
      <c r="CI113" s="3194">
        <f t="shared" si="885"/>
        <v>-192.35992096471313</v>
      </c>
      <c r="CJ113" s="3194">
        <f t="shared" si="886"/>
        <v>-0.11007903528685264</v>
      </c>
      <c r="CK113" s="3259"/>
      <c r="CL113" s="3259"/>
      <c r="CM113" s="3259"/>
      <c r="CN113" s="3055"/>
    </row>
    <row r="114" spans="1:92" ht="18.75" customHeight="1" x14ac:dyDescent="0.3">
      <c r="A114" s="3075" t="s">
        <v>605</v>
      </c>
      <c r="B114" s="3208">
        <f t="shared" si="837"/>
        <v>72.942499999999995</v>
      </c>
      <c r="C114" s="3208">
        <f t="shared" ref="C114:D114" si="942">SUM(C115:C117)</f>
        <v>72.907247596121479</v>
      </c>
      <c r="D114" s="3208">
        <f t="shared" si="942"/>
        <v>3.525240387852329E-2</v>
      </c>
      <c r="E114" s="3060">
        <f t="shared" ref="E114:G114" si="943">SUM(E115:E117)</f>
        <v>12.3</v>
      </c>
      <c r="F114" s="3060">
        <f>SUM(F115:F117)</f>
        <v>12.3</v>
      </c>
      <c r="G114" s="3060">
        <f t="shared" si="943"/>
        <v>0</v>
      </c>
      <c r="H114" s="3060">
        <f t="shared" ref="H114:J114" si="944">SUM(H115:H117)</f>
        <v>17.130000000000003</v>
      </c>
      <c r="I114" s="3060">
        <f t="shared" si="944"/>
        <v>17.130000000000003</v>
      </c>
      <c r="J114" s="3060">
        <f t="shared" si="944"/>
        <v>0</v>
      </c>
      <c r="K114" s="3060">
        <f t="shared" ref="K114:M114" si="945">SUM(K115:K117)</f>
        <v>24.54</v>
      </c>
      <c r="L114" s="3060">
        <f t="shared" si="945"/>
        <v>24.54</v>
      </c>
      <c r="M114" s="3060">
        <f t="shared" si="945"/>
        <v>0</v>
      </c>
      <c r="N114" s="3136">
        <f t="shared" si="842"/>
        <v>53.97</v>
      </c>
      <c r="O114" s="3136">
        <f t="shared" si="843"/>
        <v>53.97</v>
      </c>
      <c r="P114" s="3136">
        <f t="shared" si="844"/>
        <v>0</v>
      </c>
      <c r="Q114" s="3208">
        <f t="shared" ref="Q114:Q118" si="946">SUM(R114:S114)</f>
        <v>72.942499999999995</v>
      </c>
      <c r="R114" s="3208">
        <f t="shared" ref="R114:AB114" si="947">SUM(R115:R117)</f>
        <v>72.907247596121479</v>
      </c>
      <c r="S114" s="3208">
        <f t="shared" si="947"/>
        <v>3.525240387852329E-2</v>
      </c>
      <c r="T114" s="3060">
        <f t="shared" si="947"/>
        <v>9.73</v>
      </c>
      <c r="U114" s="3060">
        <f t="shared" si="947"/>
        <v>9.73</v>
      </c>
      <c r="V114" s="3060">
        <f t="shared" si="947"/>
        <v>0</v>
      </c>
      <c r="W114" s="3060">
        <f t="shared" si="947"/>
        <v>0</v>
      </c>
      <c r="X114" s="3060">
        <f t="shared" si="947"/>
        <v>0</v>
      </c>
      <c r="Y114" s="3060">
        <f t="shared" si="947"/>
        <v>0</v>
      </c>
      <c r="Z114" s="3060">
        <f t="shared" si="947"/>
        <v>40.18</v>
      </c>
      <c r="AA114" s="3060">
        <f t="shared" si="947"/>
        <v>40.18</v>
      </c>
      <c r="AB114" s="3060">
        <f t="shared" si="947"/>
        <v>0</v>
      </c>
      <c r="AC114" s="3136">
        <f t="shared" si="848"/>
        <v>49.91</v>
      </c>
      <c r="AD114" s="3136">
        <f t="shared" si="849"/>
        <v>49.91</v>
      </c>
      <c r="AE114" s="3136">
        <f t="shared" si="850"/>
        <v>0</v>
      </c>
      <c r="AF114" s="3209">
        <f t="shared" si="851"/>
        <v>145.88499999999999</v>
      </c>
      <c r="AG114" s="3209">
        <f t="shared" si="852"/>
        <v>145.81449519224296</v>
      </c>
      <c r="AH114" s="3209">
        <f t="shared" si="853"/>
        <v>7.0504807757046581E-2</v>
      </c>
      <c r="AI114" s="3264">
        <f t="shared" si="854"/>
        <v>103.88</v>
      </c>
      <c r="AJ114" s="3264">
        <f t="shared" si="855"/>
        <v>103.88</v>
      </c>
      <c r="AK114" s="3264">
        <f t="shared" si="856"/>
        <v>0</v>
      </c>
      <c r="AL114" s="3264">
        <f t="shared" si="857"/>
        <v>-42.004999999999995</v>
      </c>
      <c r="AM114" s="3264">
        <f t="shared" si="858"/>
        <v>-41.934495192242963</v>
      </c>
      <c r="AN114" s="3264">
        <f t="shared" si="859"/>
        <v>-7.0504807757046581E-2</v>
      </c>
      <c r="AO114" s="3208">
        <f t="shared" ref="AO114" si="948">SUM(AP114:AQ114)</f>
        <v>72.942499999999995</v>
      </c>
      <c r="AP114" s="3208">
        <f t="shared" ref="AP114:AZ114" si="949">SUM(AP115:AP117)</f>
        <v>72.907247596121479</v>
      </c>
      <c r="AQ114" s="3208">
        <f t="shared" si="949"/>
        <v>3.525240387852329E-2</v>
      </c>
      <c r="AR114" s="3060">
        <f t="shared" si="949"/>
        <v>72.320000000000007</v>
      </c>
      <c r="AS114" s="3060">
        <f t="shared" si="949"/>
        <v>72.320000000000007</v>
      </c>
      <c r="AT114" s="3060">
        <f t="shared" si="949"/>
        <v>0</v>
      </c>
      <c r="AU114" s="3060">
        <f t="shared" si="949"/>
        <v>39.4</v>
      </c>
      <c r="AV114" s="3060">
        <f t="shared" si="949"/>
        <v>39.4</v>
      </c>
      <c r="AW114" s="3060">
        <f t="shared" si="949"/>
        <v>0</v>
      </c>
      <c r="AX114" s="3060">
        <f t="shared" si="949"/>
        <v>35.15</v>
      </c>
      <c r="AY114" s="3060">
        <f t="shared" si="949"/>
        <v>35.15</v>
      </c>
      <c r="AZ114" s="3060">
        <f t="shared" si="949"/>
        <v>0</v>
      </c>
      <c r="BA114" s="3136">
        <f t="shared" si="863"/>
        <v>146.87</v>
      </c>
      <c r="BB114" s="3136">
        <f t="shared" si="864"/>
        <v>146.87</v>
      </c>
      <c r="BC114" s="3136">
        <f t="shared" si="865"/>
        <v>0</v>
      </c>
      <c r="BD114" s="3209">
        <f t="shared" si="866"/>
        <v>218.82750000000001</v>
      </c>
      <c r="BE114" s="3209">
        <f t="shared" si="867"/>
        <v>218.72174278836445</v>
      </c>
      <c r="BF114" s="3209">
        <f t="shared" si="868"/>
        <v>0.10575721163556986</v>
      </c>
      <c r="BG114" s="3264">
        <f t="shared" si="869"/>
        <v>250.75</v>
      </c>
      <c r="BH114" s="3264">
        <f t="shared" si="870"/>
        <v>250.75</v>
      </c>
      <c r="BI114" s="3264">
        <f t="shared" si="871"/>
        <v>0</v>
      </c>
      <c r="BJ114" s="3264">
        <f t="shared" si="872"/>
        <v>31.922499999999985</v>
      </c>
      <c r="BK114" s="3264">
        <f t="shared" si="873"/>
        <v>32.028257211635548</v>
      </c>
      <c r="BL114" s="3264">
        <f t="shared" si="874"/>
        <v>-0.10575721163556986</v>
      </c>
      <c r="BM114" s="3208">
        <f t="shared" ref="BM114" si="950">SUM(BN114:BO114)</f>
        <v>72.942499999999995</v>
      </c>
      <c r="BN114" s="3208">
        <f t="shared" ref="BN114:BX114" si="951">SUM(BN115:BN117)</f>
        <v>72.907247596121479</v>
      </c>
      <c r="BO114" s="3208">
        <f t="shared" si="951"/>
        <v>3.525240387852329E-2</v>
      </c>
      <c r="BP114" s="3060">
        <f t="shared" si="951"/>
        <v>0</v>
      </c>
      <c r="BQ114" s="3060">
        <f t="shared" si="951"/>
        <v>0</v>
      </c>
      <c r="BR114" s="3060">
        <f t="shared" si="951"/>
        <v>0</v>
      </c>
      <c r="BS114" s="3060">
        <f t="shared" si="951"/>
        <v>0</v>
      </c>
      <c r="BT114" s="3060">
        <f t="shared" si="951"/>
        <v>0</v>
      </c>
      <c r="BU114" s="3060">
        <f t="shared" si="951"/>
        <v>0</v>
      </c>
      <c r="BV114" s="3060">
        <f t="shared" si="951"/>
        <v>0</v>
      </c>
      <c r="BW114" s="3060">
        <f t="shared" si="951"/>
        <v>0</v>
      </c>
      <c r="BX114" s="3060">
        <f t="shared" si="951"/>
        <v>0</v>
      </c>
      <c r="BY114" s="3136">
        <f t="shared" si="878"/>
        <v>0</v>
      </c>
      <c r="BZ114" s="3136">
        <f t="shared" si="879"/>
        <v>0</v>
      </c>
      <c r="CA114" s="3136">
        <f t="shared" si="880"/>
        <v>0</v>
      </c>
      <c r="CB114" s="3209">
        <f>SUM(CC114:CD114)</f>
        <v>291.77</v>
      </c>
      <c r="CC114" s="3209">
        <f>SUM(CC115:CC117)</f>
        <v>291.62899038448592</v>
      </c>
      <c r="CD114" s="3209">
        <f>SUM(CD115:CD117)</f>
        <v>0.14100961551409316</v>
      </c>
      <c r="CE114" s="3264">
        <f t="shared" si="881"/>
        <v>250.75</v>
      </c>
      <c r="CF114" s="3264">
        <f t="shared" si="882"/>
        <v>250.75</v>
      </c>
      <c r="CG114" s="3264">
        <f t="shared" si="883"/>
        <v>0</v>
      </c>
      <c r="CH114" s="3264">
        <f t="shared" si="884"/>
        <v>-41.019999999999982</v>
      </c>
      <c r="CI114" s="3264">
        <f t="shared" si="885"/>
        <v>-40.878990384485917</v>
      </c>
      <c r="CJ114" s="3264">
        <f t="shared" si="886"/>
        <v>-0.14100961551409316</v>
      </c>
      <c r="CK114" s="3259"/>
      <c r="CL114" s="3259"/>
      <c r="CM114" s="3259"/>
      <c r="CN114" s="3055"/>
    </row>
    <row r="115" spans="1:92" ht="18.75" customHeight="1" x14ac:dyDescent="0.3">
      <c r="A115" s="3076" t="s">
        <v>543</v>
      </c>
      <c r="B115" s="3210">
        <f t="shared" si="837"/>
        <v>30.184999999999995</v>
      </c>
      <c r="C115" s="3210">
        <f t="shared" ref="C115:C117" si="952">SUM(CC115/4)</f>
        <v>30.170411881810008</v>
      </c>
      <c r="D115" s="3210">
        <f t="shared" ref="D115:D117" si="953">SUM(CD115/4)</f>
        <v>1.4588118189988352E-2</v>
      </c>
      <c r="E115" s="3145">
        <f t="shared" si="889"/>
        <v>0</v>
      </c>
      <c r="F115" s="3066"/>
      <c r="G115" s="3066"/>
      <c r="H115" s="3145">
        <f t="shared" ref="H115:H123" si="954">SUM(I115:J115)</f>
        <v>0</v>
      </c>
      <c r="I115" s="3066"/>
      <c r="J115" s="3066"/>
      <c r="K115" s="3145">
        <f t="shared" ref="K115:K123" si="955">SUM(L115:M115)</f>
        <v>0</v>
      </c>
      <c r="L115" s="3066"/>
      <c r="M115" s="3066"/>
      <c r="N115" s="3145">
        <f t="shared" si="842"/>
        <v>0</v>
      </c>
      <c r="O115" s="3145">
        <f t="shared" si="843"/>
        <v>0</v>
      </c>
      <c r="P115" s="3145">
        <f t="shared" si="844"/>
        <v>0</v>
      </c>
      <c r="Q115" s="3210">
        <f t="shared" si="946"/>
        <v>30.184999999999995</v>
      </c>
      <c r="R115" s="3210">
        <f t="shared" ref="R115:R117" si="956">SUM(C115)</f>
        <v>30.170411881810008</v>
      </c>
      <c r="S115" s="3210">
        <f t="shared" ref="S115:S117" si="957">SUM(D115)</f>
        <v>1.4588118189988352E-2</v>
      </c>
      <c r="T115" s="3145">
        <f t="shared" ref="T115:T123" si="958">SUM(U115:V115)</f>
        <v>0</v>
      </c>
      <c r="U115" s="3066"/>
      <c r="V115" s="3066"/>
      <c r="W115" s="3145">
        <f t="shared" ref="W115:W123" si="959">SUM(X115:Y115)</f>
        <v>0</v>
      </c>
      <c r="X115" s="3066"/>
      <c r="Y115" s="3066"/>
      <c r="Z115" s="3145">
        <f t="shared" ref="Z115:Z123" si="960">SUM(AA115:AB115)</f>
        <v>9.2200000000000006</v>
      </c>
      <c r="AA115" s="3066">
        <f>9.26-0.04</f>
        <v>9.2200000000000006</v>
      </c>
      <c r="AB115" s="3066"/>
      <c r="AC115" s="3145">
        <f t="shared" si="848"/>
        <v>9.2200000000000006</v>
      </c>
      <c r="AD115" s="3145">
        <f t="shared" si="849"/>
        <v>9.2200000000000006</v>
      </c>
      <c r="AE115" s="3145">
        <f t="shared" si="850"/>
        <v>0</v>
      </c>
      <c r="AF115" s="3211">
        <f t="shared" si="851"/>
        <v>60.36999999999999</v>
      </c>
      <c r="AG115" s="3211">
        <f t="shared" si="852"/>
        <v>60.340823763620016</v>
      </c>
      <c r="AH115" s="3211">
        <f t="shared" si="853"/>
        <v>2.9176236379976704E-2</v>
      </c>
      <c r="AI115" s="3194">
        <f t="shared" si="854"/>
        <v>9.2200000000000006</v>
      </c>
      <c r="AJ115" s="3194">
        <f t="shared" si="855"/>
        <v>9.2200000000000006</v>
      </c>
      <c r="AK115" s="3194">
        <f t="shared" si="856"/>
        <v>0</v>
      </c>
      <c r="AL115" s="3194">
        <f t="shared" si="857"/>
        <v>-51.149999999999991</v>
      </c>
      <c r="AM115" s="3194">
        <f t="shared" si="858"/>
        <v>-51.120823763620017</v>
      </c>
      <c r="AN115" s="3194">
        <f t="shared" si="859"/>
        <v>-2.9176236379976704E-2</v>
      </c>
      <c r="AO115" s="3210">
        <f t="shared" ref="AO115:AO118" si="961">SUM(AP115:AQ115)</f>
        <v>30.184999999999995</v>
      </c>
      <c r="AP115" s="3210">
        <f t="shared" ref="AP115:AP117" si="962">SUM(CC115-AG115)/2</f>
        <v>30.170411881810008</v>
      </c>
      <c r="AQ115" s="3210">
        <f t="shared" ref="AQ115:AQ117" si="963">SUM(CD115-AH115)/2</f>
        <v>1.4588118189988352E-2</v>
      </c>
      <c r="AR115" s="3145">
        <f t="shared" ref="AR115:AR123" si="964">SUM(AS115:AT115)</f>
        <v>41.09</v>
      </c>
      <c r="AS115" s="3066">
        <v>41.09</v>
      </c>
      <c r="AT115" s="3066"/>
      <c r="AU115" s="3145">
        <f t="shared" ref="AU115:AU123" si="965">SUM(AV115:AW115)</f>
        <v>39.4</v>
      </c>
      <c r="AV115" s="3066">
        <v>39.4</v>
      </c>
      <c r="AW115" s="3066"/>
      <c r="AX115" s="3145">
        <f t="shared" ref="AX115:AX123" si="966">SUM(AY115:AZ115)</f>
        <v>21.98</v>
      </c>
      <c r="AY115" s="3066">
        <v>21.98</v>
      </c>
      <c r="AZ115" s="3066"/>
      <c r="BA115" s="3145">
        <f t="shared" si="863"/>
        <v>102.47000000000001</v>
      </c>
      <c r="BB115" s="3145">
        <f t="shared" si="864"/>
        <v>102.47000000000001</v>
      </c>
      <c r="BC115" s="3145">
        <f t="shared" si="865"/>
        <v>0</v>
      </c>
      <c r="BD115" s="3211">
        <f t="shared" si="866"/>
        <v>90.554999999999978</v>
      </c>
      <c r="BE115" s="3211">
        <f t="shared" si="867"/>
        <v>90.51123564543002</v>
      </c>
      <c r="BF115" s="3211">
        <f t="shared" si="868"/>
        <v>4.3764354569965053E-2</v>
      </c>
      <c r="BG115" s="3194">
        <f t="shared" si="869"/>
        <v>111.69000000000001</v>
      </c>
      <c r="BH115" s="3194">
        <f t="shared" si="870"/>
        <v>111.69000000000001</v>
      </c>
      <c r="BI115" s="3194">
        <f t="shared" si="871"/>
        <v>0</v>
      </c>
      <c r="BJ115" s="3194">
        <f t="shared" si="872"/>
        <v>21.135000000000034</v>
      </c>
      <c r="BK115" s="3194">
        <f t="shared" si="873"/>
        <v>21.178764354569992</v>
      </c>
      <c r="BL115" s="3194">
        <f t="shared" si="874"/>
        <v>-4.3764354569965053E-2</v>
      </c>
      <c r="BM115" s="3210">
        <f t="shared" ref="BM115:BM125" si="967">SUM(BN115:BO115)</f>
        <v>30.184999999999995</v>
      </c>
      <c r="BN115" s="3210">
        <f t="shared" ref="BN115:BN117" si="968">SUM(AP115)</f>
        <v>30.170411881810008</v>
      </c>
      <c r="BO115" s="3210">
        <f t="shared" ref="BO115:BO117" si="969">SUM(AQ115)</f>
        <v>1.4588118189988352E-2</v>
      </c>
      <c r="BP115" s="3145">
        <f t="shared" ref="BP115:BP123" si="970">SUM(BQ115:BR115)</f>
        <v>0</v>
      </c>
      <c r="BQ115" s="3066"/>
      <c r="BR115" s="3066"/>
      <c r="BS115" s="3145">
        <f t="shared" ref="BS115:BS123" si="971">SUM(BT115:BU115)</f>
        <v>0</v>
      </c>
      <c r="BT115" s="3066"/>
      <c r="BU115" s="3066"/>
      <c r="BV115" s="3145">
        <f t="shared" ref="BV115:BV123" si="972">SUM(BW115:BX115)</f>
        <v>0</v>
      </c>
      <c r="BW115" s="3066"/>
      <c r="BX115" s="3066"/>
      <c r="BY115" s="3145">
        <f t="shared" si="878"/>
        <v>0</v>
      </c>
      <c r="BZ115" s="3145">
        <f t="shared" si="879"/>
        <v>0</v>
      </c>
      <c r="CA115" s="3145">
        <f t="shared" si="880"/>
        <v>0</v>
      </c>
      <c r="CB115" s="3211">
        <v>120.74</v>
      </c>
      <c r="CC115" s="3211">
        <f>SUM(CB115/CB14*CC14)</f>
        <v>120.68164752724003</v>
      </c>
      <c r="CD115" s="3211">
        <f>SUM(CB115/CB14*CD14)</f>
        <v>5.8352472759953408E-2</v>
      </c>
      <c r="CE115" s="3194">
        <f t="shared" si="881"/>
        <v>111.69000000000001</v>
      </c>
      <c r="CF115" s="3194">
        <f t="shared" si="882"/>
        <v>111.69000000000001</v>
      </c>
      <c r="CG115" s="3194">
        <f t="shared" si="883"/>
        <v>0</v>
      </c>
      <c r="CH115" s="3194">
        <f t="shared" si="884"/>
        <v>-9.0499999999999829</v>
      </c>
      <c r="CI115" s="3194">
        <f t="shared" si="885"/>
        <v>-8.9916475272400191</v>
      </c>
      <c r="CJ115" s="3194">
        <f t="shared" si="886"/>
        <v>-5.8352472759953408E-2</v>
      </c>
      <c r="CK115" s="3259"/>
      <c r="CL115" s="3259"/>
      <c r="CM115" s="3259"/>
      <c r="CN115" s="3055"/>
    </row>
    <row r="116" spans="1:92" ht="18.75" customHeight="1" x14ac:dyDescent="0.3">
      <c r="A116" s="3076" t="s">
        <v>552</v>
      </c>
      <c r="B116" s="3210">
        <f t="shared" si="837"/>
        <v>42.3825</v>
      </c>
      <c r="C116" s="3210">
        <f t="shared" si="952"/>
        <v>42.362016948179985</v>
      </c>
      <c r="D116" s="3210">
        <f t="shared" si="953"/>
        <v>2.048305182001595E-2</v>
      </c>
      <c r="E116" s="3145">
        <f t="shared" si="889"/>
        <v>12.3</v>
      </c>
      <c r="F116" s="3066">
        <f>10.8+1.5</f>
        <v>12.3</v>
      </c>
      <c r="G116" s="3066"/>
      <c r="H116" s="3145">
        <f t="shared" si="954"/>
        <v>17.130000000000003</v>
      </c>
      <c r="I116" s="3066">
        <f>14.63+2.5</f>
        <v>17.130000000000003</v>
      </c>
      <c r="J116" s="3066"/>
      <c r="K116" s="3145">
        <f t="shared" si="955"/>
        <v>24.54</v>
      </c>
      <c r="L116" s="3066">
        <f>21.54+3</f>
        <v>24.54</v>
      </c>
      <c r="M116" s="3066"/>
      <c r="N116" s="3145">
        <f t="shared" si="842"/>
        <v>53.97</v>
      </c>
      <c r="O116" s="3145">
        <f t="shared" si="843"/>
        <v>53.97</v>
      </c>
      <c r="P116" s="3145">
        <f t="shared" si="844"/>
        <v>0</v>
      </c>
      <c r="Q116" s="3210">
        <f t="shared" si="946"/>
        <v>42.3825</v>
      </c>
      <c r="R116" s="3210">
        <f t="shared" si="956"/>
        <v>42.362016948179985</v>
      </c>
      <c r="S116" s="3210">
        <f t="shared" si="957"/>
        <v>2.048305182001595E-2</v>
      </c>
      <c r="T116" s="3145">
        <f t="shared" si="958"/>
        <v>9.73</v>
      </c>
      <c r="U116" s="3066">
        <f>8.23+1.5</f>
        <v>9.73</v>
      </c>
      <c r="V116" s="3066"/>
      <c r="W116" s="3145">
        <f t="shared" si="959"/>
        <v>0</v>
      </c>
      <c r="X116" s="3066"/>
      <c r="Y116" s="3066"/>
      <c r="Z116" s="3145">
        <f t="shared" si="960"/>
        <v>30.96</v>
      </c>
      <c r="AA116" s="3066">
        <f>26.96+4</f>
        <v>30.96</v>
      </c>
      <c r="AB116" s="3066"/>
      <c r="AC116" s="3145">
        <f t="shared" si="848"/>
        <v>40.69</v>
      </c>
      <c r="AD116" s="3145">
        <f t="shared" si="849"/>
        <v>40.69</v>
      </c>
      <c r="AE116" s="3145">
        <f t="shared" si="850"/>
        <v>0</v>
      </c>
      <c r="AF116" s="3211">
        <f t="shared" si="851"/>
        <v>84.765000000000001</v>
      </c>
      <c r="AG116" s="3211">
        <f t="shared" si="852"/>
        <v>84.72403389635997</v>
      </c>
      <c r="AH116" s="3211">
        <f t="shared" si="853"/>
        <v>4.0966103640031899E-2</v>
      </c>
      <c r="AI116" s="3194">
        <f t="shared" si="854"/>
        <v>94.66</v>
      </c>
      <c r="AJ116" s="3194">
        <f t="shared" si="855"/>
        <v>94.66</v>
      </c>
      <c r="AK116" s="3194">
        <f t="shared" si="856"/>
        <v>0</v>
      </c>
      <c r="AL116" s="3194">
        <f t="shared" si="857"/>
        <v>9.894999999999996</v>
      </c>
      <c r="AM116" s="3194">
        <f t="shared" si="858"/>
        <v>9.9359661036400269</v>
      </c>
      <c r="AN116" s="3194">
        <f t="shared" si="859"/>
        <v>-4.0966103640031899E-2</v>
      </c>
      <c r="AO116" s="3210">
        <f t="shared" si="961"/>
        <v>42.3825</v>
      </c>
      <c r="AP116" s="3210">
        <f t="shared" si="962"/>
        <v>42.362016948179985</v>
      </c>
      <c r="AQ116" s="3210">
        <f t="shared" si="963"/>
        <v>2.048305182001595E-2</v>
      </c>
      <c r="AR116" s="3145">
        <f t="shared" si="964"/>
        <v>31.23</v>
      </c>
      <c r="AS116" s="3066">
        <f>29.23+2</f>
        <v>31.23</v>
      </c>
      <c r="AT116" s="3066"/>
      <c r="AU116" s="3145">
        <f t="shared" si="965"/>
        <v>0</v>
      </c>
      <c r="AV116" s="3066"/>
      <c r="AW116" s="3066"/>
      <c r="AX116" s="3145">
        <f t="shared" si="966"/>
        <v>13.17</v>
      </c>
      <c r="AY116" s="3066">
        <f>11.67+1.5</f>
        <v>13.17</v>
      </c>
      <c r="AZ116" s="3066"/>
      <c r="BA116" s="3145">
        <f t="shared" si="863"/>
        <v>44.4</v>
      </c>
      <c r="BB116" s="3145">
        <f t="shared" si="864"/>
        <v>44.4</v>
      </c>
      <c r="BC116" s="3145">
        <f t="shared" si="865"/>
        <v>0</v>
      </c>
      <c r="BD116" s="3211">
        <f t="shared" si="866"/>
        <v>127.14750000000001</v>
      </c>
      <c r="BE116" s="3211">
        <f t="shared" si="867"/>
        <v>127.08605084453995</v>
      </c>
      <c r="BF116" s="3211">
        <f t="shared" si="868"/>
        <v>6.1449155460047852E-2</v>
      </c>
      <c r="BG116" s="3194">
        <f t="shared" si="869"/>
        <v>139.06</v>
      </c>
      <c r="BH116" s="3194">
        <f t="shared" si="870"/>
        <v>139.06</v>
      </c>
      <c r="BI116" s="3194">
        <f t="shared" si="871"/>
        <v>0</v>
      </c>
      <c r="BJ116" s="3194">
        <f t="shared" si="872"/>
        <v>11.912499999999994</v>
      </c>
      <c r="BK116" s="3194">
        <f t="shared" si="873"/>
        <v>11.973949155460048</v>
      </c>
      <c r="BL116" s="3194">
        <f t="shared" si="874"/>
        <v>-6.1449155460047852E-2</v>
      </c>
      <c r="BM116" s="3210">
        <f t="shared" si="967"/>
        <v>42.3825</v>
      </c>
      <c r="BN116" s="3210">
        <f t="shared" si="968"/>
        <v>42.362016948179985</v>
      </c>
      <c r="BO116" s="3210">
        <f t="shared" si="969"/>
        <v>2.048305182001595E-2</v>
      </c>
      <c r="BP116" s="3145">
        <f t="shared" si="970"/>
        <v>0</v>
      </c>
      <c r="BQ116" s="3066"/>
      <c r="BR116" s="3066"/>
      <c r="BS116" s="3145">
        <f t="shared" si="971"/>
        <v>0</v>
      </c>
      <c r="BT116" s="3066"/>
      <c r="BU116" s="3066"/>
      <c r="BV116" s="3145">
        <f t="shared" si="972"/>
        <v>0</v>
      </c>
      <c r="BW116" s="3066"/>
      <c r="BX116" s="3066"/>
      <c r="BY116" s="3145">
        <f t="shared" si="878"/>
        <v>0</v>
      </c>
      <c r="BZ116" s="3145">
        <f t="shared" si="879"/>
        <v>0</v>
      </c>
      <c r="CA116" s="3145">
        <f t="shared" si="880"/>
        <v>0</v>
      </c>
      <c r="CB116" s="3211">
        <v>169.53</v>
      </c>
      <c r="CC116" s="3211">
        <f>SUM(CB116/CB14*CC14)</f>
        <v>169.44806779271994</v>
      </c>
      <c r="CD116" s="3211">
        <f>SUM(CB116/CB14*CD14)</f>
        <v>8.1932207280063798E-2</v>
      </c>
      <c r="CE116" s="3194">
        <f t="shared" si="881"/>
        <v>139.06</v>
      </c>
      <c r="CF116" s="3194">
        <f t="shared" si="882"/>
        <v>139.06</v>
      </c>
      <c r="CG116" s="3194">
        <f t="shared" si="883"/>
        <v>0</v>
      </c>
      <c r="CH116" s="3194">
        <f t="shared" si="884"/>
        <v>-30.47</v>
      </c>
      <c r="CI116" s="3194">
        <f t="shared" si="885"/>
        <v>-30.388067792719937</v>
      </c>
      <c r="CJ116" s="3194">
        <f t="shared" si="886"/>
        <v>-8.1932207280063798E-2</v>
      </c>
      <c r="CK116" s="3259"/>
      <c r="CL116" s="3259"/>
      <c r="CM116" s="3259"/>
      <c r="CN116" s="3055"/>
    </row>
    <row r="117" spans="1:92" ht="18.75" customHeight="1" x14ac:dyDescent="0.3">
      <c r="A117" s="3076" t="s">
        <v>609</v>
      </c>
      <c r="B117" s="3210">
        <f t="shared" si="837"/>
        <v>0.375</v>
      </c>
      <c r="C117" s="3210">
        <f t="shared" si="952"/>
        <v>0.37481876613148102</v>
      </c>
      <c r="D117" s="3210">
        <f t="shared" si="953"/>
        <v>1.8123386851898732E-4</v>
      </c>
      <c r="E117" s="3145">
        <f t="shared" si="889"/>
        <v>0</v>
      </c>
      <c r="F117" s="3066"/>
      <c r="G117" s="3066"/>
      <c r="H117" s="3145">
        <f t="shared" si="954"/>
        <v>0</v>
      </c>
      <c r="I117" s="3066"/>
      <c r="J117" s="3066"/>
      <c r="K117" s="3145">
        <f t="shared" si="955"/>
        <v>0</v>
      </c>
      <c r="L117" s="3066"/>
      <c r="M117" s="3066"/>
      <c r="N117" s="3145">
        <f t="shared" si="842"/>
        <v>0</v>
      </c>
      <c r="O117" s="3145">
        <f t="shared" si="843"/>
        <v>0</v>
      </c>
      <c r="P117" s="3145">
        <f t="shared" si="844"/>
        <v>0</v>
      </c>
      <c r="Q117" s="3210">
        <f t="shared" si="946"/>
        <v>0.375</v>
      </c>
      <c r="R117" s="3210">
        <f t="shared" si="956"/>
        <v>0.37481876613148102</v>
      </c>
      <c r="S117" s="3210">
        <f t="shared" si="957"/>
        <v>1.8123386851898732E-4</v>
      </c>
      <c r="T117" s="3145">
        <f t="shared" si="958"/>
        <v>0</v>
      </c>
      <c r="U117" s="3066"/>
      <c r="V117" s="3066"/>
      <c r="W117" s="3145">
        <f t="shared" si="959"/>
        <v>0</v>
      </c>
      <c r="X117" s="3066"/>
      <c r="Y117" s="3066"/>
      <c r="Z117" s="3145">
        <f t="shared" si="960"/>
        <v>0</v>
      </c>
      <c r="AA117" s="3066"/>
      <c r="AB117" s="3066"/>
      <c r="AC117" s="3145">
        <f t="shared" si="848"/>
        <v>0</v>
      </c>
      <c r="AD117" s="3145">
        <f t="shared" si="849"/>
        <v>0</v>
      </c>
      <c r="AE117" s="3145">
        <f t="shared" si="850"/>
        <v>0</v>
      </c>
      <c r="AF117" s="3211">
        <f t="shared" si="851"/>
        <v>0.75</v>
      </c>
      <c r="AG117" s="3211">
        <f t="shared" si="852"/>
        <v>0.74963753226296204</v>
      </c>
      <c r="AH117" s="3211">
        <f t="shared" si="853"/>
        <v>3.6246773703797465E-4</v>
      </c>
      <c r="AI117" s="3194">
        <f t="shared" si="854"/>
        <v>0</v>
      </c>
      <c r="AJ117" s="3194">
        <f t="shared" si="855"/>
        <v>0</v>
      </c>
      <c r="AK117" s="3194">
        <f t="shared" si="856"/>
        <v>0</v>
      </c>
      <c r="AL117" s="3194">
        <f t="shared" si="857"/>
        <v>-0.75</v>
      </c>
      <c r="AM117" s="3194">
        <f t="shared" si="858"/>
        <v>-0.74963753226296204</v>
      </c>
      <c r="AN117" s="3194">
        <f t="shared" si="859"/>
        <v>-3.6246773703797465E-4</v>
      </c>
      <c r="AO117" s="3210">
        <f t="shared" si="961"/>
        <v>0.375</v>
      </c>
      <c r="AP117" s="3210">
        <f t="shared" si="962"/>
        <v>0.37481876613148102</v>
      </c>
      <c r="AQ117" s="3210">
        <f t="shared" si="963"/>
        <v>1.8123386851898732E-4</v>
      </c>
      <c r="AR117" s="3145">
        <f t="shared" si="964"/>
        <v>0</v>
      </c>
      <c r="AS117" s="3066"/>
      <c r="AT117" s="3066"/>
      <c r="AU117" s="3145">
        <f t="shared" si="965"/>
        <v>0</v>
      </c>
      <c r="AV117" s="3066"/>
      <c r="AW117" s="3066"/>
      <c r="AX117" s="3145">
        <f t="shared" si="966"/>
        <v>0</v>
      </c>
      <c r="AY117" s="3066"/>
      <c r="AZ117" s="3066"/>
      <c r="BA117" s="3145">
        <f t="shared" si="863"/>
        <v>0</v>
      </c>
      <c r="BB117" s="3145">
        <f t="shared" si="864"/>
        <v>0</v>
      </c>
      <c r="BC117" s="3145">
        <f t="shared" si="865"/>
        <v>0</v>
      </c>
      <c r="BD117" s="3211">
        <f t="shared" si="866"/>
        <v>1.125</v>
      </c>
      <c r="BE117" s="3211">
        <f t="shared" si="867"/>
        <v>1.1244562983944431</v>
      </c>
      <c r="BF117" s="3211">
        <f t="shared" si="868"/>
        <v>5.4370160555696195E-4</v>
      </c>
      <c r="BG117" s="3194">
        <f t="shared" si="869"/>
        <v>0</v>
      </c>
      <c r="BH117" s="3194">
        <f t="shared" si="870"/>
        <v>0</v>
      </c>
      <c r="BI117" s="3194">
        <f t="shared" si="871"/>
        <v>0</v>
      </c>
      <c r="BJ117" s="3194">
        <f t="shared" si="872"/>
        <v>-1.125</v>
      </c>
      <c r="BK117" s="3194">
        <f t="shared" si="873"/>
        <v>-1.1244562983944431</v>
      </c>
      <c r="BL117" s="3194">
        <f t="shared" si="874"/>
        <v>-5.4370160555696195E-4</v>
      </c>
      <c r="BM117" s="3210">
        <f t="shared" si="967"/>
        <v>0.375</v>
      </c>
      <c r="BN117" s="3210">
        <f t="shared" si="968"/>
        <v>0.37481876613148102</v>
      </c>
      <c r="BO117" s="3210">
        <f t="shared" si="969"/>
        <v>1.8123386851898732E-4</v>
      </c>
      <c r="BP117" s="3145">
        <f t="shared" si="970"/>
        <v>0</v>
      </c>
      <c r="BQ117" s="3066"/>
      <c r="BR117" s="3066"/>
      <c r="BS117" s="3145">
        <f t="shared" si="971"/>
        <v>0</v>
      </c>
      <c r="BT117" s="3066"/>
      <c r="BU117" s="3066"/>
      <c r="BV117" s="3145">
        <f t="shared" si="972"/>
        <v>0</v>
      </c>
      <c r="BW117" s="3066"/>
      <c r="BX117" s="3066"/>
      <c r="BY117" s="3145">
        <f t="shared" si="878"/>
        <v>0</v>
      </c>
      <c r="BZ117" s="3145">
        <f t="shared" si="879"/>
        <v>0</v>
      </c>
      <c r="CA117" s="3145">
        <f t="shared" si="880"/>
        <v>0</v>
      </c>
      <c r="CB117" s="3211">
        <v>1.5</v>
      </c>
      <c r="CC117" s="3211">
        <f>SUM(CB117/CB14*CC14)</f>
        <v>1.4992750645259241</v>
      </c>
      <c r="CD117" s="3211">
        <f>SUM(CB117/CB14*CD14)</f>
        <v>7.249354740759493E-4</v>
      </c>
      <c r="CE117" s="3194">
        <f t="shared" si="881"/>
        <v>0</v>
      </c>
      <c r="CF117" s="3194">
        <f t="shared" si="882"/>
        <v>0</v>
      </c>
      <c r="CG117" s="3194">
        <f t="shared" si="883"/>
        <v>0</v>
      </c>
      <c r="CH117" s="3194">
        <f t="shared" si="884"/>
        <v>-1.5</v>
      </c>
      <c r="CI117" s="3194">
        <f t="shared" si="885"/>
        <v>-1.4992750645259241</v>
      </c>
      <c r="CJ117" s="3194">
        <f t="shared" si="886"/>
        <v>-7.249354740759493E-4</v>
      </c>
      <c r="CK117" s="3259"/>
      <c r="CL117" s="3259"/>
      <c r="CM117" s="3259"/>
      <c r="CN117" s="3055"/>
    </row>
    <row r="118" spans="1:92" ht="18.75" customHeight="1" x14ac:dyDescent="0.3">
      <c r="A118" s="3056" t="s">
        <v>532</v>
      </c>
      <c r="B118" s="3207">
        <f>SUM(C118:D118)</f>
        <v>3871.3423207739356</v>
      </c>
      <c r="C118" s="3207">
        <f t="shared" ref="C118:D118" si="973">SUM(C119:C123)+C125</f>
        <v>3869.9686196172643</v>
      </c>
      <c r="D118" s="3207">
        <f t="shared" si="973"/>
        <v>1.3737011566712369</v>
      </c>
      <c r="E118" s="3156">
        <f t="shared" si="889"/>
        <v>1349.83</v>
      </c>
      <c r="F118" s="3057">
        <f>SUM(F119:F123)+F125</f>
        <v>1349.83</v>
      </c>
      <c r="G118" s="3057">
        <f t="shared" ref="G118" si="974">SUM(G119:G123)+G125</f>
        <v>0</v>
      </c>
      <c r="H118" s="3156">
        <f t="shared" si="954"/>
        <v>1198.1400000000001</v>
      </c>
      <c r="I118" s="3057">
        <f t="shared" ref="I118:J118" si="975">SUM(I119:I123)+I125</f>
        <v>1198.1400000000001</v>
      </c>
      <c r="J118" s="3057">
        <f t="shared" si="975"/>
        <v>0</v>
      </c>
      <c r="K118" s="3156">
        <f t="shared" si="955"/>
        <v>1255.4299999999998</v>
      </c>
      <c r="L118" s="3057">
        <f t="shared" ref="L118:M118" si="976">SUM(L119:L123)+L125</f>
        <v>1255.4299999999998</v>
      </c>
      <c r="M118" s="3057">
        <f t="shared" si="976"/>
        <v>0</v>
      </c>
      <c r="N118" s="3156">
        <f t="shared" ref="N118:N123" si="977">SUM(O118:P118)</f>
        <v>3803.4</v>
      </c>
      <c r="O118" s="3156">
        <f t="shared" ref="O118:O123" si="978">SUM(F118+I118+L118)</f>
        <v>3803.4</v>
      </c>
      <c r="P118" s="3156">
        <f t="shared" ref="P118:P123" si="979">SUM(G118+J118+M118)</f>
        <v>0</v>
      </c>
      <c r="Q118" s="3207">
        <f t="shared" si="946"/>
        <v>3871.3423207739356</v>
      </c>
      <c r="R118" s="3207">
        <f t="shared" ref="R118:S118" si="980">SUM(R119:R123)+R125</f>
        <v>3869.9686196172643</v>
      </c>
      <c r="S118" s="3207">
        <f t="shared" si="980"/>
        <v>1.3737011566712369</v>
      </c>
      <c r="T118" s="3156">
        <f t="shared" si="958"/>
        <v>1453.82</v>
      </c>
      <c r="U118" s="3057">
        <f t="shared" ref="U118:V118" si="981">SUM(U119:U123)+U125</f>
        <v>1453.82</v>
      </c>
      <c r="V118" s="3057">
        <f t="shared" si="981"/>
        <v>0</v>
      </c>
      <c r="W118" s="3156">
        <f t="shared" si="959"/>
        <v>1298.1300000000001</v>
      </c>
      <c r="X118" s="3057">
        <f t="shared" ref="X118:Y118" si="982">SUM(X119:X123)+X125</f>
        <v>1298.1300000000001</v>
      </c>
      <c r="Y118" s="3057">
        <f t="shared" si="982"/>
        <v>0</v>
      </c>
      <c r="Z118" s="3156">
        <f t="shared" si="960"/>
        <v>1209.8599999999999</v>
      </c>
      <c r="AA118" s="3057">
        <f t="shared" ref="AA118:AB118" si="983">SUM(AA119:AA123)+AA125</f>
        <v>1209.8599999999999</v>
      </c>
      <c r="AB118" s="3057">
        <f t="shared" si="983"/>
        <v>0</v>
      </c>
      <c r="AC118" s="3156">
        <f t="shared" si="848"/>
        <v>3961.8099999999995</v>
      </c>
      <c r="AD118" s="3156">
        <f t="shared" si="849"/>
        <v>3961.8099999999995</v>
      </c>
      <c r="AE118" s="3156">
        <f t="shared" si="850"/>
        <v>0</v>
      </c>
      <c r="AF118" s="3206">
        <f t="shared" si="851"/>
        <v>7742.6846415478713</v>
      </c>
      <c r="AG118" s="3206">
        <f t="shared" si="852"/>
        <v>7739.9372392345285</v>
      </c>
      <c r="AH118" s="3206">
        <f t="shared" si="853"/>
        <v>2.7474023133424739</v>
      </c>
      <c r="AI118" s="3193">
        <f t="shared" ref="AI118:AI123" si="984">SUM(AC118+N118)</f>
        <v>7765.2099999999991</v>
      </c>
      <c r="AJ118" s="3193">
        <f t="shared" ref="AJ118:AJ123" si="985">SUM(AD118+O118)</f>
        <v>7765.2099999999991</v>
      </c>
      <c r="AK118" s="3193">
        <f t="shared" ref="AK118:AK123" si="986">SUM(AE118+P118)</f>
        <v>0</v>
      </c>
      <c r="AL118" s="3193">
        <f t="shared" ref="AL118:AL123" si="987">SUM(AI118-AF118)</f>
        <v>22.525358452127875</v>
      </c>
      <c r="AM118" s="3193">
        <f t="shared" ref="AM118:AM123" si="988">SUM(AJ118-AG118)</f>
        <v>25.272760765470593</v>
      </c>
      <c r="AN118" s="3193">
        <f t="shared" ref="AN118:AN123" si="989">SUM(AK118-AH118)</f>
        <v>-2.7474023133424739</v>
      </c>
      <c r="AO118" s="3207">
        <f t="shared" si="961"/>
        <v>3871.3423207739356</v>
      </c>
      <c r="AP118" s="3207">
        <f t="shared" ref="AP118:AQ118" si="990">SUM(AP119:AP123)+AP125</f>
        <v>3869.9686196172643</v>
      </c>
      <c r="AQ118" s="3207">
        <f t="shared" si="990"/>
        <v>1.3737011566712369</v>
      </c>
      <c r="AR118" s="3156">
        <f t="shared" si="964"/>
        <v>1372.25</v>
      </c>
      <c r="AS118" s="3057">
        <f t="shared" ref="AS118:AT118" si="991">SUM(AS119:AS123)+AS125</f>
        <v>1372.25</v>
      </c>
      <c r="AT118" s="3057">
        <f t="shared" si="991"/>
        <v>0</v>
      </c>
      <c r="AU118" s="3156">
        <f t="shared" si="965"/>
        <v>1423.65</v>
      </c>
      <c r="AV118" s="3057">
        <f t="shared" ref="AV118:AW118" si="992">SUM(AV119:AV123)+AV125</f>
        <v>1423.65</v>
      </c>
      <c r="AW118" s="3057">
        <f t="shared" si="992"/>
        <v>0</v>
      </c>
      <c r="AX118" s="3156">
        <f t="shared" si="966"/>
        <v>1475.83</v>
      </c>
      <c r="AY118" s="3057">
        <f t="shared" ref="AY118:AZ118" si="993">SUM(AY119:AY123)+AY125</f>
        <v>1475.83</v>
      </c>
      <c r="AZ118" s="3057">
        <f t="shared" si="993"/>
        <v>0</v>
      </c>
      <c r="BA118" s="3156">
        <f t="shared" si="863"/>
        <v>4271.7299999999996</v>
      </c>
      <c r="BB118" s="3156">
        <f t="shared" si="864"/>
        <v>4271.7299999999996</v>
      </c>
      <c r="BC118" s="3156">
        <f t="shared" si="865"/>
        <v>0</v>
      </c>
      <c r="BD118" s="3206">
        <f t="shared" ref="BD118:BD137" si="994">SUM(BE118:BF118)</f>
        <v>11614.026962321806</v>
      </c>
      <c r="BE118" s="3206">
        <f t="shared" ref="BE118:BE137" si="995">SUM(AG118+AP118)</f>
        <v>11609.905858851793</v>
      </c>
      <c r="BF118" s="3206">
        <f t="shared" ref="BF118:BF137" si="996">SUM(AH118+AQ118)</f>
        <v>4.1211034700137112</v>
      </c>
      <c r="BG118" s="3193">
        <f t="shared" ref="BG118:BG123" si="997">SUM(AI118+BA118)</f>
        <v>12036.939999999999</v>
      </c>
      <c r="BH118" s="3193">
        <f t="shared" ref="BH118:BH123" si="998">SUM(AJ118+BB118)</f>
        <v>12036.939999999999</v>
      </c>
      <c r="BI118" s="3193">
        <f t="shared" ref="BI118:BI123" si="999">SUM(AK118+BC118)</f>
        <v>0</v>
      </c>
      <c r="BJ118" s="3193">
        <f t="shared" ref="BJ118:BJ123" si="1000">SUM(BG118-BD118)</f>
        <v>422.91303767819227</v>
      </c>
      <c r="BK118" s="3193">
        <f t="shared" ref="BK118:BK123" si="1001">SUM(BH118-BE118)</f>
        <v>427.03414114820589</v>
      </c>
      <c r="BL118" s="3193">
        <f t="shared" ref="BL118:BL123" si="1002">SUM(BI118-BF118)</f>
        <v>-4.1211034700137112</v>
      </c>
      <c r="BM118" s="3207">
        <f t="shared" si="967"/>
        <v>3871.3423207739356</v>
      </c>
      <c r="BN118" s="3207">
        <f t="shared" ref="BN118:BO118" si="1003">SUM(BN119:BN123)+BN125</f>
        <v>3869.9686196172643</v>
      </c>
      <c r="BO118" s="3207">
        <f t="shared" si="1003"/>
        <v>1.3737011566712369</v>
      </c>
      <c r="BP118" s="3156">
        <f t="shared" si="970"/>
        <v>0</v>
      </c>
      <c r="BQ118" s="3057">
        <f t="shared" ref="BQ118:BR118" si="1004">SUM(BQ119:BQ123)+BQ125</f>
        <v>0</v>
      </c>
      <c r="BR118" s="3057">
        <f t="shared" si="1004"/>
        <v>0</v>
      </c>
      <c r="BS118" s="3156">
        <f t="shared" si="971"/>
        <v>0</v>
      </c>
      <c r="BT118" s="3057">
        <f t="shared" ref="BT118:BU118" si="1005">SUM(BT119:BT123)+BT125</f>
        <v>0</v>
      </c>
      <c r="BU118" s="3057">
        <f t="shared" si="1005"/>
        <v>0</v>
      </c>
      <c r="BV118" s="3156">
        <f t="shared" si="972"/>
        <v>0</v>
      </c>
      <c r="BW118" s="3057">
        <f t="shared" ref="BW118:BX118" si="1006">SUM(BW119:BW123)+BW125</f>
        <v>0</v>
      </c>
      <c r="BX118" s="3057">
        <f t="shared" si="1006"/>
        <v>0</v>
      </c>
      <c r="BY118" s="3156">
        <f t="shared" si="878"/>
        <v>0</v>
      </c>
      <c r="BZ118" s="3156">
        <f t="shared" si="879"/>
        <v>0</v>
      </c>
      <c r="CA118" s="3156">
        <f t="shared" si="880"/>
        <v>0</v>
      </c>
      <c r="CB118" s="3206">
        <f>SUM(CC118:CD118)</f>
        <v>15485.369266070753</v>
      </c>
      <c r="CC118" s="3206">
        <f>SUM(вода!BR35)</f>
        <v>15479.874461452297</v>
      </c>
      <c r="CD118" s="3206">
        <f>SUM(вода!BS35)</f>
        <v>5.4948046184569357</v>
      </c>
      <c r="CE118" s="3193">
        <f t="shared" ref="CE118:CE123" si="1007">SUM(BY118+BG118)</f>
        <v>12036.939999999999</v>
      </c>
      <c r="CF118" s="3193">
        <f t="shared" ref="CF118:CF123" si="1008">SUM(BZ118+BH118)</f>
        <v>12036.939999999999</v>
      </c>
      <c r="CG118" s="3193">
        <f t="shared" ref="CG118:CG123" si="1009">SUM(CA118+BI118)</f>
        <v>0</v>
      </c>
      <c r="CH118" s="3193">
        <f t="shared" ref="CH118:CH123" si="1010">SUM(CE118-CB118)</f>
        <v>-3448.4292660707542</v>
      </c>
      <c r="CI118" s="3193">
        <f t="shared" ref="CI118:CI123" si="1011">SUM(CF118-CC118)</f>
        <v>-3442.9344614522979</v>
      </c>
      <c r="CJ118" s="3193">
        <f t="shared" ref="CJ118:CJ123" si="1012">SUM(CG118-CD118)</f>
        <v>-5.4948046184569357</v>
      </c>
      <c r="CK118" s="3259"/>
      <c r="CL118" s="3259"/>
      <c r="CM118" s="3259"/>
      <c r="CN118" s="3055"/>
    </row>
    <row r="119" spans="1:92" ht="18.75" customHeight="1" x14ac:dyDescent="0.3">
      <c r="A119" s="3071" t="s">
        <v>2</v>
      </c>
      <c r="B119" s="3208">
        <f t="shared" ref="B119" si="1013">SUM(C119:D119)</f>
        <v>883.3175</v>
      </c>
      <c r="C119" s="3208">
        <f t="shared" ref="C119" si="1014">SUM(CC119/4)</f>
        <v>883.3175</v>
      </c>
      <c r="D119" s="3208">
        <f t="shared" ref="D119" si="1015">SUM(CD119/4)</f>
        <v>0</v>
      </c>
      <c r="E119" s="3136">
        <f t="shared" si="889"/>
        <v>295.37</v>
      </c>
      <c r="F119" s="3061">
        <v>295.37</v>
      </c>
      <c r="G119" s="3061"/>
      <c r="H119" s="3136">
        <f t="shared" si="954"/>
        <v>296.29000000000002</v>
      </c>
      <c r="I119" s="3061">
        <v>296.29000000000002</v>
      </c>
      <c r="J119" s="3061"/>
      <c r="K119" s="3136">
        <f t="shared" si="955"/>
        <v>296.29000000000002</v>
      </c>
      <c r="L119" s="3061">
        <v>296.29000000000002</v>
      </c>
      <c r="M119" s="3061"/>
      <c r="N119" s="3136">
        <f t="shared" si="977"/>
        <v>887.95</v>
      </c>
      <c r="O119" s="3136">
        <f t="shared" si="978"/>
        <v>887.95</v>
      </c>
      <c r="P119" s="3136">
        <f t="shared" si="979"/>
        <v>0</v>
      </c>
      <c r="Q119" s="3208">
        <f t="shared" ref="Q119:Q125" si="1016">SUM(R119:S119)</f>
        <v>883.3175</v>
      </c>
      <c r="R119" s="3208">
        <f t="shared" ref="R119:R123" si="1017">SUM(C119)</f>
        <v>883.3175</v>
      </c>
      <c r="S119" s="3208">
        <f t="shared" ref="S119:S123" si="1018">SUM(D119)</f>
        <v>0</v>
      </c>
      <c r="T119" s="3136">
        <f t="shared" si="958"/>
        <v>296.29000000000002</v>
      </c>
      <c r="U119" s="3061">
        <v>296.29000000000002</v>
      </c>
      <c r="V119" s="3061"/>
      <c r="W119" s="3136">
        <f t="shared" si="959"/>
        <v>296.27999999999997</v>
      </c>
      <c r="X119" s="3061">
        <v>296.27999999999997</v>
      </c>
      <c r="Y119" s="3061"/>
      <c r="Z119" s="3136">
        <f t="shared" si="960"/>
        <v>296.23</v>
      </c>
      <c r="AA119" s="3061">
        <v>296.23</v>
      </c>
      <c r="AB119" s="3061"/>
      <c r="AC119" s="3136">
        <f t="shared" si="848"/>
        <v>888.8</v>
      </c>
      <c r="AD119" s="3136">
        <f t="shared" si="849"/>
        <v>888.8</v>
      </c>
      <c r="AE119" s="3136">
        <f t="shared" si="850"/>
        <v>0</v>
      </c>
      <c r="AF119" s="3209">
        <f t="shared" si="851"/>
        <v>1766.635</v>
      </c>
      <c r="AG119" s="3209">
        <f t="shared" si="852"/>
        <v>1766.635</v>
      </c>
      <c r="AH119" s="3209">
        <f t="shared" si="853"/>
        <v>0</v>
      </c>
      <c r="AI119" s="3264">
        <f t="shared" si="984"/>
        <v>1776.75</v>
      </c>
      <c r="AJ119" s="3264">
        <f t="shared" si="985"/>
        <v>1776.75</v>
      </c>
      <c r="AK119" s="3264">
        <f t="shared" si="986"/>
        <v>0</v>
      </c>
      <c r="AL119" s="3264">
        <f t="shared" si="987"/>
        <v>10.115000000000009</v>
      </c>
      <c r="AM119" s="3264">
        <f t="shared" si="988"/>
        <v>10.115000000000009</v>
      </c>
      <c r="AN119" s="3264">
        <f t="shared" si="989"/>
        <v>0</v>
      </c>
      <c r="AO119" s="3208">
        <f t="shared" ref="AO119:AO123" si="1019">SUM(AP119:AQ119)</f>
        <v>883.3175</v>
      </c>
      <c r="AP119" s="3208">
        <f t="shared" ref="AP119:AP123" si="1020">SUM(CC119-AG119)/2</f>
        <v>883.3175</v>
      </c>
      <c r="AQ119" s="3208">
        <f t="shared" ref="AQ119:AQ123" si="1021">SUM(CD119-AH119)/2</f>
        <v>0</v>
      </c>
      <c r="AR119" s="3136">
        <f t="shared" si="964"/>
        <v>296.23</v>
      </c>
      <c r="AS119" s="3061">
        <v>296.23</v>
      </c>
      <c r="AT119" s="3061"/>
      <c r="AU119" s="3136">
        <f t="shared" si="965"/>
        <v>296.23</v>
      </c>
      <c r="AV119" s="3061">
        <v>296.23</v>
      </c>
      <c r="AW119" s="3061"/>
      <c r="AX119" s="3136">
        <f t="shared" si="966"/>
        <v>301.60000000000002</v>
      </c>
      <c r="AY119" s="3061">
        <v>301.60000000000002</v>
      </c>
      <c r="AZ119" s="3061"/>
      <c r="BA119" s="3136">
        <f t="shared" si="863"/>
        <v>894.06000000000006</v>
      </c>
      <c r="BB119" s="3136">
        <f t="shared" si="864"/>
        <v>894.06000000000006</v>
      </c>
      <c r="BC119" s="3136">
        <f t="shared" si="865"/>
        <v>0</v>
      </c>
      <c r="BD119" s="3209">
        <f t="shared" si="994"/>
        <v>2649.9524999999999</v>
      </c>
      <c r="BE119" s="3209">
        <f t="shared" si="995"/>
        <v>2649.9524999999999</v>
      </c>
      <c r="BF119" s="3209">
        <f t="shared" si="996"/>
        <v>0</v>
      </c>
      <c r="BG119" s="3264">
        <f t="shared" si="997"/>
        <v>2670.81</v>
      </c>
      <c r="BH119" s="3264">
        <f t="shared" si="998"/>
        <v>2670.81</v>
      </c>
      <c r="BI119" s="3264">
        <f t="shared" si="999"/>
        <v>0</v>
      </c>
      <c r="BJ119" s="3264">
        <f t="shared" si="1000"/>
        <v>20.857500000000073</v>
      </c>
      <c r="BK119" s="3264">
        <f t="shared" si="1001"/>
        <v>20.857500000000073</v>
      </c>
      <c r="BL119" s="3264">
        <f t="shared" si="1002"/>
        <v>0</v>
      </c>
      <c r="BM119" s="3208">
        <f t="shared" si="967"/>
        <v>883.3175</v>
      </c>
      <c r="BN119" s="3208">
        <f t="shared" ref="BN119:BN123" si="1022">SUM(AP119)</f>
        <v>883.3175</v>
      </c>
      <c r="BO119" s="3208">
        <f t="shared" ref="BO119:BO123" si="1023">SUM(AQ119)</f>
        <v>0</v>
      </c>
      <c r="BP119" s="3136">
        <f t="shared" si="970"/>
        <v>0</v>
      </c>
      <c r="BQ119" s="3061"/>
      <c r="BR119" s="3061"/>
      <c r="BS119" s="3136">
        <f t="shared" si="971"/>
        <v>0</v>
      </c>
      <c r="BT119" s="3061"/>
      <c r="BU119" s="3061"/>
      <c r="BV119" s="3136">
        <f t="shared" si="972"/>
        <v>0</v>
      </c>
      <c r="BW119" s="3061"/>
      <c r="BX119" s="3061"/>
      <c r="BY119" s="3136">
        <f t="shared" si="878"/>
        <v>0</v>
      </c>
      <c r="BZ119" s="3136">
        <f t="shared" si="879"/>
        <v>0</v>
      </c>
      <c r="CA119" s="3136">
        <f t="shared" si="880"/>
        <v>0</v>
      </c>
      <c r="CB119" s="3209">
        <f t="shared" ref="CB119:CB144" si="1024">SUM(CC119:CD119)</f>
        <v>3533.27</v>
      </c>
      <c r="CC119" s="3209">
        <f>SUM(вода!BR36)</f>
        <v>3533.27</v>
      </c>
      <c r="CD119" s="3209">
        <f>SUM(вода!BS36)</f>
        <v>0</v>
      </c>
      <c r="CE119" s="3264">
        <f t="shared" si="1007"/>
        <v>2670.81</v>
      </c>
      <c r="CF119" s="3264">
        <f t="shared" si="1008"/>
        <v>2670.81</v>
      </c>
      <c r="CG119" s="3264">
        <f t="shared" si="1009"/>
        <v>0</v>
      </c>
      <c r="CH119" s="3264">
        <f t="shared" si="1010"/>
        <v>-862.46</v>
      </c>
      <c r="CI119" s="3264">
        <f t="shared" si="1011"/>
        <v>-862.46</v>
      </c>
      <c r="CJ119" s="3264">
        <f t="shared" si="1012"/>
        <v>0</v>
      </c>
      <c r="CK119" s="3259"/>
      <c r="CL119" s="3259"/>
      <c r="CM119" s="3259"/>
      <c r="CN119" s="3055"/>
    </row>
    <row r="120" spans="1:92" ht="18.75" customHeight="1" x14ac:dyDescent="0.3">
      <c r="A120" s="3071" t="s">
        <v>216</v>
      </c>
      <c r="B120" s="3208">
        <f t="shared" ref="B120:B125" si="1025">SUM(C120:D120)</f>
        <v>0</v>
      </c>
      <c r="C120" s="3208">
        <f t="shared" ref="C120:C123" si="1026">SUM(CC120/4)</f>
        <v>0</v>
      </c>
      <c r="D120" s="3208">
        <f t="shared" ref="D120:D123" si="1027">SUM(CD120/4)</f>
        <v>0</v>
      </c>
      <c r="E120" s="3136">
        <f t="shared" si="889"/>
        <v>0</v>
      </c>
      <c r="F120" s="3061"/>
      <c r="G120" s="3061"/>
      <c r="H120" s="3136">
        <f t="shared" si="954"/>
        <v>0</v>
      </c>
      <c r="I120" s="3061"/>
      <c r="J120" s="3061"/>
      <c r="K120" s="3136">
        <f t="shared" si="955"/>
        <v>0</v>
      </c>
      <c r="L120" s="3061"/>
      <c r="M120" s="3061"/>
      <c r="N120" s="3136">
        <f t="shared" si="977"/>
        <v>0</v>
      </c>
      <c r="O120" s="3136">
        <f t="shared" si="978"/>
        <v>0</v>
      </c>
      <c r="P120" s="3136">
        <f t="shared" si="979"/>
        <v>0</v>
      </c>
      <c r="Q120" s="3208">
        <f t="shared" si="1016"/>
        <v>0</v>
      </c>
      <c r="R120" s="3208">
        <f t="shared" si="1017"/>
        <v>0</v>
      </c>
      <c r="S120" s="3208">
        <f t="shared" si="1018"/>
        <v>0</v>
      </c>
      <c r="T120" s="3136">
        <f t="shared" si="958"/>
        <v>0</v>
      </c>
      <c r="U120" s="3061"/>
      <c r="V120" s="3061"/>
      <c r="W120" s="3136">
        <f t="shared" si="959"/>
        <v>0</v>
      </c>
      <c r="X120" s="3061"/>
      <c r="Y120" s="3061"/>
      <c r="Z120" s="3136">
        <f t="shared" si="960"/>
        <v>0</v>
      </c>
      <c r="AA120" s="3061"/>
      <c r="AB120" s="3061"/>
      <c r="AC120" s="3136">
        <f t="shared" si="848"/>
        <v>0</v>
      </c>
      <c r="AD120" s="3136">
        <f t="shared" si="849"/>
        <v>0</v>
      </c>
      <c r="AE120" s="3136">
        <f t="shared" si="850"/>
        <v>0</v>
      </c>
      <c r="AF120" s="3209">
        <f t="shared" si="851"/>
        <v>0</v>
      </c>
      <c r="AG120" s="3209">
        <f t="shared" si="852"/>
        <v>0</v>
      </c>
      <c r="AH120" s="3209">
        <f t="shared" si="853"/>
        <v>0</v>
      </c>
      <c r="AI120" s="3264">
        <f t="shared" si="984"/>
        <v>0</v>
      </c>
      <c r="AJ120" s="3264">
        <f t="shared" si="985"/>
        <v>0</v>
      </c>
      <c r="AK120" s="3264">
        <f t="shared" si="986"/>
        <v>0</v>
      </c>
      <c r="AL120" s="3264">
        <f t="shared" si="987"/>
        <v>0</v>
      </c>
      <c r="AM120" s="3264">
        <f t="shared" si="988"/>
        <v>0</v>
      </c>
      <c r="AN120" s="3264">
        <f t="shared" si="989"/>
        <v>0</v>
      </c>
      <c r="AO120" s="3208">
        <f t="shared" si="1019"/>
        <v>0</v>
      </c>
      <c r="AP120" s="3208">
        <f t="shared" si="1020"/>
        <v>0</v>
      </c>
      <c r="AQ120" s="3208">
        <f t="shared" si="1021"/>
        <v>0</v>
      </c>
      <c r="AR120" s="3136">
        <f t="shared" si="964"/>
        <v>0</v>
      </c>
      <c r="AS120" s="3061"/>
      <c r="AT120" s="3061"/>
      <c r="AU120" s="3136">
        <f t="shared" si="965"/>
        <v>0</v>
      </c>
      <c r="AV120" s="3061"/>
      <c r="AW120" s="3061"/>
      <c r="AX120" s="3136">
        <f t="shared" si="966"/>
        <v>0</v>
      </c>
      <c r="AY120" s="3061"/>
      <c r="AZ120" s="3061"/>
      <c r="BA120" s="3136">
        <f t="shared" si="863"/>
        <v>0</v>
      </c>
      <c r="BB120" s="3136">
        <f t="shared" si="864"/>
        <v>0</v>
      </c>
      <c r="BC120" s="3136">
        <f t="shared" si="865"/>
        <v>0</v>
      </c>
      <c r="BD120" s="3209">
        <f t="shared" si="994"/>
        <v>0</v>
      </c>
      <c r="BE120" s="3209">
        <f t="shared" si="995"/>
        <v>0</v>
      </c>
      <c r="BF120" s="3209">
        <f t="shared" si="996"/>
        <v>0</v>
      </c>
      <c r="BG120" s="3264">
        <f t="shared" si="997"/>
        <v>0</v>
      </c>
      <c r="BH120" s="3264">
        <f t="shared" si="998"/>
        <v>0</v>
      </c>
      <c r="BI120" s="3264">
        <f t="shared" si="999"/>
        <v>0</v>
      </c>
      <c r="BJ120" s="3264">
        <f t="shared" si="1000"/>
        <v>0</v>
      </c>
      <c r="BK120" s="3264">
        <f t="shared" si="1001"/>
        <v>0</v>
      </c>
      <c r="BL120" s="3264">
        <f t="shared" si="1002"/>
        <v>0</v>
      </c>
      <c r="BM120" s="3208">
        <f t="shared" si="967"/>
        <v>0</v>
      </c>
      <c r="BN120" s="3208">
        <f t="shared" si="1022"/>
        <v>0</v>
      </c>
      <c r="BO120" s="3208">
        <f t="shared" si="1023"/>
        <v>0</v>
      </c>
      <c r="BP120" s="3136">
        <f t="shared" si="970"/>
        <v>0</v>
      </c>
      <c r="BQ120" s="3061"/>
      <c r="BR120" s="3061"/>
      <c r="BS120" s="3136">
        <f t="shared" si="971"/>
        <v>0</v>
      </c>
      <c r="BT120" s="3061"/>
      <c r="BU120" s="3061"/>
      <c r="BV120" s="3136">
        <f t="shared" si="972"/>
        <v>0</v>
      </c>
      <c r="BW120" s="3061"/>
      <c r="BX120" s="3061"/>
      <c r="BY120" s="3136">
        <f t="shared" si="878"/>
        <v>0</v>
      </c>
      <c r="BZ120" s="3136">
        <f t="shared" si="879"/>
        <v>0</v>
      </c>
      <c r="CA120" s="3136">
        <f t="shared" si="880"/>
        <v>0</v>
      </c>
      <c r="CB120" s="3209">
        <f t="shared" si="1024"/>
        <v>0</v>
      </c>
      <c r="CC120" s="3209">
        <f>SUM(вода!BR37)</f>
        <v>0</v>
      </c>
      <c r="CD120" s="3209">
        <f>SUM(вода!BS37)</f>
        <v>0</v>
      </c>
      <c r="CE120" s="3264">
        <f t="shared" si="1007"/>
        <v>0</v>
      </c>
      <c r="CF120" s="3264">
        <f t="shared" si="1008"/>
        <v>0</v>
      </c>
      <c r="CG120" s="3264">
        <f t="shared" si="1009"/>
        <v>0</v>
      </c>
      <c r="CH120" s="3264">
        <f t="shared" si="1010"/>
        <v>0</v>
      </c>
      <c r="CI120" s="3264">
        <f t="shared" si="1011"/>
        <v>0</v>
      </c>
      <c r="CJ120" s="3264">
        <f t="shared" si="1012"/>
        <v>0</v>
      </c>
      <c r="CK120" s="3259"/>
      <c r="CL120" s="3259"/>
      <c r="CM120" s="3259"/>
      <c r="CN120" s="3055"/>
    </row>
    <row r="121" spans="1:92" ht="18.75" customHeight="1" x14ac:dyDescent="0.3">
      <c r="A121" s="3071" t="s">
        <v>3</v>
      </c>
      <c r="B121" s="3208">
        <f t="shared" si="1025"/>
        <v>145.63152000000002</v>
      </c>
      <c r="C121" s="3208">
        <f t="shared" si="1026"/>
        <v>145.63152000000002</v>
      </c>
      <c r="D121" s="3208">
        <f t="shared" si="1027"/>
        <v>0</v>
      </c>
      <c r="E121" s="3136">
        <f t="shared" si="889"/>
        <v>212.52</v>
      </c>
      <c r="F121" s="3061">
        <f>166.75+45.77</f>
        <v>212.52</v>
      </c>
      <c r="G121" s="3061"/>
      <c r="H121" s="3136">
        <f t="shared" si="954"/>
        <v>43.3</v>
      </c>
      <c r="I121" s="3061">
        <f>21.42+21.88</f>
        <v>43.3</v>
      </c>
      <c r="J121" s="3061"/>
      <c r="K121" s="3136">
        <f t="shared" si="955"/>
        <v>93.399999999999991</v>
      </c>
      <c r="L121" s="3061">
        <f>12.27+81.13</f>
        <v>93.399999999999991</v>
      </c>
      <c r="M121" s="3061"/>
      <c r="N121" s="3136">
        <f t="shared" si="977"/>
        <v>349.21999999999997</v>
      </c>
      <c r="O121" s="3136">
        <f t="shared" si="978"/>
        <v>349.21999999999997</v>
      </c>
      <c r="P121" s="3136">
        <f t="shared" si="979"/>
        <v>0</v>
      </c>
      <c r="Q121" s="3208">
        <f t="shared" si="1016"/>
        <v>145.63152000000002</v>
      </c>
      <c r="R121" s="3208">
        <f t="shared" si="1017"/>
        <v>145.63152000000002</v>
      </c>
      <c r="S121" s="3208">
        <f t="shared" si="1018"/>
        <v>0</v>
      </c>
      <c r="T121" s="3136">
        <f t="shared" si="958"/>
        <v>154.61000000000001</v>
      </c>
      <c r="U121" s="3061">
        <f>87.72+66.89</f>
        <v>154.61000000000001</v>
      </c>
      <c r="V121" s="3061"/>
      <c r="W121" s="3136">
        <f t="shared" si="959"/>
        <v>67.319999999999993</v>
      </c>
      <c r="X121" s="3061">
        <f>1.82+65.5</f>
        <v>67.319999999999993</v>
      </c>
      <c r="Y121" s="3061"/>
      <c r="Z121" s="3136">
        <f t="shared" si="960"/>
        <v>148.01999999999998</v>
      </c>
      <c r="AA121" s="3061">
        <f>104.97+43.05</f>
        <v>148.01999999999998</v>
      </c>
      <c r="AB121" s="3061"/>
      <c r="AC121" s="3136">
        <f t="shared" si="848"/>
        <v>369.95</v>
      </c>
      <c r="AD121" s="3136">
        <f t="shared" si="849"/>
        <v>369.95</v>
      </c>
      <c r="AE121" s="3136">
        <f t="shared" si="850"/>
        <v>0</v>
      </c>
      <c r="AF121" s="3209">
        <f t="shared" si="851"/>
        <v>291.26304000000005</v>
      </c>
      <c r="AG121" s="3209">
        <f t="shared" si="852"/>
        <v>291.26304000000005</v>
      </c>
      <c r="AH121" s="3209">
        <f t="shared" si="853"/>
        <v>0</v>
      </c>
      <c r="AI121" s="3264">
        <f t="shared" si="984"/>
        <v>719.17</v>
      </c>
      <c r="AJ121" s="3264">
        <f t="shared" si="985"/>
        <v>719.17</v>
      </c>
      <c r="AK121" s="3264">
        <f t="shared" si="986"/>
        <v>0</v>
      </c>
      <c r="AL121" s="3264">
        <f t="shared" si="987"/>
        <v>427.90695999999991</v>
      </c>
      <c r="AM121" s="3264">
        <f t="shared" si="988"/>
        <v>427.90695999999991</v>
      </c>
      <c r="AN121" s="3264">
        <f t="shared" si="989"/>
        <v>0</v>
      </c>
      <c r="AO121" s="3208">
        <f t="shared" si="1019"/>
        <v>145.63152000000002</v>
      </c>
      <c r="AP121" s="3208">
        <f t="shared" si="1020"/>
        <v>145.63152000000002</v>
      </c>
      <c r="AQ121" s="3208">
        <f t="shared" si="1021"/>
        <v>0</v>
      </c>
      <c r="AR121" s="3136">
        <f t="shared" si="964"/>
        <v>47.34</v>
      </c>
      <c r="AS121" s="3061">
        <f>17.82+29.52</f>
        <v>47.34</v>
      </c>
      <c r="AT121" s="3061"/>
      <c r="AU121" s="3136">
        <f t="shared" si="965"/>
        <v>136.82</v>
      </c>
      <c r="AV121" s="3061">
        <f>30.24+106.58</f>
        <v>136.82</v>
      </c>
      <c r="AW121" s="3061"/>
      <c r="AX121" s="3136">
        <f t="shared" si="966"/>
        <v>44.92</v>
      </c>
      <c r="AY121" s="3061">
        <f>43.6+1.32</f>
        <v>44.92</v>
      </c>
      <c r="AZ121" s="3061"/>
      <c r="BA121" s="3136">
        <f t="shared" si="863"/>
        <v>229.07999999999998</v>
      </c>
      <c r="BB121" s="3136">
        <f t="shared" si="864"/>
        <v>229.07999999999998</v>
      </c>
      <c r="BC121" s="3136">
        <f t="shared" si="865"/>
        <v>0</v>
      </c>
      <c r="BD121" s="3209">
        <f t="shared" si="994"/>
        <v>436.89456000000007</v>
      </c>
      <c r="BE121" s="3209">
        <f t="shared" si="995"/>
        <v>436.89456000000007</v>
      </c>
      <c r="BF121" s="3209">
        <f t="shared" si="996"/>
        <v>0</v>
      </c>
      <c r="BG121" s="3264">
        <f t="shared" si="997"/>
        <v>948.25</v>
      </c>
      <c r="BH121" s="3264">
        <f t="shared" si="998"/>
        <v>948.25</v>
      </c>
      <c r="BI121" s="3264">
        <f t="shared" si="999"/>
        <v>0</v>
      </c>
      <c r="BJ121" s="3264">
        <f t="shared" si="1000"/>
        <v>511.35543999999993</v>
      </c>
      <c r="BK121" s="3264">
        <f t="shared" si="1001"/>
        <v>511.35543999999993</v>
      </c>
      <c r="BL121" s="3264">
        <f t="shared" si="1002"/>
        <v>0</v>
      </c>
      <c r="BM121" s="3208">
        <f t="shared" si="967"/>
        <v>145.63152000000002</v>
      </c>
      <c r="BN121" s="3208">
        <f t="shared" si="1022"/>
        <v>145.63152000000002</v>
      </c>
      <c r="BO121" s="3208">
        <f t="shared" si="1023"/>
        <v>0</v>
      </c>
      <c r="BP121" s="3136">
        <f t="shared" si="970"/>
        <v>0</v>
      </c>
      <c r="BQ121" s="3061"/>
      <c r="BR121" s="3061"/>
      <c r="BS121" s="3136">
        <f t="shared" si="971"/>
        <v>0</v>
      </c>
      <c r="BT121" s="3061"/>
      <c r="BU121" s="3061"/>
      <c r="BV121" s="3136">
        <f t="shared" si="972"/>
        <v>0</v>
      </c>
      <c r="BW121" s="3061"/>
      <c r="BX121" s="3061"/>
      <c r="BY121" s="3136">
        <f t="shared" si="878"/>
        <v>0</v>
      </c>
      <c r="BZ121" s="3136">
        <f t="shared" si="879"/>
        <v>0</v>
      </c>
      <c r="CA121" s="3136">
        <f t="shared" si="880"/>
        <v>0</v>
      </c>
      <c r="CB121" s="3209">
        <f t="shared" si="1024"/>
        <v>582.52608000000009</v>
      </c>
      <c r="CC121" s="3209">
        <f>SUM(вода!BR38)</f>
        <v>582.52608000000009</v>
      </c>
      <c r="CD121" s="3209">
        <f>SUM(вода!BS38)</f>
        <v>0</v>
      </c>
      <c r="CE121" s="3264">
        <f t="shared" si="1007"/>
        <v>948.25</v>
      </c>
      <c r="CF121" s="3264">
        <f t="shared" si="1008"/>
        <v>948.25</v>
      </c>
      <c r="CG121" s="3264">
        <f t="shared" si="1009"/>
        <v>0</v>
      </c>
      <c r="CH121" s="3264">
        <f t="shared" si="1010"/>
        <v>365.72391999999991</v>
      </c>
      <c r="CI121" s="3264">
        <f t="shared" si="1011"/>
        <v>365.72391999999991</v>
      </c>
      <c r="CJ121" s="3264">
        <f t="shared" si="1012"/>
        <v>0</v>
      </c>
      <c r="CK121" s="3259"/>
      <c r="CL121" s="3259"/>
      <c r="CM121" s="3259"/>
      <c r="CN121" s="3055"/>
    </row>
    <row r="122" spans="1:92" ht="18.75" customHeight="1" x14ac:dyDescent="0.3">
      <c r="A122" s="3071" t="s">
        <v>4</v>
      </c>
      <c r="B122" s="3208">
        <f t="shared" si="1025"/>
        <v>1664.6351039999995</v>
      </c>
      <c r="C122" s="3208">
        <f t="shared" si="1026"/>
        <v>1663.8306019744784</v>
      </c>
      <c r="D122" s="3208">
        <f t="shared" si="1027"/>
        <v>0.80450202552113792</v>
      </c>
      <c r="E122" s="3136">
        <f t="shared" si="889"/>
        <v>487.72</v>
      </c>
      <c r="F122" s="3061">
        <v>487.72</v>
      </c>
      <c r="G122" s="3061"/>
      <c r="H122" s="3136">
        <f t="shared" si="954"/>
        <v>477.82</v>
      </c>
      <c r="I122" s="3061">
        <v>477.82</v>
      </c>
      <c r="J122" s="3061"/>
      <c r="K122" s="3136">
        <f t="shared" si="955"/>
        <v>501.89</v>
      </c>
      <c r="L122" s="3061">
        <v>501.89</v>
      </c>
      <c r="M122" s="3061"/>
      <c r="N122" s="3136">
        <f t="shared" si="977"/>
        <v>1467.4299999999998</v>
      </c>
      <c r="O122" s="3136">
        <f t="shared" si="978"/>
        <v>1467.4299999999998</v>
      </c>
      <c r="P122" s="3136">
        <f t="shared" si="979"/>
        <v>0</v>
      </c>
      <c r="Q122" s="3208">
        <f t="shared" si="1016"/>
        <v>1664.6351039999995</v>
      </c>
      <c r="R122" s="3208">
        <f t="shared" si="1017"/>
        <v>1663.8306019744784</v>
      </c>
      <c r="S122" s="3208">
        <f t="shared" si="1018"/>
        <v>0.80450202552113792</v>
      </c>
      <c r="T122" s="3136">
        <f t="shared" si="958"/>
        <v>529.58000000000004</v>
      </c>
      <c r="U122" s="3061">
        <v>529.58000000000004</v>
      </c>
      <c r="V122" s="3061"/>
      <c r="W122" s="3136">
        <f t="shared" si="959"/>
        <v>589.19000000000005</v>
      </c>
      <c r="X122" s="3061">
        <v>589.19000000000005</v>
      </c>
      <c r="Y122" s="3061"/>
      <c r="Z122" s="3136">
        <f t="shared" si="960"/>
        <v>446.61</v>
      </c>
      <c r="AA122" s="3061">
        <v>446.61</v>
      </c>
      <c r="AB122" s="3061"/>
      <c r="AC122" s="3136">
        <f t="shared" si="848"/>
        <v>1565.38</v>
      </c>
      <c r="AD122" s="3136">
        <f t="shared" si="849"/>
        <v>1565.38</v>
      </c>
      <c r="AE122" s="3136">
        <f t="shared" si="850"/>
        <v>0</v>
      </c>
      <c r="AF122" s="3209">
        <f t="shared" si="851"/>
        <v>3329.270207999999</v>
      </c>
      <c r="AG122" s="3209">
        <f t="shared" si="852"/>
        <v>3327.6612039489569</v>
      </c>
      <c r="AH122" s="3209">
        <f t="shared" si="853"/>
        <v>1.6090040510422758</v>
      </c>
      <c r="AI122" s="3264">
        <f t="shared" si="984"/>
        <v>3032.81</v>
      </c>
      <c r="AJ122" s="3264">
        <f t="shared" si="985"/>
        <v>3032.81</v>
      </c>
      <c r="AK122" s="3264">
        <f t="shared" si="986"/>
        <v>0</v>
      </c>
      <c r="AL122" s="3264">
        <f t="shared" si="987"/>
        <v>-296.46020799999906</v>
      </c>
      <c r="AM122" s="3264">
        <f t="shared" si="988"/>
        <v>-294.85120394895694</v>
      </c>
      <c r="AN122" s="3264">
        <f t="shared" si="989"/>
        <v>-1.6090040510422758</v>
      </c>
      <c r="AO122" s="3208">
        <f t="shared" si="1019"/>
        <v>1664.6351039999995</v>
      </c>
      <c r="AP122" s="3208">
        <f t="shared" si="1020"/>
        <v>1663.8306019744784</v>
      </c>
      <c r="AQ122" s="3208">
        <f t="shared" si="1021"/>
        <v>0.80450202552113792</v>
      </c>
      <c r="AR122" s="3136">
        <f t="shared" si="964"/>
        <v>604.29</v>
      </c>
      <c r="AS122" s="3061">
        <v>604.29</v>
      </c>
      <c r="AT122" s="3061"/>
      <c r="AU122" s="3136">
        <f t="shared" si="965"/>
        <v>547.39</v>
      </c>
      <c r="AV122" s="3061">
        <v>547.39</v>
      </c>
      <c r="AW122" s="3061"/>
      <c r="AX122" s="3136">
        <f t="shared" si="966"/>
        <v>484.27</v>
      </c>
      <c r="AY122" s="3061">
        <v>484.27</v>
      </c>
      <c r="AZ122" s="3061"/>
      <c r="BA122" s="3136">
        <f t="shared" si="863"/>
        <v>1635.9499999999998</v>
      </c>
      <c r="BB122" s="3136">
        <f t="shared" si="864"/>
        <v>1635.9499999999998</v>
      </c>
      <c r="BC122" s="3136">
        <f t="shared" si="865"/>
        <v>0</v>
      </c>
      <c r="BD122" s="3209">
        <f t="shared" si="994"/>
        <v>4993.905311999999</v>
      </c>
      <c r="BE122" s="3209">
        <f t="shared" si="995"/>
        <v>4991.4918059234351</v>
      </c>
      <c r="BF122" s="3209">
        <f t="shared" si="996"/>
        <v>2.4135060765634138</v>
      </c>
      <c r="BG122" s="3264">
        <f t="shared" si="997"/>
        <v>4668.76</v>
      </c>
      <c r="BH122" s="3264">
        <f t="shared" si="998"/>
        <v>4668.76</v>
      </c>
      <c r="BI122" s="3264">
        <f t="shared" si="999"/>
        <v>0</v>
      </c>
      <c r="BJ122" s="3264">
        <f t="shared" si="1000"/>
        <v>-325.14531199999874</v>
      </c>
      <c r="BK122" s="3264">
        <f t="shared" si="1001"/>
        <v>-322.73180592343488</v>
      </c>
      <c r="BL122" s="3264">
        <f t="shared" si="1002"/>
        <v>-2.4135060765634138</v>
      </c>
      <c r="BM122" s="3208">
        <f t="shared" si="967"/>
        <v>1664.6351039999995</v>
      </c>
      <c r="BN122" s="3208">
        <f t="shared" si="1022"/>
        <v>1663.8306019744784</v>
      </c>
      <c r="BO122" s="3208">
        <f t="shared" si="1023"/>
        <v>0.80450202552113792</v>
      </c>
      <c r="BP122" s="3136">
        <f t="shared" si="970"/>
        <v>0</v>
      </c>
      <c r="BQ122" s="3061"/>
      <c r="BR122" s="3061"/>
      <c r="BS122" s="3136">
        <f t="shared" si="971"/>
        <v>0</v>
      </c>
      <c r="BT122" s="3061"/>
      <c r="BU122" s="3061"/>
      <c r="BV122" s="3136">
        <f t="shared" si="972"/>
        <v>0</v>
      </c>
      <c r="BW122" s="3061"/>
      <c r="BX122" s="3061"/>
      <c r="BY122" s="3136">
        <f t="shared" si="878"/>
        <v>0</v>
      </c>
      <c r="BZ122" s="3136">
        <f t="shared" si="879"/>
        <v>0</v>
      </c>
      <c r="CA122" s="3136">
        <f t="shared" si="880"/>
        <v>0</v>
      </c>
      <c r="CB122" s="3209">
        <f t="shared" si="1024"/>
        <v>6658.540415999998</v>
      </c>
      <c r="CC122" s="3209">
        <f>SUM(вода!BR39)</f>
        <v>6655.3224078979138</v>
      </c>
      <c r="CD122" s="3209">
        <f>SUM(вода!BS39)</f>
        <v>3.2180081020845517</v>
      </c>
      <c r="CE122" s="3264">
        <f t="shared" si="1007"/>
        <v>4668.76</v>
      </c>
      <c r="CF122" s="3264">
        <f t="shared" si="1008"/>
        <v>4668.76</v>
      </c>
      <c r="CG122" s="3264">
        <f t="shared" si="1009"/>
        <v>0</v>
      </c>
      <c r="CH122" s="3264">
        <f t="shared" si="1010"/>
        <v>-1989.7804159999978</v>
      </c>
      <c r="CI122" s="3264">
        <f t="shared" si="1011"/>
        <v>-1986.5624078979135</v>
      </c>
      <c r="CJ122" s="3264">
        <f t="shared" si="1012"/>
        <v>-3.2180081020845517</v>
      </c>
      <c r="CK122" s="3259"/>
      <c r="CL122" s="3259"/>
      <c r="CM122" s="3259"/>
      <c r="CN122" s="3055"/>
    </row>
    <row r="123" spans="1:92" ht="18.75" customHeight="1" x14ac:dyDescent="0.3">
      <c r="A123" s="3071" t="s">
        <v>5</v>
      </c>
      <c r="B123" s="3208">
        <f t="shared" si="1025"/>
        <v>501.05494677393568</v>
      </c>
      <c r="C123" s="3208">
        <f t="shared" si="1026"/>
        <v>500.8127917703506</v>
      </c>
      <c r="D123" s="3208">
        <f t="shared" si="1027"/>
        <v>0.24215500358510844</v>
      </c>
      <c r="E123" s="3136">
        <f t="shared" si="889"/>
        <v>149.51</v>
      </c>
      <c r="F123" s="3061">
        <v>149.51</v>
      </c>
      <c r="G123" s="3061"/>
      <c r="H123" s="3136">
        <f t="shared" si="954"/>
        <v>147.66999999999999</v>
      </c>
      <c r="I123" s="3061">
        <v>147.66999999999999</v>
      </c>
      <c r="J123" s="3061"/>
      <c r="K123" s="3136">
        <f t="shared" si="955"/>
        <v>154.28</v>
      </c>
      <c r="L123" s="3061">
        <v>154.28</v>
      </c>
      <c r="M123" s="3061"/>
      <c r="N123" s="3136">
        <f t="shared" si="977"/>
        <v>451.45999999999992</v>
      </c>
      <c r="O123" s="3136">
        <f t="shared" si="978"/>
        <v>451.45999999999992</v>
      </c>
      <c r="P123" s="3136">
        <f t="shared" si="979"/>
        <v>0</v>
      </c>
      <c r="Q123" s="3208">
        <f t="shared" si="1016"/>
        <v>501.05494677393568</v>
      </c>
      <c r="R123" s="3208">
        <f t="shared" si="1017"/>
        <v>500.8127917703506</v>
      </c>
      <c r="S123" s="3208">
        <f t="shared" si="1018"/>
        <v>0.24215500358510844</v>
      </c>
      <c r="T123" s="3136">
        <f t="shared" si="958"/>
        <v>161.30000000000001</v>
      </c>
      <c r="U123" s="3061">
        <v>161.30000000000001</v>
      </c>
      <c r="V123" s="3061"/>
      <c r="W123" s="3136">
        <f t="shared" si="959"/>
        <v>183.17</v>
      </c>
      <c r="X123" s="3061">
        <v>183.17</v>
      </c>
      <c r="Y123" s="3061"/>
      <c r="Z123" s="3136">
        <f t="shared" si="960"/>
        <v>137.47999999999999</v>
      </c>
      <c r="AA123" s="3061">
        <v>137.47999999999999</v>
      </c>
      <c r="AB123" s="3061"/>
      <c r="AC123" s="3136">
        <f t="shared" si="848"/>
        <v>481.95000000000005</v>
      </c>
      <c r="AD123" s="3136">
        <f t="shared" si="849"/>
        <v>481.95000000000005</v>
      </c>
      <c r="AE123" s="3136">
        <f t="shared" si="850"/>
        <v>0</v>
      </c>
      <c r="AF123" s="3209">
        <f t="shared" si="851"/>
        <v>1002.1098935478714</v>
      </c>
      <c r="AG123" s="3209">
        <f t="shared" si="852"/>
        <v>1001.6255835407012</v>
      </c>
      <c r="AH123" s="3209">
        <f t="shared" si="853"/>
        <v>0.48431000717021688</v>
      </c>
      <c r="AI123" s="3264">
        <f t="shared" si="984"/>
        <v>933.41</v>
      </c>
      <c r="AJ123" s="3264">
        <f t="shared" si="985"/>
        <v>933.41</v>
      </c>
      <c r="AK123" s="3264">
        <f t="shared" si="986"/>
        <v>0</v>
      </c>
      <c r="AL123" s="3264">
        <f t="shared" si="987"/>
        <v>-68.699893547871397</v>
      </c>
      <c r="AM123" s="3264">
        <f t="shared" si="988"/>
        <v>-68.215583540701232</v>
      </c>
      <c r="AN123" s="3264">
        <f t="shared" si="989"/>
        <v>-0.48431000717021688</v>
      </c>
      <c r="AO123" s="3208">
        <f t="shared" si="1019"/>
        <v>501.05494677393568</v>
      </c>
      <c r="AP123" s="3208">
        <f t="shared" si="1020"/>
        <v>500.8127917703506</v>
      </c>
      <c r="AQ123" s="3208">
        <f t="shared" si="1021"/>
        <v>0.24215500358510844</v>
      </c>
      <c r="AR123" s="3136">
        <f t="shared" si="964"/>
        <v>185.13</v>
      </c>
      <c r="AS123" s="3061">
        <v>185.13</v>
      </c>
      <c r="AT123" s="3061"/>
      <c r="AU123" s="3136">
        <f t="shared" si="965"/>
        <v>168.07</v>
      </c>
      <c r="AV123" s="3061">
        <v>168.07</v>
      </c>
      <c r="AW123" s="3061"/>
      <c r="AX123" s="3136">
        <f t="shared" si="966"/>
        <v>150.52000000000001</v>
      </c>
      <c r="AY123" s="3061">
        <v>150.52000000000001</v>
      </c>
      <c r="AZ123" s="3061"/>
      <c r="BA123" s="3136">
        <f t="shared" si="863"/>
        <v>503.72</v>
      </c>
      <c r="BB123" s="3136">
        <f t="shared" si="864"/>
        <v>503.72</v>
      </c>
      <c r="BC123" s="3136">
        <f t="shared" si="865"/>
        <v>0</v>
      </c>
      <c r="BD123" s="3209">
        <f t="shared" si="994"/>
        <v>1503.1648403218073</v>
      </c>
      <c r="BE123" s="3209">
        <f t="shared" si="995"/>
        <v>1502.4383753110519</v>
      </c>
      <c r="BF123" s="3209">
        <f t="shared" si="996"/>
        <v>0.72646501075532532</v>
      </c>
      <c r="BG123" s="3264">
        <f t="shared" si="997"/>
        <v>1437.13</v>
      </c>
      <c r="BH123" s="3264">
        <f t="shared" si="998"/>
        <v>1437.13</v>
      </c>
      <c r="BI123" s="3264">
        <f t="shared" si="999"/>
        <v>0</v>
      </c>
      <c r="BJ123" s="3264">
        <f t="shared" si="1000"/>
        <v>-66.034840321807224</v>
      </c>
      <c r="BK123" s="3264">
        <f t="shared" si="1001"/>
        <v>-65.308375311051805</v>
      </c>
      <c r="BL123" s="3264">
        <f t="shared" si="1002"/>
        <v>-0.72646501075532532</v>
      </c>
      <c r="BM123" s="3208">
        <f t="shared" si="967"/>
        <v>501.05494677393568</v>
      </c>
      <c r="BN123" s="3208">
        <f t="shared" si="1022"/>
        <v>500.8127917703506</v>
      </c>
      <c r="BO123" s="3208">
        <f t="shared" si="1023"/>
        <v>0.24215500358510844</v>
      </c>
      <c r="BP123" s="3136">
        <f t="shared" si="970"/>
        <v>0</v>
      </c>
      <c r="BQ123" s="3061"/>
      <c r="BR123" s="3061"/>
      <c r="BS123" s="3136">
        <f t="shared" si="971"/>
        <v>0</v>
      </c>
      <c r="BT123" s="3061"/>
      <c r="BU123" s="3061"/>
      <c r="BV123" s="3136">
        <f t="shared" si="972"/>
        <v>0</v>
      </c>
      <c r="BW123" s="3061"/>
      <c r="BX123" s="3061"/>
      <c r="BY123" s="3136">
        <f t="shared" si="878"/>
        <v>0</v>
      </c>
      <c r="BZ123" s="3136">
        <f t="shared" si="879"/>
        <v>0</v>
      </c>
      <c r="CA123" s="3136">
        <f t="shared" si="880"/>
        <v>0</v>
      </c>
      <c r="CB123" s="3209">
        <f t="shared" si="1024"/>
        <v>2004.2197870957427</v>
      </c>
      <c r="CC123" s="3209">
        <f>SUM(вода!BR40)</f>
        <v>2003.2511670814024</v>
      </c>
      <c r="CD123" s="3209">
        <f>SUM(вода!BS40)</f>
        <v>0.96862001434043377</v>
      </c>
      <c r="CE123" s="3264">
        <f t="shared" si="1007"/>
        <v>1437.13</v>
      </c>
      <c r="CF123" s="3264">
        <f t="shared" si="1008"/>
        <v>1437.13</v>
      </c>
      <c r="CG123" s="3264">
        <f t="shared" si="1009"/>
        <v>0</v>
      </c>
      <c r="CH123" s="3264">
        <f t="shared" si="1010"/>
        <v>-567.08978709574262</v>
      </c>
      <c r="CI123" s="3264">
        <f t="shared" si="1011"/>
        <v>-566.12116708140229</v>
      </c>
      <c r="CJ123" s="3264">
        <f t="shared" si="1012"/>
        <v>-0.96862001434043377</v>
      </c>
      <c r="CK123" s="3259"/>
      <c r="CL123" s="3259"/>
      <c r="CM123" s="3259"/>
      <c r="CN123" s="3055"/>
    </row>
    <row r="124" spans="1:92" ht="18.75" customHeight="1" x14ac:dyDescent="0.2">
      <c r="A124" s="3073" t="str">
        <f>A56</f>
        <v>то же в %</v>
      </c>
      <c r="B124" s="3064">
        <f t="shared" ref="B124:D124" si="1028">SUM(B123/B122)</f>
        <v>0.30099986812120949</v>
      </c>
      <c r="C124" s="3064">
        <f t="shared" si="1028"/>
        <v>0.30099986812120949</v>
      </c>
      <c r="D124" s="3064">
        <f t="shared" si="1028"/>
        <v>0.30099986812120949</v>
      </c>
      <c r="E124" s="3064">
        <f t="shared" ref="E124:P124" si="1029">SUM(E123/E122)</f>
        <v>0.30654883949807266</v>
      </c>
      <c r="F124" s="3064">
        <f t="shared" si="1029"/>
        <v>0.30654883949807266</v>
      </c>
      <c r="G124" s="3064" t="e">
        <f t="shared" si="1029"/>
        <v>#DIV/0!</v>
      </c>
      <c r="H124" s="3064">
        <f t="shared" ref="H124:M124" si="1030">SUM(H123/H122)</f>
        <v>0.30904943284081871</v>
      </c>
      <c r="I124" s="3064">
        <f t="shared" si="1030"/>
        <v>0.30904943284081871</v>
      </c>
      <c r="J124" s="3064" t="e">
        <f t="shared" si="1030"/>
        <v>#DIV/0!</v>
      </c>
      <c r="K124" s="3064">
        <f t="shared" si="1030"/>
        <v>0.3073980354260894</v>
      </c>
      <c r="L124" s="3064">
        <f t="shared" si="1030"/>
        <v>0.3073980354260894</v>
      </c>
      <c r="M124" s="3064" t="e">
        <f t="shared" si="1030"/>
        <v>#DIV/0!</v>
      </c>
      <c r="N124" s="3064">
        <f t="shared" si="1029"/>
        <v>0.30765351669244867</v>
      </c>
      <c r="O124" s="3064">
        <f t="shared" si="1029"/>
        <v>0.30765351669244867</v>
      </c>
      <c r="P124" s="3064" t="e">
        <f t="shared" si="1029"/>
        <v>#DIV/0!</v>
      </c>
      <c r="Q124" s="3064">
        <f t="shared" ref="Q124:AE124" si="1031">SUM(Q123/Q122)</f>
        <v>0.30099986812120949</v>
      </c>
      <c r="R124" s="3064">
        <f t="shared" si="1031"/>
        <v>0.30099986812120949</v>
      </c>
      <c r="S124" s="3064">
        <f t="shared" si="1031"/>
        <v>0.30099986812120949</v>
      </c>
      <c r="T124" s="3064">
        <f t="shared" si="1031"/>
        <v>0.3045809887080328</v>
      </c>
      <c r="U124" s="3064">
        <f t="shared" si="1031"/>
        <v>0.3045809887080328</v>
      </c>
      <c r="V124" s="3064" t="e">
        <f t="shared" si="1031"/>
        <v>#DIV/0!</v>
      </c>
      <c r="W124" s="3064">
        <f t="shared" si="1031"/>
        <v>0.3108844345627047</v>
      </c>
      <c r="X124" s="3064">
        <f t="shared" si="1031"/>
        <v>0.3108844345627047</v>
      </c>
      <c r="Y124" s="3064" t="e">
        <f t="shared" si="1031"/>
        <v>#DIV/0!</v>
      </c>
      <c r="Z124" s="3064">
        <f t="shared" si="1031"/>
        <v>0.30783009784823445</v>
      </c>
      <c r="AA124" s="3064">
        <f t="shared" si="1031"/>
        <v>0.30783009784823445</v>
      </c>
      <c r="AB124" s="3064" t="e">
        <f t="shared" si="1031"/>
        <v>#DIV/0!</v>
      </c>
      <c r="AC124" s="3064">
        <f t="shared" si="1031"/>
        <v>0.30788051463542399</v>
      </c>
      <c r="AD124" s="3064">
        <f t="shared" si="1031"/>
        <v>0.30788051463542399</v>
      </c>
      <c r="AE124" s="3064" t="e">
        <f t="shared" si="1031"/>
        <v>#DIV/0!</v>
      </c>
      <c r="AF124" s="3065">
        <f t="shared" ref="AF124:AK124" si="1032">SUM(AF123/AF122)</f>
        <v>0.30099986812120949</v>
      </c>
      <c r="AG124" s="3065">
        <f t="shared" si="1032"/>
        <v>0.30099986812120949</v>
      </c>
      <c r="AH124" s="3065">
        <f t="shared" si="1032"/>
        <v>0.30099986812120949</v>
      </c>
      <c r="AI124" s="3065">
        <f t="shared" si="1032"/>
        <v>0.30777068131534779</v>
      </c>
      <c r="AJ124" s="3065">
        <f t="shared" si="1032"/>
        <v>0.30777068131534779</v>
      </c>
      <c r="AK124" s="3065" t="e">
        <f t="shared" si="1032"/>
        <v>#DIV/0!</v>
      </c>
      <c r="AL124" s="3068">
        <f t="shared" si="824"/>
        <v>6.7708131941383032E-3</v>
      </c>
      <c r="AM124" s="3068">
        <f t="shared" ref="AM124" si="1033">SUM(AJ124-AG124)</f>
        <v>6.7708131941383032E-3</v>
      </c>
      <c r="AN124" s="3068" t="e">
        <f t="shared" ref="AN124" si="1034">SUM(AK124-AH124)</f>
        <v>#DIV/0!</v>
      </c>
      <c r="AO124" s="3064">
        <f t="shared" ref="AO124:BC124" si="1035">SUM(AO123/AO122)</f>
        <v>0.30099986812120949</v>
      </c>
      <c r="AP124" s="3064">
        <f t="shared" si="1035"/>
        <v>0.30099986812120949</v>
      </c>
      <c r="AQ124" s="3064">
        <f t="shared" si="1035"/>
        <v>0.30099986812120949</v>
      </c>
      <c r="AR124" s="3064">
        <f t="shared" si="1035"/>
        <v>0.30635952936503996</v>
      </c>
      <c r="AS124" s="3064">
        <f t="shared" si="1035"/>
        <v>0.30635952936503996</v>
      </c>
      <c r="AT124" s="3064" t="e">
        <f t="shared" si="1035"/>
        <v>#DIV/0!</v>
      </c>
      <c r="AU124" s="3064">
        <f t="shared" si="1035"/>
        <v>0.30703885712197881</v>
      </c>
      <c r="AV124" s="3064">
        <f t="shared" si="1035"/>
        <v>0.30703885712197881</v>
      </c>
      <c r="AW124" s="3064" t="e">
        <f t="shared" si="1035"/>
        <v>#DIV/0!</v>
      </c>
      <c r="AX124" s="3064">
        <f t="shared" si="1035"/>
        <v>0.31081834513804285</v>
      </c>
      <c r="AY124" s="3064">
        <f t="shared" si="1035"/>
        <v>0.31081834513804285</v>
      </c>
      <c r="AZ124" s="3064" t="e">
        <f t="shared" si="1035"/>
        <v>#DIV/0!</v>
      </c>
      <c r="BA124" s="3064">
        <f t="shared" si="1035"/>
        <v>0.30790672086555215</v>
      </c>
      <c r="BB124" s="3064">
        <f t="shared" si="1035"/>
        <v>0.30790672086555215</v>
      </c>
      <c r="BC124" s="3064" t="e">
        <f t="shared" si="1035"/>
        <v>#DIV/0!</v>
      </c>
      <c r="BD124" s="3065">
        <f t="shared" ref="BD124:BI124" si="1036">SUM(BD123/BD122)</f>
        <v>0.30099986812120949</v>
      </c>
      <c r="BE124" s="3065">
        <f t="shared" si="1036"/>
        <v>0.30099986812120955</v>
      </c>
      <c r="BF124" s="3065">
        <f t="shared" si="1036"/>
        <v>0.30099986812120949</v>
      </c>
      <c r="BG124" s="3065">
        <f t="shared" si="1036"/>
        <v>0.30781835005440417</v>
      </c>
      <c r="BH124" s="3065">
        <f t="shared" si="1036"/>
        <v>0.30781835005440417</v>
      </c>
      <c r="BI124" s="3065" t="e">
        <f t="shared" si="1036"/>
        <v>#DIV/0!</v>
      </c>
      <c r="BJ124" s="3068">
        <f t="shared" si="829"/>
        <v>6.8184819331946755E-3</v>
      </c>
      <c r="BK124" s="3068">
        <f t="shared" ref="BK124" si="1037">SUM(BH124-BE124)</f>
        <v>6.81848193319462E-3</v>
      </c>
      <c r="BL124" s="3068" t="e">
        <f t="shared" ref="BL124" si="1038">SUM(BI124-BF124)</f>
        <v>#DIV/0!</v>
      </c>
      <c r="BM124" s="3064">
        <f t="shared" ref="BM124:CA124" si="1039">SUM(BM123/BM122)</f>
        <v>0.30099986812120949</v>
      </c>
      <c r="BN124" s="3064">
        <f t="shared" si="1039"/>
        <v>0.30099986812120949</v>
      </c>
      <c r="BO124" s="3064">
        <f t="shared" si="1039"/>
        <v>0.30099986812120949</v>
      </c>
      <c r="BP124" s="3064" t="e">
        <f t="shared" si="1039"/>
        <v>#DIV/0!</v>
      </c>
      <c r="BQ124" s="3064" t="e">
        <f t="shared" si="1039"/>
        <v>#DIV/0!</v>
      </c>
      <c r="BR124" s="3064" t="e">
        <f t="shared" si="1039"/>
        <v>#DIV/0!</v>
      </c>
      <c r="BS124" s="3064" t="e">
        <f t="shared" si="1039"/>
        <v>#DIV/0!</v>
      </c>
      <c r="BT124" s="3064" t="e">
        <f t="shared" si="1039"/>
        <v>#DIV/0!</v>
      </c>
      <c r="BU124" s="3064" t="e">
        <f t="shared" si="1039"/>
        <v>#DIV/0!</v>
      </c>
      <c r="BV124" s="3064" t="e">
        <f t="shared" si="1039"/>
        <v>#DIV/0!</v>
      </c>
      <c r="BW124" s="3064" t="e">
        <f t="shared" si="1039"/>
        <v>#DIV/0!</v>
      </c>
      <c r="BX124" s="3064" t="e">
        <f t="shared" si="1039"/>
        <v>#DIV/0!</v>
      </c>
      <c r="BY124" s="3064" t="e">
        <f t="shared" si="1039"/>
        <v>#DIV/0!</v>
      </c>
      <c r="BZ124" s="3064" t="e">
        <f t="shared" si="1039"/>
        <v>#DIV/0!</v>
      </c>
      <c r="CA124" s="3064" t="e">
        <f t="shared" si="1039"/>
        <v>#DIV/0!</v>
      </c>
      <c r="CB124" s="3065">
        <f t="shared" ref="CB124:CG124" si="1040">SUM(CB123/CB122)</f>
        <v>0.30099986812120949</v>
      </c>
      <c r="CC124" s="3065">
        <f t="shared" si="1040"/>
        <v>0.30099986812120949</v>
      </c>
      <c r="CD124" s="3065">
        <f t="shared" si="1040"/>
        <v>0.30099986812120949</v>
      </c>
      <c r="CE124" s="3065">
        <f t="shared" si="1040"/>
        <v>0.30781835005440417</v>
      </c>
      <c r="CF124" s="3065">
        <f t="shared" si="1040"/>
        <v>0.30781835005440417</v>
      </c>
      <c r="CG124" s="3065" t="e">
        <f t="shared" si="1040"/>
        <v>#DIV/0!</v>
      </c>
      <c r="CH124" s="3068">
        <f t="shared" si="834"/>
        <v>6.8184819331946755E-3</v>
      </c>
      <c r="CI124" s="3068">
        <f t="shared" ref="CI124" si="1041">SUM(CF124-CC124)</f>
        <v>6.8184819331946755E-3</v>
      </c>
      <c r="CJ124" s="3068" t="e">
        <f t="shared" ref="CJ124" si="1042">SUM(CG124-CD124)</f>
        <v>#DIV/0!</v>
      </c>
      <c r="CK124" s="3259"/>
      <c r="CL124" s="3259"/>
      <c r="CM124" s="3259"/>
      <c r="CN124" s="3055"/>
    </row>
    <row r="125" spans="1:92" ht="18.75" customHeight="1" x14ac:dyDescent="0.3">
      <c r="A125" s="3074" t="s">
        <v>3590</v>
      </c>
      <c r="B125" s="3207">
        <f t="shared" si="1025"/>
        <v>676.70325000000014</v>
      </c>
      <c r="C125" s="3207">
        <f t="shared" ref="C125:D125" si="1043">SUM(C126:C132)+C134</f>
        <v>676.37620587243509</v>
      </c>
      <c r="D125" s="3207">
        <f t="shared" si="1043"/>
        <v>0.32704412756499035</v>
      </c>
      <c r="E125" s="3156">
        <f t="shared" si="889"/>
        <v>204.71</v>
      </c>
      <c r="F125" s="3057">
        <f>SUM(F126:F132)+F134</f>
        <v>204.71</v>
      </c>
      <c r="G125" s="3057">
        <f t="shared" ref="G125" si="1044">SUM(G126:G132)+G134</f>
        <v>0</v>
      </c>
      <c r="H125" s="3156">
        <f t="shared" ref="H125:H152" si="1045">SUM(I125:J125)</f>
        <v>233.06</v>
      </c>
      <c r="I125" s="3057">
        <f t="shared" ref="I125" si="1046">SUM(I126:I132)+I134</f>
        <v>233.06</v>
      </c>
      <c r="J125" s="3057">
        <f t="shared" ref="J125" si="1047">SUM(J126:J132)+J134</f>
        <v>0</v>
      </c>
      <c r="K125" s="3156">
        <f t="shared" ref="K125:K152" si="1048">SUM(L125:M125)</f>
        <v>209.57</v>
      </c>
      <c r="L125" s="3057">
        <f t="shared" ref="L125" si="1049">SUM(L126:L132)+L134</f>
        <v>209.57</v>
      </c>
      <c r="M125" s="3057">
        <f t="shared" ref="M125" si="1050">SUM(M126:M132)+M134</f>
        <v>0</v>
      </c>
      <c r="N125" s="3156">
        <f t="shared" ref="N125:N151" si="1051">SUM(O125:P125)</f>
        <v>647.33999999999992</v>
      </c>
      <c r="O125" s="3156">
        <f t="shared" ref="O125:O151" si="1052">SUM(F125+I125+L125)</f>
        <v>647.33999999999992</v>
      </c>
      <c r="P125" s="3156">
        <f t="shared" ref="P125:P151" si="1053">SUM(G125+J125+M125)</f>
        <v>0</v>
      </c>
      <c r="Q125" s="3207">
        <f t="shared" si="1016"/>
        <v>676.70325000000014</v>
      </c>
      <c r="R125" s="3207">
        <f t="shared" ref="R125:S125" si="1054">SUM(R126:R132)+R134</f>
        <v>676.37620587243509</v>
      </c>
      <c r="S125" s="3207">
        <f t="shared" si="1054"/>
        <v>0.32704412756499035</v>
      </c>
      <c r="T125" s="3156">
        <f t="shared" ref="T125:T152" si="1055">SUM(U125:V125)</f>
        <v>312.04000000000002</v>
      </c>
      <c r="U125" s="3057">
        <f t="shared" ref="U125" si="1056">SUM(U126:U132)+U134</f>
        <v>312.04000000000002</v>
      </c>
      <c r="V125" s="3057">
        <f t="shared" ref="V125" si="1057">SUM(V126:V132)+V134</f>
        <v>0</v>
      </c>
      <c r="W125" s="3156">
        <f t="shared" ref="W125:W152" si="1058">SUM(X125:Y125)</f>
        <v>162.16999999999999</v>
      </c>
      <c r="X125" s="3057">
        <f t="shared" ref="X125" si="1059">SUM(X126:X132)+X134</f>
        <v>162.16999999999999</v>
      </c>
      <c r="Y125" s="3057">
        <f t="shared" ref="Y125" si="1060">SUM(Y126:Y132)+Y134</f>
        <v>0</v>
      </c>
      <c r="Z125" s="3156">
        <f t="shared" ref="Z125:Z152" si="1061">SUM(AA125:AB125)</f>
        <v>181.51999999999998</v>
      </c>
      <c r="AA125" s="3057">
        <f t="shared" ref="AA125" si="1062">SUM(AA126:AA132)+AA134</f>
        <v>181.51999999999998</v>
      </c>
      <c r="AB125" s="3057">
        <f t="shared" ref="AB125" si="1063">SUM(AB126:AB132)+AB134</f>
        <v>0</v>
      </c>
      <c r="AC125" s="3156">
        <f t="shared" ref="AC125:AC154" si="1064">SUM(AD125:AE125)</f>
        <v>655.73</v>
      </c>
      <c r="AD125" s="3156">
        <f t="shared" ref="AD125:AD154" si="1065">SUM(U125+X125+AA125)</f>
        <v>655.73</v>
      </c>
      <c r="AE125" s="3156">
        <f t="shared" ref="AE125:AE154" si="1066">SUM(V125+Y125+AB125)</f>
        <v>0</v>
      </c>
      <c r="AF125" s="3206">
        <f t="shared" si="851"/>
        <v>1353.4065000000003</v>
      </c>
      <c r="AG125" s="3206">
        <f t="shared" si="852"/>
        <v>1352.7524117448702</v>
      </c>
      <c r="AH125" s="3206">
        <f t="shared" si="853"/>
        <v>0.6540882551299807</v>
      </c>
      <c r="AI125" s="3193">
        <f t="shared" ref="AI125:AI154" si="1067">SUM(AC125+N125)</f>
        <v>1303.07</v>
      </c>
      <c r="AJ125" s="3193">
        <f t="shared" ref="AJ125:AJ154" si="1068">SUM(AD125+O125)</f>
        <v>1303.07</v>
      </c>
      <c r="AK125" s="3193">
        <f t="shared" ref="AK125:AK154" si="1069">SUM(AE125+P125)</f>
        <v>0</v>
      </c>
      <c r="AL125" s="3193">
        <f t="shared" ref="AL125:AL154" si="1070">SUM(AI125-AF125)</f>
        <v>-50.336500000000342</v>
      </c>
      <c r="AM125" s="3193">
        <f t="shared" ref="AM125:AM154" si="1071">SUM(AJ125-AG125)</f>
        <v>-49.682411744870251</v>
      </c>
      <c r="AN125" s="3193">
        <f t="shared" ref="AN125:AN154" si="1072">SUM(AK125-AH125)</f>
        <v>-0.6540882551299807</v>
      </c>
      <c r="AO125" s="3207">
        <f t="shared" ref="AO125:AO134" si="1073">SUM(AP125:AQ125)</f>
        <v>676.70325000000014</v>
      </c>
      <c r="AP125" s="3207">
        <f t="shared" ref="AP125:AQ125" si="1074">SUM(AP126:AP132)+AP134</f>
        <v>676.37620587243509</v>
      </c>
      <c r="AQ125" s="3207">
        <f t="shared" si="1074"/>
        <v>0.32704412756499035</v>
      </c>
      <c r="AR125" s="3156">
        <f t="shared" ref="AR125:AR152" si="1075">SUM(AS125:AT125)</f>
        <v>239.26000000000002</v>
      </c>
      <c r="AS125" s="3057">
        <f t="shared" ref="AS125" si="1076">SUM(AS126:AS132)+AS134</f>
        <v>239.26000000000002</v>
      </c>
      <c r="AT125" s="3057">
        <f t="shared" ref="AT125" si="1077">SUM(AT126:AT132)+AT134</f>
        <v>0</v>
      </c>
      <c r="AU125" s="3156">
        <f t="shared" ref="AU125:AU152" si="1078">SUM(AV125:AW125)</f>
        <v>275.14</v>
      </c>
      <c r="AV125" s="3057">
        <f t="shared" ref="AV125" si="1079">SUM(AV126:AV132)+AV134</f>
        <v>275.14</v>
      </c>
      <c r="AW125" s="3057">
        <f t="shared" ref="AW125" si="1080">SUM(AW126:AW132)+AW134</f>
        <v>0</v>
      </c>
      <c r="AX125" s="3156">
        <f t="shared" ref="AX125:AX152" si="1081">SUM(AY125:AZ125)</f>
        <v>494.52000000000004</v>
      </c>
      <c r="AY125" s="3057">
        <f t="shared" ref="AY125" si="1082">SUM(AY126:AY132)+AY134</f>
        <v>494.52000000000004</v>
      </c>
      <c r="AZ125" s="3057">
        <f t="shared" ref="AZ125" si="1083">SUM(AZ126:AZ132)+AZ134</f>
        <v>0</v>
      </c>
      <c r="BA125" s="3156">
        <f t="shared" ref="BA125:BA154" si="1084">SUM(BB125:BC125)</f>
        <v>1008.9200000000001</v>
      </c>
      <c r="BB125" s="3156">
        <f t="shared" ref="BB125:BB154" si="1085">SUM(AS125+AV125+AY125)</f>
        <v>1008.9200000000001</v>
      </c>
      <c r="BC125" s="3156">
        <f t="shared" ref="BC125:BC154" si="1086">SUM(AT125+AW125+AZ125)</f>
        <v>0</v>
      </c>
      <c r="BD125" s="3206">
        <f t="shared" si="994"/>
        <v>2030.1097500000003</v>
      </c>
      <c r="BE125" s="3206">
        <f t="shared" si="995"/>
        <v>2029.1286176173053</v>
      </c>
      <c r="BF125" s="3206">
        <f t="shared" si="996"/>
        <v>0.98113238269497105</v>
      </c>
      <c r="BG125" s="3193">
        <f t="shared" ref="BG125:BG154" si="1087">SUM(AI125+BA125)</f>
        <v>2311.9899999999998</v>
      </c>
      <c r="BH125" s="3193">
        <f t="shared" ref="BH125:BH154" si="1088">SUM(AJ125+BB125)</f>
        <v>2311.9899999999998</v>
      </c>
      <c r="BI125" s="3193">
        <f t="shared" ref="BI125:BI154" si="1089">SUM(AK125+BC125)</f>
        <v>0</v>
      </c>
      <c r="BJ125" s="3193">
        <f t="shared" ref="BJ125:BJ154" si="1090">SUM(BG125-BD125)</f>
        <v>281.88024999999948</v>
      </c>
      <c r="BK125" s="3193">
        <f t="shared" ref="BK125:BK154" si="1091">SUM(BH125-BE125)</f>
        <v>282.8613823826945</v>
      </c>
      <c r="BL125" s="3193">
        <f t="shared" ref="BL125:BL154" si="1092">SUM(BI125-BF125)</f>
        <v>-0.98113238269497105</v>
      </c>
      <c r="BM125" s="3207">
        <f t="shared" si="967"/>
        <v>676.70325000000014</v>
      </c>
      <c r="BN125" s="3207">
        <f t="shared" ref="BN125:BO125" si="1093">SUM(BN126:BN132)+BN134</f>
        <v>676.37620587243509</v>
      </c>
      <c r="BO125" s="3207">
        <f t="shared" si="1093"/>
        <v>0.32704412756499035</v>
      </c>
      <c r="BP125" s="3156">
        <f t="shared" ref="BP125:BP152" si="1094">SUM(BQ125:BR125)</f>
        <v>0</v>
      </c>
      <c r="BQ125" s="3057">
        <f t="shared" ref="BQ125" si="1095">SUM(BQ126:BQ132)+BQ134</f>
        <v>0</v>
      </c>
      <c r="BR125" s="3057">
        <f t="shared" ref="BR125" si="1096">SUM(BR126:BR132)+BR134</f>
        <v>0</v>
      </c>
      <c r="BS125" s="3156">
        <f t="shared" ref="BS125:BS152" si="1097">SUM(BT125:BU125)</f>
        <v>0</v>
      </c>
      <c r="BT125" s="3057">
        <f t="shared" ref="BT125" si="1098">SUM(BT126:BT132)+BT134</f>
        <v>0</v>
      </c>
      <c r="BU125" s="3057">
        <f t="shared" ref="BU125" si="1099">SUM(BU126:BU132)+BU134</f>
        <v>0</v>
      </c>
      <c r="BV125" s="3156">
        <f t="shared" ref="BV125:BV152" si="1100">SUM(BW125:BX125)</f>
        <v>0</v>
      </c>
      <c r="BW125" s="3057">
        <f t="shared" ref="BW125" si="1101">SUM(BW126:BW132)+BW134</f>
        <v>0</v>
      </c>
      <c r="BX125" s="3057">
        <f t="shared" ref="BX125" si="1102">SUM(BX126:BX132)+BX134</f>
        <v>0</v>
      </c>
      <c r="BY125" s="3156">
        <f t="shared" ref="BY125:BY154" si="1103">SUM(BZ125:CA125)</f>
        <v>0</v>
      </c>
      <c r="BZ125" s="3156">
        <f t="shared" ref="BZ125:BZ154" si="1104">SUM(BQ125+BT125+BW125)</f>
        <v>0</v>
      </c>
      <c r="CA125" s="3156">
        <f t="shared" ref="CA125:CA154" si="1105">SUM(BR125+BU125+BX125)</f>
        <v>0</v>
      </c>
      <c r="CB125" s="3206">
        <f t="shared" si="1024"/>
        <v>2706.8129829750114</v>
      </c>
      <c r="CC125" s="3206">
        <f>SUM(вода!BR42)</f>
        <v>2705.5048064729795</v>
      </c>
      <c r="CD125" s="3206">
        <f>SUM(вода!BS42)</f>
        <v>1.3081765020319496</v>
      </c>
      <c r="CE125" s="3193">
        <f t="shared" ref="CE125:CE154" si="1106">SUM(BY125+BG125)</f>
        <v>2311.9899999999998</v>
      </c>
      <c r="CF125" s="3193">
        <f t="shared" ref="CF125:CF154" si="1107">SUM(BZ125+BH125)</f>
        <v>2311.9899999999998</v>
      </c>
      <c r="CG125" s="3193">
        <f t="shared" ref="CG125:CG154" si="1108">SUM(CA125+BI125)</f>
        <v>0</v>
      </c>
      <c r="CH125" s="3193">
        <f t="shared" ref="CH125:CH154" si="1109">SUM(CE125-CB125)</f>
        <v>-394.82298297501166</v>
      </c>
      <c r="CI125" s="3193">
        <f t="shared" ref="CI125:CI154" si="1110">SUM(CF125-CC125)</f>
        <v>-393.51480647297967</v>
      </c>
      <c r="CJ125" s="3193">
        <f t="shared" ref="CJ125:CJ154" si="1111">SUM(CG125-CD125)</f>
        <v>-1.3081765020319496</v>
      </c>
      <c r="CK125" s="3259"/>
      <c r="CL125" s="3259"/>
      <c r="CM125" s="3259"/>
      <c r="CN125" s="3055"/>
    </row>
    <row r="126" spans="1:92" ht="18.75" customHeight="1" x14ac:dyDescent="0.3">
      <c r="A126" s="3075" t="s">
        <v>72</v>
      </c>
      <c r="B126" s="3208">
        <f t="shared" ref="B126:B134" si="1112">SUM(C126:D126)</f>
        <v>409.76</v>
      </c>
      <c r="C126" s="3208">
        <f t="shared" ref="C126:C131" si="1113">SUM(CC126/4)</f>
        <v>409.56196696009511</v>
      </c>
      <c r="D126" s="3208">
        <f t="shared" ref="D126:D131" si="1114">SUM(CD126/4)</f>
        <v>0.19803303990490731</v>
      </c>
      <c r="E126" s="3136">
        <f t="shared" si="889"/>
        <v>142.75</v>
      </c>
      <c r="F126" s="3061">
        <v>142.75</v>
      </c>
      <c r="G126" s="3061"/>
      <c r="H126" s="3136">
        <f t="shared" si="1045"/>
        <v>107.1</v>
      </c>
      <c r="I126" s="3061">
        <v>107.1</v>
      </c>
      <c r="J126" s="3061"/>
      <c r="K126" s="3136">
        <f t="shared" si="1048"/>
        <v>151.69</v>
      </c>
      <c r="L126" s="3061">
        <v>151.69</v>
      </c>
      <c r="M126" s="3061"/>
      <c r="N126" s="3136">
        <f t="shared" si="1051"/>
        <v>401.53999999999996</v>
      </c>
      <c r="O126" s="3136">
        <f t="shared" si="1052"/>
        <v>401.53999999999996</v>
      </c>
      <c r="P126" s="3136">
        <f t="shared" si="1053"/>
        <v>0</v>
      </c>
      <c r="Q126" s="3208">
        <f t="shared" ref="Q126:Q134" si="1115">SUM(R126:S126)</f>
        <v>409.76</v>
      </c>
      <c r="R126" s="3208">
        <f t="shared" ref="R126:R131" si="1116">SUM(C126)</f>
        <v>409.56196696009511</v>
      </c>
      <c r="S126" s="3208">
        <f t="shared" ref="S126:S131" si="1117">SUM(D126)</f>
        <v>0.19803303990490731</v>
      </c>
      <c r="T126" s="3136">
        <f t="shared" si="1055"/>
        <v>121.01</v>
      </c>
      <c r="U126" s="3061">
        <v>121.01</v>
      </c>
      <c r="V126" s="3061"/>
      <c r="W126" s="3136">
        <f t="shared" si="1058"/>
        <v>111.63</v>
      </c>
      <c r="X126" s="3061">
        <v>111.63</v>
      </c>
      <c r="Y126" s="3061"/>
      <c r="Z126" s="3136">
        <f t="shared" si="1061"/>
        <v>118.01</v>
      </c>
      <c r="AA126" s="3061">
        <v>118.01</v>
      </c>
      <c r="AB126" s="3061"/>
      <c r="AC126" s="3136">
        <f t="shared" si="1064"/>
        <v>350.65</v>
      </c>
      <c r="AD126" s="3136">
        <f t="shared" si="1065"/>
        <v>350.65</v>
      </c>
      <c r="AE126" s="3136">
        <f t="shared" si="1066"/>
        <v>0</v>
      </c>
      <c r="AF126" s="3209">
        <f t="shared" si="851"/>
        <v>819.52</v>
      </c>
      <c r="AG126" s="3209">
        <f t="shared" si="852"/>
        <v>819.12393392019021</v>
      </c>
      <c r="AH126" s="3209">
        <f t="shared" si="853"/>
        <v>0.39606607980981462</v>
      </c>
      <c r="AI126" s="3264">
        <f t="shared" si="1067"/>
        <v>752.18999999999994</v>
      </c>
      <c r="AJ126" s="3264">
        <f t="shared" si="1068"/>
        <v>752.18999999999994</v>
      </c>
      <c r="AK126" s="3264">
        <f t="shared" si="1069"/>
        <v>0</v>
      </c>
      <c r="AL126" s="3264">
        <f t="shared" si="1070"/>
        <v>-67.330000000000041</v>
      </c>
      <c r="AM126" s="3264">
        <f t="shared" si="1071"/>
        <v>-66.93393392019027</v>
      </c>
      <c r="AN126" s="3264">
        <f t="shared" si="1072"/>
        <v>-0.39606607980981462</v>
      </c>
      <c r="AO126" s="3208">
        <f t="shared" si="1073"/>
        <v>409.76</v>
      </c>
      <c r="AP126" s="3208">
        <f t="shared" ref="AP126:AP131" si="1118">SUM(CC126-AG126)/2</f>
        <v>409.56196696009511</v>
      </c>
      <c r="AQ126" s="3208">
        <f t="shared" ref="AQ126:AQ131" si="1119">SUM(CD126-AH126)/2</f>
        <v>0.19803303990490731</v>
      </c>
      <c r="AR126" s="3136">
        <f t="shared" si="1075"/>
        <v>163.28</v>
      </c>
      <c r="AS126" s="3061">
        <v>163.28</v>
      </c>
      <c r="AT126" s="3061"/>
      <c r="AU126" s="3136">
        <f t="shared" si="1078"/>
        <v>145.75</v>
      </c>
      <c r="AV126" s="3061">
        <v>145.75</v>
      </c>
      <c r="AW126" s="3061"/>
      <c r="AX126" s="3136">
        <f t="shared" si="1081"/>
        <v>339.95</v>
      </c>
      <c r="AY126" s="3061">
        <v>339.95</v>
      </c>
      <c r="AZ126" s="3061"/>
      <c r="BA126" s="3136">
        <f t="shared" si="1084"/>
        <v>648.98</v>
      </c>
      <c r="BB126" s="3136">
        <f t="shared" si="1085"/>
        <v>648.98</v>
      </c>
      <c r="BC126" s="3136">
        <f t="shared" si="1086"/>
        <v>0</v>
      </c>
      <c r="BD126" s="3209">
        <f t="shared" si="994"/>
        <v>1229.28</v>
      </c>
      <c r="BE126" s="3209">
        <f t="shared" si="995"/>
        <v>1228.6859008802853</v>
      </c>
      <c r="BF126" s="3209">
        <f t="shared" si="996"/>
        <v>0.59409911971472196</v>
      </c>
      <c r="BG126" s="3264">
        <f t="shared" si="1087"/>
        <v>1401.17</v>
      </c>
      <c r="BH126" s="3264">
        <f t="shared" si="1088"/>
        <v>1401.17</v>
      </c>
      <c r="BI126" s="3264">
        <f t="shared" si="1089"/>
        <v>0</v>
      </c>
      <c r="BJ126" s="3264">
        <f t="shared" si="1090"/>
        <v>171.8900000000001</v>
      </c>
      <c r="BK126" s="3264">
        <f t="shared" si="1091"/>
        <v>172.48409911971476</v>
      </c>
      <c r="BL126" s="3264">
        <f t="shared" si="1092"/>
        <v>-0.59409911971472196</v>
      </c>
      <c r="BM126" s="3208">
        <f t="shared" ref="BM126:BM143" si="1120">SUM(BN126:BO126)</f>
        <v>409.76</v>
      </c>
      <c r="BN126" s="3208">
        <f t="shared" ref="BN126:BN131" si="1121">SUM(AP126)</f>
        <v>409.56196696009511</v>
      </c>
      <c r="BO126" s="3208">
        <f t="shared" ref="BO126:BO131" si="1122">SUM(AQ126)</f>
        <v>0.19803303990490731</v>
      </c>
      <c r="BP126" s="3136">
        <f t="shared" si="1094"/>
        <v>0</v>
      </c>
      <c r="BQ126" s="3061"/>
      <c r="BR126" s="3061"/>
      <c r="BS126" s="3136">
        <f t="shared" si="1097"/>
        <v>0</v>
      </c>
      <c r="BT126" s="3061"/>
      <c r="BU126" s="3061"/>
      <c r="BV126" s="3136">
        <f t="shared" si="1100"/>
        <v>0</v>
      </c>
      <c r="BW126" s="3061"/>
      <c r="BX126" s="3061"/>
      <c r="BY126" s="3136">
        <f t="shared" si="1103"/>
        <v>0</v>
      </c>
      <c r="BZ126" s="3136">
        <f t="shared" si="1104"/>
        <v>0</v>
      </c>
      <c r="CA126" s="3136">
        <f t="shared" si="1105"/>
        <v>0</v>
      </c>
      <c r="CB126" s="3209">
        <v>1639.04</v>
      </c>
      <c r="CC126" s="3209">
        <f>SUM(CB126/CB14*CC14)</f>
        <v>1638.2478678403804</v>
      </c>
      <c r="CD126" s="3209">
        <f>SUM(CB126/CB14*CD14)</f>
        <v>0.79213215961962924</v>
      </c>
      <c r="CE126" s="3264">
        <f t="shared" si="1106"/>
        <v>1401.17</v>
      </c>
      <c r="CF126" s="3264">
        <f t="shared" si="1107"/>
        <v>1401.17</v>
      </c>
      <c r="CG126" s="3264">
        <f t="shared" si="1108"/>
        <v>0</v>
      </c>
      <c r="CH126" s="3264">
        <f t="shared" si="1109"/>
        <v>-237.86999999999989</v>
      </c>
      <c r="CI126" s="3264">
        <f t="shared" si="1110"/>
        <v>-237.07786784038035</v>
      </c>
      <c r="CJ126" s="3264">
        <f t="shared" si="1111"/>
        <v>-0.79213215961962924</v>
      </c>
      <c r="CK126" s="3259"/>
      <c r="CL126" s="3259"/>
      <c r="CM126" s="3259"/>
      <c r="CN126" s="3055"/>
    </row>
    <row r="127" spans="1:92" ht="18.75" customHeight="1" x14ac:dyDescent="0.3">
      <c r="A127" s="3075" t="s">
        <v>117</v>
      </c>
      <c r="B127" s="3208">
        <f t="shared" si="1112"/>
        <v>123.73499999999999</v>
      </c>
      <c r="C127" s="3208">
        <f t="shared" si="1113"/>
        <v>123.67520007274346</v>
      </c>
      <c r="D127" s="3208">
        <f t="shared" si="1114"/>
        <v>5.9799927256525054E-2</v>
      </c>
      <c r="E127" s="3136">
        <f t="shared" si="889"/>
        <v>43.11</v>
      </c>
      <c r="F127" s="3061">
        <v>43.11</v>
      </c>
      <c r="G127" s="3061"/>
      <c r="H127" s="3136">
        <f t="shared" si="1045"/>
        <v>32.35</v>
      </c>
      <c r="I127" s="3061">
        <v>32.35</v>
      </c>
      <c r="J127" s="3061"/>
      <c r="K127" s="3136">
        <f t="shared" si="1048"/>
        <v>44.85</v>
      </c>
      <c r="L127" s="3061">
        <v>44.85</v>
      </c>
      <c r="M127" s="3061"/>
      <c r="N127" s="3136">
        <f t="shared" si="1051"/>
        <v>120.31</v>
      </c>
      <c r="O127" s="3136">
        <f t="shared" si="1052"/>
        <v>120.31</v>
      </c>
      <c r="P127" s="3136">
        <f t="shared" si="1053"/>
        <v>0</v>
      </c>
      <c r="Q127" s="3208">
        <f t="shared" si="1115"/>
        <v>123.73499999999999</v>
      </c>
      <c r="R127" s="3208">
        <f t="shared" si="1116"/>
        <v>123.67520007274346</v>
      </c>
      <c r="S127" s="3208">
        <f t="shared" si="1117"/>
        <v>5.9799927256525054E-2</v>
      </c>
      <c r="T127" s="3136">
        <f t="shared" si="1055"/>
        <v>36.54</v>
      </c>
      <c r="U127" s="3061">
        <v>36.54</v>
      </c>
      <c r="V127" s="3061"/>
      <c r="W127" s="3136">
        <f t="shared" si="1058"/>
        <v>33.71</v>
      </c>
      <c r="X127" s="3061">
        <v>33.71</v>
      </c>
      <c r="Y127" s="3061"/>
      <c r="Z127" s="3136">
        <f t="shared" si="1061"/>
        <v>35.64</v>
      </c>
      <c r="AA127" s="3061">
        <v>35.64</v>
      </c>
      <c r="AB127" s="3061"/>
      <c r="AC127" s="3136">
        <f t="shared" si="1064"/>
        <v>105.89</v>
      </c>
      <c r="AD127" s="3136">
        <f t="shared" si="1065"/>
        <v>105.89</v>
      </c>
      <c r="AE127" s="3136">
        <f t="shared" si="1066"/>
        <v>0</v>
      </c>
      <c r="AF127" s="3209">
        <f t="shared" si="851"/>
        <v>247.46999999999997</v>
      </c>
      <c r="AG127" s="3209">
        <f t="shared" si="852"/>
        <v>247.35040014548693</v>
      </c>
      <c r="AH127" s="3209">
        <f t="shared" si="853"/>
        <v>0.11959985451305011</v>
      </c>
      <c r="AI127" s="3264">
        <f t="shared" si="1067"/>
        <v>226.2</v>
      </c>
      <c r="AJ127" s="3264">
        <f t="shared" si="1068"/>
        <v>226.2</v>
      </c>
      <c r="AK127" s="3264">
        <f t="shared" si="1069"/>
        <v>0</v>
      </c>
      <c r="AL127" s="3264">
        <f t="shared" si="1070"/>
        <v>-21.269999999999982</v>
      </c>
      <c r="AM127" s="3264">
        <f t="shared" si="1071"/>
        <v>-21.150400145486941</v>
      </c>
      <c r="AN127" s="3264">
        <f t="shared" si="1072"/>
        <v>-0.11959985451305011</v>
      </c>
      <c r="AO127" s="3208">
        <f t="shared" si="1073"/>
        <v>123.73499999999999</v>
      </c>
      <c r="AP127" s="3208">
        <f t="shared" si="1118"/>
        <v>123.67520007274346</v>
      </c>
      <c r="AQ127" s="3208">
        <f t="shared" si="1119"/>
        <v>5.9799927256525054E-2</v>
      </c>
      <c r="AR127" s="3136">
        <f t="shared" si="1075"/>
        <v>49.31</v>
      </c>
      <c r="AS127" s="3061">
        <v>49.31</v>
      </c>
      <c r="AT127" s="3061"/>
      <c r="AU127" s="3136">
        <f t="shared" si="1078"/>
        <v>44.02</v>
      </c>
      <c r="AV127" s="3061">
        <v>44.02</v>
      </c>
      <c r="AW127" s="3061"/>
      <c r="AX127" s="3136">
        <f t="shared" si="1081"/>
        <v>102.67</v>
      </c>
      <c r="AY127" s="3061">
        <v>102.67</v>
      </c>
      <c r="AZ127" s="3061"/>
      <c r="BA127" s="3136">
        <f t="shared" si="1084"/>
        <v>196</v>
      </c>
      <c r="BB127" s="3136">
        <f t="shared" si="1085"/>
        <v>196</v>
      </c>
      <c r="BC127" s="3136">
        <f t="shared" si="1086"/>
        <v>0</v>
      </c>
      <c r="BD127" s="3209">
        <f t="shared" si="994"/>
        <v>371.20499999999998</v>
      </c>
      <c r="BE127" s="3209">
        <f t="shared" si="995"/>
        <v>371.02560021823041</v>
      </c>
      <c r="BF127" s="3209">
        <f t="shared" si="996"/>
        <v>0.17939978176957516</v>
      </c>
      <c r="BG127" s="3264">
        <f t="shared" si="1087"/>
        <v>422.2</v>
      </c>
      <c r="BH127" s="3264">
        <f t="shared" si="1088"/>
        <v>422.2</v>
      </c>
      <c r="BI127" s="3264">
        <f t="shared" si="1089"/>
        <v>0</v>
      </c>
      <c r="BJ127" s="3264">
        <f t="shared" si="1090"/>
        <v>50.995000000000005</v>
      </c>
      <c r="BK127" s="3264">
        <f t="shared" si="1091"/>
        <v>51.17439978176958</v>
      </c>
      <c r="BL127" s="3264">
        <f t="shared" si="1092"/>
        <v>-0.17939978176957516</v>
      </c>
      <c r="BM127" s="3208">
        <f t="shared" si="1120"/>
        <v>123.73499999999999</v>
      </c>
      <c r="BN127" s="3208">
        <f t="shared" si="1121"/>
        <v>123.67520007274346</v>
      </c>
      <c r="BO127" s="3208">
        <f t="shared" si="1122"/>
        <v>5.9799927256525054E-2</v>
      </c>
      <c r="BP127" s="3136">
        <f t="shared" si="1094"/>
        <v>0</v>
      </c>
      <c r="BQ127" s="3061"/>
      <c r="BR127" s="3061"/>
      <c r="BS127" s="3136">
        <f t="shared" si="1097"/>
        <v>0</v>
      </c>
      <c r="BT127" s="3061"/>
      <c r="BU127" s="3061"/>
      <c r="BV127" s="3136">
        <f t="shared" si="1100"/>
        <v>0</v>
      </c>
      <c r="BW127" s="3061"/>
      <c r="BX127" s="3061"/>
      <c r="BY127" s="3136">
        <f t="shared" si="1103"/>
        <v>0</v>
      </c>
      <c r="BZ127" s="3136">
        <f t="shared" si="1104"/>
        <v>0</v>
      </c>
      <c r="CA127" s="3136">
        <f t="shared" si="1105"/>
        <v>0</v>
      </c>
      <c r="CB127" s="3209">
        <v>494.94</v>
      </c>
      <c r="CC127" s="3209">
        <f>SUM(CB127/CB14*CC14)</f>
        <v>494.70080029097386</v>
      </c>
      <c r="CD127" s="3209">
        <f>SUM(CB127/CB14*CD14)</f>
        <v>0.23919970902610022</v>
      </c>
      <c r="CE127" s="3264">
        <f t="shared" si="1106"/>
        <v>422.2</v>
      </c>
      <c r="CF127" s="3264">
        <f t="shared" si="1107"/>
        <v>422.2</v>
      </c>
      <c r="CG127" s="3264">
        <f t="shared" si="1108"/>
        <v>0</v>
      </c>
      <c r="CH127" s="3264">
        <f t="shared" si="1109"/>
        <v>-72.740000000000009</v>
      </c>
      <c r="CI127" s="3264">
        <f t="shared" si="1110"/>
        <v>-72.500800290973871</v>
      </c>
      <c r="CJ127" s="3264">
        <f t="shared" si="1111"/>
        <v>-0.23919970902610022</v>
      </c>
      <c r="CK127" s="3259"/>
      <c r="CL127" s="3259"/>
      <c r="CM127" s="3259"/>
      <c r="CN127" s="3055"/>
    </row>
    <row r="128" spans="1:92" ht="18.75" customHeight="1" x14ac:dyDescent="0.3">
      <c r="A128" s="3075" t="s">
        <v>52</v>
      </c>
      <c r="B128" s="3208">
        <f t="shared" si="1112"/>
        <v>2.5074999999999998</v>
      </c>
      <c r="C128" s="3208">
        <f t="shared" si="1113"/>
        <v>2.5062881495325029</v>
      </c>
      <c r="D128" s="3208">
        <f t="shared" si="1114"/>
        <v>1.2118504674969619E-3</v>
      </c>
      <c r="E128" s="3136">
        <f t="shared" si="889"/>
        <v>0.76</v>
      </c>
      <c r="F128" s="3061">
        <v>0.76</v>
      </c>
      <c r="G128" s="3061"/>
      <c r="H128" s="3136">
        <f t="shared" si="1045"/>
        <v>0</v>
      </c>
      <c r="I128" s="3061"/>
      <c r="J128" s="3061"/>
      <c r="K128" s="3136">
        <f t="shared" si="1048"/>
        <v>0.78</v>
      </c>
      <c r="L128" s="3061">
        <v>0.78</v>
      </c>
      <c r="M128" s="3061"/>
      <c r="N128" s="3136">
        <f t="shared" si="1051"/>
        <v>1.54</v>
      </c>
      <c r="O128" s="3136">
        <f t="shared" si="1052"/>
        <v>1.54</v>
      </c>
      <c r="P128" s="3136">
        <f t="shared" si="1053"/>
        <v>0</v>
      </c>
      <c r="Q128" s="3208">
        <f t="shared" si="1115"/>
        <v>2.5074999999999998</v>
      </c>
      <c r="R128" s="3208">
        <f t="shared" si="1116"/>
        <v>2.5062881495325029</v>
      </c>
      <c r="S128" s="3208">
        <f t="shared" si="1117"/>
        <v>1.2118504674969619E-3</v>
      </c>
      <c r="T128" s="3136">
        <f t="shared" si="1055"/>
        <v>1.52</v>
      </c>
      <c r="U128" s="3061">
        <v>1.52</v>
      </c>
      <c r="V128" s="3061"/>
      <c r="W128" s="3136">
        <f t="shared" si="1058"/>
        <v>0</v>
      </c>
      <c r="X128" s="3061"/>
      <c r="Y128" s="3061"/>
      <c r="Z128" s="3136">
        <f t="shared" si="1061"/>
        <v>0.79</v>
      </c>
      <c r="AA128" s="3061">
        <v>0.79</v>
      </c>
      <c r="AB128" s="3061"/>
      <c r="AC128" s="3136">
        <f t="shared" si="1064"/>
        <v>2.31</v>
      </c>
      <c r="AD128" s="3136">
        <f t="shared" si="1065"/>
        <v>2.31</v>
      </c>
      <c r="AE128" s="3136">
        <f t="shared" si="1066"/>
        <v>0</v>
      </c>
      <c r="AF128" s="3209">
        <f t="shared" si="851"/>
        <v>5.0149999999999997</v>
      </c>
      <c r="AG128" s="3209">
        <f t="shared" si="852"/>
        <v>5.0125762990650058</v>
      </c>
      <c r="AH128" s="3209">
        <f t="shared" si="853"/>
        <v>2.4237009349939239E-3</v>
      </c>
      <c r="AI128" s="3264">
        <f t="shared" si="1067"/>
        <v>3.85</v>
      </c>
      <c r="AJ128" s="3264">
        <f t="shared" si="1068"/>
        <v>3.85</v>
      </c>
      <c r="AK128" s="3264">
        <f t="shared" si="1069"/>
        <v>0</v>
      </c>
      <c r="AL128" s="3264">
        <f t="shared" si="1070"/>
        <v>-1.1649999999999996</v>
      </c>
      <c r="AM128" s="3264">
        <f t="shared" si="1071"/>
        <v>-1.1625762990650057</v>
      </c>
      <c r="AN128" s="3264">
        <f t="shared" si="1072"/>
        <v>-2.4237009349939239E-3</v>
      </c>
      <c r="AO128" s="3208">
        <f t="shared" si="1073"/>
        <v>2.5074999999999998</v>
      </c>
      <c r="AP128" s="3208">
        <f t="shared" si="1118"/>
        <v>2.5062881495325029</v>
      </c>
      <c r="AQ128" s="3208">
        <f t="shared" si="1119"/>
        <v>1.2118504674969619E-3</v>
      </c>
      <c r="AR128" s="3136">
        <f t="shared" si="1075"/>
        <v>0.78</v>
      </c>
      <c r="AS128" s="3061">
        <v>0.78</v>
      </c>
      <c r="AT128" s="3061"/>
      <c r="AU128" s="3136">
        <f t="shared" si="1078"/>
        <v>0.95</v>
      </c>
      <c r="AV128" s="3061">
        <v>0.95</v>
      </c>
      <c r="AW128" s="3061"/>
      <c r="AX128" s="3136">
        <f t="shared" si="1081"/>
        <v>1.49</v>
      </c>
      <c r="AY128" s="3061">
        <v>1.49</v>
      </c>
      <c r="AZ128" s="3061"/>
      <c r="BA128" s="3136">
        <f t="shared" si="1084"/>
        <v>3.2199999999999998</v>
      </c>
      <c r="BB128" s="3136">
        <f t="shared" si="1085"/>
        <v>3.2199999999999998</v>
      </c>
      <c r="BC128" s="3136">
        <f t="shared" si="1086"/>
        <v>0</v>
      </c>
      <c r="BD128" s="3209">
        <f t="shared" si="994"/>
        <v>7.5224999999999991</v>
      </c>
      <c r="BE128" s="3209">
        <f t="shared" si="995"/>
        <v>7.5188644485975082</v>
      </c>
      <c r="BF128" s="3209">
        <f t="shared" si="996"/>
        <v>3.635551402490886E-3</v>
      </c>
      <c r="BG128" s="3264">
        <f t="shared" si="1087"/>
        <v>7.07</v>
      </c>
      <c r="BH128" s="3264">
        <f t="shared" si="1088"/>
        <v>7.07</v>
      </c>
      <c r="BI128" s="3264">
        <f t="shared" si="1089"/>
        <v>0</v>
      </c>
      <c r="BJ128" s="3264">
        <f t="shared" si="1090"/>
        <v>-0.45249999999999879</v>
      </c>
      <c r="BK128" s="3264">
        <f t="shared" si="1091"/>
        <v>-0.44886444859750796</v>
      </c>
      <c r="BL128" s="3264">
        <f t="shared" si="1092"/>
        <v>-3.635551402490886E-3</v>
      </c>
      <c r="BM128" s="3208">
        <f t="shared" si="1120"/>
        <v>2.5074999999999998</v>
      </c>
      <c r="BN128" s="3208">
        <f t="shared" si="1121"/>
        <v>2.5062881495325029</v>
      </c>
      <c r="BO128" s="3208">
        <f t="shared" si="1122"/>
        <v>1.2118504674969619E-3</v>
      </c>
      <c r="BP128" s="3136">
        <f t="shared" si="1094"/>
        <v>0</v>
      </c>
      <c r="BQ128" s="3061"/>
      <c r="BR128" s="3061"/>
      <c r="BS128" s="3136">
        <f t="shared" si="1097"/>
        <v>0</v>
      </c>
      <c r="BT128" s="3061"/>
      <c r="BU128" s="3061"/>
      <c r="BV128" s="3136">
        <f t="shared" si="1100"/>
        <v>0</v>
      </c>
      <c r="BW128" s="3061"/>
      <c r="BX128" s="3061"/>
      <c r="BY128" s="3136">
        <f t="shared" si="1103"/>
        <v>0</v>
      </c>
      <c r="BZ128" s="3136">
        <f t="shared" si="1104"/>
        <v>0</v>
      </c>
      <c r="CA128" s="3136">
        <f t="shared" si="1105"/>
        <v>0</v>
      </c>
      <c r="CB128" s="3209">
        <v>10.029999999999999</v>
      </c>
      <c r="CC128" s="3209">
        <f>SUM(CB128/CB14*CC14)</f>
        <v>10.025152598130012</v>
      </c>
      <c r="CD128" s="3209">
        <f>SUM(CB128/CB14*CD14)</f>
        <v>4.8474018699878477E-3</v>
      </c>
      <c r="CE128" s="3264">
        <f t="shared" si="1106"/>
        <v>7.07</v>
      </c>
      <c r="CF128" s="3264">
        <f t="shared" si="1107"/>
        <v>7.07</v>
      </c>
      <c r="CG128" s="3264">
        <f t="shared" si="1108"/>
        <v>0</v>
      </c>
      <c r="CH128" s="3264">
        <f t="shared" si="1109"/>
        <v>-2.9599999999999991</v>
      </c>
      <c r="CI128" s="3264">
        <f t="shared" si="1110"/>
        <v>-2.9551525981300113</v>
      </c>
      <c r="CJ128" s="3264">
        <f t="shared" si="1111"/>
        <v>-4.8474018699878477E-3</v>
      </c>
      <c r="CK128" s="3259"/>
      <c r="CL128" s="3259"/>
      <c r="CM128" s="3259"/>
      <c r="CN128" s="3055"/>
    </row>
    <row r="129" spans="1:92" ht="18.75" customHeight="1" x14ac:dyDescent="0.3">
      <c r="A129" s="3075" t="s">
        <v>601</v>
      </c>
      <c r="B129" s="3208">
        <f t="shared" si="1112"/>
        <v>52.005749999999999</v>
      </c>
      <c r="C129" s="3208">
        <f t="shared" si="1113"/>
        <v>51.980616124646048</v>
      </c>
      <c r="D129" s="3208">
        <f t="shared" si="1114"/>
        <v>2.5133875353950202E-2</v>
      </c>
      <c r="E129" s="3136">
        <f t="shared" si="889"/>
        <v>15.73</v>
      </c>
      <c r="F129" s="3061">
        <v>15.73</v>
      </c>
      <c r="G129" s="3061"/>
      <c r="H129" s="3136">
        <f t="shared" si="1045"/>
        <v>7.9</v>
      </c>
      <c r="I129" s="3061">
        <v>7.9</v>
      </c>
      <c r="J129" s="3061"/>
      <c r="K129" s="3136">
        <f t="shared" si="1048"/>
        <v>7.71</v>
      </c>
      <c r="L129" s="3061">
        <v>7.71</v>
      </c>
      <c r="M129" s="3061"/>
      <c r="N129" s="3136">
        <f t="shared" si="1051"/>
        <v>31.340000000000003</v>
      </c>
      <c r="O129" s="3136">
        <f t="shared" si="1052"/>
        <v>31.340000000000003</v>
      </c>
      <c r="P129" s="3136">
        <f t="shared" si="1053"/>
        <v>0</v>
      </c>
      <c r="Q129" s="3208">
        <f t="shared" si="1115"/>
        <v>52.005749999999999</v>
      </c>
      <c r="R129" s="3208">
        <f t="shared" si="1116"/>
        <v>51.980616124646048</v>
      </c>
      <c r="S129" s="3208">
        <f t="shared" si="1117"/>
        <v>2.5133875353950202E-2</v>
      </c>
      <c r="T129" s="3136">
        <f t="shared" si="1055"/>
        <v>20.76</v>
      </c>
      <c r="U129" s="3061">
        <v>20.76</v>
      </c>
      <c r="V129" s="3061"/>
      <c r="W129" s="3136">
        <f t="shared" si="1058"/>
        <v>13.48</v>
      </c>
      <c r="X129" s="3061">
        <v>13.48</v>
      </c>
      <c r="Y129" s="3061"/>
      <c r="Z129" s="3136">
        <f t="shared" si="1061"/>
        <v>11.7</v>
      </c>
      <c r="AA129" s="3061">
        <v>11.7</v>
      </c>
      <c r="AB129" s="3061"/>
      <c r="AC129" s="3136">
        <f t="shared" si="1064"/>
        <v>45.94</v>
      </c>
      <c r="AD129" s="3136">
        <f t="shared" si="1065"/>
        <v>45.94</v>
      </c>
      <c r="AE129" s="3136">
        <f t="shared" si="1066"/>
        <v>0</v>
      </c>
      <c r="AF129" s="3209">
        <f t="shared" si="851"/>
        <v>104.0115</v>
      </c>
      <c r="AG129" s="3209">
        <f t="shared" si="852"/>
        <v>103.9612322492921</v>
      </c>
      <c r="AH129" s="3209">
        <f t="shared" si="853"/>
        <v>5.0267750707900405E-2</v>
      </c>
      <c r="AI129" s="3264">
        <f t="shared" si="1067"/>
        <v>77.28</v>
      </c>
      <c r="AJ129" s="3264">
        <f t="shared" si="1068"/>
        <v>77.28</v>
      </c>
      <c r="AK129" s="3264">
        <f t="shared" si="1069"/>
        <v>0</v>
      </c>
      <c r="AL129" s="3264">
        <f t="shared" si="1070"/>
        <v>-26.731499999999997</v>
      </c>
      <c r="AM129" s="3264">
        <f t="shared" si="1071"/>
        <v>-26.681232249292094</v>
      </c>
      <c r="AN129" s="3264">
        <f t="shared" si="1072"/>
        <v>-5.0267750707900405E-2</v>
      </c>
      <c r="AO129" s="3208">
        <f t="shared" si="1073"/>
        <v>52.005749999999999</v>
      </c>
      <c r="AP129" s="3208">
        <f t="shared" si="1118"/>
        <v>51.980616124646048</v>
      </c>
      <c r="AQ129" s="3208">
        <f t="shared" si="1119"/>
        <v>2.5133875353950202E-2</v>
      </c>
      <c r="AR129" s="3136">
        <f t="shared" si="1075"/>
        <v>14.77</v>
      </c>
      <c r="AS129" s="3061">
        <v>14.77</v>
      </c>
      <c r="AT129" s="3061"/>
      <c r="AU129" s="3136">
        <f t="shared" si="1078"/>
        <v>9.3000000000000007</v>
      </c>
      <c r="AV129" s="3061">
        <v>9.3000000000000007</v>
      </c>
      <c r="AW129" s="3061"/>
      <c r="AX129" s="3136">
        <f t="shared" si="1081"/>
        <v>11.57</v>
      </c>
      <c r="AY129" s="3061">
        <v>11.57</v>
      </c>
      <c r="AZ129" s="3061"/>
      <c r="BA129" s="3136">
        <f t="shared" si="1084"/>
        <v>35.64</v>
      </c>
      <c r="BB129" s="3136">
        <f t="shared" si="1085"/>
        <v>35.64</v>
      </c>
      <c r="BC129" s="3136">
        <f t="shared" si="1086"/>
        <v>0</v>
      </c>
      <c r="BD129" s="3209">
        <f t="shared" si="994"/>
        <v>156.01724999999999</v>
      </c>
      <c r="BE129" s="3209">
        <f t="shared" si="995"/>
        <v>155.94184837393814</v>
      </c>
      <c r="BF129" s="3209">
        <f t="shared" si="996"/>
        <v>7.5401626061850607E-2</v>
      </c>
      <c r="BG129" s="3264">
        <f t="shared" si="1087"/>
        <v>112.92</v>
      </c>
      <c r="BH129" s="3264">
        <f t="shared" si="1088"/>
        <v>112.92</v>
      </c>
      <c r="BI129" s="3264">
        <f t="shared" si="1089"/>
        <v>0</v>
      </c>
      <c r="BJ129" s="3264">
        <f t="shared" si="1090"/>
        <v>-43.097249999999988</v>
      </c>
      <c r="BK129" s="3264">
        <f t="shared" si="1091"/>
        <v>-43.021848373938141</v>
      </c>
      <c r="BL129" s="3264">
        <f t="shared" si="1092"/>
        <v>-7.5401626061850607E-2</v>
      </c>
      <c r="BM129" s="3208">
        <f t="shared" si="1120"/>
        <v>52.005749999999999</v>
      </c>
      <c r="BN129" s="3208">
        <f t="shared" si="1121"/>
        <v>51.980616124646048</v>
      </c>
      <c r="BO129" s="3208">
        <f t="shared" si="1122"/>
        <v>2.5133875353950202E-2</v>
      </c>
      <c r="BP129" s="3136">
        <f t="shared" si="1094"/>
        <v>0</v>
      </c>
      <c r="BQ129" s="3061"/>
      <c r="BR129" s="3061"/>
      <c r="BS129" s="3136">
        <f t="shared" si="1097"/>
        <v>0</v>
      </c>
      <c r="BT129" s="3061"/>
      <c r="BU129" s="3061"/>
      <c r="BV129" s="3136">
        <f t="shared" si="1100"/>
        <v>0</v>
      </c>
      <c r="BW129" s="3061"/>
      <c r="BX129" s="3061"/>
      <c r="BY129" s="3136">
        <f t="shared" si="1103"/>
        <v>0</v>
      </c>
      <c r="BZ129" s="3136">
        <f t="shared" si="1104"/>
        <v>0</v>
      </c>
      <c r="CA129" s="3136">
        <f t="shared" si="1105"/>
        <v>0</v>
      </c>
      <c r="CB129" s="3209">
        <f>208.02+0.003</f>
        <v>208.023</v>
      </c>
      <c r="CC129" s="3209">
        <f>SUM(CB129/CB14*CC14)</f>
        <v>207.92246449858419</v>
      </c>
      <c r="CD129" s="3209">
        <f t="shared" ref="CD129" si="1123">SUM(CB129/CB38*CD38)</f>
        <v>0.10053550141580081</v>
      </c>
      <c r="CE129" s="3264">
        <f t="shared" si="1106"/>
        <v>112.92</v>
      </c>
      <c r="CF129" s="3264">
        <f t="shared" si="1107"/>
        <v>112.92</v>
      </c>
      <c r="CG129" s="3264">
        <f t="shared" si="1108"/>
        <v>0</v>
      </c>
      <c r="CH129" s="3264">
        <f t="shared" si="1109"/>
        <v>-95.102999999999994</v>
      </c>
      <c r="CI129" s="3264">
        <f t="shared" si="1110"/>
        <v>-95.002464498584189</v>
      </c>
      <c r="CJ129" s="3264">
        <f t="shared" si="1111"/>
        <v>-0.10053550141580081</v>
      </c>
      <c r="CK129" s="3259"/>
      <c r="CL129" s="3259"/>
      <c r="CM129" s="3259"/>
      <c r="CN129" s="3055"/>
    </row>
    <row r="130" spans="1:92" ht="18.75" customHeight="1" x14ac:dyDescent="0.3">
      <c r="A130" s="3075" t="s">
        <v>38</v>
      </c>
      <c r="B130" s="3208">
        <f t="shared" si="1112"/>
        <v>0</v>
      </c>
      <c r="C130" s="3208">
        <f t="shared" si="1113"/>
        <v>0</v>
      </c>
      <c r="D130" s="3208">
        <f t="shared" si="1114"/>
        <v>0</v>
      </c>
      <c r="E130" s="3136">
        <f t="shared" si="889"/>
        <v>0</v>
      </c>
      <c r="F130" s="3061"/>
      <c r="G130" s="3061"/>
      <c r="H130" s="3136">
        <f t="shared" si="1045"/>
        <v>0</v>
      </c>
      <c r="I130" s="3061"/>
      <c r="J130" s="3061"/>
      <c r="K130" s="3136">
        <f t="shared" si="1048"/>
        <v>0</v>
      </c>
      <c r="L130" s="3061"/>
      <c r="M130" s="3061"/>
      <c r="N130" s="3136">
        <f t="shared" si="1051"/>
        <v>0</v>
      </c>
      <c r="O130" s="3136">
        <f t="shared" si="1052"/>
        <v>0</v>
      </c>
      <c r="P130" s="3136">
        <f t="shared" si="1053"/>
        <v>0</v>
      </c>
      <c r="Q130" s="3208">
        <f t="shared" si="1115"/>
        <v>0</v>
      </c>
      <c r="R130" s="3208">
        <f t="shared" si="1116"/>
        <v>0</v>
      </c>
      <c r="S130" s="3208">
        <f t="shared" si="1117"/>
        <v>0</v>
      </c>
      <c r="T130" s="3136">
        <f t="shared" si="1055"/>
        <v>2.8</v>
      </c>
      <c r="U130" s="3061">
        <v>2.8</v>
      </c>
      <c r="V130" s="3061"/>
      <c r="W130" s="3136">
        <f t="shared" si="1058"/>
        <v>0</v>
      </c>
      <c r="X130" s="3061"/>
      <c r="Y130" s="3061"/>
      <c r="Z130" s="3136">
        <f t="shared" si="1061"/>
        <v>0</v>
      </c>
      <c r="AA130" s="3061"/>
      <c r="AB130" s="3061"/>
      <c r="AC130" s="3136">
        <f t="shared" si="1064"/>
        <v>2.8</v>
      </c>
      <c r="AD130" s="3136">
        <f t="shared" si="1065"/>
        <v>2.8</v>
      </c>
      <c r="AE130" s="3136">
        <f t="shared" si="1066"/>
        <v>0</v>
      </c>
      <c r="AF130" s="3209">
        <f t="shared" si="851"/>
        <v>0</v>
      </c>
      <c r="AG130" s="3209">
        <f t="shared" si="852"/>
        <v>0</v>
      </c>
      <c r="AH130" s="3209">
        <f t="shared" si="853"/>
        <v>0</v>
      </c>
      <c r="AI130" s="3264">
        <f t="shared" si="1067"/>
        <v>2.8</v>
      </c>
      <c r="AJ130" s="3264">
        <f t="shared" si="1068"/>
        <v>2.8</v>
      </c>
      <c r="AK130" s="3264">
        <f t="shared" si="1069"/>
        <v>0</v>
      </c>
      <c r="AL130" s="3264">
        <f t="shared" si="1070"/>
        <v>2.8</v>
      </c>
      <c r="AM130" s="3264">
        <f t="shared" si="1071"/>
        <v>2.8</v>
      </c>
      <c r="AN130" s="3264">
        <f t="shared" si="1072"/>
        <v>0</v>
      </c>
      <c r="AO130" s="3208">
        <f t="shared" si="1073"/>
        <v>0</v>
      </c>
      <c r="AP130" s="3208">
        <f t="shared" si="1118"/>
        <v>0</v>
      </c>
      <c r="AQ130" s="3208">
        <f t="shared" si="1119"/>
        <v>0</v>
      </c>
      <c r="AR130" s="3136">
        <f t="shared" si="1075"/>
        <v>0</v>
      </c>
      <c r="AS130" s="3061"/>
      <c r="AT130" s="3061"/>
      <c r="AU130" s="3136">
        <f t="shared" si="1078"/>
        <v>0</v>
      </c>
      <c r="AV130" s="3061"/>
      <c r="AW130" s="3061"/>
      <c r="AX130" s="3136">
        <f t="shared" si="1081"/>
        <v>0</v>
      </c>
      <c r="AY130" s="3061"/>
      <c r="AZ130" s="3061"/>
      <c r="BA130" s="3136">
        <f t="shared" si="1084"/>
        <v>0</v>
      </c>
      <c r="BB130" s="3136">
        <f t="shared" si="1085"/>
        <v>0</v>
      </c>
      <c r="BC130" s="3136">
        <f t="shared" si="1086"/>
        <v>0</v>
      </c>
      <c r="BD130" s="3209">
        <f t="shared" si="994"/>
        <v>0</v>
      </c>
      <c r="BE130" s="3209">
        <f t="shared" si="995"/>
        <v>0</v>
      </c>
      <c r="BF130" s="3209">
        <f t="shared" si="996"/>
        <v>0</v>
      </c>
      <c r="BG130" s="3264">
        <f t="shared" si="1087"/>
        <v>2.8</v>
      </c>
      <c r="BH130" s="3264">
        <f t="shared" si="1088"/>
        <v>2.8</v>
      </c>
      <c r="BI130" s="3264">
        <f t="shared" si="1089"/>
        <v>0</v>
      </c>
      <c r="BJ130" s="3264">
        <f t="shared" si="1090"/>
        <v>2.8</v>
      </c>
      <c r="BK130" s="3264">
        <f t="shared" si="1091"/>
        <v>2.8</v>
      </c>
      <c r="BL130" s="3264">
        <f t="shared" si="1092"/>
        <v>0</v>
      </c>
      <c r="BM130" s="3208">
        <f t="shared" si="1120"/>
        <v>0</v>
      </c>
      <c r="BN130" s="3208">
        <f t="shared" si="1121"/>
        <v>0</v>
      </c>
      <c r="BO130" s="3208">
        <f t="shared" si="1122"/>
        <v>0</v>
      </c>
      <c r="BP130" s="3136">
        <f t="shared" si="1094"/>
        <v>0</v>
      </c>
      <c r="BQ130" s="3061"/>
      <c r="BR130" s="3061"/>
      <c r="BS130" s="3136">
        <f t="shared" si="1097"/>
        <v>0</v>
      </c>
      <c r="BT130" s="3061"/>
      <c r="BU130" s="3061"/>
      <c r="BV130" s="3136">
        <f t="shared" si="1100"/>
        <v>0</v>
      </c>
      <c r="BW130" s="3061"/>
      <c r="BX130" s="3061"/>
      <c r="BY130" s="3136">
        <f t="shared" si="1103"/>
        <v>0</v>
      </c>
      <c r="BZ130" s="3136">
        <f t="shared" si="1104"/>
        <v>0</v>
      </c>
      <c r="CA130" s="3136">
        <f t="shared" si="1105"/>
        <v>0</v>
      </c>
      <c r="CB130" s="3209">
        <v>0</v>
      </c>
      <c r="CC130" s="3209">
        <f>SUM(CB130/CB14*CC14)</f>
        <v>0</v>
      </c>
      <c r="CD130" s="3209">
        <f>SUM(CB130/CB14*CD14)</f>
        <v>0</v>
      </c>
      <c r="CE130" s="3264">
        <f t="shared" si="1106"/>
        <v>2.8</v>
      </c>
      <c r="CF130" s="3264">
        <f t="shared" si="1107"/>
        <v>2.8</v>
      </c>
      <c r="CG130" s="3264">
        <f t="shared" si="1108"/>
        <v>0</v>
      </c>
      <c r="CH130" s="3264">
        <f t="shared" si="1109"/>
        <v>2.8</v>
      </c>
      <c r="CI130" s="3264">
        <f t="shared" si="1110"/>
        <v>2.8</v>
      </c>
      <c r="CJ130" s="3264">
        <f t="shared" si="1111"/>
        <v>0</v>
      </c>
      <c r="CK130" s="3259"/>
      <c r="CL130" s="3259"/>
      <c r="CM130" s="3259"/>
      <c r="CN130" s="3055"/>
    </row>
    <row r="131" spans="1:92" ht="18.75" customHeight="1" x14ac:dyDescent="0.3">
      <c r="A131" s="3075" t="s">
        <v>32</v>
      </c>
      <c r="B131" s="3208">
        <f t="shared" si="1112"/>
        <v>0.53500000000000003</v>
      </c>
      <c r="C131" s="3208">
        <f t="shared" si="1113"/>
        <v>0.53474143968091292</v>
      </c>
      <c r="D131" s="3208">
        <f t="shared" si="1114"/>
        <v>2.5856031908708858E-4</v>
      </c>
      <c r="E131" s="3136">
        <f t="shared" si="889"/>
        <v>0</v>
      </c>
      <c r="F131" s="3061"/>
      <c r="G131" s="3061"/>
      <c r="H131" s="3136">
        <f t="shared" si="1045"/>
        <v>0</v>
      </c>
      <c r="I131" s="3061"/>
      <c r="J131" s="3061"/>
      <c r="K131" s="3136">
        <f t="shared" si="1048"/>
        <v>0</v>
      </c>
      <c r="L131" s="3061"/>
      <c r="M131" s="3061"/>
      <c r="N131" s="3136">
        <f t="shared" si="1051"/>
        <v>0</v>
      </c>
      <c r="O131" s="3136">
        <f t="shared" si="1052"/>
        <v>0</v>
      </c>
      <c r="P131" s="3136">
        <f t="shared" si="1053"/>
        <v>0</v>
      </c>
      <c r="Q131" s="3208">
        <f t="shared" si="1115"/>
        <v>0.53500000000000003</v>
      </c>
      <c r="R131" s="3208">
        <f t="shared" si="1116"/>
        <v>0.53474143968091292</v>
      </c>
      <c r="S131" s="3208">
        <f t="shared" si="1117"/>
        <v>2.5856031908708858E-4</v>
      </c>
      <c r="T131" s="3136">
        <f t="shared" si="1055"/>
        <v>0</v>
      </c>
      <c r="U131" s="3061"/>
      <c r="V131" s="3061"/>
      <c r="W131" s="3136">
        <f t="shared" si="1058"/>
        <v>0</v>
      </c>
      <c r="X131" s="3061"/>
      <c r="Y131" s="3061"/>
      <c r="Z131" s="3136">
        <f t="shared" si="1061"/>
        <v>0</v>
      </c>
      <c r="AA131" s="3061"/>
      <c r="AB131" s="3061"/>
      <c r="AC131" s="3136">
        <f t="shared" si="1064"/>
        <v>0</v>
      </c>
      <c r="AD131" s="3136">
        <f t="shared" si="1065"/>
        <v>0</v>
      </c>
      <c r="AE131" s="3136">
        <f t="shared" si="1066"/>
        <v>0</v>
      </c>
      <c r="AF131" s="3209">
        <f t="shared" si="851"/>
        <v>1.07</v>
      </c>
      <c r="AG131" s="3209">
        <f t="shared" si="852"/>
        <v>1.0694828793618258</v>
      </c>
      <c r="AH131" s="3209">
        <f t="shared" si="853"/>
        <v>5.1712063817417717E-4</v>
      </c>
      <c r="AI131" s="3264">
        <f t="shared" si="1067"/>
        <v>0</v>
      </c>
      <c r="AJ131" s="3264">
        <f t="shared" si="1068"/>
        <v>0</v>
      </c>
      <c r="AK131" s="3264">
        <f t="shared" si="1069"/>
        <v>0</v>
      </c>
      <c r="AL131" s="3264">
        <f t="shared" si="1070"/>
        <v>-1.07</v>
      </c>
      <c r="AM131" s="3264">
        <f t="shared" si="1071"/>
        <v>-1.0694828793618258</v>
      </c>
      <c r="AN131" s="3264">
        <f t="shared" si="1072"/>
        <v>-5.1712063817417717E-4</v>
      </c>
      <c r="AO131" s="3208">
        <f t="shared" si="1073"/>
        <v>0.53500000000000003</v>
      </c>
      <c r="AP131" s="3208">
        <f t="shared" si="1118"/>
        <v>0.53474143968091292</v>
      </c>
      <c r="AQ131" s="3208">
        <f t="shared" si="1119"/>
        <v>2.5856031908708858E-4</v>
      </c>
      <c r="AR131" s="3136">
        <f t="shared" si="1075"/>
        <v>10.5</v>
      </c>
      <c r="AS131" s="3061">
        <v>10.5</v>
      </c>
      <c r="AT131" s="3061"/>
      <c r="AU131" s="3136">
        <f t="shared" si="1078"/>
        <v>4.17</v>
      </c>
      <c r="AV131" s="3061">
        <v>4.17</v>
      </c>
      <c r="AW131" s="3061"/>
      <c r="AX131" s="3136">
        <f t="shared" si="1081"/>
        <v>0</v>
      </c>
      <c r="AY131" s="3061"/>
      <c r="AZ131" s="3061"/>
      <c r="BA131" s="3136">
        <f t="shared" si="1084"/>
        <v>14.67</v>
      </c>
      <c r="BB131" s="3136">
        <f t="shared" si="1085"/>
        <v>14.67</v>
      </c>
      <c r="BC131" s="3136">
        <f t="shared" si="1086"/>
        <v>0</v>
      </c>
      <c r="BD131" s="3209">
        <f t="shared" si="994"/>
        <v>1.605</v>
      </c>
      <c r="BE131" s="3209">
        <f t="shared" si="995"/>
        <v>1.6042243190427388</v>
      </c>
      <c r="BF131" s="3209">
        <f t="shared" si="996"/>
        <v>7.7568095726126575E-4</v>
      </c>
      <c r="BG131" s="3264">
        <f t="shared" si="1087"/>
        <v>14.67</v>
      </c>
      <c r="BH131" s="3264">
        <f t="shared" si="1088"/>
        <v>14.67</v>
      </c>
      <c r="BI131" s="3264">
        <f t="shared" si="1089"/>
        <v>0</v>
      </c>
      <c r="BJ131" s="3264">
        <f t="shared" si="1090"/>
        <v>13.065</v>
      </c>
      <c r="BK131" s="3264">
        <f t="shared" si="1091"/>
        <v>13.065775680957261</v>
      </c>
      <c r="BL131" s="3264">
        <f t="shared" si="1092"/>
        <v>-7.7568095726126575E-4</v>
      </c>
      <c r="BM131" s="3208">
        <f t="shared" si="1120"/>
        <v>0.53500000000000003</v>
      </c>
      <c r="BN131" s="3208">
        <f t="shared" si="1121"/>
        <v>0.53474143968091292</v>
      </c>
      <c r="BO131" s="3208">
        <f t="shared" si="1122"/>
        <v>2.5856031908708858E-4</v>
      </c>
      <c r="BP131" s="3136">
        <f t="shared" si="1094"/>
        <v>0</v>
      </c>
      <c r="BQ131" s="3061"/>
      <c r="BR131" s="3061"/>
      <c r="BS131" s="3136">
        <f t="shared" si="1097"/>
        <v>0</v>
      </c>
      <c r="BT131" s="3061"/>
      <c r="BU131" s="3061"/>
      <c r="BV131" s="3136">
        <f t="shared" si="1100"/>
        <v>0</v>
      </c>
      <c r="BW131" s="3061"/>
      <c r="BX131" s="3061"/>
      <c r="BY131" s="3136">
        <f t="shared" si="1103"/>
        <v>0</v>
      </c>
      <c r="BZ131" s="3136">
        <f t="shared" si="1104"/>
        <v>0</v>
      </c>
      <c r="CA131" s="3136">
        <f t="shared" si="1105"/>
        <v>0</v>
      </c>
      <c r="CB131" s="3209">
        <v>2.14</v>
      </c>
      <c r="CC131" s="3209">
        <f>SUM(CB131/CB14*CC14)</f>
        <v>2.1389657587236517</v>
      </c>
      <c r="CD131" s="3209">
        <f>SUM(CB131/CB14*CD14)</f>
        <v>1.0342412763483543E-3</v>
      </c>
      <c r="CE131" s="3264">
        <f t="shared" si="1106"/>
        <v>14.67</v>
      </c>
      <c r="CF131" s="3264">
        <f t="shared" si="1107"/>
        <v>14.67</v>
      </c>
      <c r="CG131" s="3264">
        <f t="shared" si="1108"/>
        <v>0</v>
      </c>
      <c r="CH131" s="3264">
        <f t="shared" si="1109"/>
        <v>12.53</v>
      </c>
      <c r="CI131" s="3264">
        <f t="shared" si="1110"/>
        <v>12.531034241276348</v>
      </c>
      <c r="CJ131" s="3264">
        <f t="shared" si="1111"/>
        <v>-1.0342412763483543E-3</v>
      </c>
      <c r="CK131" s="3259"/>
      <c r="CL131" s="3259"/>
      <c r="CM131" s="3259"/>
      <c r="CN131" s="3055"/>
    </row>
    <row r="132" spans="1:92" ht="18.75" customHeight="1" x14ac:dyDescent="0.3">
      <c r="A132" s="3075" t="s">
        <v>602</v>
      </c>
      <c r="B132" s="3208">
        <f t="shared" si="1112"/>
        <v>45.952500000000001</v>
      </c>
      <c r="C132" s="3208">
        <f t="shared" ref="C132:D132" si="1124">SUM(C133)</f>
        <v>45.930291601751684</v>
      </c>
      <c r="D132" s="3208">
        <f t="shared" si="1124"/>
        <v>2.2208398248316708E-2</v>
      </c>
      <c r="E132" s="3136">
        <f t="shared" si="889"/>
        <v>2.36</v>
      </c>
      <c r="F132" s="3060">
        <f t="shared" ref="F132:M132" si="1125">SUM(F133)</f>
        <v>2.36</v>
      </c>
      <c r="G132" s="3060">
        <f t="shared" si="1125"/>
        <v>0</v>
      </c>
      <c r="H132" s="3136">
        <f t="shared" si="1045"/>
        <v>32.369999999999997</v>
      </c>
      <c r="I132" s="3060">
        <f t="shared" si="1125"/>
        <v>32.369999999999997</v>
      </c>
      <c r="J132" s="3060">
        <f t="shared" si="1125"/>
        <v>0</v>
      </c>
      <c r="K132" s="3136">
        <f t="shared" si="1048"/>
        <v>4.5399999999999991</v>
      </c>
      <c r="L132" s="3060">
        <f t="shared" si="1125"/>
        <v>4.5399999999999991</v>
      </c>
      <c r="M132" s="3060">
        <f t="shared" si="1125"/>
        <v>0</v>
      </c>
      <c r="N132" s="3136">
        <f t="shared" si="1051"/>
        <v>39.269999999999996</v>
      </c>
      <c r="O132" s="3136">
        <f t="shared" si="1052"/>
        <v>39.269999999999996</v>
      </c>
      <c r="P132" s="3136">
        <f t="shared" si="1053"/>
        <v>0</v>
      </c>
      <c r="Q132" s="3208">
        <f t="shared" si="1115"/>
        <v>45.952500000000001</v>
      </c>
      <c r="R132" s="3208">
        <f t="shared" ref="R132:S132" si="1126">SUM(R133)</f>
        <v>45.930291601751684</v>
      </c>
      <c r="S132" s="3208">
        <f t="shared" si="1126"/>
        <v>2.2208398248316708E-2</v>
      </c>
      <c r="T132" s="3136">
        <f t="shared" si="1055"/>
        <v>0.15</v>
      </c>
      <c r="U132" s="3060">
        <f t="shared" ref="U132:AB132" si="1127">SUM(U133)</f>
        <v>0.15</v>
      </c>
      <c r="V132" s="3060">
        <f t="shared" si="1127"/>
        <v>0</v>
      </c>
      <c r="W132" s="3136">
        <f t="shared" si="1058"/>
        <v>3.2</v>
      </c>
      <c r="X132" s="3060">
        <f t="shared" si="1127"/>
        <v>3.2</v>
      </c>
      <c r="Y132" s="3060">
        <f t="shared" si="1127"/>
        <v>0</v>
      </c>
      <c r="Z132" s="3136">
        <f t="shared" si="1061"/>
        <v>0.38</v>
      </c>
      <c r="AA132" s="3060">
        <f t="shared" si="1127"/>
        <v>0.38</v>
      </c>
      <c r="AB132" s="3060">
        <f t="shared" si="1127"/>
        <v>0</v>
      </c>
      <c r="AC132" s="3136">
        <f t="shared" si="1064"/>
        <v>3.73</v>
      </c>
      <c r="AD132" s="3136">
        <f t="shared" si="1065"/>
        <v>3.73</v>
      </c>
      <c r="AE132" s="3136">
        <f t="shared" si="1066"/>
        <v>0</v>
      </c>
      <c r="AF132" s="3209">
        <f t="shared" si="851"/>
        <v>91.905000000000001</v>
      </c>
      <c r="AG132" s="3209">
        <f t="shared" si="852"/>
        <v>91.860583203503367</v>
      </c>
      <c r="AH132" s="3209">
        <f t="shared" si="853"/>
        <v>4.4416796496633416E-2</v>
      </c>
      <c r="AI132" s="3264">
        <f t="shared" si="1067"/>
        <v>42.999999999999993</v>
      </c>
      <c r="AJ132" s="3264">
        <f t="shared" si="1068"/>
        <v>42.999999999999993</v>
      </c>
      <c r="AK132" s="3264">
        <f t="shared" si="1069"/>
        <v>0</v>
      </c>
      <c r="AL132" s="3264">
        <f t="shared" si="1070"/>
        <v>-48.905000000000008</v>
      </c>
      <c r="AM132" s="3264">
        <f t="shared" si="1071"/>
        <v>-48.860583203503374</v>
      </c>
      <c r="AN132" s="3264">
        <f t="shared" si="1072"/>
        <v>-4.4416796496633416E-2</v>
      </c>
      <c r="AO132" s="3208">
        <f t="shared" si="1073"/>
        <v>45.952500000000001</v>
      </c>
      <c r="AP132" s="3208">
        <f t="shared" ref="AP132:AQ132" si="1128">SUM(AP133)</f>
        <v>45.930291601751684</v>
      </c>
      <c r="AQ132" s="3208">
        <f t="shared" si="1128"/>
        <v>2.2208398248316708E-2</v>
      </c>
      <c r="AR132" s="3136">
        <f t="shared" si="1075"/>
        <v>0.62</v>
      </c>
      <c r="AS132" s="3060">
        <f t="shared" ref="AS132:AZ132" si="1129">SUM(AS133)</f>
        <v>0.62</v>
      </c>
      <c r="AT132" s="3060">
        <f t="shared" si="1129"/>
        <v>0</v>
      </c>
      <c r="AU132" s="3136">
        <f t="shared" si="1078"/>
        <v>4.9000000000000004</v>
      </c>
      <c r="AV132" s="3060">
        <f t="shared" si="1129"/>
        <v>4.9000000000000004</v>
      </c>
      <c r="AW132" s="3060">
        <f t="shared" si="1129"/>
        <v>0</v>
      </c>
      <c r="AX132" s="3136">
        <f t="shared" si="1081"/>
        <v>5.48</v>
      </c>
      <c r="AY132" s="3060">
        <f t="shared" si="1129"/>
        <v>5.48</v>
      </c>
      <c r="AZ132" s="3060">
        <f t="shared" si="1129"/>
        <v>0</v>
      </c>
      <c r="BA132" s="3136">
        <f t="shared" si="1084"/>
        <v>11</v>
      </c>
      <c r="BB132" s="3136">
        <f t="shared" si="1085"/>
        <v>11</v>
      </c>
      <c r="BC132" s="3136">
        <f t="shared" si="1086"/>
        <v>0</v>
      </c>
      <c r="BD132" s="3209">
        <f t="shared" si="994"/>
        <v>137.85749999999999</v>
      </c>
      <c r="BE132" s="3209">
        <f t="shared" si="995"/>
        <v>137.79087480525504</v>
      </c>
      <c r="BF132" s="3209">
        <f t="shared" si="996"/>
        <v>6.6625194744950128E-2</v>
      </c>
      <c r="BG132" s="3264">
        <f t="shared" si="1087"/>
        <v>53.999999999999993</v>
      </c>
      <c r="BH132" s="3264">
        <f t="shared" si="1088"/>
        <v>53.999999999999993</v>
      </c>
      <c r="BI132" s="3264">
        <f t="shared" si="1089"/>
        <v>0</v>
      </c>
      <c r="BJ132" s="3264">
        <f t="shared" si="1090"/>
        <v>-83.857499999999987</v>
      </c>
      <c r="BK132" s="3264">
        <f t="shared" si="1091"/>
        <v>-83.790874805255044</v>
      </c>
      <c r="BL132" s="3264">
        <f t="shared" si="1092"/>
        <v>-6.6625194744950128E-2</v>
      </c>
      <c r="BM132" s="3208">
        <f t="shared" si="1120"/>
        <v>45.952500000000001</v>
      </c>
      <c r="BN132" s="3208">
        <f t="shared" ref="BN132:BO132" si="1130">SUM(BN133)</f>
        <v>45.930291601751684</v>
      </c>
      <c r="BO132" s="3208">
        <f t="shared" si="1130"/>
        <v>2.2208398248316708E-2</v>
      </c>
      <c r="BP132" s="3136">
        <f t="shared" si="1094"/>
        <v>0</v>
      </c>
      <c r="BQ132" s="3060">
        <f t="shared" ref="BQ132:BX132" si="1131">SUM(BQ133)</f>
        <v>0</v>
      </c>
      <c r="BR132" s="3060">
        <f t="shared" si="1131"/>
        <v>0</v>
      </c>
      <c r="BS132" s="3136">
        <f t="shared" si="1097"/>
        <v>0</v>
      </c>
      <c r="BT132" s="3060">
        <f t="shared" si="1131"/>
        <v>0</v>
      </c>
      <c r="BU132" s="3060">
        <f t="shared" si="1131"/>
        <v>0</v>
      </c>
      <c r="BV132" s="3136">
        <f t="shared" si="1100"/>
        <v>0</v>
      </c>
      <c r="BW132" s="3060">
        <f t="shared" si="1131"/>
        <v>0</v>
      </c>
      <c r="BX132" s="3060">
        <f t="shared" si="1131"/>
        <v>0</v>
      </c>
      <c r="BY132" s="3136">
        <f t="shared" si="1103"/>
        <v>0</v>
      </c>
      <c r="BZ132" s="3136">
        <f t="shared" si="1104"/>
        <v>0</v>
      </c>
      <c r="CA132" s="3136">
        <f t="shared" si="1105"/>
        <v>0</v>
      </c>
      <c r="CB132" s="3209">
        <f t="shared" si="1024"/>
        <v>183.81</v>
      </c>
      <c r="CC132" s="3209">
        <f t="shared" ref="CC132:CD132" si="1132">SUM(CC133)</f>
        <v>183.72116640700673</v>
      </c>
      <c r="CD132" s="3209">
        <f t="shared" si="1132"/>
        <v>8.8833592993266833E-2</v>
      </c>
      <c r="CE132" s="3264">
        <f t="shared" si="1106"/>
        <v>53.999999999999993</v>
      </c>
      <c r="CF132" s="3264">
        <f t="shared" si="1107"/>
        <v>53.999999999999993</v>
      </c>
      <c r="CG132" s="3264">
        <f t="shared" si="1108"/>
        <v>0</v>
      </c>
      <c r="CH132" s="3264">
        <f t="shared" si="1109"/>
        <v>-129.81</v>
      </c>
      <c r="CI132" s="3264">
        <f t="shared" si="1110"/>
        <v>-129.72116640700673</v>
      </c>
      <c r="CJ132" s="3264">
        <f t="shared" si="1111"/>
        <v>-8.8833592993266833E-2</v>
      </c>
      <c r="CK132" s="3259"/>
      <c r="CL132" s="3259"/>
      <c r="CM132" s="3259"/>
      <c r="CN132" s="3055"/>
    </row>
    <row r="133" spans="1:92" ht="18.75" customHeight="1" x14ac:dyDescent="0.3">
      <c r="A133" s="3076" t="s">
        <v>557</v>
      </c>
      <c r="B133" s="3210">
        <f t="shared" si="1112"/>
        <v>45.952500000000001</v>
      </c>
      <c r="C133" s="3210">
        <f t="shared" ref="C133" si="1133">SUM(CC133/4)</f>
        <v>45.930291601751684</v>
      </c>
      <c r="D133" s="3210">
        <f t="shared" ref="D133" si="1134">SUM(CD133/4)</f>
        <v>2.2208398248316708E-2</v>
      </c>
      <c r="E133" s="3145">
        <f t="shared" si="889"/>
        <v>2.36</v>
      </c>
      <c r="F133" s="3066">
        <v>2.36</v>
      </c>
      <c r="G133" s="3066"/>
      <c r="H133" s="3145">
        <f t="shared" si="1045"/>
        <v>32.369999999999997</v>
      </c>
      <c r="I133" s="3066">
        <v>32.369999999999997</v>
      </c>
      <c r="J133" s="3066"/>
      <c r="K133" s="3145">
        <f t="shared" si="1048"/>
        <v>4.5399999999999991</v>
      </c>
      <c r="L133" s="3066">
        <f>4.52+0.02</f>
        <v>4.5399999999999991</v>
      </c>
      <c r="M133" s="3066"/>
      <c r="N133" s="3145">
        <f t="shared" si="1051"/>
        <v>39.269999999999996</v>
      </c>
      <c r="O133" s="3145">
        <f t="shared" si="1052"/>
        <v>39.269999999999996</v>
      </c>
      <c r="P133" s="3145">
        <f t="shared" si="1053"/>
        <v>0</v>
      </c>
      <c r="Q133" s="3210">
        <f t="shared" si="1115"/>
        <v>45.952500000000001</v>
      </c>
      <c r="R133" s="3210">
        <f t="shared" ref="R133" si="1135">SUM(C133)</f>
        <v>45.930291601751684</v>
      </c>
      <c r="S133" s="3210">
        <f t="shared" ref="S133" si="1136">SUM(D133)</f>
        <v>2.2208398248316708E-2</v>
      </c>
      <c r="T133" s="3145">
        <f t="shared" si="1055"/>
        <v>0.15</v>
      </c>
      <c r="U133" s="3066">
        <v>0.15</v>
      </c>
      <c r="V133" s="3066"/>
      <c r="W133" s="3145">
        <f t="shared" si="1058"/>
        <v>3.2</v>
      </c>
      <c r="X133" s="3066">
        <v>3.2</v>
      </c>
      <c r="Y133" s="3066"/>
      <c r="Z133" s="3145">
        <f t="shared" si="1061"/>
        <v>0.38</v>
      </c>
      <c r="AA133" s="3066">
        <v>0.38</v>
      </c>
      <c r="AB133" s="3066"/>
      <c r="AC133" s="3145">
        <f t="shared" si="1064"/>
        <v>3.73</v>
      </c>
      <c r="AD133" s="3145">
        <f t="shared" si="1065"/>
        <v>3.73</v>
      </c>
      <c r="AE133" s="3145">
        <f t="shared" si="1066"/>
        <v>0</v>
      </c>
      <c r="AF133" s="3211">
        <f t="shared" si="851"/>
        <v>91.905000000000001</v>
      </c>
      <c r="AG133" s="3211">
        <f t="shared" si="852"/>
        <v>91.860583203503367</v>
      </c>
      <c r="AH133" s="3211">
        <f t="shared" si="853"/>
        <v>4.4416796496633416E-2</v>
      </c>
      <c r="AI133" s="3194">
        <f t="shared" si="1067"/>
        <v>42.999999999999993</v>
      </c>
      <c r="AJ133" s="3194">
        <f t="shared" si="1068"/>
        <v>42.999999999999993</v>
      </c>
      <c r="AK133" s="3194">
        <f t="shared" si="1069"/>
        <v>0</v>
      </c>
      <c r="AL133" s="3194">
        <f t="shared" si="1070"/>
        <v>-48.905000000000008</v>
      </c>
      <c r="AM133" s="3194">
        <f t="shared" si="1071"/>
        <v>-48.860583203503374</v>
      </c>
      <c r="AN133" s="3194">
        <f t="shared" si="1072"/>
        <v>-4.4416796496633416E-2</v>
      </c>
      <c r="AO133" s="3210">
        <f t="shared" ref="AO133" si="1137">SUM(AP133:AQ133)</f>
        <v>45.952500000000001</v>
      </c>
      <c r="AP133" s="3210">
        <f t="shared" ref="AP133" si="1138">SUM(CC133-AG133)/2</f>
        <v>45.930291601751684</v>
      </c>
      <c r="AQ133" s="3210">
        <f t="shared" ref="AQ133" si="1139">SUM(CD133-AH133)/2</f>
        <v>2.2208398248316708E-2</v>
      </c>
      <c r="AR133" s="3145">
        <f t="shared" si="1075"/>
        <v>0.62</v>
      </c>
      <c r="AS133" s="3066">
        <v>0.62</v>
      </c>
      <c r="AT133" s="3066"/>
      <c r="AU133" s="3145">
        <f t="shared" si="1078"/>
        <v>4.9000000000000004</v>
      </c>
      <c r="AV133" s="3066">
        <v>4.9000000000000004</v>
      </c>
      <c r="AW133" s="3066"/>
      <c r="AX133" s="3145">
        <f t="shared" si="1081"/>
        <v>5.48</v>
      </c>
      <c r="AY133" s="3066">
        <v>5.48</v>
      </c>
      <c r="AZ133" s="3066"/>
      <c r="BA133" s="3145">
        <f t="shared" si="1084"/>
        <v>11</v>
      </c>
      <c r="BB133" s="3145">
        <f t="shared" si="1085"/>
        <v>11</v>
      </c>
      <c r="BC133" s="3145">
        <f t="shared" si="1086"/>
        <v>0</v>
      </c>
      <c r="BD133" s="3211">
        <f t="shared" si="994"/>
        <v>137.85749999999999</v>
      </c>
      <c r="BE133" s="3211">
        <f t="shared" si="995"/>
        <v>137.79087480525504</v>
      </c>
      <c r="BF133" s="3211">
        <f t="shared" si="996"/>
        <v>6.6625194744950128E-2</v>
      </c>
      <c r="BG133" s="3194">
        <f t="shared" si="1087"/>
        <v>53.999999999999993</v>
      </c>
      <c r="BH133" s="3194">
        <f t="shared" si="1088"/>
        <v>53.999999999999993</v>
      </c>
      <c r="BI133" s="3194">
        <f t="shared" si="1089"/>
        <v>0</v>
      </c>
      <c r="BJ133" s="3194">
        <f t="shared" si="1090"/>
        <v>-83.857499999999987</v>
      </c>
      <c r="BK133" s="3194">
        <f t="shared" si="1091"/>
        <v>-83.790874805255044</v>
      </c>
      <c r="BL133" s="3194">
        <f t="shared" si="1092"/>
        <v>-6.6625194744950128E-2</v>
      </c>
      <c r="BM133" s="3210">
        <f t="shared" ref="BM133" si="1140">SUM(BN133:BO133)</f>
        <v>45.952500000000001</v>
      </c>
      <c r="BN133" s="3210">
        <f t="shared" ref="BN133" si="1141">SUM(AP133)</f>
        <v>45.930291601751684</v>
      </c>
      <c r="BO133" s="3210">
        <f t="shared" ref="BO133" si="1142">SUM(AQ133)</f>
        <v>2.2208398248316708E-2</v>
      </c>
      <c r="BP133" s="3145">
        <f t="shared" si="1094"/>
        <v>0</v>
      </c>
      <c r="BQ133" s="3066"/>
      <c r="BR133" s="3066"/>
      <c r="BS133" s="3145">
        <f t="shared" si="1097"/>
        <v>0</v>
      </c>
      <c r="BT133" s="3066"/>
      <c r="BU133" s="3066"/>
      <c r="BV133" s="3145">
        <f t="shared" si="1100"/>
        <v>0</v>
      </c>
      <c r="BW133" s="3066"/>
      <c r="BX133" s="3066"/>
      <c r="BY133" s="3145">
        <f t="shared" si="1103"/>
        <v>0</v>
      </c>
      <c r="BZ133" s="3145">
        <f t="shared" si="1104"/>
        <v>0</v>
      </c>
      <c r="CA133" s="3145">
        <f t="shared" si="1105"/>
        <v>0</v>
      </c>
      <c r="CB133" s="3211">
        <v>183.81</v>
      </c>
      <c r="CC133" s="3211">
        <f t="shared" ref="CC133" si="1143">SUM(CB133/CB42*CC42)</f>
        <v>183.72116640700673</v>
      </c>
      <c r="CD133" s="3211">
        <f>SUM(CB133/CB14*CD14)</f>
        <v>8.8833592993266833E-2</v>
      </c>
      <c r="CE133" s="3194">
        <f t="shared" si="1106"/>
        <v>53.999999999999993</v>
      </c>
      <c r="CF133" s="3194">
        <f t="shared" si="1107"/>
        <v>53.999999999999993</v>
      </c>
      <c r="CG133" s="3194">
        <f t="shared" si="1108"/>
        <v>0</v>
      </c>
      <c r="CH133" s="3194">
        <f t="shared" si="1109"/>
        <v>-129.81</v>
      </c>
      <c r="CI133" s="3194">
        <f t="shared" si="1110"/>
        <v>-129.72116640700673</v>
      </c>
      <c r="CJ133" s="3194">
        <f t="shared" si="1111"/>
        <v>-8.8833592993266833E-2</v>
      </c>
      <c r="CK133" s="3259"/>
      <c r="CL133" s="3259"/>
      <c r="CM133" s="3259"/>
      <c r="CN133" s="3055"/>
    </row>
    <row r="134" spans="1:92" ht="18.75" customHeight="1" x14ac:dyDescent="0.3">
      <c r="A134" s="3075" t="s">
        <v>605</v>
      </c>
      <c r="B134" s="3208">
        <f t="shared" si="1112"/>
        <v>42.207499999999996</v>
      </c>
      <c r="C134" s="3208">
        <f>SUM(C135:C137)</f>
        <v>42.187101523985291</v>
      </c>
      <c r="D134" s="3208">
        <f>SUM(D135:D137)</f>
        <v>2.0398476014707088E-2</v>
      </c>
      <c r="E134" s="3136">
        <f t="shared" si="889"/>
        <v>0</v>
      </c>
      <c r="F134" s="3060">
        <f>SUM(F135:F137)</f>
        <v>0</v>
      </c>
      <c r="G134" s="3060">
        <f t="shared" ref="G134" si="1144">SUM(G135:G137)</f>
        <v>0</v>
      </c>
      <c r="H134" s="3136">
        <f t="shared" si="1045"/>
        <v>53.339999999999996</v>
      </c>
      <c r="I134" s="3060">
        <f t="shared" ref="I134" si="1145">SUM(I135:I137)</f>
        <v>53.339999999999996</v>
      </c>
      <c r="J134" s="3060">
        <f t="shared" ref="J134" si="1146">SUM(J135:J137)</f>
        <v>0</v>
      </c>
      <c r="K134" s="3136">
        <f t="shared" si="1048"/>
        <v>0</v>
      </c>
      <c r="L134" s="3060">
        <f t="shared" ref="L134" si="1147">SUM(L135:L137)</f>
        <v>0</v>
      </c>
      <c r="M134" s="3060">
        <f t="shared" ref="M134" si="1148">SUM(M135:M137)</f>
        <v>0</v>
      </c>
      <c r="N134" s="3136">
        <f t="shared" si="1051"/>
        <v>53.339999999999996</v>
      </c>
      <c r="O134" s="3136">
        <f t="shared" si="1052"/>
        <v>53.339999999999996</v>
      </c>
      <c r="P134" s="3136">
        <f t="shared" si="1053"/>
        <v>0</v>
      </c>
      <c r="Q134" s="3208">
        <f t="shared" si="1115"/>
        <v>42.207499999999996</v>
      </c>
      <c r="R134" s="3208">
        <f>SUM(R135:R137)</f>
        <v>42.187101523985291</v>
      </c>
      <c r="S134" s="3208">
        <f>SUM(S135:S137)</f>
        <v>2.0398476014707088E-2</v>
      </c>
      <c r="T134" s="3136">
        <f t="shared" si="1055"/>
        <v>129.26</v>
      </c>
      <c r="U134" s="3060">
        <f t="shared" ref="U134" si="1149">SUM(U135:U137)</f>
        <v>129.26</v>
      </c>
      <c r="V134" s="3060">
        <f t="shared" ref="V134" si="1150">SUM(V135:V137)</f>
        <v>0</v>
      </c>
      <c r="W134" s="3136">
        <f t="shared" si="1058"/>
        <v>0.15</v>
      </c>
      <c r="X134" s="3060">
        <f t="shared" ref="X134" si="1151">SUM(X135:X137)</f>
        <v>0.15</v>
      </c>
      <c r="Y134" s="3060">
        <f t="shared" ref="Y134" si="1152">SUM(Y135:Y137)</f>
        <v>0</v>
      </c>
      <c r="Z134" s="3136">
        <f t="shared" si="1061"/>
        <v>15</v>
      </c>
      <c r="AA134" s="3060">
        <f t="shared" ref="AA134" si="1153">SUM(AA135:AA137)</f>
        <v>15</v>
      </c>
      <c r="AB134" s="3060">
        <f t="shared" ref="AB134" si="1154">SUM(AB135:AB137)</f>
        <v>0</v>
      </c>
      <c r="AC134" s="3136">
        <f t="shared" si="1064"/>
        <v>144.41</v>
      </c>
      <c r="AD134" s="3136">
        <f t="shared" si="1065"/>
        <v>144.41</v>
      </c>
      <c r="AE134" s="3136">
        <f t="shared" si="1066"/>
        <v>0</v>
      </c>
      <c r="AF134" s="3209">
        <f t="shared" si="851"/>
        <v>84.414999999999992</v>
      </c>
      <c r="AG134" s="3209">
        <f t="shared" si="852"/>
        <v>84.374203047970582</v>
      </c>
      <c r="AH134" s="3209">
        <f t="shared" si="853"/>
        <v>4.0796952029414177E-2</v>
      </c>
      <c r="AI134" s="3264">
        <f t="shared" si="1067"/>
        <v>197.75</v>
      </c>
      <c r="AJ134" s="3264">
        <f t="shared" si="1068"/>
        <v>197.75</v>
      </c>
      <c r="AK134" s="3264">
        <f t="shared" si="1069"/>
        <v>0</v>
      </c>
      <c r="AL134" s="3264">
        <f t="shared" si="1070"/>
        <v>113.33500000000001</v>
      </c>
      <c r="AM134" s="3264">
        <f t="shared" si="1071"/>
        <v>113.37579695202942</v>
      </c>
      <c r="AN134" s="3264">
        <f t="shared" si="1072"/>
        <v>-4.0796952029414177E-2</v>
      </c>
      <c r="AO134" s="3208">
        <f t="shared" si="1073"/>
        <v>42.207499999999996</v>
      </c>
      <c r="AP134" s="3208">
        <f>SUM(AP135:AP137)</f>
        <v>42.187101523985291</v>
      </c>
      <c r="AQ134" s="3208">
        <f>SUM(AQ135:AQ137)</f>
        <v>2.0398476014707088E-2</v>
      </c>
      <c r="AR134" s="3136">
        <f t="shared" si="1075"/>
        <v>0</v>
      </c>
      <c r="AS134" s="3060">
        <f t="shared" ref="AS134" si="1155">SUM(AS135:AS137)</f>
        <v>0</v>
      </c>
      <c r="AT134" s="3060">
        <f t="shared" ref="AT134" si="1156">SUM(AT135:AT137)</f>
        <v>0</v>
      </c>
      <c r="AU134" s="3136">
        <f t="shared" si="1078"/>
        <v>66.05</v>
      </c>
      <c r="AV134" s="3060">
        <f t="shared" ref="AV134" si="1157">SUM(AV135:AV137)</f>
        <v>66.05</v>
      </c>
      <c r="AW134" s="3060">
        <f t="shared" ref="AW134" si="1158">SUM(AW135:AW137)</f>
        <v>0</v>
      </c>
      <c r="AX134" s="3136">
        <f t="shared" si="1081"/>
        <v>33.36</v>
      </c>
      <c r="AY134" s="3060">
        <f t="shared" ref="AY134" si="1159">SUM(AY135:AY137)</f>
        <v>33.36</v>
      </c>
      <c r="AZ134" s="3060">
        <f t="shared" ref="AZ134" si="1160">SUM(AZ135:AZ137)</f>
        <v>0</v>
      </c>
      <c r="BA134" s="3136">
        <f t="shared" si="1084"/>
        <v>99.41</v>
      </c>
      <c r="BB134" s="3136">
        <f t="shared" si="1085"/>
        <v>99.41</v>
      </c>
      <c r="BC134" s="3136">
        <f t="shared" si="1086"/>
        <v>0</v>
      </c>
      <c r="BD134" s="3209">
        <f t="shared" si="994"/>
        <v>126.62249999999999</v>
      </c>
      <c r="BE134" s="3209">
        <f t="shared" si="995"/>
        <v>126.56130457195587</v>
      </c>
      <c r="BF134" s="3209">
        <f t="shared" si="996"/>
        <v>6.1195428044121265E-2</v>
      </c>
      <c r="BG134" s="3264">
        <f t="shared" si="1087"/>
        <v>297.15999999999997</v>
      </c>
      <c r="BH134" s="3264">
        <f t="shared" si="1088"/>
        <v>297.15999999999997</v>
      </c>
      <c r="BI134" s="3264">
        <f t="shared" si="1089"/>
        <v>0</v>
      </c>
      <c r="BJ134" s="3264">
        <f t="shared" si="1090"/>
        <v>170.53749999999997</v>
      </c>
      <c r="BK134" s="3264">
        <f t="shared" si="1091"/>
        <v>170.5986954280441</v>
      </c>
      <c r="BL134" s="3264">
        <f t="shared" si="1092"/>
        <v>-6.1195428044121265E-2</v>
      </c>
      <c r="BM134" s="3208">
        <f t="shared" si="1120"/>
        <v>42.207499999999996</v>
      </c>
      <c r="BN134" s="3208">
        <f>SUM(BN135:BN137)</f>
        <v>42.187101523985291</v>
      </c>
      <c r="BO134" s="3208">
        <f>SUM(BO135:BO137)</f>
        <v>2.0398476014707088E-2</v>
      </c>
      <c r="BP134" s="3136">
        <f t="shared" si="1094"/>
        <v>0</v>
      </c>
      <c r="BQ134" s="3060">
        <f t="shared" ref="BQ134" si="1161">SUM(BQ135:BQ137)</f>
        <v>0</v>
      </c>
      <c r="BR134" s="3060">
        <f t="shared" ref="BR134" si="1162">SUM(BR135:BR137)</f>
        <v>0</v>
      </c>
      <c r="BS134" s="3136">
        <f t="shared" si="1097"/>
        <v>0</v>
      </c>
      <c r="BT134" s="3060">
        <f t="shared" ref="BT134" si="1163">SUM(BT135:BT137)</f>
        <v>0</v>
      </c>
      <c r="BU134" s="3060">
        <f t="shared" ref="BU134" si="1164">SUM(BU135:BU137)</f>
        <v>0</v>
      </c>
      <c r="BV134" s="3136">
        <f t="shared" si="1100"/>
        <v>0</v>
      </c>
      <c r="BW134" s="3060">
        <f t="shared" ref="BW134" si="1165">SUM(BW135:BW137)</f>
        <v>0</v>
      </c>
      <c r="BX134" s="3060">
        <f t="shared" ref="BX134" si="1166">SUM(BX135:BX137)</f>
        <v>0</v>
      </c>
      <c r="BY134" s="3136">
        <f t="shared" si="1103"/>
        <v>0</v>
      </c>
      <c r="BZ134" s="3136">
        <f t="shared" si="1104"/>
        <v>0</v>
      </c>
      <c r="CA134" s="3136">
        <f t="shared" si="1105"/>
        <v>0</v>
      </c>
      <c r="CB134" s="3209">
        <f t="shared" si="1024"/>
        <v>168.82999999999998</v>
      </c>
      <c r="CC134" s="3209">
        <f t="shared" ref="CC134:CD134" si="1167">SUM(CC135:CC137)</f>
        <v>168.74840609594116</v>
      </c>
      <c r="CD134" s="3209">
        <f t="shared" si="1167"/>
        <v>8.1593904058828354E-2</v>
      </c>
      <c r="CE134" s="3264">
        <f t="shared" si="1106"/>
        <v>297.15999999999997</v>
      </c>
      <c r="CF134" s="3264">
        <f t="shared" si="1107"/>
        <v>297.15999999999997</v>
      </c>
      <c r="CG134" s="3264">
        <f t="shared" si="1108"/>
        <v>0</v>
      </c>
      <c r="CH134" s="3264">
        <f t="shared" si="1109"/>
        <v>128.32999999999998</v>
      </c>
      <c r="CI134" s="3264">
        <f t="shared" si="1110"/>
        <v>128.4115939040588</v>
      </c>
      <c r="CJ134" s="3264">
        <f t="shared" si="1111"/>
        <v>-8.1593904058828354E-2</v>
      </c>
      <c r="CK134" s="3259"/>
      <c r="CL134" s="3259"/>
      <c r="CM134" s="3259"/>
      <c r="CN134" s="3055"/>
    </row>
    <row r="135" spans="1:92" ht="18.75" customHeight="1" x14ac:dyDescent="0.3">
      <c r="A135" s="3076" t="s">
        <v>543</v>
      </c>
      <c r="B135" s="3210">
        <f t="shared" ref="B135:B150" si="1168">SUM(C135:D135)</f>
        <v>31.984999999999999</v>
      </c>
      <c r="C135" s="3210">
        <f t="shared" ref="C135:C137" si="1169">SUM(CC135/4)</f>
        <v>31.96954195924112</v>
      </c>
      <c r="D135" s="3210">
        <f t="shared" ref="D135:D137" si="1170">SUM(CD135/4)</f>
        <v>1.5458040758879493E-2</v>
      </c>
      <c r="E135" s="3145">
        <f t="shared" si="889"/>
        <v>0</v>
      </c>
      <c r="F135" s="3066"/>
      <c r="G135" s="3066"/>
      <c r="H135" s="3145">
        <f t="shared" si="1045"/>
        <v>46.84</v>
      </c>
      <c r="I135" s="3066">
        <v>46.84</v>
      </c>
      <c r="J135" s="3066"/>
      <c r="K135" s="3145">
        <f t="shared" si="1048"/>
        <v>0</v>
      </c>
      <c r="L135" s="3066"/>
      <c r="M135" s="3066"/>
      <c r="N135" s="3145">
        <f t="shared" si="1051"/>
        <v>46.84</v>
      </c>
      <c r="O135" s="3145">
        <f t="shared" si="1052"/>
        <v>46.84</v>
      </c>
      <c r="P135" s="3145">
        <f t="shared" si="1053"/>
        <v>0</v>
      </c>
      <c r="Q135" s="3210">
        <f t="shared" ref="Q135:Q144" si="1171">SUM(R135:S135)</f>
        <v>31.984999999999999</v>
      </c>
      <c r="R135" s="3210">
        <f t="shared" ref="R135:R137" si="1172">SUM(C135)</f>
        <v>31.96954195924112</v>
      </c>
      <c r="S135" s="3210">
        <f t="shared" ref="S135:S137" si="1173">SUM(D135)</f>
        <v>1.5458040758879493E-2</v>
      </c>
      <c r="T135" s="3145">
        <f t="shared" si="1055"/>
        <v>9.43</v>
      </c>
      <c r="U135" s="3066">
        <v>9.43</v>
      </c>
      <c r="V135" s="3066"/>
      <c r="W135" s="3145">
        <f t="shared" si="1058"/>
        <v>0</v>
      </c>
      <c r="X135" s="3066"/>
      <c r="Y135" s="3066"/>
      <c r="Z135" s="3145">
        <f t="shared" si="1061"/>
        <v>0</v>
      </c>
      <c r="AA135" s="3066"/>
      <c r="AB135" s="3066"/>
      <c r="AC135" s="3145">
        <f t="shared" si="1064"/>
        <v>9.43</v>
      </c>
      <c r="AD135" s="3145">
        <f t="shared" si="1065"/>
        <v>9.43</v>
      </c>
      <c r="AE135" s="3145">
        <f t="shared" si="1066"/>
        <v>0</v>
      </c>
      <c r="AF135" s="3211">
        <f t="shared" si="851"/>
        <v>63.97</v>
      </c>
      <c r="AG135" s="3211">
        <f t="shared" si="852"/>
        <v>63.93908391848224</v>
      </c>
      <c r="AH135" s="3211">
        <f t="shared" si="853"/>
        <v>3.0916081517758986E-2</v>
      </c>
      <c r="AI135" s="3194">
        <f t="shared" si="1067"/>
        <v>56.27</v>
      </c>
      <c r="AJ135" s="3194">
        <f t="shared" si="1068"/>
        <v>56.27</v>
      </c>
      <c r="AK135" s="3194">
        <f t="shared" si="1069"/>
        <v>0</v>
      </c>
      <c r="AL135" s="3194">
        <f t="shared" si="1070"/>
        <v>-7.6999999999999957</v>
      </c>
      <c r="AM135" s="3194">
        <f t="shared" si="1071"/>
        <v>-7.6690839184822366</v>
      </c>
      <c r="AN135" s="3194">
        <f t="shared" si="1072"/>
        <v>-3.0916081517758986E-2</v>
      </c>
      <c r="AO135" s="3210">
        <f t="shared" ref="AO135:AO143" si="1174">SUM(AP135:AQ135)</f>
        <v>31.984999999999999</v>
      </c>
      <c r="AP135" s="3210">
        <f t="shared" ref="AP135:AP137" si="1175">SUM(CC135-AG135)/2</f>
        <v>31.96954195924112</v>
      </c>
      <c r="AQ135" s="3210">
        <f t="shared" ref="AQ135:AQ137" si="1176">SUM(CD135-AH135)/2</f>
        <v>1.5458040758879493E-2</v>
      </c>
      <c r="AR135" s="3145">
        <f t="shared" si="1075"/>
        <v>0</v>
      </c>
      <c r="AS135" s="3066"/>
      <c r="AT135" s="3066"/>
      <c r="AU135" s="3145">
        <f t="shared" si="1078"/>
        <v>6.05</v>
      </c>
      <c r="AV135" s="3066">
        <v>6.05</v>
      </c>
      <c r="AW135" s="3066"/>
      <c r="AX135" s="3145">
        <f t="shared" si="1081"/>
        <v>21.36</v>
      </c>
      <c r="AY135" s="3066">
        <v>21.36</v>
      </c>
      <c r="AZ135" s="3066"/>
      <c r="BA135" s="3145">
        <f t="shared" si="1084"/>
        <v>27.41</v>
      </c>
      <c r="BB135" s="3145">
        <f t="shared" si="1085"/>
        <v>27.41</v>
      </c>
      <c r="BC135" s="3145">
        <f t="shared" si="1086"/>
        <v>0</v>
      </c>
      <c r="BD135" s="3211">
        <f t="shared" si="994"/>
        <v>95.954999999999984</v>
      </c>
      <c r="BE135" s="3211">
        <f t="shared" si="995"/>
        <v>95.908625877723352</v>
      </c>
      <c r="BF135" s="3211">
        <f t="shared" si="996"/>
        <v>4.637412227663848E-2</v>
      </c>
      <c r="BG135" s="3194">
        <f t="shared" si="1087"/>
        <v>83.68</v>
      </c>
      <c r="BH135" s="3194">
        <f t="shared" si="1088"/>
        <v>83.68</v>
      </c>
      <c r="BI135" s="3194">
        <f t="shared" si="1089"/>
        <v>0</v>
      </c>
      <c r="BJ135" s="3194">
        <f t="shared" si="1090"/>
        <v>-12.274999999999977</v>
      </c>
      <c r="BK135" s="3194">
        <f t="shared" si="1091"/>
        <v>-12.228625877723346</v>
      </c>
      <c r="BL135" s="3194">
        <f t="shared" si="1092"/>
        <v>-4.637412227663848E-2</v>
      </c>
      <c r="BM135" s="3210">
        <f t="shared" si="1120"/>
        <v>31.984999999999999</v>
      </c>
      <c r="BN135" s="3210">
        <f t="shared" ref="BN135:BN137" si="1177">SUM(AP135)</f>
        <v>31.96954195924112</v>
      </c>
      <c r="BO135" s="3210">
        <f t="shared" ref="BO135:BO137" si="1178">SUM(AQ135)</f>
        <v>1.5458040758879493E-2</v>
      </c>
      <c r="BP135" s="3145">
        <f t="shared" si="1094"/>
        <v>0</v>
      </c>
      <c r="BQ135" s="3066"/>
      <c r="BR135" s="3066"/>
      <c r="BS135" s="3145">
        <f t="shared" si="1097"/>
        <v>0</v>
      </c>
      <c r="BT135" s="3066"/>
      <c r="BU135" s="3066"/>
      <c r="BV135" s="3145">
        <f t="shared" si="1100"/>
        <v>0</v>
      </c>
      <c r="BW135" s="3066"/>
      <c r="BX135" s="3066"/>
      <c r="BY135" s="3145">
        <f t="shared" si="1103"/>
        <v>0</v>
      </c>
      <c r="BZ135" s="3145">
        <f t="shared" si="1104"/>
        <v>0</v>
      </c>
      <c r="CA135" s="3145">
        <f t="shared" si="1105"/>
        <v>0</v>
      </c>
      <c r="CB135" s="3211">
        <v>127.94</v>
      </c>
      <c r="CC135" s="3211">
        <f>SUM(CB135/CB14*CC14)</f>
        <v>127.87816783696448</v>
      </c>
      <c r="CD135" s="3211">
        <f>SUM(CB135/CB14*CD14)</f>
        <v>6.1832163035517973E-2</v>
      </c>
      <c r="CE135" s="3194">
        <f t="shared" si="1106"/>
        <v>83.68</v>
      </c>
      <c r="CF135" s="3194">
        <f t="shared" si="1107"/>
        <v>83.68</v>
      </c>
      <c r="CG135" s="3194">
        <f t="shared" si="1108"/>
        <v>0</v>
      </c>
      <c r="CH135" s="3194">
        <f t="shared" si="1109"/>
        <v>-44.259999999999991</v>
      </c>
      <c r="CI135" s="3194">
        <f t="shared" si="1110"/>
        <v>-44.198167836964473</v>
      </c>
      <c r="CJ135" s="3194">
        <f t="shared" si="1111"/>
        <v>-6.1832163035517973E-2</v>
      </c>
      <c r="CK135" s="3259"/>
      <c r="CL135" s="3259"/>
      <c r="CM135" s="3259"/>
      <c r="CN135" s="3055"/>
    </row>
    <row r="136" spans="1:92" ht="18.75" customHeight="1" x14ac:dyDescent="0.3">
      <c r="A136" s="3076" t="s">
        <v>639</v>
      </c>
      <c r="B136" s="3210">
        <f t="shared" si="1168"/>
        <v>9.8475000000000001</v>
      </c>
      <c r="C136" s="3210">
        <f t="shared" si="1169"/>
        <v>9.8427407986126916</v>
      </c>
      <c r="D136" s="3210">
        <f t="shared" si="1170"/>
        <v>4.7592013873086073E-3</v>
      </c>
      <c r="E136" s="3145">
        <f t="shared" si="889"/>
        <v>0</v>
      </c>
      <c r="F136" s="3066"/>
      <c r="G136" s="3066"/>
      <c r="H136" s="3145">
        <f t="shared" si="1045"/>
        <v>6.27</v>
      </c>
      <c r="I136" s="3066">
        <v>6.27</v>
      </c>
      <c r="J136" s="3066"/>
      <c r="K136" s="3145">
        <f t="shared" si="1048"/>
        <v>0</v>
      </c>
      <c r="L136" s="3066"/>
      <c r="M136" s="3066"/>
      <c r="N136" s="3145">
        <f t="shared" si="1051"/>
        <v>6.27</v>
      </c>
      <c r="O136" s="3145">
        <f t="shared" si="1052"/>
        <v>6.27</v>
      </c>
      <c r="P136" s="3145">
        <f t="shared" si="1053"/>
        <v>0</v>
      </c>
      <c r="Q136" s="3210">
        <f t="shared" si="1171"/>
        <v>9.8475000000000001</v>
      </c>
      <c r="R136" s="3210">
        <f t="shared" si="1172"/>
        <v>9.8427407986126916</v>
      </c>
      <c r="S136" s="3210">
        <f t="shared" si="1173"/>
        <v>4.7592013873086073E-3</v>
      </c>
      <c r="T136" s="3145">
        <f t="shared" si="1055"/>
        <v>119.83</v>
      </c>
      <c r="U136" s="3066">
        <v>119.83</v>
      </c>
      <c r="V136" s="3066"/>
      <c r="W136" s="3145">
        <f t="shared" si="1058"/>
        <v>0</v>
      </c>
      <c r="X136" s="3066"/>
      <c r="Y136" s="3066"/>
      <c r="Z136" s="3145">
        <f t="shared" si="1061"/>
        <v>15</v>
      </c>
      <c r="AA136" s="3066">
        <v>15</v>
      </c>
      <c r="AB136" s="3066"/>
      <c r="AC136" s="3145">
        <f t="shared" si="1064"/>
        <v>134.82999999999998</v>
      </c>
      <c r="AD136" s="3145">
        <f t="shared" si="1065"/>
        <v>134.82999999999998</v>
      </c>
      <c r="AE136" s="3145">
        <f t="shared" si="1066"/>
        <v>0</v>
      </c>
      <c r="AF136" s="3211">
        <f t="shared" si="851"/>
        <v>19.695</v>
      </c>
      <c r="AG136" s="3211">
        <f t="shared" si="852"/>
        <v>19.685481597225383</v>
      </c>
      <c r="AH136" s="3211">
        <f t="shared" si="853"/>
        <v>9.5184027746172146E-3</v>
      </c>
      <c r="AI136" s="3194">
        <f t="shared" si="1067"/>
        <v>141.1</v>
      </c>
      <c r="AJ136" s="3194">
        <f t="shared" si="1068"/>
        <v>141.1</v>
      </c>
      <c r="AK136" s="3194">
        <f t="shared" si="1069"/>
        <v>0</v>
      </c>
      <c r="AL136" s="3194">
        <f t="shared" si="1070"/>
        <v>121.405</v>
      </c>
      <c r="AM136" s="3194">
        <f t="shared" si="1071"/>
        <v>121.4145184027746</v>
      </c>
      <c r="AN136" s="3194">
        <f t="shared" si="1072"/>
        <v>-9.5184027746172146E-3</v>
      </c>
      <c r="AO136" s="3210">
        <f t="shared" si="1174"/>
        <v>9.8475000000000001</v>
      </c>
      <c r="AP136" s="3210">
        <f t="shared" si="1175"/>
        <v>9.8427407986126916</v>
      </c>
      <c r="AQ136" s="3210">
        <f t="shared" si="1176"/>
        <v>4.7592013873086073E-3</v>
      </c>
      <c r="AR136" s="3145">
        <f t="shared" si="1075"/>
        <v>0</v>
      </c>
      <c r="AS136" s="3066"/>
      <c r="AT136" s="3066"/>
      <c r="AU136" s="3145">
        <f t="shared" si="1078"/>
        <v>60</v>
      </c>
      <c r="AV136" s="3066">
        <v>60</v>
      </c>
      <c r="AW136" s="3066"/>
      <c r="AX136" s="3145">
        <f t="shared" si="1081"/>
        <v>12</v>
      </c>
      <c r="AY136" s="3066">
        <v>12</v>
      </c>
      <c r="AZ136" s="3066"/>
      <c r="BA136" s="3145">
        <f t="shared" si="1084"/>
        <v>72</v>
      </c>
      <c r="BB136" s="3145">
        <f t="shared" si="1085"/>
        <v>72</v>
      </c>
      <c r="BC136" s="3145">
        <f t="shared" si="1086"/>
        <v>0</v>
      </c>
      <c r="BD136" s="3211">
        <f t="shared" si="994"/>
        <v>29.5425</v>
      </c>
      <c r="BE136" s="3211">
        <f t="shared" si="995"/>
        <v>29.528222395838075</v>
      </c>
      <c r="BF136" s="3211">
        <f t="shared" si="996"/>
        <v>1.4277604161925823E-2</v>
      </c>
      <c r="BG136" s="3194">
        <f t="shared" si="1087"/>
        <v>213.1</v>
      </c>
      <c r="BH136" s="3194">
        <f t="shared" si="1088"/>
        <v>213.1</v>
      </c>
      <c r="BI136" s="3194">
        <f t="shared" si="1089"/>
        <v>0</v>
      </c>
      <c r="BJ136" s="3194">
        <f t="shared" si="1090"/>
        <v>183.5575</v>
      </c>
      <c r="BK136" s="3194">
        <f t="shared" si="1091"/>
        <v>183.57177760416192</v>
      </c>
      <c r="BL136" s="3194">
        <f t="shared" si="1092"/>
        <v>-1.4277604161925823E-2</v>
      </c>
      <c r="BM136" s="3210">
        <f t="shared" si="1120"/>
        <v>9.8475000000000001</v>
      </c>
      <c r="BN136" s="3210">
        <f t="shared" si="1177"/>
        <v>9.8427407986126916</v>
      </c>
      <c r="BO136" s="3210">
        <f t="shared" si="1178"/>
        <v>4.7592013873086073E-3</v>
      </c>
      <c r="BP136" s="3145">
        <f t="shared" si="1094"/>
        <v>0</v>
      </c>
      <c r="BQ136" s="3066"/>
      <c r="BR136" s="3066"/>
      <c r="BS136" s="3145">
        <f t="shared" si="1097"/>
        <v>0</v>
      </c>
      <c r="BT136" s="3066"/>
      <c r="BU136" s="3066"/>
      <c r="BV136" s="3145">
        <f t="shared" si="1100"/>
        <v>0</v>
      </c>
      <c r="BW136" s="3066"/>
      <c r="BX136" s="3066"/>
      <c r="BY136" s="3145">
        <f t="shared" si="1103"/>
        <v>0</v>
      </c>
      <c r="BZ136" s="3145">
        <f t="shared" si="1104"/>
        <v>0</v>
      </c>
      <c r="CA136" s="3145">
        <f t="shared" si="1105"/>
        <v>0</v>
      </c>
      <c r="CB136" s="3211">
        <v>39.39</v>
      </c>
      <c r="CC136" s="3211">
        <f>SUM(CB136/CB14*CC14)</f>
        <v>39.370963194450766</v>
      </c>
      <c r="CD136" s="3211">
        <f>SUM(CB136/CB14*CD14)</f>
        <v>1.9036805549234429E-2</v>
      </c>
      <c r="CE136" s="3194">
        <f t="shared" si="1106"/>
        <v>213.1</v>
      </c>
      <c r="CF136" s="3194">
        <f t="shared" si="1107"/>
        <v>213.1</v>
      </c>
      <c r="CG136" s="3194">
        <f t="shared" si="1108"/>
        <v>0</v>
      </c>
      <c r="CH136" s="3194">
        <f t="shared" si="1109"/>
        <v>173.70999999999998</v>
      </c>
      <c r="CI136" s="3194">
        <f t="shared" si="1110"/>
        <v>173.72903680554924</v>
      </c>
      <c r="CJ136" s="3194">
        <f t="shared" si="1111"/>
        <v>-1.9036805549234429E-2</v>
      </c>
      <c r="CK136" s="3259"/>
      <c r="CL136" s="3259"/>
      <c r="CM136" s="3259"/>
      <c r="CN136" s="3055"/>
    </row>
    <row r="137" spans="1:92" ht="18.75" customHeight="1" x14ac:dyDescent="0.3">
      <c r="A137" s="3076" t="s">
        <v>609</v>
      </c>
      <c r="B137" s="3210">
        <f t="shared" si="1168"/>
        <v>0.375</v>
      </c>
      <c r="C137" s="3210">
        <f t="shared" si="1169"/>
        <v>0.37481876613148102</v>
      </c>
      <c r="D137" s="3210">
        <f t="shared" si="1170"/>
        <v>1.8123386851898732E-4</v>
      </c>
      <c r="E137" s="3145">
        <f t="shared" si="889"/>
        <v>0</v>
      </c>
      <c r="F137" s="3066"/>
      <c r="G137" s="3066"/>
      <c r="H137" s="3145">
        <f t="shared" si="1045"/>
        <v>0.23</v>
      </c>
      <c r="I137" s="3066">
        <v>0.23</v>
      </c>
      <c r="J137" s="3066"/>
      <c r="K137" s="3145">
        <f t="shared" si="1048"/>
        <v>0</v>
      </c>
      <c r="L137" s="3066"/>
      <c r="M137" s="3066"/>
      <c r="N137" s="3145">
        <f t="shared" si="1051"/>
        <v>0.23</v>
      </c>
      <c r="O137" s="3145">
        <f t="shared" si="1052"/>
        <v>0.23</v>
      </c>
      <c r="P137" s="3145">
        <f t="shared" si="1053"/>
        <v>0</v>
      </c>
      <c r="Q137" s="3210">
        <f t="shared" si="1171"/>
        <v>0.375</v>
      </c>
      <c r="R137" s="3210">
        <f t="shared" si="1172"/>
        <v>0.37481876613148102</v>
      </c>
      <c r="S137" s="3210">
        <f t="shared" si="1173"/>
        <v>1.8123386851898732E-4</v>
      </c>
      <c r="T137" s="3145">
        <f t="shared" si="1055"/>
        <v>0</v>
      </c>
      <c r="U137" s="3066"/>
      <c r="V137" s="3066"/>
      <c r="W137" s="3145">
        <f t="shared" si="1058"/>
        <v>0.15</v>
      </c>
      <c r="X137" s="3066">
        <v>0.15</v>
      </c>
      <c r="Y137" s="3066"/>
      <c r="Z137" s="3145">
        <f t="shared" si="1061"/>
        <v>0</v>
      </c>
      <c r="AA137" s="3066"/>
      <c r="AB137" s="3066"/>
      <c r="AC137" s="3145">
        <f t="shared" si="1064"/>
        <v>0.15</v>
      </c>
      <c r="AD137" s="3145">
        <f t="shared" si="1065"/>
        <v>0.15</v>
      </c>
      <c r="AE137" s="3145">
        <f t="shared" si="1066"/>
        <v>0</v>
      </c>
      <c r="AF137" s="3211">
        <f t="shared" si="851"/>
        <v>0.75</v>
      </c>
      <c r="AG137" s="3211">
        <f t="shared" si="852"/>
        <v>0.74963753226296204</v>
      </c>
      <c r="AH137" s="3211">
        <f t="shared" si="853"/>
        <v>3.6246773703797465E-4</v>
      </c>
      <c r="AI137" s="3194">
        <f t="shared" si="1067"/>
        <v>0.38</v>
      </c>
      <c r="AJ137" s="3194">
        <f t="shared" si="1068"/>
        <v>0.38</v>
      </c>
      <c r="AK137" s="3194">
        <f t="shared" si="1069"/>
        <v>0</v>
      </c>
      <c r="AL137" s="3194">
        <f t="shared" si="1070"/>
        <v>-0.37</v>
      </c>
      <c r="AM137" s="3194">
        <f t="shared" si="1071"/>
        <v>-0.36963753226296203</v>
      </c>
      <c r="AN137" s="3194">
        <f t="shared" si="1072"/>
        <v>-3.6246773703797465E-4</v>
      </c>
      <c r="AO137" s="3210">
        <f t="shared" si="1174"/>
        <v>0.375</v>
      </c>
      <c r="AP137" s="3210">
        <f t="shared" si="1175"/>
        <v>0.37481876613148102</v>
      </c>
      <c r="AQ137" s="3210">
        <f t="shared" si="1176"/>
        <v>1.8123386851898732E-4</v>
      </c>
      <c r="AR137" s="3145">
        <f t="shared" si="1075"/>
        <v>0</v>
      </c>
      <c r="AS137" s="3066"/>
      <c r="AT137" s="3066"/>
      <c r="AU137" s="3145">
        <f t="shared" si="1078"/>
        <v>0</v>
      </c>
      <c r="AV137" s="3066"/>
      <c r="AW137" s="3066"/>
      <c r="AX137" s="3145">
        <f t="shared" si="1081"/>
        <v>0</v>
      </c>
      <c r="AY137" s="3066"/>
      <c r="AZ137" s="3066"/>
      <c r="BA137" s="3145">
        <f t="shared" si="1084"/>
        <v>0</v>
      </c>
      <c r="BB137" s="3145">
        <f t="shared" si="1085"/>
        <v>0</v>
      </c>
      <c r="BC137" s="3145">
        <f t="shared" si="1086"/>
        <v>0</v>
      </c>
      <c r="BD137" s="3211">
        <f t="shared" si="994"/>
        <v>1.125</v>
      </c>
      <c r="BE137" s="3211">
        <f t="shared" si="995"/>
        <v>1.1244562983944431</v>
      </c>
      <c r="BF137" s="3211">
        <f t="shared" si="996"/>
        <v>5.4370160555696195E-4</v>
      </c>
      <c r="BG137" s="3194">
        <f t="shared" si="1087"/>
        <v>0.38</v>
      </c>
      <c r="BH137" s="3194">
        <f t="shared" si="1088"/>
        <v>0.38</v>
      </c>
      <c r="BI137" s="3194">
        <f t="shared" si="1089"/>
        <v>0</v>
      </c>
      <c r="BJ137" s="3194">
        <f t="shared" si="1090"/>
        <v>-0.745</v>
      </c>
      <c r="BK137" s="3194">
        <f t="shared" si="1091"/>
        <v>-0.74445629839444305</v>
      </c>
      <c r="BL137" s="3194">
        <f t="shared" si="1092"/>
        <v>-5.4370160555696195E-4</v>
      </c>
      <c r="BM137" s="3210">
        <f t="shared" si="1120"/>
        <v>0.375</v>
      </c>
      <c r="BN137" s="3210">
        <f t="shared" si="1177"/>
        <v>0.37481876613148102</v>
      </c>
      <c r="BO137" s="3210">
        <f t="shared" si="1178"/>
        <v>1.8123386851898732E-4</v>
      </c>
      <c r="BP137" s="3145">
        <f t="shared" si="1094"/>
        <v>0</v>
      </c>
      <c r="BQ137" s="3066"/>
      <c r="BR137" s="3066"/>
      <c r="BS137" s="3145">
        <f t="shared" si="1097"/>
        <v>0</v>
      </c>
      <c r="BT137" s="3066"/>
      <c r="BU137" s="3066"/>
      <c r="BV137" s="3145">
        <f t="shared" si="1100"/>
        <v>0</v>
      </c>
      <c r="BW137" s="3066"/>
      <c r="BX137" s="3066"/>
      <c r="BY137" s="3145">
        <f t="shared" si="1103"/>
        <v>0</v>
      </c>
      <c r="BZ137" s="3145">
        <f t="shared" si="1104"/>
        <v>0</v>
      </c>
      <c r="CA137" s="3145">
        <f t="shared" si="1105"/>
        <v>0</v>
      </c>
      <c r="CB137" s="3211">
        <v>1.5</v>
      </c>
      <c r="CC137" s="3211">
        <f>SUM(CB137/CB14*CC14)</f>
        <v>1.4992750645259241</v>
      </c>
      <c r="CD137" s="3211">
        <f>SUM(CB137/CB14*CD14)</f>
        <v>7.249354740759493E-4</v>
      </c>
      <c r="CE137" s="3194">
        <f t="shared" si="1106"/>
        <v>0.38</v>
      </c>
      <c r="CF137" s="3194">
        <f t="shared" si="1107"/>
        <v>0.38</v>
      </c>
      <c r="CG137" s="3194">
        <f t="shared" si="1108"/>
        <v>0</v>
      </c>
      <c r="CH137" s="3194">
        <f t="shared" si="1109"/>
        <v>-1.1200000000000001</v>
      </c>
      <c r="CI137" s="3194">
        <f t="shared" si="1110"/>
        <v>-1.1192750645259242</v>
      </c>
      <c r="CJ137" s="3194">
        <f t="shared" si="1111"/>
        <v>-7.249354740759493E-4</v>
      </c>
      <c r="CK137" s="3259"/>
      <c r="CL137" s="3259"/>
      <c r="CM137" s="3259"/>
      <c r="CN137" s="3055"/>
    </row>
    <row r="138" spans="1:92" ht="18.75" customHeight="1" x14ac:dyDescent="0.3">
      <c r="A138" s="3074" t="s">
        <v>3602</v>
      </c>
      <c r="B138" s="3207">
        <f t="shared" si="1168"/>
        <v>1662.2419345419537</v>
      </c>
      <c r="C138" s="3207">
        <f t="shared" ref="C138:D138" si="1179">SUM(C139:C143)</f>
        <v>1661.6670485790901</v>
      </c>
      <c r="D138" s="3207">
        <f t="shared" si="1179"/>
        <v>0.57488596286364391</v>
      </c>
      <c r="E138" s="3156">
        <f t="shared" si="889"/>
        <v>0</v>
      </c>
      <c r="F138" s="3057">
        <f>SUM(F139:F143)</f>
        <v>0</v>
      </c>
      <c r="G138" s="3057">
        <f t="shared" ref="G138" si="1180">SUM(G139:G143)</f>
        <v>0</v>
      </c>
      <c r="H138" s="3156">
        <f t="shared" si="1045"/>
        <v>0</v>
      </c>
      <c r="I138" s="3057">
        <f t="shared" ref="I138" si="1181">SUM(I139:I143)</f>
        <v>0</v>
      </c>
      <c r="J138" s="3057">
        <f t="shared" ref="J138" si="1182">SUM(J139:J143)</f>
        <v>0</v>
      </c>
      <c r="K138" s="3156">
        <f t="shared" si="1048"/>
        <v>781.91000000000008</v>
      </c>
      <c r="L138" s="3057">
        <f t="shared" ref="L138" si="1183">SUM(L139:L143)</f>
        <v>781.91000000000008</v>
      </c>
      <c r="M138" s="3057">
        <f t="shared" ref="M138" si="1184">SUM(M139:M143)</f>
        <v>0</v>
      </c>
      <c r="N138" s="3156">
        <f t="shared" si="1051"/>
        <v>781.91000000000008</v>
      </c>
      <c r="O138" s="3156">
        <f t="shared" si="1052"/>
        <v>781.91000000000008</v>
      </c>
      <c r="P138" s="3156">
        <f t="shared" si="1053"/>
        <v>0</v>
      </c>
      <c r="Q138" s="3207">
        <f t="shared" si="1171"/>
        <v>1662.2419345419537</v>
      </c>
      <c r="R138" s="3207">
        <f>SUM(R139:R143)</f>
        <v>1661.6670485790901</v>
      </c>
      <c r="S138" s="3207">
        <f>SUM(S139:S143)</f>
        <v>0.57488596286364391</v>
      </c>
      <c r="T138" s="3156">
        <f t="shared" si="1055"/>
        <v>0</v>
      </c>
      <c r="U138" s="3057">
        <f t="shared" ref="U138" si="1185">SUM(U139:U143)</f>
        <v>0</v>
      </c>
      <c r="V138" s="3057">
        <f t="shared" ref="V138" si="1186">SUM(V139:V143)</f>
        <v>0</v>
      </c>
      <c r="W138" s="3156">
        <f t="shared" si="1058"/>
        <v>0</v>
      </c>
      <c r="X138" s="3057">
        <f t="shared" ref="X138" si="1187">SUM(X139:X143)</f>
        <v>0</v>
      </c>
      <c r="Y138" s="3057">
        <f t="shared" ref="Y138" si="1188">SUM(Y139:Y143)</f>
        <v>0</v>
      </c>
      <c r="Z138" s="3156">
        <f t="shared" si="1061"/>
        <v>781.91000000000008</v>
      </c>
      <c r="AA138" s="3057">
        <f t="shared" ref="AA138" si="1189">SUM(AA139:AA143)</f>
        <v>781.91000000000008</v>
      </c>
      <c r="AB138" s="3057">
        <f t="shared" ref="AB138" si="1190">SUM(AB139:AB143)</f>
        <v>0</v>
      </c>
      <c r="AC138" s="3156">
        <f t="shared" si="1064"/>
        <v>781.91000000000008</v>
      </c>
      <c r="AD138" s="3156">
        <f t="shared" si="1065"/>
        <v>781.91000000000008</v>
      </c>
      <c r="AE138" s="3156">
        <f t="shared" si="1066"/>
        <v>0</v>
      </c>
      <c r="AF138" s="3206">
        <f t="shared" ref="AF138:AF143" si="1191">SUM(AG138:AH138)</f>
        <v>3324.4838690839074</v>
      </c>
      <c r="AG138" s="3206">
        <f t="shared" ref="AG138:AG143" si="1192">SUM(C138+R138)</f>
        <v>3323.3340971581802</v>
      </c>
      <c r="AH138" s="3206">
        <f t="shared" ref="AH138:AH143" si="1193">SUM(D138+S138)</f>
        <v>1.1497719257272878</v>
      </c>
      <c r="AI138" s="3193">
        <f t="shared" si="1067"/>
        <v>1563.8200000000002</v>
      </c>
      <c r="AJ138" s="3193">
        <f t="shared" si="1068"/>
        <v>1563.8200000000002</v>
      </c>
      <c r="AK138" s="3193">
        <f t="shared" si="1069"/>
        <v>0</v>
      </c>
      <c r="AL138" s="3193">
        <f t="shared" si="1070"/>
        <v>-1760.6638690839072</v>
      </c>
      <c r="AM138" s="3193">
        <f t="shared" si="1071"/>
        <v>-1759.51409715818</v>
      </c>
      <c r="AN138" s="3193">
        <f t="shared" si="1072"/>
        <v>-1.1497719257272878</v>
      </c>
      <c r="AO138" s="3207">
        <f t="shared" si="1174"/>
        <v>1662.2419345419537</v>
      </c>
      <c r="AP138" s="3207">
        <f>SUM(AP139:AP143)</f>
        <v>1661.6670485790901</v>
      </c>
      <c r="AQ138" s="3207">
        <f>SUM(AQ139:AQ143)</f>
        <v>0.57488596286364391</v>
      </c>
      <c r="AR138" s="3156">
        <f t="shared" si="1075"/>
        <v>0</v>
      </c>
      <c r="AS138" s="3057">
        <f t="shared" ref="AS138" si="1194">SUM(AS139:AS143)</f>
        <v>0</v>
      </c>
      <c r="AT138" s="3057">
        <f t="shared" ref="AT138" si="1195">SUM(AT139:AT143)</f>
        <v>0</v>
      </c>
      <c r="AU138" s="3156">
        <f t="shared" si="1078"/>
        <v>0</v>
      </c>
      <c r="AV138" s="3057">
        <f t="shared" ref="AV138" si="1196">SUM(AV139:AV143)</f>
        <v>0</v>
      </c>
      <c r="AW138" s="3057">
        <f t="shared" ref="AW138" si="1197">SUM(AW139:AW143)</f>
        <v>0</v>
      </c>
      <c r="AX138" s="3156">
        <f t="shared" si="1081"/>
        <v>782.42000000000007</v>
      </c>
      <c r="AY138" s="3057">
        <f t="shared" ref="AY138" si="1198">SUM(AY139:AY143)</f>
        <v>782.42000000000007</v>
      </c>
      <c r="AZ138" s="3057">
        <f t="shared" ref="AZ138" si="1199">SUM(AZ139:AZ143)</f>
        <v>0</v>
      </c>
      <c r="BA138" s="3156">
        <f t="shared" si="1084"/>
        <v>782.42000000000007</v>
      </c>
      <c r="BB138" s="3156">
        <f t="shared" si="1085"/>
        <v>782.42000000000007</v>
      </c>
      <c r="BC138" s="3156">
        <f t="shared" si="1086"/>
        <v>0</v>
      </c>
      <c r="BD138" s="3206">
        <f t="shared" ref="BD138:BD143" si="1200">SUM(BE138:BF138)</f>
        <v>4986.7258036258609</v>
      </c>
      <c r="BE138" s="3206">
        <f t="shared" ref="BE138:BE143" si="1201">SUM(AG138+AP138)</f>
        <v>4985.0011457372702</v>
      </c>
      <c r="BF138" s="3206">
        <f t="shared" ref="BF138:BF143" si="1202">SUM(AH138+AQ138)</f>
        <v>1.7246578885909316</v>
      </c>
      <c r="BG138" s="3193">
        <f t="shared" si="1087"/>
        <v>2346.2400000000002</v>
      </c>
      <c r="BH138" s="3193">
        <f t="shared" si="1088"/>
        <v>2346.2400000000002</v>
      </c>
      <c r="BI138" s="3193">
        <f t="shared" si="1089"/>
        <v>0</v>
      </c>
      <c r="BJ138" s="3193">
        <f t="shared" si="1090"/>
        <v>-2640.4858036258606</v>
      </c>
      <c r="BK138" s="3193">
        <f t="shared" si="1091"/>
        <v>-2638.76114573727</v>
      </c>
      <c r="BL138" s="3193">
        <f t="shared" si="1092"/>
        <v>-1.7246578885909316</v>
      </c>
      <c r="BM138" s="3207">
        <f t="shared" si="1120"/>
        <v>1662.2419345419537</v>
      </c>
      <c r="BN138" s="3207">
        <f>SUM(BN139:BN143)</f>
        <v>1661.6670485790901</v>
      </c>
      <c r="BO138" s="3207">
        <f>SUM(BO139:BO143)</f>
        <v>0.57488596286364391</v>
      </c>
      <c r="BP138" s="3156">
        <f t="shared" si="1094"/>
        <v>0</v>
      </c>
      <c r="BQ138" s="3057">
        <f t="shared" ref="BQ138" si="1203">SUM(BQ139:BQ143)</f>
        <v>0</v>
      </c>
      <c r="BR138" s="3057">
        <f t="shared" ref="BR138" si="1204">SUM(BR139:BR143)</f>
        <v>0</v>
      </c>
      <c r="BS138" s="3156">
        <f t="shared" si="1097"/>
        <v>0</v>
      </c>
      <c r="BT138" s="3057">
        <f t="shared" ref="BT138" si="1205">SUM(BT139:BT143)</f>
        <v>0</v>
      </c>
      <c r="BU138" s="3057">
        <f t="shared" ref="BU138" si="1206">SUM(BU139:BU143)</f>
        <v>0</v>
      </c>
      <c r="BV138" s="3156">
        <f t="shared" si="1100"/>
        <v>0</v>
      </c>
      <c r="BW138" s="3057">
        <f t="shared" ref="BW138" si="1207">SUM(BW139:BW143)</f>
        <v>0</v>
      </c>
      <c r="BX138" s="3057">
        <f t="shared" ref="BX138" si="1208">SUM(BX139:BX143)</f>
        <v>0</v>
      </c>
      <c r="BY138" s="3156">
        <f t="shared" si="1103"/>
        <v>0</v>
      </c>
      <c r="BZ138" s="3156">
        <f t="shared" si="1104"/>
        <v>0</v>
      </c>
      <c r="CA138" s="3156">
        <f t="shared" si="1105"/>
        <v>0</v>
      </c>
      <c r="CB138" s="3206">
        <f t="shared" si="1024"/>
        <v>6648.9677381678148</v>
      </c>
      <c r="CC138" s="3206">
        <f>SUM(вода!BR50)</f>
        <v>6646.6681943163603</v>
      </c>
      <c r="CD138" s="3206">
        <f>SUM(вода!BS50)</f>
        <v>2.2995438514545756</v>
      </c>
      <c r="CE138" s="3193">
        <f t="shared" si="1106"/>
        <v>2346.2400000000002</v>
      </c>
      <c r="CF138" s="3193">
        <f t="shared" si="1107"/>
        <v>2346.2400000000002</v>
      </c>
      <c r="CG138" s="3193">
        <f t="shared" si="1108"/>
        <v>0</v>
      </c>
      <c r="CH138" s="3193">
        <f t="shared" si="1109"/>
        <v>-4302.7277381678141</v>
      </c>
      <c r="CI138" s="3193">
        <f t="shared" si="1110"/>
        <v>-4300.4281943163605</v>
      </c>
      <c r="CJ138" s="3193">
        <f t="shared" si="1111"/>
        <v>-2.2995438514545756</v>
      </c>
      <c r="CK138" s="3259"/>
      <c r="CL138" s="3259"/>
      <c r="CM138" s="3259"/>
      <c r="CN138" s="3055"/>
    </row>
    <row r="139" spans="1:92" ht="18.75" customHeight="1" x14ac:dyDescent="0.3">
      <c r="A139" s="3073" t="s">
        <v>3603</v>
      </c>
      <c r="B139" s="3210">
        <f t="shared" si="1168"/>
        <v>456.97044824450387</v>
      </c>
      <c r="C139" s="3210">
        <f t="shared" ref="C139:C143" si="1209">SUM(CC139/4)</f>
        <v>456.74097659450388</v>
      </c>
      <c r="D139" s="3210">
        <f t="shared" ref="D139:D143" si="1210">SUM(CD139/4)</f>
        <v>0.22947164999999997</v>
      </c>
      <c r="E139" s="3145">
        <f t="shared" si="889"/>
        <v>0</v>
      </c>
      <c r="F139" s="3066"/>
      <c r="G139" s="3066"/>
      <c r="H139" s="3145">
        <f t="shared" si="1045"/>
        <v>0</v>
      </c>
      <c r="I139" s="3066"/>
      <c r="J139" s="3066"/>
      <c r="K139" s="3145">
        <f t="shared" si="1048"/>
        <v>762.19</v>
      </c>
      <c r="L139" s="3066">
        <v>762.19</v>
      </c>
      <c r="M139" s="3066"/>
      <c r="N139" s="3145">
        <f t="shared" si="1051"/>
        <v>762.19</v>
      </c>
      <c r="O139" s="3145">
        <f t="shared" si="1052"/>
        <v>762.19</v>
      </c>
      <c r="P139" s="3145">
        <f t="shared" si="1053"/>
        <v>0</v>
      </c>
      <c r="Q139" s="3210">
        <f t="shared" si="1171"/>
        <v>456.97044824450387</v>
      </c>
      <c r="R139" s="3210">
        <f t="shared" ref="R139:R143" si="1211">SUM(C139)</f>
        <v>456.74097659450388</v>
      </c>
      <c r="S139" s="3210">
        <f t="shared" ref="S139:S143" si="1212">SUM(D139)</f>
        <v>0.22947164999999997</v>
      </c>
      <c r="T139" s="3145">
        <f t="shared" si="1055"/>
        <v>0</v>
      </c>
      <c r="U139" s="3066"/>
      <c r="V139" s="3066"/>
      <c r="W139" s="3145">
        <f t="shared" si="1058"/>
        <v>0</v>
      </c>
      <c r="X139" s="3066"/>
      <c r="Y139" s="3066"/>
      <c r="Z139" s="3145">
        <f t="shared" si="1061"/>
        <v>762.19</v>
      </c>
      <c r="AA139" s="3066">
        <v>762.19</v>
      </c>
      <c r="AB139" s="3066"/>
      <c r="AC139" s="3145">
        <f t="shared" si="1064"/>
        <v>762.19</v>
      </c>
      <c r="AD139" s="3145">
        <f t="shared" si="1065"/>
        <v>762.19</v>
      </c>
      <c r="AE139" s="3145">
        <f t="shared" si="1066"/>
        <v>0</v>
      </c>
      <c r="AF139" s="3211">
        <f t="shared" si="1191"/>
        <v>913.94089648900774</v>
      </c>
      <c r="AG139" s="3211">
        <f t="shared" si="1192"/>
        <v>913.48195318900775</v>
      </c>
      <c r="AH139" s="3211">
        <f t="shared" si="1193"/>
        <v>0.45894329999999994</v>
      </c>
      <c r="AI139" s="3194">
        <f t="shared" si="1067"/>
        <v>1524.38</v>
      </c>
      <c r="AJ139" s="3194">
        <f t="shared" si="1068"/>
        <v>1524.38</v>
      </c>
      <c r="AK139" s="3194">
        <f t="shared" si="1069"/>
        <v>0</v>
      </c>
      <c r="AL139" s="3194">
        <f t="shared" si="1070"/>
        <v>610.43910351099237</v>
      </c>
      <c r="AM139" s="3194">
        <f t="shared" si="1071"/>
        <v>610.89804681099235</v>
      </c>
      <c r="AN139" s="3194">
        <f t="shared" si="1072"/>
        <v>-0.45894329999999994</v>
      </c>
      <c r="AO139" s="3210">
        <f t="shared" si="1174"/>
        <v>456.97044824450387</v>
      </c>
      <c r="AP139" s="3210">
        <f t="shared" ref="AP139:AP143" si="1213">SUM(CC139-AG139)/2</f>
        <v>456.74097659450388</v>
      </c>
      <c r="AQ139" s="3210">
        <f t="shared" ref="AQ139:AQ143" si="1214">SUM(CD139-AH139)/2</f>
        <v>0.22947164999999997</v>
      </c>
      <c r="AR139" s="3145">
        <f t="shared" si="1075"/>
        <v>0</v>
      </c>
      <c r="AS139" s="3066"/>
      <c r="AT139" s="3066"/>
      <c r="AU139" s="3145">
        <f t="shared" si="1078"/>
        <v>0</v>
      </c>
      <c r="AV139" s="3066"/>
      <c r="AW139" s="3066"/>
      <c r="AX139" s="3145">
        <f t="shared" si="1081"/>
        <v>762.19</v>
      </c>
      <c r="AY139" s="3066">
        <v>762.19</v>
      </c>
      <c r="AZ139" s="3066"/>
      <c r="BA139" s="3145">
        <f t="shared" si="1084"/>
        <v>762.19</v>
      </c>
      <c r="BB139" s="3145">
        <f t="shared" si="1085"/>
        <v>762.19</v>
      </c>
      <c r="BC139" s="3145">
        <f t="shared" si="1086"/>
        <v>0</v>
      </c>
      <c r="BD139" s="3211">
        <f t="shared" si="1200"/>
        <v>1370.9113447335114</v>
      </c>
      <c r="BE139" s="3211">
        <f t="shared" si="1201"/>
        <v>1370.2229297835115</v>
      </c>
      <c r="BF139" s="3211">
        <f t="shared" si="1202"/>
        <v>0.68841494999999986</v>
      </c>
      <c r="BG139" s="3194">
        <f t="shared" si="1087"/>
        <v>2286.5700000000002</v>
      </c>
      <c r="BH139" s="3194">
        <f t="shared" si="1088"/>
        <v>2286.5700000000002</v>
      </c>
      <c r="BI139" s="3194">
        <f t="shared" si="1089"/>
        <v>0</v>
      </c>
      <c r="BJ139" s="3194">
        <f t="shared" si="1090"/>
        <v>915.65865526648872</v>
      </c>
      <c r="BK139" s="3194">
        <f t="shared" si="1091"/>
        <v>916.34707021648865</v>
      </c>
      <c r="BL139" s="3194">
        <f t="shared" si="1092"/>
        <v>-0.68841494999999986</v>
      </c>
      <c r="BM139" s="3210">
        <f t="shared" si="1120"/>
        <v>456.97044824450387</v>
      </c>
      <c r="BN139" s="3210">
        <f t="shared" ref="BN139:BN143" si="1215">SUM(AP139)</f>
        <v>456.74097659450388</v>
      </c>
      <c r="BO139" s="3210">
        <f t="shared" ref="BO139:BO143" si="1216">SUM(AQ139)</f>
        <v>0.22947164999999997</v>
      </c>
      <c r="BP139" s="3145">
        <f t="shared" si="1094"/>
        <v>0</v>
      </c>
      <c r="BQ139" s="3066"/>
      <c r="BR139" s="3066"/>
      <c r="BS139" s="3145">
        <f t="shared" si="1097"/>
        <v>0</v>
      </c>
      <c r="BT139" s="3066"/>
      <c r="BU139" s="3066"/>
      <c r="BV139" s="3145">
        <f t="shared" si="1100"/>
        <v>0</v>
      </c>
      <c r="BW139" s="3066"/>
      <c r="BX139" s="3066"/>
      <c r="BY139" s="3145">
        <f t="shared" si="1103"/>
        <v>0</v>
      </c>
      <c r="BZ139" s="3145">
        <f t="shared" si="1104"/>
        <v>0</v>
      </c>
      <c r="CA139" s="3145">
        <f t="shared" si="1105"/>
        <v>0</v>
      </c>
      <c r="CB139" s="3211">
        <f t="shared" si="1024"/>
        <v>1827.8817929780155</v>
      </c>
      <c r="CC139" s="3211">
        <f>SUM(вода!BR51)</f>
        <v>1826.9639063780155</v>
      </c>
      <c r="CD139" s="3211">
        <f>SUM(вода!BS51)</f>
        <v>0.91788659999999989</v>
      </c>
      <c r="CE139" s="3194">
        <f t="shared" si="1106"/>
        <v>2286.5700000000002</v>
      </c>
      <c r="CF139" s="3194">
        <f t="shared" si="1107"/>
        <v>2286.5700000000002</v>
      </c>
      <c r="CG139" s="3194">
        <f t="shared" si="1108"/>
        <v>0</v>
      </c>
      <c r="CH139" s="3194">
        <f t="shared" si="1109"/>
        <v>458.68820702198468</v>
      </c>
      <c r="CI139" s="3194">
        <f t="shared" si="1110"/>
        <v>459.60609362198466</v>
      </c>
      <c r="CJ139" s="3194">
        <f t="shared" si="1111"/>
        <v>-0.91788659999999989</v>
      </c>
      <c r="CK139" s="3259"/>
      <c r="CL139" s="3259"/>
      <c r="CM139" s="3259"/>
      <c r="CN139" s="3055"/>
    </row>
    <row r="140" spans="1:92" ht="18.75" customHeight="1" x14ac:dyDescent="0.3">
      <c r="A140" s="3073" t="s">
        <v>533</v>
      </c>
      <c r="B140" s="3210">
        <f t="shared" si="1168"/>
        <v>21.7775</v>
      </c>
      <c r="C140" s="3210">
        <f t="shared" si="1209"/>
        <v>21.766975145142208</v>
      </c>
      <c r="D140" s="3210">
        <f t="shared" si="1210"/>
        <v>1.0524854857792657E-2</v>
      </c>
      <c r="E140" s="3145">
        <f t="shared" si="889"/>
        <v>0</v>
      </c>
      <c r="F140" s="3066"/>
      <c r="G140" s="3066"/>
      <c r="H140" s="3145">
        <f t="shared" si="1045"/>
        <v>0</v>
      </c>
      <c r="I140" s="3066"/>
      <c r="J140" s="3066"/>
      <c r="K140" s="3145">
        <f t="shared" si="1048"/>
        <v>19.72</v>
      </c>
      <c r="L140" s="3066">
        <v>19.72</v>
      </c>
      <c r="M140" s="3066"/>
      <c r="N140" s="3145">
        <f t="shared" si="1051"/>
        <v>19.72</v>
      </c>
      <c r="O140" s="3145">
        <f t="shared" si="1052"/>
        <v>19.72</v>
      </c>
      <c r="P140" s="3145">
        <f t="shared" si="1053"/>
        <v>0</v>
      </c>
      <c r="Q140" s="3210">
        <f t="shared" si="1171"/>
        <v>21.7775</v>
      </c>
      <c r="R140" s="3210">
        <f t="shared" si="1211"/>
        <v>21.766975145142208</v>
      </c>
      <c r="S140" s="3210">
        <f t="shared" si="1212"/>
        <v>1.0524854857792657E-2</v>
      </c>
      <c r="T140" s="3145">
        <f t="shared" si="1055"/>
        <v>0</v>
      </c>
      <c r="U140" s="3066"/>
      <c r="V140" s="3066"/>
      <c r="W140" s="3145">
        <f t="shared" si="1058"/>
        <v>0</v>
      </c>
      <c r="X140" s="3066"/>
      <c r="Y140" s="3066"/>
      <c r="Z140" s="3145">
        <f t="shared" si="1061"/>
        <v>19.72</v>
      </c>
      <c r="AA140" s="3066">
        <v>19.72</v>
      </c>
      <c r="AB140" s="3066"/>
      <c r="AC140" s="3145">
        <f t="shared" si="1064"/>
        <v>19.72</v>
      </c>
      <c r="AD140" s="3145">
        <f t="shared" si="1065"/>
        <v>19.72</v>
      </c>
      <c r="AE140" s="3145">
        <f t="shared" si="1066"/>
        <v>0</v>
      </c>
      <c r="AF140" s="3211">
        <f t="shared" si="1191"/>
        <v>43.555</v>
      </c>
      <c r="AG140" s="3211">
        <f t="shared" si="1192"/>
        <v>43.533950290284416</v>
      </c>
      <c r="AH140" s="3211">
        <f t="shared" si="1193"/>
        <v>2.1049709715585313E-2</v>
      </c>
      <c r="AI140" s="3194">
        <f t="shared" si="1067"/>
        <v>39.44</v>
      </c>
      <c r="AJ140" s="3194">
        <f t="shared" si="1068"/>
        <v>39.44</v>
      </c>
      <c r="AK140" s="3194">
        <f t="shared" si="1069"/>
        <v>0</v>
      </c>
      <c r="AL140" s="3194">
        <f t="shared" si="1070"/>
        <v>-4.115000000000002</v>
      </c>
      <c r="AM140" s="3194">
        <f t="shared" si="1071"/>
        <v>-4.0939502902844183</v>
      </c>
      <c r="AN140" s="3194">
        <f t="shared" si="1072"/>
        <v>-2.1049709715585313E-2</v>
      </c>
      <c r="AO140" s="3210">
        <f t="shared" si="1174"/>
        <v>21.7775</v>
      </c>
      <c r="AP140" s="3210">
        <f t="shared" si="1213"/>
        <v>21.766975145142208</v>
      </c>
      <c r="AQ140" s="3210">
        <f t="shared" si="1214"/>
        <v>1.0524854857792657E-2</v>
      </c>
      <c r="AR140" s="3145">
        <f t="shared" si="1075"/>
        <v>0</v>
      </c>
      <c r="AS140" s="3066"/>
      <c r="AT140" s="3066"/>
      <c r="AU140" s="3145">
        <f t="shared" si="1078"/>
        <v>0</v>
      </c>
      <c r="AV140" s="3066"/>
      <c r="AW140" s="3066"/>
      <c r="AX140" s="3145">
        <f t="shared" si="1081"/>
        <v>20.23</v>
      </c>
      <c r="AY140" s="3066">
        <v>20.23</v>
      </c>
      <c r="AZ140" s="3066"/>
      <c r="BA140" s="3145">
        <f t="shared" si="1084"/>
        <v>20.23</v>
      </c>
      <c r="BB140" s="3145">
        <f t="shared" si="1085"/>
        <v>20.23</v>
      </c>
      <c r="BC140" s="3145">
        <f t="shared" si="1086"/>
        <v>0</v>
      </c>
      <c r="BD140" s="3211">
        <f t="shared" si="1200"/>
        <v>65.332499999999996</v>
      </c>
      <c r="BE140" s="3211">
        <f t="shared" si="1201"/>
        <v>65.30092543542662</v>
      </c>
      <c r="BF140" s="3211">
        <f t="shared" si="1202"/>
        <v>3.157456457337797E-2</v>
      </c>
      <c r="BG140" s="3194">
        <f t="shared" si="1087"/>
        <v>59.67</v>
      </c>
      <c r="BH140" s="3194">
        <f t="shared" si="1088"/>
        <v>59.67</v>
      </c>
      <c r="BI140" s="3194">
        <f t="shared" si="1089"/>
        <v>0</v>
      </c>
      <c r="BJ140" s="3194">
        <f t="shared" si="1090"/>
        <v>-5.6624999999999943</v>
      </c>
      <c r="BK140" s="3194">
        <f t="shared" si="1091"/>
        <v>-5.6309254354266187</v>
      </c>
      <c r="BL140" s="3194">
        <f t="shared" si="1092"/>
        <v>-3.157456457337797E-2</v>
      </c>
      <c r="BM140" s="3210">
        <f t="shared" si="1120"/>
        <v>21.7775</v>
      </c>
      <c r="BN140" s="3210">
        <f t="shared" si="1215"/>
        <v>21.766975145142208</v>
      </c>
      <c r="BO140" s="3210">
        <f t="shared" si="1216"/>
        <v>1.0524854857792657E-2</v>
      </c>
      <c r="BP140" s="3145">
        <f t="shared" si="1094"/>
        <v>0</v>
      </c>
      <c r="BQ140" s="3066"/>
      <c r="BR140" s="3066"/>
      <c r="BS140" s="3145">
        <f t="shared" si="1097"/>
        <v>0</v>
      </c>
      <c r="BT140" s="3066"/>
      <c r="BU140" s="3066"/>
      <c r="BV140" s="3145">
        <f t="shared" si="1100"/>
        <v>0</v>
      </c>
      <c r="BW140" s="3066"/>
      <c r="BX140" s="3066"/>
      <c r="BY140" s="3145">
        <f t="shared" si="1103"/>
        <v>0</v>
      </c>
      <c r="BZ140" s="3145">
        <f t="shared" si="1104"/>
        <v>0</v>
      </c>
      <c r="CA140" s="3145">
        <f t="shared" si="1105"/>
        <v>0</v>
      </c>
      <c r="CB140" s="3211">
        <f t="shared" si="1024"/>
        <v>87.11</v>
      </c>
      <c r="CC140" s="3211">
        <f>SUM(вода!BR52)</f>
        <v>87.067900580568832</v>
      </c>
      <c r="CD140" s="3211">
        <f>SUM(вода!BS52)</f>
        <v>4.2099419431170626E-2</v>
      </c>
      <c r="CE140" s="3194">
        <f t="shared" si="1106"/>
        <v>59.67</v>
      </c>
      <c r="CF140" s="3194">
        <f t="shared" si="1107"/>
        <v>59.67</v>
      </c>
      <c r="CG140" s="3194">
        <f t="shared" si="1108"/>
        <v>0</v>
      </c>
      <c r="CH140" s="3194">
        <f t="shared" si="1109"/>
        <v>-27.439999999999998</v>
      </c>
      <c r="CI140" s="3194">
        <f t="shared" si="1110"/>
        <v>-27.39790058056883</v>
      </c>
      <c r="CJ140" s="3194">
        <f t="shared" si="1111"/>
        <v>-4.2099419431170626E-2</v>
      </c>
      <c r="CK140" s="3259"/>
      <c r="CL140" s="3259"/>
      <c r="CM140" s="3259"/>
      <c r="CN140" s="3055"/>
    </row>
    <row r="141" spans="1:92" ht="18.75" customHeight="1" x14ac:dyDescent="0.3">
      <c r="A141" s="3073" t="s">
        <v>534</v>
      </c>
      <c r="B141" s="3210">
        <f t="shared" si="1168"/>
        <v>0</v>
      </c>
      <c r="C141" s="3210">
        <f t="shared" si="1209"/>
        <v>0</v>
      </c>
      <c r="D141" s="3210">
        <f t="shared" si="1210"/>
        <v>0</v>
      </c>
      <c r="E141" s="3145">
        <f t="shared" si="889"/>
        <v>0</v>
      </c>
      <c r="F141" s="3066"/>
      <c r="G141" s="3066"/>
      <c r="H141" s="3145">
        <f t="shared" si="1045"/>
        <v>0</v>
      </c>
      <c r="I141" s="3066"/>
      <c r="J141" s="3066"/>
      <c r="K141" s="3145">
        <f t="shared" si="1048"/>
        <v>0</v>
      </c>
      <c r="L141" s="3066"/>
      <c r="M141" s="3066"/>
      <c r="N141" s="3145">
        <f t="shared" si="1051"/>
        <v>0</v>
      </c>
      <c r="O141" s="3145">
        <f t="shared" si="1052"/>
        <v>0</v>
      </c>
      <c r="P141" s="3145">
        <f t="shared" si="1053"/>
        <v>0</v>
      </c>
      <c r="Q141" s="3210">
        <f t="shared" si="1171"/>
        <v>0</v>
      </c>
      <c r="R141" s="3210">
        <f t="shared" si="1211"/>
        <v>0</v>
      </c>
      <c r="S141" s="3210">
        <f t="shared" si="1212"/>
        <v>0</v>
      </c>
      <c r="T141" s="3145">
        <f t="shared" si="1055"/>
        <v>0</v>
      </c>
      <c r="U141" s="3066"/>
      <c r="V141" s="3066"/>
      <c r="W141" s="3145">
        <f t="shared" si="1058"/>
        <v>0</v>
      </c>
      <c r="X141" s="3066"/>
      <c r="Y141" s="3066"/>
      <c r="Z141" s="3145">
        <f t="shared" si="1061"/>
        <v>0</v>
      </c>
      <c r="AA141" s="3066"/>
      <c r="AB141" s="3066"/>
      <c r="AC141" s="3145">
        <f t="shared" si="1064"/>
        <v>0</v>
      </c>
      <c r="AD141" s="3145">
        <f t="shared" si="1065"/>
        <v>0</v>
      </c>
      <c r="AE141" s="3145">
        <f t="shared" si="1066"/>
        <v>0</v>
      </c>
      <c r="AF141" s="3211">
        <f t="shared" si="1191"/>
        <v>0</v>
      </c>
      <c r="AG141" s="3211">
        <f t="shared" si="1192"/>
        <v>0</v>
      </c>
      <c r="AH141" s="3211">
        <f t="shared" si="1193"/>
        <v>0</v>
      </c>
      <c r="AI141" s="3194">
        <f t="shared" si="1067"/>
        <v>0</v>
      </c>
      <c r="AJ141" s="3194">
        <f t="shared" si="1068"/>
        <v>0</v>
      </c>
      <c r="AK141" s="3194">
        <f t="shared" si="1069"/>
        <v>0</v>
      </c>
      <c r="AL141" s="3194">
        <f t="shared" si="1070"/>
        <v>0</v>
      </c>
      <c r="AM141" s="3194">
        <f t="shared" si="1071"/>
        <v>0</v>
      </c>
      <c r="AN141" s="3194">
        <f t="shared" si="1072"/>
        <v>0</v>
      </c>
      <c r="AO141" s="3210">
        <f t="shared" si="1174"/>
        <v>0</v>
      </c>
      <c r="AP141" s="3210">
        <f t="shared" si="1213"/>
        <v>0</v>
      </c>
      <c r="AQ141" s="3210">
        <f t="shared" si="1214"/>
        <v>0</v>
      </c>
      <c r="AR141" s="3145">
        <f t="shared" si="1075"/>
        <v>0</v>
      </c>
      <c r="AS141" s="3066"/>
      <c r="AT141" s="3066"/>
      <c r="AU141" s="3145">
        <f t="shared" si="1078"/>
        <v>0</v>
      </c>
      <c r="AV141" s="3066"/>
      <c r="AW141" s="3066"/>
      <c r="AX141" s="3145">
        <f t="shared" si="1081"/>
        <v>0</v>
      </c>
      <c r="AY141" s="3066"/>
      <c r="AZ141" s="3066"/>
      <c r="BA141" s="3145">
        <f t="shared" si="1084"/>
        <v>0</v>
      </c>
      <c r="BB141" s="3145">
        <f t="shared" si="1085"/>
        <v>0</v>
      </c>
      <c r="BC141" s="3145">
        <f t="shared" si="1086"/>
        <v>0</v>
      </c>
      <c r="BD141" s="3211">
        <f t="shared" si="1200"/>
        <v>0</v>
      </c>
      <c r="BE141" s="3211">
        <f t="shared" si="1201"/>
        <v>0</v>
      </c>
      <c r="BF141" s="3211">
        <f t="shared" si="1202"/>
        <v>0</v>
      </c>
      <c r="BG141" s="3194">
        <f t="shared" si="1087"/>
        <v>0</v>
      </c>
      <c r="BH141" s="3194">
        <f t="shared" si="1088"/>
        <v>0</v>
      </c>
      <c r="BI141" s="3194">
        <f t="shared" si="1089"/>
        <v>0</v>
      </c>
      <c r="BJ141" s="3194">
        <f t="shared" si="1090"/>
        <v>0</v>
      </c>
      <c r="BK141" s="3194">
        <f t="shared" si="1091"/>
        <v>0</v>
      </c>
      <c r="BL141" s="3194">
        <f t="shared" si="1092"/>
        <v>0</v>
      </c>
      <c r="BM141" s="3210">
        <f t="shared" si="1120"/>
        <v>0</v>
      </c>
      <c r="BN141" s="3210">
        <f t="shared" si="1215"/>
        <v>0</v>
      </c>
      <c r="BO141" s="3210">
        <f t="shared" si="1216"/>
        <v>0</v>
      </c>
      <c r="BP141" s="3145">
        <f t="shared" si="1094"/>
        <v>0</v>
      </c>
      <c r="BQ141" s="3066"/>
      <c r="BR141" s="3066"/>
      <c r="BS141" s="3145">
        <f t="shared" si="1097"/>
        <v>0</v>
      </c>
      <c r="BT141" s="3066"/>
      <c r="BU141" s="3066"/>
      <c r="BV141" s="3145">
        <f t="shared" si="1100"/>
        <v>0</v>
      </c>
      <c r="BW141" s="3066"/>
      <c r="BX141" s="3066"/>
      <c r="BY141" s="3145">
        <f t="shared" si="1103"/>
        <v>0</v>
      </c>
      <c r="BZ141" s="3145">
        <f t="shared" si="1104"/>
        <v>0</v>
      </c>
      <c r="CA141" s="3145">
        <f t="shared" si="1105"/>
        <v>0</v>
      </c>
      <c r="CB141" s="3211">
        <f t="shared" si="1024"/>
        <v>0</v>
      </c>
      <c r="CC141" s="3211">
        <f>SUM(вода!BR53)</f>
        <v>0</v>
      </c>
      <c r="CD141" s="3211">
        <f>SUM(вода!BS53)</f>
        <v>0</v>
      </c>
      <c r="CE141" s="3194">
        <f t="shared" si="1106"/>
        <v>0</v>
      </c>
      <c r="CF141" s="3194">
        <f t="shared" si="1107"/>
        <v>0</v>
      </c>
      <c r="CG141" s="3194">
        <f t="shared" si="1108"/>
        <v>0</v>
      </c>
      <c r="CH141" s="3194">
        <f t="shared" si="1109"/>
        <v>0</v>
      </c>
      <c r="CI141" s="3194">
        <f t="shared" si="1110"/>
        <v>0</v>
      </c>
      <c r="CJ141" s="3194">
        <f t="shared" si="1111"/>
        <v>0</v>
      </c>
      <c r="CK141" s="3259"/>
      <c r="CL141" s="3259"/>
      <c r="CM141" s="3259"/>
      <c r="CN141" s="3055"/>
    </row>
    <row r="142" spans="1:92" ht="18.75" customHeight="1" x14ac:dyDescent="0.3">
      <c r="A142" s="3073" t="s">
        <v>535</v>
      </c>
      <c r="B142" s="3210">
        <f t="shared" si="1168"/>
        <v>461.69255459499999</v>
      </c>
      <c r="C142" s="3210">
        <f t="shared" si="1209"/>
        <v>461.35766513699411</v>
      </c>
      <c r="D142" s="3210">
        <f t="shared" si="1210"/>
        <v>0.33488945800585129</v>
      </c>
      <c r="E142" s="3145">
        <f t="shared" si="889"/>
        <v>0</v>
      </c>
      <c r="F142" s="3066"/>
      <c r="G142" s="3066"/>
      <c r="H142" s="3145">
        <f t="shared" si="1045"/>
        <v>0</v>
      </c>
      <c r="I142" s="3066"/>
      <c r="J142" s="3066"/>
      <c r="K142" s="3145">
        <f t="shared" si="1048"/>
        <v>0</v>
      </c>
      <c r="L142" s="3066"/>
      <c r="M142" s="3066"/>
      <c r="N142" s="3145">
        <f t="shared" si="1051"/>
        <v>0</v>
      </c>
      <c r="O142" s="3145">
        <f t="shared" si="1052"/>
        <v>0</v>
      </c>
      <c r="P142" s="3145">
        <f t="shared" si="1053"/>
        <v>0</v>
      </c>
      <c r="Q142" s="3210">
        <f t="shared" si="1171"/>
        <v>461.69255459499999</v>
      </c>
      <c r="R142" s="3210">
        <f t="shared" si="1211"/>
        <v>461.35766513699411</v>
      </c>
      <c r="S142" s="3210">
        <f t="shared" si="1212"/>
        <v>0.33488945800585129</v>
      </c>
      <c r="T142" s="3145">
        <f t="shared" si="1055"/>
        <v>0</v>
      </c>
      <c r="U142" s="3066"/>
      <c r="V142" s="3066"/>
      <c r="W142" s="3145">
        <f t="shared" si="1058"/>
        <v>0</v>
      </c>
      <c r="X142" s="3066"/>
      <c r="Y142" s="3066"/>
      <c r="Z142" s="3145">
        <f t="shared" si="1061"/>
        <v>0</v>
      </c>
      <c r="AA142" s="3066"/>
      <c r="AB142" s="3066"/>
      <c r="AC142" s="3145">
        <f t="shared" si="1064"/>
        <v>0</v>
      </c>
      <c r="AD142" s="3145">
        <f t="shared" si="1065"/>
        <v>0</v>
      </c>
      <c r="AE142" s="3145">
        <f t="shared" si="1066"/>
        <v>0</v>
      </c>
      <c r="AF142" s="3211">
        <f t="shared" si="1191"/>
        <v>923.38510918999998</v>
      </c>
      <c r="AG142" s="3211">
        <f t="shared" si="1192"/>
        <v>922.71533027398823</v>
      </c>
      <c r="AH142" s="3211">
        <f t="shared" si="1193"/>
        <v>0.66977891601170259</v>
      </c>
      <c r="AI142" s="3194">
        <f t="shared" si="1067"/>
        <v>0</v>
      </c>
      <c r="AJ142" s="3194">
        <f t="shared" si="1068"/>
        <v>0</v>
      </c>
      <c r="AK142" s="3194">
        <f t="shared" si="1069"/>
        <v>0</v>
      </c>
      <c r="AL142" s="3194">
        <f t="shared" si="1070"/>
        <v>-923.38510918999998</v>
      </c>
      <c r="AM142" s="3194">
        <f t="shared" si="1071"/>
        <v>-922.71533027398823</v>
      </c>
      <c r="AN142" s="3194">
        <f t="shared" si="1072"/>
        <v>-0.66977891601170259</v>
      </c>
      <c r="AO142" s="3210">
        <f t="shared" si="1174"/>
        <v>461.69255459499999</v>
      </c>
      <c r="AP142" s="3210">
        <f t="shared" si="1213"/>
        <v>461.35766513699411</v>
      </c>
      <c r="AQ142" s="3210">
        <f t="shared" si="1214"/>
        <v>0.33488945800585129</v>
      </c>
      <c r="AR142" s="3145">
        <f t="shared" si="1075"/>
        <v>0</v>
      </c>
      <c r="AS142" s="3066"/>
      <c r="AT142" s="3066"/>
      <c r="AU142" s="3145">
        <f t="shared" si="1078"/>
        <v>0</v>
      </c>
      <c r="AV142" s="3066"/>
      <c r="AW142" s="3066"/>
      <c r="AX142" s="3145">
        <f t="shared" si="1081"/>
        <v>0</v>
      </c>
      <c r="AY142" s="3066"/>
      <c r="AZ142" s="3066"/>
      <c r="BA142" s="3145">
        <f t="shared" si="1084"/>
        <v>0</v>
      </c>
      <c r="BB142" s="3145">
        <f t="shared" si="1085"/>
        <v>0</v>
      </c>
      <c r="BC142" s="3145">
        <f t="shared" si="1086"/>
        <v>0</v>
      </c>
      <c r="BD142" s="3211">
        <f t="shared" si="1200"/>
        <v>1385.0776637849999</v>
      </c>
      <c r="BE142" s="3211">
        <f t="shared" si="1201"/>
        <v>1384.0729954109825</v>
      </c>
      <c r="BF142" s="3211">
        <f t="shared" si="1202"/>
        <v>1.0046683740175539</v>
      </c>
      <c r="BG142" s="3194">
        <f t="shared" si="1087"/>
        <v>0</v>
      </c>
      <c r="BH142" s="3194">
        <f t="shared" si="1088"/>
        <v>0</v>
      </c>
      <c r="BI142" s="3194">
        <f t="shared" si="1089"/>
        <v>0</v>
      </c>
      <c r="BJ142" s="3194">
        <f t="shared" si="1090"/>
        <v>-1385.0776637849999</v>
      </c>
      <c r="BK142" s="3194">
        <f t="shared" si="1091"/>
        <v>-1384.0729954109825</v>
      </c>
      <c r="BL142" s="3194">
        <f t="shared" si="1092"/>
        <v>-1.0046683740175539</v>
      </c>
      <c r="BM142" s="3210">
        <f t="shared" si="1120"/>
        <v>461.69255459499999</v>
      </c>
      <c r="BN142" s="3210">
        <f t="shared" si="1215"/>
        <v>461.35766513699411</v>
      </c>
      <c r="BO142" s="3210">
        <f t="shared" si="1216"/>
        <v>0.33488945800585129</v>
      </c>
      <c r="BP142" s="3145">
        <f t="shared" si="1094"/>
        <v>0</v>
      </c>
      <c r="BQ142" s="3066"/>
      <c r="BR142" s="3066"/>
      <c r="BS142" s="3145">
        <f t="shared" si="1097"/>
        <v>0</v>
      </c>
      <c r="BT142" s="3066"/>
      <c r="BU142" s="3066"/>
      <c r="BV142" s="3145">
        <f t="shared" si="1100"/>
        <v>0</v>
      </c>
      <c r="BW142" s="3066"/>
      <c r="BX142" s="3066"/>
      <c r="BY142" s="3145">
        <f t="shared" si="1103"/>
        <v>0</v>
      </c>
      <c r="BZ142" s="3145">
        <f t="shared" si="1104"/>
        <v>0</v>
      </c>
      <c r="CA142" s="3145">
        <f t="shared" si="1105"/>
        <v>0</v>
      </c>
      <c r="CB142" s="3211">
        <f t="shared" si="1024"/>
        <v>1846.77021838</v>
      </c>
      <c r="CC142" s="3211">
        <f>SUM(вода!BR54)</f>
        <v>1845.4306605479765</v>
      </c>
      <c r="CD142" s="3211">
        <f>SUM(вода!BS54)</f>
        <v>1.3395578320234052</v>
      </c>
      <c r="CE142" s="3194">
        <f t="shared" si="1106"/>
        <v>0</v>
      </c>
      <c r="CF142" s="3194">
        <f t="shared" si="1107"/>
        <v>0</v>
      </c>
      <c r="CG142" s="3194">
        <f t="shared" si="1108"/>
        <v>0</v>
      </c>
      <c r="CH142" s="3194">
        <f t="shared" si="1109"/>
        <v>-1846.77021838</v>
      </c>
      <c r="CI142" s="3194">
        <f t="shared" si="1110"/>
        <v>-1845.4306605479765</v>
      </c>
      <c r="CJ142" s="3194">
        <f t="shared" si="1111"/>
        <v>-1.3395578320234052</v>
      </c>
      <c r="CK142" s="3259"/>
      <c r="CL142" s="3259"/>
      <c r="CM142" s="3259"/>
      <c r="CN142" s="3055"/>
    </row>
    <row r="143" spans="1:92" ht="18.75" customHeight="1" x14ac:dyDescent="0.3">
      <c r="A143" s="3073" t="s">
        <v>3676</v>
      </c>
      <c r="B143" s="3210">
        <f t="shared" si="1168"/>
        <v>721.80143170245003</v>
      </c>
      <c r="C143" s="3210">
        <f t="shared" si="1209"/>
        <v>721.80143170245003</v>
      </c>
      <c r="D143" s="3210">
        <f t="shared" si="1210"/>
        <v>0</v>
      </c>
      <c r="E143" s="3145">
        <f t="shared" si="889"/>
        <v>0</v>
      </c>
      <c r="F143" s="3066"/>
      <c r="G143" s="3066"/>
      <c r="H143" s="3145">
        <f t="shared" si="1045"/>
        <v>0</v>
      </c>
      <c r="I143" s="3066"/>
      <c r="J143" s="3066"/>
      <c r="K143" s="3145">
        <f t="shared" si="1048"/>
        <v>0</v>
      </c>
      <c r="L143" s="3066"/>
      <c r="M143" s="3066"/>
      <c r="N143" s="3145">
        <f t="shared" si="1051"/>
        <v>0</v>
      </c>
      <c r="O143" s="3145">
        <f t="shared" si="1052"/>
        <v>0</v>
      </c>
      <c r="P143" s="3145">
        <f t="shared" si="1053"/>
        <v>0</v>
      </c>
      <c r="Q143" s="3210">
        <f t="shared" si="1171"/>
        <v>721.80143170245003</v>
      </c>
      <c r="R143" s="3210">
        <f t="shared" si="1211"/>
        <v>721.80143170245003</v>
      </c>
      <c r="S143" s="3210">
        <f t="shared" si="1212"/>
        <v>0</v>
      </c>
      <c r="T143" s="3145">
        <f t="shared" si="1055"/>
        <v>0</v>
      </c>
      <c r="U143" s="3066"/>
      <c r="V143" s="3066"/>
      <c r="W143" s="3145">
        <f t="shared" si="1058"/>
        <v>0</v>
      </c>
      <c r="X143" s="3066"/>
      <c r="Y143" s="3066"/>
      <c r="Z143" s="3145">
        <f t="shared" si="1061"/>
        <v>0</v>
      </c>
      <c r="AA143" s="3066"/>
      <c r="AB143" s="3066"/>
      <c r="AC143" s="3145">
        <f t="shared" si="1064"/>
        <v>0</v>
      </c>
      <c r="AD143" s="3145">
        <f t="shared" si="1065"/>
        <v>0</v>
      </c>
      <c r="AE143" s="3145">
        <f t="shared" si="1066"/>
        <v>0</v>
      </c>
      <c r="AF143" s="3211">
        <f t="shared" si="1191"/>
        <v>1443.6028634049001</v>
      </c>
      <c r="AG143" s="3211">
        <f t="shared" si="1192"/>
        <v>1443.6028634049001</v>
      </c>
      <c r="AH143" s="3211">
        <f t="shared" si="1193"/>
        <v>0</v>
      </c>
      <c r="AI143" s="3194">
        <f t="shared" si="1067"/>
        <v>0</v>
      </c>
      <c r="AJ143" s="3194">
        <f t="shared" si="1068"/>
        <v>0</v>
      </c>
      <c r="AK143" s="3194">
        <f t="shared" si="1069"/>
        <v>0</v>
      </c>
      <c r="AL143" s="3194">
        <f t="shared" si="1070"/>
        <v>-1443.6028634049001</v>
      </c>
      <c r="AM143" s="3194">
        <f t="shared" si="1071"/>
        <v>-1443.6028634049001</v>
      </c>
      <c r="AN143" s="3194">
        <f t="shared" si="1072"/>
        <v>0</v>
      </c>
      <c r="AO143" s="3210">
        <f t="shared" si="1174"/>
        <v>721.80143170245003</v>
      </c>
      <c r="AP143" s="3210">
        <f t="shared" si="1213"/>
        <v>721.80143170245003</v>
      </c>
      <c r="AQ143" s="3210">
        <f t="shared" si="1214"/>
        <v>0</v>
      </c>
      <c r="AR143" s="3145">
        <f t="shared" si="1075"/>
        <v>0</v>
      </c>
      <c r="AS143" s="3066"/>
      <c r="AT143" s="3066"/>
      <c r="AU143" s="3145">
        <f t="shared" si="1078"/>
        <v>0</v>
      </c>
      <c r="AV143" s="3066"/>
      <c r="AW143" s="3066"/>
      <c r="AX143" s="3145">
        <f t="shared" si="1081"/>
        <v>0</v>
      </c>
      <c r="AY143" s="3066"/>
      <c r="AZ143" s="3066"/>
      <c r="BA143" s="3145">
        <f t="shared" si="1084"/>
        <v>0</v>
      </c>
      <c r="BB143" s="3145">
        <f t="shared" si="1085"/>
        <v>0</v>
      </c>
      <c r="BC143" s="3145">
        <f t="shared" si="1086"/>
        <v>0</v>
      </c>
      <c r="BD143" s="3211">
        <f t="shared" si="1200"/>
        <v>2165.4042951073502</v>
      </c>
      <c r="BE143" s="3211">
        <f t="shared" si="1201"/>
        <v>2165.4042951073502</v>
      </c>
      <c r="BF143" s="3211">
        <f t="shared" si="1202"/>
        <v>0</v>
      </c>
      <c r="BG143" s="3194">
        <f t="shared" si="1087"/>
        <v>0</v>
      </c>
      <c r="BH143" s="3194">
        <f t="shared" si="1088"/>
        <v>0</v>
      </c>
      <c r="BI143" s="3194">
        <f t="shared" si="1089"/>
        <v>0</v>
      </c>
      <c r="BJ143" s="3194">
        <f t="shared" si="1090"/>
        <v>-2165.4042951073502</v>
      </c>
      <c r="BK143" s="3194">
        <f t="shared" si="1091"/>
        <v>-2165.4042951073502</v>
      </c>
      <c r="BL143" s="3194">
        <f t="shared" si="1092"/>
        <v>0</v>
      </c>
      <c r="BM143" s="3210">
        <f t="shared" si="1120"/>
        <v>721.80143170245003</v>
      </c>
      <c r="BN143" s="3210">
        <f t="shared" si="1215"/>
        <v>721.80143170245003</v>
      </c>
      <c r="BO143" s="3210">
        <f t="shared" si="1216"/>
        <v>0</v>
      </c>
      <c r="BP143" s="3145">
        <f t="shared" si="1094"/>
        <v>0</v>
      </c>
      <c r="BQ143" s="3066"/>
      <c r="BR143" s="3066"/>
      <c r="BS143" s="3145">
        <f t="shared" si="1097"/>
        <v>0</v>
      </c>
      <c r="BT143" s="3066"/>
      <c r="BU143" s="3066"/>
      <c r="BV143" s="3145">
        <f t="shared" si="1100"/>
        <v>0</v>
      </c>
      <c r="BW143" s="3066"/>
      <c r="BX143" s="3066"/>
      <c r="BY143" s="3145">
        <f t="shared" si="1103"/>
        <v>0</v>
      </c>
      <c r="BZ143" s="3145">
        <f t="shared" si="1104"/>
        <v>0</v>
      </c>
      <c r="CA143" s="3145">
        <f t="shared" si="1105"/>
        <v>0</v>
      </c>
      <c r="CB143" s="3211">
        <f t="shared" si="1024"/>
        <v>2887.2057268098001</v>
      </c>
      <c r="CC143" s="3211">
        <f>SUM(вода!BR55)</f>
        <v>2887.2057268098001</v>
      </c>
      <c r="CD143" s="3211">
        <f>SUM(вода!BS55)</f>
        <v>0</v>
      </c>
      <c r="CE143" s="3194">
        <f t="shared" si="1106"/>
        <v>0</v>
      </c>
      <c r="CF143" s="3194">
        <f t="shared" si="1107"/>
        <v>0</v>
      </c>
      <c r="CG143" s="3194">
        <f t="shared" si="1108"/>
        <v>0</v>
      </c>
      <c r="CH143" s="3194">
        <f t="shared" si="1109"/>
        <v>-2887.2057268098001</v>
      </c>
      <c r="CI143" s="3194">
        <f t="shared" si="1110"/>
        <v>-2887.2057268098001</v>
      </c>
      <c r="CJ143" s="3194">
        <f t="shared" si="1111"/>
        <v>0</v>
      </c>
      <c r="CK143" s="3259"/>
      <c r="CL143" s="3259"/>
      <c r="CM143" s="3259"/>
      <c r="CN143" s="3055"/>
    </row>
    <row r="144" spans="1:92" ht="18.75" customHeight="1" x14ac:dyDescent="0.3">
      <c r="A144" s="3074" t="s">
        <v>3604</v>
      </c>
      <c r="B144" s="3207">
        <f t="shared" si="1168"/>
        <v>2582.91725</v>
      </c>
      <c r="C144" s="3207">
        <f t="shared" ref="C144:G144" si="1217">SUM(C145:C150)</f>
        <v>2581.6689511059149</v>
      </c>
      <c r="D144" s="3207">
        <f t="shared" si="1217"/>
        <v>1.2482988940851316</v>
      </c>
      <c r="E144" s="3156">
        <f t="shared" si="889"/>
        <v>1289.635</v>
      </c>
      <c r="F144" s="3057">
        <f>SUM(F145:F150)</f>
        <v>1289.25</v>
      </c>
      <c r="G144" s="3207">
        <f t="shared" si="1217"/>
        <v>0.38500000000000001</v>
      </c>
      <c r="H144" s="3156">
        <f t="shared" si="1045"/>
        <v>1124.5250000000001</v>
      </c>
      <c r="I144" s="3057">
        <f t="shared" ref="I144:J144" si="1218">SUM(I145:I150)</f>
        <v>1124.22</v>
      </c>
      <c r="J144" s="3207">
        <f t="shared" si="1218"/>
        <v>0.30499999999999999</v>
      </c>
      <c r="K144" s="3156">
        <f t="shared" si="1048"/>
        <v>1237.7259999999999</v>
      </c>
      <c r="L144" s="3057">
        <f t="shared" ref="L144:M144" si="1219">SUM(L145:L150)</f>
        <v>1237.4099999999999</v>
      </c>
      <c r="M144" s="3207">
        <f t="shared" si="1219"/>
        <v>0.316</v>
      </c>
      <c r="N144" s="3156">
        <f t="shared" si="1051"/>
        <v>3651.886</v>
      </c>
      <c r="O144" s="3156">
        <f t="shared" si="1052"/>
        <v>3650.88</v>
      </c>
      <c r="P144" s="3156">
        <f t="shared" si="1053"/>
        <v>1.006</v>
      </c>
      <c r="Q144" s="3207">
        <f t="shared" si="1171"/>
        <v>2582.91725</v>
      </c>
      <c r="R144" s="3207">
        <f t="shared" ref="R144:S144" si="1220">SUM(R145:R150)</f>
        <v>2581.6689511059149</v>
      </c>
      <c r="S144" s="3207">
        <f t="shared" si="1220"/>
        <v>1.2482988940851316</v>
      </c>
      <c r="T144" s="3156">
        <f t="shared" si="1055"/>
        <v>1304.8874999999998</v>
      </c>
      <c r="U144" s="3057">
        <f t="shared" ref="U144:V144" si="1221">SUM(U145:U150)</f>
        <v>1304.58</v>
      </c>
      <c r="V144" s="3207">
        <f t="shared" si="1221"/>
        <v>0.3075</v>
      </c>
      <c r="W144" s="3156">
        <f t="shared" si="1058"/>
        <v>1320.4290000000001</v>
      </c>
      <c r="X144" s="3057">
        <f t="shared" ref="X144:Y144" si="1222">SUM(X145:X150)</f>
        <v>1320.02</v>
      </c>
      <c r="Y144" s="3207">
        <f t="shared" si="1222"/>
        <v>0.40900000000000003</v>
      </c>
      <c r="Z144" s="3156">
        <f t="shared" si="1061"/>
        <v>1336.056</v>
      </c>
      <c r="AA144" s="3057">
        <f t="shared" ref="AA144:AB144" si="1223">SUM(AA145:AA150)</f>
        <v>1335.53</v>
      </c>
      <c r="AB144" s="3057">
        <f t="shared" si="1223"/>
        <v>0.52600000000000002</v>
      </c>
      <c r="AC144" s="3156">
        <f t="shared" si="1064"/>
        <v>3961.3724999999999</v>
      </c>
      <c r="AD144" s="3156">
        <f t="shared" si="1065"/>
        <v>3960.13</v>
      </c>
      <c r="AE144" s="3156">
        <f t="shared" si="1066"/>
        <v>1.2425000000000002</v>
      </c>
      <c r="AF144" s="3206">
        <f t="shared" ref="AF144:AF150" si="1224">SUM(AG144:AH144)</f>
        <v>5165.8344999999999</v>
      </c>
      <c r="AG144" s="3206">
        <f t="shared" ref="AG144:AG150" si="1225">SUM(C144+R144)</f>
        <v>5163.3379022118297</v>
      </c>
      <c r="AH144" s="3206">
        <f t="shared" ref="AH144:AH150" si="1226">SUM(D144+S144)</f>
        <v>2.4965977881702632</v>
      </c>
      <c r="AI144" s="3193">
        <f t="shared" si="1067"/>
        <v>7613.2584999999999</v>
      </c>
      <c r="AJ144" s="3193">
        <f t="shared" si="1068"/>
        <v>7611.01</v>
      </c>
      <c r="AK144" s="3193">
        <f t="shared" si="1069"/>
        <v>2.2484999999999999</v>
      </c>
      <c r="AL144" s="3193">
        <f t="shared" si="1070"/>
        <v>2447.424</v>
      </c>
      <c r="AM144" s="3193">
        <f t="shared" si="1071"/>
        <v>2447.6720977881705</v>
      </c>
      <c r="AN144" s="3193">
        <f t="shared" si="1072"/>
        <v>-0.24809778817026329</v>
      </c>
      <c r="AO144" s="3207">
        <f t="shared" ref="AO144" si="1227">SUM(AP144:AQ144)</f>
        <v>2582.91725</v>
      </c>
      <c r="AP144" s="3207">
        <f t="shared" ref="AP144:AQ144" si="1228">SUM(AP145:AP150)</f>
        <v>2581.6689511059149</v>
      </c>
      <c r="AQ144" s="3207">
        <f t="shared" si="1228"/>
        <v>1.2482988940851316</v>
      </c>
      <c r="AR144" s="3156">
        <f t="shared" si="1075"/>
        <v>1464.2629999999999</v>
      </c>
      <c r="AS144" s="3057">
        <f t="shared" ref="AS144:AT144" si="1229">SUM(AS145:AS150)</f>
        <v>1463.8999999999999</v>
      </c>
      <c r="AT144" s="3207">
        <f t="shared" si="1229"/>
        <v>0.36300000000000004</v>
      </c>
      <c r="AU144" s="3156">
        <f t="shared" si="1078"/>
        <v>1274.557</v>
      </c>
      <c r="AV144" s="3057">
        <f t="shared" ref="AV144:AW144" si="1230">SUM(AV145:AV150)</f>
        <v>1274.28</v>
      </c>
      <c r="AW144" s="3207">
        <f t="shared" si="1230"/>
        <v>0.27700000000000002</v>
      </c>
      <c r="AX144" s="3156">
        <f t="shared" si="1081"/>
        <v>1192.5227</v>
      </c>
      <c r="AY144" s="3057">
        <f t="shared" ref="AY144:AZ144" si="1231">SUM(AY145:AY150)</f>
        <v>1192.05</v>
      </c>
      <c r="AZ144" s="3207">
        <f t="shared" si="1231"/>
        <v>0.47270000000000001</v>
      </c>
      <c r="BA144" s="3156">
        <f t="shared" si="1084"/>
        <v>3931.3426999999997</v>
      </c>
      <c r="BB144" s="3156">
        <f t="shared" si="1085"/>
        <v>3930.2299999999996</v>
      </c>
      <c r="BC144" s="3156">
        <f t="shared" si="1086"/>
        <v>1.1127000000000002</v>
      </c>
      <c r="BD144" s="3206">
        <f t="shared" ref="BD144:BD150" si="1232">SUM(BE144:BF144)</f>
        <v>7748.7517500000004</v>
      </c>
      <c r="BE144" s="3206">
        <f t="shared" ref="BE144:BE150" si="1233">SUM(AG144+AP144)</f>
        <v>7745.0068533177446</v>
      </c>
      <c r="BF144" s="3206">
        <f t="shared" ref="BF144:BF150" si="1234">SUM(AH144+AQ144)</f>
        <v>3.7448966822553951</v>
      </c>
      <c r="BG144" s="3193">
        <f t="shared" si="1087"/>
        <v>11544.601199999999</v>
      </c>
      <c r="BH144" s="3193">
        <f t="shared" si="1088"/>
        <v>11541.24</v>
      </c>
      <c r="BI144" s="3193">
        <f t="shared" si="1089"/>
        <v>3.3612000000000002</v>
      </c>
      <c r="BJ144" s="3193">
        <f t="shared" si="1090"/>
        <v>3795.8494499999988</v>
      </c>
      <c r="BK144" s="3193">
        <f t="shared" si="1091"/>
        <v>3796.2331466822552</v>
      </c>
      <c r="BL144" s="3193">
        <f t="shared" si="1092"/>
        <v>-0.38369668225539488</v>
      </c>
      <c r="BM144" s="3207">
        <f t="shared" ref="BM144" si="1235">SUM(BN144:BO144)</f>
        <v>2582.91725</v>
      </c>
      <c r="BN144" s="3207">
        <f t="shared" ref="BN144:BO144" si="1236">SUM(BN145:BN150)</f>
        <v>2581.6689511059149</v>
      </c>
      <c r="BO144" s="3207">
        <f t="shared" si="1236"/>
        <v>1.2482988940851316</v>
      </c>
      <c r="BP144" s="3156">
        <f t="shared" si="1094"/>
        <v>0</v>
      </c>
      <c r="BQ144" s="3057">
        <f t="shared" ref="BQ144:BR144" si="1237">SUM(BQ145:BQ150)</f>
        <v>0</v>
      </c>
      <c r="BR144" s="3057">
        <f t="shared" si="1237"/>
        <v>0</v>
      </c>
      <c r="BS144" s="3156">
        <f t="shared" si="1097"/>
        <v>0</v>
      </c>
      <c r="BT144" s="3057">
        <f t="shared" ref="BT144:BU144" si="1238">SUM(BT145:BT150)</f>
        <v>0</v>
      </c>
      <c r="BU144" s="3057">
        <f t="shared" si="1238"/>
        <v>0</v>
      </c>
      <c r="BV144" s="3156">
        <f t="shared" si="1100"/>
        <v>0</v>
      </c>
      <c r="BW144" s="3057">
        <f t="shared" ref="BW144:BX144" si="1239">SUM(BW145:BW150)</f>
        <v>0</v>
      </c>
      <c r="BX144" s="3057">
        <f t="shared" si="1239"/>
        <v>0</v>
      </c>
      <c r="BY144" s="3156">
        <f t="shared" si="1103"/>
        <v>0</v>
      </c>
      <c r="BZ144" s="3156">
        <f t="shared" si="1104"/>
        <v>0</v>
      </c>
      <c r="CA144" s="3156">
        <f t="shared" si="1105"/>
        <v>0</v>
      </c>
      <c r="CB144" s="3206">
        <f t="shared" si="1024"/>
        <v>10331.669406318588</v>
      </c>
      <c r="CC144" s="3206">
        <f>SUM(вода!BR56)</f>
        <v>10326.676210545877</v>
      </c>
      <c r="CD144" s="3206">
        <f>SUM(вода!BS56)</f>
        <v>4.9931957727103642</v>
      </c>
      <c r="CE144" s="3193">
        <f t="shared" si="1106"/>
        <v>11544.601199999999</v>
      </c>
      <c r="CF144" s="3193">
        <f t="shared" si="1107"/>
        <v>11541.24</v>
      </c>
      <c r="CG144" s="3193">
        <f t="shared" si="1108"/>
        <v>3.3612000000000002</v>
      </c>
      <c r="CH144" s="3193">
        <f t="shared" si="1109"/>
        <v>1212.9317936814114</v>
      </c>
      <c r="CI144" s="3193">
        <f t="shared" si="1110"/>
        <v>1214.5637894541233</v>
      </c>
      <c r="CJ144" s="3193">
        <f t="shared" si="1111"/>
        <v>-1.631995772710364</v>
      </c>
      <c r="CK144" s="3259"/>
      <c r="CL144" s="3259"/>
      <c r="CM144" s="3259"/>
      <c r="CN144" s="3055"/>
    </row>
    <row r="145" spans="1:92" ht="18.75" customHeight="1" x14ac:dyDescent="0.3">
      <c r="A145" s="3076" t="s">
        <v>3605</v>
      </c>
      <c r="B145" s="3210">
        <f t="shared" si="1168"/>
        <v>1642.8625</v>
      </c>
      <c r="C145" s="3210">
        <f t="shared" ref="C145:C150" si="1240">SUM(CC145/4)</f>
        <v>1642.0685204631473</v>
      </c>
      <c r="D145" s="3210">
        <f t="shared" ref="D145:D150" si="1241">SUM(CD145/4)</f>
        <v>0.79397953685273281</v>
      </c>
      <c r="E145" s="3145">
        <f t="shared" si="889"/>
        <v>822.01599999999996</v>
      </c>
      <c r="F145" s="3066">
        <v>821.77</v>
      </c>
      <c r="G145" s="3119">
        <v>0.246</v>
      </c>
      <c r="H145" s="3145">
        <f t="shared" si="1045"/>
        <v>705.66000000000008</v>
      </c>
      <c r="I145" s="3066">
        <v>705.47</v>
      </c>
      <c r="J145" s="3119">
        <v>0.19</v>
      </c>
      <c r="K145" s="3145">
        <f t="shared" si="1048"/>
        <v>729.36</v>
      </c>
      <c r="L145" s="3066">
        <v>729.17</v>
      </c>
      <c r="M145" s="3066">
        <v>0.19</v>
      </c>
      <c r="N145" s="3145">
        <f t="shared" si="1051"/>
        <v>2257.0360000000001</v>
      </c>
      <c r="O145" s="3145">
        <f t="shared" si="1052"/>
        <v>2256.41</v>
      </c>
      <c r="P145" s="3145">
        <f t="shared" si="1053"/>
        <v>0.626</v>
      </c>
      <c r="Q145" s="3210">
        <f t="shared" ref="Q145:Q150" si="1242">SUM(R145:S145)</f>
        <v>1642.8625</v>
      </c>
      <c r="R145" s="3210">
        <f t="shared" ref="R145:R150" si="1243">SUM(C145)</f>
        <v>1642.0685204631473</v>
      </c>
      <c r="S145" s="3210">
        <f t="shared" ref="S145:S150" si="1244">SUM(D145)</f>
        <v>0.79397953685273281</v>
      </c>
      <c r="T145" s="3145">
        <f t="shared" si="1055"/>
        <v>750.05</v>
      </c>
      <c r="U145" s="3066">
        <v>749.87</v>
      </c>
      <c r="V145" s="3066">
        <v>0.18</v>
      </c>
      <c r="W145" s="3145">
        <f t="shared" si="1058"/>
        <v>853.63</v>
      </c>
      <c r="X145" s="3066">
        <v>853.37</v>
      </c>
      <c r="Y145" s="3119">
        <v>0.26</v>
      </c>
      <c r="Z145" s="3145">
        <f t="shared" si="1061"/>
        <v>831.19</v>
      </c>
      <c r="AA145" s="3066">
        <v>830.86</v>
      </c>
      <c r="AB145" s="3119">
        <v>0.33</v>
      </c>
      <c r="AC145" s="3145">
        <f t="shared" si="1064"/>
        <v>2434.87</v>
      </c>
      <c r="AD145" s="3145">
        <f t="shared" si="1065"/>
        <v>2434.1</v>
      </c>
      <c r="AE145" s="3145">
        <f t="shared" si="1066"/>
        <v>0.77</v>
      </c>
      <c r="AF145" s="3211">
        <f t="shared" si="1224"/>
        <v>3285.7249999999999</v>
      </c>
      <c r="AG145" s="3211">
        <f t="shared" si="1225"/>
        <v>3284.1370409262945</v>
      </c>
      <c r="AH145" s="3211">
        <f t="shared" si="1226"/>
        <v>1.5879590737054656</v>
      </c>
      <c r="AI145" s="3194">
        <f t="shared" si="1067"/>
        <v>4691.9059999999999</v>
      </c>
      <c r="AJ145" s="3194">
        <f t="shared" si="1068"/>
        <v>4690.51</v>
      </c>
      <c r="AK145" s="3194">
        <f t="shared" si="1069"/>
        <v>1.3959999999999999</v>
      </c>
      <c r="AL145" s="3194">
        <f t="shared" si="1070"/>
        <v>1406.181</v>
      </c>
      <c r="AM145" s="3194">
        <f t="shared" si="1071"/>
        <v>1406.3729590737057</v>
      </c>
      <c r="AN145" s="3194">
        <f t="shared" si="1072"/>
        <v>-0.19195907370546572</v>
      </c>
      <c r="AO145" s="3210">
        <f t="shared" ref="AO145:AO150" si="1245">SUM(AP145:AQ145)</f>
        <v>1642.8625</v>
      </c>
      <c r="AP145" s="3210">
        <f t="shared" ref="AP145:AP150" si="1246">SUM(CC145-AG145)/2</f>
        <v>1642.0685204631473</v>
      </c>
      <c r="AQ145" s="3210">
        <f t="shared" ref="AQ145:AQ150" si="1247">SUM(CD145-AH145)/2</f>
        <v>0.79397953685273281</v>
      </c>
      <c r="AR145" s="3145">
        <f t="shared" si="1075"/>
        <v>931.84100000000001</v>
      </c>
      <c r="AS145" s="3066">
        <v>931.61</v>
      </c>
      <c r="AT145" s="3066">
        <v>0.23100000000000001</v>
      </c>
      <c r="AU145" s="3145">
        <f t="shared" si="1078"/>
        <v>760.32499999999993</v>
      </c>
      <c r="AV145" s="3066">
        <v>760.16</v>
      </c>
      <c r="AW145" s="3119">
        <v>0.16500000000000001</v>
      </c>
      <c r="AX145" s="3145">
        <f t="shared" si="1081"/>
        <v>748.26</v>
      </c>
      <c r="AY145" s="3066">
        <v>747.96</v>
      </c>
      <c r="AZ145" s="3119">
        <v>0.3</v>
      </c>
      <c r="BA145" s="3145">
        <f t="shared" si="1084"/>
        <v>2440.4259999999999</v>
      </c>
      <c r="BB145" s="3145">
        <f t="shared" si="1085"/>
        <v>2439.73</v>
      </c>
      <c r="BC145" s="3145">
        <f t="shared" si="1086"/>
        <v>0.69599999999999995</v>
      </c>
      <c r="BD145" s="3211">
        <f t="shared" si="1232"/>
        <v>4928.5874999999996</v>
      </c>
      <c r="BE145" s="3211">
        <f t="shared" si="1233"/>
        <v>4926.2055613894418</v>
      </c>
      <c r="BF145" s="3211">
        <f t="shared" si="1234"/>
        <v>2.3819386105581986</v>
      </c>
      <c r="BG145" s="3194">
        <f t="shared" si="1087"/>
        <v>7132.3320000000003</v>
      </c>
      <c r="BH145" s="3194">
        <f t="shared" si="1088"/>
        <v>7130.24</v>
      </c>
      <c r="BI145" s="3194">
        <f t="shared" si="1089"/>
        <v>2.0919999999999996</v>
      </c>
      <c r="BJ145" s="3194">
        <f t="shared" si="1090"/>
        <v>2203.7445000000007</v>
      </c>
      <c r="BK145" s="3194">
        <f t="shared" si="1091"/>
        <v>2204.034438610558</v>
      </c>
      <c r="BL145" s="3194">
        <f t="shared" si="1092"/>
        <v>-0.28993861055819892</v>
      </c>
      <c r="BM145" s="3210">
        <f t="shared" ref="BM145:BM150" si="1248">SUM(BN145:BO145)</f>
        <v>1642.8625</v>
      </c>
      <c r="BN145" s="3210">
        <f t="shared" ref="BN145:BN150" si="1249">SUM(AP145)</f>
        <v>1642.0685204631473</v>
      </c>
      <c r="BO145" s="3210">
        <f t="shared" ref="BO145:BO150" si="1250">SUM(AQ145)</f>
        <v>0.79397953685273281</v>
      </c>
      <c r="BP145" s="3145">
        <f t="shared" si="1094"/>
        <v>0</v>
      </c>
      <c r="BQ145" s="3066"/>
      <c r="BR145" s="3066"/>
      <c r="BS145" s="3145">
        <f t="shared" si="1097"/>
        <v>0</v>
      </c>
      <c r="BT145" s="3066"/>
      <c r="BU145" s="3066"/>
      <c r="BV145" s="3145">
        <f t="shared" si="1100"/>
        <v>0</v>
      </c>
      <c r="BW145" s="3066"/>
      <c r="BX145" s="3066"/>
      <c r="BY145" s="3145">
        <f t="shared" si="1103"/>
        <v>0</v>
      </c>
      <c r="BZ145" s="3145">
        <f t="shared" si="1104"/>
        <v>0</v>
      </c>
      <c r="CA145" s="3145">
        <f t="shared" si="1105"/>
        <v>0</v>
      </c>
      <c r="CB145" s="3211">
        <v>6571.45</v>
      </c>
      <c r="CC145" s="3211">
        <f>SUM(CB145/CB14*CC14)</f>
        <v>6568.274081852589</v>
      </c>
      <c r="CD145" s="3211">
        <f>SUM(CB145/CB14*CD14)</f>
        <v>3.1759181474109313</v>
      </c>
      <c r="CE145" s="3194">
        <f t="shared" si="1106"/>
        <v>7132.3320000000003</v>
      </c>
      <c r="CF145" s="3194">
        <f t="shared" si="1107"/>
        <v>7130.24</v>
      </c>
      <c r="CG145" s="3194">
        <f t="shared" si="1108"/>
        <v>2.0919999999999996</v>
      </c>
      <c r="CH145" s="3194">
        <f t="shared" si="1109"/>
        <v>560.88200000000052</v>
      </c>
      <c r="CI145" s="3194">
        <f t="shared" si="1110"/>
        <v>561.96591814741078</v>
      </c>
      <c r="CJ145" s="3194">
        <f t="shared" si="1111"/>
        <v>-1.0839181474109316</v>
      </c>
      <c r="CK145" s="3259"/>
      <c r="CL145" s="3259"/>
      <c r="CM145" s="3259"/>
      <c r="CN145" s="3055"/>
    </row>
    <row r="146" spans="1:92" ht="18.75" customHeight="1" x14ac:dyDescent="0.3">
      <c r="A146" s="3076" t="s">
        <v>3606</v>
      </c>
      <c r="B146" s="3210">
        <f t="shared" si="1168"/>
        <v>492.86</v>
      </c>
      <c r="C146" s="3210">
        <f t="shared" si="1240"/>
        <v>492.62180553483131</v>
      </c>
      <c r="D146" s="3210">
        <f t="shared" si="1241"/>
        <v>0.23819446516871493</v>
      </c>
      <c r="E146" s="3145">
        <f t="shared" si="889"/>
        <v>241.762</v>
      </c>
      <c r="F146" s="3066">
        <v>241.69</v>
      </c>
      <c r="G146" s="3119">
        <v>7.1999999999999995E-2</v>
      </c>
      <c r="H146" s="3145">
        <f t="shared" si="1045"/>
        <v>212.63800000000001</v>
      </c>
      <c r="I146" s="3066">
        <v>212.58</v>
      </c>
      <c r="J146" s="3119">
        <v>5.8000000000000003E-2</v>
      </c>
      <c r="K146" s="3145">
        <f t="shared" si="1048"/>
        <v>215.96</v>
      </c>
      <c r="L146" s="3066">
        <v>215.9</v>
      </c>
      <c r="M146" s="3066">
        <v>0.06</v>
      </c>
      <c r="N146" s="3145">
        <f t="shared" si="1051"/>
        <v>670.36</v>
      </c>
      <c r="O146" s="3145">
        <f t="shared" si="1052"/>
        <v>670.17</v>
      </c>
      <c r="P146" s="3145">
        <f t="shared" si="1053"/>
        <v>0.19</v>
      </c>
      <c r="Q146" s="3210">
        <f t="shared" si="1242"/>
        <v>492.86</v>
      </c>
      <c r="R146" s="3210">
        <f t="shared" si="1243"/>
        <v>492.62180553483131</v>
      </c>
      <c r="S146" s="3210">
        <f t="shared" si="1244"/>
        <v>0.23819446516871493</v>
      </c>
      <c r="T146" s="3145">
        <f t="shared" si="1055"/>
        <v>243.06</v>
      </c>
      <c r="U146" s="3066">
        <v>243</v>
      </c>
      <c r="V146" s="3066">
        <v>0.06</v>
      </c>
      <c r="W146" s="3145">
        <f t="shared" si="1058"/>
        <v>256.08</v>
      </c>
      <c r="X146" s="3066">
        <v>256</v>
      </c>
      <c r="Y146" s="3119">
        <v>0.08</v>
      </c>
      <c r="Z146" s="3145">
        <f t="shared" si="1061"/>
        <v>249.53</v>
      </c>
      <c r="AA146" s="3066">
        <v>249.43</v>
      </c>
      <c r="AB146" s="3119">
        <v>0.1</v>
      </c>
      <c r="AC146" s="3145">
        <f t="shared" si="1064"/>
        <v>748.67000000000007</v>
      </c>
      <c r="AD146" s="3145">
        <f t="shared" si="1065"/>
        <v>748.43000000000006</v>
      </c>
      <c r="AE146" s="3145">
        <f t="shared" si="1066"/>
        <v>0.24000000000000002</v>
      </c>
      <c r="AF146" s="3211">
        <f t="shared" si="1224"/>
        <v>985.72</v>
      </c>
      <c r="AG146" s="3211">
        <f t="shared" si="1225"/>
        <v>985.24361106966262</v>
      </c>
      <c r="AH146" s="3211">
        <f t="shared" si="1226"/>
        <v>0.47638893033742985</v>
      </c>
      <c r="AI146" s="3194">
        <f t="shared" si="1067"/>
        <v>1419.0300000000002</v>
      </c>
      <c r="AJ146" s="3194">
        <f t="shared" si="1068"/>
        <v>1418.6</v>
      </c>
      <c r="AK146" s="3194">
        <f t="shared" si="1069"/>
        <v>0.43000000000000005</v>
      </c>
      <c r="AL146" s="3194">
        <f t="shared" si="1070"/>
        <v>433.31000000000017</v>
      </c>
      <c r="AM146" s="3194">
        <f t="shared" si="1071"/>
        <v>433.35638893033729</v>
      </c>
      <c r="AN146" s="3194">
        <f t="shared" si="1072"/>
        <v>-4.6388930337429801E-2</v>
      </c>
      <c r="AO146" s="3210">
        <f t="shared" si="1245"/>
        <v>492.86</v>
      </c>
      <c r="AP146" s="3210">
        <f t="shared" si="1246"/>
        <v>492.62180553483131</v>
      </c>
      <c r="AQ146" s="3210">
        <f t="shared" si="1247"/>
        <v>0.23819446516871493</v>
      </c>
      <c r="AR146" s="3145">
        <f t="shared" si="1075"/>
        <v>280.399</v>
      </c>
      <c r="AS146" s="3066">
        <v>280.33</v>
      </c>
      <c r="AT146" s="3066">
        <v>6.9000000000000006E-2</v>
      </c>
      <c r="AU146" s="3145">
        <f t="shared" si="1078"/>
        <v>226.709</v>
      </c>
      <c r="AV146" s="3066">
        <v>226.66</v>
      </c>
      <c r="AW146" s="3119">
        <v>4.9000000000000002E-2</v>
      </c>
      <c r="AX146" s="3145">
        <f t="shared" si="1081"/>
        <v>223.54</v>
      </c>
      <c r="AY146" s="3066">
        <v>223.45</v>
      </c>
      <c r="AZ146" s="3119">
        <v>0.09</v>
      </c>
      <c r="BA146" s="3145">
        <f t="shared" si="1084"/>
        <v>730.64800000000002</v>
      </c>
      <c r="BB146" s="3145">
        <f t="shared" si="1085"/>
        <v>730.44</v>
      </c>
      <c r="BC146" s="3145">
        <f t="shared" si="1086"/>
        <v>0.20800000000000002</v>
      </c>
      <c r="BD146" s="3211">
        <f t="shared" si="1232"/>
        <v>1478.5800000000002</v>
      </c>
      <c r="BE146" s="3211">
        <f t="shared" si="1233"/>
        <v>1477.8654166044939</v>
      </c>
      <c r="BF146" s="3211">
        <f t="shared" si="1234"/>
        <v>0.7145833955061448</v>
      </c>
      <c r="BG146" s="3194">
        <f t="shared" si="1087"/>
        <v>2149.6780000000003</v>
      </c>
      <c r="BH146" s="3194">
        <f t="shared" si="1088"/>
        <v>2149.04</v>
      </c>
      <c r="BI146" s="3194">
        <f t="shared" si="1089"/>
        <v>0.63800000000000012</v>
      </c>
      <c r="BJ146" s="3194">
        <f t="shared" si="1090"/>
        <v>671.09800000000018</v>
      </c>
      <c r="BK146" s="3194">
        <f t="shared" si="1091"/>
        <v>671.17458339550603</v>
      </c>
      <c r="BL146" s="3194">
        <f t="shared" si="1092"/>
        <v>-7.658339550614468E-2</v>
      </c>
      <c r="BM146" s="3210">
        <f t="shared" si="1248"/>
        <v>492.86</v>
      </c>
      <c r="BN146" s="3210">
        <f t="shared" si="1249"/>
        <v>492.62180553483131</v>
      </c>
      <c r="BO146" s="3210">
        <f t="shared" si="1250"/>
        <v>0.23819446516871493</v>
      </c>
      <c r="BP146" s="3145">
        <f t="shared" si="1094"/>
        <v>0</v>
      </c>
      <c r="BQ146" s="3066"/>
      <c r="BR146" s="3066"/>
      <c r="BS146" s="3145">
        <f t="shared" si="1097"/>
        <v>0</v>
      </c>
      <c r="BT146" s="3066"/>
      <c r="BU146" s="3066"/>
      <c r="BV146" s="3145">
        <f t="shared" si="1100"/>
        <v>0</v>
      </c>
      <c r="BW146" s="3066"/>
      <c r="BX146" s="3066"/>
      <c r="BY146" s="3145">
        <f t="shared" si="1103"/>
        <v>0</v>
      </c>
      <c r="BZ146" s="3145">
        <f t="shared" si="1104"/>
        <v>0</v>
      </c>
      <c r="CA146" s="3145">
        <f t="shared" si="1105"/>
        <v>0</v>
      </c>
      <c r="CB146" s="3211">
        <v>1971.44</v>
      </c>
      <c r="CC146" s="3211">
        <f>SUM(CB146/CB14*CC14)</f>
        <v>1970.4872221393252</v>
      </c>
      <c r="CD146" s="3211">
        <f>SUM(CB146/CB14*CD14)</f>
        <v>0.9527778606748597</v>
      </c>
      <c r="CE146" s="3194">
        <f t="shared" si="1106"/>
        <v>2149.6780000000003</v>
      </c>
      <c r="CF146" s="3194">
        <f t="shared" si="1107"/>
        <v>2149.04</v>
      </c>
      <c r="CG146" s="3194">
        <f t="shared" si="1108"/>
        <v>0.63800000000000012</v>
      </c>
      <c r="CH146" s="3194">
        <f t="shared" si="1109"/>
        <v>178.23800000000028</v>
      </c>
      <c r="CI146" s="3194">
        <f t="shared" si="1110"/>
        <v>178.55277786067472</v>
      </c>
      <c r="CJ146" s="3194">
        <f t="shared" si="1111"/>
        <v>-0.31477786067485958</v>
      </c>
      <c r="CK146" s="3259"/>
      <c r="CL146" s="3259"/>
      <c r="CM146" s="3259"/>
      <c r="CN146" s="3055"/>
    </row>
    <row r="147" spans="1:92" ht="18.75" customHeight="1" x14ac:dyDescent="0.3">
      <c r="A147" s="3079" t="s">
        <v>280</v>
      </c>
      <c r="B147" s="3210">
        <f t="shared" si="1168"/>
        <v>3.8897500000000003</v>
      </c>
      <c r="C147" s="3210">
        <f t="shared" si="1240"/>
        <v>3.8878701214931422</v>
      </c>
      <c r="D147" s="3210">
        <f t="shared" si="1241"/>
        <v>1.8798785068579492E-3</v>
      </c>
      <c r="E147" s="3145">
        <f t="shared" si="889"/>
        <v>6.9219999999999997</v>
      </c>
      <c r="F147" s="3066">
        <v>6.92</v>
      </c>
      <c r="G147" s="3119">
        <v>2E-3</v>
      </c>
      <c r="H147" s="3145">
        <f t="shared" si="1045"/>
        <v>6.1019999999999994</v>
      </c>
      <c r="I147" s="3066">
        <v>6.1</v>
      </c>
      <c r="J147" s="3119">
        <v>2E-3</v>
      </c>
      <c r="K147" s="3145">
        <f t="shared" si="1048"/>
        <v>6.0019999999999998</v>
      </c>
      <c r="L147" s="3066">
        <v>6</v>
      </c>
      <c r="M147" s="3119">
        <v>2E-3</v>
      </c>
      <c r="N147" s="3145">
        <f t="shared" si="1051"/>
        <v>19.026</v>
      </c>
      <c r="O147" s="3145">
        <f t="shared" si="1052"/>
        <v>19.02</v>
      </c>
      <c r="P147" s="3145">
        <f t="shared" si="1053"/>
        <v>6.0000000000000001E-3</v>
      </c>
      <c r="Q147" s="3210">
        <f t="shared" si="1242"/>
        <v>3.8897500000000003</v>
      </c>
      <c r="R147" s="3210">
        <f t="shared" si="1243"/>
        <v>3.8878701214931422</v>
      </c>
      <c r="S147" s="3210">
        <f t="shared" si="1244"/>
        <v>1.8798785068579492E-3</v>
      </c>
      <c r="T147" s="3145">
        <f t="shared" si="1055"/>
        <v>6.1310000000000002</v>
      </c>
      <c r="U147" s="3066">
        <v>6.13</v>
      </c>
      <c r="V147" s="3119">
        <v>1E-3</v>
      </c>
      <c r="W147" s="3145">
        <f t="shared" si="1058"/>
        <v>5.9119999999999999</v>
      </c>
      <c r="X147" s="3066">
        <v>5.91</v>
      </c>
      <c r="Y147" s="3119">
        <v>2E-3</v>
      </c>
      <c r="Z147" s="3145">
        <f t="shared" si="1061"/>
        <v>4.6920000000000002</v>
      </c>
      <c r="AA147" s="3066">
        <v>4.6900000000000004</v>
      </c>
      <c r="AB147" s="3119">
        <v>2E-3</v>
      </c>
      <c r="AC147" s="3145">
        <f t="shared" si="1064"/>
        <v>16.734999999999999</v>
      </c>
      <c r="AD147" s="3145">
        <f t="shared" si="1065"/>
        <v>16.73</v>
      </c>
      <c r="AE147" s="3145">
        <f t="shared" si="1066"/>
        <v>5.0000000000000001E-3</v>
      </c>
      <c r="AF147" s="3211">
        <f t="shared" si="1224"/>
        <v>7.7795000000000005</v>
      </c>
      <c r="AG147" s="3211">
        <f t="shared" si="1225"/>
        <v>7.7757402429862843</v>
      </c>
      <c r="AH147" s="3211">
        <f t="shared" si="1226"/>
        <v>3.7597570137158985E-3</v>
      </c>
      <c r="AI147" s="3194">
        <f t="shared" si="1067"/>
        <v>35.760999999999996</v>
      </c>
      <c r="AJ147" s="3194">
        <f t="shared" si="1068"/>
        <v>35.75</v>
      </c>
      <c r="AK147" s="3194">
        <f t="shared" si="1069"/>
        <v>1.0999999999999999E-2</v>
      </c>
      <c r="AL147" s="3194">
        <f t="shared" si="1070"/>
        <v>27.981499999999997</v>
      </c>
      <c r="AM147" s="3194">
        <f t="shared" si="1071"/>
        <v>27.974259757013716</v>
      </c>
      <c r="AN147" s="3194">
        <f t="shared" si="1072"/>
        <v>7.2402429862841004E-3</v>
      </c>
      <c r="AO147" s="3210">
        <f t="shared" si="1245"/>
        <v>3.8897500000000003</v>
      </c>
      <c r="AP147" s="3210">
        <f t="shared" si="1246"/>
        <v>3.8878701214931422</v>
      </c>
      <c r="AQ147" s="3210">
        <f t="shared" si="1247"/>
        <v>1.8798785068579492E-3</v>
      </c>
      <c r="AR147" s="3145">
        <f t="shared" si="1075"/>
        <v>6.101</v>
      </c>
      <c r="AS147" s="3066">
        <v>6.1</v>
      </c>
      <c r="AT147" s="3066">
        <v>1E-3</v>
      </c>
      <c r="AU147" s="3145">
        <f t="shared" si="1078"/>
        <v>7.8719999999999999</v>
      </c>
      <c r="AV147" s="3066">
        <v>7.87</v>
      </c>
      <c r="AW147" s="3119">
        <v>2E-3</v>
      </c>
      <c r="AX147" s="3145">
        <f t="shared" si="1081"/>
        <v>7.0529999999999999</v>
      </c>
      <c r="AY147" s="3066">
        <v>7.05</v>
      </c>
      <c r="AZ147" s="3119">
        <v>3.0000000000000001E-3</v>
      </c>
      <c r="BA147" s="3145">
        <f t="shared" si="1084"/>
        <v>21.026</v>
      </c>
      <c r="BB147" s="3145">
        <f t="shared" si="1085"/>
        <v>21.02</v>
      </c>
      <c r="BC147" s="3145">
        <f t="shared" si="1086"/>
        <v>6.0000000000000001E-3</v>
      </c>
      <c r="BD147" s="3211">
        <f t="shared" si="1232"/>
        <v>11.66925</v>
      </c>
      <c r="BE147" s="3211">
        <f t="shared" si="1233"/>
        <v>11.663610364479426</v>
      </c>
      <c r="BF147" s="3211">
        <f t="shared" si="1234"/>
        <v>5.6396355205738475E-3</v>
      </c>
      <c r="BG147" s="3194">
        <f t="shared" si="1087"/>
        <v>56.786999999999992</v>
      </c>
      <c r="BH147" s="3194">
        <f t="shared" si="1088"/>
        <v>56.769999999999996</v>
      </c>
      <c r="BI147" s="3194">
        <f t="shared" si="1089"/>
        <v>1.7000000000000001E-2</v>
      </c>
      <c r="BJ147" s="3194">
        <f t="shared" si="1090"/>
        <v>45.117749999999994</v>
      </c>
      <c r="BK147" s="3194">
        <f t="shared" si="1091"/>
        <v>45.106389635520571</v>
      </c>
      <c r="BL147" s="3194">
        <f t="shared" si="1092"/>
        <v>1.1360364479426153E-2</v>
      </c>
      <c r="BM147" s="3210">
        <f t="shared" si="1248"/>
        <v>3.8897500000000003</v>
      </c>
      <c r="BN147" s="3210">
        <f t="shared" si="1249"/>
        <v>3.8878701214931422</v>
      </c>
      <c r="BO147" s="3210">
        <f t="shared" si="1250"/>
        <v>1.8798785068579492E-3</v>
      </c>
      <c r="BP147" s="3145">
        <f t="shared" si="1094"/>
        <v>0</v>
      </c>
      <c r="BQ147" s="3066"/>
      <c r="BR147" s="3066"/>
      <c r="BS147" s="3145">
        <f t="shared" si="1097"/>
        <v>0</v>
      </c>
      <c r="BT147" s="3066"/>
      <c r="BU147" s="3066"/>
      <c r="BV147" s="3145">
        <f t="shared" si="1100"/>
        <v>0</v>
      </c>
      <c r="BW147" s="3066"/>
      <c r="BX147" s="3066"/>
      <c r="BY147" s="3145">
        <f t="shared" si="1103"/>
        <v>0</v>
      </c>
      <c r="BZ147" s="3145">
        <f t="shared" si="1104"/>
        <v>0</v>
      </c>
      <c r="CA147" s="3145">
        <f t="shared" si="1105"/>
        <v>0</v>
      </c>
      <c r="CB147" s="3211">
        <f>15.56-0.001</f>
        <v>15.559000000000001</v>
      </c>
      <c r="CC147" s="3211">
        <f>SUM(CB147/CB14*CC14)</f>
        <v>15.551480485972569</v>
      </c>
      <c r="CD147" s="3211">
        <f>SUM(CB147/CB14*CD14)</f>
        <v>7.519514027431797E-3</v>
      </c>
      <c r="CE147" s="3194">
        <f t="shared" si="1106"/>
        <v>56.786999999999992</v>
      </c>
      <c r="CF147" s="3194">
        <f t="shared" si="1107"/>
        <v>56.769999999999996</v>
      </c>
      <c r="CG147" s="3194">
        <f t="shared" si="1108"/>
        <v>1.7000000000000001E-2</v>
      </c>
      <c r="CH147" s="3194">
        <f t="shared" si="1109"/>
        <v>41.227999999999994</v>
      </c>
      <c r="CI147" s="3194">
        <f t="shared" si="1110"/>
        <v>41.218519514027427</v>
      </c>
      <c r="CJ147" s="3194">
        <f t="shared" si="1111"/>
        <v>9.4804859725682034E-3</v>
      </c>
      <c r="CK147" s="3259"/>
      <c r="CL147" s="3259"/>
      <c r="CM147" s="3259"/>
      <c r="CN147" s="3055"/>
    </row>
    <row r="148" spans="1:92" ht="18.75" customHeight="1" x14ac:dyDescent="0.3">
      <c r="A148" s="3079" t="s">
        <v>1560</v>
      </c>
      <c r="B148" s="3210">
        <f t="shared" si="1168"/>
        <v>16.1525</v>
      </c>
      <c r="C148" s="3210">
        <f t="shared" si="1240"/>
        <v>16.144693653169991</v>
      </c>
      <c r="D148" s="3210">
        <f t="shared" si="1241"/>
        <v>7.8063468300078476E-3</v>
      </c>
      <c r="E148" s="3145">
        <f t="shared" si="889"/>
        <v>11.503</v>
      </c>
      <c r="F148" s="3066">
        <v>11.5</v>
      </c>
      <c r="G148" s="3119">
        <v>3.0000000000000001E-3</v>
      </c>
      <c r="H148" s="3145">
        <f t="shared" si="1045"/>
        <v>10.403</v>
      </c>
      <c r="I148" s="3066">
        <v>10.4</v>
      </c>
      <c r="J148" s="3119">
        <v>3.0000000000000001E-3</v>
      </c>
      <c r="K148" s="3145">
        <f t="shared" si="1048"/>
        <v>8.4220000000000006</v>
      </c>
      <c r="L148" s="3066">
        <v>8.42</v>
      </c>
      <c r="M148" s="3119">
        <v>2E-3</v>
      </c>
      <c r="N148" s="3145">
        <f t="shared" si="1051"/>
        <v>30.327999999999999</v>
      </c>
      <c r="O148" s="3145">
        <f t="shared" si="1052"/>
        <v>30.32</v>
      </c>
      <c r="P148" s="3145">
        <f t="shared" si="1053"/>
        <v>8.0000000000000002E-3</v>
      </c>
      <c r="Q148" s="3210">
        <f t="shared" si="1242"/>
        <v>16.1525</v>
      </c>
      <c r="R148" s="3210">
        <f t="shared" si="1243"/>
        <v>16.144693653169991</v>
      </c>
      <c r="S148" s="3210">
        <f t="shared" si="1244"/>
        <v>7.8063468300078476E-3</v>
      </c>
      <c r="T148" s="3145">
        <f t="shared" si="1055"/>
        <v>6.4714999999999998</v>
      </c>
      <c r="U148" s="3066">
        <v>6.47</v>
      </c>
      <c r="V148" s="3119">
        <v>1.5E-3</v>
      </c>
      <c r="W148" s="3145">
        <f t="shared" si="1058"/>
        <v>2.4209999999999998</v>
      </c>
      <c r="X148" s="3066">
        <v>2.42</v>
      </c>
      <c r="Y148" s="3119">
        <v>1E-3</v>
      </c>
      <c r="Z148" s="3145">
        <f t="shared" si="1061"/>
        <v>0</v>
      </c>
      <c r="AA148" s="3066">
        <v>0</v>
      </c>
      <c r="AB148" s="3119">
        <v>0</v>
      </c>
      <c r="AC148" s="3145">
        <f t="shared" si="1064"/>
        <v>8.8925000000000001</v>
      </c>
      <c r="AD148" s="3145">
        <f t="shared" si="1065"/>
        <v>8.89</v>
      </c>
      <c r="AE148" s="3145">
        <f t="shared" si="1066"/>
        <v>2.5000000000000001E-3</v>
      </c>
      <c r="AF148" s="3211">
        <f t="shared" si="1224"/>
        <v>32.305</v>
      </c>
      <c r="AG148" s="3211">
        <f t="shared" si="1225"/>
        <v>32.289387306339982</v>
      </c>
      <c r="AH148" s="3211">
        <f t="shared" si="1226"/>
        <v>1.5612693660015695E-2</v>
      </c>
      <c r="AI148" s="3194">
        <f t="shared" si="1067"/>
        <v>39.220500000000001</v>
      </c>
      <c r="AJ148" s="3194">
        <f t="shared" si="1068"/>
        <v>39.21</v>
      </c>
      <c r="AK148" s="3194">
        <f t="shared" si="1069"/>
        <v>1.0500000000000001E-2</v>
      </c>
      <c r="AL148" s="3194">
        <f t="shared" si="1070"/>
        <v>6.9155000000000015</v>
      </c>
      <c r="AM148" s="3194">
        <f t="shared" si="1071"/>
        <v>6.9206126936600185</v>
      </c>
      <c r="AN148" s="3194">
        <f t="shared" si="1072"/>
        <v>-5.1126936600156946E-3</v>
      </c>
      <c r="AO148" s="3210">
        <f t="shared" si="1245"/>
        <v>16.1525</v>
      </c>
      <c r="AP148" s="3210">
        <f t="shared" si="1246"/>
        <v>16.144693653169991</v>
      </c>
      <c r="AQ148" s="3210">
        <f t="shared" si="1247"/>
        <v>7.8063468300078476E-3</v>
      </c>
      <c r="AR148" s="3145">
        <f t="shared" si="1075"/>
        <v>0</v>
      </c>
      <c r="AS148" s="3066">
        <v>0</v>
      </c>
      <c r="AT148" s="3066">
        <v>0</v>
      </c>
      <c r="AU148" s="3145">
        <f t="shared" si="1078"/>
        <v>0</v>
      </c>
      <c r="AV148" s="3066">
        <v>0</v>
      </c>
      <c r="AW148" s="3119">
        <v>0</v>
      </c>
      <c r="AX148" s="3145">
        <f t="shared" si="1081"/>
        <v>1.6606999999999998</v>
      </c>
      <c r="AY148" s="3066">
        <v>1.66</v>
      </c>
      <c r="AZ148" s="3119">
        <v>6.9999999999999999E-4</v>
      </c>
      <c r="BA148" s="3145">
        <f t="shared" si="1084"/>
        <v>1.6606999999999998</v>
      </c>
      <c r="BB148" s="3145">
        <f t="shared" si="1085"/>
        <v>1.66</v>
      </c>
      <c r="BC148" s="3145">
        <f t="shared" si="1086"/>
        <v>6.9999999999999999E-4</v>
      </c>
      <c r="BD148" s="3211">
        <f t="shared" si="1232"/>
        <v>48.457499999999996</v>
      </c>
      <c r="BE148" s="3211">
        <f t="shared" si="1233"/>
        <v>48.43408095950997</v>
      </c>
      <c r="BF148" s="3211">
        <f t="shared" si="1234"/>
        <v>2.3419040490023545E-2</v>
      </c>
      <c r="BG148" s="3194">
        <f t="shared" si="1087"/>
        <v>40.8812</v>
      </c>
      <c r="BH148" s="3194">
        <f t="shared" si="1088"/>
        <v>40.869999999999997</v>
      </c>
      <c r="BI148" s="3194">
        <f t="shared" si="1089"/>
        <v>1.12E-2</v>
      </c>
      <c r="BJ148" s="3194">
        <f t="shared" si="1090"/>
        <v>-7.5762999999999963</v>
      </c>
      <c r="BK148" s="3194">
        <f t="shared" si="1091"/>
        <v>-7.5640809595099725</v>
      </c>
      <c r="BL148" s="3194">
        <f t="shared" si="1092"/>
        <v>-1.2219040490023545E-2</v>
      </c>
      <c r="BM148" s="3210">
        <f t="shared" si="1248"/>
        <v>16.1525</v>
      </c>
      <c r="BN148" s="3210">
        <f t="shared" si="1249"/>
        <v>16.144693653169991</v>
      </c>
      <c r="BO148" s="3210">
        <f t="shared" si="1250"/>
        <v>7.8063468300078476E-3</v>
      </c>
      <c r="BP148" s="3145">
        <f t="shared" si="1094"/>
        <v>0</v>
      </c>
      <c r="BQ148" s="3066"/>
      <c r="BR148" s="3066"/>
      <c r="BS148" s="3145">
        <f t="shared" si="1097"/>
        <v>0</v>
      </c>
      <c r="BT148" s="3066"/>
      <c r="BU148" s="3066"/>
      <c r="BV148" s="3145">
        <f t="shared" si="1100"/>
        <v>0</v>
      </c>
      <c r="BW148" s="3066"/>
      <c r="BX148" s="3066"/>
      <c r="BY148" s="3145">
        <f t="shared" si="1103"/>
        <v>0</v>
      </c>
      <c r="BZ148" s="3145">
        <f t="shared" si="1104"/>
        <v>0</v>
      </c>
      <c r="CA148" s="3145">
        <f t="shared" si="1105"/>
        <v>0</v>
      </c>
      <c r="CB148" s="3211">
        <v>64.61</v>
      </c>
      <c r="CC148" s="3211">
        <f>SUM(CB148/CB14*CC14)</f>
        <v>64.578774612679965</v>
      </c>
      <c r="CD148" s="3211">
        <f>SUM(CB148/CB14*CD14)</f>
        <v>3.1225387320031391E-2</v>
      </c>
      <c r="CE148" s="3194">
        <f t="shared" si="1106"/>
        <v>40.8812</v>
      </c>
      <c r="CF148" s="3194">
        <f t="shared" si="1107"/>
        <v>40.869999999999997</v>
      </c>
      <c r="CG148" s="3194">
        <f t="shared" si="1108"/>
        <v>1.12E-2</v>
      </c>
      <c r="CH148" s="3194">
        <f t="shared" si="1109"/>
        <v>-23.7288</v>
      </c>
      <c r="CI148" s="3194">
        <f t="shared" si="1110"/>
        <v>-23.708774612679967</v>
      </c>
      <c r="CJ148" s="3194">
        <f t="shared" si="1111"/>
        <v>-2.0025387320031389E-2</v>
      </c>
      <c r="CK148" s="3259"/>
      <c r="CL148" s="3259"/>
      <c r="CM148" s="3259"/>
      <c r="CN148" s="3055"/>
    </row>
    <row r="149" spans="1:92" ht="18.75" customHeight="1" x14ac:dyDescent="0.3">
      <c r="A149" s="3079" t="s">
        <v>281</v>
      </c>
      <c r="B149" s="3210">
        <f t="shared" si="1168"/>
        <v>19.079999999999998</v>
      </c>
      <c r="C149" s="3210">
        <f t="shared" si="1240"/>
        <v>19.070778820769753</v>
      </c>
      <c r="D149" s="3210">
        <f t="shared" si="1241"/>
        <v>9.2211792302460752E-3</v>
      </c>
      <c r="E149" s="3145">
        <f t="shared" si="889"/>
        <v>6.2519999999999998</v>
      </c>
      <c r="F149" s="3066">
        <v>6.25</v>
      </c>
      <c r="G149" s="3119">
        <v>2E-3</v>
      </c>
      <c r="H149" s="3145">
        <f t="shared" si="1045"/>
        <v>9.0120000000000005</v>
      </c>
      <c r="I149" s="3066">
        <v>9.01</v>
      </c>
      <c r="J149" s="3119">
        <v>2E-3</v>
      </c>
      <c r="K149" s="3145">
        <f t="shared" si="1048"/>
        <v>9.2620000000000005</v>
      </c>
      <c r="L149" s="3066">
        <v>9.26</v>
      </c>
      <c r="M149" s="3119">
        <v>2E-3</v>
      </c>
      <c r="N149" s="3145">
        <f t="shared" si="1051"/>
        <v>24.526</v>
      </c>
      <c r="O149" s="3145">
        <f t="shared" si="1052"/>
        <v>24.52</v>
      </c>
      <c r="P149" s="3145">
        <f t="shared" si="1053"/>
        <v>6.0000000000000001E-3</v>
      </c>
      <c r="Q149" s="3210">
        <f t="shared" si="1242"/>
        <v>19.079999999999998</v>
      </c>
      <c r="R149" s="3210">
        <f t="shared" si="1243"/>
        <v>19.070778820769753</v>
      </c>
      <c r="S149" s="3210">
        <f t="shared" si="1244"/>
        <v>9.2211792302460752E-3</v>
      </c>
      <c r="T149" s="3145">
        <f t="shared" si="1055"/>
        <v>8.9620000000000015</v>
      </c>
      <c r="U149" s="3066">
        <v>8.9600000000000009</v>
      </c>
      <c r="V149" s="3119">
        <v>2E-3</v>
      </c>
      <c r="W149" s="3145">
        <f t="shared" si="1058"/>
        <v>9.2220000000000013</v>
      </c>
      <c r="X149" s="3066">
        <v>9.2200000000000006</v>
      </c>
      <c r="Y149" s="3119">
        <v>2E-3</v>
      </c>
      <c r="Z149" s="3145">
        <f t="shared" si="1061"/>
        <v>9.3040000000000003</v>
      </c>
      <c r="AA149" s="3066">
        <v>9.3000000000000007</v>
      </c>
      <c r="AB149" s="3119">
        <v>4.0000000000000001E-3</v>
      </c>
      <c r="AC149" s="3145">
        <f t="shared" si="1064"/>
        <v>27.488</v>
      </c>
      <c r="AD149" s="3145">
        <f t="shared" si="1065"/>
        <v>27.48</v>
      </c>
      <c r="AE149" s="3145">
        <f t="shared" si="1066"/>
        <v>8.0000000000000002E-3</v>
      </c>
      <c r="AF149" s="3211">
        <f t="shared" si="1224"/>
        <v>38.159999999999997</v>
      </c>
      <c r="AG149" s="3211">
        <f t="shared" si="1225"/>
        <v>38.141557641539507</v>
      </c>
      <c r="AH149" s="3211">
        <f t="shared" si="1226"/>
        <v>1.844235846049215E-2</v>
      </c>
      <c r="AI149" s="3194">
        <f t="shared" si="1067"/>
        <v>52.013999999999996</v>
      </c>
      <c r="AJ149" s="3194">
        <f t="shared" si="1068"/>
        <v>52</v>
      </c>
      <c r="AK149" s="3194">
        <f t="shared" si="1069"/>
        <v>1.4E-2</v>
      </c>
      <c r="AL149" s="3194">
        <f t="shared" si="1070"/>
        <v>13.853999999999999</v>
      </c>
      <c r="AM149" s="3194">
        <f t="shared" si="1071"/>
        <v>13.858442358460493</v>
      </c>
      <c r="AN149" s="3194">
        <f t="shared" si="1072"/>
        <v>-4.44235846049215E-3</v>
      </c>
      <c r="AO149" s="3210">
        <f t="shared" si="1245"/>
        <v>19.079999999999998</v>
      </c>
      <c r="AP149" s="3210">
        <f t="shared" si="1246"/>
        <v>19.070778820769753</v>
      </c>
      <c r="AQ149" s="3210">
        <f t="shared" si="1247"/>
        <v>9.2211792302460752E-3</v>
      </c>
      <c r="AR149" s="3145">
        <f t="shared" si="1075"/>
        <v>9.6020000000000003</v>
      </c>
      <c r="AS149" s="3066">
        <v>9.6</v>
      </c>
      <c r="AT149" s="3066">
        <v>2E-3</v>
      </c>
      <c r="AU149" s="3145">
        <f t="shared" si="1078"/>
        <v>9.2720000000000002</v>
      </c>
      <c r="AV149" s="3066">
        <v>9.27</v>
      </c>
      <c r="AW149" s="3119">
        <v>2E-3</v>
      </c>
      <c r="AX149" s="3145">
        <f t="shared" si="1081"/>
        <v>9.1839999999999993</v>
      </c>
      <c r="AY149" s="3066">
        <v>9.18</v>
      </c>
      <c r="AZ149" s="3119">
        <v>4.0000000000000001E-3</v>
      </c>
      <c r="BA149" s="3145">
        <f t="shared" si="1084"/>
        <v>28.057999999999996</v>
      </c>
      <c r="BB149" s="3145">
        <f t="shared" si="1085"/>
        <v>28.049999999999997</v>
      </c>
      <c r="BC149" s="3145">
        <f t="shared" si="1086"/>
        <v>8.0000000000000002E-3</v>
      </c>
      <c r="BD149" s="3211">
        <f t="shared" si="1232"/>
        <v>57.239999999999995</v>
      </c>
      <c r="BE149" s="3211">
        <f t="shared" si="1233"/>
        <v>57.21233646230926</v>
      </c>
      <c r="BF149" s="3211">
        <f t="shared" si="1234"/>
        <v>2.7663537690738225E-2</v>
      </c>
      <c r="BG149" s="3194">
        <f t="shared" si="1087"/>
        <v>80.071999999999989</v>
      </c>
      <c r="BH149" s="3194">
        <f t="shared" si="1088"/>
        <v>80.05</v>
      </c>
      <c r="BI149" s="3194">
        <f t="shared" si="1089"/>
        <v>2.1999999999999999E-2</v>
      </c>
      <c r="BJ149" s="3194">
        <f t="shared" si="1090"/>
        <v>22.831999999999994</v>
      </c>
      <c r="BK149" s="3194">
        <f t="shared" si="1091"/>
        <v>22.837663537690737</v>
      </c>
      <c r="BL149" s="3194">
        <f t="shared" si="1092"/>
        <v>-5.6635376907382268E-3</v>
      </c>
      <c r="BM149" s="3210">
        <f t="shared" si="1248"/>
        <v>19.079999999999998</v>
      </c>
      <c r="BN149" s="3210">
        <f t="shared" si="1249"/>
        <v>19.070778820769753</v>
      </c>
      <c r="BO149" s="3210">
        <f t="shared" si="1250"/>
        <v>9.2211792302460752E-3</v>
      </c>
      <c r="BP149" s="3145">
        <f t="shared" si="1094"/>
        <v>0</v>
      </c>
      <c r="BQ149" s="3066"/>
      <c r="BR149" s="3066"/>
      <c r="BS149" s="3145">
        <f t="shared" si="1097"/>
        <v>0</v>
      </c>
      <c r="BT149" s="3066"/>
      <c r="BU149" s="3066"/>
      <c r="BV149" s="3145">
        <f t="shared" si="1100"/>
        <v>0</v>
      </c>
      <c r="BW149" s="3066"/>
      <c r="BX149" s="3066"/>
      <c r="BY149" s="3145">
        <f t="shared" si="1103"/>
        <v>0</v>
      </c>
      <c r="BZ149" s="3145">
        <f t="shared" si="1104"/>
        <v>0</v>
      </c>
      <c r="CA149" s="3145">
        <f t="shared" si="1105"/>
        <v>0</v>
      </c>
      <c r="CB149" s="3211">
        <v>76.319999999999993</v>
      </c>
      <c r="CC149" s="3211">
        <f>SUM(CB149/CB14*CC14)</f>
        <v>76.283115283079013</v>
      </c>
      <c r="CD149" s="3211">
        <f>SUM(CB149/CB14*CD14)</f>
        <v>3.6884716920984301E-2</v>
      </c>
      <c r="CE149" s="3194">
        <f t="shared" si="1106"/>
        <v>80.071999999999989</v>
      </c>
      <c r="CF149" s="3194">
        <f t="shared" si="1107"/>
        <v>80.05</v>
      </c>
      <c r="CG149" s="3194">
        <f t="shared" si="1108"/>
        <v>2.1999999999999999E-2</v>
      </c>
      <c r="CH149" s="3194">
        <f t="shared" si="1109"/>
        <v>3.7519999999999953</v>
      </c>
      <c r="CI149" s="3194">
        <f t="shared" si="1110"/>
        <v>3.766884716920984</v>
      </c>
      <c r="CJ149" s="3194">
        <f t="shared" si="1111"/>
        <v>-1.4884716920984302E-2</v>
      </c>
      <c r="CK149" s="3259"/>
      <c r="CL149" s="3259"/>
      <c r="CM149" s="3259"/>
      <c r="CN149" s="3055"/>
    </row>
    <row r="150" spans="1:92" ht="18.75" customHeight="1" x14ac:dyDescent="0.3">
      <c r="A150" s="3073" t="s">
        <v>3607</v>
      </c>
      <c r="B150" s="3210">
        <f t="shared" si="1168"/>
        <v>408.07249999999999</v>
      </c>
      <c r="C150" s="3210">
        <f t="shared" si="1240"/>
        <v>407.87528251250342</v>
      </c>
      <c r="D150" s="3210">
        <f t="shared" si="1241"/>
        <v>0.19721748749657189</v>
      </c>
      <c r="E150" s="3145">
        <f t="shared" si="889"/>
        <v>201.18</v>
      </c>
      <c r="F150" s="3066">
        <v>201.12</v>
      </c>
      <c r="G150" s="3119">
        <v>0.06</v>
      </c>
      <c r="H150" s="3145">
        <f t="shared" si="1045"/>
        <v>180.71</v>
      </c>
      <c r="I150" s="3066">
        <v>180.66</v>
      </c>
      <c r="J150" s="3119">
        <v>0.05</v>
      </c>
      <c r="K150" s="3145">
        <f t="shared" si="1048"/>
        <v>268.72000000000003</v>
      </c>
      <c r="L150" s="3066">
        <v>268.66000000000003</v>
      </c>
      <c r="M150" s="3119">
        <v>0.06</v>
      </c>
      <c r="N150" s="3145">
        <f t="shared" si="1051"/>
        <v>650.61</v>
      </c>
      <c r="O150" s="3145">
        <f t="shared" si="1052"/>
        <v>650.44000000000005</v>
      </c>
      <c r="P150" s="3145">
        <f t="shared" si="1053"/>
        <v>0.16999999999999998</v>
      </c>
      <c r="Q150" s="3210">
        <f t="shared" si="1242"/>
        <v>408.07249999999999</v>
      </c>
      <c r="R150" s="3210">
        <f t="shared" si="1243"/>
        <v>407.87528251250342</v>
      </c>
      <c r="S150" s="3210">
        <f t="shared" si="1244"/>
        <v>0.19721748749657189</v>
      </c>
      <c r="T150" s="3145">
        <f t="shared" si="1055"/>
        <v>290.21299999999997</v>
      </c>
      <c r="U150" s="3066">
        <v>290.14999999999998</v>
      </c>
      <c r="V150" s="3119">
        <v>6.3E-2</v>
      </c>
      <c r="W150" s="3145">
        <f t="shared" si="1058"/>
        <v>193.16399999999999</v>
      </c>
      <c r="X150" s="3066">
        <v>193.1</v>
      </c>
      <c r="Y150" s="3119">
        <v>6.4000000000000001E-2</v>
      </c>
      <c r="Z150" s="3145">
        <f t="shared" si="1061"/>
        <v>241.34</v>
      </c>
      <c r="AA150" s="3066">
        <v>241.25</v>
      </c>
      <c r="AB150" s="3119">
        <v>0.09</v>
      </c>
      <c r="AC150" s="3145">
        <f t="shared" si="1064"/>
        <v>724.71699999999998</v>
      </c>
      <c r="AD150" s="3145">
        <f t="shared" si="1065"/>
        <v>724.5</v>
      </c>
      <c r="AE150" s="3145">
        <f t="shared" si="1066"/>
        <v>0.217</v>
      </c>
      <c r="AF150" s="3211">
        <f t="shared" si="1224"/>
        <v>816.14499999999998</v>
      </c>
      <c r="AG150" s="3211">
        <f t="shared" si="1225"/>
        <v>815.75056502500684</v>
      </c>
      <c r="AH150" s="3211">
        <f t="shared" si="1226"/>
        <v>0.39443497499314378</v>
      </c>
      <c r="AI150" s="3194">
        <f t="shared" si="1067"/>
        <v>1375.327</v>
      </c>
      <c r="AJ150" s="3194">
        <f t="shared" si="1068"/>
        <v>1374.94</v>
      </c>
      <c r="AK150" s="3194">
        <f t="shared" si="1069"/>
        <v>0.38700000000000001</v>
      </c>
      <c r="AL150" s="3194">
        <f t="shared" si="1070"/>
        <v>559.18200000000002</v>
      </c>
      <c r="AM150" s="3194">
        <f t="shared" si="1071"/>
        <v>559.18943497499322</v>
      </c>
      <c r="AN150" s="3194">
        <f t="shared" si="1072"/>
        <v>-7.4349749931437725E-3</v>
      </c>
      <c r="AO150" s="3210">
        <f t="shared" si="1245"/>
        <v>408.07249999999999</v>
      </c>
      <c r="AP150" s="3210">
        <f t="shared" si="1246"/>
        <v>407.87528251250342</v>
      </c>
      <c r="AQ150" s="3210">
        <f t="shared" si="1247"/>
        <v>0.19721748749657189</v>
      </c>
      <c r="AR150" s="3145">
        <f t="shared" si="1075"/>
        <v>236.32</v>
      </c>
      <c r="AS150" s="3066">
        <v>236.26</v>
      </c>
      <c r="AT150" s="3066">
        <v>0.06</v>
      </c>
      <c r="AU150" s="3145">
        <f t="shared" si="1078"/>
        <v>270.37900000000002</v>
      </c>
      <c r="AV150" s="3066">
        <v>270.32</v>
      </c>
      <c r="AW150" s="3119">
        <v>5.8999999999999997E-2</v>
      </c>
      <c r="AX150" s="3145">
        <f t="shared" si="1081"/>
        <v>202.82499999999999</v>
      </c>
      <c r="AY150" s="3066">
        <v>202.75</v>
      </c>
      <c r="AZ150" s="3119">
        <v>7.4999999999999997E-2</v>
      </c>
      <c r="BA150" s="3145">
        <f t="shared" si="1084"/>
        <v>709.52399999999989</v>
      </c>
      <c r="BB150" s="3145">
        <f t="shared" si="1085"/>
        <v>709.32999999999993</v>
      </c>
      <c r="BC150" s="3145">
        <f t="shared" si="1086"/>
        <v>0.19400000000000001</v>
      </c>
      <c r="BD150" s="3211">
        <f t="shared" si="1232"/>
        <v>1224.2175</v>
      </c>
      <c r="BE150" s="3211">
        <f t="shared" si="1233"/>
        <v>1223.6258475375103</v>
      </c>
      <c r="BF150" s="3211">
        <f t="shared" si="1234"/>
        <v>0.5916524624897157</v>
      </c>
      <c r="BG150" s="3194">
        <f t="shared" si="1087"/>
        <v>2084.8509999999997</v>
      </c>
      <c r="BH150" s="3194">
        <f t="shared" si="1088"/>
        <v>2084.27</v>
      </c>
      <c r="BI150" s="3194">
        <f t="shared" si="1089"/>
        <v>0.58099999999999996</v>
      </c>
      <c r="BJ150" s="3194">
        <f t="shared" si="1090"/>
        <v>860.63349999999969</v>
      </c>
      <c r="BK150" s="3194">
        <f t="shared" si="1091"/>
        <v>860.64415246248973</v>
      </c>
      <c r="BL150" s="3194">
        <f t="shared" si="1092"/>
        <v>-1.0652462489715742E-2</v>
      </c>
      <c r="BM150" s="3210">
        <f t="shared" si="1248"/>
        <v>408.07249999999999</v>
      </c>
      <c r="BN150" s="3210">
        <f t="shared" si="1249"/>
        <v>407.87528251250342</v>
      </c>
      <c r="BO150" s="3210">
        <f t="shared" si="1250"/>
        <v>0.19721748749657189</v>
      </c>
      <c r="BP150" s="3145">
        <f t="shared" si="1094"/>
        <v>0</v>
      </c>
      <c r="BQ150" s="3066"/>
      <c r="BR150" s="3066"/>
      <c r="BS150" s="3145">
        <f t="shared" si="1097"/>
        <v>0</v>
      </c>
      <c r="BT150" s="3066"/>
      <c r="BU150" s="3066"/>
      <c r="BV150" s="3145">
        <f t="shared" si="1100"/>
        <v>0</v>
      </c>
      <c r="BW150" s="3066"/>
      <c r="BX150" s="3066"/>
      <c r="BY150" s="3145">
        <f t="shared" si="1103"/>
        <v>0</v>
      </c>
      <c r="BZ150" s="3145">
        <f t="shared" si="1104"/>
        <v>0</v>
      </c>
      <c r="CA150" s="3145">
        <f t="shared" si="1105"/>
        <v>0</v>
      </c>
      <c r="CB150" s="3211">
        <v>1632.29</v>
      </c>
      <c r="CC150" s="3211">
        <f>SUM(CB150/CB14*CC14)</f>
        <v>1631.5011300500137</v>
      </c>
      <c r="CD150" s="3211">
        <f>SUM(CB150/CB14*CD14)</f>
        <v>0.78886994998628757</v>
      </c>
      <c r="CE150" s="3194">
        <f t="shared" si="1106"/>
        <v>2084.8509999999997</v>
      </c>
      <c r="CF150" s="3194">
        <f t="shared" si="1107"/>
        <v>2084.27</v>
      </c>
      <c r="CG150" s="3194">
        <f t="shared" si="1108"/>
        <v>0.58099999999999996</v>
      </c>
      <c r="CH150" s="3194">
        <f t="shared" si="1109"/>
        <v>452.56099999999969</v>
      </c>
      <c r="CI150" s="3194">
        <f t="shared" si="1110"/>
        <v>452.76886994998631</v>
      </c>
      <c r="CJ150" s="3194">
        <f t="shared" si="1111"/>
        <v>-0.20786994998628761</v>
      </c>
      <c r="CK150" s="3259"/>
      <c r="CL150" s="3259"/>
      <c r="CM150" s="3259"/>
      <c r="CN150" s="3055"/>
    </row>
    <row r="151" spans="1:92" ht="18.75" customHeight="1" x14ac:dyDescent="0.3">
      <c r="A151" s="3059" t="s">
        <v>3608</v>
      </c>
      <c r="B151" s="3208">
        <f t="shared" ref="B151:B153" si="1251">SUM(C151:D151)</f>
        <v>0</v>
      </c>
      <c r="C151" s="3208">
        <f t="shared" ref="C151:C152" si="1252">SUM(CC151/4)</f>
        <v>0</v>
      </c>
      <c r="D151" s="3208">
        <f t="shared" ref="D151:D152" si="1253">SUM(CD151/4)</f>
        <v>0</v>
      </c>
      <c r="E151" s="3136">
        <f t="shared" si="889"/>
        <v>0</v>
      </c>
      <c r="F151" s="3060"/>
      <c r="G151" s="3060"/>
      <c r="H151" s="3136">
        <f t="shared" si="1045"/>
        <v>0</v>
      </c>
      <c r="I151" s="3060"/>
      <c r="J151" s="3060"/>
      <c r="K151" s="3136">
        <f t="shared" si="1048"/>
        <v>0</v>
      </c>
      <c r="L151" s="3060"/>
      <c r="M151" s="3060"/>
      <c r="N151" s="3136">
        <f t="shared" si="1051"/>
        <v>0</v>
      </c>
      <c r="O151" s="3136">
        <f t="shared" si="1052"/>
        <v>0</v>
      </c>
      <c r="P151" s="3136">
        <f t="shared" si="1053"/>
        <v>0</v>
      </c>
      <c r="Q151" s="3208">
        <f t="shared" ref="Q151:Q152" si="1254">SUM(R151:S151)</f>
        <v>0</v>
      </c>
      <c r="R151" s="3208">
        <f t="shared" ref="R151:R152" si="1255">SUM(C151)</f>
        <v>0</v>
      </c>
      <c r="S151" s="3208">
        <f t="shared" ref="S151:S152" si="1256">SUM(D151)</f>
        <v>0</v>
      </c>
      <c r="T151" s="3136">
        <f t="shared" si="1055"/>
        <v>0</v>
      </c>
      <c r="U151" s="3060"/>
      <c r="V151" s="3060"/>
      <c r="W151" s="3136">
        <f t="shared" si="1058"/>
        <v>0</v>
      </c>
      <c r="X151" s="3060"/>
      <c r="Y151" s="3060"/>
      <c r="Z151" s="3136">
        <f t="shared" si="1061"/>
        <v>0</v>
      </c>
      <c r="AA151" s="3060"/>
      <c r="AB151" s="3060"/>
      <c r="AC151" s="3136">
        <f t="shared" si="1064"/>
        <v>0</v>
      </c>
      <c r="AD151" s="3136">
        <f t="shared" si="1065"/>
        <v>0</v>
      </c>
      <c r="AE151" s="3136">
        <f t="shared" si="1066"/>
        <v>0</v>
      </c>
      <c r="AF151" s="3209">
        <f t="shared" ref="AF151:AF152" si="1257">SUM(AG151:AH151)</f>
        <v>0</v>
      </c>
      <c r="AG151" s="3209">
        <f t="shared" ref="AG151:AG152" si="1258">SUM(C151+R151)</f>
        <v>0</v>
      </c>
      <c r="AH151" s="3209">
        <f t="shared" ref="AH151:AH152" si="1259">SUM(D151+S151)</f>
        <v>0</v>
      </c>
      <c r="AI151" s="3264">
        <f t="shared" si="1067"/>
        <v>0</v>
      </c>
      <c r="AJ151" s="3264">
        <f t="shared" si="1068"/>
        <v>0</v>
      </c>
      <c r="AK151" s="3264">
        <f t="shared" si="1069"/>
        <v>0</v>
      </c>
      <c r="AL151" s="3264">
        <f t="shared" si="1070"/>
        <v>0</v>
      </c>
      <c r="AM151" s="3264">
        <f t="shared" si="1071"/>
        <v>0</v>
      </c>
      <c r="AN151" s="3264">
        <f t="shared" si="1072"/>
        <v>0</v>
      </c>
      <c r="AO151" s="3208">
        <f t="shared" ref="AO151:AO152" si="1260">SUM(AP151:AQ151)</f>
        <v>0</v>
      </c>
      <c r="AP151" s="3208">
        <f t="shared" ref="AP151:AP152" si="1261">SUM(CC151-AG151)/2</f>
        <v>0</v>
      </c>
      <c r="AQ151" s="3208">
        <f t="shared" ref="AQ151:AQ152" si="1262">SUM(CD151-AH151)/2</f>
        <v>0</v>
      </c>
      <c r="AR151" s="3136">
        <f t="shared" si="1075"/>
        <v>0</v>
      </c>
      <c r="AS151" s="3060"/>
      <c r="AT151" s="3060"/>
      <c r="AU151" s="3136">
        <f t="shared" si="1078"/>
        <v>0</v>
      </c>
      <c r="AV151" s="3060"/>
      <c r="AW151" s="3060"/>
      <c r="AX151" s="3136">
        <f t="shared" si="1081"/>
        <v>0</v>
      </c>
      <c r="AY151" s="3060"/>
      <c r="AZ151" s="3060"/>
      <c r="BA151" s="3136">
        <f t="shared" si="1084"/>
        <v>0</v>
      </c>
      <c r="BB151" s="3136">
        <f t="shared" si="1085"/>
        <v>0</v>
      </c>
      <c r="BC151" s="3136">
        <f t="shared" si="1086"/>
        <v>0</v>
      </c>
      <c r="BD151" s="3209">
        <f t="shared" ref="BD151:BD152" si="1263">SUM(BE151:BF151)</f>
        <v>0</v>
      </c>
      <c r="BE151" s="3209">
        <f t="shared" ref="BE151:BE152" si="1264">SUM(AG151+AP151)</f>
        <v>0</v>
      </c>
      <c r="BF151" s="3209">
        <f t="shared" ref="BF151:BF152" si="1265">SUM(AH151+AQ151)</f>
        <v>0</v>
      </c>
      <c r="BG151" s="3264">
        <f t="shared" si="1087"/>
        <v>0</v>
      </c>
      <c r="BH151" s="3264">
        <f t="shared" si="1088"/>
        <v>0</v>
      </c>
      <c r="BI151" s="3264">
        <f t="shared" si="1089"/>
        <v>0</v>
      </c>
      <c r="BJ151" s="3264">
        <f t="shared" si="1090"/>
        <v>0</v>
      </c>
      <c r="BK151" s="3264">
        <f t="shared" si="1091"/>
        <v>0</v>
      </c>
      <c r="BL151" s="3264">
        <f t="shared" si="1092"/>
        <v>0</v>
      </c>
      <c r="BM151" s="3208">
        <f t="shared" ref="BM151:BM152" si="1266">SUM(BN151:BO151)</f>
        <v>0</v>
      </c>
      <c r="BN151" s="3208">
        <f t="shared" ref="BN151:BN152" si="1267">SUM(AP151)</f>
        <v>0</v>
      </c>
      <c r="BO151" s="3208">
        <f t="shared" ref="BO151:BO152" si="1268">SUM(AQ151)</f>
        <v>0</v>
      </c>
      <c r="BP151" s="3136">
        <f t="shared" si="1094"/>
        <v>0</v>
      </c>
      <c r="BQ151" s="3060"/>
      <c r="BR151" s="3060"/>
      <c r="BS151" s="3136">
        <f t="shared" si="1097"/>
        <v>0</v>
      </c>
      <c r="BT151" s="3060"/>
      <c r="BU151" s="3060"/>
      <c r="BV151" s="3136">
        <f t="shared" si="1100"/>
        <v>0</v>
      </c>
      <c r="BW151" s="3060"/>
      <c r="BX151" s="3060"/>
      <c r="BY151" s="3136">
        <f t="shared" si="1103"/>
        <v>0</v>
      </c>
      <c r="BZ151" s="3136">
        <f t="shared" si="1104"/>
        <v>0</v>
      </c>
      <c r="CA151" s="3136">
        <f t="shared" si="1105"/>
        <v>0</v>
      </c>
      <c r="CB151" s="3209">
        <v>0</v>
      </c>
      <c r="CC151" s="3209">
        <v>0</v>
      </c>
      <c r="CD151" s="3209">
        <v>0</v>
      </c>
      <c r="CE151" s="3264">
        <f t="shared" si="1106"/>
        <v>0</v>
      </c>
      <c r="CF151" s="3264">
        <f t="shared" si="1107"/>
        <v>0</v>
      </c>
      <c r="CG151" s="3264">
        <f t="shared" si="1108"/>
        <v>0</v>
      </c>
      <c r="CH151" s="3264">
        <f t="shared" si="1109"/>
        <v>0</v>
      </c>
      <c r="CI151" s="3264">
        <f t="shared" si="1110"/>
        <v>0</v>
      </c>
      <c r="CJ151" s="3264">
        <f t="shared" si="1111"/>
        <v>0</v>
      </c>
      <c r="CK151" s="3259"/>
      <c r="CL151" s="3259"/>
      <c r="CM151" s="3259"/>
      <c r="CN151" s="3055"/>
    </row>
    <row r="152" spans="1:92" ht="18.75" customHeight="1" x14ac:dyDescent="0.3">
      <c r="A152" s="3059" t="s">
        <v>3609</v>
      </c>
      <c r="B152" s="3208">
        <f t="shared" si="1251"/>
        <v>73.702500000000001</v>
      </c>
      <c r="C152" s="3208">
        <f t="shared" si="1252"/>
        <v>73.702500000000001</v>
      </c>
      <c r="D152" s="3208">
        <f t="shared" si="1253"/>
        <v>0</v>
      </c>
      <c r="E152" s="3136">
        <f t="shared" si="889"/>
        <v>0</v>
      </c>
      <c r="F152" s="3061"/>
      <c r="G152" s="3061"/>
      <c r="H152" s="3136">
        <f t="shared" si="1045"/>
        <v>0</v>
      </c>
      <c r="I152" s="3061"/>
      <c r="J152" s="3061"/>
      <c r="K152" s="3136">
        <f t="shared" si="1048"/>
        <v>0</v>
      </c>
      <c r="L152" s="3061"/>
      <c r="M152" s="3061"/>
      <c r="N152" s="3136">
        <f t="shared" ref="N152:N154" si="1269">SUM(O152:P152)</f>
        <v>0</v>
      </c>
      <c r="O152" s="3136">
        <f t="shared" ref="O152:O154" si="1270">SUM(F152+I152+L152)</f>
        <v>0</v>
      </c>
      <c r="P152" s="3136">
        <f t="shared" ref="P152:P154" si="1271">SUM(G152+J152+M152)</f>
        <v>0</v>
      </c>
      <c r="Q152" s="3208">
        <f t="shared" si="1254"/>
        <v>73.702500000000001</v>
      </c>
      <c r="R152" s="3208">
        <f t="shared" si="1255"/>
        <v>73.702500000000001</v>
      </c>
      <c r="S152" s="3208">
        <f t="shared" si="1256"/>
        <v>0</v>
      </c>
      <c r="T152" s="3136">
        <f t="shared" si="1055"/>
        <v>0</v>
      </c>
      <c r="U152" s="3061"/>
      <c r="V152" s="3061"/>
      <c r="W152" s="3136">
        <f t="shared" si="1058"/>
        <v>0</v>
      </c>
      <c r="X152" s="3061"/>
      <c r="Y152" s="3061"/>
      <c r="Z152" s="3136">
        <f t="shared" si="1061"/>
        <v>0</v>
      </c>
      <c r="AA152" s="3061"/>
      <c r="AB152" s="3061"/>
      <c r="AC152" s="3136">
        <f t="shared" si="1064"/>
        <v>0</v>
      </c>
      <c r="AD152" s="3136">
        <f t="shared" si="1065"/>
        <v>0</v>
      </c>
      <c r="AE152" s="3136">
        <f t="shared" si="1066"/>
        <v>0</v>
      </c>
      <c r="AF152" s="3209">
        <f t="shared" si="1257"/>
        <v>147.405</v>
      </c>
      <c r="AG152" s="3209">
        <f t="shared" si="1258"/>
        <v>147.405</v>
      </c>
      <c r="AH152" s="3209">
        <f t="shared" si="1259"/>
        <v>0</v>
      </c>
      <c r="AI152" s="3264">
        <f t="shared" si="1067"/>
        <v>0</v>
      </c>
      <c r="AJ152" s="3264">
        <f t="shared" si="1068"/>
        <v>0</v>
      </c>
      <c r="AK152" s="3264">
        <f t="shared" si="1069"/>
        <v>0</v>
      </c>
      <c r="AL152" s="3264">
        <f t="shared" si="1070"/>
        <v>-147.405</v>
      </c>
      <c r="AM152" s="3264">
        <f t="shared" si="1071"/>
        <v>-147.405</v>
      </c>
      <c r="AN152" s="3264">
        <f t="shared" si="1072"/>
        <v>0</v>
      </c>
      <c r="AO152" s="3208">
        <f t="shared" si="1260"/>
        <v>73.702500000000001</v>
      </c>
      <c r="AP152" s="3208">
        <f t="shared" si="1261"/>
        <v>73.702500000000001</v>
      </c>
      <c r="AQ152" s="3208">
        <f t="shared" si="1262"/>
        <v>0</v>
      </c>
      <c r="AR152" s="3136">
        <f t="shared" si="1075"/>
        <v>0</v>
      </c>
      <c r="AS152" s="3061"/>
      <c r="AT152" s="3061"/>
      <c r="AU152" s="3136">
        <f t="shared" si="1078"/>
        <v>0</v>
      </c>
      <c r="AV152" s="3061"/>
      <c r="AW152" s="3061"/>
      <c r="AX152" s="3136">
        <f t="shared" si="1081"/>
        <v>0</v>
      </c>
      <c r="AY152" s="3061"/>
      <c r="AZ152" s="3061"/>
      <c r="BA152" s="3136">
        <f t="shared" si="1084"/>
        <v>0</v>
      </c>
      <c r="BB152" s="3136">
        <f t="shared" si="1085"/>
        <v>0</v>
      </c>
      <c r="BC152" s="3136">
        <f t="shared" si="1086"/>
        <v>0</v>
      </c>
      <c r="BD152" s="3209">
        <f t="shared" si="1263"/>
        <v>221.10750000000002</v>
      </c>
      <c r="BE152" s="3209">
        <f t="shared" si="1264"/>
        <v>221.10750000000002</v>
      </c>
      <c r="BF152" s="3209">
        <f t="shared" si="1265"/>
        <v>0</v>
      </c>
      <c r="BG152" s="3264">
        <f t="shared" si="1087"/>
        <v>0</v>
      </c>
      <c r="BH152" s="3264">
        <f t="shared" si="1088"/>
        <v>0</v>
      </c>
      <c r="BI152" s="3264">
        <f t="shared" si="1089"/>
        <v>0</v>
      </c>
      <c r="BJ152" s="3264">
        <f t="shared" si="1090"/>
        <v>-221.10750000000002</v>
      </c>
      <c r="BK152" s="3264">
        <f t="shared" si="1091"/>
        <v>-221.10750000000002</v>
      </c>
      <c r="BL152" s="3264">
        <f t="shared" si="1092"/>
        <v>0</v>
      </c>
      <c r="BM152" s="3208">
        <f t="shared" si="1266"/>
        <v>73.702500000000001</v>
      </c>
      <c r="BN152" s="3208">
        <f t="shared" si="1267"/>
        <v>73.702500000000001</v>
      </c>
      <c r="BO152" s="3208">
        <f t="shared" si="1268"/>
        <v>0</v>
      </c>
      <c r="BP152" s="3136">
        <f t="shared" si="1094"/>
        <v>0</v>
      </c>
      <c r="BQ152" s="3061"/>
      <c r="BR152" s="3061"/>
      <c r="BS152" s="3136">
        <f t="shared" si="1097"/>
        <v>0</v>
      </c>
      <c r="BT152" s="3061"/>
      <c r="BU152" s="3061"/>
      <c r="BV152" s="3136">
        <f t="shared" si="1100"/>
        <v>0</v>
      </c>
      <c r="BW152" s="3061"/>
      <c r="BX152" s="3061"/>
      <c r="BY152" s="3136">
        <f t="shared" si="1103"/>
        <v>0</v>
      </c>
      <c r="BZ152" s="3136">
        <f t="shared" si="1104"/>
        <v>0</v>
      </c>
      <c r="CA152" s="3136">
        <f t="shared" si="1105"/>
        <v>0</v>
      </c>
      <c r="CB152" s="3209">
        <f t="shared" ref="CB152" si="1272">SUM(CC152:CD152)</f>
        <v>294.81</v>
      </c>
      <c r="CC152" s="3209">
        <f>SUM(вода!BR59)</f>
        <v>294.81</v>
      </c>
      <c r="CD152" s="3209">
        <v>0</v>
      </c>
      <c r="CE152" s="3264">
        <f t="shared" si="1106"/>
        <v>0</v>
      </c>
      <c r="CF152" s="3264">
        <f t="shared" si="1107"/>
        <v>0</v>
      </c>
      <c r="CG152" s="3264">
        <f t="shared" si="1108"/>
        <v>0</v>
      </c>
      <c r="CH152" s="3264">
        <f t="shared" si="1109"/>
        <v>-294.81</v>
      </c>
      <c r="CI152" s="3264">
        <f t="shared" si="1110"/>
        <v>-294.81</v>
      </c>
      <c r="CJ152" s="3264">
        <f t="shared" si="1111"/>
        <v>0</v>
      </c>
      <c r="CK152" s="3259"/>
      <c r="CL152" s="3259"/>
      <c r="CM152" s="3259"/>
      <c r="CN152" s="3055"/>
    </row>
    <row r="153" spans="1:92" ht="18.75" customHeight="1" x14ac:dyDescent="0.3">
      <c r="A153" s="3074" t="s">
        <v>12</v>
      </c>
      <c r="B153" s="3207">
        <f t="shared" si="1251"/>
        <v>36807.620361995192</v>
      </c>
      <c r="C153" s="3207">
        <f t="shared" ref="C153:D153" si="1273">SUM(C24+C48+C94+C118+C138+C144+C151+C152)</f>
        <v>36799.926279495696</v>
      </c>
      <c r="D153" s="3207">
        <f t="shared" si="1273"/>
        <v>7.6940824994927342</v>
      </c>
      <c r="E153" s="3057">
        <f>SUM(E24+E48+E94+E118+E138+E144+E151+E152)</f>
        <v>11426.996999999999</v>
      </c>
      <c r="F153" s="3057">
        <f>SUM(F24+F48+F94+F118+F138+F144+F151+F152)</f>
        <v>11424.89</v>
      </c>
      <c r="G153" s="3057">
        <f t="shared" ref="G153:H153" si="1274">SUM(G24+G48+G94+G118+G138+G144+G151+G152)</f>
        <v>2.1070000000000002</v>
      </c>
      <c r="H153" s="3057">
        <f t="shared" si="1274"/>
        <v>10332.424999999999</v>
      </c>
      <c r="I153" s="3057">
        <f t="shared" ref="I153" si="1275">SUM(I24+I48+I94+I118+I138+I144+I151+I152)</f>
        <v>10330.75</v>
      </c>
      <c r="J153" s="3057">
        <f t="shared" ref="J153:K153" si="1276">SUM(J24+J48+J94+J118+J138+J144+J151+J152)</f>
        <v>1.675</v>
      </c>
      <c r="K153" s="3057">
        <f t="shared" si="1276"/>
        <v>12531.936</v>
      </c>
      <c r="L153" s="3057">
        <f t="shared" ref="L153" si="1277">SUM(L24+L48+L94+L118+L138+L144+L151+L152)</f>
        <v>12530.099999999999</v>
      </c>
      <c r="M153" s="3057">
        <f t="shared" ref="M153" si="1278">SUM(M24+M48+M94+M118+M138+M144+M151+M152)</f>
        <v>1.8360000000000001</v>
      </c>
      <c r="N153" s="3156">
        <f t="shared" si="1269"/>
        <v>34291.358</v>
      </c>
      <c r="O153" s="3156">
        <f t="shared" si="1270"/>
        <v>34285.74</v>
      </c>
      <c r="P153" s="3156">
        <f t="shared" si="1271"/>
        <v>5.6180000000000003</v>
      </c>
      <c r="Q153" s="3207">
        <f t="shared" ref="Q153" si="1279">SUM(R153:S153)</f>
        <v>36807.620361995192</v>
      </c>
      <c r="R153" s="3207">
        <f t="shared" ref="R153" si="1280">SUM(R24+R48+R94+R118+R138+R144+R151+R152)</f>
        <v>36799.926279495696</v>
      </c>
      <c r="S153" s="3207">
        <f t="shared" ref="S153" si="1281">SUM(S24+S48+S94+S118+S138+S144+S151+S152)</f>
        <v>7.6940824994927342</v>
      </c>
      <c r="T153" s="3057">
        <f>SUM(T24+T48+T94+T118+T138+T144+T151+T152)</f>
        <v>11324.5075</v>
      </c>
      <c r="U153" s="3057">
        <f t="shared" ref="U153" si="1282">SUM(U24+U48+U94+U118+U138+U144+U151+U152)</f>
        <v>11322.820000000002</v>
      </c>
      <c r="V153" s="3057">
        <f t="shared" ref="V153" si="1283">SUM(V24+V48+V94+V118+V138+V144+V151+V152)</f>
        <v>1.6875</v>
      </c>
      <c r="W153" s="3057">
        <f t="shared" ref="W153" si="1284">SUM(W24+W48+W94+W118+W138+W144+W151+W152)</f>
        <v>12735.949000000001</v>
      </c>
      <c r="X153" s="3057">
        <f t="shared" ref="X153" si="1285">SUM(X24+X48+X94+X118+X138+X144+X151+X152)</f>
        <v>12733.619999999999</v>
      </c>
      <c r="Y153" s="3057">
        <f t="shared" ref="Y153" si="1286">SUM(Y24+Y48+Y94+Y118+Y138+Y144+Y151+Y152)</f>
        <v>2.3289999999999997</v>
      </c>
      <c r="Z153" s="3057">
        <f t="shared" ref="Z153" si="1287">SUM(Z24+Z48+Z94+Z118+Z138+Z144+Z151+Z152)</f>
        <v>12831.116</v>
      </c>
      <c r="AA153" s="3057">
        <f t="shared" ref="AA153" si="1288">SUM(AA24+AA48+AA94+AA118+AA138+AA144+AA151+AA152)</f>
        <v>12828.24</v>
      </c>
      <c r="AB153" s="3057">
        <f t="shared" ref="AB153" si="1289">SUM(AB24+AB48+AB94+AB118+AB138+AB144+AB151+AB152)</f>
        <v>2.8760000000000003</v>
      </c>
      <c r="AC153" s="3156">
        <f t="shared" si="1064"/>
        <v>36891.572500000002</v>
      </c>
      <c r="AD153" s="3156">
        <f t="shared" si="1065"/>
        <v>36884.68</v>
      </c>
      <c r="AE153" s="3156">
        <f t="shared" si="1066"/>
        <v>6.8925000000000001</v>
      </c>
      <c r="AF153" s="3206">
        <f t="shared" ref="AF153" si="1290">SUM(AG153:AH153)</f>
        <v>73615.240723990384</v>
      </c>
      <c r="AG153" s="3206">
        <f t="shared" ref="AG153" si="1291">SUM(C153+R153)</f>
        <v>73599.852558991392</v>
      </c>
      <c r="AH153" s="3206">
        <f t="shared" ref="AH153" si="1292">SUM(D153+S153)</f>
        <v>15.388164998985468</v>
      </c>
      <c r="AI153" s="3193">
        <f t="shared" si="1067"/>
        <v>71182.930500000002</v>
      </c>
      <c r="AJ153" s="3193">
        <f t="shared" si="1068"/>
        <v>71170.42</v>
      </c>
      <c r="AK153" s="3193">
        <f t="shared" si="1069"/>
        <v>12.5105</v>
      </c>
      <c r="AL153" s="3193">
        <f t="shared" si="1070"/>
        <v>-2432.3102239903819</v>
      </c>
      <c r="AM153" s="3193">
        <f t="shared" si="1071"/>
        <v>-2429.4325589913933</v>
      </c>
      <c r="AN153" s="3193">
        <f t="shared" si="1072"/>
        <v>-2.8776649989854679</v>
      </c>
      <c r="AO153" s="3207">
        <f t="shared" ref="AO153" si="1293">SUM(AP153:AQ153)</f>
        <v>36979.844126076037</v>
      </c>
      <c r="AP153" s="3207">
        <f t="shared" ref="AP153" si="1294">SUM(AP24+AP48+AP94+AP118+AP138+AP144+AP151+AP152)</f>
        <v>36972.132587435095</v>
      </c>
      <c r="AQ153" s="3207">
        <f t="shared" ref="AQ153" si="1295">SUM(AQ24+AQ48+AQ94+AQ118+AQ138+AQ144+AQ151+AQ152)</f>
        <v>7.7115386409448954</v>
      </c>
      <c r="AR153" s="3057">
        <f>SUM(AR24+AR48+AR94+AR118+AR138+AR144+AR151+AR152)</f>
        <v>11545.733</v>
      </c>
      <c r="AS153" s="3057">
        <f t="shared" ref="AS153" si="1296">SUM(AS24+AS48+AS94+AS118+AS138+AS144+AS151+AS152)</f>
        <v>11543.800000000001</v>
      </c>
      <c r="AT153" s="3057">
        <f t="shared" ref="AT153" si="1297">SUM(AT24+AT48+AT94+AT118+AT138+AT144+AT151+AT152)</f>
        <v>1.9329999999999998</v>
      </c>
      <c r="AU153" s="3057">
        <f t="shared" ref="AU153" si="1298">SUM(AU24+AU48+AU94+AU118+AU138+AU144+AU151+AU152)</f>
        <v>12637.050999999999</v>
      </c>
      <c r="AV153" s="3057">
        <f t="shared" ref="AV153" si="1299">SUM(AV24+AV48+AV94+AV118+AV138+AV144+AV151+AV152)</f>
        <v>12635.4</v>
      </c>
      <c r="AW153" s="3057">
        <f t="shared" ref="AW153" si="1300">SUM(AW24+AW48+AW94+AW118+AW138+AW144+AW151+AW152)</f>
        <v>1.6509999999999998</v>
      </c>
      <c r="AX153" s="3057">
        <f t="shared" ref="AX153" si="1301">SUM(AX24+AX48+AX94+AX118+AX138+AX144+AX151+AX152)</f>
        <v>13887.012700000001</v>
      </c>
      <c r="AY153" s="3057">
        <f t="shared" ref="AY153" si="1302">SUM(AY24+AY48+AY94+AY118+AY138+AY144+AY151+AY152)</f>
        <v>13884.14</v>
      </c>
      <c r="AZ153" s="3057">
        <f t="shared" ref="AZ153" si="1303">SUM(AZ24+AZ48+AZ94+AZ118+AZ138+AZ144+AZ151+AZ152)</f>
        <v>2.8727000000000005</v>
      </c>
      <c r="BA153" s="3156">
        <f t="shared" si="1084"/>
        <v>38069.796699999999</v>
      </c>
      <c r="BB153" s="3156">
        <f t="shared" si="1085"/>
        <v>38063.339999999997</v>
      </c>
      <c r="BC153" s="3156">
        <f t="shared" si="1086"/>
        <v>6.4566999999999997</v>
      </c>
      <c r="BD153" s="3206">
        <f t="shared" ref="BD153" si="1304">SUM(BE153:BF153)</f>
        <v>110595.08485006641</v>
      </c>
      <c r="BE153" s="3206">
        <f t="shared" ref="BE153" si="1305">SUM(AG153+AP153)</f>
        <v>110571.98514642648</v>
      </c>
      <c r="BF153" s="3206">
        <f t="shared" ref="BF153" si="1306">SUM(AH153+AQ153)</f>
        <v>23.099703639930365</v>
      </c>
      <c r="BG153" s="3193">
        <f t="shared" si="1087"/>
        <v>109252.72719999999</v>
      </c>
      <c r="BH153" s="3193">
        <f t="shared" si="1088"/>
        <v>109233.76</v>
      </c>
      <c r="BI153" s="3193">
        <f t="shared" si="1089"/>
        <v>18.967199999999998</v>
      </c>
      <c r="BJ153" s="3193">
        <f t="shared" si="1090"/>
        <v>-1342.3576500664203</v>
      </c>
      <c r="BK153" s="3193">
        <f t="shared" si="1091"/>
        <v>-1338.2251464264846</v>
      </c>
      <c r="BL153" s="3193">
        <f t="shared" si="1092"/>
        <v>-4.1325036399303663</v>
      </c>
      <c r="BM153" s="3207">
        <f t="shared" ref="BM153" si="1307">SUM(BN153:BO153)</f>
        <v>36979.844126076037</v>
      </c>
      <c r="BN153" s="3207">
        <f t="shared" ref="BN153" si="1308">SUM(BN24+BN48+BN94+BN118+BN138+BN144+BN151+BN152)</f>
        <v>36972.132587435095</v>
      </c>
      <c r="BO153" s="3207">
        <f t="shared" ref="BO153" si="1309">SUM(BO24+BO48+BO94+BO118+BO138+BO144+BO151+BO152)</f>
        <v>7.7115386409448954</v>
      </c>
      <c r="BP153" s="3057">
        <f>SUM(BP24+BP48+BP94+BP118+BP138+BP144+BP151+BP152)</f>
        <v>0</v>
      </c>
      <c r="BQ153" s="3057">
        <f t="shared" ref="BQ153" si="1310">SUM(BQ24+BQ48+BQ94+BQ118+BQ138+BQ144+BQ151+BQ152)</f>
        <v>0</v>
      </c>
      <c r="BR153" s="3057">
        <f t="shared" ref="BR153" si="1311">SUM(BR24+BR48+BR94+BR118+BR138+BR144+BR151+BR152)</f>
        <v>0</v>
      </c>
      <c r="BS153" s="3057">
        <f t="shared" ref="BS153" si="1312">SUM(BS24+BS48+BS94+BS118+BS138+BS144+BS151+BS152)</f>
        <v>0</v>
      </c>
      <c r="BT153" s="3057">
        <f t="shared" ref="BT153" si="1313">SUM(BT24+BT48+BT94+BT118+BT138+BT144+BT151+BT152)</f>
        <v>0</v>
      </c>
      <c r="BU153" s="3057">
        <f t="shared" ref="BU153" si="1314">SUM(BU24+BU48+BU94+BU118+BU138+BU144+BU151+BU152)</f>
        <v>0</v>
      </c>
      <c r="BV153" s="3057">
        <f t="shared" ref="BV153" si="1315">SUM(BV24+BV48+BV94+BV118+BV138+BV144+BV151+BV152)</f>
        <v>0</v>
      </c>
      <c r="BW153" s="3057">
        <f t="shared" ref="BW153" si="1316">SUM(BW24+BW48+BW94+BW118+BW138+BW144+BW151+BW152)</f>
        <v>0</v>
      </c>
      <c r="BX153" s="3057">
        <f t="shared" ref="BX153" si="1317">SUM(BX24+BX48+BX94+BX118+BX138+BX144+BX151+BX152)</f>
        <v>0</v>
      </c>
      <c r="BY153" s="3156">
        <f t="shared" si="1103"/>
        <v>0</v>
      </c>
      <c r="BZ153" s="3156">
        <f t="shared" si="1104"/>
        <v>0</v>
      </c>
      <c r="CA153" s="3156">
        <f t="shared" si="1105"/>
        <v>0</v>
      </c>
      <c r="CB153" s="3206">
        <f>SUM(CB24+CB48+CB94+CB118+CB138+CB144+CB151+CB152)</f>
        <v>147574.92935394892</v>
      </c>
      <c r="CC153" s="3206">
        <f t="shared" ref="CC153:CD153" si="1318">SUM(CC24+CC48+CC94+CC118+CC138+CC144+CC151+CC152)</f>
        <v>147544.11811148544</v>
      </c>
      <c r="CD153" s="3206">
        <f t="shared" si="1318"/>
        <v>30.81124246347926</v>
      </c>
      <c r="CE153" s="3193">
        <f t="shared" si="1106"/>
        <v>109252.72719999999</v>
      </c>
      <c r="CF153" s="3193">
        <f t="shared" si="1107"/>
        <v>109233.76</v>
      </c>
      <c r="CG153" s="3193">
        <f t="shared" si="1108"/>
        <v>18.967199999999998</v>
      </c>
      <c r="CH153" s="3193">
        <f t="shared" si="1109"/>
        <v>-38322.202153948921</v>
      </c>
      <c r="CI153" s="3193">
        <f t="shared" si="1110"/>
        <v>-38310.358111485446</v>
      </c>
      <c r="CJ153" s="3193">
        <f t="shared" si="1111"/>
        <v>-11.844042463479262</v>
      </c>
      <c r="CK153" s="3259"/>
      <c r="CL153" s="3259"/>
      <c r="CM153" s="3259"/>
      <c r="CN153" s="3055"/>
    </row>
    <row r="154" spans="1:92" ht="18.75" customHeight="1" x14ac:dyDescent="0.3">
      <c r="A154" s="3074" t="s">
        <v>13</v>
      </c>
      <c r="B154" s="3207">
        <f>SUM(C154:D154)</f>
        <v>915.59873083333332</v>
      </c>
      <c r="C154" s="3207">
        <f>SUM(C14)</f>
        <v>915.15623083333332</v>
      </c>
      <c r="D154" s="3207">
        <f>SUM(D14)</f>
        <v>0.4425</v>
      </c>
      <c r="E154" s="3057">
        <f t="shared" ref="E154:G154" si="1319">SUM(E14)</f>
        <v>311.55500000000001</v>
      </c>
      <c r="F154" s="3057">
        <f t="shared" si="1319"/>
        <v>311.435</v>
      </c>
      <c r="G154" s="3057">
        <f t="shared" si="1319"/>
        <v>0.12</v>
      </c>
      <c r="H154" s="3057">
        <f t="shared" ref="H154:M154" si="1320">SUM(H14)</f>
        <v>297</v>
      </c>
      <c r="I154" s="3057">
        <f t="shared" si="1320"/>
        <v>296.91000000000003</v>
      </c>
      <c r="J154" s="3057">
        <f t="shared" si="1320"/>
        <v>0.09</v>
      </c>
      <c r="K154" s="3057">
        <f t="shared" si="1320"/>
        <v>282.20400000000001</v>
      </c>
      <c r="L154" s="3057">
        <f t="shared" si="1320"/>
        <v>282.12900000000002</v>
      </c>
      <c r="M154" s="3057">
        <f t="shared" si="1320"/>
        <v>7.4999999999999997E-2</v>
      </c>
      <c r="N154" s="3156">
        <f t="shared" si="1269"/>
        <v>890.75900000000001</v>
      </c>
      <c r="O154" s="3156">
        <f t="shared" si="1270"/>
        <v>890.47400000000005</v>
      </c>
      <c r="P154" s="3156">
        <f t="shared" si="1271"/>
        <v>0.28499999999999998</v>
      </c>
      <c r="Q154" s="3207">
        <f>SUM(R154:S154)</f>
        <v>915.59873083333332</v>
      </c>
      <c r="R154" s="3207">
        <f>SUM(R14)</f>
        <v>915.15623083333332</v>
      </c>
      <c r="S154" s="3207">
        <f>SUM(S14)</f>
        <v>0.4425</v>
      </c>
      <c r="T154" s="3057">
        <f t="shared" ref="T154:AB154" si="1321">SUM(T14)</f>
        <v>295.19499999999999</v>
      </c>
      <c r="U154" s="3057">
        <f t="shared" si="1321"/>
        <v>295.09999999999997</v>
      </c>
      <c r="V154" s="3057">
        <f t="shared" si="1321"/>
        <v>9.5000000000000001E-2</v>
      </c>
      <c r="W154" s="3057">
        <f t="shared" si="1321"/>
        <v>283.73199999999997</v>
      </c>
      <c r="X154" s="3057">
        <f t="shared" si="1321"/>
        <v>283.63499999999999</v>
      </c>
      <c r="Y154" s="3057">
        <f t="shared" si="1321"/>
        <v>9.7000000000000003E-2</v>
      </c>
      <c r="Z154" s="3057">
        <f t="shared" si="1321"/>
        <v>281.80300000000005</v>
      </c>
      <c r="AA154" s="3057">
        <f t="shared" si="1321"/>
        <v>281.72200000000004</v>
      </c>
      <c r="AB154" s="3057">
        <f t="shared" si="1321"/>
        <v>8.1000000000000003E-2</v>
      </c>
      <c r="AC154" s="3156">
        <f t="shared" si="1064"/>
        <v>860.7299999999999</v>
      </c>
      <c r="AD154" s="3156">
        <f t="shared" si="1065"/>
        <v>860.45699999999988</v>
      </c>
      <c r="AE154" s="3156">
        <f t="shared" si="1066"/>
        <v>0.27300000000000002</v>
      </c>
      <c r="AF154" s="3206">
        <f t="shared" ref="AF154" si="1322">SUM(AG154:AH154)</f>
        <v>1831.1974616666666</v>
      </c>
      <c r="AG154" s="3206">
        <f t="shared" ref="AG154" si="1323">SUM(C154+R154)</f>
        <v>1830.3124616666666</v>
      </c>
      <c r="AH154" s="3206">
        <f t="shared" ref="AH154" si="1324">SUM(D154+S154)</f>
        <v>0.88500000000000001</v>
      </c>
      <c r="AI154" s="3193">
        <f t="shared" si="1067"/>
        <v>1751.489</v>
      </c>
      <c r="AJ154" s="3193">
        <f t="shared" si="1068"/>
        <v>1750.931</v>
      </c>
      <c r="AK154" s="3193">
        <f t="shared" si="1069"/>
        <v>0.55800000000000005</v>
      </c>
      <c r="AL154" s="3193">
        <f t="shared" si="1070"/>
        <v>-79.708461666666608</v>
      </c>
      <c r="AM154" s="3193">
        <f t="shared" si="1071"/>
        <v>-79.38146166666661</v>
      </c>
      <c r="AN154" s="3193">
        <f t="shared" si="1072"/>
        <v>-0.32699999999999996</v>
      </c>
      <c r="AO154" s="3207">
        <f>SUM(AP154:AQ154)</f>
        <v>915.59873083333332</v>
      </c>
      <c r="AP154" s="3207">
        <f>SUM(AP14)</f>
        <v>915.15623083333332</v>
      </c>
      <c r="AQ154" s="3207">
        <f>SUM(AQ14)</f>
        <v>0.4425</v>
      </c>
      <c r="AR154" s="3057">
        <f t="shared" ref="AR154:AZ154" si="1325">SUM(AR14)</f>
        <v>275.69200000000001</v>
      </c>
      <c r="AS154" s="3057">
        <f t="shared" si="1325"/>
        <v>275.601</v>
      </c>
      <c r="AT154" s="3057">
        <f t="shared" si="1325"/>
        <v>9.0999999999999998E-2</v>
      </c>
      <c r="AU154" s="3057">
        <f t="shared" si="1325"/>
        <v>310.952</v>
      </c>
      <c r="AV154" s="3057">
        <f t="shared" si="1325"/>
        <v>310.86200000000002</v>
      </c>
      <c r="AW154" s="3057">
        <f t="shared" si="1325"/>
        <v>0.09</v>
      </c>
      <c r="AX154" s="3057">
        <f t="shared" si="1325"/>
        <v>301.12099999999992</v>
      </c>
      <c r="AY154" s="3057">
        <f t="shared" si="1325"/>
        <v>301.03099999999995</v>
      </c>
      <c r="AZ154" s="3057">
        <f t="shared" si="1325"/>
        <v>0.09</v>
      </c>
      <c r="BA154" s="3156">
        <f t="shared" si="1084"/>
        <v>887.76499999999987</v>
      </c>
      <c r="BB154" s="3156">
        <f t="shared" si="1085"/>
        <v>887.49399999999991</v>
      </c>
      <c r="BC154" s="3156">
        <f t="shared" si="1086"/>
        <v>0.27100000000000002</v>
      </c>
      <c r="BD154" s="3206">
        <f t="shared" ref="BD154" si="1326">SUM(BE154:BF154)</f>
        <v>2746.7961925</v>
      </c>
      <c r="BE154" s="3206">
        <f t="shared" ref="BE154" si="1327">SUM(AG154+AP154)</f>
        <v>2745.4686925000001</v>
      </c>
      <c r="BF154" s="3206">
        <f t="shared" ref="BF154" si="1328">SUM(AH154+AQ154)</f>
        <v>1.3275000000000001</v>
      </c>
      <c r="BG154" s="3193">
        <f t="shared" si="1087"/>
        <v>2639.2539999999999</v>
      </c>
      <c r="BH154" s="3193">
        <f t="shared" si="1088"/>
        <v>2638.4250000000002</v>
      </c>
      <c r="BI154" s="3193">
        <f t="shared" si="1089"/>
        <v>0.82900000000000007</v>
      </c>
      <c r="BJ154" s="3193">
        <f t="shared" si="1090"/>
        <v>-107.54219250000006</v>
      </c>
      <c r="BK154" s="3193">
        <f t="shared" si="1091"/>
        <v>-107.04369249999991</v>
      </c>
      <c r="BL154" s="3193">
        <f t="shared" si="1092"/>
        <v>-0.49850000000000005</v>
      </c>
      <c r="BM154" s="3207">
        <f>SUM(BN154:BO154)</f>
        <v>915.59873083333332</v>
      </c>
      <c r="BN154" s="3207">
        <f>SUM(BN14)</f>
        <v>915.15623083333332</v>
      </c>
      <c r="BO154" s="3207">
        <f>SUM(BO14)</f>
        <v>0.4425</v>
      </c>
      <c r="BP154" s="3057">
        <f t="shared" ref="BP154:BX154" si="1329">SUM(BP14)</f>
        <v>0</v>
      </c>
      <c r="BQ154" s="3057">
        <f t="shared" si="1329"/>
        <v>0</v>
      </c>
      <c r="BR154" s="3057">
        <f t="shared" si="1329"/>
        <v>0</v>
      </c>
      <c r="BS154" s="3057">
        <f t="shared" si="1329"/>
        <v>0</v>
      </c>
      <c r="BT154" s="3057">
        <f t="shared" si="1329"/>
        <v>0</v>
      </c>
      <c r="BU154" s="3057">
        <f t="shared" si="1329"/>
        <v>0</v>
      </c>
      <c r="BV154" s="3057">
        <f t="shared" si="1329"/>
        <v>0</v>
      </c>
      <c r="BW154" s="3057">
        <f t="shared" si="1329"/>
        <v>0</v>
      </c>
      <c r="BX154" s="3057">
        <f t="shared" si="1329"/>
        <v>0</v>
      </c>
      <c r="BY154" s="3156">
        <f t="shared" si="1103"/>
        <v>0</v>
      </c>
      <c r="BZ154" s="3156">
        <f t="shared" si="1104"/>
        <v>0</v>
      </c>
      <c r="CA154" s="3156">
        <f t="shared" si="1105"/>
        <v>0</v>
      </c>
      <c r="CB154" s="3206">
        <f>SUM(CC154:CD154)</f>
        <v>3662.3949233333333</v>
      </c>
      <c r="CC154" s="3206">
        <f>SUM(BE154+BN154)</f>
        <v>3660.6249233333333</v>
      </c>
      <c r="CD154" s="3206">
        <f>SUM(BF154+BO154)</f>
        <v>1.77</v>
      </c>
      <c r="CE154" s="3193">
        <f t="shared" si="1106"/>
        <v>2639.2539999999999</v>
      </c>
      <c r="CF154" s="3193">
        <f t="shared" si="1107"/>
        <v>2638.4250000000002</v>
      </c>
      <c r="CG154" s="3193">
        <f t="shared" si="1108"/>
        <v>0.82900000000000007</v>
      </c>
      <c r="CH154" s="3193">
        <f t="shared" si="1109"/>
        <v>-1023.1409233333334</v>
      </c>
      <c r="CI154" s="3193">
        <f t="shared" si="1110"/>
        <v>-1022.1999233333331</v>
      </c>
      <c r="CJ154" s="3193">
        <f t="shared" si="1111"/>
        <v>-0.94099999999999995</v>
      </c>
      <c r="CK154" s="3055"/>
      <c r="CL154" s="3055"/>
      <c r="CM154" s="3055"/>
      <c r="CN154" s="3055"/>
    </row>
    <row r="155" spans="1:92" ht="18.75" customHeight="1" x14ac:dyDescent="0.2">
      <c r="A155" s="3074" t="s">
        <v>14</v>
      </c>
      <c r="B155" s="3207">
        <f>SUM(B153/B154)</f>
        <v>40.200602209763538</v>
      </c>
      <c r="C155" s="3207">
        <f t="shared" ref="C155:D155" si="1330">SUM(C153/C154)</f>
        <v>40.211632767867407</v>
      </c>
      <c r="D155" s="3207">
        <f t="shared" si="1330"/>
        <v>17.387757061000528</v>
      </c>
      <c r="E155" s="3057">
        <f t="shared" ref="E155:P155" si="1331">SUM(E153/E154)</f>
        <v>36.677302562950359</v>
      </c>
      <c r="F155" s="3057">
        <f t="shared" si="1331"/>
        <v>36.684669353155549</v>
      </c>
      <c r="G155" s="3057">
        <f t="shared" si="1331"/>
        <v>17.558333333333337</v>
      </c>
      <c r="H155" s="3057">
        <f t="shared" ref="H155:M155" si="1332">SUM(H153/H154)</f>
        <v>34.789309764309763</v>
      </c>
      <c r="I155" s="3057">
        <f t="shared" si="1332"/>
        <v>34.794213734801787</v>
      </c>
      <c r="J155" s="3057">
        <f t="shared" si="1332"/>
        <v>18.611111111111111</v>
      </c>
      <c r="K155" s="3057">
        <f t="shared" si="1332"/>
        <v>44.407364884976822</v>
      </c>
      <c r="L155" s="3057">
        <f t="shared" si="1332"/>
        <v>44.412662292780951</v>
      </c>
      <c r="M155" s="3057">
        <f t="shared" si="1332"/>
        <v>24.48</v>
      </c>
      <c r="N155" s="3057">
        <f t="shared" si="1331"/>
        <v>38.496785325772741</v>
      </c>
      <c r="O155" s="3057">
        <f t="shared" si="1331"/>
        <v>38.50279738656041</v>
      </c>
      <c r="P155" s="3057">
        <f t="shared" si="1331"/>
        <v>19.712280701754388</v>
      </c>
      <c r="Q155" s="3207">
        <f>SUM(Q153/Q154)</f>
        <v>40.200602209763538</v>
      </c>
      <c r="R155" s="3207">
        <f t="shared" ref="R155" si="1333">SUM(R153/R154)</f>
        <v>40.211632767867407</v>
      </c>
      <c r="S155" s="3207">
        <f t="shared" ref="S155:AE155" si="1334">SUM(S153/S154)</f>
        <v>17.387757061000528</v>
      </c>
      <c r="T155" s="3057">
        <f t="shared" si="1334"/>
        <v>38.362802554243807</v>
      </c>
      <c r="U155" s="3057">
        <f t="shared" si="1334"/>
        <v>38.369434090138945</v>
      </c>
      <c r="V155" s="3057">
        <f t="shared" si="1334"/>
        <v>17.763157894736842</v>
      </c>
      <c r="W155" s="3057">
        <f t="shared" si="1334"/>
        <v>44.887249235193778</v>
      </c>
      <c r="X155" s="3057">
        <f t="shared" si="1334"/>
        <v>44.894388915331319</v>
      </c>
      <c r="Y155" s="3057">
        <f t="shared" si="1334"/>
        <v>24.010309278350512</v>
      </c>
      <c r="Z155" s="3057">
        <f t="shared" si="1334"/>
        <v>45.532219316330902</v>
      </c>
      <c r="AA155" s="3057">
        <f t="shared" si="1334"/>
        <v>45.535101979966058</v>
      </c>
      <c r="AB155" s="3057">
        <f t="shared" si="1334"/>
        <v>35.506172839506178</v>
      </c>
      <c r="AC155" s="3057">
        <f t="shared" si="1334"/>
        <v>42.860795487551272</v>
      </c>
      <c r="AD155" s="3057">
        <f t="shared" si="1334"/>
        <v>42.866383793728225</v>
      </c>
      <c r="AE155" s="3057">
        <f t="shared" si="1334"/>
        <v>25.247252747252745</v>
      </c>
      <c r="AF155" s="3206">
        <f>SUM(AF153/AF154)</f>
        <v>40.200602209763538</v>
      </c>
      <c r="AG155" s="3206">
        <f t="shared" ref="AG155" si="1335">SUM(AG153/AG154)</f>
        <v>40.211632767867407</v>
      </c>
      <c r="AH155" s="3206">
        <f t="shared" ref="AH155" si="1336">SUM(AH153/AH154)</f>
        <v>17.387757061000528</v>
      </c>
      <c r="AI155" s="3058">
        <f t="shared" ref="AI155:AK155" si="1337">SUM(AI153/AI154)</f>
        <v>40.641380277010022</v>
      </c>
      <c r="AJ155" s="3058">
        <f t="shared" si="1337"/>
        <v>40.647187125020913</v>
      </c>
      <c r="AK155" s="3058">
        <f t="shared" si="1337"/>
        <v>22.420250896057347</v>
      </c>
      <c r="AL155" s="3193">
        <f t="shared" ref="AL155" si="1338">SUM(AI155-AF155)</f>
        <v>0.44077806724648383</v>
      </c>
      <c r="AM155" s="3193">
        <f t="shared" ref="AM155" si="1339">SUM(AJ155-AG155)</f>
        <v>0.43555435715350654</v>
      </c>
      <c r="AN155" s="3193">
        <f t="shared" ref="AN155" si="1340">SUM(AK155-AH155)</f>
        <v>5.0324938350568189</v>
      </c>
      <c r="AO155" s="3207">
        <f>SUM(AO153/AO154)</f>
        <v>40.388701819648425</v>
      </c>
      <c r="AP155" s="3207">
        <f t="shared" ref="AP155" si="1341">SUM(AP153/AP154)</f>
        <v>40.399804253934427</v>
      </c>
      <c r="AQ155" s="3207">
        <f t="shared" ref="AQ155:BC155" si="1342">SUM(AQ153/AQ154)</f>
        <v>17.42720596823705</v>
      </c>
      <c r="AR155" s="3057">
        <f t="shared" si="1342"/>
        <v>41.879100590514049</v>
      </c>
      <c r="AS155" s="3057">
        <f t="shared" si="1342"/>
        <v>41.885914782602391</v>
      </c>
      <c r="AT155" s="3057">
        <f t="shared" si="1342"/>
        <v>21.241758241758241</v>
      </c>
      <c r="AU155" s="3057">
        <f t="shared" si="1342"/>
        <v>40.639876894183026</v>
      </c>
      <c r="AV155" s="3057">
        <f t="shared" si="1342"/>
        <v>40.646331812830127</v>
      </c>
      <c r="AW155" s="3057">
        <f t="shared" si="1342"/>
        <v>18.344444444444441</v>
      </c>
      <c r="AX155" s="3057">
        <f t="shared" si="1342"/>
        <v>46.117715801953381</v>
      </c>
      <c r="AY155" s="3057">
        <f t="shared" si="1342"/>
        <v>46.121960861173775</v>
      </c>
      <c r="AZ155" s="3057">
        <f t="shared" si="1342"/>
        <v>31.918888888888894</v>
      </c>
      <c r="BA155" s="3057">
        <f t="shared" si="1342"/>
        <v>42.882741153345769</v>
      </c>
      <c r="BB155" s="3057">
        <f t="shared" si="1342"/>
        <v>42.888560373365905</v>
      </c>
      <c r="BC155" s="3057">
        <f t="shared" si="1342"/>
        <v>23.825461254612541</v>
      </c>
      <c r="BD155" s="3206">
        <f>SUM(BD153/BD154)</f>
        <v>40.263302079725165</v>
      </c>
      <c r="BE155" s="3206">
        <f t="shared" ref="BE155" si="1343">SUM(BE153/BE154)</f>
        <v>40.274356596556409</v>
      </c>
      <c r="BF155" s="3206">
        <f t="shared" ref="BF155" si="1344">SUM(BF153/BF154)</f>
        <v>17.400906696746034</v>
      </c>
      <c r="BG155" s="3058">
        <f t="shared" ref="BG155:BI155" si="1345">SUM(BG153/BG154)</f>
        <v>41.395306097859468</v>
      </c>
      <c r="BH155" s="3058">
        <f t="shared" si="1345"/>
        <v>41.401123776495439</v>
      </c>
      <c r="BI155" s="3058">
        <f t="shared" si="1345"/>
        <v>22.879613992762359</v>
      </c>
      <c r="BJ155" s="3193">
        <f t="shared" ref="BJ155" si="1346">SUM(BG155-BD155)</f>
        <v>1.1320040181343032</v>
      </c>
      <c r="BK155" s="3193">
        <f t="shared" ref="BK155" si="1347">SUM(BH155-BE155)</f>
        <v>1.12676717993903</v>
      </c>
      <c r="BL155" s="3193">
        <f t="shared" ref="BL155" si="1348">SUM(BI155-BF155)</f>
        <v>5.4787072960163243</v>
      </c>
      <c r="BM155" s="3207">
        <f>SUM(BM153/BM154)</f>
        <v>40.388701819648425</v>
      </c>
      <c r="BN155" s="3207">
        <f t="shared" ref="BN155" si="1349">SUM(BN153/BN154)</f>
        <v>40.399804253934427</v>
      </c>
      <c r="BO155" s="3207">
        <f t="shared" ref="BO155:CA155" si="1350">SUM(BO153/BO154)</f>
        <v>17.42720596823705</v>
      </c>
      <c r="BP155" s="3057" t="e">
        <f t="shared" si="1350"/>
        <v>#DIV/0!</v>
      </c>
      <c r="BQ155" s="3057" t="e">
        <f t="shared" si="1350"/>
        <v>#DIV/0!</v>
      </c>
      <c r="BR155" s="3057" t="e">
        <f t="shared" si="1350"/>
        <v>#DIV/0!</v>
      </c>
      <c r="BS155" s="3057" t="e">
        <f t="shared" si="1350"/>
        <v>#DIV/0!</v>
      </c>
      <c r="BT155" s="3057" t="e">
        <f t="shared" si="1350"/>
        <v>#DIV/0!</v>
      </c>
      <c r="BU155" s="3057" t="e">
        <f t="shared" si="1350"/>
        <v>#DIV/0!</v>
      </c>
      <c r="BV155" s="3057" t="e">
        <f t="shared" si="1350"/>
        <v>#DIV/0!</v>
      </c>
      <c r="BW155" s="3057" t="e">
        <f t="shared" si="1350"/>
        <v>#DIV/0!</v>
      </c>
      <c r="BX155" s="3057" t="e">
        <f t="shared" si="1350"/>
        <v>#DIV/0!</v>
      </c>
      <c r="BY155" s="3057" t="e">
        <f t="shared" si="1350"/>
        <v>#DIV/0!</v>
      </c>
      <c r="BZ155" s="3057" t="e">
        <f t="shared" si="1350"/>
        <v>#DIV/0!</v>
      </c>
      <c r="CA155" s="3057" t="e">
        <f t="shared" si="1350"/>
        <v>#DIV/0!</v>
      </c>
      <c r="CB155" s="3206">
        <f>SUM(CB153/CB154)</f>
        <v>40.294652117864288</v>
      </c>
      <c r="CC155" s="3206">
        <f t="shared" ref="CC155" si="1351">SUM(CC153/CC154)</f>
        <v>40.305718614059224</v>
      </c>
      <c r="CD155" s="3206">
        <f t="shared" ref="CD155" si="1352">SUM(CD153/CD154)</f>
        <v>17.407481617784892</v>
      </c>
      <c r="CE155" s="3058">
        <f t="shared" ref="CE155:CG155" si="1353">SUM(CE153/CE154)</f>
        <v>41.395306097859468</v>
      </c>
      <c r="CF155" s="3058">
        <f t="shared" si="1353"/>
        <v>41.401123776495439</v>
      </c>
      <c r="CG155" s="3058">
        <f t="shared" si="1353"/>
        <v>22.879613992762359</v>
      </c>
      <c r="CH155" s="3193">
        <f t="shared" ref="CH155" si="1354">SUM(CE155-CB155)</f>
        <v>1.1006539799951796</v>
      </c>
      <c r="CI155" s="3193">
        <f t="shared" ref="CI155" si="1355">SUM(CF155-CC155)</f>
        <v>1.0954051624362151</v>
      </c>
      <c r="CJ155" s="3193">
        <f t="shared" ref="CJ155" si="1356">SUM(CG155-CD155)</f>
        <v>5.4721323749774662</v>
      </c>
      <c r="CK155" s="3055"/>
      <c r="CL155" s="3055"/>
      <c r="CM155" s="3055"/>
      <c r="CN155" s="3055"/>
    </row>
    <row r="156" spans="1:92" ht="18.75" customHeight="1" x14ac:dyDescent="0.3">
      <c r="A156" s="3080" t="s">
        <v>3610</v>
      </c>
      <c r="B156" s="3735">
        <f>SUM(B157:B159)</f>
        <v>0</v>
      </c>
      <c r="C156" s="3736"/>
      <c r="D156" s="3737"/>
      <c r="E156" s="3674">
        <f>SUM(E157:E159)</f>
        <v>76.010000000000005</v>
      </c>
      <c r="F156" s="3675"/>
      <c r="G156" s="3676"/>
      <c r="H156" s="3668">
        <f>SUM(H157:H159)</f>
        <v>162.63</v>
      </c>
      <c r="I156" s="3669"/>
      <c r="J156" s="3670"/>
      <c r="K156" s="3668">
        <f>SUM(K157:K159)</f>
        <v>166.96</v>
      </c>
      <c r="L156" s="3669"/>
      <c r="M156" s="3670"/>
      <c r="N156" s="3668">
        <f>SUM(N157:N159)</f>
        <v>405.6</v>
      </c>
      <c r="O156" s="3669"/>
      <c r="P156" s="3670"/>
      <c r="Q156" s="3735">
        <f>SUM(Q157:Q159)</f>
        <v>0</v>
      </c>
      <c r="R156" s="3736"/>
      <c r="S156" s="3737"/>
      <c r="T156" s="3668">
        <f>SUM(T157:T159)</f>
        <v>77.460000000000008</v>
      </c>
      <c r="U156" s="3669"/>
      <c r="V156" s="3670"/>
      <c r="W156" s="3668">
        <f>SUM(W157:W159)</f>
        <v>24.96</v>
      </c>
      <c r="X156" s="3669"/>
      <c r="Y156" s="3670"/>
      <c r="Z156" s="3668">
        <f>SUM(Z157:Z159)</f>
        <v>54.82</v>
      </c>
      <c r="AA156" s="3669"/>
      <c r="AB156" s="3670"/>
      <c r="AC156" s="3668">
        <f>SUM(AC157:AC159)</f>
        <v>157.24</v>
      </c>
      <c r="AD156" s="3669"/>
      <c r="AE156" s="3670"/>
      <c r="AF156" s="3732">
        <f>SUM(B156+Q156)</f>
        <v>0</v>
      </c>
      <c r="AG156" s="3733"/>
      <c r="AH156" s="3734"/>
      <c r="AI156" s="3680">
        <f>SUM(N156+AC156)</f>
        <v>562.84</v>
      </c>
      <c r="AJ156" s="3681"/>
      <c r="AK156" s="3682"/>
      <c r="AL156" s="3680">
        <f>SUM(AI156-AF156)</f>
        <v>562.84</v>
      </c>
      <c r="AM156" s="3681"/>
      <c r="AN156" s="3682"/>
      <c r="AO156" s="3735">
        <f>SUM(AO157:AO159)</f>
        <v>0</v>
      </c>
      <c r="AP156" s="3736"/>
      <c r="AQ156" s="3737"/>
      <c r="AR156" s="3668">
        <f>SUM(AR157:AR159)</f>
        <v>81.3</v>
      </c>
      <c r="AS156" s="3669"/>
      <c r="AT156" s="3670"/>
      <c r="AU156" s="3668">
        <f>SUM(AU157:AU159)</f>
        <v>52.53</v>
      </c>
      <c r="AV156" s="3669"/>
      <c r="AW156" s="3670"/>
      <c r="AX156" s="3668">
        <f>SUM(AX157:AX159)</f>
        <v>13.54</v>
      </c>
      <c r="AY156" s="3669"/>
      <c r="AZ156" s="3670"/>
      <c r="BA156" s="3668">
        <f>SUM(BA157:BA159)</f>
        <v>147.36999999999998</v>
      </c>
      <c r="BB156" s="3669"/>
      <c r="BC156" s="3670"/>
      <c r="BD156" s="3732">
        <f t="shared" ref="BD156:BD160" si="1357">SUM(AF156+AO156)</f>
        <v>0</v>
      </c>
      <c r="BE156" s="3733"/>
      <c r="BF156" s="3734"/>
      <c r="BG156" s="3680">
        <f>SUM(BA156+AI156)</f>
        <v>710.21</v>
      </c>
      <c r="BH156" s="3681"/>
      <c r="BI156" s="3682"/>
      <c r="BJ156" s="3680">
        <f>SUM(BG156-BD156)</f>
        <v>710.21</v>
      </c>
      <c r="BK156" s="3681"/>
      <c r="BL156" s="3682"/>
      <c r="BM156" s="3735">
        <f>SUM(BM157:BM159)</f>
        <v>128.46299999999999</v>
      </c>
      <c r="BN156" s="3736"/>
      <c r="BO156" s="3737"/>
      <c r="BP156" s="3668">
        <f>SUM(BP157:BP159)</f>
        <v>0</v>
      </c>
      <c r="BQ156" s="3669"/>
      <c r="BR156" s="3670"/>
      <c r="BS156" s="3668">
        <f>SUM(BS157:BS159)</f>
        <v>0</v>
      </c>
      <c r="BT156" s="3669"/>
      <c r="BU156" s="3670"/>
      <c r="BV156" s="3668">
        <f>SUM(BV157:BV159)</f>
        <v>0</v>
      </c>
      <c r="BW156" s="3669"/>
      <c r="BX156" s="3670"/>
      <c r="BY156" s="3668">
        <f>SUM(BY157:BY159)</f>
        <v>0</v>
      </c>
      <c r="BZ156" s="3669"/>
      <c r="CA156" s="3670"/>
      <c r="CB156" s="3732">
        <f t="shared" ref="CB156:CB160" si="1358">SUM(BM156+BD156)</f>
        <v>128.46299999999999</v>
      </c>
      <c r="CC156" s="3733"/>
      <c r="CD156" s="3734"/>
      <c r="CE156" s="3680">
        <f>SUM(BY156+BG156)</f>
        <v>710.21</v>
      </c>
      <c r="CF156" s="3681"/>
      <c r="CG156" s="3682"/>
      <c r="CH156" s="3680">
        <f>SUM(CE156-CB156)</f>
        <v>581.74700000000007</v>
      </c>
      <c r="CI156" s="3681"/>
      <c r="CJ156" s="3682"/>
      <c r="CK156" s="3055"/>
      <c r="CL156" s="3055"/>
      <c r="CM156" s="3055"/>
      <c r="CN156" s="3055"/>
    </row>
    <row r="157" spans="1:92" ht="36" customHeight="1" x14ac:dyDescent="0.3">
      <c r="A157" s="3473" t="s">
        <v>3749</v>
      </c>
      <c r="B157" s="3761">
        <v>0</v>
      </c>
      <c r="C157" s="3756"/>
      <c r="D157" s="3757"/>
      <c r="E157" s="3755">
        <v>0</v>
      </c>
      <c r="F157" s="3756"/>
      <c r="G157" s="3757"/>
      <c r="H157" s="3755">
        <v>0</v>
      </c>
      <c r="I157" s="3756"/>
      <c r="J157" s="3757"/>
      <c r="K157" s="3755">
        <v>0</v>
      </c>
      <c r="L157" s="3756"/>
      <c r="M157" s="3757"/>
      <c r="N157" s="3634">
        <f>SUM(E157+H157+K157)</f>
        <v>0</v>
      </c>
      <c r="O157" s="3635"/>
      <c r="P157" s="3636"/>
      <c r="Q157" s="3761">
        <v>0</v>
      </c>
      <c r="R157" s="3756"/>
      <c r="S157" s="3757"/>
      <c r="T157" s="3755">
        <v>0</v>
      </c>
      <c r="U157" s="3756"/>
      <c r="V157" s="3757"/>
      <c r="W157" s="3755">
        <v>0</v>
      </c>
      <c r="X157" s="3756"/>
      <c r="Y157" s="3757"/>
      <c r="Z157" s="3755">
        <v>0</v>
      </c>
      <c r="AA157" s="3756"/>
      <c r="AB157" s="3757"/>
      <c r="AC157" s="3634">
        <f>SUM(T157+W157+Z157)</f>
        <v>0</v>
      </c>
      <c r="AD157" s="3635"/>
      <c r="AE157" s="3636"/>
      <c r="AF157" s="3686">
        <f>SUM(B157+Q157)</f>
        <v>0</v>
      </c>
      <c r="AG157" s="3687"/>
      <c r="AH157" s="3688"/>
      <c r="AI157" s="3631">
        <f t="shared" ref="AI157" si="1359">SUM(N157+AC157)</f>
        <v>0</v>
      </c>
      <c r="AJ157" s="3632"/>
      <c r="AK157" s="3633"/>
      <c r="AL157" s="3631">
        <f t="shared" ref="AL157" si="1360">SUM(AI157-AF157)</f>
        <v>0</v>
      </c>
      <c r="AM157" s="3632"/>
      <c r="AN157" s="3633"/>
      <c r="AO157" s="3761">
        <v>0</v>
      </c>
      <c r="AP157" s="3756"/>
      <c r="AQ157" s="3757"/>
      <c r="AR157" s="3755">
        <v>0</v>
      </c>
      <c r="AS157" s="3756"/>
      <c r="AT157" s="3757"/>
      <c r="AU157" s="3755">
        <v>0</v>
      </c>
      <c r="AV157" s="3756"/>
      <c r="AW157" s="3757"/>
      <c r="AX157" s="3755">
        <v>0</v>
      </c>
      <c r="AY157" s="3756"/>
      <c r="AZ157" s="3757"/>
      <c r="BA157" s="3634">
        <f>SUM(AR157+AU157+AX157)</f>
        <v>0</v>
      </c>
      <c r="BB157" s="3635"/>
      <c r="BC157" s="3636"/>
      <c r="BD157" s="3686">
        <f>SUM(AF157+AO157)</f>
        <v>0</v>
      </c>
      <c r="BE157" s="3687"/>
      <c r="BF157" s="3688"/>
      <c r="BG157" s="3631">
        <f t="shared" ref="BG157" si="1361">SUM(BA157+AI157)</f>
        <v>0</v>
      </c>
      <c r="BH157" s="3632"/>
      <c r="BI157" s="3633"/>
      <c r="BJ157" s="3631">
        <f>SUM(BG157-BD157)</f>
        <v>0</v>
      </c>
      <c r="BK157" s="3632"/>
      <c r="BL157" s="3633"/>
      <c r="BM157" s="3761">
        <v>128.46299999999999</v>
      </c>
      <c r="BN157" s="3756"/>
      <c r="BO157" s="3757"/>
      <c r="BP157" s="3755"/>
      <c r="BQ157" s="3756"/>
      <c r="BR157" s="3757"/>
      <c r="BS157" s="3755"/>
      <c r="BT157" s="3756"/>
      <c r="BU157" s="3757"/>
      <c r="BV157" s="3755"/>
      <c r="BW157" s="3756"/>
      <c r="BX157" s="3757"/>
      <c r="BY157" s="3755"/>
      <c r="BZ157" s="3756"/>
      <c r="CA157" s="3757"/>
      <c r="CB157" s="3686">
        <f t="shared" ref="CB157" si="1362">SUM(BM157+BD157)</f>
        <v>128.46299999999999</v>
      </c>
      <c r="CC157" s="3687"/>
      <c r="CD157" s="3688"/>
      <c r="CE157" s="3758">
        <f t="shared" ref="CE157" si="1363">SUM(BY157+BG157)</f>
        <v>0</v>
      </c>
      <c r="CF157" s="3759"/>
      <c r="CG157" s="3760"/>
      <c r="CH157" s="3758">
        <f>SUM(CE157-CB157)</f>
        <v>-128.46299999999999</v>
      </c>
      <c r="CI157" s="3759"/>
      <c r="CJ157" s="3760"/>
      <c r="CK157" s="3055"/>
      <c r="CL157" s="3055"/>
      <c r="CM157" s="3055"/>
      <c r="CN157" s="3055"/>
    </row>
    <row r="158" spans="1:92" ht="35.25" customHeight="1" x14ac:dyDescent="0.2">
      <c r="A158" s="3081" t="s">
        <v>3611</v>
      </c>
      <c r="B158" s="3689">
        <v>0</v>
      </c>
      <c r="C158" s="3690"/>
      <c r="D158" s="3691"/>
      <c r="E158" s="3634">
        <v>0</v>
      </c>
      <c r="F158" s="3635"/>
      <c r="G158" s="3636"/>
      <c r="H158" s="3634">
        <v>0</v>
      </c>
      <c r="I158" s="3635"/>
      <c r="J158" s="3636"/>
      <c r="K158" s="3634">
        <v>0</v>
      </c>
      <c r="L158" s="3635"/>
      <c r="M158" s="3636"/>
      <c r="N158" s="3634">
        <f>SUM(E158+H158+K158)</f>
        <v>0</v>
      </c>
      <c r="O158" s="3635"/>
      <c r="P158" s="3636"/>
      <c r="Q158" s="3689">
        <v>0</v>
      </c>
      <c r="R158" s="3690"/>
      <c r="S158" s="3691"/>
      <c r="T158" s="3634">
        <v>45</v>
      </c>
      <c r="U158" s="3635"/>
      <c r="V158" s="3636"/>
      <c r="W158" s="3634">
        <v>0</v>
      </c>
      <c r="X158" s="3635"/>
      <c r="Y158" s="3636"/>
      <c r="Z158" s="3634">
        <v>0</v>
      </c>
      <c r="AA158" s="3635"/>
      <c r="AB158" s="3636"/>
      <c r="AC158" s="3634">
        <f>SUM(T158+W158+Z158)</f>
        <v>45</v>
      </c>
      <c r="AD158" s="3635"/>
      <c r="AE158" s="3636"/>
      <c r="AF158" s="3686">
        <f>SUM(B158+Q158)</f>
        <v>0</v>
      </c>
      <c r="AG158" s="3687"/>
      <c r="AH158" s="3688"/>
      <c r="AI158" s="3631">
        <f t="shared" ref="AI158:AI160" si="1364">SUM(N158+AC158)</f>
        <v>45</v>
      </c>
      <c r="AJ158" s="3632"/>
      <c r="AK158" s="3633"/>
      <c r="AL158" s="3631">
        <f t="shared" ref="AL158:AL160" si="1365">SUM(AI158-AF158)</f>
        <v>45</v>
      </c>
      <c r="AM158" s="3632"/>
      <c r="AN158" s="3633"/>
      <c r="AO158" s="3689">
        <v>0</v>
      </c>
      <c r="AP158" s="3690"/>
      <c r="AQ158" s="3691"/>
      <c r="AR158" s="3634">
        <v>0</v>
      </c>
      <c r="AS158" s="3635"/>
      <c r="AT158" s="3636"/>
      <c r="AU158" s="3634">
        <v>0</v>
      </c>
      <c r="AV158" s="3635"/>
      <c r="AW158" s="3636"/>
      <c r="AX158" s="3634"/>
      <c r="AY158" s="3635"/>
      <c r="AZ158" s="3636"/>
      <c r="BA158" s="3634">
        <f>SUM(AR158+AU158+AX158)</f>
        <v>0</v>
      </c>
      <c r="BB158" s="3635"/>
      <c r="BC158" s="3636"/>
      <c r="BD158" s="3686">
        <f>SUM(AF158+AO158)</f>
        <v>0</v>
      </c>
      <c r="BE158" s="3687"/>
      <c r="BF158" s="3688"/>
      <c r="BG158" s="3631">
        <f t="shared" ref="BG158:BG160" si="1366">SUM(BA158+AI158)</f>
        <v>45</v>
      </c>
      <c r="BH158" s="3632"/>
      <c r="BI158" s="3633"/>
      <c r="BJ158" s="3631">
        <f>SUM(BG158-BD158)</f>
        <v>45</v>
      </c>
      <c r="BK158" s="3632"/>
      <c r="BL158" s="3633"/>
      <c r="BM158" s="3689">
        <v>0</v>
      </c>
      <c r="BN158" s="3690"/>
      <c r="BO158" s="3691"/>
      <c r="BP158" s="3634"/>
      <c r="BQ158" s="3635"/>
      <c r="BR158" s="3636"/>
      <c r="BS158" s="3634"/>
      <c r="BT158" s="3635"/>
      <c r="BU158" s="3636"/>
      <c r="BV158" s="3634"/>
      <c r="BW158" s="3635"/>
      <c r="BX158" s="3636"/>
      <c r="BY158" s="3634">
        <f>SUM(BP158+BS158+BV158)</f>
        <v>0</v>
      </c>
      <c r="BZ158" s="3635"/>
      <c r="CA158" s="3636"/>
      <c r="CB158" s="3686">
        <f t="shared" si="1358"/>
        <v>0</v>
      </c>
      <c r="CC158" s="3687"/>
      <c r="CD158" s="3688"/>
      <c r="CE158" s="3758">
        <f t="shared" ref="CE158:CE160" si="1367">SUM(BY158+BG158)</f>
        <v>45</v>
      </c>
      <c r="CF158" s="3759"/>
      <c r="CG158" s="3760"/>
      <c r="CH158" s="3758">
        <f>SUM(CE158-CB158)</f>
        <v>45</v>
      </c>
      <c r="CI158" s="3759"/>
      <c r="CJ158" s="3760"/>
      <c r="CK158" s="3055"/>
      <c r="CL158" s="3055"/>
      <c r="CM158" s="3055"/>
      <c r="CN158" s="3055"/>
    </row>
    <row r="159" spans="1:92" ht="36" customHeight="1" x14ac:dyDescent="0.2">
      <c r="A159" s="3472" t="s">
        <v>3612</v>
      </c>
      <c r="B159" s="3689">
        <v>0</v>
      </c>
      <c r="C159" s="3690"/>
      <c r="D159" s="3691"/>
      <c r="E159" s="3634">
        <v>76.010000000000005</v>
      </c>
      <c r="F159" s="3635"/>
      <c r="G159" s="3636"/>
      <c r="H159" s="3634">
        <v>162.63</v>
      </c>
      <c r="I159" s="3635"/>
      <c r="J159" s="3636"/>
      <c r="K159" s="3634">
        <v>166.96</v>
      </c>
      <c r="L159" s="3635"/>
      <c r="M159" s="3636"/>
      <c r="N159" s="3634">
        <f>SUM(E159+H159+K159)</f>
        <v>405.6</v>
      </c>
      <c r="O159" s="3635"/>
      <c r="P159" s="3636"/>
      <c r="Q159" s="3689">
        <v>0</v>
      </c>
      <c r="R159" s="3690"/>
      <c r="S159" s="3691"/>
      <c r="T159" s="3634">
        <v>32.46</v>
      </c>
      <c r="U159" s="3635"/>
      <c r="V159" s="3636"/>
      <c r="W159" s="3634">
        <v>24.96</v>
      </c>
      <c r="X159" s="3635"/>
      <c r="Y159" s="3636"/>
      <c r="Z159" s="3634">
        <v>54.82</v>
      </c>
      <c r="AA159" s="3635"/>
      <c r="AB159" s="3636"/>
      <c r="AC159" s="3634">
        <f>SUM(T159+W159+Z159)</f>
        <v>112.24000000000001</v>
      </c>
      <c r="AD159" s="3635"/>
      <c r="AE159" s="3636"/>
      <c r="AF159" s="3686">
        <f>SUM(B159+Q159)</f>
        <v>0</v>
      </c>
      <c r="AG159" s="3687"/>
      <c r="AH159" s="3688"/>
      <c r="AI159" s="3631">
        <f t="shared" si="1364"/>
        <v>517.84</v>
      </c>
      <c r="AJ159" s="3632"/>
      <c r="AK159" s="3633"/>
      <c r="AL159" s="3631">
        <f t="shared" si="1365"/>
        <v>517.84</v>
      </c>
      <c r="AM159" s="3632"/>
      <c r="AN159" s="3633"/>
      <c r="AO159" s="3689">
        <v>0</v>
      </c>
      <c r="AP159" s="3690"/>
      <c r="AQ159" s="3691"/>
      <c r="AR159" s="3634">
        <v>81.3</v>
      </c>
      <c r="AS159" s="3635"/>
      <c r="AT159" s="3636"/>
      <c r="AU159" s="3634">
        <v>52.53</v>
      </c>
      <c r="AV159" s="3635"/>
      <c r="AW159" s="3636"/>
      <c r="AX159" s="3634">
        <v>13.54</v>
      </c>
      <c r="AY159" s="3635"/>
      <c r="AZ159" s="3636"/>
      <c r="BA159" s="3634">
        <f>SUM(AR159+AU159+AX159)</f>
        <v>147.36999999999998</v>
      </c>
      <c r="BB159" s="3635"/>
      <c r="BC159" s="3636"/>
      <c r="BD159" s="3686">
        <f>SUM(AF159+AO159)</f>
        <v>0</v>
      </c>
      <c r="BE159" s="3687"/>
      <c r="BF159" s="3688"/>
      <c r="BG159" s="3631">
        <f t="shared" si="1366"/>
        <v>665.21</v>
      </c>
      <c r="BH159" s="3632"/>
      <c r="BI159" s="3633"/>
      <c r="BJ159" s="3631">
        <f>SUM(BG159-BD159)</f>
        <v>665.21</v>
      </c>
      <c r="BK159" s="3632"/>
      <c r="BL159" s="3633"/>
      <c r="BM159" s="3689">
        <v>0</v>
      </c>
      <c r="BN159" s="3690"/>
      <c r="BO159" s="3691"/>
      <c r="BP159" s="3634"/>
      <c r="BQ159" s="3635"/>
      <c r="BR159" s="3636"/>
      <c r="BS159" s="3634"/>
      <c r="BT159" s="3635"/>
      <c r="BU159" s="3636"/>
      <c r="BV159" s="3634"/>
      <c r="BW159" s="3635"/>
      <c r="BX159" s="3636"/>
      <c r="BY159" s="3634">
        <f>SUM(BP159+BS159+BV159)</f>
        <v>0</v>
      </c>
      <c r="BZ159" s="3635"/>
      <c r="CA159" s="3636"/>
      <c r="CB159" s="3686">
        <f t="shared" si="1358"/>
        <v>0</v>
      </c>
      <c r="CC159" s="3687"/>
      <c r="CD159" s="3688"/>
      <c r="CE159" s="3758">
        <f t="shared" si="1367"/>
        <v>665.21</v>
      </c>
      <c r="CF159" s="3759"/>
      <c r="CG159" s="3760"/>
      <c r="CH159" s="3758">
        <f>SUM(CE159-CB159)</f>
        <v>665.21</v>
      </c>
      <c r="CI159" s="3759"/>
      <c r="CJ159" s="3760"/>
      <c r="CK159" s="3055"/>
      <c r="CL159" s="3055"/>
      <c r="CM159" s="3055"/>
      <c r="CN159" s="3055"/>
    </row>
    <row r="160" spans="1:92" ht="18.75" customHeight="1" x14ac:dyDescent="0.3">
      <c r="A160" s="3080" t="s">
        <v>3613</v>
      </c>
      <c r="B160" s="3735">
        <f>SUM(B153+B156)</f>
        <v>36807.620361995192</v>
      </c>
      <c r="C160" s="3736"/>
      <c r="D160" s="3737"/>
      <c r="E160" s="3668">
        <f>SUM(E153+E156)</f>
        <v>11503.007</v>
      </c>
      <c r="F160" s="3669"/>
      <c r="G160" s="3670"/>
      <c r="H160" s="3668">
        <f t="shared" ref="H160" si="1368">SUM(H153+H156)</f>
        <v>10495.054999999998</v>
      </c>
      <c r="I160" s="3669"/>
      <c r="J160" s="3670"/>
      <c r="K160" s="3668">
        <f t="shared" ref="K160" si="1369">SUM(K153+K156)</f>
        <v>12698.895999999999</v>
      </c>
      <c r="L160" s="3669"/>
      <c r="M160" s="3670"/>
      <c r="N160" s="3668">
        <f t="shared" ref="N160" si="1370">SUM(N153+N156)</f>
        <v>34696.957999999999</v>
      </c>
      <c r="O160" s="3669"/>
      <c r="P160" s="3670"/>
      <c r="Q160" s="3735">
        <f>SUM(Q153+Q156)</f>
        <v>36807.620361995192</v>
      </c>
      <c r="R160" s="3736"/>
      <c r="S160" s="3737"/>
      <c r="T160" s="3668">
        <f>SUM(T153+T156)</f>
        <v>11401.967499999999</v>
      </c>
      <c r="U160" s="3669"/>
      <c r="V160" s="3670"/>
      <c r="W160" s="3668">
        <f t="shared" ref="W160" si="1371">SUM(W153+W156)</f>
        <v>12760.909</v>
      </c>
      <c r="X160" s="3669"/>
      <c r="Y160" s="3670"/>
      <c r="Z160" s="3668">
        <f t="shared" ref="Z160" si="1372">SUM(Z153+Z156)</f>
        <v>12885.936</v>
      </c>
      <c r="AA160" s="3669"/>
      <c r="AB160" s="3670"/>
      <c r="AC160" s="3668">
        <f t="shared" ref="AC160" si="1373">SUM(AC153+AC156)</f>
        <v>37048.8125</v>
      </c>
      <c r="AD160" s="3669"/>
      <c r="AE160" s="3670"/>
      <c r="AF160" s="3732">
        <f>SUM(B160+Q160)</f>
        <v>73615.240723990384</v>
      </c>
      <c r="AG160" s="3733"/>
      <c r="AH160" s="3734"/>
      <c r="AI160" s="3680">
        <f t="shared" si="1364"/>
        <v>71745.770499999999</v>
      </c>
      <c r="AJ160" s="3681"/>
      <c r="AK160" s="3682"/>
      <c r="AL160" s="3680">
        <f t="shared" si="1365"/>
        <v>-1869.4702239903854</v>
      </c>
      <c r="AM160" s="3681"/>
      <c r="AN160" s="3682"/>
      <c r="AO160" s="3735">
        <f>SUM(AO153+AO156)</f>
        <v>36979.844126076037</v>
      </c>
      <c r="AP160" s="3736"/>
      <c r="AQ160" s="3737"/>
      <c r="AR160" s="3668">
        <f>SUM(AR153+AR156)</f>
        <v>11627.032999999999</v>
      </c>
      <c r="AS160" s="3669"/>
      <c r="AT160" s="3670"/>
      <c r="AU160" s="3668">
        <f t="shared" ref="AU160" si="1374">SUM(AU153+AU156)</f>
        <v>12689.581</v>
      </c>
      <c r="AV160" s="3669"/>
      <c r="AW160" s="3670"/>
      <c r="AX160" s="3668">
        <f t="shared" ref="AX160" si="1375">SUM(AX153+AX156)</f>
        <v>13900.552700000002</v>
      </c>
      <c r="AY160" s="3669"/>
      <c r="AZ160" s="3670"/>
      <c r="BA160" s="3668">
        <f t="shared" ref="BA160" si="1376">SUM(BA153+BA156)</f>
        <v>38217.166700000002</v>
      </c>
      <c r="BB160" s="3669"/>
      <c r="BC160" s="3670"/>
      <c r="BD160" s="3732">
        <f t="shared" si="1357"/>
        <v>110595.08485006643</v>
      </c>
      <c r="BE160" s="3733"/>
      <c r="BF160" s="3734"/>
      <c r="BG160" s="3680">
        <f t="shared" si="1366"/>
        <v>109962.9372</v>
      </c>
      <c r="BH160" s="3681"/>
      <c r="BI160" s="3682"/>
      <c r="BJ160" s="3680">
        <f>SUM(BG160-BD160)</f>
        <v>-632.14765006642847</v>
      </c>
      <c r="BK160" s="3681"/>
      <c r="BL160" s="3682"/>
      <c r="BM160" s="3735">
        <f>SUM(BM153+BM156)</f>
        <v>37108.307126076041</v>
      </c>
      <c r="BN160" s="3736"/>
      <c r="BO160" s="3737"/>
      <c r="BP160" s="3668">
        <f>SUM(BP153+BP156)</f>
        <v>0</v>
      </c>
      <c r="BQ160" s="3669"/>
      <c r="BR160" s="3670"/>
      <c r="BS160" s="3668">
        <f t="shared" ref="BS160" si="1377">SUM(BS153+BS156)</f>
        <v>0</v>
      </c>
      <c r="BT160" s="3669"/>
      <c r="BU160" s="3670"/>
      <c r="BV160" s="3668">
        <f t="shared" ref="BV160" si="1378">SUM(BV153+BV156)</f>
        <v>0</v>
      </c>
      <c r="BW160" s="3669"/>
      <c r="BX160" s="3670"/>
      <c r="BY160" s="3668">
        <f t="shared" ref="BY160" si="1379">SUM(BY153+BY156)</f>
        <v>0</v>
      </c>
      <c r="BZ160" s="3669"/>
      <c r="CA160" s="3670"/>
      <c r="CB160" s="3732">
        <f t="shared" si="1358"/>
        <v>147703.39197614248</v>
      </c>
      <c r="CC160" s="3733"/>
      <c r="CD160" s="3734"/>
      <c r="CE160" s="3680">
        <f t="shared" si="1367"/>
        <v>109962.9372</v>
      </c>
      <c r="CF160" s="3681"/>
      <c r="CG160" s="3682"/>
      <c r="CH160" s="3680">
        <f>SUM(CE160-CB160)</f>
        <v>-37740.454776142476</v>
      </c>
      <c r="CI160" s="3681"/>
      <c r="CJ160" s="3682"/>
      <c r="CK160" s="3049"/>
      <c r="CL160" s="3049"/>
      <c r="CM160" s="3049"/>
      <c r="CN160" s="3049"/>
    </row>
    <row r="161" spans="1:92" x14ac:dyDescent="0.2">
      <c r="A161" s="3049"/>
      <c r="B161" s="3049"/>
      <c r="C161" s="3049"/>
      <c r="D161" s="3049"/>
      <c r="E161" s="3049"/>
      <c r="F161" s="3049"/>
      <c r="G161" s="3049"/>
      <c r="H161" s="3049"/>
      <c r="I161" s="3049"/>
      <c r="J161" s="3049"/>
      <c r="K161" s="3049"/>
      <c r="L161" s="3049"/>
      <c r="M161" s="3049"/>
      <c r="N161" s="3049"/>
      <c r="O161" s="3049"/>
      <c r="P161" s="3049"/>
      <c r="Q161" s="3049"/>
      <c r="R161" s="3049"/>
      <c r="S161" s="3049"/>
      <c r="T161" s="3049"/>
      <c r="U161" s="3049"/>
      <c r="V161" s="3049"/>
      <c r="W161" s="3049"/>
      <c r="X161" s="3049"/>
      <c r="Y161" s="3049"/>
      <c r="Z161" s="3049"/>
      <c r="AA161" s="3049"/>
      <c r="AB161" s="3049"/>
      <c r="AC161" s="3049"/>
      <c r="AD161" s="3049"/>
      <c r="AE161" s="3049"/>
      <c r="AF161" s="3049"/>
      <c r="AG161" s="3049"/>
      <c r="AH161" s="3049"/>
      <c r="AI161" s="3049"/>
      <c r="AJ161" s="3049"/>
      <c r="AK161" s="3049"/>
      <c r="AL161" s="3049"/>
      <c r="AM161" s="3049"/>
      <c r="AN161" s="3049"/>
      <c r="AO161" s="3049"/>
      <c r="AP161" s="3049"/>
      <c r="AQ161" s="3049"/>
      <c r="AR161" s="3049"/>
      <c r="AS161" s="3049"/>
      <c r="AT161" s="3049"/>
      <c r="AU161" s="3049"/>
      <c r="AV161" s="3049"/>
      <c r="AW161" s="3049"/>
      <c r="AX161" s="3049"/>
      <c r="AY161" s="3049"/>
      <c r="AZ161" s="3049"/>
      <c r="BA161" s="3049"/>
      <c r="BB161" s="3049"/>
      <c r="BC161" s="3049"/>
      <c r="BD161" s="3049"/>
      <c r="BE161" s="3049"/>
      <c r="BF161" s="3049"/>
      <c r="BG161" s="3049"/>
      <c r="BH161" s="3049"/>
      <c r="BI161" s="3049"/>
      <c r="BJ161" s="3049"/>
      <c r="BK161" s="3049"/>
      <c r="BL161" s="3049"/>
      <c r="BM161" s="3049"/>
      <c r="BN161" s="3049"/>
      <c r="BO161" s="3049"/>
      <c r="BP161" s="3049"/>
      <c r="BQ161" s="3049"/>
      <c r="BR161" s="3049"/>
      <c r="BS161" s="3049"/>
      <c r="BT161" s="3049"/>
      <c r="BU161" s="3049"/>
      <c r="BV161" s="3049"/>
      <c r="BW161" s="3049"/>
      <c r="BX161" s="3049"/>
      <c r="BY161" s="3049"/>
      <c r="BZ161" s="3049"/>
      <c r="CA161" s="3049"/>
      <c r="CB161" s="3049"/>
      <c r="CC161" s="3049"/>
      <c r="CD161" s="3049"/>
      <c r="CE161" s="3049"/>
      <c r="CF161" s="3049"/>
      <c r="CG161" s="3049"/>
      <c r="CH161" s="3049"/>
      <c r="CI161" s="3049"/>
      <c r="CJ161" s="3049"/>
      <c r="CK161" s="3049"/>
      <c r="CL161" s="3049"/>
      <c r="CM161" s="3049"/>
      <c r="CN161" s="3049"/>
    </row>
    <row r="162" spans="1:92" ht="15.75" x14ac:dyDescent="0.25">
      <c r="A162" s="3084"/>
      <c r="B162" s="3084"/>
      <c r="C162" s="3084"/>
      <c r="D162" s="3084"/>
      <c r="E162" s="3084"/>
      <c r="F162" s="3084"/>
      <c r="G162" s="3084"/>
      <c r="H162" s="3084"/>
      <c r="I162" s="3084"/>
      <c r="J162" s="3084"/>
      <c r="K162" s="3084"/>
      <c r="L162" s="3084"/>
      <c r="M162" s="3084"/>
      <c r="N162" s="3049"/>
      <c r="O162" s="3049"/>
      <c r="P162" s="3049"/>
      <c r="Q162" s="3049"/>
      <c r="R162" s="3049"/>
      <c r="S162" s="3049"/>
      <c r="T162" s="3049"/>
      <c r="U162" s="3049"/>
      <c r="V162" s="3049"/>
      <c r="W162" s="3049"/>
      <c r="X162" s="3049"/>
      <c r="Y162" s="3049"/>
      <c r="Z162" s="3049"/>
      <c r="AA162" s="3049"/>
      <c r="AB162" s="3049"/>
      <c r="AC162" s="3049"/>
      <c r="AD162" s="3049"/>
      <c r="AE162" s="3049"/>
      <c r="AF162" s="3049"/>
      <c r="AG162" s="3049"/>
      <c r="AH162" s="3049"/>
      <c r="AI162" s="3049"/>
      <c r="AJ162" s="3049"/>
      <c r="AK162" s="3049"/>
      <c r="AL162" s="3049"/>
      <c r="AM162" s="3049"/>
      <c r="AN162" s="3049"/>
      <c r="AO162" s="3049"/>
      <c r="AP162" s="3049"/>
      <c r="AQ162" s="3049"/>
      <c r="AR162" s="3049"/>
      <c r="AS162" s="3049"/>
      <c r="AT162" s="3049"/>
      <c r="AU162" s="3049"/>
      <c r="AV162" s="3049"/>
      <c r="AW162" s="3049"/>
      <c r="AX162" s="3049"/>
      <c r="AY162" s="3049"/>
      <c r="AZ162" s="3049"/>
      <c r="BA162" s="3049"/>
      <c r="BB162" s="3049"/>
      <c r="BC162" s="3049"/>
      <c r="BD162" s="3049"/>
      <c r="BE162" s="3049"/>
      <c r="BF162" s="3049"/>
      <c r="BG162" s="3049"/>
      <c r="BH162" s="3049"/>
      <c r="BI162" s="3049"/>
      <c r="BJ162" s="3049"/>
      <c r="BK162" s="3049"/>
      <c r="BL162" s="3049"/>
      <c r="BM162" s="3049"/>
      <c r="BN162" s="3049"/>
      <c r="BO162" s="3049"/>
      <c r="BP162" s="3049"/>
      <c r="BQ162" s="3049"/>
      <c r="BR162" s="3049"/>
      <c r="BS162" s="3049"/>
      <c r="BT162" s="3049"/>
      <c r="BU162" s="3049"/>
      <c r="BV162" s="3049"/>
      <c r="BW162" s="3049"/>
      <c r="BX162" s="3049"/>
      <c r="BY162" s="3049"/>
      <c r="BZ162" s="3049"/>
      <c r="CA162" s="3049"/>
      <c r="CB162" s="3257">
        <f>SUM(CB24+CB48+CB94+CB118+CB138+CB144+CB151+CB152)</f>
        <v>147574.92935394892</v>
      </c>
      <c r="CC162" s="3257">
        <f t="shared" ref="CC162:CD162" si="1380">SUM(CC24+CC48+CC94+CC118+CC138+CC144+CC151+CC152)</f>
        <v>147544.11811148544</v>
      </c>
      <c r="CD162" s="3257">
        <f t="shared" si="1380"/>
        <v>30.81124246347926</v>
      </c>
      <c r="CE162" s="3049"/>
      <c r="CF162" s="3049"/>
      <c r="CG162" s="3049"/>
      <c r="CH162" s="3049"/>
      <c r="CI162" s="3049"/>
      <c r="CJ162" s="3049"/>
      <c r="CK162" s="3049"/>
      <c r="CL162" s="3049"/>
      <c r="CM162" s="3049"/>
      <c r="CN162" s="3049"/>
    </row>
    <row r="163" spans="1:92" ht="20.25" x14ac:dyDescent="0.3">
      <c r="A163" s="3044" t="s">
        <v>3624</v>
      </c>
      <c r="B163" s="3049"/>
      <c r="C163" s="3049"/>
      <c r="D163" s="3049"/>
      <c r="E163" s="3049"/>
      <c r="F163" s="3049"/>
      <c r="G163" s="3049"/>
      <c r="H163" s="3049"/>
      <c r="I163" s="3049"/>
      <c r="J163" s="3049"/>
      <c r="K163" s="3049"/>
      <c r="L163" s="3049"/>
      <c r="M163" s="3049"/>
      <c r="N163" s="3049"/>
      <c r="O163" s="3049"/>
      <c r="P163" s="3049"/>
      <c r="Q163" s="3049"/>
      <c r="R163" s="3049"/>
      <c r="S163" s="3049"/>
      <c r="T163" s="3049"/>
      <c r="U163" s="3049"/>
      <c r="V163" s="3049"/>
      <c r="W163" s="3049"/>
      <c r="X163" s="3049"/>
      <c r="Y163" s="3049"/>
      <c r="Z163" s="3049"/>
      <c r="AA163" s="3049"/>
      <c r="AB163" s="3049"/>
      <c r="AC163" s="3049"/>
      <c r="AD163" s="3049"/>
      <c r="AE163" s="3049"/>
      <c r="AF163" s="3049"/>
      <c r="AG163" s="3049"/>
      <c r="AH163" s="3049"/>
      <c r="AI163" s="3049"/>
      <c r="AJ163" s="3049"/>
      <c r="AK163" s="3049"/>
      <c r="AL163" s="3049"/>
      <c r="AM163" s="3049"/>
      <c r="AN163" s="3049"/>
      <c r="AO163" s="3049"/>
      <c r="AP163" s="3049"/>
      <c r="AQ163" s="3049"/>
      <c r="AR163" s="3049"/>
      <c r="AS163" s="3049"/>
      <c r="AT163" s="3049"/>
      <c r="AU163" s="3049"/>
      <c r="AV163" s="3049"/>
      <c r="AW163" s="3049"/>
      <c r="AX163" s="3049"/>
      <c r="AY163" s="3049"/>
      <c r="AZ163" s="3049"/>
      <c r="BA163" s="3049"/>
      <c r="BB163" s="3049"/>
      <c r="BC163" s="3049"/>
      <c r="BD163" s="3049"/>
      <c r="BE163" s="3049"/>
      <c r="BF163" s="3049"/>
      <c r="BG163" s="3049"/>
      <c r="BH163" s="3049"/>
      <c r="BI163" s="3049"/>
      <c r="BJ163" s="3049"/>
      <c r="BK163" s="3049"/>
      <c r="BL163" s="3049"/>
      <c r="BM163" s="3049"/>
      <c r="BN163" s="3049"/>
      <c r="BO163" s="3049"/>
      <c r="BP163" s="3049"/>
      <c r="BQ163" s="3049"/>
      <c r="BR163" s="3049"/>
      <c r="BS163" s="3049"/>
      <c r="BT163" s="3049"/>
      <c r="BU163" s="3049"/>
      <c r="BV163" s="3049"/>
      <c r="BW163" s="3049"/>
      <c r="BX163" s="3049"/>
      <c r="BY163" s="3049"/>
      <c r="BZ163" s="3049"/>
      <c r="CA163" s="3049"/>
      <c r="CB163" s="3049"/>
      <c r="CC163" s="3049"/>
      <c r="CD163" s="3049"/>
      <c r="CE163" s="3049"/>
      <c r="CF163" s="3049"/>
      <c r="CG163" s="3049"/>
      <c r="CH163" s="3049"/>
      <c r="CI163" s="3049"/>
      <c r="CJ163" s="3049"/>
      <c r="CK163" s="3049"/>
      <c r="CL163" s="3049"/>
      <c r="CM163" s="3049"/>
      <c r="CN163" s="3049"/>
    </row>
    <row r="164" spans="1:92" ht="20.25" x14ac:dyDescent="0.3">
      <c r="A164" s="3050" t="s">
        <v>3614</v>
      </c>
      <c r="B164" s="3049"/>
      <c r="C164" s="3049"/>
      <c r="D164" s="3049"/>
      <c r="E164" s="3049"/>
      <c r="F164" s="3049"/>
      <c r="G164" s="3049"/>
      <c r="H164" s="3049"/>
      <c r="I164" s="3049"/>
      <c r="J164" s="3049"/>
      <c r="K164" s="3049"/>
      <c r="L164" s="3049"/>
      <c r="M164" s="3049"/>
      <c r="N164" s="3049"/>
      <c r="O164" s="3049"/>
      <c r="P164" s="3049"/>
      <c r="Q164" s="3049"/>
      <c r="R164" s="3049"/>
      <c r="S164" s="3049"/>
      <c r="T164" s="3049"/>
      <c r="U164" s="3049"/>
      <c r="V164" s="3049"/>
      <c r="W164" s="3049"/>
      <c r="X164" s="3049"/>
      <c r="Y164" s="3049"/>
      <c r="Z164" s="3049"/>
      <c r="AA164" s="3049"/>
      <c r="AB164" s="3049"/>
      <c r="AC164" s="3049"/>
      <c r="AD164" s="3049"/>
      <c r="AE164" s="3049"/>
      <c r="AF164" s="3049"/>
      <c r="AG164" s="3049"/>
      <c r="AH164" s="3049"/>
      <c r="AI164" s="3049"/>
      <c r="AJ164" s="3049"/>
      <c r="AK164" s="3049"/>
      <c r="AL164" s="3049"/>
      <c r="AM164" s="3049"/>
      <c r="AN164" s="3049"/>
      <c r="AO164" s="3049"/>
      <c r="AP164" s="3049"/>
      <c r="AQ164" s="3049"/>
      <c r="AR164" s="3049"/>
      <c r="AS164" s="3049"/>
      <c r="AT164" s="3049"/>
      <c r="AU164" s="3049"/>
      <c r="AV164" s="3049"/>
      <c r="AW164" s="3049"/>
      <c r="AX164" s="3049"/>
      <c r="AY164" s="3049"/>
      <c r="AZ164" s="3049"/>
      <c r="BA164" s="3049"/>
      <c r="BB164" s="3049"/>
      <c r="BC164" s="3049"/>
      <c r="BD164" s="3049"/>
      <c r="BE164" s="3049"/>
      <c r="BF164" s="3049"/>
      <c r="BG164" s="3049"/>
      <c r="BH164" s="3049"/>
      <c r="BI164" s="3049"/>
      <c r="BJ164" s="3049"/>
      <c r="BK164" s="3049"/>
      <c r="BL164" s="3049"/>
      <c r="BM164" s="3049"/>
      <c r="BN164" s="3049"/>
      <c r="BO164" s="3049"/>
      <c r="BP164" s="3049"/>
      <c r="BQ164" s="3049"/>
      <c r="BR164" s="3049"/>
      <c r="BS164" s="3049"/>
      <c r="BT164" s="3049"/>
      <c r="BU164" s="3049"/>
      <c r="BV164" s="3049"/>
      <c r="BW164" s="3049"/>
      <c r="BX164" s="3049"/>
      <c r="BY164" s="3049"/>
      <c r="BZ164" s="3049"/>
      <c r="CA164" s="3049"/>
      <c r="CB164" s="3049"/>
      <c r="CC164" s="3049"/>
      <c r="CD164" s="3049"/>
      <c r="CE164" s="3049"/>
      <c r="CF164" s="3049"/>
      <c r="CG164" s="3049"/>
      <c r="CH164" s="3049"/>
      <c r="CI164" s="3049"/>
      <c r="CJ164" s="3049"/>
      <c r="CK164" s="3049"/>
      <c r="CL164" s="3049"/>
      <c r="CM164" s="3049"/>
      <c r="CN164" s="3049"/>
    </row>
    <row r="165" spans="1:92" ht="20.25" x14ac:dyDescent="0.3">
      <c r="A165" s="3050"/>
      <c r="B165" s="3049"/>
      <c r="C165" s="3049"/>
      <c r="D165" s="3049"/>
      <c r="E165" s="3049"/>
      <c r="F165" s="3049"/>
      <c r="G165" s="3049"/>
      <c r="H165" s="3049"/>
      <c r="I165" s="3049"/>
      <c r="J165" s="3049"/>
      <c r="K165" s="3049"/>
      <c r="L165" s="3049"/>
      <c r="M165" s="3049"/>
      <c r="N165" s="3049"/>
      <c r="O165" s="3049"/>
      <c r="P165" s="3049"/>
      <c r="Q165" s="3049"/>
      <c r="R165" s="3049"/>
      <c r="S165" s="3049"/>
      <c r="T165" s="3049"/>
      <c r="U165" s="3049"/>
      <c r="V165" s="3049"/>
      <c r="W165" s="3049"/>
      <c r="X165" s="3049"/>
      <c r="Y165" s="3049"/>
      <c r="Z165" s="3049"/>
      <c r="AA165" s="3049"/>
      <c r="AB165" s="3049"/>
      <c r="AC165" s="3049"/>
      <c r="AD165" s="3049"/>
      <c r="AE165" s="3049"/>
      <c r="AF165" s="3049"/>
      <c r="AG165" s="3049"/>
      <c r="AH165" s="3049"/>
      <c r="AI165" s="3049"/>
      <c r="AJ165" s="3049"/>
      <c r="AK165" s="3049"/>
      <c r="AL165" s="3049"/>
      <c r="AM165" s="3049"/>
      <c r="AN165" s="3049"/>
      <c r="AO165" s="3049"/>
      <c r="AP165" s="3049"/>
      <c r="AQ165" s="3049"/>
      <c r="AR165" s="3049"/>
      <c r="AS165" s="3049"/>
      <c r="AT165" s="3049"/>
      <c r="AU165" s="3049"/>
      <c r="AV165" s="3049"/>
      <c r="AW165" s="3049"/>
      <c r="AX165" s="3049"/>
      <c r="AY165" s="3049"/>
      <c r="AZ165" s="3049"/>
      <c r="BA165" s="3049"/>
      <c r="BB165" s="3049"/>
      <c r="BC165" s="3049"/>
      <c r="BD165" s="3049"/>
      <c r="BE165" s="3049"/>
      <c r="BF165" s="3049"/>
      <c r="BG165" s="3049"/>
      <c r="BH165" s="3049"/>
      <c r="BI165" s="3049"/>
      <c r="BJ165" s="3049"/>
      <c r="BK165" s="3049"/>
      <c r="BL165" s="3049"/>
      <c r="BM165" s="3049"/>
      <c r="BN165" s="3049"/>
      <c r="BO165" s="3049"/>
      <c r="BP165" s="3049"/>
      <c r="BQ165" s="3049"/>
      <c r="BR165" s="3049"/>
      <c r="BS165" s="3049"/>
      <c r="BT165" s="3049"/>
      <c r="BU165" s="3049"/>
      <c r="BV165" s="3049"/>
      <c r="BW165" s="3049"/>
      <c r="BX165" s="3049"/>
      <c r="BY165" s="3049"/>
      <c r="BZ165" s="3049"/>
      <c r="CA165" s="3049"/>
      <c r="CB165" s="3049"/>
      <c r="CC165" s="3049"/>
      <c r="CD165" s="3049"/>
      <c r="CE165" s="3049"/>
      <c r="CF165" s="3049"/>
      <c r="CG165" s="3049"/>
      <c r="CH165" s="3049"/>
      <c r="CI165" s="3049"/>
      <c r="CJ165" s="3049"/>
      <c r="CK165" s="3049"/>
      <c r="CL165" s="3049"/>
      <c r="CM165" s="3049"/>
      <c r="CN165" s="3049"/>
    </row>
    <row r="166" spans="1:92" ht="18.75" x14ac:dyDescent="0.3">
      <c r="A166" s="3052" t="s">
        <v>3574</v>
      </c>
      <c r="B166" s="3085"/>
      <c r="C166" s="3085"/>
      <c r="D166" s="3085"/>
      <c r="E166" s="3085"/>
      <c r="F166" s="3085"/>
      <c r="G166" s="3085"/>
      <c r="H166" s="3085"/>
      <c r="I166" s="3085"/>
      <c r="J166" s="3085"/>
      <c r="K166" s="3085"/>
      <c r="L166" s="3085"/>
      <c r="M166" s="3085"/>
      <c r="N166" s="3085"/>
      <c r="O166" s="3085"/>
      <c r="P166" s="3085"/>
      <c r="Q166" s="3085"/>
      <c r="R166" s="3085"/>
      <c r="S166" s="3085"/>
      <c r="T166" s="3085"/>
      <c r="U166" s="3085"/>
      <c r="V166" s="3085"/>
      <c r="W166" s="3085"/>
      <c r="X166" s="3085"/>
      <c r="Y166" s="3085"/>
      <c r="Z166" s="3085"/>
      <c r="AA166" s="3085"/>
      <c r="AB166" s="3085"/>
      <c r="AC166" s="3085"/>
      <c r="AD166" s="3085"/>
      <c r="AE166" s="3085"/>
      <c r="AF166" s="3085"/>
      <c r="AG166" s="3085"/>
      <c r="AH166" s="3085"/>
      <c r="AI166" s="3085"/>
      <c r="AJ166" s="3085"/>
      <c r="AK166" s="3085"/>
      <c r="AL166" s="3085"/>
      <c r="AM166" s="3085"/>
      <c r="AN166" s="3085"/>
      <c r="AO166" s="3085"/>
      <c r="AP166" s="3085"/>
      <c r="AQ166" s="3085"/>
      <c r="AR166" s="3085"/>
      <c r="AS166" s="3085"/>
      <c r="AT166" s="3085"/>
      <c r="AU166" s="3085"/>
      <c r="AV166" s="3085"/>
      <c r="AW166" s="3085"/>
      <c r="AX166" s="3085"/>
      <c r="AY166" s="3085"/>
      <c r="AZ166" s="3085"/>
      <c r="BA166" s="3085"/>
      <c r="BB166" s="3085"/>
      <c r="BC166" s="3085"/>
      <c r="BD166" s="3085"/>
      <c r="BE166" s="3085"/>
      <c r="BF166" s="3085"/>
      <c r="BG166" s="3085"/>
      <c r="BH166" s="3085"/>
      <c r="BI166" s="3085"/>
      <c r="BJ166" s="3085"/>
      <c r="BK166" s="3085"/>
      <c r="BL166" s="3085"/>
      <c r="BM166" s="3085"/>
      <c r="BN166" s="3085"/>
      <c r="BO166" s="3085"/>
      <c r="BP166" s="3085"/>
      <c r="BQ166" s="3085"/>
      <c r="BR166" s="3085"/>
      <c r="BS166" s="3085"/>
      <c r="BT166" s="3085"/>
      <c r="BU166" s="3085"/>
      <c r="BV166" s="3085"/>
      <c r="BW166" s="3085"/>
      <c r="BX166" s="3085"/>
      <c r="BY166" s="3085"/>
      <c r="BZ166" s="3085"/>
      <c r="CA166" s="3085"/>
      <c r="CB166" s="3085"/>
      <c r="CC166" s="3085"/>
      <c r="CD166" s="3085"/>
      <c r="CE166" s="3085"/>
      <c r="CF166" s="3085"/>
      <c r="CG166" s="3085"/>
      <c r="CH166" s="3085"/>
      <c r="CI166" s="3085"/>
      <c r="CJ166" s="3086"/>
      <c r="CK166" s="3049"/>
      <c r="CL166" s="3049"/>
      <c r="CM166" s="3049"/>
      <c r="CN166" s="3049"/>
    </row>
    <row r="167" spans="1:92" ht="18.75" customHeight="1" x14ac:dyDescent="0.2">
      <c r="A167" s="3723" t="s">
        <v>536</v>
      </c>
      <c r="B167" s="3707" t="s">
        <v>3575</v>
      </c>
      <c r="C167" s="3708"/>
      <c r="D167" s="3708"/>
      <c r="E167" s="3708"/>
      <c r="F167" s="3708"/>
      <c r="G167" s="3708"/>
      <c r="H167" s="3708"/>
      <c r="I167" s="3708"/>
      <c r="J167" s="3708"/>
      <c r="K167" s="3708"/>
      <c r="L167" s="3708"/>
      <c r="M167" s="3708"/>
      <c r="N167" s="3708"/>
      <c r="O167" s="3708"/>
      <c r="P167" s="3725"/>
      <c r="Q167" s="3696" t="s">
        <v>3576</v>
      </c>
      <c r="R167" s="3697"/>
      <c r="S167" s="3697"/>
      <c r="T167" s="3697"/>
      <c r="U167" s="3697"/>
      <c r="V167" s="3697"/>
      <c r="W167" s="3697"/>
      <c r="X167" s="3697"/>
      <c r="Y167" s="3697"/>
      <c r="Z167" s="3697"/>
      <c r="AA167" s="3697"/>
      <c r="AB167" s="3697"/>
      <c r="AC167" s="3697"/>
      <c r="AD167" s="3655"/>
      <c r="AE167" s="3656"/>
      <c r="AF167" s="3692" t="s">
        <v>3577</v>
      </c>
      <c r="AG167" s="3693"/>
      <c r="AH167" s="3693"/>
      <c r="AI167" s="3693"/>
      <c r="AJ167" s="3693"/>
      <c r="AK167" s="3693"/>
      <c r="AL167" s="3693"/>
      <c r="AM167" s="3705"/>
      <c r="AN167" s="3706"/>
      <c r="AO167" s="3707" t="s">
        <v>3578</v>
      </c>
      <c r="AP167" s="3708"/>
      <c r="AQ167" s="3708"/>
      <c r="AR167" s="3708"/>
      <c r="AS167" s="3708"/>
      <c r="AT167" s="3708"/>
      <c r="AU167" s="3708"/>
      <c r="AV167" s="3708"/>
      <c r="AW167" s="3708"/>
      <c r="AX167" s="3708"/>
      <c r="AY167" s="3708"/>
      <c r="AZ167" s="3708"/>
      <c r="BA167" s="3708"/>
      <c r="BB167" s="3705"/>
      <c r="BC167" s="3706"/>
      <c r="BD167" s="3692" t="s">
        <v>3579</v>
      </c>
      <c r="BE167" s="3693"/>
      <c r="BF167" s="3693"/>
      <c r="BG167" s="3693"/>
      <c r="BH167" s="3693"/>
      <c r="BI167" s="3693"/>
      <c r="BJ167" s="3693"/>
      <c r="BK167" s="3705"/>
      <c r="BL167" s="3706"/>
      <c r="BM167" s="3726" t="s">
        <v>3580</v>
      </c>
      <c r="BN167" s="3727"/>
      <c r="BO167" s="3727"/>
      <c r="BP167" s="3727"/>
      <c r="BQ167" s="3727"/>
      <c r="BR167" s="3727"/>
      <c r="BS167" s="3727"/>
      <c r="BT167" s="3727"/>
      <c r="BU167" s="3727"/>
      <c r="BV167" s="3727"/>
      <c r="BW167" s="3727"/>
      <c r="BX167" s="3727"/>
      <c r="BY167" s="3727"/>
      <c r="BZ167" s="3607"/>
      <c r="CA167" s="3607"/>
      <c r="CB167" s="3692" t="s">
        <v>2019</v>
      </c>
      <c r="CC167" s="3693"/>
      <c r="CD167" s="3693"/>
      <c r="CE167" s="3693"/>
      <c r="CF167" s="3693"/>
      <c r="CG167" s="3693"/>
      <c r="CH167" s="3693"/>
      <c r="CI167" s="3694"/>
      <c r="CJ167" s="3695"/>
      <c r="CK167" s="3049"/>
      <c r="CL167" s="3049"/>
      <c r="CM167" s="3049"/>
      <c r="CN167" s="3049"/>
    </row>
    <row r="168" spans="1:92" ht="18.75" customHeight="1" x14ac:dyDescent="0.2">
      <c r="A168" s="3724"/>
      <c r="B168" s="3696" t="s">
        <v>3581</v>
      </c>
      <c r="C168" s="3697"/>
      <c r="D168" s="3698"/>
      <c r="E168" s="3726" t="s">
        <v>582</v>
      </c>
      <c r="F168" s="3727"/>
      <c r="G168" s="3728"/>
      <c r="H168" s="3726" t="s">
        <v>583</v>
      </c>
      <c r="I168" s="3727"/>
      <c r="J168" s="3728"/>
      <c r="K168" s="3726" t="s">
        <v>584</v>
      </c>
      <c r="L168" s="3727"/>
      <c r="M168" s="3728"/>
      <c r="N168" s="3696" t="s">
        <v>1692</v>
      </c>
      <c r="O168" s="3697"/>
      <c r="P168" s="3698"/>
      <c r="Q168" s="3696" t="s">
        <v>3581</v>
      </c>
      <c r="R168" s="3697"/>
      <c r="S168" s="3698"/>
      <c r="T168" s="3729" t="s">
        <v>3582</v>
      </c>
      <c r="U168" s="3730"/>
      <c r="V168" s="3731"/>
      <c r="W168" s="3729" t="s">
        <v>586</v>
      </c>
      <c r="X168" s="3730"/>
      <c r="Y168" s="3731"/>
      <c r="Z168" s="3729" t="s">
        <v>587</v>
      </c>
      <c r="AA168" s="3730"/>
      <c r="AB168" s="3731"/>
      <c r="AC168" s="3696" t="s">
        <v>1692</v>
      </c>
      <c r="AD168" s="3697"/>
      <c r="AE168" s="3698"/>
      <c r="AF168" s="3699" t="s">
        <v>3581</v>
      </c>
      <c r="AG168" s="3700"/>
      <c r="AH168" s="3701"/>
      <c r="AI168" s="3699" t="s">
        <v>1692</v>
      </c>
      <c r="AJ168" s="3700"/>
      <c r="AK168" s="3701"/>
      <c r="AL168" s="3699" t="s">
        <v>3583</v>
      </c>
      <c r="AM168" s="3700"/>
      <c r="AN168" s="3701"/>
      <c r="AO168" s="3712" t="s">
        <v>3581</v>
      </c>
      <c r="AP168" s="3713"/>
      <c r="AQ168" s="3714"/>
      <c r="AR168" s="3702" t="s">
        <v>588</v>
      </c>
      <c r="AS168" s="3703"/>
      <c r="AT168" s="3704"/>
      <c r="AU168" s="3702" t="s">
        <v>589</v>
      </c>
      <c r="AV168" s="3703"/>
      <c r="AW168" s="3704"/>
      <c r="AX168" s="3702" t="s">
        <v>590</v>
      </c>
      <c r="AY168" s="3703"/>
      <c r="AZ168" s="3704"/>
      <c r="BA168" s="3712" t="s">
        <v>1692</v>
      </c>
      <c r="BB168" s="3713"/>
      <c r="BC168" s="3714"/>
      <c r="BD168" s="3715" t="s">
        <v>3581</v>
      </c>
      <c r="BE168" s="3716"/>
      <c r="BF168" s="3717"/>
      <c r="BG168" s="3715" t="s">
        <v>1692</v>
      </c>
      <c r="BH168" s="3716"/>
      <c r="BI168" s="3717"/>
      <c r="BJ168" s="3715" t="s">
        <v>3583</v>
      </c>
      <c r="BK168" s="3716"/>
      <c r="BL168" s="3717"/>
      <c r="BM168" s="3762" t="s">
        <v>3581</v>
      </c>
      <c r="BN168" s="3763"/>
      <c r="BO168" s="3764"/>
      <c r="BP168" s="3709" t="s">
        <v>591</v>
      </c>
      <c r="BQ168" s="3710"/>
      <c r="BR168" s="3711"/>
      <c r="BS168" s="3709" t="s">
        <v>592</v>
      </c>
      <c r="BT168" s="3710"/>
      <c r="BU168" s="3711"/>
      <c r="BV168" s="3709" t="s">
        <v>593</v>
      </c>
      <c r="BW168" s="3710"/>
      <c r="BX168" s="3711"/>
      <c r="BY168" s="3762" t="s">
        <v>1692</v>
      </c>
      <c r="BZ168" s="3763"/>
      <c r="CA168" s="3763"/>
      <c r="CB168" s="3718" t="s">
        <v>3581</v>
      </c>
      <c r="CC168" s="3721"/>
      <c r="CD168" s="3722"/>
      <c r="CE168" s="3718" t="s">
        <v>1692</v>
      </c>
      <c r="CF168" s="3721"/>
      <c r="CG168" s="3722"/>
      <c r="CH168" s="3718" t="s">
        <v>3583</v>
      </c>
      <c r="CI168" s="3719"/>
      <c r="CJ168" s="3720"/>
      <c r="CK168" s="3049"/>
      <c r="CL168" s="3049"/>
      <c r="CM168" s="3049"/>
      <c r="CN168" s="3049"/>
    </row>
    <row r="169" spans="1:92" ht="18.75" customHeight="1" x14ac:dyDescent="0.2">
      <c r="A169" s="3724"/>
      <c r="B169" s="3095" t="s">
        <v>627</v>
      </c>
      <c r="C169" s="3095" t="s">
        <v>3625</v>
      </c>
      <c r="D169" s="3095" t="s">
        <v>3626</v>
      </c>
      <c r="E169" s="3095" t="s">
        <v>627</v>
      </c>
      <c r="F169" s="3095" t="s">
        <v>3625</v>
      </c>
      <c r="G169" s="3095" t="s">
        <v>3626</v>
      </c>
      <c r="H169" s="3095" t="s">
        <v>627</v>
      </c>
      <c r="I169" s="3095" t="s">
        <v>3625</v>
      </c>
      <c r="J169" s="3095" t="s">
        <v>3626</v>
      </c>
      <c r="K169" s="3095" t="s">
        <v>627</v>
      </c>
      <c r="L169" s="3095" t="s">
        <v>3625</v>
      </c>
      <c r="M169" s="3095" t="s">
        <v>3626</v>
      </c>
      <c r="N169" s="3095" t="s">
        <v>627</v>
      </c>
      <c r="O169" s="3095" t="s">
        <v>3625</v>
      </c>
      <c r="P169" s="3095" t="s">
        <v>3626</v>
      </c>
      <c r="Q169" s="3095" t="s">
        <v>627</v>
      </c>
      <c r="R169" s="3095" t="s">
        <v>3625</v>
      </c>
      <c r="S169" s="3095" t="s">
        <v>3626</v>
      </c>
      <c r="T169" s="3095" t="s">
        <v>627</v>
      </c>
      <c r="U169" s="3095" t="s">
        <v>3625</v>
      </c>
      <c r="V169" s="3095" t="s">
        <v>3626</v>
      </c>
      <c r="W169" s="3095" t="s">
        <v>627</v>
      </c>
      <c r="X169" s="3095" t="s">
        <v>3625</v>
      </c>
      <c r="Y169" s="3095" t="s">
        <v>3626</v>
      </c>
      <c r="Z169" s="3095" t="s">
        <v>627</v>
      </c>
      <c r="AA169" s="3095" t="s">
        <v>3625</v>
      </c>
      <c r="AB169" s="3095" t="s">
        <v>3626</v>
      </c>
      <c r="AC169" s="3095" t="s">
        <v>627</v>
      </c>
      <c r="AD169" s="3095" t="s">
        <v>3625</v>
      </c>
      <c r="AE169" s="3095" t="s">
        <v>3626</v>
      </c>
      <c r="AF169" s="3096" t="s">
        <v>627</v>
      </c>
      <c r="AG169" s="3096" t="s">
        <v>3625</v>
      </c>
      <c r="AH169" s="3096" t="s">
        <v>3626</v>
      </c>
      <c r="AI169" s="3096" t="s">
        <v>627</v>
      </c>
      <c r="AJ169" s="3096" t="s">
        <v>3625</v>
      </c>
      <c r="AK169" s="3096" t="s">
        <v>3626</v>
      </c>
      <c r="AL169" s="3096" t="s">
        <v>627</v>
      </c>
      <c r="AM169" s="3096" t="s">
        <v>3625</v>
      </c>
      <c r="AN169" s="3096" t="s">
        <v>3626</v>
      </c>
      <c r="AO169" s="3095" t="s">
        <v>627</v>
      </c>
      <c r="AP169" s="3095" t="s">
        <v>3625</v>
      </c>
      <c r="AQ169" s="3095" t="s">
        <v>3626</v>
      </c>
      <c r="AR169" s="3095" t="s">
        <v>627</v>
      </c>
      <c r="AS169" s="3095" t="s">
        <v>3625</v>
      </c>
      <c r="AT169" s="3095" t="s">
        <v>3626</v>
      </c>
      <c r="AU169" s="3095" t="s">
        <v>627</v>
      </c>
      <c r="AV169" s="3095" t="s">
        <v>3625</v>
      </c>
      <c r="AW169" s="3095" t="s">
        <v>3626</v>
      </c>
      <c r="AX169" s="3095" t="s">
        <v>627</v>
      </c>
      <c r="AY169" s="3095" t="s">
        <v>3625</v>
      </c>
      <c r="AZ169" s="3095" t="s">
        <v>3626</v>
      </c>
      <c r="BA169" s="3095" t="s">
        <v>627</v>
      </c>
      <c r="BB169" s="3095" t="s">
        <v>3625</v>
      </c>
      <c r="BC169" s="3095" t="s">
        <v>3626</v>
      </c>
      <c r="BD169" s="3096" t="s">
        <v>627</v>
      </c>
      <c r="BE169" s="3096" t="s">
        <v>3625</v>
      </c>
      <c r="BF169" s="3096" t="s">
        <v>3626</v>
      </c>
      <c r="BG169" s="3096" t="s">
        <v>627</v>
      </c>
      <c r="BH169" s="3096" t="s">
        <v>3625</v>
      </c>
      <c r="BI169" s="3096" t="s">
        <v>3626</v>
      </c>
      <c r="BJ169" s="3096" t="s">
        <v>627</v>
      </c>
      <c r="BK169" s="3096" t="s">
        <v>3625</v>
      </c>
      <c r="BL169" s="3096" t="s">
        <v>3626</v>
      </c>
      <c r="BM169" s="3095" t="s">
        <v>627</v>
      </c>
      <c r="BN169" s="3095" t="s">
        <v>3625</v>
      </c>
      <c r="BO169" s="3095" t="s">
        <v>3626</v>
      </c>
      <c r="BP169" s="3095" t="s">
        <v>627</v>
      </c>
      <c r="BQ169" s="3095" t="s">
        <v>3625</v>
      </c>
      <c r="BR169" s="3095" t="s">
        <v>3626</v>
      </c>
      <c r="BS169" s="3095" t="s">
        <v>627</v>
      </c>
      <c r="BT169" s="3095" t="s">
        <v>3625</v>
      </c>
      <c r="BU169" s="3095" t="s">
        <v>3626</v>
      </c>
      <c r="BV169" s="3095" t="s">
        <v>627</v>
      </c>
      <c r="BW169" s="3095" t="s">
        <v>3625</v>
      </c>
      <c r="BX169" s="3095" t="s">
        <v>3626</v>
      </c>
      <c r="BY169" s="3095" t="s">
        <v>627</v>
      </c>
      <c r="BZ169" s="3095" t="s">
        <v>3625</v>
      </c>
      <c r="CA169" s="3097" t="s">
        <v>3626</v>
      </c>
      <c r="CB169" s="3096" t="s">
        <v>627</v>
      </c>
      <c r="CC169" s="3096" t="s">
        <v>3625</v>
      </c>
      <c r="CD169" s="3096" t="s">
        <v>3626</v>
      </c>
      <c r="CE169" s="3096" t="s">
        <v>627</v>
      </c>
      <c r="CF169" s="3096" t="s">
        <v>3625</v>
      </c>
      <c r="CG169" s="3096" t="s">
        <v>3626</v>
      </c>
      <c r="CH169" s="3096" t="s">
        <v>627</v>
      </c>
      <c r="CI169" s="3096" t="s">
        <v>3625</v>
      </c>
      <c r="CJ169" s="3096" t="s">
        <v>3626</v>
      </c>
      <c r="CK169" s="3049"/>
      <c r="CL169" s="3049"/>
      <c r="CM169" s="3049"/>
      <c r="CN169" s="3049"/>
    </row>
    <row r="170" spans="1:92" ht="18.75" x14ac:dyDescent="0.2">
      <c r="A170" s="3056" t="s">
        <v>3584</v>
      </c>
      <c r="B170" s="3207">
        <f>SUM(B8)</f>
        <v>1563.7879199155666</v>
      </c>
      <c r="C170" s="3207">
        <f t="shared" ref="C170:AE170" si="1381">SUM(C8)</f>
        <v>1563.3454199155665</v>
      </c>
      <c r="D170" s="3207">
        <f t="shared" si="1381"/>
        <v>0.4425</v>
      </c>
      <c r="E170" s="3057">
        <f t="shared" si="1381"/>
        <v>568.33000000000004</v>
      </c>
      <c r="F170" s="3057">
        <f t="shared" si="1381"/>
        <v>568.21</v>
      </c>
      <c r="G170" s="3057">
        <f t="shared" si="1381"/>
        <v>0.12</v>
      </c>
      <c r="H170" s="3057">
        <f t="shared" si="1381"/>
        <v>493.23999999999995</v>
      </c>
      <c r="I170" s="3057">
        <f t="shared" si="1381"/>
        <v>493.15</v>
      </c>
      <c r="J170" s="3057">
        <f t="shared" si="1381"/>
        <v>0.09</v>
      </c>
      <c r="K170" s="3057">
        <f t="shared" si="1381"/>
        <v>534.95900000000006</v>
      </c>
      <c r="L170" s="3057">
        <f t="shared" si="1381"/>
        <v>534.88400000000001</v>
      </c>
      <c r="M170" s="3057">
        <f t="shared" si="1381"/>
        <v>7.4999999999999997E-2</v>
      </c>
      <c r="N170" s="3057">
        <f t="shared" si="1381"/>
        <v>1596.5290000000002</v>
      </c>
      <c r="O170" s="3057">
        <f t="shared" si="1381"/>
        <v>1596.2440000000001</v>
      </c>
      <c r="P170" s="3057">
        <f t="shared" si="1381"/>
        <v>0.28499999999999998</v>
      </c>
      <c r="Q170" s="3207">
        <f t="shared" si="1381"/>
        <v>1563.7879199155666</v>
      </c>
      <c r="R170" s="3207">
        <f t="shared" si="1381"/>
        <v>1563.3454199155665</v>
      </c>
      <c r="S170" s="3207">
        <f t="shared" si="1381"/>
        <v>0.4425</v>
      </c>
      <c r="T170" s="3057">
        <f t="shared" si="1381"/>
        <v>630.48400000000004</v>
      </c>
      <c r="U170" s="3057">
        <f t="shared" si="1381"/>
        <v>630.38900000000001</v>
      </c>
      <c r="V170" s="3057">
        <f t="shared" si="1381"/>
        <v>9.5000000000000001E-2</v>
      </c>
      <c r="W170" s="3057">
        <f t="shared" si="1381"/>
        <v>640.53700000000003</v>
      </c>
      <c r="X170" s="3057">
        <f t="shared" si="1381"/>
        <v>640.44000000000005</v>
      </c>
      <c r="Y170" s="3057">
        <f t="shared" si="1381"/>
        <v>9.7000000000000003E-2</v>
      </c>
      <c r="Z170" s="3057">
        <f t="shared" si="1381"/>
        <v>613.39499999999998</v>
      </c>
      <c r="AA170" s="3057">
        <f t="shared" si="1381"/>
        <v>613.31399999999996</v>
      </c>
      <c r="AB170" s="3057">
        <f t="shared" si="1381"/>
        <v>8.1000000000000003E-2</v>
      </c>
      <c r="AC170" s="3057">
        <f t="shared" si="1381"/>
        <v>1884.4159999999999</v>
      </c>
      <c r="AD170" s="3057">
        <f t="shared" si="1381"/>
        <v>1884.143</v>
      </c>
      <c r="AE170" s="3057">
        <f t="shared" si="1381"/>
        <v>0.27300000000000002</v>
      </c>
      <c r="AF170" s="3206">
        <f>SUM(AF8)</f>
        <v>3127.5758398311332</v>
      </c>
      <c r="AG170" s="3206">
        <f t="shared" ref="AG170:AN170" si="1382">SUM(AG8)</f>
        <v>3126.690839831133</v>
      </c>
      <c r="AH170" s="3206">
        <f t="shared" si="1382"/>
        <v>0.88500000000000001</v>
      </c>
      <c r="AI170" s="3058">
        <f t="shared" si="1382"/>
        <v>3480.9450000000002</v>
      </c>
      <c r="AJ170" s="3058">
        <f t="shared" si="1382"/>
        <v>3480.3870000000002</v>
      </c>
      <c r="AK170" s="3058">
        <f t="shared" si="1382"/>
        <v>0.55800000000000005</v>
      </c>
      <c r="AL170" s="3058">
        <f t="shared" si="1382"/>
        <v>353.36916016886721</v>
      </c>
      <c r="AM170" s="3058">
        <f t="shared" si="1382"/>
        <v>353.69616016886721</v>
      </c>
      <c r="AN170" s="3058">
        <f t="shared" si="1382"/>
        <v>-0.32699999999999996</v>
      </c>
      <c r="AO170" s="3207">
        <f>SUM(AO8)</f>
        <v>1563.7879199155666</v>
      </c>
      <c r="AP170" s="3207">
        <f t="shared" ref="AP170:BC170" si="1383">SUM(AP8)</f>
        <v>1563.3454199155665</v>
      </c>
      <c r="AQ170" s="3207">
        <f t="shared" si="1383"/>
        <v>0.4425</v>
      </c>
      <c r="AR170" s="3057">
        <f t="shared" si="1383"/>
        <v>639.60199999999998</v>
      </c>
      <c r="AS170" s="3057">
        <f t="shared" si="1383"/>
        <v>639.51099999999997</v>
      </c>
      <c r="AT170" s="3057">
        <f t="shared" si="1383"/>
        <v>9.0999999999999998E-2</v>
      </c>
      <c r="AU170" s="3057">
        <f t="shared" si="1383"/>
        <v>554.14700000000005</v>
      </c>
      <c r="AV170" s="3057">
        <f t="shared" si="1383"/>
        <v>554.05700000000002</v>
      </c>
      <c r="AW170" s="3057">
        <f t="shared" si="1383"/>
        <v>0.09</v>
      </c>
      <c r="AX170" s="3057">
        <f t="shared" si="1383"/>
        <v>588.95500000000004</v>
      </c>
      <c r="AY170" s="3057">
        <f t="shared" si="1383"/>
        <v>588.86500000000001</v>
      </c>
      <c r="AZ170" s="3057">
        <f t="shared" si="1383"/>
        <v>0.09</v>
      </c>
      <c r="BA170" s="3057">
        <f t="shared" si="1383"/>
        <v>1782.704</v>
      </c>
      <c r="BB170" s="3057">
        <f t="shared" si="1383"/>
        <v>1782.433</v>
      </c>
      <c r="BC170" s="3057">
        <f t="shared" si="1383"/>
        <v>0.27100000000000002</v>
      </c>
      <c r="BD170" s="3206">
        <f>SUM(BD8)</f>
        <v>4691.3637597466995</v>
      </c>
      <c r="BE170" s="3206">
        <f t="shared" ref="BE170:BL170" si="1384">SUM(BE8)</f>
        <v>4690.0362597466992</v>
      </c>
      <c r="BF170" s="3206">
        <f t="shared" si="1384"/>
        <v>1.3275000000000001</v>
      </c>
      <c r="BG170" s="3058">
        <f t="shared" si="1384"/>
        <v>5263.6489999999994</v>
      </c>
      <c r="BH170" s="3058">
        <f t="shared" si="1384"/>
        <v>5262.82</v>
      </c>
      <c r="BI170" s="3058">
        <f t="shared" si="1384"/>
        <v>0.82900000000000007</v>
      </c>
      <c r="BJ170" s="3058">
        <f t="shared" si="1384"/>
        <v>572.28524025330046</v>
      </c>
      <c r="BK170" s="3058">
        <f t="shared" si="1384"/>
        <v>572.78374025330049</v>
      </c>
      <c r="BL170" s="3058">
        <f t="shared" si="1384"/>
        <v>-0.49850000000000005</v>
      </c>
      <c r="BM170" s="3207">
        <f>SUM(BM8)</f>
        <v>1563.7879199155666</v>
      </c>
      <c r="BN170" s="3207">
        <f t="shared" ref="BN170:CA170" si="1385">SUM(BN8)</f>
        <v>1563.3454199155665</v>
      </c>
      <c r="BO170" s="3207">
        <f t="shared" si="1385"/>
        <v>0.4425</v>
      </c>
      <c r="BP170" s="3057">
        <f t="shared" si="1385"/>
        <v>0</v>
      </c>
      <c r="BQ170" s="3057">
        <f t="shared" si="1385"/>
        <v>0</v>
      </c>
      <c r="BR170" s="3057">
        <f t="shared" si="1385"/>
        <v>0</v>
      </c>
      <c r="BS170" s="3057">
        <f t="shared" si="1385"/>
        <v>0</v>
      </c>
      <c r="BT170" s="3057">
        <f t="shared" si="1385"/>
        <v>0</v>
      </c>
      <c r="BU170" s="3057">
        <f t="shared" si="1385"/>
        <v>0</v>
      </c>
      <c r="BV170" s="3057">
        <f t="shared" si="1385"/>
        <v>0</v>
      </c>
      <c r="BW170" s="3057">
        <f t="shared" si="1385"/>
        <v>0</v>
      </c>
      <c r="BX170" s="3057">
        <f t="shared" si="1385"/>
        <v>0</v>
      </c>
      <c r="BY170" s="3057">
        <f t="shared" si="1385"/>
        <v>0</v>
      </c>
      <c r="BZ170" s="3057">
        <f t="shared" si="1385"/>
        <v>0</v>
      </c>
      <c r="CA170" s="3057">
        <f t="shared" si="1385"/>
        <v>0</v>
      </c>
      <c r="CB170" s="3206">
        <f>SUM(CB8)</f>
        <v>6255.1516796622664</v>
      </c>
      <c r="CC170" s="3206">
        <f t="shared" ref="CC170:CJ170" si="1386">SUM(CC8)</f>
        <v>6253.3816796622659</v>
      </c>
      <c r="CD170" s="3206">
        <f t="shared" si="1386"/>
        <v>1.77</v>
      </c>
      <c r="CE170" s="3058">
        <f t="shared" si="1386"/>
        <v>5263.6489999999994</v>
      </c>
      <c r="CF170" s="3058">
        <f t="shared" si="1386"/>
        <v>5262.82</v>
      </c>
      <c r="CG170" s="3058">
        <f t="shared" si="1386"/>
        <v>0.82900000000000007</v>
      </c>
      <c r="CH170" s="3058">
        <f t="shared" si="1386"/>
        <v>-991.50267966226625</v>
      </c>
      <c r="CI170" s="3058">
        <f t="shared" si="1386"/>
        <v>-990.56167966226622</v>
      </c>
      <c r="CJ170" s="3058">
        <f t="shared" si="1386"/>
        <v>-0.94099999999999995</v>
      </c>
      <c r="CK170" s="3049"/>
      <c r="CL170" s="3049"/>
      <c r="CM170" s="3049"/>
      <c r="CN170" s="3049"/>
    </row>
    <row r="171" spans="1:92" ht="18.75" x14ac:dyDescent="0.2">
      <c r="A171" s="3059" t="s">
        <v>20</v>
      </c>
      <c r="B171" s="3208">
        <f>SUM(B9)</f>
        <v>298.5743333333333</v>
      </c>
      <c r="C171" s="3208">
        <f t="shared" ref="C171:AE171" si="1387">SUM(C9)</f>
        <v>298.5743333333333</v>
      </c>
      <c r="D171" s="3208">
        <f t="shared" si="1387"/>
        <v>0</v>
      </c>
      <c r="E171" s="3060">
        <f t="shared" si="1387"/>
        <v>40.869999999999997</v>
      </c>
      <c r="F171" s="3060">
        <f t="shared" si="1387"/>
        <v>40.869999999999997</v>
      </c>
      <c r="G171" s="3060">
        <f t="shared" si="1387"/>
        <v>0</v>
      </c>
      <c r="H171" s="3060">
        <f t="shared" si="1387"/>
        <v>34.53</v>
      </c>
      <c r="I171" s="3060">
        <f t="shared" si="1387"/>
        <v>34.53</v>
      </c>
      <c r="J171" s="3060">
        <f t="shared" si="1387"/>
        <v>0</v>
      </c>
      <c r="K171" s="3060">
        <f t="shared" si="1387"/>
        <v>33.301000000000002</v>
      </c>
      <c r="L171" s="3060">
        <f t="shared" si="1387"/>
        <v>33.301000000000002</v>
      </c>
      <c r="M171" s="3060">
        <f t="shared" si="1387"/>
        <v>0</v>
      </c>
      <c r="N171" s="3060">
        <f t="shared" si="1387"/>
        <v>108.70100000000001</v>
      </c>
      <c r="O171" s="3060">
        <f t="shared" si="1387"/>
        <v>108.70100000000001</v>
      </c>
      <c r="P171" s="3060">
        <f t="shared" si="1387"/>
        <v>0</v>
      </c>
      <c r="Q171" s="3208">
        <f t="shared" si="1387"/>
        <v>298.5743333333333</v>
      </c>
      <c r="R171" s="3208">
        <f t="shared" si="1387"/>
        <v>298.5743333333333</v>
      </c>
      <c r="S171" s="3208">
        <f t="shared" si="1387"/>
        <v>0</v>
      </c>
      <c r="T171" s="3060">
        <f t="shared" si="1387"/>
        <v>113.371</v>
      </c>
      <c r="U171" s="3060">
        <f t="shared" si="1387"/>
        <v>113.371</v>
      </c>
      <c r="V171" s="3060">
        <f t="shared" si="1387"/>
        <v>0</v>
      </c>
      <c r="W171" s="3060">
        <f t="shared" si="1387"/>
        <v>150.89699999999999</v>
      </c>
      <c r="X171" s="3060">
        <f t="shared" si="1387"/>
        <v>150.89699999999999</v>
      </c>
      <c r="Y171" s="3060">
        <f t="shared" si="1387"/>
        <v>0</v>
      </c>
      <c r="Z171" s="3060">
        <f t="shared" si="1387"/>
        <v>121.114</v>
      </c>
      <c r="AA171" s="3060">
        <f t="shared" si="1387"/>
        <v>121.114</v>
      </c>
      <c r="AB171" s="3060">
        <f t="shared" si="1387"/>
        <v>0</v>
      </c>
      <c r="AC171" s="3060">
        <f t="shared" si="1387"/>
        <v>385.38199999999995</v>
      </c>
      <c r="AD171" s="3060">
        <f t="shared" si="1387"/>
        <v>385.38199999999995</v>
      </c>
      <c r="AE171" s="3060">
        <f t="shared" si="1387"/>
        <v>0</v>
      </c>
      <c r="AF171" s="3209">
        <f>SUM(AF9)</f>
        <v>597.1486666666666</v>
      </c>
      <c r="AG171" s="3209">
        <f t="shared" ref="AG171:AN171" si="1388">SUM(AG9)</f>
        <v>597.1486666666666</v>
      </c>
      <c r="AH171" s="3209">
        <f t="shared" si="1388"/>
        <v>0</v>
      </c>
      <c r="AI171" s="3062">
        <f t="shared" si="1388"/>
        <v>494.08299999999997</v>
      </c>
      <c r="AJ171" s="3062">
        <f t="shared" si="1388"/>
        <v>494.08299999999997</v>
      </c>
      <c r="AK171" s="3062">
        <f t="shared" si="1388"/>
        <v>0</v>
      </c>
      <c r="AL171" s="3062">
        <f t="shared" si="1388"/>
        <v>-103.06566666666663</v>
      </c>
      <c r="AM171" s="3062">
        <f t="shared" si="1388"/>
        <v>-103.06566666666663</v>
      </c>
      <c r="AN171" s="3062">
        <f t="shared" si="1388"/>
        <v>0</v>
      </c>
      <c r="AO171" s="3208">
        <f>SUM(AO9)</f>
        <v>298.5743333333333</v>
      </c>
      <c r="AP171" s="3208">
        <f t="shared" ref="AP171:BC171" si="1389">SUM(AP9)</f>
        <v>298.5743333333333</v>
      </c>
      <c r="AQ171" s="3208">
        <f t="shared" si="1389"/>
        <v>0</v>
      </c>
      <c r="AR171" s="3060">
        <f t="shared" si="1389"/>
        <v>130.33199999999999</v>
      </c>
      <c r="AS171" s="3060">
        <f t="shared" si="1389"/>
        <v>130.33199999999999</v>
      </c>
      <c r="AT171" s="3060">
        <f t="shared" si="1389"/>
        <v>0</v>
      </c>
      <c r="AU171" s="3060">
        <f t="shared" si="1389"/>
        <v>168.31800000000001</v>
      </c>
      <c r="AV171" s="3060">
        <f t="shared" si="1389"/>
        <v>168.31800000000001</v>
      </c>
      <c r="AW171" s="3060">
        <f t="shared" si="1389"/>
        <v>0</v>
      </c>
      <c r="AX171" s="3060">
        <f t="shared" si="1389"/>
        <v>196.87</v>
      </c>
      <c r="AY171" s="3060">
        <f t="shared" si="1389"/>
        <v>196.87</v>
      </c>
      <c r="AZ171" s="3060">
        <f t="shared" si="1389"/>
        <v>0</v>
      </c>
      <c r="BA171" s="3060">
        <f t="shared" si="1389"/>
        <v>495.52</v>
      </c>
      <c r="BB171" s="3060">
        <f t="shared" si="1389"/>
        <v>495.52</v>
      </c>
      <c r="BC171" s="3060">
        <f t="shared" si="1389"/>
        <v>0</v>
      </c>
      <c r="BD171" s="3209">
        <f>SUM(BD9)</f>
        <v>895.72299999999996</v>
      </c>
      <c r="BE171" s="3209">
        <f t="shared" ref="BE171:BL171" si="1390">SUM(BE9)</f>
        <v>895.72299999999996</v>
      </c>
      <c r="BF171" s="3209">
        <f t="shared" si="1390"/>
        <v>0</v>
      </c>
      <c r="BG171" s="3062">
        <f t="shared" si="1390"/>
        <v>989.60299999999995</v>
      </c>
      <c r="BH171" s="3062">
        <f t="shared" si="1390"/>
        <v>989.60299999999995</v>
      </c>
      <c r="BI171" s="3062">
        <f t="shared" si="1390"/>
        <v>0</v>
      </c>
      <c r="BJ171" s="3062">
        <f t="shared" si="1390"/>
        <v>93.88</v>
      </c>
      <c r="BK171" s="3062">
        <f t="shared" si="1390"/>
        <v>93.88</v>
      </c>
      <c r="BL171" s="3062">
        <f t="shared" si="1390"/>
        <v>0</v>
      </c>
      <c r="BM171" s="3208">
        <f>SUM(BM9)</f>
        <v>298.5743333333333</v>
      </c>
      <c r="BN171" s="3208">
        <f t="shared" ref="BN171:CA171" si="1391">SUM(BN9)</f>
        <v>298.5743333333333</v>
      </c>
      <c r="BO171" s="3208">
        <f t="shared" si="1391"/>
        <v>0</v>
      </c>
      <c r="BP171" s="3060">
        <f t="shared" si="1391"/>
        <v>0</v>
      </c>
      <c r="BQ171" s="3060">
        <f t="shared" si="1391"/>
        <v>0</v>
      </c>
      <c r="BR171" s="3060">
        <f t="shared" si="1391"/>
        <v>0</v>
      </c>
      <c r="BS171" s="3060">
        <f t="shared" si="1391"/>
        <v>0</v>
      </c>
      <c r="BT171" s="3060">
        <f t="shared" si="1391"/>
        <v>0</v>
      </c>
      <c r="BU171" s="3060">
        <f t="shared" si="1391"/>
        <v>0</v>
      </c>
      <c r="BV171" s="3060">
        <f t="shared" si="1391"/>
        <v>0</v>
      </c>
      <c r="BW171" s="3060">
        <f t="shared" si="1391"/>
        <v>0</v>
      </c>
      <c r="BX171" s="3060">
        <f t="shared" si="1391"/>
        <v>0</v>
      </c>
      <c r="BY171" s="3060">
        <f t="shared" si="1391"/>
        <v>0</v>
      </c>
      <c r="BZ171" s="3060">
        <f t="shared" si="1391"/>
        <v>0</v>
      </c>
      <c r="CA171" s="3060">
        <f t="shared" si="1391"/>
        <v>0</v>
      </c>
      <c r="CB171" s="3209">
        <f>SUM(CB9)</f>
        <v>1194.2973333333332</v>
      </c>
      <c r="CC171" s="3209">
        <f t="shared" ref="CC171:CJ171" si="1392">SUM(CC9)</f>
        <v>1194.2973333333332</v>
      </c>
      <c r="CD171" s="3209">
        <f t="shared" si="1392"/>
        <v>0</v>
      </c>
      <c r="CE171" s="3062">
        <f t="shared" si="1392"/>
        <v>989.60299999999995</v>
      </c>
      <c r="CF171" s="3062">
        <f t="shared" si="1392"/>
        <v>989.60299999999995</v>
      </c>
      <c r="CG171" s="3062">
        <f t="shared" si="1392"/>
        <v>0</v>
      </c>
      <c r="CH171" s="3062">
        <f t="shared" si="1392"/>
        <v>-204.69433333333325</v>
      </c>
      <c r="CI171" s="3062">
        <f t="shared" si="1392"/>
        <v>-204.69433333333325</v>
      </c>
      <c r="CJ171" s="3062">
        <f t="shared" si="1392"/>
        <v>0</v>
      </c>
      <c r="CK171" s="3049"/>
      <c r="CL171" s="3049"/>
      <c r="CM171" s="3049"/>
      <c r="CN171" s="3049"/>
    </row>
    <row r="172" spans="1:92" ht="18.75" x14ac:dyDescent="0.2">
      <c r="A172" s="3063" t="s">
        <v>382</v>
      </c>
      <c r="B172" s="3064">
        <f>SUM(B171/B170)</f>
        <v>0.19093019554048876</v>
      </c>
      <c r="C172" s="3064">
        <f t="shared" ref="C172:AE172" si="1393">SUM(C171/C170)</f>
        <v>0.19098423773132542</v>
      </c>
      <c r="D172" s="3064">
        <f t="shared" si="1393"/>
        <v>0</v>
      </c>
      <c r="E172" s="3064">
        <f t="shared" si="1393"/>
        <v>7.191244523428289E-2</v>
      </c>
      <c r="F172" s="3064">
        <f t="shared" si="1393"/>
        <v>7.1927632389433477E-2</v>
      </c>
      <c r="G172" s="3064">
        <f t="shared" si="1393"/>
        <v>0</v>
      </c>
      <c r="H172" s="3064">
        <f t="shared" si="1393"/>
        <v>7.0006487713891827E-2</v>
      </c>
      <c r="I172" s="3064">
        <f t="shared" si="1393"/>
        <v>7.0019263915644336E-2</v>
      </c>
      <c r="J172" s="3064">
        <f t="shared" si="1393"/>
        <v>0</v>
      </c>
      <c r="K172" s="3064">
        <f t="shared" si="1393"/>
        <v>6.2249630345503112E-2</v>
      </c>
      <c r="L172" s="3064">
        <f t="shared" si="1393"/>
        <v>6.2258358821725833E-2</v>
      </c>
      <c r="M172" s="3064">
        <f t="shared" si="1393"/>
        <v>0</v>
      </c>
      <c r="N172" s="3064">
        <f t="shared" si="1393"/>
        <v>6.8085828694624401E-2</v>
      </c>
      <c r="O172" s="3064">
        <f t="shared" si="1393"/>
        <v>6.8097985019834065E-2</v>
      </c>
      <c r="P172" s="3064">
        <f t="shared" si="1393"/>
        <v>0</v>
      </c>
      <c r="Q172" s="3064">
        <f t="shared" si="1393"/>
        <v>0.19093019554048876</v>
      </c>
      <c r="R172" s="3064">
        <f t="shared" si="1393"/>
        <v>0.19098423773132542</v>
      </c>
      <c r="S172" s="3064">
        <f t="shared" si="1393"/>
        <v>0</v>
      </c>
      <c r="T172" s="3064">
        <f t="shared" si="1393"/>
        <v>0.17981582403359955</v>
      </c>
      <c r="U172" s="3064">
        <f t="shared" si="1393"/>
        <v>0.17984292238601879</v>
      </c>
      <c r="V172" s="3064">
        <f t="shared" si="1393"/>
        <v>0</v>
      </c>
      <c r="W172" s="3064">
        <f t="shared" si="1393"/>
        <v>0.23557889708166738</v>
      </c>
      <c r="X172" s="3064">
        <f t="shared" si="1393"/>
        <v>0.23561457747798384</v>
      </c>
      <c r="Y172" s="3064">
        <f t="shared" si="1393"/>
        <v>0</v>
      </c>
      <c r="Z172" s="3064">
        <f t="shared" si="1393"/>
        <v>0.19744862608922473</v>
      </c>
      <c r="AA172" s="3064">
        <f t="shared" si="1393"/>
        <v>0.19747470300694264</v>
      </c>
      <c r="AB172" s="3064">
        <f t="shared" si="1393"/>
        <v>0</v>
      </c>
      <c r="AC172" s="3064">
        <f t="shared" si="1393"/>
        <v>0.20451004449123758</v>
      </c>
      <c r="AD172" s="3064">
        <f t="shared" si="1393"/>
        <v>0.20453967665936182</v>
      </c>
      <c r="AE172" s="3064">
        <f t="shared" si="1393"/>
        <v>0</v>
      </c>
      <c r="AF172" s="3065">
        <f t="shared" ref="AF172:AK172" si="1394">SUM(AF171/AF170)</f>
        <v>0.19093019554048876</v>
      </c>
      <c r="AG172" s="3065">
        <f t="shared" si="1394"/>
        <v>0.19098423773132542</v>
      </c>
      <c r="AH172" s="3065">
        <f t="shared" si="1394"/>
        <v>0</v>
      </c>
      <c r="AI172" s="3065">
        <f t="shared" si="1394"/>
        <v>0.14193932969351711</v>
      </c>
      <c r="AJ172" s="3065">
        <f t="shared" si="1394"/>
        <v>0.14196208640016181</v>
      </c>
      <c r="AK172" s="3065">
        <f t="shared" si="1394"/>
        <v>0</v>
      </c>
      <c r="AL172" s="3068">
        <f>SUM(AL10)</f>
        <v>-4.8990865846971654E-2</v>
      </c>
      <c r="AM172" s="3068">
        <f>SUM(AM10)</f>
        <v>-4.902215133116361E-2</v>
      </c>
      <c r="AN172" s="3068">
        <f>SUM(AN10)</f>
        <v>0</v>
      </c>
      <c r="AO172" s="3064">
        <f t="shared" ref="AO172:BI172" si="1395">SUM(AO171/AO170)</f>
        <v>0.19093019554048876</v>
      </c>
      <c r="AP172" s="3064">
        <f t="shared" si="1395"/>
        <v>0.19098423773132542</v>
      </c>
      <c r="AQ172" s="3064">
        <f t="shared" si="1395"/>
        <v>0</v>
      </c>
      <c r="AR172" s="3064">
        <f t="shared" si="1395"/>
        <v>0.20377046976088253</v>
      </c>
      <c r="AS172" s="3064">
        <f t="shared" si="1395"/>
        <v>0.20379946552913086</v>
      </c>
      <c r="AT172" s="3064">
        <f t="shared" si="1395"/>
        <v>0</v>
      </c>
      <c r="AU172" s="3064">
        <f t="shared" si="1395"/>
        <v>0.30374250875670172</v>
      </c>
      <c r="AV172" s="3064">
        <f t="shared" si="1395"/>
        <v>0.30379184813114896</v>
      </c>
      <c r="AW172" s="3064">
        <f t="shared" si="1395"/>
        <v>0</v>
      </c>
      <c r="AX172" s="3064">
        <f t="shared" si="1395"/>
        <v>0.33427002062975947</v>
      </c>
      <c r="AY172" s="3064">
        <f t="shared" si="1395"/>
        <v>0.33432110925254516</v>
      </c>
      <c r="AZ172" s="3064">
        <f t="shared" si="1395"/>
        <v>0</v>
      </c>
      <c r="BA172" s="3064">
        <f t="shared" si="1395"/>
        <v>0.27795977346772094</v>
      </c>
      <c r="BB172" s="3064">
        <f t="shared" si="1395"/>
        <v>0.27800203429806336</v>
      </c>
      <c r="BC172" s="3064">
        <f t="shared" si="1395"/>
        <v>0</v>
      </c>
      <c r="BD172" s="3065">
        <f t="shared" si="1395"/>
        <v>0.19093019554048879</v>
      </c>
      <c r="BE172" s="3065">
        <f t="shared" si="1395"/>
        <v>0.19098423773132545</v>
      </c>
      <c r="BF172" s="3065">
        <f t="shared" si="1395"/>
        <v>0</v>
      </c>
      <c r="BG172" s="3065">
        <f t="shared" si="1395"/>
        <v>0.18800702706430464</v>
      </c>
      <c r="BH172" s="3065">
        <f t="shared" si="1395"/>
        <v>0.18803664195241335</v>
      </c>
      <c r="BI172" s="3065">
        <f t="shared" si="1395"/>
        <v>0</v>
      </c>
      <c r="BJ172" s="3068">
        <f>SUM(BJ10)</f>
        <v>-2.9231684761841514E-3</v>
      </c>
      <c r="BK172" s="3068">
        <f>SUM(BK10)</f>
        <v>-2.9475957789120988E-3</v>
      </c>
      <c r="BL172" s="3068">
        <f>SUM(BL10)</f>
        <v>0</v>
      </c>
      <c r="BM172" s="3064">
        <f t="shared" ref="BM172:CJ172" si="1396">SUM(BM171/BM170)</f>
        <v>0.19093019554048876</v>
      </c>
      <c r="BN172" s="3064">
        <f t="shared" si="1396"/>
        <v>0.19098423773132542</v>
      </c>
      <c r="BO172" s="3064">
        <f t="shared" si="1396"/>
        <v>0</v>
      </c>
      <c r="BP172" s="3064" t="e">
        <f t="shared" si="1396"/>
        <v>#DIV/0!</v>
      </c>
      <c r="BQ172" s="3064" t="e">
        <f t="shared" si="1396"/>
        <v>#DIV/0!</v>
      </c>
      <c r="BR172" s="3064" t="e">
        <f t="shared" si="1396"/>
        <v>#DIV/0!</v>
      </c>
      <c r="BS172" s="3064" t="e">
        <f t="shared" si="1396"/>
        <v>#DIV/0!</v>
      </c>
      <c r="BT172" s="3064" t="e">
        <f t="shared" si="1396"/>
        <v>#DIV/0!</v>
      </c>
      <c r="BU172" s="3064" t="e">
        <f t="shared" si="1396"/>
        <v>#DIV/0!</v>
      </c>
      <c r="BV172" s="3064" t="e">
        <f t="shared" si="1396"/>
        <v>#DIV/0!</v>
      </c>
      <c r="BW172" s="3064" t="e">
        <f t="shared" si="1396"/>
        <v>#DIV/0!</v>
      </c>
      <c r="BX172" s="3064" t="e">
        <f t="shared" si="1396"/>
        <v>#DIV/0!</v>
      </c>
      <c r="BY172" s="3064" t="e">
        <f t="shared" si="1396"/>
        <v>#DIV/0!</v>
      </c>
      <c r="BZ172" s="3064" t="e">
        <f t="shared" si="1396"/>
        <v>#DIV/0!</v>
      </c>
      <c r="CA172" s="3064" t="e">
        <f t="shared" si="1396"/>
        <v>#DIV/0!</v>
      </c>
      <c r="CB172" s="3065">
        <f t="shared" si="1396"/>
        <v>0.19093019554048876</v>
      </c>
      <c r="CC172" s="3065">
        <f t="shared" si="1396"/>
        <v>0.19098423773132542</v>
      </c>
      <c r="CD172" s="3065">
        <f t="shared" si="1396"/>
        <v>0</v>
      </c>
      <c r="CE172" s="3065">
        <f>SUM(CE10)</f>
        <v>0.18800702706430464</v>
      </c>
      <c r="CF172" s="3065">
        <f>SUM(CF10)</f>
        <v>0.18803664195241335</v>
      </c>
      <c r="CG172" s="3065">
        <f>SUM(CG10)</f>
        <v>0</v>
      </c>
      <c r="CH172" s="3065">
        <f t="shared" si="1396"/>
        <v>0.20644859316271127</v>
      </c>
      <c r="CI172" s="3065">
        <f t="shared" si="1396"/>
        <v>0.20664471232434931</v>
      </c>
      <c r="CJ172" s="3065">
        <f t="shared" si="1396"/>
        <v>0</v>
      </c>
      <c r="CK172" s="3049"/>
      <c r="CL172" s="3049"/>
      <c r="CM172" s="3049"/>
      <c r="CN172" s="3049"/>
    </row>
    <row r="173" spans="1:92" ht="18.75" x14ac:dyDescent="0.2">
      <c r="A173" s="3056" t="s">
        <v>3585</v>
      </c>
      <c r="B173" s="3207">
        <f>SUM(B11)</f>
        <v>1265.2135865822333</v>
      </c>
      <c r="C173" s="3207">
        <f t="shared" ref="C173:AE173" si="1397">SUM(C11)</f>
        <v>1264.7710865822332</v>
      </c>
      <c r="D173" s="3207">
        <f t="shared" si="1397"/>
        <v>0.4425</v>
      </c>
      <c r="E173" s="3057">
        <f t="shared" si="1397"/>
        <v>527.46</v>
      </c>
      <c r="F173" s="3057">
        <f t="shared" si="1397"/>
        <v>527.34</v>
      </c>
      <c r="G173" s="3057">
        <f t="shared" si="1397"/>
        <v>0.12</v>
      </c>
      <c r="H173" s="3057">
        <f t="shared" si="1397"/>
        <v>458.71</v>
      </c>
      <c r="I173" s="3057">
        <f t="shared" si="1397"/>
        <v>458.62</v>
      </c>
      <c r="J173" s="3057">
        <f t="shared" si="1397"/>
        <v>0.09</v>
      </c>
      <c r="K173" s="3057">
        <f t="shared" si="1397"/>
        <v>501.65800000000002</v>
      </c>
      <c r="L173" s="3057">
        <f t="shared" si="1397"/>
        <v>501.58300000000003</v>
      </c>
      <c r="M173" s="3057">
        <f t="shared" si="1397"/>
        <v>7.4999999999999997E-2</v>
      </c>
      <c r="N173" s="3057">
        <f t="shared" si="1397"/>
        <v>1487.8280000000002</v>
      </c>
      <c r="O173" s="3057">
        <f t="shared" si="1397"/>
        <v>1487.5430000000001</v>
      </c>
      <c r="P173" s="3057">
        <f t="shared" si="1397"/>
        <v>0.28499999999999998</v>
      </c>
      <c r="Q173" s="3207">
        <f t="shared" si="1397"/>
        <v>1265.2135865822333</v>
      </c>
      <c r="R173" s="3207">
        <f t="shared" si="1397"/>
        <v>1264.7710865822332</v>
      </c>
      <c r="S173" s="3207">
        <f t="shared" si="1397"/>
        <v>0.4425</v>
      </c>
      <c r="T173" s="3057">
        <f t="shared" si="1397"/>
        <v>517.11300000000006</v>
      </c>
      <c r="U173" s="3057">
        <f t="shared" si="1397"/>
        <v>517.01800000000003</v>
      </c>
      <c r="V173" s="3057">
        <f t="shared" si="1397"/>
        <v>9.5000000000000001E-2</v>
      </c>
      <c r="W173" s="3057">
        <f t="shared" si="1397"/>
        <v>489.64000000000004</v>
      </c>
      <c r="X173" s="3057">
        <f t="shared" si="1397"/>
        <v>489.54300000000006</v>
      </c>
      <c r="Y173" s="3057">
        <f t="shared" si="1397"/>
        <v>9.7000000000000003E-2</v>
      </c>
      <c r="Z173" s="3057">
        <f t="shared" si="1397"/>
        <v>492.28099999999995</v>
      </c>
      <c r="AA173" s="3057">
        <f t="shared" si="1397"/>
        <v>492.19999999999993</v>
      </c>
      <c r="AB173" s="3057">
        <f t="shared" si="1397"/>
        <v>8.1000000000000003E-2</v>
      </c>
      <c r="AC173" s="3057">
        <f t="shared" si="1397"/>
        <v>1499.0339999999999</v>
      </c>
      <c r="AD173" s="3057">
        <f t="shared" si="1397"/>
        <v>1498.761</v>
      </c>
      <c r="AE173" s="3057">
        <f t="shared" si="1397"/>
        <v>0.27300000000000002</v>
      </c>
      <c r="AF173" s="3206">
        <f>SUM(AF11)</f>
        <v>2530.4271731644667</v>
      </c>
      <c r="AG173" s="3206">
        <f t="shared" ref="AG173:AN173" si="1398">SUM(AG11)</f>
        <v>2529.5421731644665</v>
      </c>
      <c r="AH173" s="3206">
        <f t="shared" si="1398"/>
        <v>0.88500000000000001</v>
      </c>
      <c r="AI173" s="3058">
        <f t="shared" si="1398"/>
        <v>2986.8620000000001</v>
      </c>
      <c r="AJ173" s="3058">
        <f t="shared" si="1398"/>
        <v>2986.3040000000001</v>
      </c>
      <c r="AK173" s="3058">
        <f t="shared" si="1398"/>
        <v>0.55800000000000005</v>
      </c>
      <c r="AL173" s="3058">
        <f t="shared" si="1398"/>
        <v>456.43482683553384</v>
      </c>
      <c r="AM173" s="3058">
        <f t="shared" si="1398"/>
        <v>456.76182683553384</v>
      </c>
      <c r="AN173" s="3058">
        <f t="shared" si="1398"/>
        <v>-0.32699999999999996</v>
      </c>
      <c r="AO173" s="3207">
        <f>SUM(AO11)</f>
        <v>1265.2135865822333</v>
      </c>
      <c r="AP173" s="3207">
        <f t="shared" ref="AP173:BC173" si="1399">SUM(AP11)</f>
        <v>1264.7710865822332</v>
      </c>
      <c r="AQ173" s="3207">
        <f t="shared" si="1399"/>
        <v>0.4425</v>
      </c>
      <c r="AR173" s="3057">
        <f t="shared" si="1399"/>
        <v>509.27</v>
      </c>
      <c r="AS173" s="3057">
        <f t="shared" si="1399"/>
        <v>509.17899999999997</v>
      </c>
      <c r="AT173" s="3057">
        <f t="shared" si="1399"/>
        <v>9.0999999999999998E-2</v>
      </c>
      <c r="AU173" s="3057">
        <f t="shared" si="1399"/>
        <v>385.82900000000001</v>
      </c>
      <c r="AV173" s="3057">
        <f t="shared" si="1399"/>
        <v>385.73900000000003</v>
      </c>
      <c r="AW173" s="3057">
        <f t="shared" si="1399"/>
        <v>0.09</v>
      </c>
      <c r="AX173" s="3057">
        <f t="shared" si="1399"/>
        <v>392.08499999999998</v>
      </c>
      <c r="AY173" s="3057">
        <f t="shared" si="1399"/>
        <v>391.995</v>
      </c>
      <c r="AZ173" s="3057">
        <f t="shared" si="1399"/>
        <v>0.09</v>
      </c>
      <c r="BA173" s="3057">
        <f t="shared" si="1399"/>
        <v>1287.184</v>
      </c>
      <c r="BB173" s="3057">
        <f t="shared" si="1399"/>
        <v>1286.913</v>
      </c>
      <c r="BC173" s="3057">
        <f t="shared" si="1399"/>
        <v>0.27100000000000002</v>
      </c>
      <c r="BD173" s="3206">
        <f>SUM(BD11)</f>
        <v>3795.6407597466991</v>
      </c>
      <c r="BE173" s="3206">
        <f t="shared" ref="BE173:BL173" si="1400">SUM(BE11)</f>
        <v>3794.3132597466993</v>
      </c>
      <c r="BF173" s="3206">
        <f t="shared" si="1400"/>
        <v>1.3275000000000001</v>
      </c>
      <c r="BG173" s="3058">
        <f t="shared" si="1400"/>
        <v>4274.0459999999994</v>
      </c>
      <c r="BH173" s="3058">
        <f t="shared" si="1400"/>
        <v>4273.2169999999996</v>
      </c>
      <c r="BI173" s="3058">
        <f t="shared" si="1400"/>
        <v>0.82900000000000007</v>
      </c>
      <c r="BJ173" s="3058">
        <f t="shared" si="1400"/>
        <v>478.40524025330052</v>
      </c>
      <c r="BK173" s="3058">
        <f t="shared" si="1400"/>
        <v>478.9037402533005</v>
      </c>
      <c r="BL173" s="3058">
        <f t="shared" si="1400"/>
        <v>-0.49850000000000005</v>
      </c>
      <c r="BM173" s="3207">
        <f>SUM(BM11)</f>
        <v>1265.2135865822333</v>
      </c>
      <c r="BN173" s="3207">
        <f t="shared" ref="BN173:CA173" si="1401">SUM(BN11)</f>
        <v>1264.7710865822332</v>
      </c>
      <c r="BO173" s="3207">
        <f t="shared" si="1401"/>
        <v>0.4425</v>
      </c>
      <c r="BP173" s="3057">
        <f t="shared" si="1401"/>
        <v>0</v>
      </c>
      <c r="BQ173" s="3057">
        <f t="shared" si="1401"/>
        <v>0</v>
      </c>
      <c r="BR173" s="3057">
        <f t="shared" si="1401"/>
        <v>0</v>
      </c>
      <c r="BS173" s="3057">
        <f t="shared" si="1401"/>
        <v>0</v>
      </c>
      <c r="BT173" s="3057">
        <f t="shared" si="1401"/>
        <v>0</v>
      </c>
      <c r="BU173" s="3057">
        <f t="shared" si="1401"/>
        <v>0</v>
      </c>
      <c r="BV173" s="3057">
        <f t="shared" si="1401"/>
        <v>0</v>
      </c>
      <c r="BW173" s="3057">
        <f t="shared" si="1401"/>
        <v>0</v>
      </c>
      <c r="BX173" s="3057">
        <f t="shared" si="1401"/>
        <v>0</v>
      </c>
      <c r="BY173" s="3057">
        <f t="shared" si="1401"/>
        <v>0</v>
      </c>
      <c r="BZ173" s="3057">
        <f t="shared" si="1401"/>
        <v>0</v>
      </c>
      <c r="CA173" s="3057">
        <f t="shared" si="1401"/>
        <v>0</v>
      </c>
      <c r="CB173" s="3206">
        <f>SUM(CB11)</f>
        <v>5060.8543463289334</v>
      </c>
      <c r="CC173" s="3206">
        <f t="shared" ref="CC173:CJ173" si="1402">SUM(CC11)</f>
        <v>5059.084346328933</v>
      </c>
      <c r="CD173" s="3206">
        <f t="shared" si="1402"/>
        <v>1.77</v>
      </c>
      <c r="CE173" s="3058">
        <f t="shared" si="1402"/>
        <v>4274.0459999999994</v>
      </c>
      <c r="CF173" s="3058">
        <f t="shared" si="1402"/>
        <v>4273.2169999999996</v>
      </c>
      <c r="CG173" s="3058">
        <f t="shared" si="1402"/>
        <v>0.82900000000000007</v>
      </c>
      <c r="CH173" s="3058">
        <f t="shared" si="1402"/>
        <v>-786.808346328933</v>
      </c>
      <c r="CI173" s="3058">
        <f t="shared" si="1402"/>
        <v>-785.86734632893297</v>
      </c>
      <c r="CJ173" s="3058">
        <f t="shared" si="1402"/>
        <v>-0.94099999999999995</v>
      </c>
      <c r="CK173" s="3049"/>
      <c r="CL173" s="3049"/>
      <c r="CM173" s="3049"/>
      <c r="CN173" s="3049"/>
    </row>
    <row r="174" spans="1:92" ht="18.75" x14ac:dyDescent="0.2">
      <c r="A174" s="3059" t="s">
        <v>51</v>
      </c>
      <c r="B174" s="3208">
        <f>SUM(B12)</f>
        <v>349.61485574889991</v>
      </c>
      <c r="C174" s="3208">
        <f t="shared" ref="C174:AE174" si="1403">SUM(C12)</f>
        <v>349.61485574889991</v>
      </c>
      <c r="D174" s="3208">
        <f t="shared" si="1403"/>
        <v>0</v>
      </c>
      <c r="E174" s="3060">
        <f t="shared" si="1403"/>
        <v>215.90500000000003</v>
      </c>
      <c r="F174" s="3060">
        <f t="shared" si="1403"/>
        <v>215.90500000000003</v>
      </c>
      <c r="G174" s="3060">
        <f t="shared" si="1403"/>
        <v>0</v>
      </c>
      <c r="H174" s="3060">
        <f t="shared" si="1403"/>
        <v>161.70999999999998</v>
      </c>
      <c r="I174" s="3060">
        <f t="shared" si="1403"/>
        <v>161.70999999999998</v>
      </c>
      <c r="J174" s="3060">
        <f t="shared" si="1403"/>
        <v>0</v>
      </c>
      <c r="K174" s="3060">
        <f t="shared" si="1403"/>
        <v>219.45400000000001</v>
      </c>
      <c r="L174" s="3060">
        <f t="shared" si="1403"/>
        <v>219.45400000000001</v>
      </c>
      <c r="M174" s="3060">
        <f t="shared" si="1403"/>
        <v>0</v>
      </c>
      <c r="N174" s="3060">
        <f t="shared" si="1403"/>
        <v>597.06900000000007</v>
      </c>
      <c r="O174" s="3060">
        <f t="shared" si="1403"/>
        <v>597.06900000000007</v>
      </c>
      <c r="P174" s="3060">
        <f t="shared" si="1403"/>
        <v>0</v>
      </c>
      <c r="Q174" s="3208">
        <f t="shared" si="1403"/>
        <v>349.61485574889991</v>
      </c>
      <c r="R174" s="3208">
        <f t="shared" si="1403"/>
        <v>349.61485574889991</v>
      </c>
      <c r="S174" s="3208">
        <f t="shared" si="1403"/>
        <v>0</v>
      </c>
      <c r="T174" s="3060">
        <f t="shared" si="1403"/>
        <v>221.91800000000006</v>
      </c>
      <c r="U174" s="3060">
        <f t="shared" si="1403"/>
        <v>221.91800000000006</v>
      </c>
      <c r="V174" s="3060">
        <f t="shared" si="1403"/>
        <v>0</v>
      </c>
      <c r="W174" s="3060">
        <f t="shared" si="1403"/>
        <v>205.90800000000007</v>
      </c>
      <c r="X174" s="3060">
        <f t="shared" si="1403"/>
        <v>205.90800000000007</v>
      </c>
      <c r="Y174" s="3060">
        <f t="shared" si="1403"/>
        <v>0</v>
      </c>
      <c r="Z174" s="3060">
        <f t="shared" si="1403"/>
        <v>210.47799999999989</v>
      </c>
      <c r="AA174" s="3060">
        <f t="shared" si="1403"/>
        <v>210.47799999999989</v>
      </c>
      <c r="AB174" s="3060">
        <f t="shared" si="1403"/>
        <v>0</v>
      </c>
      <c r="AC174" s="3060">
        <f t="shared" si="1403"/>
        <v>638.30399999999997</v>
      </c>
      <c r="AD174" s="3060">
        <f t="shared" si="1403"/>
        <v>638.30399999999997</v>
      </c>
      <c r="AE174" s="3060">
        <f t="shared" si="1403"/>
        <v>0</v>
      </c>
      <c r="AF174" s="3209">
        <f>SUM(AF12)</f>
        <v>699.22971149779983</v>
      </c>
      <c r="AG174" s="3209">
        <f t="shared" ref="AG174:AN174" si="1404">SUM(AG12)</f>
        <v>699.22971149779983</v>
      </c>
      <c r="AH174" s="3209">
        <f t="shared" si="1404"/>
        <v>0</v>
      </c>
      <c r="AI174" s="3062">
        <f t="shared" si="1404"/>
        <v>1235.373</v>
      </c>
      <c r="AJ174" s="3062">
        <f t="shared" si="1404"/>
        <v>1235.373</v>
      </c>
      <c r="AK174" s="3062">
        <f t="shared" si="1404"/>
        <v>0</v>
      </c>
      <c r="AL174" s="3062">
        <f t="shared" si="1404"/>
        <v>536.14328850220033</v>
      </c>
      <c r="AM174" s="3062">
        <f t="shared" si="1404"/>
        <v>536.14328850220033</v>
      </c>
      <c r="AN174" s="3062">
        <f t="shared" si="1404"/>
        <v>0</v>
      </c>
      <c r="AO174" s="3208">
        <f>SUM(AO12)</f>
        <v>349.61485574889991</v>
      </c>
      <c r="AP174" s="3208">
        <f t="shared" ref="AP174:BC174" si="1405">SUM(AP12)</f>
        <v>349.61485574889991</v>
      </c>
      <c r="AQ174" s="3208">
        <f t="shared" si="1405"/>
        <v>0</v>
      </c>
      <c r="AR174" s="3060">
        <f t="shared" si="1405"/>
        <v>233.57799999999997</v>
      </c>
      <c r="AS174" s="3060">
        <f t="shared" si="1405"/>
        <v>233.57799999999997</v>
      </c>
      <c r="AT174" s="3060">
        <f t="shared" si="1405"/>
        <v>0</v>
      </c>
      <c r="AU174" s="3060">
        <f t="shared" si="1405"/>
        <v>74.87700000000001</v>
      </c>
      <c r="AV174" s="3060">
        <f t="shared" si="1405"/>
        <v>74.87700000000001</v>
      </c>
      <c r="AW174" s="3060">
        <f t="shared" si="1405"/>
        <v>0</v>
      </c>
      <c r="AX174" s="3060">
        <f t="shared" si="1405"/>
        <v>90.964000000000055</v>
      </c>
      <c r="AY174" s="3060">
        <f t="shared" si="1405"/>
        <v>90.964000000000055</v>
      </c>
      <c r="AZ174" s="3060">
        <f t="shared" si="1405"/>
        <v>0</v>
      </c>
      <c r="BA174" s="3060">
        <f t="shared" si="1405"/>
        <v>399.41899999999998</v>
      </c>
      <c r="BB174" s="3060">
        <f t="shared" si="1405"/>
        <v>399.41899999999998</v>
      </c>
      <c r="BC174" s="3060">
        <f t="shared" si="1405"/>
        <v>0</v>
      </c>
      <c r="BD174" s="3209">
        <f>SUM(BD12)</f>
        <v>1048.8445672466996</v>
      </c>
      <c r="BE174" s="3209">
        <f t="shared" ref="BE174:BL174" si="1406">SUM(BE12)</f>
        <v>1048.8445672466996</v>
      </c>
      <c r="BF174" s="3209">
        <f t="shared" si="1406"/>
        <v>0</v>
      </c>
      <c r="BG174" s="3062">
        <f t="shared" si="1406"/>
        <v>1634.791999999999</v>
      </c>
      <c r="BH174" s="3062">
        <f t="shared" si="1406"/>
        <v>1634.791999999999</v>
      </c>
      <c r="BI174" s="3062">
        <f t="shared" si="1406"/>
        <v>0</v>
      </c>
      <c r="BJ174" s="3062">
        <f t="shared" si="1406"/>
        <v>585.94743275330006</v>
      </c>
      <c r="BK174" s="3062">
        <f t="shared" si="1406"/>
        <v>585.94743275330006</v>
      </c>
      <c r="BL174" s="3062">
        <f t="shared" si="1406"/>
        <v>0</v>
      </c>
      <c r="BM174" s="3208">
        <f>SUM(BM12)</f>
        <v>349.61485574889991</v>
      </c>
      <c r="BN174" s="3208">
        <f t="shared" ref="BN174:CA174" si="1407">SUM(BN12)</f>
        <v>349.61485574889991</v>
      </c>
      <c r="BO174" s="3208">
        <f t="shared" si="1407"/>
        <v>0</v>
      </c>
      <c r="BP174" s="3060">
        <f t="shared" si="1407"/>
        <v>0</v>
      </c>
      <c r="BQ174" s="3060">
        <f t="shared" si="1407"/>
        <v>0</v>
      </c>
      <c r="BR174" s="3060">
        <f t="shared" si="1407"/>
        <v>0</v>
      </c>
      <c r="BS174" s="3060">
        <f t="shared" si="1407"/>
        <v>0</v>
      </c>
      <c r="BT174" s="3060">
        <f t="shared" si="1407"/>
        <v>0</v>
      </c>
      <c r="BU174" s="3060">
        <f t="shared" si="1407"/>
        <v>0</v>
      </c>
      <c r="BV174" s="3060">
        <f t="shared" si="1407"/>
        <v>0</v>
      </c>
      <c r="BW174" s="3060">
        <f t="shared" si="1407"/>
        <v>0</v>
      </c>
      <c r="BX174" s="3060">
        <f t="shared" si="1407"/>
        <v>0</v>
      </c>
      <c r="BY174" s="3060">
        <f t="shared" si="1407"/>
        <v>0</v>
      </c>
      <c r="BZ174" s="3060">
        <f t="shared" si="1407"/>
        <v>0</v>
      </c>
      <c r="CA174" s="3060">
        <f t="shared" si="1407"/>
        <v>0</v>
      </c>
      <c r="CB174" s="3209">
        <f>SUM(CB12)</f>
        <v>1398.4594229955997</v>
      </c>
      <c r="CC174" s="3209">
        <f t="shared" ref="CC174:CJ174" si="1408">SUM(CC12)</f>
        <v>1398.4594229955997</v>
      </c>
      <c r="CD174" s="3209">
        <f t="shared" si="1408"/>
        <v>0</v>
      </c>
      <c r="CE174" s="3062">
        <f t="shared" si="1408"/>
        <v>1634.791999999999</v>
      </c>
      <c r="CF174" s="3062">
        <f t="shared" si="1408"/>
        <v>1634.791999999999</v>
      </c>
      <c r="CG174" s="3062">
        <f t="shared" si="1408"/>
        <v>0</v>
      </c>
      <c r="CH174" s="3062">
        <f t="shared" si="1408"/>
        <v>236.33257700440004</v>
      </c>
      <c r="CI174" s="3062">
        <f t="shared" si="1408"/>
        <v>236.33257700440004</v>
      </c>
      <c r="CJ174" s="3062">
        <f t="shared" si="1408"/>
        <v>0</v>
      </c>
      <c r="CK174" s="3049"/>
      <c r="CL174" s="3049"/>
      <c r="CM174" s="3049"/>
      <c r="CN174" s="3049"/>
    </row>
    <row r="175" spans="1:92" ht="18.75" x14ac:dyDescent="0.2">
      <c r="A175" s="3063" t="s">
        <v>114</v>
      </c>
      <c r="B175" s="3064">
        <f>SUM(B174/B173)</f>
        <v>0.27632872382703938</v>
      </c>
      <c r="C175" s="3064">
        <f t="shared" ref="C175:AE175" si="1409">SUM(C174/C173)</f>
        <v>0.27642540176472363</v>
      </c>
      <c r="D175" s="3064">
        <f t="shared" si="1409"/>
        <v>0</v>
      </c>
      <c r="E175" s="3064">
        <f t="shared" si="1409"/>
        <v>0.40932961741174689</v>
      </c>
      <c r="F175" s="3064">
        <f t="shared" si="1409"/>
        <v>0.40942276330261312</v>
      </c>
      <c r="G175" s="3064">
        <f t="shared" si="1409"/>
        <v>0</v>
      </c>
      <c r="H175" s="3064">
        <f t="shared" si="1409"/>
        <v>0.35253210089163084</v>
      </c>
      <c r="I175" s="3064">
        <f t="shared" si="1409"/>
        <v>0.35260128210719111</v>
      </c>
      <c r="J175" s="3064">
        <f t="shared" si="1409"/>
        <v>0</v>
      </c>
      <c r="K175" s="3064">
        <f t="shared" si="1409"/>
        <v>0.43745739129048078</v>
      </c>
      <c r="L175" s="3064">
        <f t="shared" si="1409"/>
        <v>0.43752280280631523</v>
      </c>
      <c r="M175" s="3064">
        <f t="shared" si="1409"/>
        <v>0</v>
      </c>
      <c r="N175" s="3064">
        <f t="shared" si="1409"/>
        <v>0.40130243549657624</v>
      </c>
      <c r="O175" s="3064">
        <f t="shared" si="1409"/>
        <v>0.40137932147171546</v>
      </c>
      <c r="P175" s="3064">
        <f t="shared" si="1409"/>
        <v>0</v>
      </c>
      <c r="Q175" s="3064">
        <f t="shared" si="1409"/>
        <v>0.27632872382703938</v>
      </c>
      <c r="R175" s="3064">
        <f t="shared" si="1409"/>
        <v>0.27642540176472363</v>
      </c>
      <c r="S175" s="3064">
        <f t="shared" si="1409"/>
        <v>0</v>
      </c>
      <c r="T175" s="3064">
        <f t="shared" si="1409"/>
        <v>0.42914798119559949</v>
      </c>
      <c r="U175" s="3064">
        <f t="shared" si="1409"/>
        <v>0.42922683542932749</v>
      </c>
      <c r="V175" s="3064">
        <f t="shared" si="1409"/>
        <v>0</v>
      </c>
      <c r="W175" s="3064">
        <f t="shared" si="1409"/>
        <v>0.42052936851564426</v>
      </c>
      <c r="X175" s="3064">
        <f t="shared" si="1409"/>
        <v>0.42061269387980227</v>
      </c>
      <c r="Y175" s="3064">
        <f t="shared" si="1409"/>
        <v>0</v>
      </c>
      <c r="Z175" s="3064">
        <f t="shared" si="1409"/>
        <v>0.42755661908544085</v>
      </c>
      <c r="AA175" s="3064">
        <f t="shared" si="1409"/>
        <v>0.42762698090207218</v>
      </c>
      <c r="AB175" s="3064">
        <f t="shared" si="1409"/>
        <v>0</v>
      </c>
      <c r="AC175" s="3064">
        <f t="shared" si="1409"/>
        <v>0.42581022178282818</v>
      </c>
      <c r="AD175" s="3064">
        <f t="shared" si="1409"/>
        <v>0.42588778330901322</v>
      </c>
      <c r="AE175" s="3064">
        <f t="shared" si="1409"/>
        <v>0</v>
      </c>
      <c r="AF175" s="3065">
        <f t="shared" ref="AF175:AK175" si="1410">SUM(AF174/AF173)</f>
        <v>0.27632872382703938</v>
      </c>
      <c r="AG175" s="3065">
        <f t="shared" si="1410"/>
        <v>0.27642540176472363</v>
      </c>
      <c r="AH175" s="3065">
        <f t="shared" si="1410"/>
        <v>0</v>
      </c>
      <c r="AI175" s="3065">
        <f t="shared" si="1410"/>
        <v>0.41360230234942225</v>
      </c>
      <c r="AJ175" s="3065">
        <f t="shared" si="1410"/>
        <v>0.41367958519963138</v>
      </c>
      <c r="AK175" s="3065">
        <f t="shared" si="1410"/>
        <v>0</v>
      </c>
      <c r="AL175" s="3068">
        <f>SUM(AL13)</f>
        <v>0.13727357852238287</v>
      </c>
      <c r="AM175" s="3068">
        <f>SUM(AM13)</f>
        <v>0.13725418343490775</v>
      </c>
      <c r="AN175" s="3068">
        <f>SUM(AN13)</f>
        <v>0</v>
      </c>
      <c r="AO175" s="3064">
        <f t="shared" ref="AO175:CG175" si="1411">SUM(AO174/AO173)</f>
        <v>0.27632872382703938</v>
      </c>
      <c r="AP175" s="3064">
        <f t="shared" si="1411"/>
        <v>0.27642540176472363</v>
      </c>
      <c r="AQ175" s="3064">
        <f t="shared" si="1411"/>
        <v>0</v>
      </c>
      <c r="AR175" s="3064">
        <f t="shared" si="1411"/>
        <v>0.45865258114556123</v>
      </c>
      <c r="AS175" s="3064">
        <f t="shared" si="1411"/>
        <v>0.45873455111070954</v>
      </c>
      <c r="AT175" s="3064">
        <f t="shared" si="1411"/>
        <v>0</v>
      </c>
      <c r="AU175" s="3064">
        <f t="shared" si="1411"/>
        <v>0.19406783834289285</v>
      </c>
      <c r="AV175" s="3064">
        <f t="shared" si="1411"/>
        <v>0.19411311793725811</v>
      </c>
      <c r="AW175" s="3064">
        <f t="shared" si="1411"/>
        <v>0</v>
      </c>
      <c r="AX175" s="3064">
        <f t="shared" si="1411"/>
        <v>0.23200071413086462</v>
      </c>
      <c r="AY175" s="3064">
        <f t="shared" si="1411"/>
        <v>0.23205398028036087</v>
      </c>
      <c r="AZ175" s="3064">
        <f t="shared" si="1411"/>
        <v>0</v>
      </c>
      <c r="BA175" s="3064">
        <f t="shared" si="1411"/>
        <v>0.3103045096893684</v>
      </c>
      <c r="BB175" s="3064">
        <f t="shared" si="1411"/>
        <v>0.31036985406161877</v>
      </c>
      <c r="BC175" s="3064">
        <f t="shared" si="1411"/>
        <v>0</v>
      </c>
      <c r="BD175" s="3065">
        <f t="shared" si="1411"/>
        <v>0.27632872382703938</v>
      </c>
      <c r="BE175" s="3065">
        <f t="shared" si="1411"/>
        <v>0.27642540176472363</v>
      </c>
      <c r="BF175" s="3065">
        <f t="shared" si="1411"/>
        <v>0</v>
      </c>
      <c r="BG175" s="3065">
        <f t="shared" si="1411"/>
        <v>0.38249284167741743</v>
      </c>
      <c r="BH175" s="3065">
        <f t="shared" si="1411"/>
        <v>0.38256704492189353</v>
      </c>
      <c r="BI175" s="3065">
        <f t="shared" si="1411"/>
        <v>0</v>
      </c>
      <c r="BJ175" s="3068">
        <f>SUM(BJ13)</f>
        <v>0.10616411785037805</v>
      </c>
      <c r="BK175" s="3068">
        <f>SUM(BK13)</f>
        <v>0.1061416431571699</v>
      </c>
      <c r="BL175" s="3068">
        <f>SUM(BL13)</f>
        <v>0</v>
      </c>
      <c r="BM175" s="3064">
        <f t="shared" si="1411"/>
        <v>0.27632872382703938</v>
      </c>
      <c r="BN175" s="3064">
        <f t="shared" si="1411"/>
        <v>0.27642540176472363</v>
      </c>
      <c r="BO175" s="3064">
        <f t="shared" si="1411"/>
        <v>0</v>
      </c>
      <c r="BP175" s="3064" t="e">
        <f t="shared" si="1411"/>
        <v>#DIV/0!</v>
      </c>
      <c r="BQ175" s="3064" t="e">
        <f t="shared" si="1411"/>
        <v>#DIV/0!</v>
      </c>
      <c r="BR175" s="3064" t="e">
        <f t="shared" si="1411"/>
        <v>#DIV/0!</v>
      </c>
      <c r="BS175" s="3064" t="e">
        <f t="shared" si="1411"/>
        <v>#DIV/0!</v>
      </c>
      <c r="BT175" s="3064" t="e">
        <f t="shared" si="1411"/>
        <v>#DIV/0!</v>
      </c>
      <c r="BU175" s="3064" t="e">
        <f t="shared" si="1411"/>
        <v>#DIV/0!</v>
      </c>
      <c r="BV175" s="3064" t="e">
        <f t="shared" si="1411"/>
        <v>#DIV/0!</v>
      </c>
      <c r="BW175" s="3064" t="e">
        <f t="shared" si="1411"/>
        <v>#DIV/0!</v>
      </c>
      <c r="BX175" s="3064" t="e">
        <f t="shared" si="1411"/>
        <v>#DIV/0!</v>
      </c>
      <c r="BY175" s="3064" t="e">
        <f t="shared" si="1411"/>
        <v>#DIV/0!</v>
      </c>
      <c r="BZ175" s="3064" t="e">
        <f t="shared" si="1411"/>
        <v>#DIV/0!</v>
      </c>
      <c r="CA175" s="3064" t="e">
        <f t="shared" si="1411"/>
        <v>#DIV/0!</v>
      </c>
      <c r="CB175" s="3065">
        <f t="shared" si="1411"/>
        <v>0.27632872382703938</v>
      </c>
      <c r="CC175" s="3065">
        <f t="shared" si="1411"/>
        <v>0.27642540176472363</v>
      </c>
      <c r="CD175" s="3065">
        <f t="shared" si="1411"/>
        <v>0</v>
      </c>
      <c r="CE175" s="3065">
        <f t="shared" si="1411"/>
        <v>0.38249284167741743</v>
      </c>
      <c r="CF175" s="3065">
        <f t="shared" si="1411"/>
        <v>0.38256704492189353</v>
      </c>
      <c r="CG175" s="3065">
        <f t="shared" si="1411"/>
        <v>0</v>
      </c>
      <c r="CH175" s="3068">
        <f>SUM(CH13)</f>
        <v>0.10616411785037805</v>
      </c>
      <c r="CI175" s="3068">
        <f>SUM(CI13)</f>
        <v>0.1061416431571699</v>
      </c>
      <c r="CJ175" s="3068">
        <f>SUM(CJ13)</f>
        <v>0</v>
      </c>
      <c r="CK175" s="3049"/>
      <c r="CL175" s="3049"/>
      <c r="CM175" s="3049"/>
      <c r="CN175" s="3049"/>
    </row>
    <row r="176" spans="1:92" ht="18.75" x14ac:dyDescent="0.2">
      <c r="A176" s="3056" t="s">
        <v>3586</v>
      </c>
      <c r="B176" s="3207">
        <f t="shared" ref="B176:B181" si="1412">SUM(B14)</f>
        <v>915.59873083333332</v>
      </c>
      <c r="C176" s="3207">
        <f t="shared" ref="C176:AE176" si="1413">SUM(C14)</f>
        <v>915.15623083333332</v>
      </c>
      <c r="D176" s="3207">
        <f t="shared" si="1413"/>
        <v>0.4425</v>
      </c>
      <c r="E176" s="3057">
        <f t="shared" si="1413"/>
        <v>311.55500000000001</v>
      </c>
      <c r="F176" s="3057">
        <f t="shared" si="1413"/>
        <v>311.435</v>
      </c>
      <c r="G176" s="3057">
        <f t="shared" si="1413"/>
        <v>0.12</v>
      </c>
      <c r="H176" s="3057">
        <f t="shared" si="1413"/>
        <v>297</v>
      </c>
      <c r="I176" s="3057">
        <f t="shared" si="1413"/>
        <v>296.91000000000003</v>
      </c>
      <c r="J176" s="3057">
        <f t="shared" si="1413"/>
        <v>0.09</v>
      </c>
      <c r="K176" s="3057">
        <f t="shared" si="1413"/>
        <v>282.20400000000001</v>
      </c>
      <c r="L176" s="3057">
        <f t="shared" si="1413"/>
        <v>282.12900000000002</v>
      </c>
      <c r="M176" s="3057">
        <f t="shared" si="1413"/>
        <v>7.4999999999999997E-2</v>
      </c>
      <c r="N176" s="3057">
        <f t="shared" si="1413"/>
        <v>890.75900000000001</v>
      </c>
      <c r="O176" s="3057">
        <f t="shared" si="1413"/>
        <v>890.47400000000005</v>
      </c>
      <c r="P176" s="3057">
        <f t="shared" si="1413"/>
        <v>0.28499999999999998</v>
      </c>
      <c r="Q176" s="3207">
        <f t="shared" si="1413"/>
        <v>915.59873083333332</v>
      </c>
      <c r="R176" s="3207">
        <f t="shared" si="1413"/>
        <v>915.15623083333332</v>
      </c>
      <c r="S176" s="3207">
        <f t="shared" si="1413"/>
        <v>0.4425</v>
      </c>
      <c r="T176" s="3057">
        <f t="shared" si="1413"/>
        <v>295.19499999999999</v>
      </c>
      <c r="U176" s="3057">
        <f t="shared" si="1413"/>
        <v>295.09999999999997</v>
      </c>
      <c r="V176" s="3057">
        <f t="shared" si="1413"/>
        <v>9.5000000000000001E-2</v>
      </c>
      <c r="W176" s="3057">
        <f t="shared" si="1413"/>
        <v>283.73199999999997</v>
      </c>
      <c r="X176" s="3057">
        <f t="shared" si="1413"/>
        <v>283.63499999999999</v>
      </c>
      <c r="Y176" s="3057">
        <f t="shared" si="1413"/>
        <v>9.7000000000000003E-2</v>
      </c>
      <c r="Z176" s="3057">
        <f t="shared" si="1413"/>
        <v>281.80300000000005</v>
      </c>
      <c r="AA176" s="3057">
        <f t="shared" si="1413"/>
        <v>281.72200000000004</v>
      </c>
      <c r="AB176" s="3057">
        <f t="shared" si="1413"/>
        <v>8.1000000000000003E-2</v>
      </c>
      <c r="AC176" s="3057">
        <f t="shared" si="1413"/>
        <v>860.73</v>
      </c>
      <c r="AD176" s="3057">
        <f t="shared" si="1413"/>
        <v>860.45699999999999</v>
      </c>
      <c r="AE176" s="3057">
        <f t="shared" si="1413"/>
        <v>0.27300000000000002</v>
      </c>
      <c r="AF176" s="3206">
        <f t="shared" ref="AF176:AF181" si="1414">SUM(AF14)</f>
        <v>1831.1974616666666</v>
      </c>
      <c r="AG176" s="3206">
        <f t="shared" ref="AG176:AN176" si="1415">SUM(AG14)</f>
        <v>1830.3124616666666</v>
      </c>
      <c r="AH176" s="3206">
        <f t="shared" si="1415"/>
        <v>0.88500000000000001</v>
      </c>
      <c r="AI176" s="3058">
        <f t="shared" si="1415"/>
        <v>1751.489</v>
      </c>
      <c r="AJ176" s="3058">
        <f t="shared" si="1415"/>
        <v>1750.931</v>
      </c>
      <c r="AK176" s="3058">
        <f t="shared" si="1415"/>
        <v>0.55800000000000005</v>
      </c>
      <c r="AL176" s="3058">
        <f t="shared" si="1415"/>
        <v>-79.708461666666523</v>
      </c>
      <c r="AM176" s="3058">
        <f t="shared" si="1415"/>
        <v>-79.381461666666524</v>
      </c>
      <c r="AN176" s="3058">
        <f t="shared" si="1415"/>
        <v>-0.32699999999999996</v>
      </c>
      <c r="AO176" s="3207">
        <f t="shared" ref="AO176:AO181" si="1416">SUM(AO14)</f>
        <v>915.59873083333332</v>
      </c>
      <c r="AP176" s="3207">
        <f t="shared" ref="AP176:BC176" si="1417">SUM(AP14)</f>
        <v>915.15623083333332</v>
      </c>
      <c r="AQ176" s="3207">
        <f t="shared" si="1417"/>
        <v>0.4425</v>
      </c>
      <c r="AR176" s="3057">
        <f t="shared" si="1417"/>
        <v>275.69200000000001</v>
      </c>
      <c r="AS176" s="3057">
        <f t="shared" si="1417"/>
        <v>275.601</v>
      </c>
      <c r="AT176" s="3057">
        <f t="shared" si="1417"/>
        <v>9.0999999999999998E-2</v>
      </c>
      <c r="AU176" s="3057">
        <f t="shared" si="1417"/>
        <v>310.952</v>
      </c>
      <c r="AV176" s="3057">
        <f t="shared" si="1417"/>
        <v>310.86200000000002</v>
      </c>
      <c r="AW176" s="3057">
        <f t="shared" si="1417"/>
        <v>0.09</v>
      </c>
      <c r="AX176" s="3057">
        <f t="shared" si="1417"/>
        <v>301.12099999999992</v>
      </c>
      <c r="AY176" s="3057">
        <f t="shared" si="1417"/>
        <v>301.03099999999995</v>
      </c>
      <c r="AZ176" s="3057">
        <f t="shared" si="1417"/>
        <v>0.09</v>
      </c>
      <c r="BA176" s="3057">
        <f t="shared" si="1417"/>
        <v>887.76499999999999</v>
      </c>
      <c r="BB176" s="3057">
        <f t="shared" si="1417"/>
        <v>887.49400000000003</v>
      </c>
      <c r="BC176" s="3057">
        <f t="shared" si="1417"/>
        <v>0.27100000000000002</v>
      </c>
      <c r="BD176" s="3206">
        <f t="shared" ref="BD176:BD181" si="1418">SUM(BD14)</f>
        <v>2746.7961924999995</v>
      </c>
      <c r="BE176" s="3206">
        <f t="shared" ref="BE176:BL176" si="1419">SUM(BE14)</f>
        <v>2745.4686924999996</v>
      </c>
      <c r="BF176" s="3206">
        <f t="shared" si="1419"/>
        <v>1.3275000000000001</v>
      </c>
      <c r="BG176" s="3058">
        <f t="shared" si="1419"/>
        <v>2639.2540000000008</v>
      </c>
      <c r="BH176" s="3058">
        <f t="shared" si="1419"/>
        <v>2638.4250000000006</v>
      </c>
      <c r="BI176" s="3058">
        <f t="shared" si="1419"/>
        <v>0.82900000000000007</v>
      </c>
      <c r="BJ176" s="3058">
        <f t="shared" si="1419"/>
        <v>-107.54219249999959</v>
      </c>
      <c r="BK176" s="3058">
        <f t="shared" si="1419"/>
        <v>-107.04369249999958</v>
      </c>
      <c r="BL176" s="3058">
        <f t="shared" si="1419"/>
        <v>-0.49850000000000005</v>
      </c>
      <c r="BM176" s="3207">
        <f t="shared" ref="BM176:BM181" si="1420">SUM(BM14)</f>
        <v>915.59873083333332</v>
      </c>
      <c r="BN176" s="3207">
        <f t="shared" ref="BN176:CA176" si="1421">SUM(BN14)</f>
        <v>915.15623083333332</v>
      </c>
      <c r="BO176" s="3207">
        <f t="shared" si="1421"/>
        <v>0.4425</v>
      </c>
      <c r="BP176" s="3057">
        <f t="shared" si="1421"/>
        <v>0</v>
      </c>
      <c r="BQ176" s="3057">
        <f t="shared" si="1421"/>
        <v>0</v>
      </c>
      <c r="BR176" s="3057">
        <f t="shared" si="1421"/>
        <v>0</v>
      </c>
      <c r="BS176" s="3057">
        <f t="shared" si="1421"/>
        <v>0</v>
      </c>
      <c r="BT176" s="3057">
        <f t="shared" si="1421"/>
        <v>0</v>
      </c>
      <c r="BU176" s="3057">
        <f t="shared" si="1421"/>
        <v>0</v>
      </c>
      <c r="BV176" s="3057">
        <f t="shared" si="1421"/>
        <v>0</v>
      </c>
      <c r="BW176" s="3057">
        <f t="shared" si="1421"/>
        <v>0</v>
      </c>
      <c r="BX176" s="3057">
        <f t="shared" si="1421"/>
        <v>0</v>
      </c>
      <c r="BY176" s="3057">
        <f t="shared" si="1421"/>
        <v>0</v>
      </c>
      <c r="BZ176" s="3057">
        <f t="shared" si="1421"/>
        <v>0</v>
      </c>
      <c r="CA176" s="3057">
        <f t="shared" si="1421"/>
        <v>0</v>
      </c>
      <c r="CB176" s="3206">
        <f t="shared" ref="CB176:CB181" si="1422">SUM(CB14)</f>
        <v>3662.3949233333333</v>
      </c>
      <c r="CC176" s="3206">
        <f t="shared" ref="CC176:CJ176" si="1423">SUM(CC14)</f>
        <v>3660.6249233333333</v>
      </c>
      <c r="CD176" s="3206">
        <f t="shared" si="1423"/>
        <v>1.77</v>
      </c>
      <c r="CE176" s="3058">
        <f t="shared" si="1423"/>
        <v>2639.2540000000008</v>
      </c>
      <c r="CF176" s="3058">
        <f t="shared" si="1423"/>
        <v>2638.4250000000006</v>
      </c>
      <c r="CG176" s="3058">
        <f t="shared" si="1423"/>
        <v>0.82900000000000007</v>
      </c>
      <c r="CH176" s="3058">
        <f t="shared" si="1423"/>
        <v>-1023.140923333333</v>
      </c>
      <c r="CI176" s="3058">
        <f t="shared" si="1423"/>
        <v>-1022.199923333333</v>
      </c>
      <c r="CJ176" s="3058">
        <f t="shared" si="1423"/>
        <v>-0.94099999999999995</v>
      </c>
      <c r="CK176" s="3049"/>
      <c r="CL176" s="3049"/>
      <c r="CM176" s="3049"/>
      <c r="CN176" s="3049"/>
    </row>
    <row r="177" spans="1:92" ht="18.75" x14ac:dyDescent="0.2">
      <c r="A177" s="3059" t="s">
        <v>24</v>
      </c>
      <c r="B177" s="3208">
        <f t="shared" si="1412"/>
        <v>615.14333333333332</v>
      </c>
      <c r="C177" s="3208">
        <f t="shared" ref="C177:AE177" si="1424">SUM(C15)</f>
        <v>615.14333333333332</v>
      </c>
      <c r="D177" s="3208">
        <f t="shared" si="1424"/>
        <v>0</v>
      </c>
      <c r="E177" s="3060">
        <f t="shared" si="1424"/>
        <v>215.489</v>
      </c>
      <c r="F177" s="3060">
        <f t="shared" si="1424"/>
        <v>215.489</v>
      </c>
      <c r="G177" s="3060">
        <f t="shared" si="1424"/>
        <v>0</v>
      </c>
      <c r="H177" s="3060">
        <f t="shared" si="1424"/>
        <v>198.96</v>
      </c>
      <c r="I177" s="3060">
        <f t="shared" si="1424"/>
        <v>198.96</v>
      </c>
      <c r="J177" s="3060">
        <f t="shared" si="1424"/>
        <v>0</v>
      </c>
      <c r="K177" s="3060">
        <f t="shared" si="1424"/>
        <v>191.499</v>
      </c>
      <c r="L177" s="3060">
        <f t="shared" si="1424"/>
        <v>191.499</v>
      </c>
      <c r="M177" s="3060">
        <f t="shared" si="1424"/>
        <v>0</v>
      </c>
      <c r="N177" s="3060">
        <f t="shared" si="1424"/>
        <v>605.94799999999998</v>
      </c>
      <c r="O177" s="3060">
        <f t="shared" si="1424"/>
        <v>605.94799999999998</v>
      </c>
      <c r="P177" s="3060">
        <f t="shared" si="1424"/>
        <v>0</v>
      </c>
      <c r="Q177" s="3208">
        <f t="shared" si="1424"/>
        <v>615.14333333333332</v>
      </c>
      <c r="R177" s="3208">
        <f t="shared" si="1424"/>
        <v>615.14333333333332</v>
      </c>
      <c r="S177" s="3208">
        <f t="shared" si="1424"/>
        <v>0</v>
      </c>
      <c r="T177" s="3060">
        <f t="shared" si="1424"/>
        <v>196.1</v>
      </c>
      <c r="U177" s="3060">
        <f t="shared" si="1424"/>
        <v>196.1</v>
      </c>
      <c r="V177" s="3060">
        <f t="shared" si="1424"/>
        <v>0</v>
      </c>
      <c r="W177" s="3060">
        <f t="shared" si="1424"/>
        <v>196.53399999999999</v>
      </c>
      <c r="X177" s="3060">
        <f t="shared" si="1424"/>
        <v>196.53399999999999</v>
      </c>
      <c r="Y177" s="3060">
        <f t="shared" si="1424"/>
        <v>0</v>
      </c>
      <c r="Z177" s="3060">
        <f t="shared" si="1424"/>
        <v>193.012</v>
      </c>
      <c r="AA177" s="3060">
        <f t="shared" si="1424"/>
        <v>193.012</v>
      </c>
      <c r="AB177" s="3060">
        <f t="shared" si="1424"/>
        <v>0</v>
      </c>
      <c r="AC177" s="3060">
        <f t="shared" si="1424"/>
        <v>585.64599999999996</v>
      </c>
      <c r="AD177" s="3060">
        <f t="shared" si="1424"/>
        <v>585.64599999999996</v>
      </c>
      <c r="AE177" s="3060">
        <f t="shared" si="1424"/>
        <v>0</v>
      </c>
      <c r="AF177" s="3209">
        <f t="shared" si="1414"/>
        <v>1230.2866666666666</v>
      </c>
      <c r="AG177" s="3209">
        <f t="shared" ref="AG177:AN177" si="1425">SUM(AG15)</f>
        <v>1230.2866666666666</v>
      </c>
      <c r="AH177" s="3209">
        <f t="shared" si="1425"/>
        <v>0</v>
      </c>
      <c r="AI177" s="3062">
        <f t="shared" si="1425"/>
        <v>1191.5940000000001</v>
      </c>
      <c r="AJ177" s="3062">
        <f t="shared" si="1425"/>
        <v>1191.5940000000001</v>
      </c>
      <c r="AK177" s="3062">
        <f t="shared" si="1425"/>
        <v>0</v>
      </c>
      <c r="AL177" s="3062">
        <f t="shared" si="1425"/>
        <v>-38.692666666666582</v>
      </c>
      <c r="AM177" s="3062">
        <f t="shared" si="1425"/>
        <v>-38.692666666666582</v>
      </c>
      <c r="AN177" s="3062">
        <f t="shared" si="1425"/>
        <v>0</v>
      </c>
      <c r="AO177" s="3208">
        <f t="shared" si="1416"/>
        <v>615.14333333333332</v>
      </c>
      <c r="AP177" s="3208">
        <f t="shared" ref="AP177:BC177" si="1426">SUM(AP15)</f>
        <v>615.14333333333332</v>
      </c>
      <c r="AQ177" s="3208">
        <f t="shared" si="1426"/>
        <v>0</v>
      </c>
      <c r="AR177" s="3060">
        <f t="shared" si="1426"/>
        <v>196.077</v>
      </c>
      <c r="AS177" s="3060">
        <f t="shared" si="1426"/>
        <v>196.077</v>
      </c>
      <c r="AT177" s="3060">
        <f t="shared" si="1426"/>
        <v>0</v>
      </c>
      <c r="AU177" s="3060">
        <f t="shared" si="1426"/>
        <v>224.065</v>
      </c>
      <c r="AV177" s="3060">
        <f t="shared" si="1426"/>
        <v>224.065</v>
      </c>
      <c r="AW177" s="3060">
        <f t="shared" si="1426"/>
        <v>0</v>
      </c>
      <c r="AX177" s="3060">
        <f t="shared" si="1426"/>
        <v>184.267</v>
      </c>
      <c r="AY177" s="3060">
        <f t="shared" si="1426"/>
        <v>184.267</v>
      </c>
      <c r="AZ177" s="3060">
        <f t="shared" si="1426"/>
        <v>0</v>
      </c>
      <c r="BA177" s="3060">
        <f t="shared" si="1426"/>
        <v>604.40899999999999</v>
      </c>
      <c r="BB177" s="3060">
        <f t="shared" si="1426"/>
        <v>604.40899999999999</v>
      </c>
      <c r="BC177" s="3060">
        <f t="shared" si="1426"/>
        <v>0</v>
      </c>
      <c r="BD177" s="3209">
        <f t="shared" si="1418"/>
        <v>1845.4299999999998</v>
      </c>
      <c r="BE177" s="3209">
        <f t="shared" ref="BE177:BL177" si="1427">SUM(BE15)</f>
        <v>1845.4299999999998</v>
      </c>
      <c r="BF177" s="3209">
        <f t="shared" si="1427"/>
        <v>0</v>
      </c>
      <c r="BG177" s="3062">
        <f t="shared" si="1427"/>
        <v>1796.0030000000002</v>
      </c>
      <c r="BH177" s="3062">
        <f t="shared" si="1427"/>
        <v>1796.0030000000002</v>
      </c>
      <c r="BI177" s="3062">
        <f t="shared" si="1427"/>
        <v>0</v>
      </c>
      <c r="BJ177" s="3062">
        <f t="shared" si="1427"/>
        <v>-49.42699999999968</v>
      </c>
      <c r="BK177" s="3062">
        <f t="shared" si="1427"/>
        <v>-49.42699999999968</v>
      </c>
      <c r="BL177" s="3062">
        <f t="shared" si="1427"/>
        <v>0</v>
      </c>
      <c r="BM177" s="3208">
        <f t="shared" si="1420"/>
        <v>615.14333333333332</v>
      </c>
      <c r="BN177" s="3208">
        <f t="shared" ref="BN177:CA177" si="1428">SUM(BN15)</f>
        <v>615.14333333333332</v>
      </c>
      <c r="BO177" s="3208">
        <f t="shared" si="1428"/>
        <v>0</v>
      </c>
      <c r="BP177" s="3060">
        <f t="shared" si="1428"/>
        <v>0</v>
      </c>
      <c r="BQ177" s="3060">
        <f t="shared" si="1428"/>
        <v>0</v>
      </c>
      <c r="BR177" s="3060">
        <f t="shared" si="1428"/>
        <v>0</v>
      </c>
      <c r="BS177" s="3060">
        <f t="shared" si="1428"/>
        <v>0</v>
      </c>
      <c r="BT177" s="3060">
        <f t="shared" si="1428"/>
        <v>0</v>
      </c>
      <c r="BU177" s="3060">
        <f t="shared" si="1428"/>
        <v>0</v>
      </c>
      <c r="BV177" s="3060">
        <f t="shared" si="1428"/>
        <v>0</v>
      </c>
      <c r="BW177" s="3060">
        <f t="shared" si="1428"/>
        <v>0</v>
      </c>
      <c r="BX177" s="3060">
        <f t="shared" si="1428"/>
        <v>0</v>
      </c>
      <c r="BY177" s="3060">
        <f t="shared" si="1428"/>
        <v>0</v>
      </c>
      <c r="BZ177" s="3060">
        <f t="shared" si="1428"/>
        <v>0</v>
      </c>
      <c r="CA177" s="3060">
        <f t="shared" si="1428"/>
        <v>0</v>
      </c>
      <c r="CB177" s="3209">
        <f t="shared" si="1422"/>
        <v>2460.5733333333333</v>
      </c>
      <c r="CC177" s="3209">
        <f t="shared" ref="CC177:CJ177" si="1429">SUM(CC15)</f>
        <v>2460.5733333333333</v>
      </c>
      <c r="CD177" s="3209">
        <f t="shared" si="1429"/>
        <v>0</v>
      </c>
      <c r="CE177" s="3062">
        <f t="shared" si="1429"/>
        <v>1796.0030000000002</v>
      </c>
      <c r="CF177" s="3062">
        <f t="shared" si="1429"/>
        <v>1796.0030000000002</v>
      </c>
      <c r="CG177" s="3062">
        <f t="shared" si="1429"/>
        <v>0</v>
      </c>
      <c r="CH177" s="3062">
        <f t="shared" si="1429"/>
        <v>-664.57033333333311</v>
      </c>
      <c r="CI177" s="3062">
        <f t="shared" si="1429"/>
        <v>-664.57033333333311</v>
      </c>
      <c r="CJ177" s="3062">
        <f t="shared" si="1429"/>
        <v>0</v>
      </c>
      <c r="CK177" s="3049"/>
      <c r="CL177" s="3049"/>
      <c r="CM177" s="3049"/>
      <c r="CN177" s="3049"/>
    </row>
    <row r="178" spans="1:92" ht="18.75" x14ac:dyDescent="0.2">
      <c r="A178" s="3059" t="s">
        <v>26</v>
      </c>
      <c r="B178" s="3208">
        <f t="shared" si="1412"/>
        <v>224.26249999999999</v>
      </c>
      <c r="C178" s="3208">
        <f t="shared" ref="C178:AE178" si="1430">SUM(C16)</f>
        <v>223.82</v>
      </c>
      <c r="D178" s="3208">
        <f t="shared" si="1430"/>
        <v>0.4425</v>
      </c>
      <c r="E178" s="3060">
        <f t="shared" si="1430"/>
        <v>71.009</v>
      </c>
      <c r="F178" s="3060">
        <f t="shared" si="1430"/>
        <v>70.888999999999996</v>
      </c>
      <c r="G178" s="3060">
        <f t="shared" si="1430"/>
        <v>0.12</v>
      </c>
      <c r="H178" s="3060">
        <f t="shared" si="1430"/>
        <v>72.710000000000008</v>
      </c>
      <c r="I178" s="3060">
        <f t="shared" si="1430"/>
        <v>72.62</v>
      </c>
      <c r="J178" s="3060">
        <f t="shared" si="1430"/>
        <v>0.09</v>
      </c>
      <c r="K178" s="3060">
        <f t="shared" si="1430"/>
        <v>69.045000000000002</v>
      </c>
      <c r="L178" s="3060">
        <f t="shared" si="1430"/>
        <v>68.97</v>
      </c>
      <c r="M178" s="3060">
        <f t="shared" si="1430"/>
        <v>7.4999999999999997E-2</v>
      </c>
      <c r="N178" s="3060">
        <f t="shared" si="1430"/>
        <v>212.76400000000001</v>
      </c>
      <c r="O178" s="3060">
        <f t="shared" si="1430"/>
        <v>212.47900000000001</v>
      </c>
      <c r="P178" s="3060">
        <f t="shared" si="1430"/>
        <v>0.28499999999999998</v>
      </c>
      <c r="Q178" s="3208">
        <f t="shared" si="1430"/>
        <v>224.26249999999999</v>
      </c>
      <c r="R178" s="3208">
        <f t="shared" si="1430"/>
        <v>223.82</v>
      </c>
      <c r="S178" s="3208">
        <f t="shared" si="1430"/>
        <v>0.4425</v>
      </c>
      <c r="T178" s="3060">
        <f t="shared" si="1430"/>
        <v>73.385000000000005</v>
      </c>
      <c r="U178" s="3060">
        <f t="shared" si="1430"/>
        <v>73.290000000000006</v>
      </c>
      <c r="V178" s="3060">
        <f t="shared" si="1430"/>
        <v>9.5000000000000001E-2</v>
      </c>
      <c r="W178" s="3060">
        <f t="shared" si="1430"/>
        <v>65.137999999999991</v>
      </c>
      <c r="X178" s="3060">
        <f t="shared" si="1430"/>
        <v>65.040999999999997</v>
      </c>
      <c r="Y178" s="3060">
        <f t="shared" si="1430"/>
        <v>9.7000000000000003E-2</v>
      </c>
      <c r="Z178" s="3060">
        <f t="shared" si="1430"/>
        <v>71.00500000000001</v>
      </c>
      <c r="AA178" s="3060">
        <f t="shared" si="1430"/>
        <v>70.924000000000007</v>
      </c>
      <c r="AB178" s="3060">
        <f t="shared" si="1430"/>
        <v>8.1000000000000003E-2</v>
      </c>
      <c r="AC178" s="3060">
        <f t="shared" si="1430"/>
        <v>209.52800000000002</v>
      </c>
      <c r="AD178" s="3060">
        <f t="shared" si="1430"/>
        <v>209.25500000000002</v>
      </c>
      <c r="AE178" s="3060">
        <f t="shared" si="1430"/>
        <v>0.27300000000000002</v>
      </c>
      <c r="AF178" s="3209">
        <f t="shared" si="1414"/>
        <v>448.52499999999998</v>
      </c>
      <c r="AG178" s="3209">
        <f t="shared" ref="AG178:AN178" si="1431">SUM(AG16)</f>
        <v>447.64</v>
      </c>
      <c r="AH178" s="3209">
        <f t="shared" si="1431"/>
        <v>0.88500000000000001</v>
      </c>
      <c r="AI178" s="3062">
        <f t="shared" si="1431"/>
        <v>422.29200000000003</v>
      </c>
      <c r="AJ178" s="3062">
        <f t="shared" si="1431"/>
        <v>421.73400000000004</v>
      </c>
      <c r="AK178" s="3062">
        <f t="shared" si="1431"/>
        <v>0.55800000000000005</v>
      </c>
      <c r="AL178" s="3062">
        <f t="shared" si="1431"/>
        <v>-26.232999999999947</v>
      </c>
      <c r="AM178" s="3062">
        <f t="shared" si="1431"/>
        <v>-25.905999999999949</v>
      </c>
      <c r="AN178" s="3062">
        <f t="shared" si="1431"/>
        <v>-0.32699999999999996</v>
      </c>
      <c r="AO178" s="3208">
        <f t="shared" si="1416"/>
        <v>224.26249999999999</v>
      </c>
      <c r="AP178" s="3208">
        <f t="shared" ref="AP178:BC178" si="1432">SUM(AP16)</f>
        <v>223.82</v>
      </c>
      <c r="AQ178" s="3208">
        <f t="shared" si="1432"/>
        <v>0.4425</v>
      </c>
      <c r="AR178" s="3060">
        <f t="shared" si="1432"/>
        <v>63.698999999999998</v>
      </c>
      <c r="AS178" s="3060">
        <f t="shared" si="1432"/>
        <v>63.607999999999997</v>
      </c>
      <c r="AT178" s="3060">
        <f t="shared" si="1432"/>
        <v>9.0999999999999998E-2</v>
      </c>
      <c r="AU178" s="3060">
        <f t="shared" si="1432"/>
        <v>67.442000000000007</v>
      </c>
      <c r="AV178" s="3060">
        <f t="shared" si="1432"/>
        <v>67.352000000000004</v>
      </c>
      <c r="AW178" s="3060">
        <f t="shared" si="1432"/>
        <v>0.09</v>
      </c>
      <c r="AX178" s="3060">
        <f t="shared" si="1432"/>
        <v>91.44</v>
      </c>
      <c r="AY178" s="3060">
        <f t="shared" si="1432"/>
        <v>91.35</v>
      </c>
      <c r="AZ178" s="3060">
        <f t="shared" si="1432"/>
        <v>0.09</v>
      </c>
      <c r="BA178" s="3060">
        <f t="shared" si="1432"/>
        <v>222.58099999999999</v>
      </c>
      <c r="BB178" s="3060">
        <f t="shared" si="1432"/>
        <v>222.31</v>
      </c>
      <c r="BC178" s="3060">
        <f t="shared" si="1432"/>
        <v>0.27100000000000002</v>
      </c>
      <c r="BD178" s="3209">
        <f t="shared" si="1418"/>
        <v>672.78750000000002</v>
      </c>
      <c r="BE178" s="3209">
        <f t="shared" ref="BE178:BL178" si="1433">SUM(BE16)</f>
        <v>671.46</v>
      </c>
      <c r="BF178" s="3209">
        <f t="shared" si="1433"/>
        <v>1.3275000000000001</v>
      </c>
      <c r="BG178" s="3062">
        <f t="shared" si="1433"/>
        <v>644.87300000000005</v>
      </c>
      <c r="BH178" s="3062">
        <f t="shared" si="1433"/>
        <v>644.0440000000001</v>
      </c>
      <c r="BI178" s="3062">
        <f t="shared" si="1433"/>
        <v>0.82900000000000007</v>
      </c>
      <c r="BJ178" s="3062">
        <f t="shared" si="1433"/>
        <v>-27.91449999999994</v>
      </c>
      <c r="BK178" s="3062">
        <f t="shared" si="1433"/>
        <v>-27.41599999999994</v>
      </c>
      <c r="BL178" s="3062">
        <f t="shared" si="1433"/>
        <v>-0.49850000000000005</v>
      </c>
      <c r="BM178" s="3208">
        <f t="shared" si="1420"/>
        <v>224.26249999999999</v>
      </c>
      <c r="BN178" s="3208">
        <f t="shared" ref="BN178:CA178" si="1434">SUM(BN16)</f>
        <v>223.82</v>
      </c>
      <c r="BO178" s="3208">
        <f t="shared" si="1434"/>
        <v>0.4425</v>
      </c>
      <c r="BP178" s="3060">
        <f t="shared" si="1434"/>
        <v>0</v>
      </c>
      <c r="BQ178" s="3060">
        <f t="shared" si="1434"/>
        <v>0</v>
      </c>
      <c r="BR178" s="3060">
        <f t="shared" si="1434"/>
        <v>0</v>
      </c>
      <c r="BS178" s="3060">
        <f t="shared" si="1434"/>
        <v>0</v>
      </c>
      <c r="BT178" s="3060">
        <f t="shared" si="1434"/>
        <v>0</v>
      </c>
      <c r="BU178" s="3060">
        <f t="shared" si="1434"/>
        <v>0</v>
      </c>
      <c r="BV178" s="3060">
        <f t="shared" si="1434"/>
        <v>0</v>
      </c>
      <c r="BW178" s="3060">
        <f t="shared" si="1434"/>
        <v>0</v>
      </c>
      <c r="BX178" s="3060">
        <f t="shared" si="1434"/>
        <v>0</v>
      </c>
      <c r="BY178" s="3060">
        <f t="shared" si="1434"/>
        <v>0</v>
      </c>
      <c r="BZ178" s="3060">
        <f t="shared" si="1434"/>
        <v>0</v>
      </c>
      <c r="CA178" s="3060">
        <f t="shared" si="1434"/>
        <v>0</v>
      </c>
      <c r="CB178" s="3209">
        <f t="shared" si="1422"/>
        <v>897.05</v>
      </c>
      <c r="CC178" s="3209">
        <f t="shared" ref="CC178:CJ178" si="1435">SUM(CC16)</f>
        <v>895.28</v>
      </c>
      <c r="CD178" s="3209">
        <f t="shared" si="1435"/>
        <v>1.77</v>
      </c>
      <c r="CE178" s="3062">
        <f t="shared" si="1435"/>
        <v>644.87300000000005</v>
      </c>
      <c r="CF178" s="3062">
        <f t="shared" si="1435"/>
        <v>644.0440000000001</v>
      </c>
      <c r="CG178" s="3062">
        <f t="shared" si="1435"/>
        <v>0.82900000000000007</v>
      </c>
      <c r="CH178" s="3062">
        <f t="shared" si="1435"/>
        <v>-252.17699999999988</v>
      </c>
      <c r="CI178" s="3062">
        <f t="shared" si="1435"/>
        <v>-251.23599999999988</v>
      </c>
      <c r="CJ178" s="3062">
        <f t="shared" si="1435"/>
        <v>-0.94099999999999995</v>
      </c>
      <c r="CK178" s="3049"/>
      <c r="CL178" s="3049"/>
      <c r="CM178" s="3049"/>
      <c r="CN178" s="3049"/>
    </row>
    <row r="179" spans="1:92" ht="18.75" x14ac:dyDescent="0.2">
      <c r="A179" s="3059" t="s">
        <v>3587</v>
      </c>
      <c r="B179" s="3208">
        <f t="shared" si="1412"/>
        <v>76.192897500000001</v>
      </c>
      <c r="C179" s="3208">
        <f t="shared" ref="C179:AE179" si="1436">SUM(C17)</f>
        <v>76.192897500000001</v>
      </c>
      <c r="D179" s="3208">
        <f t="shared" si="1436"/>
        <v>0</v>
      </c>
      <c r="E179" s="3060">
        <f t="shared" si="1436"/>
        <v>25.056999999999999</v>
      </c>
      <c r="F179" s="3060">
        <f t="shared" si="1436"/>
        <v>25.056999999999999</v>
      </c>
      <c r="G179" s="3060">
        <f t="shared" si="1436"/>
        <v>0</v>
      </c>
      <c r="H179" s="3060">
        <f t="shared" si="1436"/>
        <v>25.33</v>
      </c>
      <c r="I179" s="3060">
        <f t="shared" si="1436"/>
        <v>25.33</v>
      </c>
      <c r="J179" s="3060">
        <f t="shared" si="1436"/>
        <v>0</v>
      </c>
      <c r="K179" s="3060">
        <f t="shared" si="1436"/>
        <v>21.66</v>
      </c>
      <c r="L179" s="3060">
        <f t="shared" si="1436"/>
        <v>21.66</v>
      </c>
      <c r="M179" s="3060">
        <f t="shared" si="1436"/>
        <v>0</v>
      </c>
      <c r="N179" s="3060">
        <f t="shared" si="1436"/>
        <v>72.046999999999997</v>
      </c>
      <c r="O179" s="3060">
        <f t="shared" si="1436"/>
        <v>72.046999999999997</v>
      </c>
      <c r="P179" s="3060">
        <f t="shared" si="1436"/>
        <v>0</v>
      </c>
      <c r="Q179" s="3208">
        <f t="shared" si="1436"/>
        <v>76.192897500000001</v>
      </c>
      <c r="R179" s="3208">
        <f t="shared" si="1436"/>
        <v>76.192897500000001</v>
      </c>
      <c r="S179" s="3208">
        <f t="shared" si="1436"/>
        <v>0</v>
      </c>
      <c r="T179" s="3060">
        <f t="shared" si="1436"/>
        <v>25.71</v>
      </c>
      <c r="U179" s="3060">
        <f t="shared" si="1436"/>
        <v>25.71</v>
      </c>
      <c r="V179" s="3060">
        <f t="shared" si="1436"/>
        <v>0</v>
      </c>
      <c r="W179" s="3060">
        <f t="shared" si="1436"/>
        <v>22.06</v>
      </c>
      <c r="X179" s="3060">
        <f t="shared" si="1436"/>
        <v>22.06</v>
      </c>
      <c r="Y179" s="3060">
        <f t="shared" si="1436"/>
        <v>0</v>
      </c>
      <c r="Z179" s="3060">
        <f t="shared" si="1436"/>
        <v>17.786000000000001</v>
      </c>
      <c r="AA179" s="3060">
        <f t="shared" si="1436"/>
        <v>17.786000000000001</v>
      </c>
      <c r="AB179" s="3060">
        <f t="shared" si="1436"/>
        <v>0</v>
      </c>
      <c r="AC179" s="3060">
        <f t="shared" si="1436"/>
        <v>65.555999999999997</v>
      </c>
      <c r="AD179" s="3060">
        <f t="shared" si="1436"/>
        <v>65.555999999999997</v>
      </c>
      <c r="AE179" s="3060">
        <f t="shared" si="1436"/>
        <v>0</v>
      </c>
      <c r="AF179" s="3209">
        <f t="shared" si="1414"/>
        <v>152.385795</v>
      </c>
      <c r="AG179" s="3209">
        <f t="shared" ref="AG179:AN181" si="1437">SUM(AG17)</f>
        <v>152.385795</v>
      </c>
      <c r="AH179" s="3209">
        <f t="shared" si="1437"/>
        <v>0</v>
      </c>
      <c r="AI179" s="3062">
        <f t="shared" si="1437"/>
        <v>137.60300000000001</v>
      </c>
      <c r="AJ179" s="3062">
        <f t="shared" si="1437"/>
        <v>137.60300000000001</v>
      </c>
      <c r="AK179" s="3062">
        <f t="shared" si="1437"/>
        <v>0</v>
      </c>
      <c r="AL179" s="3062">
        <f t="shared" si="1437"/>
        <v>-14.782794999999986</v>
      </c>
      <c r="AM179" s="3062">
        <f t="shared" si="1437"/>
        <v>-14.782794999999986</v>
      </c>
      <c r="AN179" s="3062">
        <f t="shared" si="1437"/>
        <v>0</v>
      </c>
      <c r="AO179" s="3208">
        <f t="shared" si="1416"/>
        <v>76.192897500000001</v>
      </c>
      <c r="AP179" s="3208">
        <f t="shared" ref="AP179:BC179" si="1438">SUM(AP17)</f>
        <v>76.192897500000001</v>
      </c>
      <c r="AQ179" s="3208">
        <f t="shared" si="1438"/>
        <v>0</v>
      </c>
      <c r="AR179" s="3060">
        <f t="shared" si="1438"/>
        <v>15.916</v>
      </c>
      <c r="AS179" s="3060">
        <f t="shared" si="1438"/>
        <v>15.916</v>
      </c>
      <c r="AT179" s="3060">
        <f t="shared" si="1438"/>
        <v>0</v>
      </c>
      <c r="AU179" s="3060">
        <f t="shared" si="1438"/>
        <v>19.445</v>
      </c>
      <c r="AV179" s="3060">
        <f t="shared" si="1438"/>
        <v>19.445</v>
      </c>
      <c r="AW179" s="3060">
        <f t="shared" si="1438"/>
        <v>0</v>
      </c>
      <c r="AX179" s="3060">
        <f t="shared" si="1438"/>
        <v>25.414000000000001</v>
      </c>
      <c r="AY179" s="3060">
        <f t="shared" si="1438"/>
        <v>25.414000000000001</v>
      </c>
      <c r="AZ179" s="3060">
        <f t="shared" si="1438"/>
        <v>0</v>
      </c>
      <c r="BA179" s="3060">
        <f t="shared" si="1438"/>
        <v>60.775000000000006</v>
      </c>
      <c r="BB179" s="3060">
        <f t="shared" si="1438"/>
        <v>60.775000000000006</v>
      </c>
      <c r="BC179" s="3060">
        <f t="shared" si="1438"/>
        <v>0</v>
      </c>
      <c r="BD179" s="3209">
        <f t="shared" si="1418"/>
        <v>228.57869249999999</v>
      </c>
      <c r="BE179" s="3209">
        <f t="shared" ref="BE179:BL181" si="1439">SUM(BE17)</f>
        <v>228.57869249999999</v>
      </c>
      <c r="BF179" s="3209">
        <f t="shared" si="1439"/>
        <v>0</v>
      </c>
      <c r="BG179" s="3062">
        <f t="shared" si="1439"/>
        <v>198.37800000000001</v>
      </c>
      <c r="BH179" s="3062">
        <f t="shared" si="1439"/>
        <v>198.37800000000001</v>
      </c>
      <c r="BI179" s="3062">
        <f t="shared" si="1439"/>
        <v>0</v>
      </c>
      <c r="BJ179" s="3062">
        <f t="shared" si="1439"/>
        <v>-30.200692499999963</v>
      </c>
      <c r="BK179" s="3062">
        <f t="shared" si="1439"/>
        <v>-30.200692499999963</v>
      </c>
      <c r="BL179" s="3062">
        <f t="shared" si="1439"/>
        <v>0</v>
      </c>
      <c r="BM179" s="3208">
        <f t="shared" si="1420"/>
        <v>76.192897500000001</v>
      </c>
      <c r="BN179" s="3208">
        <f t="shared" ref="BN179:CA179" si="1440">SUM(BN17)</f>
        <v>76.192897500000001</v>
      </c>
      <c r="BO179" s="3208">
        <f t="shared" si="1440"/>
        <v>0</v>
      </c>
      <c r="BP179" s="3060">
        <f t="shared" si="1440"/>
        <v>0</v>
      </c>
      <c r="BQ179" s="3060">
        <f t="shared" si="1440"/>
        <v>0</v>
      </c>
      <c r="BR179" s="3060">
        <f t="shared" si="1440"/>
        <v>0</v>
      </c>
      <c r="BS179" s="3060">
        <f t="shared" si="1440"/>
        <v>0</v>
      </c>
      <c r="BT179" s="3060">
        <f t="shared" si="1440"/>
        <v>0</v>
      </c>
      <c r="BU179" s="3060">
        <f t="shared" si="1440"/>
        <v>0</v>
      </c>
      <c r="BV179" s="3060">
        <f t="shared" si="1440"/>
        <v>0</v>
      </c>
      <c r="BW179" s="3060">
        <f t="shared" si="1440"/>
        <v>0</v>
      </c>
      <c r="BX179" s="3060">
        <f t="shared" si="1440"/>
        <v>0</v>
      </c>
      <c r="BY179" s="3060">
        <f t="shared" si="1440"/>
        <v>0</v>
      </c>
      <c r="BZ179" s="3060">
        <f t="shared" si="1440"/>
        <v>0</v>
      </c>
      <c r="CA179" s="3060">
        <f t="shared" si="1440"/>
        <v>0</v>
      </c>
      <c r="CB179" s="3209">
        <f t="shared" si="1422"/>
        <v>304.77159</v>
      </c>
      <c r="CC179" s="3209">
        <f t="shared" ref="CC179:CJ181" si="1441">SUM(CC17)</f>
        <v>304.77159</v>
      </c>
      <c r="CD179" s="3209">
        <f t="shared" si="1441"/>
        <v>0</v>
      </c>
      <c r="CE179" s="3062">
        <f t="shared" si="1441"/>
        <v>198.37800000000001</v>
      </c>
      <c r="CF179" s="3062">
        <f t="shared" si="1441"/>
        <v>198.37800000000001</v>
      </c>
      <c r="CG179" s="3062">
        <f t="shared" si="1441"/>
        <v>0</v>
      </c>
      <c r="CH179" s="3062">
        <f t="shared" si="1441"/>
        <v>-106.39358999999997</v>
      </c>
      <c r="CI179" s="3062">
        <f t="shared" si="1441"/>
        <v>-106.39358999999997</v>
      </c>
      <c r="CJ179" s="3062">
        <f t="shared" si="1441"/>
        <v>0</v>
      </c>
      <c r="CK179" s="3049"/>
      <c r="CL179" s="3049"/>
      <c r="CM179" s="3049"/>
      <c r="CN179" s="3049"/>
    </row>
    <row r="180" spans="1:92" ht="18.75" x14ac:dyDescent="0.2">
      <c r="A180" s="3063" t="s">
        <v>650</v>
      </c>
      <c r="B180" s="3210">
        <f t="shared" si="1412"/>
        <v>66.584897499999997</v>
      </c>
      <c r="C180" s="3210">
        <f t="shared" ref="C180:AE180" si="1442">SUM(C18)</f>
        <v>66.584897499999997</v>
      </c>
      <c r="D180" s="3210">
        <f t="shared" si="1442"/>
        <v>0</v>
      </c>
      <c r="E180" s="3067">
        <f t="shared" si="1442"/>
        <v>25.056999999999999</v>
      </c>
      <c r="F180" s="3067">
        <f t="shared" si="1442"/>
        <v>25.056999999999999</v>
      </c>
      <c r="G180" s="3067">
        <f t="shared" si="1442"/>
        <v>0</v>
      </c>
      <c r="H180" s="3067">
        <f t="shared" si="1442"/>
        <v>25.33</v>
      </c>
      <c r="I180" s="3067">
        <f t="shared" si="1442"/>
        <v>25.33</v>
      </c>
      <c r="J180" s="3067">
        <f t="shared" si="1442"/>
        <v>0</v>
      </c>
      <c r="K180" s="3067">
        <f t="shared" si="1442"/>
        <v>21.66</v>
      </c>
      <c r="L180" s="3067">
        <f t="shared" si="1442"/>
        <v>21.66</v>
      </c>
      <c r="M180" s="3067">
        <f t="shared" si="1442"/>
        <v>0</v>
      </c>
      <c r="N180" s="3067">
        <f t="shared" si="1442"/>
        <v>72.046999999999997</v>
      </c>
      <c r="O180" s="3067">
        <f t="shared" si="1442"/>
        <v>72.046999999999997</v>
      </c>
      <c r="P180" s="3067">
        <f t="shared" si="1442"/>
        <v>0</v>
      </c>
      <c r="Q180" s="3210">
        <f t="shared" si="1442"/>
        <v>66.584897499999997</v>
      </c>
      <c r="R180" s="3210">
        <f t="shared" si="1442"/>
        <v>66.584897499999997</v>
      </c>
      <c r="S180" s="3210">
        <f t="shared" si="1442"/>
        <v>0</v>
      </c>
      <c r="T180" s="3067">
        <f t="shared" si="1442"/>
        <v>25.71</v>
      </c>
      <c r="U180" s="3067">
        <f t="shared" si="1442"/>
        <v>25.71</v>
      </c>
      <c r="V180" s="3067">
        <f t="shared" si="1442"/>
        <v>0</v>
      </c>
      <c r="W180" s="3067">
        <f t="shared" si="1442"/>
        <v>22.06</v>
      </c>
      <c r="X180" s="3067">
        <f t="shared" si="1442"/>
        <v>22.06</v>
      </c>
      <c r="Y180" s="3067">
        <f t="shared" si="1442"/>
        <v>0</v>
      </c>
      <c r="Z180" s="3067">
        <f t="shared" si="1442"/>
        <v>17.786000000000001</v>
      </c>
      <c r="AA180" s="3067">
        <f t="shared" si="1442"/>
        <v>17.786000000000001</v>
      </c>
      <c r="AB180" s="3067">
        <f t="shared" si="1442"/>
        <v>0</v>
      </c>
      <c r="AC180" s="3067">
        <f t="shared" si="1442"/>
        <v>65.555999999999997</v>
      </c>
      <c r="AD180" s="3067">
        <f t="shared" si="1442"/>
        <v>65.555999999999997</v>
      </c>
      <c r="AE180" s="3067">
        <f t="shared" si="1442"/>
        <v>0</v>
      </c>
      <c r="AF180" s="3211">
        <f t="shared" si="1414"/>
        <v>133.16979499999999</v>
      </c>
      <c r="AG180" s="3211">
        <f t="shared" si="1437"/>
        <v>133.16979499999999</v>
      </c>
      <c r="AH180" s="3211">
        <f t="shared" si="1437"/>
        <v>0</v>
      </c>
      <c r="AI180" s="3068">
        <f t="shared" si="1437"/>
        <v>137.60300000000001</v>
      </c>
      <c r="AJ180" s="3068">
        <f t="shared" si="1437"/>
        <v>137.60300000000001</v>
      </c>
      <c r="AK180" s="3068">
        <f t="shared" si="1437"/>
        <v>0</v>
      </c>
      <c r="AL180" s="3068">
        <f t="shared" si="1437"/>
        <v>4.4332050000000152</v>
      </c>
      <c r="AM180" s="3068">
        <f t="shared" si="1437"/>
        <v>4.4332050000000152</v>
      </c>
      <c r="AN180" s="3068">
        <f t="shared" si="1437"/>
        <v>0</v>
      </c>
      <c r="AO180" s="3210">
        <f t="shared" si="1416"/>
        <v>66.584897499999997</v>
      </c>
      <c r="AP180" s="3210">
        <f t="shared" ref="AP180:BC180" si="1443">SUM(AP18)</f>
        <v>66.584897499999997</v>
      </c>
      <c r="AQ180" s="3210">
        <f t="shared" si="1443"/>
        <v>0</v>
      </c>
      <c r="AR180" s="3067">
        <f t="shared" si="1443"/>
        <v>15.916</v>
      </c>
      <c r="AS180" s="3067">
        <f t="shared" si="1443"/>
        <v>15.916</v>
      </c>
      <c r="AT180" s="3067">
        <f t="shared" si="1443"/>
        <v>0</v>
      </c>
      <c r="AU180" s="3067">
        <f t="shared" si="1443"/>
        <v>19.445</v>
      </c>
      <c r="AV180" s="3067">
        <f t="shared" si="1443"/>
        <v>19.445</v>
      </c>
      <c r="AW180" s="3067">
        <f t="shared" si="1443"/>
        <v>0</v>
      </c>
      <c r="AX180" s="3067">
        <f t="shared" si="1443"/>
        <v>25.414000000000001</v>
      </c>
      <c r="AY180" s="3067">
        <f t="shared" si="1443"/>
        <v>25.414000000000001</v>
      </c>
      <c r="AZ180" s="3067">
        <f t="shared" si="1443"/>
        <v>0</v>
      </c>
      <c r="BA180" s="3067">
        <f t="shared" si="1443"/>
        <v>60.775000000000006</v>
      </c>
      <c r="BB180" s="3067">
        <f t="shared" si="1443"/>
        <v>60.775000000000006</v>
      </c>
      <c r="BC180" s="3067">
        <f t="shared" si="1443"/>
        <v>0</v>
      </c>
      <c r="BD180" s="3211">
        <f t="shared" si="1418"/>
        <v>199.75469249999998</v>
      </c>
      <c r="BE180" s="3211">
        <f t="shared" si="1439"/>
        <v>199.75469249999998</v>
      </c>
      <c r="BF180" s="3211">
        <f t="shared" si="1439"/>
        <v>0</v>
      </c>
      <c r="BG180" s="3068">
        <f t="shared" si="1439"/>
        <v>198.37800000000001</v>
      </c>
      <c r="BH180" s="3068">
        <f t="shared" si="1439"/>
        <v>198.37800000000001</v>
      </c>
      <c r="BI180" s="3068">
        <f t="shared" si="1439"/>
        <v>0</v>
      </c>
      <c r="BJ180" s="3068">
        <f t="shared" si="1439"/>
        <v>-1.3766924999999617</v>
      </c>
      <c r="BK180" s="3068">
        <f t="shared" si="1439"/>
        <v>-1.3766924999999617</v>
      </c>
      <c r="BL180" s="3068">
        <f t="shared" si="1439"/>
        <v>0</v>
      </c>
      <c r="BM180" s="3210">
        <f t="shared" si="1420"/>
        <v>66.584897499999997</v>
      </c>
      <c r="BN180" s="3210">
        <f t="shared" ref="BN180:CA180" si="1444">SUM(BN18)</f>
        <v>66.584897499999997</v>
      </c>
      <c r="BO180" s="3210">
        <f t="shared" si="1444"/>
        <v>0</v>
      </c>
      <c r="BP180" s="3067">
        <f t="shared" si="1444"/>
        <v>0</v>
      </c>
      <c r="BQ180" s="3067">
        <f t="shared" si="1444"/>
        <v>0</v>
      </c>
      <c r="BR180" s="3067">
        <f t="shared" si="1444"/>
        <v>0</v>
      </c>
      <c r="BS180" s="3067">
        <f t="shared" si="1444"/>
        <v>0</v>
      </c>
      <c r="BT180" s="3067">
        <f t="shared" si="1444"/>
        <v>0</v>
      </c>
      <c r="BU180" s="3067">
        <f t="shared" si="1444"/>
        <v>0</v>
      </c>
      <c r="BV180" s="3067">
        <f t="shared" si="1444"/>
        <v>0</v>
      </c>
      <c r="BW180" s="3067">
        <f t="shared" si="1444"/>
        <v>0</v>
      </c>
      <c r="BX180" s="3067">
        <f t="shared" si="1444"/>
        <v>0</v>
      </c>
      <c r="BY180" s="3067">
        <f t="shared" si="1444"/>
        <v>0</v>
      </c>
      <c r="BZ180" s="3067">
        <f t="shared" si="1444"/>
        <v>0</v>
      </c>
      <c r="CA180" s="3067">
        <f t="shared" si="1444"/>
        <v>0</v>
      </c>
      <c r="CB180" s="3211">
        <f t="shared" si="1422"/>
        <v>266.33958999999999</v>
      </c>
      <c r="CC180" s="3211">
        <f t="shared" si="1441"/>
        <v>266.33958999999999</v>
      </c>
      <c r="CD180" s="3211">
        <f t="shared" si="1441"/>
        <v>0</v>
      </c>
      <c r="CE180" s="3068">
        <f t="shared" si="1441"/>
        <v>198.37800000000001</v>
      </c>
      <c r="CF180" s="3068">
        <f t="shared" si="1441"/>
        <v>198.37800000000001</v>
      </c>
      <c r="CG180" s="3068">
        <f t="shared" si="1441"/>
        <v>0</v>
      </c>
      <c r="CH180" s="3068">
        <f t="shared" si="1441"/>
        <v>-67.961589999999973</v>
      </c>
      <c r="CI180" s="3068">
        <f t="shared" si="1441"/>
        <v>-67.961589999999973</v>
      </c>
      <c r="CJ180" s="3068">
        <f t="shared" si="1441"/>
        <v>0</v>
      </c>
      <c r="CK180" s="3049"/>
      <c r="CL180" s="3049"/>
      <c r="CM180" s="3049"/>
      <c r="CN180" s="3049"/>
    </row>
    <row r="181" spans="1:92" ht="18.75" x14ac:dyDescent="0.2">
      <c r="A181" s="3063" t="s">
        <v>651</v>
      </c>
      <c r="B181" s="3210">
        <f t="shared" si="1412"/>
        <v>9.6080000000000005</v>
      </c>
      <c r="C181" s="3210">
        <f t="shared" ref="C181:AE181" si="1445">SUM(C19)</f>
        <v>9.6080000000000005</v>
      </c>
      <c r="D181" s="3210">
        <f t="shared" si="1445"/>
        <v>0</v>
      </c>
      <c r="E181" s="3067">
        <f t="shared" si="1445"/>
        <v>0</v>
      </c>
      <c r="F181" s="3067">
        <f t="shared" si="1445"/>
        <v>0</v>
      </c>
      <c r="G181" s="3067">
        <f t="shared" si="1445"/>
        <v>0</v>
      </c>
      <c r="H181" s="3067">
        <f t="shared" si="1445"/>
        <v>0</v>
      </c>
      <c r="I181" s="3067">
        <f t="shared" si="1445"/>
        <v>0</v>
      </c>
      <c r="J181" s="3067">
        <f t="shared" si="1445"/>
        <v>0</v>
      </c>
      <c r="K181" s="3067">
        <f t="shared" si="1445"/>
        <v>0</v>
      </c>
      <c r="L181" s="3067">
        <f t="shared" si="1445"/>
        <v>0</v>
      </c>
      <c r="M181" s="3067">
        <f t="shared" si="1445"/>
        <v>0</v>
      </c>
      <c r="N181" s="3067">
        <f t="shared" si="1445"/>
        <v>0</v>
      </c>
      <c r="O181" s="3067">
        <f t="shared" si="1445"/>
        <v>0</v>
      </c>
      <c r="P181" s="3067">
        <f t="shared" si="1445"/>
        <v>0</v>
      </c>
      <c r="Q181" s="3210">
        <f t="shared" si="1445"/>
        <v>9.6080000000000005</v>
      </c>
      <c r="R181" s="3210">
        <f t="shared" si="1445"/>
        <v>9.6080000000000005</v>
      </c>
      <c r="S181" s="3210">
        <f t="shared" si="1445"/>
        <v>0</v>
      </c>
      <c r="T181" s="3067">
        <f t="shared" si="1445"/>
        <v>0</v>
      </c>
      <c r="U181" s="3067">
        <f t="shared" si="1445"/>
        <v>0</v>
      </c>
      <c r="V181" s="3067">
        <f t="shared" si="1445"/>
        <v>0</v>
      </c>
      <c r="W181" s="3067">
        <f t="shared" si="1445"/>
        <v>0</v>
      </c>
      <c r="X181" s="3067">
        <f t="shared" si="1445"/>
        <v>0</v>
      </c>
      <c r="Y181" s="3067">
        <f t="shared" si="1445"/>
        <v>0</v>
      </c>
      <c r="Z181" s="3067">
        <f t="shared" si="1445"/>
        <v>0</v>
      </c>
      <c r="AA181" s="3067">
        <f t="shared" si="1445"/>
        <v>0</v>
      </c>
      <c r="AB181" s="3067">
        <f t="shared" si="1445"/>
        <v>0</v>
      </c>
      <c r="AC181" s="3067">
        <f t="shared" si="1445"/>
        <v>0</v>
      </c>
      <c r="AD181" s="3067">
        <f t="shared" si="1445"/>
        <v>0</v>
      </c>
      <c r="AE181" s="3067">
        <f t="shared" si="1445"/>
        <v>0</v>
      </c>
      <c r="AF181" s="3211">
        <f t="shared" si="1414"/>
        <v>19.216000000000001</v>
      </c>
      <c r="AG181" s="3211">
        <f t="shared" si="1437"/>
        <v>19.216000000000001</v>
      </c>
      <c r="AH181" s="3211">
        <f t="shared" si="1437"/>
        <v>0</v>
      </c>
      <c r="AI181" s="3068">
        <f t="shared" si="1437"/>
        <v>0</v>
      </c>
      <c r="AJ181" s="3068">
        <f t="shared" si="1437"/>
        <v>0</v>
      </c>
      <c r="AK181" s="3068">
        <f t="shared" si="1437"/>
        <v>0</v>
      </c>
      <c r="AL181" s="3068">
        <f t="shared" si="1437"/>
        <v>-19.216000000000001</v>
      </c>
      <c r="AM181" s="3068">
        <f t="shared" si="1437"/>
        <v>-19.216000000000001</v>
      </c>
      <c r="AN181" s="3068">
        <f t="shared" si="1437"/>
        <v>0</v>
      </c>
      <c r="AO181" s="3210">
        <f t="shared" si="1416"/>
        <v>9.6080000000000005</v>
      </c>
      <c r="AP181" s="3210">
        <f t="shared" ref="AP181:BC181" si="1446">SUM(AP19)</f>
        <v>9.6080000000000005</v>
      </c>
      <c r="AQ181" s="3210">
        <f t="shared" si="1446"/>
        <v>0</v>
      </c>
      <c r="AR181" s="3067">
        <f t="shared" si="1446"/>
        <v>0</v>
      </c>
      <c r="AS181" s="3067">
        <f t="shared" si="1446"/>
        <v>0</v>
      </c>
      <c r="AT181" s="3067">
        <f t="shared" si="1446"/>
        <v>0</v>
      </c>
      <c r="AU181" s="3067">
        <f t="shared" si="1446"/>
        <v>0</v>
      </c>
      <c r="AV181" s="3067">
        <f t="shared" si="1446"/>
        <v>0</v>
      </c>
      <c r="AW181" s="3067">
        <f t="shared" si="1446"/>
        <v>0</v>
      </c>
      <c r="AX181" s="3067">
        <f t="shared" si="1446"/>
        <v>0</v>
      </c>
      <c r="AY181" s="3067">
        <f t="shared" si="1446"/>
        <v>0</v>
      </c>
      <c r="AZ181" s="3067">
        <f t="shared" si="1446"/>
        <v>0</v>
      </c>
      <c r="BA181" s="3067">
        <f t="shared" si="1446"/>
        <v>0</v>
      </c>
      <c r="BB181" s="3067">
        <f t="shared" si="1446"/>
        <v>0</v>
      </c>
      <c r="BC181" s="3067">
        <f t="shared" si="1446"/>
        <v>0</v>
      </c>
      <c r="BD181" s="3211">
        <f t="shared" si="1418"/>
        <v>28.824000000000002</v>
      </c>
      <c r="BE181" s="3211">
        <f t="shared" si="1439"/>
        <v>28.824000000000002</v>
      </c>
      <c r="BF181" s="3211">
        <f t="shared" si="1439"/>
        <v>0</v>
      </c>
      <c r="BG181" s="3068">
        <f t="shared" si="1439"/>
        <v>0</v>
      </c>
      <c r="BH181" s="3068">
        <f t="shared" si="1439"/>
        <v>0</v>
      </c>
      <c r="BI181" s="3068">
        <f t="shared" si="1439"/>
        <v>0</v>
      </c>
      <c r="BJ181" s="3068">
        <f t="shared" si="1439"/>
        <v>-28.824000000000002</v>
      </c>
      <c r="BK181" s="3068">
        <f t="shared" si="1439"/>
        <v>-28.824000000000002</v>
      </c>
      <c r="BL181" s="3068">
        <f t="shared" si="1439"/>
        <v>0</v>
      </c>
      <c r="BM181" s="3210">
        <f t="shared" si="1420"/>
        <v>9.6080000000000005</v>
      </c>
      <c r="BN181" s="3210">
        <f t="shared" ref="BN181:CA181" si="1447">SUM(BN19)</f>
        <v>9.6080000000000005</v>
      </c>
      <c r="BO181" s="3210">
        <f t="shared" si="1447"/>
        <v>0</v>
      </c>
      <c r="BP181" s="3067">
        <f t="shared" si="1447"/>
        <v>0</v>
      </c>
      <c r="BQ181" s="3067">
        <f t="shared" si="1447"/>
        <v>0</v>
      </c>
      <c r="BR181" s="3067">
        <f t="shared" si="1447"/>
        <v>0</v>
      </c>
      <c r="BS181" s="3067">
        <f t="shared" si="1447"/>
        <v>0</v>
      </c>
      <c r="BT181" s="3067">
        <f t="shared" si="1447"/>
        <v>0</v>
      </c>
      <c r="BU181" s="3067">
        <f t="shared" si="1447"/>
        <v>0</v>
      </c>
      <c r="BV181" s="3067">
        <f t="shared" si="1447"/>
        <v>0</v>
      </c>
      <c r="BW181" s="3067">
        <f t="shared" si="1447"/>
        <v>0</v>
      </c>
      <c r="BX181" s="3067">
        <f t="shared" si="1447"/>
        <v>0</v>
      </c>
      <c r="BY181" s="3067">
        <f t="shared" si="1447"/>
        <v>0</v>
      </c>
      <c r="BZ181" s="3067">
        <f t="shared" si="1447"/>
        <v>0</v>
      </c>
      <c r="CA181" s="3067">
        <f t="shared" si="1447"/>
        <v>0</v>
      </c>
      <c r="CB181" s="3211">
        <f t="shared" si="1422"/>
        <v>38.432000000000002</v>
      </c>
      <c r="CC181" s="3211">
        <f t="shared" si="1441"/>
        <v>38.432000000000002</v>
      </c>
      <c r="CD181" s="3211">
        <f t="shared" si="1441"/>
        <v>0</v>
      </c>
      <c r="CE181" s="3068">
        <f t="shared" si="1441"/>
        <v>0</v>
      </c>
      <c r="CF181" s="3068">
        <f t="shared" si="1441"/>
        <v>0</v>
      </c>
      <c r="CG181" s="3068">
        <f t="shared" si="1441"/>
        <v>0</v>
      </c>
      <c r="CH181" s="3068">
        <f t="shared" si="1441"/>
        <v>-38.432000000000002</v>
      </c>
      <c r="CI181" s="3068">
        <f t="shared" si="1441"/>
        <v>-38.432000000000002</v>
      </c>
      <c r="CJ181" s="3068">
        <f t="shared" si="1441"/>
        <v>0</v>
      </c>
      <c r="CK181" s="3049"/>
      <c r="CL181" s="3049"/>
      <c r="CM181" s="3049"/>
      <c r="CN181" s="3049"/>
    </row>
    <row r="182" spans="1:92" ht="18" customHeight="1" x14ac:dyDescent="0.3">
      <c r="A182" s="3052" t="s">
        <v>3588</v>
      </c>
      <c r="B182" s="3069"/>
      <c r="C182" s="3069"/>
      <c r="D182" s="3069"/>
      <c r="E182" s="3069"/>
      <c r="F182" s="3069"/>
      <c r="G182" s="3069"/>
      <c r="H182" s="3069"/>
      <c r="I182" s="3069"/>
      <c r="J182" s="3069"/>
      <c r="K182" s="3069"/>
      <c r="L182" s="3069"/>
      <c r="M182" s="3069"/>
      <c r="N182" s="3069"/>
      <c r="O182" s="3069"/>
      <c r="P182" s="3069"/>
      <c r="Q182" s="3069"/>
      <c r="R182" s="3069"/>
      <c r="S182" s="3069"/>
      <c r="T182" s="3069"/>
      <c r="U182" s="3069"/>
      <c r="V182" s="3069"/>
      <c r="W182" s="3069"/>
      <c r="X182" s="3069"/>
      <c r="Y182" s="3069"/>
      <c r="Z182" s="3069"/>
      <c r="AA182" s="3069"/>
      <c r="AB182" s="3069"/>
      <c r="AC182" s="3069"/>
      <c r="AD182" s="3069"/>
      <c r="AE182" s="3069"/>
      <c r="AF182" s="3069"/>
      <c r="AG182" s="3069"/>
      <c r="AH182" s="3069"/>
      <c r="AI182" s="3069"/>
      <c r="AJ182" s="3069"/>
      <c r="AK182" s="3069"/>
      <c r="AL182" s="3069"/>
      <c r="AM182" s="3069"/>
      <c r="AN182" s="3069"/>
      <c r="AO182" s="3069"/>
      <c r="AP182" s="3069"/>
      <c r="AQ182" s="3069"/>
      <c r="AR182" s="3069"/>
      <c r="AS182" s="3069"/>
      <c r="AT182" s="3069"/>
      <c r="AU182" s="3069"/>
      <c r="AV182" s="3069"/>
      <c r="AW182" s="3069"/>
      <c r="AX182" s="3069"/>
      <c r="AY182" s="3069"/>
      <c r="AZ182" s="3069"/>
      <c r="BA182" s="3069"/>
      <c r="BB182" s="3069"/>
      <c r="BC182" s="3069"/>
      <c r="BD182" s="3069"/>
      <c r="BE182" s="3069"/>
      <c r="BF182" s="3069"/>
      <c r="BG182" s="3069"/>
      <c r="BH182" s="3069"/>
      <c r="BI182" s="3069"/>
      <c r="BJ182" s="3069"/>
      <c r="BK182" s="3069"/>
      <c r="BL182" s="3069"/>
      <c r="BM182" s="3069"/>
      <c r="BN182" s="3069"/>
      <c r="BO182" s="3069"/>
      <c r="BP182" s="3069"/>
      <c r="BQ182" s="3069"/>
      <c r="BR182" s="3069"/>
      <c r="BS182" s="3069"/>
      <c r="BT182" s="3069"/>
      <c r="BU182" s="3069"/>
      <c r="BV182" s="3069"/>
      <c r="BW182" s="3069"/>
      <c r="BX182" s="3069"/>
      <c r="BY182" s="3069"/>
      <c r="BZ182" s="3069"/>
      <c r="CA182" s="3069"/>
      <c r="CB182" s="3069"/>
      <c r="CC182" s="3069"/>
      <c r="CD182" s="3069"/>
      <c r="CE182" s="3069"/>
      <c r="CF182" s="3069"/>
      <c r="CG182" s="3069"/>
      <c r="CH182" s="3069"/>
      <c r="CI182" s="3085"/>
      <c r="CJ182" s="3086"/>
      <c r="CK182" s="3049"/>
      <c r="CL182" s="3049"/>
      <c r="CM182" s="3049"/>
      <c r="CN182" s="3049"/>
    </row>
    <row r="183" spans="1:92" ht="18.75" customHeight="1" x14ac:dyDescent="0.2">
      <c r="A183" s="3723" t="s">
        <v>536</v>
      </c>
      <c r="B183" s="3707" t="s">
        <v>3575</v>
      </c>
      <c r="C183" s="3708"/>
      <c r="D183" s="3708"/>
      <c r="E183" s="3708"/>
      <c r="F183" s="3708"/>
      <c r="G183" s="3708"/>
      <c r="H183" s="3708"/>
      <c r="I183" s="3708"/>
      <c r="J183" s="3708"/>
      <c r="K183" s="3708"/>
      <c r="L183" s="3708"/>
      <c r="M183" s="3708"/>
      <c r="N183" s="3708"/>
      <c r="O183" s="3708"/>
      <c r="P183" s="3725"/>
      <c r="Q183" s="3696" t="s">
        <v>3576</v>
      </c>
      <c r="R183" s="3697"/>
      <c r="S183" s="3697"/>
      <c r="T183" s="3697"/>
      <c r="U183" s="3697"/>
      <c r="V183" s="3697"/>
      <c r="W183" s="3697"/>
      <c r="X183" s="3697"/>
      <c r="Y183" s="3697"/>
      <c r="Z183" s="3697"/>
      <c r="AA183" s="3697"/>
      <c r="AB183" s="3697"/>
      <c r="AC183" s="3697"/>
      <c r="AD183" s="3655"/>
      <c r="AE183" s="3656"/>
      <c r="AF183" s="3692" t="s">
        <v>3577</v>
      </c>
      <c r="AG183" s="3693"/>
      <c r="AH183" s="3693"/>
      <c r="AI183" s="3693"/>
      <c r="AJ183" s="3693"/>
      <c r="AK183" s="3693"/>
      <c r="AL183" s="3693"/>
      <c r="AM183" s="3705"/>
      <c r="AN183" s="3706"/>
      <c r="AO183" s="3707" t="s">
        <v>3578</v>
      </c>
      <c r="AP183" s="3708"/>
      <c r="AQ183" s="3708"/>
      <c r="AR183" s="3708"/>
      <c r="AS183" s="3708"/>
      <c r="AT183" s="3708"/>
      <c r="AU183" s="3708"/>
      <c r="AV183" s="3708"/>
      <c r="AW183" s="3708"/>
      <c r="AX183" s="3708"/>
      <c r="AY183" s="3708"/>
      <c r="AZ183" s="3708"/>
      <c r="BA183" s="3708"/>
      <c r="BB183" s="3705"/>
      <c r="BC183" s="3706"/>
      <c r="BD183" s="3692" t="s">
        <v>3579</v>
      </c>
      <c r="BE183" s="3693"/>
      <c r="BF183" s="3693"/>
      <c r="BG183" s="3693"/>
      <c r="BH183" s="3693"/>
      <c r="BI183" s="3693"/>
      <c r="BJ183" s="3693"/>
      <c r="BK183" s="3705"/>
      <c r="BL183" s="3706"/>
      <c r="BM183" s="3726" t="s">
        <v>3580</v>
      </c>
      <c r="BN183" s="3727"/>
      <c r="BO183" s="3727"/>
      <c r="BP183" s="3727"/>
      <c r="BQ183" s="3727"/>
      <c r="BR183" s="3727"/>
      <c r="BS183" s="3727"/>
      <c r="BT183" s="3727"/>
      <c r="BU183" s="3727"/>
      <c r="BV183" s="3727"/>
      <c r="BW183" s="3727"/>
      <c r="BX183" s="3727"/>
      <c r="BY183" s="3727"/>
      <c r="BZ183" s="3607"/>
      <c r="CA183" s="3607"/>
      <c r="CB183" s="3692" t="s">
        <v>2019</v>
      </c>
      <c r="CC183" s="3693"/>
      <c r="CD183" s="3693"/>
      <c r="CE183" s="3693"/>
      <c r="CF183" s="3693"/>
      <c r="CG183" s="3693"/>
      <c r="CH183" s="3693"/>
      <c r="CI183" s="3694"/>
      <c r="CJ183" s="3695"/>
      <c r="CK183" s="3049"/>
      <c r="CL183" s="3049"/>
      <c r="CM183" s="3049"/>
      <c r="CN183" s="3049"/>
    </row>
    <row r="184" spans="1:92" ht="18.75" customHeight="1" x14ac:dyDescent="0.2">
      <c r="A184" s="3724"/>
      <c r="B184" s="3696" t="s">
        <v>3581</v>
      </c>
      <c r="C184" s="3697"/>
      <c r="D184" s="3698"/>
      <c r="E184" s="3726" t="s">
        <v>582</v>
      </c>
      <c r="F184" s="3727"/>
      <c r="G184" s="3728"/>
      <c r="H184" s="3726" t="s">
        <v>583</v>
      </c>
      <c r="I184" s="3727"/>
      <c r="J184" s="3728"/>
      <c r="K184" s="3726" t="s">
        <v>584</v>
      </c>
      <c r="L184" s="3727"/>
      <c r="M184" s="3728"/>
      <c r="N184" s="3696" t="s">
        <v>1692</v>
      </c>
      <c r="O184" s="3697"/>
      <c r="P184" s="3698"/>
      <c r="Q184" s="3696" t="s">
        <v>3581</v>
      </c>
      <c r="R184" s="3697"/>
      <c r="S184" s="3698"/>
      <c r="T184" s="3729" t="s">
        <v>3582</v>
      </c>
      <c r="U184" s="3730"/>
      <c r="V184" s="3731"/>
      <c r="W184" s="3729" t="s">
        <v>586</v>
      </c>
      <c r="X184" s="3730"/>
      <c r="Y184" s="3731"/>
      <c r="Z184" s="3729" t="s">
        <v>587</v>
      </c>
      <c r="AA184" s="3730"/>
      <c r="AB184" s="3731"/>
      <c r="AC184" s="3696" t="s">
        <v>1692</v>
      </c>
      <c r="AD184" s="3697"/>
      <c r="AE184" s="3698"/>
      <c r="AF184" s="3699" t="s">
        <v>3581</v>
      </c>
      <c r="AG184" s="3700"/>
      <c r="AH184" s="3701"/>
      <c r="AI184" s="3699" t="s">
        <v>1692</v>
      </c>
      <c r="AJ184" s="3700"/>
      <c r="AK184" s="3701"/>
      <c r="AL184" s="3699" t="s">
        <v>3583</v>
      </c>
      <c r="AM184" s="3700"/>
      <c r="AN184" s="3701"/>
      <c r="AO184" s="3712" t="s">
        <v>3581</v>
      </c>
      <c r="AP184" s="3713"/>
      <c r="AQ184" s="3714"/>
      <c r="AR184" s="3702" t="s">
        <v>588</v>
      </c>
      <c r="AS184" s="3703"/>
      <c r="AT184" s="3704"/>
      <c r="AU184" s="3702" t="s">
        <v>589</v>
      </c>
      <c r="AV184" s="3703"/>
      <c r="AW184" s="3704"/>
      <c r="AX184" s="3702" t="s">
        <v>590</v>
      </c>
      <c r="AY184" s="3703"/>
      <c r="AZ184" s="3704"/>
      <c r="BA184" s="3712" t="s">
        <v>1692</v>
      </c>
      <c r="BB184" s="3713"/>
      <c r="BC184" s="3714"/>
      <c r="BD184" s="3715" t="s">
        <v>3581</v>
      </c>
      <c r="BE184" s="3716"/>
      <c r="BF184" s="3717"/>
      <c r="BG184" s="3715" t="s">
        <v>1692</v>
      </c>
      <c r="BH184" s="3716"/>
      <c r="BI184" s="3717"/>
      <c r="BJ184" s="3715" t="s">
        <v>3583</v>
      </c>
      <c r="BK184" s="3716"/>
      <c r="BL184" s="3717"/>
      <c r="BM184" s="3762" t="s">
        <v>3581</v>
      </c>
      <c r="BN184" s="3763"/>
      <c r="BO184" s="3764"/>
      <c r="BP184" s="3709" t="s">
        <v>591</v>
      </c>
      <c r="BQ184" s="3710"/>
      <c r="BR184" s="3711"/>
      <c r="BS184" s="3709" t="s">
        <v>592</v>
      </c>
      <c r="BT184" s="3710"/>
      <c r="BU184" s="3711"/>
      <c r="BV184" s="3709" t="s">
        <v>593</v>
      </c>
      <c r="BW184" s="3710"/>
      <c r="BX184" s="3711"/>
      <c r="BY184" s="3762" t="s">
        <v>1692</v>
      </c>
      <c r="BZ184" s="3763"/>
      <c r="CA184" s="3763"/>
      <c r="CB184" s="3718" t="s">
        <v>3581</v>
      </c>
      <c r="CC184" s="3721"/>
      <c r="CD184" s="3722"/>
      <c r="CE184" s="3718" t="s">
        <v>1692</v>
      </c>
      <c r="CF184" s="3721"/>
      <c r="CG184" s="3722"/>
      <c r="CH184" s="3718" t="s">
        <v>3583</v>
      </c>
      <c r="CI184" s="3719"/>
      <c r="CJ184" s="3720"/>
      <c r="CK184" s="3049"/>
      <c r="CL184" s="3049"/>
      <c r="CM184" s="3049"/>
      <c r="CN184" s="3049"/>
    </row>
    <row r="185" spans="1:92" ht="18.75" customHeight="1" x14ac:dyDescent="0.2">
      <c r="A185" s="3724"/>
      <c r="B185" s="3095" t="s">
        <v>627</v>
      </c>
      <c r="C185" s="3095" t="s">
        <v>3625</v>
      </c>
      <c r="D185" s="3095" t="s">
        <v>3626</v>
      </c>
      <c r="E185" s="3095" t="s">
        <v>627</v>
      </c>
      <c r="F185" s="3095" t="s">
        <v>3625</v>
      </c>
      <c r="G185" s="3095" t="s">
        <v>3626</v>
      </c>
      <c r="H185" s="3095" t="s">
        <v>627</v>
      </c>
      <c r="I185" s="3095" t="s">
        <v>3625</v>
      </c>
      <c r="J185" s="3095" t="s">
        <v>3626</v>
      </c>
      <c r="K185" s="3095" t="s">
        <v>627</v>
      </c>
      <c r="L185" s="3095" t="s">
        <v>3625</v>
      </c>
      <c r="M185" s="3095" t="s">
        <v>3626</v>
      </c>
      <c r="N185" s="3095" t="s">
        <v>627</v>
      </c>
      <c r="O185" s="3095" t="s">
        <v>3625</v>
      </c>
      <c r="P185" s="3095" t="s">
        <v>3626</v>
      </c>
      <c r="Q185" s="3095" t="s">
        <v>627</v>
      </c>
      <c r="R185" s="3095" t="s">
        <v>3625</v>
      </c>
      <c r="S185" s="3095" t="s">
        <v>3626</v>
      </c>
      <c r="T185" s="3095" t="s">
        <v>627</v>
      </c>
      <c r="U185" s="3095" t="s">
        <v>3625</v>
      </c>
      <c r="V185" s="3095" t="s">
        <v>3626</v>
      </c>
      <c r="W185" s="3095" t="s">
        <v>627</v>
      </c>
      <c r="X185" s="3095" t="s">
        <v>3625</v>
      </c>
      <c r="Y185" s="3095" t="s">
        <v>3626</v>
      </c>
      <c r="Z185" s="3095" t="s">
        <v>627</v>
      </c>
      <c r="AA185" s="3095" t="s">
        <v>3625</v>
      </c>
      <c r="AB185" s="3095" t="s">
        <v>3626</v>
      </c>
      <c r="AC185" s="3095" t="s">
        <v>627</v>
      </c>
      <c r="AD185" s="3095" t="s">
        <v>3625</v>
      </c>
      <c r="AE185" s="3095" t="s">
        <v>3626</v>
      </c>
      <c r="AF185" s="3096" t="s">
        <v>627</v>
      </c>
      <c r="AG185" s="3096" t="s">
        <v>3625</v>
      </c>
      <c r="AH185" s="3096" t="s">
        <v>3626</v>
      </c>
      <c r="AI185" s="3096" t="s">
        <v>627</v>
      </c>
      <c r="AJ185" s="3096" t="s">
        <v>3625</v>
      </c>
      <c r="AK185" s="3096" t="s">
        <v>3626</v>
      </c>
      <c r="AL185" s="3096" t="s">
        <v>627</v>
      </c>
      <c r="AM185" s="3096" t="s">
        <v>3625</v>
      </c>
      <c r="AN185" s="3096" t="s">
        <v>3626</v>
      </c>
      <c r="AO185" s="3095" t="s">
        <v>627</v>
      </c>
      <c r="AP185" s="3095" t="s">
        <v>3625</v>
      </c>
      <c r="AQ185" s="3095" t="s">
        <v>3626</v>
      </c>
      <c r="AR185" s="3095" t="s">
        <v>627</v>
      </c>
      <c r="AS185" s="3095" t="s">
        <v>3625</v>
      </c>
      <c r="AT185" s="3095" t="s">
        <v>3626</v>
      </c>
      <c r="AU185" s="3095" t="s">
        <v>627</v>
      </c>
      <c r="AV185" s="3095" t="s">
        <v>3625</v>
      </c>
      <c r="AW185" s="3095" t="s">
        <v>3626</v>
      </c>
      <c r="AX185" s="3095" t="s">
        <v>627</v>
      </c>
      <c r="AY185" s="3095" t="s">
        <v>3625</v>
      </c>
      <c r="AZ185" s="3095" t="s">
        <v>3626</v>
      </c>
      <c r="BA185" s="3095" t="s">
        <v>627</v>
      </c>
      <c r="BB185" s="3095" t="s">
        <v>3625</v>
      </c>
      <c r="BC185" s="3095" t="s">
        <v>3626</v>
      </c>
      <c r="BD185" s="3096" t="s">
        <v>627</v>
      </c>
      <c r="BE185" s="3096" t="s">
        <v>3625</v>
      </c>
      <c r="BF185" s="3096" t="s">
        <v>3626</v>
      </c>
      <c r="BG185" s="3096" t="s">
        <v>627</v>
      </c>
      <c r="BH185" s="3096" t="s">
        <v>3625</v>
      </c>
      <c r="BI185" s="3096" t="s">
        <v>3626</v>
      </c>
      <c r="BJ185" s="3096" t="s">
        <v>627</v>
      </c>
      <c r="BK185" s="3096" t="s">
        <v>3625</v>
      </c>
      <c r="BL185" s="3096" t="s">
        <v>3626</v>
      </c>
      <c r="BM185" s="3095" t="s">
        <v>627</v>
      </c>
      <c r="BN185" s="3095" t="s">
        <v>3625</v>
      </c>
      <c r="BO185" s="3095" t="s">
        <v>3626</v>
      </c>
      <c r="BP185" s="3095" t="s">
        <v>627</v>
      </c>
      <c r="BQ185" s="3095" t="s">
        <v>3625</v>
      </c>
      <c r="BR185" s="3095" t="s">
        <v>3626</v>
      </c>
      <c r="BS185" s="3095" t="s">
        <v>627</v>
      </c>
      <c r="BT185" s="3095" t="s">
        <v>3625</v>
      </c>
      <c r="BU185" s="3095" t="s">
        <v>3626</v>
      </c>
      <c r="BV185" s="3095" t="s">
        <v>627</v>
      </c>
      <c r="BW185" s="3095" t="s">
        <v>3625</v>
      </c>
      <c r="BX185" s="3095" t="s">
        <v>3626</v>
      </c>
      <c r="BY185" s="3095" t="s">
        <v>627</v>
      </c>
      <c r="BZ185" s="3095" t="s">
        <v>3625</v>
      </c>
      <c r="CA185" s="3097" t="s">
        <v>3626</v>
      </c>
      <c r="CB185" s="3096" t="s">
        <v>627</v>
      </c>
      <c r="CC185" s="3096" t="s">
        <v>3625</v>
      </c>
      <c r="CD185" s="3096" t="s">
        <v>3626</v>
      </c>
      <c r="CE185" s="3096" t="s">
        <v>627</v>
      </c>
      <c r="CF185" s="3096" t="s">
        <v>3625</v>
      </c>
      <c r="CG185" s="3096" t="s">
        <v>3626</v>
      </c>
      <c r="CH185" s="3096" t="s">
        <v>627</v>
      </c>
      <c r="CI185" s="3096" t="s">
        <v>3625</v>
      </c>
      <c r="CJ185" s="3096" t="s">
        <v>3626</v>
      </c>
      <c r="CK185" s="3049"/>
      <c r="CL185" s="3049"/>
      <c r="CM185" s="3049"/>
      <c r="CN185" s="3049"/>
    </row>
    <row r="186" spans="1:92" ht="18.75" x14ac:dyDescent="0.3">
      <c r="A186" s="3071" t="s">
        <v>1</v>
      </c>
      <c r="B186" s="3270">
        <f t="shared" ref="B186:D186" si="1448">SUM(B25+B49+B63)</f>
        <v>3246.0130988278993</v>
      </c>
      <c r="C186" s="3270">
        <f t="shared" si="1448"/>
        <v>3245.7172320236255</v>
      </c>
      <c r="D186" s="3270">
        <f t="shared" si="1448"/>
        <v>0.29586680427391931</v>
      </c>
      <c r="E186" s="3088">
        <f t="shared" ref="E186:G186" si="1449">SUM(E25+E49+E63)</f>
        <v>912.30800000000011</v>
      </c>
      <c r="F186" s="3088">
        <f>SUM(F25+F49+F63)</f>
        <v>912.22</v>
      </c>
      <c r="G186" s="3088">
        <f t="shared" si="1449"/>
        <v>8.7999999999999995E-2</v>
      </c>
      <c r="H186" s="3088">
        <f t="shared" ref="H186:J186" si="1450">SUM(H25+H49+H63)</f>
        <v>779.13</v>
      </c>
      <c r="I186" s="3088">
        <f t="shared" si="1450"/>
        <v>779.06000000000006</v>
      </c>
      <c r="J186" s="3088">
        <f t="shared" si="1450"/>
        <v>7.0000000000000007E-2</v>
      </c>
      <c r="K186" s="3088">
        <f t="shared" ref="K186:M186" si="1451">SUM(K25+K49+K63)</f>
        <v>835.11</v>
      </c>
      <c r="L186" s="3088">
        <f t="shared" si="1451"/>
        <v>835.06000000000006</v>
      </c>
      <c r="M186" s="3088">
        <f t="shared" si="1451"/>
        <v>0.05</v>
      </c>
      <c r="N186" s="3088">
        <f t="shared" ref="N186:AB186" si="1452">SUM(N25+N49+N63)</f>
        <v>2526.5479999999998</v>
      </c>
      <c r="O186" s="3088">
        <f t="shared" si="1452"/>
        <v>2526.3399999999997</v>
      </c>
      <c r="P186" s="3088">
        <f t="shared" si="1452"/>
        <v>0.20800000000000002</v>
      </c>
      <c r="Q186" s="3270">
        <f t="shared" si="1452"/>
        <v>3246.0130988278993</v>
      </c>
      <c r="R186" s="3270">
        <f t="shared" si="1452"/>
        <v>3245.7172320236255</v>
      </c>
      <c r="S186" s="3270">
        <f t="shared" si="1452"/>
        <v>0.29586680427391931</v>
      </c>
      <c r="T186" s="3088">
        <f t="shared" si="1452"/>
        <v>1054.8399999999999</v>
      </c>
      <c r="U186" s="3088">
        <f t="shared" si="1452"/>
        <v>1054.77</v>
      </c>
      <c r="V186" s="3088">
        <f t="shared" si="1452"/>
        <v>7.0000000000000007E-2</v>
      </c>
      <c r="W186" s="3088">
        <f t="shared" si="1452"/>
        <v>1060.06</v>
      </c>
      <c r="X186" s="3088">
        <f t="shared" si="1452"/>
        <v>1059.99</v>
      </c>
      <c r="Y186" s="3088">
        <f t="shared" si="1452"/>
        <v>7.0000000000000007E-2</v>
      </c>
      <c r="Z186" s="3088">
        <f t="shared" si="1452"/>
        <v>940.82</v>
      </c>
      <c r="AA186" s="3088">
        <f t="shared" si="1452"/>
        <v>940.7600000000001</v>
      </c>
      <c r="AB186" s="3088">
        <f t="shared" si="1452"/>
        <v>0.06</v>
      </c>
      <c r="AC186" s="3088">
        <f t="shared" ref="AC186:AE186" si="1453">SUM(AC25+AC49+AC63)</f>
        <v>3055.7200000000003</v>
      </c>
      <c r="AD186" s="3088">
        <f t="shared" si="1453"/>
        <v>3055.52</v>
      </c>
      <c r="AE186" s="3088">
        <f t="shared" si="1453"/>
        <v>0.2</v>
      </c>
      <c r="AF186" s="3273">
        <f t="shared" ref="AF186:AK186" si="1454">SUM(AF25+AF49+AF63)</f>
        <v>6492.0261976557986</v>
      </c>
      <c r="AG186" s="3273">
        <f t="shared" si="1454"/>
        <v>6491.4344640472509</v>
      </c>
      <c r="AH186" s="3273">
        <f t="shared" si="1454"/>
        <v>0.59173360854783863</v>
      </c>
      <c r="AI186" s="3089">
        <f t="shared" si="1454"/>
        <v>5582.268</v>
      </c>
      <c r="AJ186" s="3089">
        <f t="shared" si="1454"/>
        <v>5581.86</v>
      </c>
      <c r="AK186" s="3089">
        <f t="shared" si="1454"/>
        <v>0.40800000000000003</v>
      </c>
      <c r="AL186" s="3062">
        <f t="shared" ref="AL186:AL216" si="1455">SUM(AI186-AF186)</f>
        <v>-909.75819765579854</v>
      </c>
      <c r="AM186" s="3062">
        <f t="shared" ref="AM186:AM216" si="1456">SUM(AJ186-AG186)</f>
        <v>-909.57446404725124</v>
      </c>
      <c r="AN186" s="3062">
        <f t="shared" ref="AN186:AN216" si="1457">SUM(AK186-AH186)</f>
        <v>-0.1837336085478386</v>
      </c>
      <c r="AO186" s="3270">
        <f t="shared" ref="AO186:BC186" si="1458">SUM(AO25+AO49+AO63)</f>
        <v>3418.2368629087455</v>
      </c>
      <c r="AP186" s="3270">
        <f t="shared" si="1458"/>
        <v>3417.9235399630193</v>
      </c>
      <c r="AQ186" s="3270">
        <f t="shared" si="1458"/>
        <v>0.31332294572608066</v>
      </c>
      <c r="AR186" s="3088">
        <f t="shared" si="1458"/>
        <v>1018.9270000000001</v>
      </c>
      <c r="AS186" s="3088">
        <f t="shared" si="1458"/>
        <v>1018.8600000000001</v>
      </c>
      <c r="AT186" s="3088">
        <f t="shared" si="1458"/>
        <v>6.7000000000000004E-2</v>
      </c>
      <c r="AU186" s="3088">
        <f t="shared" si="1458"/>
        <v>1297.1770000000001</v>
      </c>
      <c r="AV186" s="3088">
        <f t="shared" si="1458"/>
        <v>1297.1100000000001</v>
      </c>
      <c r="AW186" s="3088">
        <f t="shared" si="1458"/>
        <v>6.7000000000000004E-2</v>
      </c>
      <c r="AX186" s="3088">
        <f t="shared" si="1458"/>
        <v>1315.5</v>
      </c>
      <c r="AY186" s="3088">
        <f t="shared" si="1458"/>
        <v>1315.4299999999998</v>
      </c>
      <c r="AZ186" s="3088">
        <f t="shared" si="1458"/>
        <v>7.0000000000000007E-2</v>
      </c>
      <c r="BA186" s="3088">
        <f t="shared" si="1458"/>
        <v>3631.6040000000003</v>
      </c>
      <c r="BB186" s="3088">
        <f t="shared" si="1458"/>
        <v>3631.4000000000005</v>
      </c>
      <c r="BC186" s="3088">
        <f t="shared" si="1458"/>
        <v>0.20400000000000001</v>
      </c>
      <c r="BD186" s="3273">
        <f t="shared" ref="BD186:BI186" si="1459">SUM(BD25+BD49+BD63)</f>
        <v>9910.2630605645445</v>
      </c>
      <c r="BE186" s="3273">
        <f t="shared" si="1459"/>
        <v>9909.3580040102715</v>
      </c>
      <c r="BF186" s="3273">
        <f t="shared" si="1459"/>
        <v>0.90505655427391929</v>
      </c>
      <c r="BG186" s="3089">
        <f t="shared" si="1459"/>
        <v>9213.8720000000012</v>
      </c>
      <c r="BH186" s="3089">
        <f t="shared" si="1459"/>
        <v>9213.26</v>
      </c>
      <c r="BI186" s="3089">
        <f t="shared" si="1459"/>
        <v>0.6120000000000001</v>
      </c>
      <c r="BJ186" s="3062">
        <f t="shared" ref="BJ186:BJ216" si="1460">SUM(BG186-BD186)</f>
        <v>-696.3910605645433</v>
      </c>
      <c r="BK186" s="3062">
        <f t="shared" ref="BK186:BK216" si="1461">SUM(BH186-BE186)</f>
        <v>-696.09800401027132</v>
      </c>
      <c r="BL186" s="3062">
        <f t="shared" ref="BL186:BL216" si="1462">SUM(BI186-BF186)</f>
        <v>-0.29305655427391919</v>
      </c>
      <c r="BM186" s="3270">
        <f t="shared" ref="BM186:CA186" si="1463">SUM(BM25+BM49+BM63)</f>
        <v>3418.2368629087455</v>
      </c>
      <c r="BN186" s="3270">
        <f t="shared" si="1463"/>
        <v>3417.9235399630193</v>
      </c>
      <c r="BO186" s="3270">
        <f t="shared" si="1463"/>
        <v>0.31332294572608066</v>
      </c>
      <c r="BP186" s="3088">
        <f t="shared" si="1463"/>
        <v>0</v>
      </c>
      <c r="BQ186" s="3088">
        <f t="shared" si="1463"/>
        <v>0</v>
      </c>
      <c r="BR186" s="3088">
        <f t="shared" si="1463"/>
        <v>0</v>
      </c>
      <c r="BS186" s="3088">
        <f t="shared" si="1463"/>
        <v>0</v>
      </c>
      <c r="BT186" s="3088">
        <f t="shared" si="1463"/>
        <v>0</v>
      </c>
      <c r="BU186" s="3088">
        <f t="shared" si="1463"/>
        <v>0</v>
      </c>
      <c r="BV186" s="3088">
        <f t="shared" si="1463"/>
        <v>0</v>
      </c>
      <c r="BW186" s="3088">
        <f t="shared" si="1463"/>
        <v>0</v>
      </c>
      <c r="BX186" s="3088">
        <f t="shared" si="1463"/>
        <v>0</v>
      </c>
      <c r="BY186" s="3088">
        <f t="shared" si="1463"/>
        <v>0</v>
      </c>
      <c r="BZ186" s="3088">
        <f t="shared" si="1463"/>
        <v>0</v>
      </c>
      <c r="CA186" s="3088">
        <f t="shared" si="1463"/>
        <v>0</v>
      </c>
      <c r="CB186" s="3273">
        <f t="shared" ref="CB186:CD186" si="1464">SUM(CB25+CB49+CB63)</f>
        <v>13328.49992347329</v>
      </c>
      <c r="CC186" s="3273">
        <f t="shared" si="1464"/>
        <v>13327.281543973289</v>
      </c>
      <c r="CD186" s="3273">
        <f t="shared" si="1464"/>
        <v>1.2183794999999999</v>
      </c>
      <c r="CE186" s="3089">
        <f t="shared" ref="CE186:CG186" si="1465">SUM(CE25+CE49+CE63)</f>
        <v>9213.8720000000012</v>
      </c>
      <c r="CF186" s="3089">
        <f t="shared" si="1465"/>
        <v>9213.26</v>
      </c>
      <c r="CG186" s="3089">
        <f t="shared" si="1465"/>
        <v>0.6120000000000001</v>
      </c>
      <c r="CH186" s="3062">
        <f t="shared" ref="CH186:CH216" si="1466">SUM(CE186-CB186)</f>
        <v>-4114.6279234732883</v>
      </c>
      <c r="CI186" s="3062">
        <f t="shared" ref="CI186:CI216" si="1467">SUM(CF186-CC186)</f>
        <v>-4114.0215439732892</v>
      </c>
      <c r="CJ186" s="3062">
        <f t="shared" ref="CJ186:CJ216" si="1468">SUM(CG186-CD186)</f>
        <v>-0.60637949999999985</v>
      </c>
      <c r="CK186" s="3049"/>
      <c r="CL186" s="3049"/>
      <c r="CM186" s="3049"/>
      <c r="CN186" s="3049"/>
    </row>
    <row r="187" spans="1:92" ht="18.75" x14ac:dyDescent="0.3">
      <c r="A187" s="3071" t="s">
        <v>2</v>
      </c>
      <c r="B187" s="3270">
        <f t="shared" ref="B187:D187" si="1469">SUM(B26+B51+B96+B119+B61)</f>
        <v>2496.0949999999998</v>
      </c>
      <c r="C187" s="3270">
        <f t="shared" si="1469"/>
        <v>2495.6541196174085</v>
      </c>
      <c r="D187" s="3270">
        <f t="shared" si="1469"/>
        <v>0.44088038259139972</v>
      </c>
      <c r="E187" s="3088">
        <f t="shared" ref="E187:G187" si="1470">SUM(E26+E51+E96+E119+E61)</f>
        <v>1413.0400000000002</v>
      </c>
      <c r="F187" s="3088">
        <f t="shared" si="1470"/>
        <v>1413.0400000000002</v>
      </c>
      <c r="G187" s="3088">
        <f t="shared" si="1470"/>
        <v>0</v>
      </c>
      <c r="H187" s="3088">
        <f t="shared" ref="H187:J187" si="1471">SUM(H26+H51+H96+H119+H61)</f>
        <v>1408.1</v>
      </c>
      <c r="I187" s="3088">
        <f t="shared" si="1471"/>
        <v>1408.1</v>
      </c>
      <c r="J187" s="3088">
        <f t="shared" si="1471"/>
        <v>0</v>
      </c>
      <c r="K187" s="3088">
        <f t="shared" ref="K187:M187" si="1472">SUM(K26+K51+K96+K119+K61)</f>
        <v>1407.88</v>
      </c>
      <c r="L187" s="3088">
        <f t="shared" si="1472"/>
        <v>1407.88</v>
      </c>
      <c r="M187" s="3088">
        <f t="shared" si="1472"/>
        <v>0</v>
      </c>
      <c r="N187" s="3088">
        <f t="shared" ref="N187:AB187" si="1473">SUM(N26+N51+N96+N119+N61)</f>
        <v>4229.0200000000004</v>
      </c>
      <c r="O187" s="3088">
        <f t="shared" si="1473"/>
        <v>4229.0200000000004</v>
      </c>
      <c r="P187" s="3088">
        <f t="shared" si="1473"/>
        <v>0</v>
      </c>
      <c r="Q187" s="3270">
        <f t="shared" si="1473"/>
        <v>2496.0949999999998</v>
      </c>
      <c r="R187" s="3270">
        <f t="shared" si="1473"/>
        <v>2495.6541196174085</v>
      </c>
      <c r="S187" s="3270">
        <f t="shared" si="1473"/>
        <v>0.44088038259139972</v>
      </c>
      <c r="T187" s="3088">
        <f t="shared" si="1473"/>
        <v>1417.0500000000002</v>
      </c>
      <c r="U187" s="3088">
        <f t="shared" si="1473"/>
        <v>1417.0500000000002</v>
      </c>
      <c r="V187" s="3088">
        <f t="shared" si="1473"/>
        <v>0</v>
      </c>
      <c r="W187" s="3088">
        <f t="shared" si="1473"/>
        <v>1299.22</v>
      </c>
      <c r="X187" s="3088">
        <f t="shared" si="1473"/>
        <v>1299.22</v>
      </c>
      <c r="Y187" s="3088">
        <f t="shared" si="1473"/>
        <v>0</v>
      </c>
      <c r="Z187" s="3088">
        <f t="shared" si="1473"/>
        <v>1301.1600000000001</v>
      </c>
      <c r="AA187" s="3088">
        <f t="shared" si="1473"/>
        <v>1301.1600000000001</v>
      </c>
      <c r="AB187" s="3088">
        <f t="shared" si="1473"/>
        <v>0</v>
      </c>
      <c r="AC187" s="3088">
        <f t="shared" ref="AC187:AE187" si="1474">SUM(AC26+AC51+AC96+AC119+AC61)</f>
        <v>4017.43</v>
      </c>
      <c r="AD187" s="3088">
        <f t="shared" si="1474"/>
        <v>4017.43</v>
      </c>
      <c r="AE187" s="3088">
        <f t="shared" si="1474"/>
        <v>0</v>
      </c>
      <c r="AF187" s="3273">
        <f t="shared" ref="AF187:AK187" si="1475">SUM(AF26+AF51+AF96+AF119+AF61)</f>
        <v>4992.1899999999996</v>
      </c>
      <c r="AG187" s="3273">
        <f t="shared" si="1475"/>
        <v>4991.3082392348169</v>
      </c>
      <c r="AH187" s="3273">
        <f t="shared" si="1475"/>
        <v>0.88176076518279944</v>
      </c>
      <c r="AI187" s="3089">
        <f t="shared" si="1475"/>
        <v>8246.4500000000007</v>
      </c>
      <c r="AJ187" s="3089">
        <f t="shared" si="1475"/>
        <v>8246.4500000000007</v>
      </c>
      <c r="AK187" s="3089">
        <f t="shared" si="1475"/>
        <v>0</v>
      </c>
      <c r="AL187" s="3062">
        <f t="shared" si="1455"/>
        <v>3254.2600000000011</v>
      </c>
      <c r="AM187" s="3062">
        <f t="shared" si="1456"/>
        <v>3255.1417607651838</v>
      </c>
      <c r="AN187" s="3062">
        <f t="shared" si="1457"/>
        <v>-0.88176076518279944</v>
      </c>
      <c r="AO187" s="3270">
        <f t="shared" ref="AO187:BC187" si="1476">SUM(AO26+AO51+AO96+AO119+AO61)</f>
        <v>2496.0949999999998</v>
      </c>
      <c r="AP187" s="3270">
        <f t="shared" si="1476"/>
        <v>2495.6541196174085</v>
      </c>
      <c r="AQ187" s="3270">
        <f t="shared" si="1476"/>
        <v>0.44088038259139972</v>
      </c>
      <c r="AR187" s="3088">
        <f t="shared" si="1476"/>
        <v>1307.02</v>
      </c>
      <c r="AS187" s="3088">
        <f t="shared" si="1476"/>
        <v>1307.02</v>
      </c>
      <c r="AT187" s="3088">
        <f t="shared" si="1476"/>
        <v>0</v>
      </c>
      <c r="AU187" s="3088">
        <f t="shared" si="1476"/>
        <v>1304.93</v>
      </c>
      <c r="AV187" s="3088">
        <f t="shared" si="1476"/>
        <v>1304.93</v>
      </c>
      <c r="AW187" s="3088">
        <f t="shared" si="1476"/>
        <v>0</v>
      </c>
      <c r="AX187" s="3088">
        <f t="shared" si="1476"/>
        <v>1311.57</v>
      </c>
      <c r="AY187" s="3088">
        <f t="shared" si="1476"/>
        <v>1311.57</v>
      </c>
      <c r="AZ187" s="3088">
        <f t="shared" si="1476"/>
        <v>0</v>
      </c>
      <c r="BA187" s="3088">
        <f t="shared" si="1476"/>
        <v>3923.52</v>
      </c>
      <c r="BB187" s="3088">
        <f t="shared" si="1476"/>
        <v>3923.52</v>
      </c>
      <c r="BC187" s="3088">
        <f t="shared" si="1476"/>
        <v>0</v>
      </c>
      <c r="BD187" s="3273">
        <f t="shared" ref="BD187:BI187" si="1477">SUM(BD26+BD51+BD96+BD119+BD61)</f>
        <v>7488.2849999999999</v>
      </c>
      <c r="BE187" s="3273">
        <f t="shared" si="1477"/>
        <v>7486.9623588522263</v>
      </c>
      <c r="BF187" s="3273">
        <f t="shared" si="1477"/>
        <v>1.3226411477741993</v>
      </c>
      <c r="BG187" s="3089">
        <f t="shared" si="1477"/>
        <v>12169.970000000001</v>
      </c>
      <c r="BH187" s="3089">
        <f t="shared" si="1477"/>
        <v>12169.970000000001</v>
      </c>
      <c r="BI187" s="3089">
        <f t="shared" si="1477"/>
        <v>0</v>
      </c>
      <c r="BJ187" s="3062">
        <f t="shared" si="1460"/>
        <v>4681.6850000000013</v>
      </c>
      <c r="BK187" s="3062">
        <f t="shared" si="1461"/>
        <v>4683.0076411477748</v>
      </c>
      <c r="BL187" s="3062">
        <f t="shared" si="1462"/>
        <v>-1.3226411477741993</v>
      </c>
      <c r="BM187" s="3270">
        <f t="shared" ref="BM187:CA187" si="1478">SUM(BM26+BM51+BM96+BM119+BM61)</f>
        <v>2496.0949999999998</v>
      </c>
      <c r="BN187" s="3270">
        <f t="shared" si="1478"/>
        <v>2495.6541196174085</v>
      </c>
      <c r="BO187" s="3270">
        <f t="shared" si="1478"/>
        <v>0.44088038259139972</v>
      </c>
      <c r="BP187" s="3088">
        <f t="shared" si="1478"/>
        <v>0</v>
      </c>
      <c r="BQ187" s="3088">
        <f t="shared" si="1478"/>
        <v>0</v>
      </c>
      <c r="BR187" s="3088">
        <f t="shared" si="1478"/>
        <v>0</v>
      </c>
      <c r="BS187" s="3088">
        <f t="shared" si="1478"/>
        <v>0</v>
      </c>
      <c r="BT187" s="3088">
        <f t="shared" si="1478"/>
        <v>0</v>
      </c>
      <c r="BU187" s="3088">
        <f t="shared" si="1478"/>
        <v>0</v>
      </c>
      <c r="BV187" s="3088">
        <f t="shared" si="1478"/>
        <v>0</v>
      </c>
      <c r="BW187" s="3088">
        <f t="shared" si="1478"/>
        <v>0</v>
      </c>
      <c r="BX187" s="3088">
        <f t="shared" si="1478"/>
        <v>0</v>
      </c>
      <c r="BY187" s="3088">
        <f t="shared" si="1478"/>
        <v>0</v>
      </c>
      <c r="BZ187" s="3088">
        <f t="shared" si="1478"/>
        <v>0</v>
      </c>
      <c r="CA187" s="3088">
        <f t="shared" si="1478"/>
        <v>0</v>
      </c>
      <c r="CB187" s="3273">
        <f t="shared" ref="CB187:CD187" si="1479">SUM(CB26+CB51+CB96+CB119+CB61)</f>
        <v>9984.3799999999992</v>
      </c>
      <c r="CC187" s="3273">
        <f t="shared" si="1479"/>
        <v>9982.6164784696339</v>
      </c>
      <c r="CD187" s="3273">
        <f t="shared" si="1479"/>
        <v>1.7635215303655989</v>
      </c>
      <c r="CE187" s="3089">
        <f t="shared" ref="CE187:CG187" si="1480">SUM(CE26+CE51+CE96+CE119+CE61)</f>
        <v>12169.970000000001</v>
      </c>
      <c r="CF187" s="3089">
        <f t="shared" si="1480"/>
        <v>12169.970000000001</v>
      </c>
      <c r="CG187" s="3089">
        <f t="shared" si="1480"/>
        <v>0</v>
      </c>
      <c r="CH187" s="3062">
        <f t="shared" si="1466"/>
        <v>2185.590000000002</v>
      </c>
      <c r="CI187" s="3062">
        <f t="shared" si="1467"/>
        <v>2187.3535215303673</v>
      </c>
      <c r="CJ187" s="3062">
        <f t="shared" si="1468"/>
        <v>-1.7635215303655989</v>
      </c>
      <c r="CK187" s="3049"/>
      <c r="CL187" s="3049"/>
      <c r="CM187" s="3049"/>
      <c r="CN187" s="3049"/>
    </row>
    <row r="188" spans="1:92" ht="18.75" x14ac:dyDescent="0.3">
      <c r="A188" s="3072" t="s">
        <v>3589</v>
      </c>
      <c r="B188" s="3270">
        <f t="shared" ref="B188:D188" si="1481">SUM(B27+B52+B97+B120)</f>
        <v>0</v>
      </c>
      <c r="C188" s="3270">
        <f t="shared" si="1481"/>
        <v>0</v>
      </c>
      <c r="D188" s="3270">
        <f t="shared" si="1481"/>
        <v>0</v>
      </c>
      <c r="E188" s="3088">
        <f t="shared" ref="E188:G188" si="1482">SUM(E27+E52+E97+E120)</f>
        <v>0</v>
      </c>
      <c r="F188" s="3088">
        <f t="shared" si="1482"/>
        <v>0</v>
      </c>
      <c r="G188" s="3088">
        <f t="shared" si="1482"/>
        <v>0</v>
      </c>
      <c r="H188" s="3088">
        <f t="shared" ref="H188:J188" si="1483">SUM(H27+H52+H97+H120)</f>
        <v>0</v>
      </c>
      <c r="I188" s="3088">
        <f t="shared" si="1483"/>
        <v>0</v>
      </c>
      <c r="J188" s="3088">
        <f t="shared" si="1483"/>
        <v>0</v>
      </c>
      <c r="K188" s="3088">
        <f t="shared" ref="K188:M188" si="1484">SUM(K27+K52+K97+K120)</f>
        <v>0</v>
      </c>
      <c r="L188" s="3088">
        <f t="shared" si="1484"/>
        <v>0</v>
      </c>
      <c r="M188" s="3088">
        <f t="shared" si="1484"/>
        <v>0</v>
      </c>
      <c r="N188" s="3088">
        <f t="shared" ref="N188:AB188" si="1485">SUM(N27+N52+N97+N120)</f>
        <v>0</v>
      </c>
      <c r="O188" s="3088">
        <f t="shared" si="1485"/>
        <v>0</v>
      </c>
      <c r="P188" s="3088">
        <f t="shared" si="1485"/>
        <v>0</v>
      </c>
      <c r="Q188" s="3270">
        <f t="shared" si="1485"/>
        <v>0</v>
      </c>
      <c r="R188" s="3270">
        <f t="shared" si="1485"/>
        <v>0</v>
      </c>
      <c r="S188" s="3270">
        <f t="shared" si="1485"/>
        <v>0</v>
      </c>
      <c r="T188" s="3088">
        <f t="shared" si="1485"/>
        <v>0</v>
      </c>
      <c r="U188" s="3088">
        <f t="shared" si="1485"/>
        <v>0</v>
      </c>
      <c r="V188" s="3088">
        <f t="shared" si="1485"/>
        <v>0</v>
      </c>
      <c r="W188" s="3088">
        <f t="shared" si="1485"/>
        <v>0</v>
      </c>
      <c r="X188" s="3088">
        <f t="shared" si="1485"/>
        <v>0</v>
      </c>
      <c r="Y188" s="3088">
        <f t="shared" si="1485"/>
        <v>0</v>
      </c>
      <c r="Z188" s="3088">
        <f t="shared" si="1485"/>
        <v>0</v>
      </c>
      <c r="AA188" s="3088">
        <f t="shared" si="1485"/>
        <v>0</v>
      </c>
      <c r="AB188" s="3088">
        <f t="shared" si="1485"/>
        <v>0</v>
      </c>
      <c r="AC188" s="3088">
        <f t="shared" ref="AC188:AE188" si="1486">SUM(AC27+AC52+AC97+AC120)</f>
        <v>0</v>
      </c>
      <c r="AD188" s="3088">
        <f t="shared" si="1486"/>
        <v>0</v>
      </c>
      <c r="AE188" s="3088">
        <f t="shared" si="1486"/>
        <v>0</v>
      </c>
      <c r="AF188" s="3273">
        <f t="shared" ref="AF188:AK188" si="1487">SUM(AF27+AF52+AF97+AF120)</f>
        <v>0</v>
      </c>
      <c r="AG188" s="3273">
        <f t="shared" si="1487"/>
        <v>0</v>
      </c>
      <c r="AH188" s="3273">
        <f t="shared" si="1487"/>
        <v>0</v>
      </c>
      <c r="AI188" s="3089">
        <f t="shared" si="1487"/>
        <v>0</v>
      </c>
      <c r="AJ188" s="3089">
        <f t="shared" si="1487"/>
        <v>0</v>
      </c>
      <c r="AK188" s="3089">
        <f t="shared" si="1487"/>
        <v>0</v>
      </c>
      <c r="AL188" s="3062">
        <f t="shared" si="1455"/>
        <v>0</v>
      </c>
      <c r="AM188" s="3062">
        <f t="shared" si="1456"/>
        <v>0</v>
      </c>
      <c r="AN188" s="3062">
        <f t="shared" si="1457"/>
        <v>0</v>
      </c>
      <c r="AO188" s="3270">
        <f t="shared" ref="AO188:BC188" si="1488">SUM(AO27+AO52+AO97+AO120)</f>
        <v>0</v>
      </c>
      <c r="AP188" s="3270">
        <f t="shared" si="1488"/>
        <v>0</v>
      </c>
      <c r="AQ188" s="3270">
        <f t="shared" si="1488"/>
        <v>0</v>
      </c>
      <c r="AR188" s="3088">
        <f t="shared" si="1488"/>
        <v>0</v>
      </c>
      <c r="AS188" s="3088">
        <f t="shared" si="1488"/>
        <v>0</v>
      </c>
      <c r="AT188" s="3088">
        <f t="shared" si="1488"/>
        <v>0</v>
      </c>
      <c r="AU188" s="3088">
        <f t="shared" si="1488"/>
        <v>0</v>
      </c>
      <c r="AV188" s="3088">
        <f t="shared" si="1488"/>
        <v>0</v>
      </c>
      <c r="AW188" s="3088">
        <f t="shared" si="1488"/>
        <v>0</v>
      </c>
      <c r="AX188" s="3088">
        <f t="shared" si="1488"/>
        <v>0</v>
      </c>
      <c r="AY188" s="3088">
        <f t="shared" si="1488"/>
        <v>0</v>
      </c>
      <c r="AZ188" s="3088">
        <f t="shared" si="1488"/>
        <v>0</v>
      </c>
      <c r="BA188" s="3088">
        <f t="shared" si="1488"/>
        <v>0</v>
      </c>
      <c r="BB188" s="3088">
        <f t="shared" si="1488"/>
        <v>0</v>
      </c>
      <c r="BC188" s="3088">
        <f t="shared" si="1488"/>
        <v>0</v>
      </c>
      <c r="BD188" s="3273">
        <f t="shared" ref="BD188:BI188" si="1489">SUM(BD27+BD52+BD97+BD120)</f>
        <v>0</v>
      </c>
      <c r="BE188" s="3273">
        <f t="shared" si="1489"/>
        <v>0</v>
      </c>
      <c r="BF188" s="3273">
        <f t="shared" si="1489"/>
        <v>0</v>
      </c>
      <c r="BG188" s="3089">
        <f t="shared" si="1489"/>
        <v>0</v>
      </c>
      <c r="BH188" s="3089">
        <f t="shared" si="1489"/>
        <v>0</v>
      </c>
      <c r="BI188" s="3089">
        <f t="shared" si="1489"/>
        <v>0</v>
      </c>
      <c r="BJ188" s="3062">
        <f t="shared" si="1460"/>
        <v>0</v>
      </c>
      <c r="BK188" s="3062">
        <f t="shared" si="1461"/>
        <v>0</v>
      </c>
      <c r="BL188" s="3062">
        <f t="shared" si="1462"/>
        <v>0</v>
      </c>
      <c r="BM188" s="3270">
        <f t="shared" ref="BM188:CA188" si="1490">SUM(BM27+BM52+BM97+BM120)</f>
        <v>0</v>
      </c>
      <c r="BN188" s="3270">
        <f t="shared" si="1490"/>
        <v>0</v>
      </c>
      <c r="BO188" s="3270">
        <f t="shared" si="1490"/>
        <v>0</v>
      </c>
      <c r="BP188" s="3088">
        <f t="shared" si="1490"/>
        <v>0</v>
      </c>
      <c r="BQ188" s="3088">
        <f t="shared" si="1490"/>
        <v>0</v>
      </c>
      <c r="BR188" s="3088">
        <f t="shared" si="1490"/>
        <v>0</v>
      </c>
      <c r="BS188" s="3088">
        <f t="shared" si="1490"/>
        <v>0</v>
      </c>
      <c r="BT188" s="3088">
        <f t="shared" si="1490"/>
        <v>0</v>
      </c>
      <c r="BU188" s="3088">
        <f t="shared" si="1490"/>
        <v>0</v>
      </c>
      <c r="BV188" s="3088">
        <f t="shared" si="1490"/>
        <v>0</v>
      </c>
      <c r="BW188" s="3088">
        <f t="shared" si="1490"/>
        <v>0</v>
      </c>
      <c r="BX188" s="3088">
        <f t="shared" si="1490"/>
        <v>0</v>
      </c>
      <c r="BY188" s="3088">
        <f t="shared" si="1490"/>
        <v>0</v>
      </c>
      <c r="BZ188" s="3088">
        <f t="shared" si="1490"/>
        <v>0</v>
      </c>
      <c r="CA188" s="3088">
        <f t="shared" si="1490"/>
        <v>0</v>
      </c>
      <c r="CB188" s="3273">
        <f t="shared" ref="CB188:CD188" si="1491">SUM(CB27+CB52+CB97+CB120)</f>
        <v>0</v>
      </c>
      <c r="CC188" s="3273">
        <f t="shared" si="1491"/>
        <v>0</v>
      </c>
      <c r="CD188" s="3273">
        <f t="shared" si="1491"/>
        <v>0</v>
      </c>
      <c r="CE188" s="3089">
        <f t="shared" ref="CE188:CG188" si="1492">SUM(CE27+CE52+CE97+CE120)</f>
        <v>0</v>
      </c>
      <c r="CF188" s="3089">
        <f t="shared" si="1492"/>
        <v>0</v>
      </c>
      <c r="CG188" s="3089">
        <f t="shared" si="1492"/>
        <v>0</v>
      </c>
      <c r="CH188" s="3062">
        <f t="shared" si="1466"/>
        <v>0</v>
      </c>
      <c r="CI188" s="3062">
        <f t="shared" si="1467"/>
        <v>0</v>
      </c>
      <c r="CJ188" s="3062">
        <f t="shared" si="1468"/>
        <v>0</v>
      </c>
      <c r="CK188" s="3049"/>
      <c r="CL188" s="3049"/>
      <c r="CM188" s="3049"/>
      <c r="CN188" s="3049"/>
    </row>
    <row r="189" spans="1:92" ht="18.75" x14ac:dyDescent="0.3">
      <c r="A189" s="3071" t="s">
        <v>3</v>
      </c>
      <c r="B189" s="3270">
        <f t="shared" ref="B189:D189" si="1493">SUM(B28+B53+B95+B121+B62)</f>
        <v>408.02308250000004</v>
      </c>
      <c r="C189" s="3270">
        <f t="shared" si="1493"/>
        <v>407.89627119883039</v>
      </c>
      <c r="D189" s="3270">
        <f t="shared" si="1493"/>
        <v>0.1268113011696444</v>
      </c>
      <c r="E189" s="3088">
        <f t="shared" ref="E189:G189" si="1494">SUM(E28+E53+E95+E121+E62)</f>
        <v>254.47</v>
      </c>
      <c r="F189" s="3088">
        <f t="shared" si="1494"/>
        <v>254.47</v>
      </c>
      <c r="G189" s="3088">
        <f t="shared" si="1494"/>
        <v>0</v>
      </c>
      <c r="H189" s="3088">
        <f t="shared" ref="H189:J189" si="1495">SUM(H28+H53+H95+H121+H62)</f>
        <v>189.65999999999997</v>
      </c>
      <c r="I189" s="3088">
        <f t="shared" si="1495"/>
        <v>189.65999999999997</v>
      </c>
      <c r="J189" s="3088">
        <f t="shared" si="1495"/>
        <v>0</v>
      </c>
      <c r="K189" s="3088">
        <f t="shared" ref="K189:M189" si="1496">SUM(K28+K53+K95+K121+K62)</f>
        <v>784.91</v>
      </c>
      <c r="L189" s="3088">
        <f t="shared" si="1496"/>
        <v>784.91</v>
      </c>
      <c r="M189" s="3088">
        <f t="shared" si="1496"/>
        <v>0</v>
      </c>
      <c r="N189" s="3088">
        <f t="shared" ref="N189:AB189" si="1497">SUM(N28+N53+N95+N121+N62)</f>
        <v>1229.04</v>
      </c>
      <c r="O189" s="3088">
        <f t="shared" si="1497"/>
        <v>1229.04</v>
      </c>
      <c r="P189" s="3088">
        <f t="shared" si="1497"/>
        <v>0</v>
      </c>
      <c r="Q189" s="3270">
        <f t="shared" si="1497"/>
        <v>408.02308250000004</v>
      </c>
      <c r="R189" s="3270">
        <f t="shared" si="1497"/>
        <v>407.89627119883039</v>
      </c>
      <c r="S189" s="3270">
        <f t="shared" si="1497"/>
        <v>0.1268113011696444</v>
      </c>
      <c r="T189" s="3088">
        <f t="shared" si="1497"/>
        <v>882.72</v>
      </c>
      <c r="U189" s="3088">
        <f t="shared" si="1497"/>
        <v>882.72</v>
      </c>
      <c r="V189" s="3088">
        <f t="shared" si="1497"/>
        <v>0</v>
      </c>
      <c r="W189" s="3088">
        <f t="shared" si="1497"/>
        <v>898</v>
      </c>
      <c r="X189" s="3088">
        <f t="shared" si="1497"/>
        <v>898</v>
      </c>
      <c r="Y189" s="3088">
        <f t="shared" si="1497"/>
        <v>0</v>
      </c>
      <c r="Z189" s="3088">
        <f t="shared" si="1497"/>
        <v>260.25</v>
      </c>
      <c r="AA189" s="3088">
        <f t="shared" si="1497"/>
        <v>260.25</v>
      </c>
      <c r="AB189" s="3088">
        <f t="shared" si="1497"/>
        <v>0</v>
      </c>
      <c r="AC189" s="3088">
        <f t="shared" ref="AC189:AE189" si="1498">SUM(AC28+AC53+AC95+AC121+AC62)</f>
        <v>2040.97</v>
      </c>
      <c r="AD189" s="3088">
        <f t="shared" si="1498"/>
        <v>2040.97</v>
      </c>
      <c r="AE189" s="3088">
        <f t="shared" si="1498"/>
        <v>0</v>
      </c>
      <c r="AF189" s="3273">
        <f t="shared" ref="AF189:AK189" si="1499">SUM(AF28+AF53+AF95+AF121+AF62)</f>
        <v>816.04616500000009</v>
      </c>
      <c r="AG189" s="3273">
        <f t="shared" si="1499"/>
        <v>815.79254239766078</v>
      </c>
      <c r="AH189" s="3273">
        <f t="shared" si="1499"/>
        <v>0.25362260233928879</v>
      </c>
      <c r="AI189" s="3089">
        <f t="shared" si="1499"/>
        <v>3270.01</v>
      </c>
      <c r="AJ189" s="3089">
        <f t="shared" si="1499"/>
        <v>3270.01</v>
      </c>
      <c r="AK189" s="3089">
        <f t="shared" si="1499"/>
        <v>0</v>
      </c>
      <c r="AL189" s="3062">
        <f t="shared" si="1455"/>
        <v>2453.963835</v>
      </c>
      <c r="AM189" s="3062">
        <f t="shared" si="1456"/>
        <v>2454.2174576023394</v>
      </c>
      <c r="AN189" s="3062">
        <f t="shared" si="1457"/>
        <v>-0.25362260233928879</v>
      </c>
      <c r="AO189" s="3270">
        <f t="shared" ref="AO189:BC189" si="1500">SUM(AO28+AO53+AO95+AO121+AO62)</f>
        <v>408.02308250000004</v>
      </c>
      <c r="AP189" s="3270">
        <f t="shared" si="1500"/>
        <v>407.89627119883039</v>
      </c>
      <c r="AQ189" s="3270">
        <f t="shared" si="1500"/>
        <v>0.1268113011696444</v>
      </c>
      <c r="AR189" s="3088">
        <f t="shared" si="1500"/>
        <v>569.52</v>
      </c>
      <c r="AS189" s="3088">
        <f t="shared" si="1500"/>
        <v>569.52</v>
      </c>
      <c r="AT189" s="3088">
        <f t="shared" si="1500"/>
        <v>0</v>
      </c>
      <c r="AU189" s="3088">
        <f t="shared" si="1500"/>
        <v>401.78</v>
      </c>
      <c r="AV189" s="3088">
        <f t="shared" si="1500"/>
        <v>401.78</v>
      </c>
      <c r="AW189" s="3088">
        <f t="shared" si="1500"/>
        <v>0</v>
      </c>
      <c r="AX189" s="3088">
        <f t="shared" si="1500"/>
        <v>975.25</v>
      </c>
      <c r="AY189" s="3088">
        <f t="shared" si="1500"/>
        <v>975.25</v>
      </c>
      <c r="AZ189" s="3088">
        <f t="shared" si="1500"/>
        <v>0</v>
      </c>
      <c r="BA189" s="3088">
        <f t="shared" si="1500"/>
        <v>1946.5499999999997</v>
      </c>
      <c r="BB189" s="3088">
        <f t="shared" si="1500"/>
        <v>1946.5499999999997</v>
      </c>
      <c r="BC189" s="3088">
        <f t="shared" si="1500"/>
        <v>0</v>
      </c>
      <c r="BD189" s="3273">
        <f t="shared" ref="BD189:BI189" si="1501">SUM(BD28+BD53+BD95+BD121+BD62)</f>
        <v>1224.0692475000001</v>
      </c>
      <c r="BE189" s="3273">
        <f t="shared" si="1501"/>
        <v>1223.6888135964912</v>
      </c>
      <c r="BF189" s="3273">
        <f t="shared" si="1501"/>
        <v>0.38043390350893319</v>
      </c>
      <c r="BG189" s="3089">
        <f t="shared" si="1501"/>
        <v>5216.5600000000004</v>
      </c>
      <c r="BH189" s="3089">
        <f t="shared" si="1501"/>
        <v>5216.5600000000004</v>
      </c>
      <c r="BI189" s="3089">
        <f t="shared" si="1501"/>
        <v>0</v>
      </c>
      <c r="BJ189" s="3062">
        <f t="shared" si="1460"/>
        <v>3992.4907525000003</v>
      </c>
      <c r="BK189" s="3062">
        <f t="shared" si="1461"/>
        <v>3992.8711864035095</v>
      </c>
      <c r="BL189" s="3062">
        <f t="shared" si="1462"/>
        <v>-0.38043390350893319</v>
      </c>
      <c r="BM189" s="3270">
        <f t="shared" ref="BM189:CA189" si="1502">SUM(BM28+BM53+BM95+BM121+BM62)</f>
        <v>408.02308250000004</v>
      </c>
      <c r="BN189" s="3270">
        <f t="shared" si="1502"/>
        <v>407.89627119883039</v>
      </c>
      <c r="BO189" s="3270">
        <f t="shared" si="1502"/>
        <v>0.1268113011696444</v>
      </c>
      <c r="BP189" s="3088">
        <f t="shared" si="1502"/>
        <v>0</v>
      </c>
      <c r="BQ189" s="3088">
        <f t="shared" si="1502"/>
        <v>0</v>
      </c>
      <c r="BR189" s="3088">
        <f t="shared" si="1502"/>
        <v>0</v>
      </c>
      <c r="BS189" s="3088">
        <f t="shared" si="1502"/>
        <v>0</v>
      </c>
      <c r="BT189" s="3088">
        <f t="shared" si="1502"/>
        <v>0</v>
      </c>
      <c r="BU189" s="3088">
        <f t="shared" si="1502"/>
        <v>0</v>
      </c>
      <c r="BV189" s="3088">
        <f t="shared" si="1502"/>
        <v>0</v>
      </c>
      <c r="BW189" s="3088">
        <f t="shared" si="1502"/>
        <v>0</v>
      </c>
      <c r="BX189" s="3088">
        <f t="shared" si="1502"/>
        <v>0</v>
      </c>
      <c r="BY189" s="3088">
        <f t="shared" si="1502"/>
        <v>0</v>
      </c>
      <c r="BZ189" s="3088">
        <f t="shared" si="1502"/>
        <v>0</v>
      </c>
      <c r="CA189" s="3088">
        <f t="shared" si="1502"/>
        <v>0</v>
      </c>
      <c r="CB189" s="3273">
        <f t="shared" ref="CB189:CD189" si="1503">SUM(CB28+CB53+CB95+CB121+CB62)</f>
        <v>1632.0923300000002</v>
      </c>
      <c r="CC189" s="3273">
        <f t="shared" si="1503"/>
        <v>1631.5850847953216</v>
      </c>
      <c r="CD189" s="3273">
        <f t="shared" si="1503"/>
        <v>0.50724520467857759</v>
      </c>
      <c r="CE189" s="3089">
        <f t="shared" ref="CE189:CG189" si="1504">SUM(CE28+CE53+CE95+CE121+CE62)</f>
        <v>5216.5600000000004</v>
      </c>
      <c r="CF189" s="3089">
        <f t="shared" si="1504"/>
        <v>5216.5600000000004</v>
      </c>
      <c r="CG189" s="3089">
        <f t="shared" si="1504"/>
        <v>0</v>
      </c>
      <c r="CH189" s="3062">
        <f t="shared" si="1466"/>
        <v>3584.46767</v>
      </c>
      <c r="CI189" s="3062">
        <f t="shared" si="1467"/>
        <v>3584.9749152046788</v>
      </c>
      <c r="CJ189" s="3062">
        <f t="shared" si="1468"/>
        <v>-0.50724520467857759</v>
      </c>
      <c r="CK189" s="3049"/>
      <c r="CL189" s="3049"/>
      <c r="CM189" s="3049"/>
      <c r="CN189" s="3049"/>
    </row>
    <row r="190" spans="1:92" ht="18.75" x14ac:dyDescent="0.3">
      <c r="A190" s="3071" t="s">
        <v>8</v>
      </c>
      <c r="B190" s="3270">
        <f t="shared" ref="B190:D190" si="1505">SUM(B50)</f>
        <v>2995.4580714390409</v>
      </c>
      <c r="C190" s="3270">
        <f t="shared" si="1505"/>
        <v>2995.4580714390409</v>
      </c>
      <c r="D190" s="3270">
        <f t="shared" si="1505"/>
        <v>0</v>
      </c>
      <c r="E190" s="3088">
        <f t="shared" ref="E190:G190" si="1506">SUM(E50)</f>
        <v>799.17</v>
      </c>
      <c r="F190" s="3088">
        <f t="shared" si="1506"/>
        <v>799.17</v>
      </c>
      <c r="G190" s="3088">
        <f t="shared" si="1506"/>
        <v>0</v>
      </c>
      <c r="H190" s="3088">
        <f t="shared" ref="H190:J190" si="1507">SUM(H50)</f>
        <v>612.20000000000005</v>
      </c>
      <c r="I190" s="3088">
        <f t="shared" si="1507"/>
        <v>612.20000000000005</v>
      </c>
      <c r="J190" s="3088">
        <f t="shared" si="1507"/>
        <v>0</v>
      </c>
      <c r="K190" s="3088">
        <f t="shared" ref="K190:M190" si="1508">SUM(K50)</f>
        <v>631.79999999999995</v>
      </c>
      <c r="L190" s="3088">
        <f t="shared" si="1508"/>
        <v>631.79999999999995</v>
      </c>
      <c r="M190" s="3088">
        <f t="shared" si="1508"/>
        <v>0</v>
      </c>
      <c r="N190" s="3088">
        <f t="shared" ref="N190:AB190" si="1509">SUM(N50)</f>
        <v>2043.1699999999998</v>
      </c>
      <c r="O190" s="3088">
        <f t="shared" si="1509"/>
        <v>2043.1699999999998</v>
      </c>
      <c r="P190" s="3088">
        <f t="shared" si="1509"/>
        <v>0</v>
      </c>
      <c r="Q190" s="3270">
        <f t="shared" si="1509"/>
        <v>2995.4580714390409</v>
      </c>
      <c r="R190" s="3270">
        <f t="shared" si="1509"/>
        <v>2995.4580714390409</v>
      </c>
      <c r="S190" s="3270">
        <f t="shared" si="1509"/>
        <v>0</v>
      </c>
      <c r="T190" s="3088">
        <f t="shared" si="1509"/>
        <v>0</v>
      </c>
      <c r="U190" s="3088">
        <f t="shared" si="1509"/>
        <v>0</v>
      </c>
      <c r="V190" s="3088">
        <f t="shared" si="1509"/>
        <v>0</v>
      </c>
      <c r="W190" s="3088">
        <f t="shared" si="1509"/>
        <v>1547.87</v>
      </c>
      <c r="X190" s="3088">
        <f t="shared" si="1509"/>
        <v>1547.87</v>
      </c>
      <c r="Y190" s="3088">
        <f t="shared" si="1509"/>
        <v>0</v>
      </c>
      <c r="Z190" s="3088">
        <f t="shared" si="1509"/>
        <v>1709.56</v>
      </c>
      <c r="AA190" s="3088">
        <f t="shared" si="1509"/>
        <v>1709.56</v>
      </c>
      <c r="AB190" s="3088">
        <f t="shared" si="1509"/>
        <v>0</v>
      </c>
      <c r="AC190" s="3088">
        <f t="shared" ref="AC190:AE190" si="1510">SUM(AC50)</f>
        <v>3257.43</v>
      </c>
      <c r="AD190" s="3088">
        <f t="shared" si="1510"/>
        <v>3257.43</v>
      </c>
      <c r="AE190" s="3088">
        <f t="shared" si="1510"/>
        <v>0</v>
      </c>
      <c r="AF190" s="3273">
        <f t="shared" ref="AF190:AK190" si="1511">SUM(AF50)</f>
        <v>5990.9161428780817</v>
      </c>
      <c r="AG190" s="3273">
        <f t="shared" si="1511"/>
        <v>5990.9161428780817</v>
      </c>
      <c r="AH190" s="3273">
        <f t="shared" si="1511"/>
        <v>0</v>
      </c>
      <c r="AI190" s="3089">
        <f t="shared" si="1511"/>
        <v>5300.5999999999995</v>
      </c>
      <c r="AJ190" s="3089">
        <f t="shared" si="1511"/>
        <v>5300.5999999999995</v>
      </c>
      <c r="AK190" s="3089">
        <f t="shared" si="1511"/>
        <v>0</v>
      </c>
      <c r="AL190" s="3062">
        <f t="shared" si="1455"/>
        <v>-690.31614287808225</v>
      </c>
      <c r="AM190" s="3062">
        <f t="shared" si="1456"/>
        <v>-690.31614287808225</v>
      </c>
      <c r="AN190" s="3062">
        <f t="shared" si="1457"/>
        <v>0</v>
      </c>
      <c r="AO190" s="3270">
        <f t="shared" ref="AO190:BC190" si="1512">SUM(AO50)</f>
        <v>2995.4580714390409</v>
      </c>
      <c r="AP190" s="3270">
        <f t="shared" si="1512"/>
        <v>2995.4580714390409</v>
      </c>
      <c r="AQ190" s="3270">
        <f t="shared" si="1512"/>
        <v>0</v>
      </c>
      <c r="AR190" s="3088">
        <f t="shared" si="1512"/>
        <v>524.02</v>
      </c>
      <c r="AS190" s="3088">
        <f t="shared" si="1512"/>
        <v>524.02</v>
      </c>
      <c r="AT190" s="3088">
        <f t="shared" si="1512"/>
        <v>0</v>
      </c>
      <c r="AU190" s="3088">
        <f t="shared" si="1512"/>
        <v>1546.61</v>
      </c>
      <c r="AV190" s="3088">
        <f t="shared" si="1512"/>
        <v>1546.61</v>
      </c>
      <c r="AW190" s="3088">
        <f t="shared" si="1512"/>
        <v>0</v>
      </c>
      <c r="AX190" s="3088">
        <f t="shared" si="1512"/>
        <v>1930.83</v>
      </c>
      <c r="AY190" s="3088">
        <f t="shared" si="1512"/>
        <v>1930.83</v>
      </c>
      <c r="AZ190" s="3088">
        <f t="shared" si="1512"/>
        <v>0</v>
      </c>
      <c r="BA190" s="3088">
        <f t="shared" si="1512"/>
        <v>4001.46</v>
      </c>
      <c r="BB190" s="3088">
        <f t="shared" si="1512"/>
        <v>4001.46</v>
      </c>
      <c r="BC190" s="3088">
        <f t="shared" si="1512"/>
        <v>0</v>
      </c>
      <c r="BD190" s="3273">
        <f t="shared" ref="BD190:BI190" si="1513">SUM(BD50)</f>
        <v>8986.3742143171221</v>
      </c>
      <c r="BE190" s="3273">
        <f t="shared" si="1513"/>
        <v>8986.3742143171221</v>
      </c>
      <c r="BF190" s="3273">
        <f t="shared" si="1513"/>
        <v>0</v>
      </c>
      <c r="BG190" s="3089">
        <f t="shared" si="1513"/>
        <v>9302.06</v>
      </c>
      <c r="BH190" s="3089">
        <f t="shared" si="1513"/>
        <v>9302.06</v>
      </c>
      <c r="BI190" s="3089">
        <f t="shared" si="1513"/>
        <v>0</v>
      </c>
      <c r="BJ190" s="3062">
        <f t="shared" si="1460"/>
        <v>315.68578568287739</v>
      </c>
      <c r="BK190" s="3062">
        <f t="shared" si="1461"/>
        <v>315.68578568287739</v>
      </c>
      <c r="BL190" s="3062">
        <f t="shared" si="1462"/>
        <v>0</v>
      </c>
      <c r="BM190" s="3270">
        <f t="shared" ref="BM190:CA190" si="1514">SUM(BM50)</f>
        <v>2995.4580714390409</v>
      </c>
      <c r="BN190" s="3270">
        <f t="shared" si="1514"/>
        <v>2995.4580714390409</v>
      </c>
      <c r="BO190" s="3270">
        <f t="shared" si="1514"/>
        <v>0</v>
      </c>
      <c r="BP190" s="3088">
        <f t="shared" si="1514"/>
        <v>0</v>
      </c>
      <c r="BQ190" s="3088">
        <f t="shared" si="1514"/>
        <v>0</v>
      </c>
      <c r="BR190" s="3088">
        <f t="shared" si="1514"/>
        <v>0</v>
      </c>
      <c r="BS190" s="3088">
        <f t="shared" si="1514"/>
        <v>0</v>
      </c>
      <c r="BT190" s="3088">
        <f t="shared" si="1514"/>
        <v>0</v>
      </c>
      <c r="BU190" s="3088">
        <f t="shared" si="1514"/>
        <v>0</v>
      </c>
      <c r="BV190" s="3088">
        <f t="shared" si="1514"/>
        <v>0</v>
      </c>
      <c r="BW190" s="3088">
        <f t="shared" si="1514"/>
        <v>0</v>
      </c>
      <c r="BX190" s="3088">
        <f t="shared" si="1514"/>
        <v>0</v>
      </c>
      <c r="BY190" s="3088">
        <f t="shared" si="1514"/>
        <v>0</v>
      </c>
      <c r="BZ190" s="3088">
        <f t="shared" si="1514"/>
        <v>0</v>
      </c>
      <c r="CA190" s="3088">
        <f t="shared" si="1514"/>
        <v>0</v>
      </c>
      <c r="CB190" s="3273">
        <f t="shared" ref="CB190:CD190" si="1515">SUM(CB50)</f>
        <v>11981.832285756163</v>
      </c>
      <c r="CC190" s="3273">
        <f t="shared" si="1515"/>
        <v>11981.832285756163</v>
      </c>
      <c r="CD190" s="3273">
        <f t="shared" si="1515"/>
        <v>0</v>
      </c>
      <c r="CE190" s="3089">
        <f t="shared" ref="CE190:CG190" si="1516">SUM(CE50)</f>
        <v>9302.06</v>
      </c>
      <c r="CF190" s="3089">
        <f t="shared" si="1516"/>
        <v>9302.06</v>
      </c>
      <c r="CG190" s="3089">
        <f t="shared" si="1516"/>
        <v>0</v>
      </c>
      <c r="CH190" s="3062">
        <f t="shared" si="1466"/>
        <v>-2679.7722857561639</v>
      </c>
      <c r="CI190" s="3062">
        <f t="shared" si="1467"/>
        <v>-2679.7722857561639</v>
      </c>
      <c r="CJ190" s="3062">
        <f t="shared" si="1468"/>
        <v>0</v>
      </c>
      <c r="CK190" s="3049"/>
      <c r="CL190" s="3049"/>
      <c r="CM190" s="3049"/>
      <c r="CN190" s="3049"/>
    </row>
    <row r="191" spans="1:92" ht="18.75" x14ac:dyDescent="0.3">
      <c r="A191" s="3071" t="s">
        <v>4</v>
      </c>
      <c r="B191" s="3270">
        <f t="shared" ref="B191:D191" si="1517">SUM(B29+B54+B98+B122+B58)</f>
        <v>13584.352524443286</v>
      </c>
      <c r="C191" s="3270">
        <f t="shared" si="1517"/>
        <v>13581.193177947229</v>
      </c>
      <c r="D191" s="3270">
        <f t="shared" si="1517"/>
        <v>3.1593464960569695</v>
      </c>
      <c r="E191" s="3088">
        <f t="shared" ref="E191:G191" si="1518">SUM(E29+E54+E98+E122+E58)</f>
        <v>3553.3649999999993</v>
      </c>
      <c r="F191" s="3088">
        <f t="shared" si="1518"/>
        <v>3552.1099999999992</v>
      </c>
      <c r="G191" s="3088">
        <f t="shared" si="1518"/>
        <v>1.2549999999999999</v>
      </c>
      <c r="H191" s="3088">
        <f t="shared" ref="H191:J191" si="1519">SUM(H29+H54+H98+H122+H58)</f>
        <v>3212.86</v>
      </c>
      <c r="I191" s="3088">
        <f t="shared" si="1519"/>
        <v>3211.86</v>
      </c>
      <c r="J191" s="3088">
        <f t="shared" si="1519"/>
        <v>1</v>
      </c>
      <c r="K191" s="3088">
        <f t="shared" ref="K191:M191" si="1520">SUM(K29+K54+K98+K122+K58)</f>
        <v>3722.2200000000003</v>
      </c>
      <c r="L191" s="3088">
        <f t="shared" si="1520"/>
        <v>3721.09</v>
      </c>
      <c r="M191" s="3088">
        <f t="shared" si="1520"/>
        <v>1.1299999999999999</v>
      </c>
      <c r="N191" s="3088">
        <f t="shared" ref="N191:AB191" si="1521">SUM(N29+N54+N98+N122+N58)</f>
        <v>10488.445000000002</v>
      </c>
      <c r="O191" s="3088">
        <f t="shared" si="1521"/>
        <v>10485.060000000001</v>
      </c>
      <c r="P191" s="3088">
        <f t="shared" si="1521"/>
        <v>3.3849999999999998</v>
      </c>
      <c r="Q191" s="3270">
        <f t="shared" si="1521"/>
        <v>13584.352524443286</v>
      </c>
      <c r="R191" s="3270">
        <f t="shared" si="1521"/>
        <v>13581.193177947229</v>
      </c>
      <c r="S191" s="3270">
        <f t="shared" si="1521"/>
        <v>3.1593464960569695</v>
      </c>
      <c r="T191" s="3088">
        <f t="shared" si="1521"/>
        <v>3764.84</v>
      </c>
      <c r="U191" s="3088">
        <f t="shared" si="1521"/>
        <v>3763.83</v>
      </c>
      <c r="V191" s="3088">
        <f t="shared" si="1521"/>
        <v>1.01</v>
      </c>
      <c r="W191" s="3088">
        <f t="shared" si="1521"/>
        <v>4024.48</v>
      </c>
      <c r="X191" s="3088">
        <f t="shared" si="1521"/>
        <v>4023.06</v>
      </c>
      <c r="Y191" s="3088">
        <f t="shared" si="1521"/>
        <v>1.42</v>
      </c>
      <c r="Z191" s="3088">
        <f t="shared" si="1521"/>
        <v>3785.5200000000004</v>
      </c>
      <c r="AA191" s="3088">
        <f t="shared" si="1521"/>
        <v>3783.76</v>
      </c>
      <c r="AB191" s="3088">
        <f t="shared" si="1521"/>
        <v>1.76</v>
      </c>
      <c r="AC191" s="3088">
        <f t="shared" ref="AC191:AE191" si="1522">SUM(AC29+AC54+AC98+AC122+AC58)</f>
        <v>11574.840000000002</v>
      </c>
      <c r="AD191" s="3088">
        <f t="shared" si="1522"/>
        <v>11570.65</v>
      </c>
      <c r="AE191" s="3088">
        <f t="shared" si="1522"/>
        <v>4.1899999999999995</v>
      </c>
      <c r="AF191" s="3273">
        <f t="shared" ref="AF191:AK191" si="1523">SUM(AF29+AF54+AF98+AF122+AF58)</f>
        <v>27168.705048886572</v>
      </c>
      <c r="AG191" s="3273">
        <f t="shared" si="1523"/>
        <v>27162.386355894458</v>
      </c>
      <c r="AH191" s="3273">
        <f t="shared" si="1523"/>
        <v>6.318692992113939</v>
      </c>
      <c r="AI191" s="3089">
        <f t="shared" si="1523"/>
        <v>22063.285000000003</v>
      </c>
      <c r="AJ191" s="3089">
        <f t="shared" si="1523"/>
        <v>22055.710000000003</v>
      </c>
      <c r="AK191" s="3089">
        <f t="shared" si="1523"/>
        <v>7.5749999999999993</v>
      </c>
      <c r="AL191" s="3062">
        <f t="shared" si="1455"/>
        <v>-5105.4200488865681</v>
      </c>
      <c r="AM191" s="3062">
        <f t="shared" si="1456"/>
        <v>-5106.6763558944549</v>
      </c>
      <c r="AN191" s="3062">
        <f t="shared" si="1457"/>
        <v>1.2563070078860603</v>
      </c>
      <c r="AO191" s="3270">
        <f t="shared" ref="AO191:BC191" si="1524">SUM(AO29+AO54+AO98+AO122+AO58)</f>
        <v>13584.352524443286</v>
      </c>
      <c r="AP191" s="3270">
        <f t="shared" si="1524"/>
        <v>13581.193177947229</v>
      </c>
      <c r="AQ191" s="3270">
        <f t="shared" si="1524"/>
        <v>3.1593464960569695</v>
      </c>
      <c r="AR191" s="3088">
        <f t="shared" si="1524"/>
        <v>4119.7039999999997</v>
      </c>
      <c r="AS191" s="3088">
        <f t="shared" si="1524"/>
        <v>4118.5499999999993</v>
      </c>
      <c r="AT191" s="3088">
        <f t="shared" si="1524"/>
        <v>1.1539999999999999</v>
      </c>
      <c r="AU191" s="3088">
        <f t="shared" si="1524"/>
        <v>4005.3539999999998</v>
      </c>
      <c r="AV191" s="3088">
        <f t="shared" si="1524"/>
        <v>4004.35</v>
      </c>
      <c r="AW191" s="3088">
        <f t="shared" si="1524"/>
        <v>1.004</v>
      </c>
      <c r="AX191" s="3088">
        <f t="shared" si="1524"/>
        <v>3815.69</v>
      </c>
      <c r="AY191" s="3088">
        <f t="shared" si="1524"/>
        <v>3813.9</v>
      </c>
      <c r="AZ191" s="3088">
        <f t="shared" si="1524"/>
        <v>1.79</v>
      </c>
      <c r="BA191" s="3088">
        <f t="shared" si="1524"/>
        <v>11940.747999999998</v>
      </c>
      <c r="BB191" s="3088">
        <f t="shared" si="1524"/>
        <v>11936.800000000001</v>
      </c>
      <c r="BC191" s="3088">
        <f t="shared" si="1524"/>
        <v>3.948</v>
      </c>
      <c r="BD191" s="3273">
        <f t="shared" ref="BD191:BI191" si="1525">SUM(BD29+BD54+BD98+BD122+BD58)</f>
        <v>40753.057573329854</v>
      </c>
      <c r="BE191" s="3273">
        <f t="shared" si="1525"/>
        <v>40743.579533841686</v>
      </c>
      <c r="BF191" s="3273">
        <f t="shared" si="1525"/>
        <v>9.4780394881709071</v>
      </c>
      <c r="BG191" s="3089">
        <f t="shared" si="1525"/>
        <v>34004.033000000003</v>
      </c>
      <c r="BH191" s="3089">
        <f t="shared" si="1525"/>
        <v>33992.51</v>
      </c>
      <c r="BI191" s="3089">
        <f t="shared" si="1525"/>
        <v>11.523</v>
      </c>
      <c r="BJ191" s="3062">
        <f t="shared" si="1460"/>
        <v>-6749.0245733298507</v>
      </c>
      <c r="BK191" s="3062">
        <f t="shared" si="1461"/>
        <v>-6751.0695338416845</v>
      </c>
      <c r="BL191" s="3062">
        <f t="shared" si="1462"/>
        <v>2.0449605118290926</v>
      </c>
      <c r="BM191" s="3270">
        <f t="shared" ref="BM191:CA191" si="1526">SUM(BM29+BM54+BM98+BM122+BM58)</f>
        <v>13584.352524443286</v>
      </c>
      <c r="BN191" s="3270">
        <f t="shared" si="1526"/>
        <v>13581.193177947229</v>
      </c>
      <c r="BO191" s="3270">
        <f t="shared" si="1526"/>
        <v>3.1593464960569695</v>
      </c>
      <c r="BP191" s="3088">
        <f t="shared" si="1526"/>
        <v>0</v>
      </c>
      <c r="BQ191" s="3088">
        <f t="shared" si="1526"/>
        <v>0</v>
      </c>
      <c r="BR191" s="3088">
        <f t="shared" si="1526"/>
        <v>0</v>
      </c>
      <c r="BS191" s="3088">
        <f t="shared" si="1526"/>
        <v>0</v>
      </c>
      <c r="BT191" s="3088">
        <f t="shared" si="1526"/>
        <v>0</v>
      </c>
      <c r="BU191" s="3088">
        <f t="shared" si="1526"/>
        <v>0</v>
      </c>
      <c r="BV191" s="3088">
        <f t="shared" si="1526"/>
        <v>0</v>
      </c>
      <c r="BW191" s="3088">
        <f t="shared" si="1526"/>
        <v>0</v>
      </c>
      <c r="BX191" s="3088">
        <f t="shared" si="1526"/>
        <v>0</v>
      </c>
      <c r="BY191" s="3088">
        <f t="shared" si="1526"/>
        <v>0</v>
      </c>
      <c r="BZ191" s="3088">
        <f t="shared" si="1526"/>
        <v>0</v>
      </c>
      <c r="CA191" s="3088">
        <f t="shared" si="1526"/>
        <v>0</v>
      </c>
      <c r="CB191" s="3273">
        <f t="shared" ref="CB191:CD191" si="1527">SUM(CB29+CB54+CB98+CB122+CB58)</f>
        <v>54337.410097773143</v>
      </c>
      <c r="CC191" s="3273">
        <f t="shared" si="1527"/>
        <v>54324.772711788915</v>
      </c>
      <c r="CD191" s="3273">
        <f t="shared" si="1527"/>
        <v>12.637385984227878</v>
      </c>
      <c r="CE191" s="3089">
        <f t="shared" ref="CE191:CG191" si="1528">SUM(CE29+CE54+CE98+CE122+CE58)</f>
        <v>34004.033000000003</v>
      </c>
      <c r="CF191" s="3089">
        <f t="shared" si="1528"/>
        <v>33992.51</v>
      </c>
      <c r="CG191" s="3089">
        <f t="shared" si="1528"/>
        <v>11.523</v>
      </c>
      <c r="CH191" s="3062">
        <f t="shared" si="1466"/>
        <v>-20333.37709777314</v>
      </c>
      <c r="CI191" s="3062">
        <f t="shared" si="1467"/>
        <v>-20332.262711788913</v>
      </c>
      <c r="CJ191" s="3062">
        <f t="shared" si="1468"/>
        <v>-1.1143859842278783</v>
      </c>
      <c r="CK191" s="3049"/>
      <c r="CL191" s="3049"/>
      <c r="CM191" s="3049"/>
      <c r="CN191" s="3049"/>
    </row>
    <row r="192" spans="1:92" ht="18.75" x14ac:dyDescent="0.3">
      <c r="A192" s="3071" t="s">
        <v>5</v>
      </c>
      <c r="B192" s="3270">
        <f t="shared" ref="B192:D192" si="1529">SUM(B30+B55+B99+B123+B59)</f>
        <v>4068.7229427334564</v>
      </c>
      <c r="C192" s="3270">
        <f t="shared" si="1529"/>
        <v>4067.772964924101</v>
      </c>
      <c r="D192" s="3270">
        <f t="shared" si="1529"/>
        <v>0.94997780935564802</v>
      </c>
      <c r="E192" s="3088">
        <f t="shared" ref="E192:G192" si="1530">SUM(E30+E55+E99+E123+E59)</f>
        <v>1073.5990000000002</v>
      </c>
      <c r="F192" s="3088">
        <f t="shared" si="1530"/>
        <v>1073.22</v>
      </c>
      <c r="G192" s="3088">
        <f t="shared" si="1530"/>
        <v>0.379</v>
      </c>
      <c r="H192" s="3088">
        <f t="shared" ref="H192:J192" si="1531">SUM(H30+H55+H99+H123+H59)</f>
        <v>965.36000000000013</v>
      </c>
      <c r="I192" s="3088">
        <f t="shared" si="1531"/>
        <v>965.06</v>
      </c>
      <c r="J192" s="3088">
        <f t="shared" si="1531"/>
        <v>0.3</v>
      </c>
      <c r="K192" s="3088">
        <f t="shared" ref="K192:M192" si="1532">SUM(K30+K55+K99+K123+K59)</f>
        <v>1124.03</v>
      </c>
      <c r="L192" s="3088">
        <f t="shared" si="1532"/>
        <v>1123.69</v>
      </c>
      <c r="M192" s="3088">
        <f t="shared" si="1532"/>
        <v>0.34</v>
      </c>
      <c r="N192" s="3088">
        <f t="shared" ref="N192:AB192" si="1533">SUM(N30+N55+N99+N123+N59)</f>
        <v>3162.989</v>
      </c>
      <c r="O192" s="3088">
        <f t="shared" si="1533"/>
        <v>3161.9700000000003</v>
      </c>
      <c r="P192" s="3088">
        <f t="shared" si="1533"/>
        <v>1.0190000000000001</v>
      </c>
      <c r="Q192" s="3270">
        <f t="shared" si="1533"/>
        <v>4068.7229427334564</v>
      </c>
      <c r="R192" s="3270">
        <f t="shared" si="1533"/>
        <v>4067.772964924101</v>
      </c>
      <c r="S192" s="3270">
        <f t="shared" si="1533"/>
        <v>0.94997780935564802</v>
      </c>
      <c r="T192" s="3088">
        <f t="shared" si="1533"/>
        <v>1171.6400000000001</v>
      </c>
      <c r="U192" s="3088">
        <f t="shared" si="1533"/>
        <v>1171.3399999999999</v>
      </c>
      <c r="V192" s="3088">
        <f t="shared" si="1533"/>
        <v>0.3</v>
      </c>
      <c r="W192" s="3088">
        <f t="shared" si="1533"/>
        <v>1217.31</v>
      </c>
      <c r="X192" s="3088">
        <f t="shared" si="1533"/>
        <v>1216.8799999999999</v>
      </c>
      <c r="Y192" s="3088">
        <f t="shared" si="1533"/>
        <v>0.43</v>
      </c>
      <c r="Z192" s="3088">
        <f t="shared" si="1533"/>
        <v>1145.01</v>
      </c>
      <c r="AA192" s="3088">
        <f t="shared" si="1533"/>
        <v>1144.48</v>
      </c>
      <c r="AB192" s="3088">
        <f t="shared" si="1533"/>
        <v>0.53</v>
      </c>
      <c r="AC192" s="3088">
        <f t="shared" ref="AC192:AE192" si="1534">SUM(AC30+AC55+AC99+AC123+AC59)</f>
        <v>3533.9600000000005</v>
      </c>
      <c r="AD192" s="3088">
        <f t="shared" si="1534"/>
        <v>3532.7000000000003</v>
      </c>
      <c r="AE192" s="3088">
        <f t="shared" si="1534"/>
        <v>1.26</v>
      </c>
      <c r="AF192" s="3273">
        <f t="shared" ref="AF192:AK192" si="1535">SUM(AF30+AF55+AF99+AF123+AF59)</f>
        <v>8137.4458854669128</v>
      </c>
      <c r="AG192" s="3273">
        <f t="shared" si="1535"/>
        <v>8135.5459298482019</v>
      </c>
      <c r="AH192" s="3273">
        <f t="shared" si="1535"/>
        <v>1.899955618711296</v>
      </c>
      <c r="AI192" s="3089">
        <f t="shared" si="1535"/>
        <v>6696.9490000000005</v>
      </c>
      <c r="AJ192" s="3089">
        <f t="shared" si="1535"/>
        <v>6694.67</v>
      </c>
      <c r="AK192" s="3089">
        <f t="shared" si="1535"/>
        <v>2.2789999999999999</v>
      </c>
      <c r="AL192" s="3062">
        <f t="shared" si="1455"/>
        <v>-1440.4968854669123</v>
      </c>
      <c r="AM192" s="3062">
        <f t="shared" si="1456"/>
        <v>-1440.8759298482018</v>
      </c>
      <c r="AN192" s="3062">
        <f t="shared" si="1457"/>
        <v>0.37904438128870388</v>
      </c>
      <c r="AO192" s="3270">
        <f t="shared" ref="AO192:BC192" si="1536">SUM(AO30+AO55+AO99+AO123+AO59)</f>
        <v>4068.7229427334564</v>
      </c>
      <c r="AP192" s="3270">
        <f t="shared" si="1536"/>
        <v>4067.772964924101</v>
      </c>
      <c r="AQ192" s="3270">
        <f t="shared" si="1536"/>
        <v>0.94997780935564802</v>
      </c>
      <c r="AR192" s="3088">
        <f t="shared" si="1536"/>
        <v>1243.6789999999999</v>
      </c>
      <c r="AS192" s="3088">
        <f t="shared" si="1536"/>
        <v>1243.33</v>
      </c>
      <c r="AT192" s="3088">
        <f t="shared" si="1536"/>
        <v>0.34899999999999998</v>
      </c>
      <c r="AU192" s="3088">
        <f t="shared" si="1536"/>
        <v>1212.163</v>
      </c>
      <c r="AV192" s="3088">
        <f t="shared" si="1536"/>
        <v>1211.8599999999999</v>
      </c>
      <c r="AW192" s="3088">
        <f t="shared" si="1536"/>
        <v>0.30299999999999999</v>
      </c>
      <c r="AX192" s="3088">
        <f t="shared" si="1536"/>
        <v>1137.22</v>
      </c>
      <c r="AY192" s="3088">
        <f t="shared" si="1536"/>
        <v>1136.68</v>
      </c>
      <c r="AZ192" s="3088">
        <f t="shared" si="1536"/>
        <v>0.54</v>
      </c>
      <c r="BA192" s="3088">
        <f t="shared" si="1536"/>
        <v>3593.0620000000004</v>
      </c>
      <c r="BB192" s="3088">
        <f t="shared" si="1536"/>
        <v>3591.8700000000003</v>
      </c>
      <c r="BC192" s="3088">
        <f t="shared" si="1536"/>
        <v>1.1919999999999999</v>
      </c>
      <c r="BD192" s="3273">
        <f t="shared" ref="BD192:BI192" si="1537">SUM(BD30+BD55+BD99+BD123+BD59)</f>
        <v>12206.168828200371</v>
      </c>
      <c r="BE192" s="3273">
        <f t="shared" si="1537"/>
        <v>12203.318894772307</v>
      </c>
      <c r="BF192" s="3273">
        <f t="shared" si="1537"/>
        <v>2.8499334280669442</v>
      </c>
      <c r="BG192" s="3089">
        <f t="shared" si="1537"/>
        <v>10290.011000000002</v>
      </c>
      <c r="BH192" s="3089">
        <f t="shared" si="1537"/>
        <v>10286.540000000001</v>
      </c>
      <c r="BI192" s="3089">
        <f t="shared" si="1537"/>
        <v>3.4710000000000001</v>
      </c>
      <c r="BJ192" s="3062">
        <f t="shared" si="1460"/>
        <v>-1916.1578282003684</v>
      </c>
      <c r="BK192" s="3062">
        <f t="shared" si="1461"/>
        <v>-1916.7788947723056</v>
      </c>
      <c r="BL192" s="3062">
        <f t="shared" si="1462"/>
        <v>0.62106657193305592</v>
      </c>
      <c r="BM192" s="3270">
        <f t="shared" ref="BM192:CA192" si="1538">SUM(BM30+BM55+BM99+BM123+BM59)</f>
        <v>4068.7229427334564</v>
      </c>
      <c r="BN192" s="3270">
        <f t="shared" si="1538"/>
        <v>4067.772964924101</v>
      </c>
      <c r="BO192" s="3270">
        <f t="shared" si="1538"/>
        <v>0.94997780935564802</v>
      </c>
      <c r="BP192" s="3088">
        <f t="shared" si="1538"/>
        <v>0</v>
      </c>
      <c r="BQ192" s="3088">
        <f t="shared" si="1538"/>
        <v>0</v>
      </c>
      <c r="BR192" s="3088">
        <f t="shared" si="1538"/>
        <v>0</v>
      </c>
      <c r="BS192" s="3088">
        <f t="shared" si="1538"/>
        <v>0</v>
      </c>
      <c r="BT192" s="3088">
        <f t="shared" si="1538"/>
        <v>0</v>
      </c>
      <c r="BU192" s="3088">
        <f t="shared" si="1538"/>
        <v>0</v>
      </c>
      <c r="BV192" s="3088">
        <f t="shared" si="1538"/>
        <v>0</v>
      </c>
      <c r="BW192" s="3088">
        <f t="shared" si="1538"/>
        <v>0</v>
      </c>
      <c r="BX192" s="3088">
        <f t="shared" si="1538"/>
        <v>0</v>
      </c>
      <c r="BY192" s="3088">
        <f t="shared" si="1538"/>
        <v>0</v>
      </c>
      <c r="BZ192" s="3088">
        <f t="shared" si="1538"/>
        <v>0</v>
      </c>
      <c r="CA192" s="3088">
        <f t="shared" si="1538"/>
        <v>0</v>
      </c>
      <c r="CB192" s="3273">
        <f t="shared" ref="CB192:CD192" si="1539">SUM(CB30+CB55+CB99+CB123+CB59)</f>
        <v>16274.891770933826</v>
      </c>
      <c r="CC192" s="3273">
        <f t="shared" si="1539"/>
        <v>16271.091859696404</v>
      </c>
      <c r="CD192" s="3273">
        <f t="shared" si="1539"/>
        <v>3.7999112374225921</v>
      </c>
      <c r="CE192" s="3089">
        <f t="shared" ref="CE192:CG192" si="1540">SUM(CE30+CE55+CE99+CE123+CE59)</f>
        <v>10290.011000000002</v>
      </c>
      <c r="CF192" s="3089">
        <f t="shared" si="1540"/>
        <v>10286.540000000001</v>
      </c>
      <c r="CG192" s="3089">
        <f t="shared" si="1540"/>
        <v>3.4710000000000001</v>
      </c>
      <c r="CH192" s="3062">
        <f t="shared" si="1466"/>
        <v>-5984.8807709338234</v>
      </c>
      <c r="CI192" s="3062">
        <f t="shared" si="1467"/>
        <v>-5984.551859696403</v>
      </c>
      <c r="CJ192" s="3062">
        <f t="shared" si="1468"/>
        <v>-0.32891123742259198</v>
      </c>
      <c r="CK192" s="3049"/>
      <c r="CL192" s="3049"/>
      <c r="CM192" s="3049"/>
      <c r="CN192" s="3049"/>
    </row>
    <row r="193" spans="1:92" ht="18.75" x14ac:dyDescent="0.3">
      <c r="A193" s="3073" t="s">
        <v>318</v>
      </c>
      <c r="B193" s="3090">
        <f t="shared" ref="B193:D193" si="1541">SUM(B192/B191)</f>
        <v>0.29951541197214337</v>
      </c>
      <c r="C193" s="3090">
        <f t="shared" si="1541"/>
        <v>0.29951513918005673</v>
      </c>
      <c r="D193" s="3090">
        <f t="shared" si="1541"/>
        <v>0.30068807284711263</v>
      </c>
      <c r="E193" s="3090">
        <f t="shared" ref="E193:G193" si="1542">SUM(E192/E191)</f>
        <v>0.30213586276670151</v>
      </c>
      <c r="F193" s="3090">
        <f t="shared" si="1542"/>
        <v>0.30213591358375735</v>
      </c>
      <c r="G193" s="3090">
        <f t="shared" si="1542"/>
        <v>0.30199203187251</v>
      </c>
      <c r="H193" s="3090">
        <f t="shared" ref="H193:J193" si="1543">SUM(H192/H191)</f>
        <v>0.30046749624944757</v>
      </c>
      <c r="I193" s="3090">
        <f t="shared" si="1543"/>
        <v>0.30046764180256919</v>
      </c>
      <c r="J193" s="3090">
        <f t="shared" si="1543"/>
        <v>0.3</v>
      </c>
      <c r="K193" s="3090">
        <f t="shared" ref="K193:M193" si="1544">SUM(K192/K191)</f>
        <v>0.30197838924082937</v>
      </c>
      <c r="L193" s="3090">
        <f t="shared" si="1544"/>
        <v>0.30197872128865466</v>
      </c>
      <c r="M193" s="3090">
        <f t="shared" si="1544"/>
        <v>0.30088495575221241</v>
      </c>
      <c r="N193" s="3090">
        <f t="shared" ref="N193:AB193" si="1545">SUM(N192/N191)</f>
        <v>0.30156891703202904</v>
      </c>
      <c r="O193" s="3090">
        <f t="shared" si="1545"/>
        <v>0.30156908973339208</v>
      </c>
      <c r="P193" s="3090">
        <f t="shared" si="1545"/>
        <v>0.3010339734121123</v>
      </c>
      <c r="Q193" s="3090">
        <f t="shared" si="1545"/>
        <v>0.29951541197214337</v>
      </c>
      <c r="R193" s="3090">
        <f t="shared" si="1545"/>
        <v>0.29951513918005673</v>
      </c>
      <c r="S193" s="3090">
        <f t="shared" si="1545"/>
        <v>0.30068807284711263</v>
      </c>
      <c r="T193" s="3090">
        <f t="shared" si="1545"/>
        <v>0.31120578829379203</v>
      </c>
      <c r="U193" s="3090">
        <f t="shared" si="1545"/>
        <v>0.31120959235672174</v>
      </c>
      <c r="V193" s="3090">
        <f t="shared" si="1545"/>
        <v>0.29702970297029702</v>
      </c>
      <c r="W193" s="3090">
        <f t="shared" si="1545"/>
        <v>0.30247634477000757</v>
      </c>
      <c r="X193" s="3090">
        <f t="shared" si="1545"/>
        <v>0.30247622456538054</v>
      </c>
      <c r="Y193" s="3090">
        <f t="shared" si="1545"/>
        <v>0.30281690140845069</v>
      </c>
      <c r="Z193" s="3090">
        <f t="shared" si="1545"/>
        <v>0.30247099473784311</v>
      </c>
      <c r="AA193" s="3090">
        <f t="shared" si="1545"/>
        <v>0.30247161553586904</v>
      </c>
      <c r="AB193" s="3090">
        <f t="shared" si="1545"/>
        <v>0.30113636363636365</v>
      </c>
      <c r="AC193" s="3090">
        <f t="shared" ref="AC193:AE193" si="1546">SUM(AC192/AC191)</f>
        <v>0.30531393954473668</v>
      </c>
      <c r="AD193" s="3090">
        <f t="shared" si="1546"/>
        <v>0.30531560456845558</v>
      </c>
      <c r="AE193" s="3090">
        <f t="shared" si="1546"/>
        <v>0.30071599045346065</v>
      </c>
      <c r="AF193" s="3091">
        <f t="shared" ref="AF193:AK193" si="1547">SUM(AF192/AF191)</f>
        <v>0.29951541197214337</v>
      </c>
      <c r="AG193" s="3091">
        <f t="shared" si="1547"/>
        <v>0.29951513918005673</v>
      </c>
      <c r="AH193" s="3091">
        <f t="shared" si="1547"/>
        <v>0.30068807284711263</v>
      </c>
      <c r="AI193" s="3091">
        <f t="shared" si="1547"/>
        <v>0.30353363064475664</v>
      </c>
      <c r="AJ193" s="3091">
        <f t="shared" si="1547"/>
        <v>0.30353454955655473</v>
      </c>
      <c r="AK193" s="3091">
        <f t="shared" si="1547"/>
        <v>0.30085808580858087</v>
      </c>
      <c r="AL193" s="3068">
        <f t="shared" ref="AL193" si="1548">SUM(AI193-AF193)</f>
        <v>4.0182186726132607E-3</v>
      </c>
      <c r="AM193" s="3068">
        <f t="shared" ref="AM193" si="1549">SUM(AJ193-AG193)</f>
        <v>4.0194103764980005E-3</v>
      </c>
      <c r="AN193" s="3068">
        <f t="shared" ref="AN193" si="1550">SUM(AK193-AH193)</f>
        <v>1.7001296146823552E-4</v>
      </c>
      <c r="AO193" s="3090">
        <f t="shared" ref="AO193:BC193" si="1551">SUM(AO192/AO191)</f>
        <v>0.29951541197214337</v>
      </c>
      <c r="AP193" s="3090">
        <f t="shared" si="1551"/>
        <v>0.29951513918005673</v>
      </c>
      <c r="AQ193" s="3090">
        <f t="shared" si="1551"/>
        <v>0.30068807284711263</v>
      </c>
      <c r="AR193" s="3090">
        <f t="shared" si="1551"/>
        <v>0.30188552381433226</v>
      </c>
      <c r="AS193" s="3090">
        <f t="shared" si="1551"/>
        <v>0.30188537227907886</v>
      </c>
      <c r="AT193" s="3090">
        <f t="shared" si="1551"/>
        <v>0.3024263431542461</v>
      </c>
      <c r="AU193" s="3090">
        <f t="shared" si="1551"/>
        <v>0.30263567215282344</v>
      </c>
      <c r="AV193" s="3090">
        <f t="shared" si="1551"/>
        <v>0.30263588347671905</v>
      </c>
      <c r="AW193" s="3090">
        <f t="shared" si="1551"/>
        <v>0.30179282868525897</v>
      </c>
      <c r="AX193" s="3090">
        <f t="shared" si="1551"/>
        <v>0.29803783850365201</v>
      </c>
      <c r="AY193" s="3090">
        <f t="shared" si="1551"/>
        <v>0.29803613099452003</v>
      </c>
      <c r="AZ193" s="3090">
        <f t="shared" si="1551"/>
        <v>0.3016759776536313</v>
      </c>
      <c r="BA193" s="3090">
        <f t="shared" si="1551"/>
        <v>0.30090761483283968</v>
      </c>
      <c r="BB193" s="3090">
        <f t="shared" si="1551"/>
        <v>0.30090727833255143</v>
      </c>
      <c r="BC193" s="3090">
        <f t="shared" si="1551"/>
        <v>0.30192502532928062</v>
      </c>
      <c r="BD193" s="3091">
        <f t="shared" ref="BD193:BI193" si="1552">SUM(BD192/BD191)</f>
        <v>0.29951541197214343</v>
      </c>
      <c r="BE193" s="3091">
        <f t="shared" si="1552"/>
        <v>0.29951513918005679</v>
      </c>
      <c r="BF193" s="3091">
        <f t="shared" si="1552"/>
        <v>0.30068807284711269</v>
      </c>
      <c r="BG193" s="3091">
        <f t="shared" si="1552"/>
        <v>0.30261148729034587</v>
      </c>
      <c r="BH193" s="3091">
        <f t="shared" si="1552"/>
        <v>0.30261195775186944</v>
      </c>
      <c r="BI193" s="3091">
        <f t="shared" si="1552"/>
        <v>0.30122363967716742</v>
      </c>
      <c r="BJ193" s="3068">
        <f t="shared" ref="BJ193" si="1553">SUM(BG193-BD193)</f>
        <v>3.0960753182024403E-3</v>
      </c>
      <c r="BK193" s="3068">
        <f t="shared" ref="BK193" si="1554">SUM(BH193-BE193)</f>
        <v>3.096818571812654E-3</v>
      </c>
      <c r="BL193" s="3068">
        <f t="shared" ref="BL193" si="1555">SUM(BI193-BF193)</f>
        <v>5.3556683005473449E-4</v>
      </c>
      <c r="BM193" s="3090">
        <f t="shared" ref="BM193:CA193" si="1556">SUM(BM192/BM191)</f>
        <v>0.29951541197214337</v>
      </c>
      <c r="BN193" s="3090">
        <f t="shared" si="1556"/>
        <v>0.29951513918005673</v>
      </c>
      <c r="BO193" s="3090">
        <f t="shared" si="1556"/>
        <v>0.30068807284711263</v>
      </c>
      <c r="BP193" s="3090" t="e">
        <f t="shared" si="1556"/>
        <v>#DIV/0!</v>
      </c>
      <c r="BQ193" s="3090" t="e">
        <f t="shared" si="1556"/>
        <v>#DIV/0!</v>
      </c>
      <c r="BR193" s="3090" t="e">
        <f t="shared" si="1556"/>
        <v>#DIV/0!</v>
      </c>
      <c r="BS193" s="3090" t="e">
        <f t="shared" si="1556"/>
        <v>#DIV/0!</v>
      </c>
      <c r="BT193" s="3090" t="e">
        <f t="shared" si="1556"/>
        <v>#DIV/0!</v>
      </c>
      <c r="BU193" s="3090" t="e">
        <f t="shared" si="1556"/>
        <v>#DIV/0!</v>
      </c>
      <c r="BV193" s="3090" t="e">
        <f t="shared" si="1556"/>
        <v>#DIV/0!</v>
      </c>
      <c r="BW193" s="3090" t="e">
        <f t="shared" si="1556"/>
        <v>#DIV/0!</v>
      </c>
      <c r="BX193" s="3090" t="e">
        <f t="shared" si="1556"/>
        <v>#DIV/0!</v>
      </c>
      <c r="BY193" s="3090" t="e">
        <f t="shared" si="1556"/>
        <v>#DIV/0!</v>
      </c>
      <c r="BZ193" s="3090" t="e">
        <f t="shared" si="1556"/>
        <v>#DIV/0!</v>
      </c>
      <c r="CA193" s="3090" t="e">
        <f t="shared" si="1556"/>
        <v>#DIV/0!</v>
      </c>
      <c r="CB193" s="3091">
        <f t="shared" ref="CB193:CD193" si="1557">SUM(CB192/CB191)</f>
        <v>0.29951541197214337</v>
      </c>
      <c r="CC193" s="3091">
        <f t="shared" si="1557"/>
        <v>0.29951513918005673</v>
      </c>
      <c r="CD193" s="3091">
        <f t="shared" si="1557"/>
        <v>0.30068807284711263</v>
      </c>
      <c r="CE193" s="3091">
        <f t="shared" ref="CE193:CG193" si="1558">SUM(CE192/CE191)</f>
        <v>0.30261148729034587</v>
      </c>
      <c r="CF193" s="3091">
        <f t="shared" si="1558"/>
        <v>0.30261195775186944</v>
      </c>
      <c r="CG193" s="3091">
        <f t="shared" si="1558"/>
        <v>0.30122363967716742</v>
      </c>
      <c r="CH193" s="3087">
        <f t="shared" si="1466"/>
        <v>3.0960753182024958E-3</v>
      </c>
      <c r="CI193" s="3087">
        <f t="shared" si="1467"/>
        <v>3.0968185718127095E-3</v>
      </c>
      <c r="CJ193" s="3087">
        <f t="shared" si="1468"/>
        <v>5.3556683005479E-4</v>
      </c>
      <c r="CK193" s="3049"/>
      <c r="CL193" s="3049"/>
      <c r="CM193" s="3049"/>
      <c r="CN193" s="3049"/>
    </row>
    <row r="194" spans="1:92" ht="18.75" x14ac:dyDescent="0.3">
      <c r="A194" s="3071" t="s">
        <v>3615</v>
      </c>
      <c r="B194" s="3270">
        <f t="shared" ref="B194:D194" si="1559">SUM(B32+B66+B101+B125+B64)</f>
        <v>5690.0939575095563</v>
      </c>
      <c r="C194" s="3270">
        <f t="shared" si="1559"/>
        <v>5689.1959426604599</v>
      </c>
      <c r="D194" s="3270">
        <f t="shared" si="1559"/>
        <v>0.89801484909637785</v>
      </c>
      <c r="E194" s="3088">
        <f t="shared" ref="E194:G194" si="1560">SUM(E32+E66+E101+E125+E64)</f>
        <v>2131.41</v>
      </c>
      <c r="F194" s="3088">
        <f t="shared" si="1560"/>
        <v>2131.41</v>
      </c>
      <c r="G194" s="3088">
        <f t="shared" si="1560"/>
        <v>0</v>
      </c>
      <c r="H194" s="3088">
        <f t="shared" ref="H194:J194" si="1561">SUM(H32+H66+H101+H125+H64)</f>
        <v>2040.59</v>
      </c>
      <c r="I194" s="3088">
        <f t="shared" si="1561"/>
        <v>2040.59</v>
      </c>
      <c r="J194" s="3088">
        <f t="shared" si="1561"/>
        <v>0</v>
      </c>
      <c r="K194" s="3088">
        <f t="shared" ref="K194:M194" si="1562">SUM(K32+K66+K101+K125+K64)</f>
        <v>2006.3499999999997</v>
      </c>
      <c r="L194" s="3088">
        <f t="shared" si="1562"/>
        <v>2006.3499999999997</v>
      </c>
      <c r="M194" s="3088">
        <f t="shared" si="1562"/>
        <v>0</v>
      </c>
      <c r="N194" s="3088">
        <f t="shared" ref="N194:AB194" si="1563">SUM(N32+N66+N101+N125+N64)</f>
        <v>6178.3499999999985</v>
      </c>
      <c r="O194" s="3088">
        <f t="shared" si="1563"/>
        <v>6178.3499999999985</v>
      </c>
      <c r="P194" s="3088">
        <f t="shared" si="1563"/>
        <v>0</v>
      </c>
      <c r="Q194" s="3270">
        <f t="shared" si="1563"/>
        <v>5690.0939575095563</v>
      </c>
      <c r="R194" s="3270">
        <f t="shared" si="1563"/>
        <v>5689.1959426604599</v>
      </c>
      <c r="S194" s="3270">
        <f t="shared" si="1563"/>
        <v>0.89801484909637785</v>
      </c>
      <c r="T194" s="3088">
        <f t="shared" si="1563"/>
        <v>1728.53</v>
      </c>
      <c r="U194" s="3088">
        <f t="shared" si="1563"/>
        <v>1728.53</v>
      </c>
      <c r="V194" s="3088">
        <f t="shared" si="1563"/>
        <v>0</v>
      </c>
      <c r="W194" s="3088">
        <f t="shared" si="1563"/>
        <v>1368.5800000000002</v>
      </c>
      <c r="X194" s="3088">
        <f t="shared" si="1563"/>
        <v>1368.5800000000002</v>
      </c>
      <c r="Y194" s="3088">
        <f t="shared" si="1563"/>
        <v>0</v>
      </c>
      <c r="Z194" s="3088">
        <f t="shared" si="1563"/>
        <v>1570.83</v>
      </c>
      <c r="AA194" s="3088">
        <f t="shared" si="1563"/>
        <v>1570.83</v>
      </c>
      <c r="AB194" s="3088">
        <f t="shared" si="1563"/>
        <v>0</v>
      </c>
      <c r="AC194" s="3088">
        <f t="shared" ref="AC194:AE194" si="1564">SUM(AC32+AC66+AC101+AC125+AC64)</f>
        <v>4667.9399999999996</v>
      </c>
      <c r="AD194" s="3088">
        <f t="shared" si="1564"/>
        <v>4667.9399999999996</v>
      </c>
      <c r="AE194" s="3088">
        <f t="shared" si="1564"/>
        <v>0</v>
      </c>
      <c r="AF194" s="3273">
        <f t="shared" ref="AF194:AK194" si="1565">SUM(AF32+AF66+AF101+AF125+AF64)</f>
        <v>11380.187915019113</v>
      </c>
      <c r="AG194" s="3273">
        <f t="shared" si="1565"/>
        <v>11378.39188532092</v>
      </c>
      <c r="AH194" s="3273">
        <f t="shared" si="1565"/>
        <v>1.7960296981927557</v>
      </c>
      <c r="AI194" s="3089">
        <f t="shared" si="1565"/>
        <v>10846.289999999997</v>
      </c>
      <c r="AJ194" s="3089">
        <f t="shared" si="1565"/>
        <v>10846.289999999997</v>
      </c>
      <c r="AK194" s="3089">
        <f t="shared" si="1565"/>
        <v>0</v>
      </c>
      <c r="AL194" s="3062">
        <f t="shared" si="1455"/>
        <v>-533.89791501911532</v>
      </c>
      <c r="AM194" s="3062">
        <f t="shared" si="1456"/>
        <v>-532.10188532092252</v>
      </c>
      <c r="AN194" s="3062">
        <f t="shared" si="1457"/>
        <v>-1.7960296981927557</v>
      </c>
      <c r="AO194" s="3270">
        <f t="shared" ref="AO194:BC194" si="1566">SUM(AO32+AO66+AO101+AO125+AO64)</f>
        <v>5690.0939575095563</v>
      </c>
      <c r="AP194" s="3270">
        <f t="shared" si="1566"/>
        <v>5689.1959426604599</v>
      </c>
      <c r="AQ194" s="3270">
        <f t="shared" si="1566"/>
        <v>0.89801484909637785</v>
      </c>
      <c r="AR194" s="3088">
        <f t="shared" si="1566"/>
        <v>1298.5999999999999</v>
      </c>
      <c r="AS194" s="3088">
        <f t="shared" si="1566"/>
        <v>1298.5999999999999</v>
      </c>
      <c r="AT194" s="3088">
        <f t="shared" si="1566"/>
        <v>0</v>
      </c>
      <c r="AU194" s="3088">
        <f t="shared" si="1566"/>
        <v>1594.48</v>
      </c>
      <c r="AV194" s="3088">
        <f t="shared" si="1566"/>
        <v>1594.48</v>
      </c>
      <c r="AW194" s="3088">
        <f t="shared" si="1566"/>
        <v>0</v>
      </c>
      <c r="AX194" s="3088">
        <f t="shared" si="1566"/>
        <v>1426.0100000000002</v>
      </c>
      <c r="AY194" s="3088">
        <f t="shared" si="1566"/>
        <v>1426.0100000000002</v>
      </c>
      <c r="AZ194" s="3088">
        <f t="shared" si="1566"/>
        <v>0</v>
      </c>
      <c r="BA194" s="3088">
        <f t="shared" si="1566"/>
        <v>4319.09</v>
      </c>
      <c r="BB194" s="3088">
        <f t="shared" si="1566"/>
        <v>4319.09</v>
      </c>
      <c r="BC194" s="3088">
        <f t="shared" si="1566"/>
        <v>0</v>
      </c>
      <c r="BD194" s="3273">
        <f t="shared" ref="BD194:BI194" si="1567">SUM(BD32+BD66+BD101+BD125+BD64)</f>
        <v>17070.281872528667</v>
      </c>
      <c r="BE194" s="3273">
        <f t="shared" si="1567"/>
        <v>17067.587827981381</v>
      </c>
      <c r="BF194" s="3273">
        <f t="shared" si="1567"/>
        <v>2.6940445472891335</v>
      </c>
      <c r="BG194" s="3089">
        <f t="shared" si="1567"/>
        <v>15165.379999999997</v>
      </c>
      <c r="BH194" s="3089">
        <f t="shared" si="1567"/>
        <v>15165.379999999997</v>
      </c>
      <c r="BI194" s="3089">
        <f t="shared" si="1567"/>
        <v>0</v>
      </c>
      <c r="BJ194" s="3062">
        <f t="shared" si="1460"/>
        <v>-1904.9018725286696</v>
      </c>
      <c r="BK194" s="3062">
        <f t="shared" si="1461"/>
        <v>-1902.2078279813832</v>
      </c>
      <c r="BL194" s="3062">
        <f t="shared" si="1462"/>
        <v>-2.6940445472891335</v>
      </c>
      <c r="BM194" s="3270">
        <f t="shared" ref="BM194:CA194" si="1568">SUM(BM32+BM66+BM101+BM125+BM64)</f>
        <v>5690.0939575095563</v>
      </c>
      <c r="BN194" s="3270">
        <f t="shared" si="1568"/>
        <v>5689.1959426604599</v>
      </c>
      <c r="BO194" s="3270">
        <f t="shared" si="1568"/>
        <v>0.89801484909637785</v>
      </c>
      <c r="BP194" s="3088">
        <f t="shared" si="1568"/>
        <v>0</v>
      </c>
      <c r="BQ194" s="3088">
        <f t="shared" si="1568"/>
        <v>0</v>
      </c>
      <c r="BR194" s="3088">
        <f t="shared" si="1568"/>
        <v>0</v>
      </c>
      <c r="BS194" s="3088">
        <f t="shared" si="1568"/>
        <v>0</v>
      </c>
      <c r="BT194" s="3088">
        <f t="shared" si="1568"/>
        <v>0</v>
      </c>
      <c r="BU194" s="3088">
        <f t="shared" si="1568"/>
        <v>0</v>
      </c>
      <c r="BV194" s="3088">
        <f t="shared" si="1568"/>
        <v>0</v>
      </c>
      <c r="BW194" s="3088">
        <f t="shared" si="1568"/>
        <v>0</v>
      </c>
      <c r="BX194" s="3088">
        <f t="shared" si="1568"/>
        <v>0</v>
      </c>
      <c r="BY194" s="3088">
        <f t="shared" si="1568"/>
        <v>0</v>
      </c>
      <c r="BZ194" s="3088">
        <f t="shared" si="1568"/>
        <v>0</v>
      </c>
      <c r="CA194" s="3088">
        <f t="shared" si="1568"/>
        <v>0</v>
      </c>
      <c r="CB194" s="3273">
        <f t="shared" ref="CB194:CD194" si="1569">SUM(CB32+CB66+CB101+CB125+CB64)</f>
        <v>22760.375801526068</v>
      </c>
      <c r="CC194" s="3273">
        <f t="shared" si="1569"/>
        <v>22756.783742143452</v>
      </c>
      <c r="CD194" s="3273">
        <f t="shared" si="1569"/>
        <v>3.5920593826196683</v>
      </c>
      <c r="CE194" s="3089">
        <f t="shared" ref="CE194:CG194" si="1570">SUM(CE32+CE66+CE101+CE125+CE64)</f>
        <v>15165.379999999997</v>
      </c>
      <c r="CF194" s="3089">
        <f t="shared" si="1570"/>
        <v>15165.379999999997</v>
      </c>
      <c r="CG194" s="3089">
        <f t="shared" si="1570"/>
        <v>0</v>
      </c>
      <c r="CH194" s="3062">
        <f t="shared" si="1466"/>
        <v>-7594.9958015260709</v>
      </c>
      <c r="CI194" s="3062">
        <f t="shared" si="1467"/>
        <v>-7591.403742143455</v>
      </c>
      <c r="CJ194" s="3062">
        <f t="shared" si="1468"/>
        <v>-3.5920593826196683</v>
      </c>
      <c r="CK194" s="3049"/>
      <c r="CL194" s="3049"/>
      <c r="CM194" s="3049"/>
      <c r="CN194" s="3049"/>
    </row>
    <row r="195" spans="1:92" ht="18.75" x14ac:dyDescent="0.3">
      <c r="A195" s="3073" t="s">
        <v>3616</v>
      </c>
      <c r="B195" s="3271">
        <f t="shared" ref="B195:D195" si="1571">SUM(B33+B67+B102+B126)</f>
        <v>1759.5410263949266</v>
      </c>
      <c r="C195" s="3271">
        <f t="shared" si="1571"/>
        <v>1759.3429933550217</v>
      </c>
      <c r="D195" s="3271">
        <f t="shared" si="1571"/>
        <v>0.19803303990490731</v>
      </c>
      <c r="E195" s="3092">
        <f t="shared" ref="E195:G195" si="1572">SUM(E33+E67+E102+E126)</f>
        <v>647.44000000000005</v>
      </c>
      <c r="F195" s="3092">
        <f t="shared" si="1572"/>
        <v>647.44000000000005</v>
      </c>
      <c r="G195" s="3092">
        <f t="shared" si="1572"/>
        <v>0</v>
      </c>
      <c r="H195" s="3092">
        <f t="shared" ref="H195:J195" si="1573">SUM(H33+H67+H102+H126)</f>
        <v>483.36</v>
      </c>
      <c r="I195" s="3092">
        <f t="shared" si="1573"/>
        <v>483.36</v>
      </c>
      <c r="J195" s="3092">
        <f t="shared" si="1573"/>
        <v>0</v>
      </c>
      <c r="K195" s="3092">
        <f t="shared" ref="K195:M195" si="1574">SUM(K33+K67+K102+K126)</f>
        <v>702.38000000000011</v>
      </c>
      <c r="L195" s="3092">
        <f t="shared" si="1574"/>
        <v>702.38000000000011</v>
      </c>
      <c r="M195" s="3092">
        <f t="shared" si="1574"/>
        <v>0</v>
      </c>
      <c r="N195" s="3092">
        <f t="shared" ref="N195:AB195" si="1575">SUM(N33+N67+N102+N126)</f>
        <v>1833.18</v>
      </c>
      <c r="O195" s="3092">
        <f t="shared" si="1575"/>
        <v>1833.18</v>
      </c>
      <c r="P195" s="3092">
        <f t="shared" si="1575"/>
        <v>0</v>
      </c>
      <c r="Q195" s="3271">
        <f t="shared" si="1575"/>
        <v>1759.5410263949266</v>
      </c>
      <c r="R195" s="3271">
        <f t="shared" si="1575"/>
        <v>1759.3429933550217</v>
      </c>
      <c r="S195" s="3271">
        <f t="shared" si="1575"/>
        <v>0.19803303990490731</v>
      </c>
      <c r="T195" s="3092">
        <f t="shared" si="1575"/>
        <v>482.5</v>
      </c>
      <c r="U195" s="3092">
        <f t="shared" si="1575"/>
        <v>482.5</v>
      </c>
      <c r="V195" s="3092">
        <f t="shared" si="1575"/>
        <v>0</v>
      </c>
      <c r="W195" s="3092">
        <f t="shared" si="1575"/>
        <v>579.52</v>
      </c>
      <c r="X195" s="3092">
        <f t="shared" si="1575"/>
        <v>579.52</v>
      </c>
      <c r="Y195" s="3092">
        <f t="shared" si="1575"/>
        <v>0</v>
      </c>
      <c r="Z195" s="3092">
        <f t="shared" si="1575"/>
        <v>634.91</v>
      </c>
      <c r="AA195" s="3092">
        <f t="shared" si="1575"/>
        <v>634.91</v>
      </c>
      <c r="AB195" s="3092">
        <f t="shared" si="1575"/>
        <v>0</v>
      </c>
      <c r="AC195" s="3092">
        <f t="shared" ref="AC195:AE195" si="1576">SUM(AC33+AC67+AC102+AC126)</f>
        <v>1696.9299999999998</v>
      </c>
      <c r="AD195" s="3092">
        <f t="shared" si="1576"/>
        <v>1696.9299999999998</v>
      </c>
      <c r="AE195" s="3092">
        <f t="shared" si="1576"/>
        <v>0</v>
      </c>
      <c r="AF195" s="3274">
        <f t="shared" ref="AF195:AK195" si="1577">SUM(AF33+AF67+AF102+AF126)</f>
        <v>3519.0820527898532</v>
      </c>
      <c r="AG195" s="3274">
        <f t="shared" si="1577"/>
        <v>3518.6859867100434</v>
      </c>
      <c r="AH195" s="3274">
        <f t="shared" si="1577"/>
        <v>0.39606607980981462</v>
      </c>
      <c r="AI195" s="3093">
        <f t="shared" si="1577"/>
        <v>3530.11</v>
      </c>
      <c r="AJ195" s="3093">
        <f t="shared" si="1577"/>
        <v>3530.11</v>
      </c>
      <c r="AK195" s="3093">
        <f t="shared" si="1577"/>
        <v>0</v>
      </c>
      <c r="AL195" s="3068">
        <f t="shared" si="1455"/>
        <v>11.027947210146976</v>
      </c>
      <c r="AM195" s="3068">
        <f t="shared" si="1456"/>
        <v>11.424013289956747</v>
      </c>
      <c r="AN195" s="3068">
        <f t="shared" si="1457"/>
        <v>-0.39606607980981462</v>
      </c>
      <c r="AO195" s="3271">
        <f t="shared" ref="AO195:BC195" si="1578">SUM(AO33+AO67+AO102+AO126)</f>
        <v>1759.5410263949266</v>
      </c>
      <c r="AP195" s="3271">
        <f t="shared" si="1578"/>
        <v>1759.3429933550217</v>
      </c>
      <c r="AQ195" s="3271">
        <f t="shared" si="1578"/>
        <v>0.19803303990490731</v>
      </c>
      <c r="AR195" s="3092">
        <f t="shared" si="1578"/>
        <v>539.74</v>
      </c>
      <c r="AS195" s="3092">
        <f t="shared" si="1578"/>
        <v>539.74</v>
      </c>
      <c r="AT195" s="3092">
        <f t="shared" si="1578"/>
        <v>0</v>
      </c>
      <c r="AU195" s="3092">
        <f t="shared" si="1578"/>
        <v>620.70000000000005</v>
      </c>
      <c r="AV195" s="3092">
        <f t="shared" si="1578"/>
        <v>620.70000000000005</v>
      </c>
      <c r="AW195" s="3092">
        <f t="shared" si="1578"/>
        <v>0</v>
      </c>
      <c r="AX195" s="3092">
        <f t="shared" si="1578"/>
        <v>701.77</v>
      </c>
      <c r="AY195" s="3092">
        <f t="shared" si="1578"/>
        <v>701.77</v>
      </c>
      <c r="AZ195" s="3092">
        <f t="shared" si="1578"/>
        <v>0</v>
      </c>
      <c r="BA195" s="3092">
        <f t="shared" si="1578"/>
        <v>1862.21</v>
      </c>
      <c r="BB195" s="3092">
        <f t="shared" si="1578"/>
        <v>1862.21</v>
      </c>
      <c r="BC195" s="3092">
        <f t="shared" si="1578"/>
        <v>0</v>
      </c>
      <c r="BD195" s="3274">
        <f t="shared" ref="BD195:BI195" si="1579">SUM(BD33+BD67+BD102+BD126)</f>
        <v>5278.6230791847793</v>
      </c>
      <c r="BE195" s="3274">
        <f t="shared" si="1579"/>
        <v>5278.0289800650644</v>
      </c>
      <c r="BF195" s="3274">
        <f t="shared" si="1579"/>
        <v>0.59409911971472196</v>
      </c>
      <c r="BG195" s="3093">
        <f t="shared" si="1579"/>
        <v>5392.32</v>
      </c>
      <c r="BH195" s="3093">
        <f t="shared" si="1579"/>
        <v>5392.32</v>
      </c>
      <c r="BI195" s="3093">
        <f t="shared" si="1579"/>
        <v>0</v>
      </c>
      <c r="BJ195" s="3068">
        <f t="shared" si="1460"/>
        <v>113.69692081522044</v>
      </c>
      <c r="BK195" s="3068">
        <f t="shared" si="1461"/>
        <v>114.29101993493532</v>
      </c>
      <c r="BL195" s="3068">
        <f t="shared" si="1462"/>
        <v>-0.59409911971472196</v>
      </c>
      <c r="BM195" s="3271">
        <f t="shared" ref="BM195:CA195" si="1580">SUM(BM33+BM67+BM102+BM126)</f>
        <v>1759.5410263949266</v>
      </c>
      <c r="BN195" s="3271">
        <f t="shared" si="1580"/>
        <v>1759.3429933550217</v>
      </c>
      <c r="BO195" s="3271">
        <f t="shared" si="1580"/>
        <v>0.19803303990490731</v>
      </c>
      <c r="BP195" s="3092">
        <f t="shared" si="1580"/>
        <v>0</v>
      </c>
      <c r="BQ195" s="3092">
        <f t="shared" si="1580"/>
        <v>0</v>
      </c>
      <c r="BR195" s="3092">
        <f t="shared" si="1580"/>
        <v>0</v>
      </c>
      <c r="BS195" s="3092">
        <f t="shared" si="1580"/>
        <v>0</v>
      </c>
      <c r="BT195" s="3092">
        <f t="shared" si="1580"/>
        <v>0</v>
      </c>
      <c r="BU195" s="3092">
        <f t="shared" si="1580"/>
        <v>0</v>
      </c>
      <c r="BV195" s="3092">
        <f t="shared" si="1580"/>
        <v>0</v>
      </c>
      <c r="BW195" s="3092">
        <f t="shared" si="1580"/>
        <v>0</v>
      </c>
      <c r="BX195" s="3092">
        <f t="shared" si="1580"/>
        <v>0</v>
      </c>
      <c r="BY195" s="3092">
        <f t="shared" si="1580"/>
        <v>0</v>
      </c>
      <c r="BZ195" s="3092">
        <f t="shared" si="1580"/>
        <v>0</v>
      </c>
      <c r="CA195" s="3092">
        <f t="shared" si="1580"/>
        <v>0</v>
      </c>
      <c r="CB195" s="3274">
        <f t="shared" ref="CB195:CD195" si="1581">SUM(CB33+CB67+CB102+CB126)</f>
        <v>7038.1641055797063</v>
      </c>
      <c r="CC195" s="3274">
        <f t="shared" si="1581"/>
        <v>7037.3719734200868</v>
      </c>
      <c r="CD195" s="3274">
        <f t="shared" si="1581"/>
        <v>0.79213215961962924</v>
      </c>
      <c r="CE195" s="3093">
        <f t="shared" ref="CE195:CG195" si="1582">SUM(CE33+CE67+CE102+CE126)</f>
        <v>5392.32</v>
      </c>
      <c r="CF195" s="3093">
        <f t="shared" si="1582"/>
        <v>5392.32</v>
      </c>
      <c r="CG195" s="3093">
        <f t="shared" si="1582"/>
        <v>0</v>
      </c>
      <c r="CH195" s="3068">
        <f t="shared" si="1466"/>
        <v>-1645.8441055797066</v>
      </c>
      <c r="CI195" s="3068">
        <f t="shared" si="1467"/>
        <v>-1645.0519734200871</v>
      </c>
      <c r="CJ195" s="3068">
        <f t="shared" si="1468"/>
        <v>-0.79213215961962924</v>
      </c>
      <c r="CK195" s="3049"/>
      <c r="CL195" s="3049"/>
      <c r="CM195" s="3049"/>
      <c r="CN195" s="3049"/>
    </row>
    <row r="196" spans="1:92" ht="18.75" x14ac:dyDescent="0.3">
      <c r="A196" s="3073" t="s">
        <v>3617</v>
      </c>
      <c r="B196" s="3271">
        <f t="shared" ref="B196:D196" si="1583">SUM(B34+B68+B103+B127)</f>
        <v>529.49509163874188</v>
      </c>
      <c r="C196" s="3271">
        <f t="shared" si="1583"/>
        <v>529.43529171148532</v>
      </c>
      <c r="D196" s="3271">
        <f t="shared" si="1583"/>
        <v>5.9799927256525054E-2</v>
      </c>
      <c r="E196" s="3092">
        <f t="shared" ref="E196:G196" si="1584">SUM(E34+E68+E103+E127)</f>
        <v>195.52999999999997</v>
      </c>
      <c r="F196" s="3092">
        <f t="shared" si="1584"/>
        <v>195.52999999999997</v>
      </c>
      <c r="G196" s="3092">
        <f t="shared" si="1584"/>
        <v>0</v>
      </c>
      <c r="H196" s="3092">
        <f t="shared" ref="H196:J196" si="1585">SUM(H34+H68+H103+H127)</f>
        <v>145.84</v>
      </c>
      <c r="I196" s="3092">
        <f t="shared" si="1585"/>
        <v>145.84</v>
      </c>
      <c r="J196" s="3092">
        <f t="shared" si="1585"/>
        <v>0</v>
      </c>
      <c r="K196" s="3092">
        <f t="shared" ref="K196:M196" si="1586">SUM(K34+K68+K103+K127)</f>
        <v>209.5</v>
      </c>
      <c r="L196" s="3092">
        <f t="shared" si="1586"/>
        <v>209.5</v>
      </c>
      <c r="M196" s="3092">
        <f t="shared" si="1586"/>
        <v>0</v>
      </c>
      <c r="N196" s="3092">
        <f t="shared" ref="N196:AB196" si="1587">SUM(N34+N68+N103+N127)</f>
        <v>550.86999999999989</v>
      </c>
      <c r="O196" s="3092">
        <f t="shared" si="1587"/>
        <v>550.86999999999989</v>
      </c>
      <c r="P196" s="3092">
        <f t="shared" si="1587"/>
        <v>0</v>
      </c>
      <c r="Q196" s="3271">
        <f t="shared" si="1587"/>
        <v>529.49509163874188</v>
      </c>
      <c r="R196" s="3271">
        <f t="shared" si="1587"/>
        <v>529.43529171148532</v>
      </c>
      <c r="S196" s="3271">
        <f t="shared" si="1587"/>
        <v>5.9799927256525054E-2</v>
      </c>
      <c r="T196" s="3092">
        <f t="shared" si="1587"/>
        <v>153.79</v>
      </c>
      <c r="U196" s="3092">
        <f t="shared" si="1587"/>
        <v>153.79</v>
      </c>
      <c r="V196" s="3092">
        <f t="shared" si="1587"/>
        <v>0</v>
      </c>
      <c r="W196" s="3092">
        <f t="shared" si="1587"/>
        <v>171.85</v>
      </c>
      <c r="X196" s="3092">
        <f t="shared" si="1587"/>
        <v>171.85</v>
      </c>
      <c r="Y196" s="3092">
        <f t="shared" si="1587"/>
        <v>0</v>
      </c>
      <c r="Z196" s="3092">
        <f t="shared" si="1587"/>
        <v>191.75</v>
      </c>
      <c r="AA196" s="3092">
        <f t="shared" si="1587"/>
        <v>191.75</v>
      </c>
      <c r="AB196" s="3092">
        <f t="shared" si="1587"/>
        <v>0</v>
      </c>
      <c r="AC196" s="3092">
        <f t="shared" ref="AC196:AE196" si="1588">SUM(AC34+AC68+AC103+AC127)</f>
        <v>517.39</v>
      </c>
      <c r="AD196" s="3092">
        <f t="shared" si="1588"/>
        <v>517.39</v>
      </c>
      <c r="AE196" s="3092">
        <f t="shared" si="1588"/>
        <v>0</v>
      </c>
      <c r="AF196" s="3274">
        <f t="shared" ref="AF196:AK196" si="1589">SUM(AF34+AF68+AF103+AF127)</f>
        <v>1058.9901832774838</v>
      </c>
      <c r="AG196" s="3274">
        <f t="shared" si="1589"/>
        <v>1058.8705834229706</v>
      </c>
      <c r="AH196" s="3274">
        <f t="shared" si="1589"/>
        <v>0.11959985451305011</v>
      </c>
      <c r="AI196" s="3093">
        <f t="shared" si="1589"/>
        <v>1068.26</v>
      </c>
      <c r="AJ196" s="3093">
        <f t="shared" si="1589"/>
        <v>1068.26</v>
      </c>
      <c r="AK196" s="3093">
        <f t="shared" si="1589"/>
        <v>0</v>
      </c>
      <c r="AL196" s="3068">
        <f t="shared" si="1455"/>
        <v>9.2698167225162251</v>
      </c>
      <c r="AM196" s="3068">
        <f t="shared" si="1456"/>
        <v>9.3894165770293512</v>
      </c>
      <c r="AN196" s="3068">
        <f t="shared" si="1457"/>
        <v>-0.11959985451305011</v>
      </c>
      <c r="AO196" s="3271">
        <f t="shared" ref="AO196:BC196" si="1590">SUM(AO34+AO68+AO103+AO127)</f>
        <v>529.49509163874188</v>
      </c>
      <c r="AP196" s="3271">
        <f t="shared" si="1590"/>
        <v>529.43529171148532</v>
      </c>
      <c r="AQ196" s="3271">
        <f t="shared" si="1590"/>
        <v>5.9799927256525054E-2</v>
      </c>
      <c r="AR196" s="3092">
        <f t="shared" si="1590"/>
        <v>162.86000000000001</v>
      </c>
      <c r="AS196" s="3092">
        <f t="shared" si="1590"/>
        <v>162.86000000000001</v>
      </c>
      <c r="AT196" s="3092">
        <f t="shared" si="1590"/>
        <v>0</v>
      </c>
      <c r="AU196" s="3092">
        <f t="shared" si="1590"/>
        <v>187.31</v>
      </c>
      <c r="AV196" s="3092">
        <f t="shared" si="1590"/>
        <v>187.31</v>
      </c>
      <c r="AW196" s="3092">
        <f t="shared" si="1590"/>
        <v>0</v>
      </c>
      <c r="AX196" s="3092">
        <f t="shared" si="1590"/>
        <v>211.81</v>
      </c>
      <c r="AY196" s="3092">
        <f t="shared" si="1590"/>
        <v>211.81</v>
      </c>
      <c r="AZ196" s="3092">
        <f t="shared" si="1590"/>
        <v>0</v>
      </c>
      <c r="BA196" s="3092">
        <f t="shared" si="1590"/>
        <v>561.98</v>
      </c>
      <c r="BB196" s="3092">
        <f t="shared" si="1590"/>
        <v>561.98</v>
      </c>
      <c r="BC196" s="3092">
        <f t="shared" si="1590"/>
        <v>0</v>
      </c>
      <c r="BD196" s="3274">
        <f t="shared" ref="BD196:BI196" si="1591">SUM(BD34+BD68+BD103+BD127)</f>
        <v>1588.4852749162255</v>
      </c>
      <c r="BE196" s="3274">
        <f t="shared" si="1591"/>
        <v>1588.3058751344561</v>
      </c>
      <c r="BF196" s="3274">
        <f t="shared" si="1591"/>
        <v>0.17939978176957516</v>
      </c>
      <c r="BG196" s="3093">
        <f t="shared" si="1591"/>
        <v>1630.24</v>
      </c>
      <c r="BH196" s="3093">
        <f t="shared" si="1591"/>
        <v>1630.24</v>
      </c>
      <c r="BI196" s="3093">
        <f t="shared" si="1591"/>
        <v>0</v>
      </c>
      <c r="BJ196" s="3068">
        <f t="shared" si="1460"/>
        <v>41.754725083774474</v>
      </c>
      <c r="BK196" s="3068">
        <f t="shared" si="1461"/>
        <v>41.934124865543936</v>
      </c>
      <c r="BL196" s="3068">
        <f t="shared" si="1462"/>
        <v>-0.17939978176957516</v>
      </c>
      <c r="BM196" s="3271">
        <f t="shared" ref="BM196:CA196" si="1592">SUM(BM34+BM68+BM103+BM127)</f>
        <v>529.49509163874188</v>
      </c>
      <c r="BN196" s="3271">
        <f t="shared" si="1592"/>
        <v>529.43529171148532</v>
      </c>
      <c r="BO196" s="3271">
        <f t="shared" si="1592"/>
        <v>5.9799927256525054E-2</v>
      </c>
      <c r="BP196" s="3092">
        <f t="shared" si="1592"/>
        <v>0</v>
      </c>
      <c r="BQ196" s="3092">
        <f t="shared" si="1592"/>
        <v>0</v>
      </c>
      <c r="BR196" s="3092">
        <f t="shared" si="1592"/>
        <v>0</v>
      </c>
      <c r="BS196" s="3092">
        <f t="shared" si="1592"/>
        <v>0</v>
      </c>
      <c r="BT196" s="3092">
        <f t="shared" si="1592"/>
        <v>0</v>
      </c>
      <c r="BU196" s="3092">
        <f t="shared" si="1592"/>
        <v>0</v>
      </c>
      <c r="BV196" s="3092">
        <f t="shared" si="1592"/>
        <v>0</v>
      </c>
      <c r="BW196" s="3092">
        <f t="shared" si="1592"/>
        <v>0</v>
      </c>
      <c r="BX196" s="3092">
        <f t="shared" si="1592"/>
        <v>0</v>
      </c>
      <c r="BY196" s="3092">
        <f t="shared" si="1592"/>
        <v>0</v>
      </c>
      <c r="BZ196" s="3092">
        <f t="shared" si="1592"/>
        <v>0</v>
      </c>
      <c r="CA196" s="3092">
        <f t="shared" si="1592"/>
        <v>0</v>
      </c>
      <c r="CB196" s="3274">
        <f t="shared" ref="CB196:CD196" si="1593">SUM(CB34+CB68+CB103+CB127)</f>
        <v>2117.9803665549675</v>
      </c>
      <c r="CC196" s="3274">
        <f t="shared" si="1593"/>
        <v>2117.7411668459413</v>
      </c>
      <c r="CD196" s="3274">
        <f t="shared" si="1593"/>
        <v>0.23919970902610022</v>
      </c>
      <c r="CE196" s="3093">
        <f t="shared" ref="CE196:CG196" si="1594">SUM(CE34+CE68+CE103+CE127)</f>
        <v>1630.24</v>
      </c>
      <c r="CF196" s="3093">
        <f t="shared" si="1594"/>
        <v>1630.24</v>
      </c>
      <c r="CG196" s="3093">
        <f t="shared" si="1594"/>
        <v>0</v>
      </c>
      <c r="CH196" s="3068">
        <f t="shared" si="1466"/>
        <v>-487.74036655496752</v>
      </c>
      <c r="CI196" s="3068">
        <f t="shared" si="1467"/>
        <v>-487.50116684594127</v>
      </c>
      <c r="CJ196" s="3068">
        <f t="shared" si="1468"/>
        <v>-0.23919970902610022</v>
      </c>
      <c r="CK196" s="3049"/>
      <c r="CL196" s="3049"/>
      <c r="CM196" s="3049"/>
      <c r="CN196" s="3049"/>
    </row>
    <row r="197" spans="1:92" ht="18.75" x14ac:dyDescent="0.3">
      <c r="A197" s="3073" t="s">
        <v>31</v>
      </c>
      <c r="B197" s="3271">
        <f t="shared" ref="B197:D197" si="1595">SUM(B105)</f>
        <v>570.80999999999995</v>
      </c>
      <c r="C197" s="3271">
        <f t="shared" si="1595"/>
        <v>570.53413305469508</v>
      </c>
      <c r="D197" s="3271">
        <f t="shared" si="1595"/>
        <v>0.27586694530486172</v>
      </c>
      <c r="E197" s="3092">
        <f t="shared" ref="E197:G197" si="1596">SUM(E105)</f>
        <v>150.99</v>
      </c>
      <c r="F197" s="3092">
        <f t="shared" si="1596"/>
        <v>150.99</v>
      </c>
      <c r="G197" s="3092">
        <f t="shared" si="1596"/>
        <v>0</v>
      </c>
      <c r="H197" s="3092">
        <f t="shared" ref="H197:J197" si="1597">SUM(H105)</f>
        <v>126.56</v>
      </c>
      <c r="I197" s="3092">
        <f t="shared" si="1597"/>
        <v>126.56</v>
      </c>
      <c r="J197" s="3092">
        <f t="shared" si="1597"/>
        <v>0</v>
      </c>
      <c r="K197" s="3092">
        <f t="shared" ref="K197:M197" si="1598">SUM(K105)</f>
        <v>112.25999999999999</v>
      </c>
      <c r="L197" s="3092">
        <f t="shared" si="1598"/>
        <v>112.25999999999999</v>
      </c>
      <c r="M197" s="3092">
        <f t="shared" si="1598"/>
        <v>0</v>
      </c>
      <c r="N197" s="3092">
        <f t="shared" ref="N197:AB197" si="1599">SUM(N105)</f>
        <v>389.81</v>
      </c>
      <c r="O197" s="3092">
        <f t="shared" si="1599"/>
        <v>389.81</v>
      </c>
      <c r="P197" s="3092">
        <f t="shared" si="1599"/>
        <v>0</v>
      </c>
      <c r="Q197" s="3271">
        <f t="shared" si="1599"/>
        <v>570.80999999999995</v>
      </c>
      <c r="R197" s="3271">
        <f t="shared" si="1599"/>
        <v>570.53413305469508</v>
      </c>
      <c r="S197" s="3271">
        <f t="shared" si="1599"/>
        <v>0.27586694530486172</v>
      </c>
      <c r="T197" s="3092">
        <f t="shared" si="1599"/>
        <v>142.6</v>
      </c>
      <c r="U197" s="3092">
        <f t="shared" si="1599"/>
        <v>142.6</v>
      </c>
      <c r="V197" s="3092">
        <f t="shared" si="1599"/>
        <v>0</v>
      </c>
      <c r="W197" s="3092">
        <f t="shared" si="1599"/>
        <v>119.32000000000001</v>
      </c>
      <c r="X197" s="3092">
        <f t="shared" si="1599"/>
        <v>119.32000000000001</v>
      </c>
      <c r="Y197" s="3092">
        <f t="shared" si="1599"/>
        <v>0</v>
      </c>
      <c r="Z197" s="3092">
        <f t="shared" si="1599"/>
        <v>158.81</v>
      </c>
      <c r="AA197" s="3092">
        <f t="shared" si="1599"/>
        <v>158.81</v>
      </c>
      <c r="AB197" s="3092">
        <f t="shared" si="1599"/>
        <v>0</v>
      </c>
      <c r="AC197" s="3092">
        <f t="shared" ref="AC197:AE197" si="1600">SUM(AC105)</f>
        <v>420.73</v>
      </c>
      <c r="AD197" s="3092">
        <f t="shared" si="1600"/>
        <v>420.73</v>
      </c>
      <c r="AE197" s="3092">
        <f t="shared" si="1600"/>
        <v>0</v>
      </c>
      <c r="AF197" s="3274">
        <f t="shared" ref="AF197:AK197" si="1601">SUM(AF105)</f>
        <v>1141.6199999999999</v>
      </c>
      <c r="AG197" s="3274">
        <f t="shared" si="1601"/>
        <v>1141.0682661093902</v>
      </c>
      <c r="AH197" s="3274">
        <f t="shared" si="1601"/>
        <v>0.55173389060972344</v>
      </c>
      <c r="AI197" s="3093">
        <f t="shared" si="1601"/>
        <v>810.54</v>
      </c>
      <c r="AJ197" s="3093">
        <f t="shared" si="1601"/>
        <v>810.54</v>
      </c>
      <c r="AK197" s="3093">
        <f t="shared" si="1601"/>
        <v>0</v>
      </c>
      <c r="AL197" s="3068">
        <f t="shared" si="1455"/>
        <v>-331.07999999999993</v>
      </c>
      <c r="AM197" s="3068">
        <f t="shared" si="1456"/>
        <v>-330.52826610939019</v>
      </c>
      <c r="AN197" s="3068">
        <f t="shared" si="1457"/>
        <v>-0.55173389060972344</v>
      </c>
      <c r="AO197" s="3271">
        <f t="shared" ref="AO197:BC197" si="1602">SUM(AO105)</f>
        <v>570.80999999999995</v>
      </c>
      <c r="AP197" s="3271">
        <f t="shared" si="1602"/>
        <v>570.53413305469508</v>
      </c>
      <c r="AQ197" s="3271">
        <f t="shared" si="1602"/>
        <v>0.27586694530486172</v>
      </c>
      <c r="AR197" s="3092">
        <f t="shared" si="1602"/>
        <v>165.88000000000002</v>
      </c>
      <c r="AS197" s="3092">
        <f t="shared" si="1602"/>
        <v>165.88000000000002</v>
      </c>
      <c r="AT197" s="3092">
        <f t="shared" si="1602"/>
        <v>0</v>
      </c>
      <c r="AU197" s="3092">
        <f t="shared" si="1602"/>
        <v>128.45000000000002</v>
      </c>
      <c r="AV197" s="3092">
        <f t="shared" si="1602"/>
        <v>128.45000000000002</v>
      </c>
      <c r="AW197" s="3092">
        <f t="shared" si="1602"/>
        <v>0</v>
      </c>
      <c r="AX197" s="3092">
        <f t="shared" si="1602"/>
        <v>141.22</v>
      </c>
      <c r="AY197" s="3092">
        <f t="shared" si="1602"/>
        <v>141.22</v>
      </c>
      <c r="AZ197" s="3092">
        <f t="shared" si="1602"/>
        <v>0</v>
      </c>
      <c r="BA197" s="3092">
        <f t="shared" si="1602"/>
        <v>435.55000000000007</v>
      </c>
      <c r="BB197" s="3092">
        <f t="shared" si="1602"/>
        <v>435.55000000000007</v>
      </c>
      <c r="BC197" s="3092">
        <f t="shared" si="1602"/>
        <v>0</v>
      </c>
      <c r="BD197" s="3274">
        <f t="shared" ref="BD197:BI197" si="1603">SUM(BD105)</f>
        <v>1712.4299999999998</v>
      </c>
      <c r="BE197" s="3274">
        <f t="shared" si="1603"/>
        <v>1711.6023991640852</v>
      </c>
      <c r="BF197" s="3274">
        <f t="shared" si="1603"/>
        <v>0.82760083591458522</v>
      </c>
      <c r="BG197" s="3093">
        <f t="shared" si="1603"/>
        <v>1246.0900000000001</v>
      </c>
      <c r="BH197" s="3093">
        <f t="shared" si="1603"/>
        <v>1246.0900000000001</v>
      </c>
      <c r="BI197" s="3093">
        <f t="shared" si="1603"/>
        <v>0</v>
      </c>
      <c r="BJ197" s="3068">
        <f t="shared" si="1460"/>
        <v>-466.33999999999969</v>
      </c>
      <c r="BK197" s="3068">
        <f t="shared" si="1461"/>
        <v>-465.51239916408508</v>
      </c>
      <c r="BL197" s="3068">
        <f t="shared" si="1462"/>
        <v>-0.82760083591458522</v>
      </c>
      <c r="BM197" s="3271">
        <f t="shared" ref="BM197:CA197" si="1604">SUM(BM105)</f>
        <v>570.80999999999995</v>
      </c>
      <c r="BN197" s="3271">
        <f t="shared" si="1604"/>
        <v>570.53413305469508</v>
      </c>
      <c r="BO197" s="3271">
        <f t="shared" si="1604"/>
        <v>0.27586694530486172</v>
      </c>
      <c r="BP197" s="3092">
        <f t="shared" si="1604"/>
        <v>0</v>
      </c>
      <c r="BQ197" s="3092">
        <f t="shared" si="1604"/>
        <v>0</v>
      </c>
      <c r="BR197" s="3092">
        <f t="shared" si="1604"/>
        <v>0</v>
      </c>
      <c r="BS197" s="3092">
        <f t="shared" si="1604"/>
        <v>0</v>
      </c>
      <c r="BT197" s="3092">
        <f t="shared" si="1604"/>
        <v>0</v>
      </c>
      <c r="BU197" s="3092">
        <f t="shared" si="1604"/>
        <v>0</v>
      </c>
      <c r="BV197" s="3092">
        <f t="shared" si="1604"/>
        <v>0</v>
      </c>
      <c r="BW197" s="3092">
        <f t="shared" si="1604"/>
        <v>0</v>
      </c>
      <c r="BX197" s="3092">
        <f t="shared" si="1604"/>
        <v>0</v>
      </c>
      <c r="BY197" s="3092">
        <f t="shared" si="1604"/>
        <v>0</v>
      </c>
      <c r="BZ197" s="3092">
        <f t="shared" si="1604"/>
        <v>0</v>
      </c>
      <c r="CA197" s="3092">
        <f t="shared" si="1604"/>
        <v>0</v>
      </c>
      <c r="CB197" s="3274">
        <f t="shared" ref="CB197:CD197" si="1605">SUM(CB105)</f>
        <v>2283.2399999999998</v>
      </c>
      <c r="CC197" s="3274">
        <f t="shared" si="1605"/>
        <v>2282.1365322187803</v>
      </c>
      <c r="CD197" s="3274">
        <f t="shared" si="1605"/>
        <v>1.1034677812194469</v>
      </c>
      <c r="CE197" s="3093">
        <f t="shared" ref="CE197:CG197" si="1606">SUM(CE105)</f>
        <v>1246.0900000000001</v>
      </c>
      <c r="CF197" s="3093">
        <f t="shared" si="1606"/>
        <v>1246.0900000000001</v>
      </c>
      <c r="CG197" s="3093">
        <f t="shared" si="1606"/>
        <v>0</v>
      </c>
      <c r="CH197" s="3068">
        <f t="shared" si="1466"/>
        <v>-1037.1499999999996</v>
      </c>
      <c r="CI197" s="3068">
        <f t="shared" si="1467"/>
        <v>-1036.0465322187802</v>
      </c>
      <c r="CJ197" s="3068">
        <f t="shared" si="1468"/>
        <v>-1.1034677812194469</v>
      </c>
      <c r="CK197" s="3049"/>
      <c r="CL197" s="3049"/>
      <c r="CM197" s="3049"/>
      <c r="CN197" s="3049"/>
    </row>
    <row r="198" spans="1:92" ht="18.75" x14ac:dyDescent="0.3">
      <c r="A198" s="3073" t="s">
        <v>295</v>
      </c>
      <c r="B198" s="3271">
        <f t="shared" ref="B198:D198" si="1607">SUM(B194-(B195+B196+B197))</f>
        <v>2830.2478394758878</v>
      </c>
      <c r="C198" s="3271">
        <f t="shared" si="1607"/>
        <v>2829.8835245392575</v>
      </c>
      <c r="D198" s="3271">
        <f t="shared" si="1607"/>
        <v>0.36431493663008385</v>
      </c>
      <c r="E198" s="3092">
        <f t="shared" ref="E198:G198" si="1608">SUM(E194-(E195+E196+E197))</f>
        <v>1137.4499999999998</v>
      </c>
      <c r="F198" s="3092">
        <f t="shared" si="1608"/>
        <v>1137.4499999999998</v>
      </c>
      <c r="G198" s="3092">
        <f t="shared" si="1608"/>
        <v>0</v>
      </c>
      <c r="H198" s="3092">
        <f t="shared" ref="H198:J198" si="1609">SUM(H194-(H195+H196+H197))</f>
        <v>1284.83</v>
      </c>
      <c r="I198" s="3092">
        <f t="shared" si="1609"/>
        <v>1284.83</v>
      </c>
      <c r="J198" s="3092">
        <f t="shared" si="1609"/>
        <v>0</v>
      </c>
      <c r="K198" s="3092">
        <f t="shared" ref="K198:M198" si="1610">SUM(K194-(K195+K196+K197))</f>
        <v>982.20999999999958</v>
      </c>
      <c r="L198" s="3092">
        <f t="shared" si="1610"/>
        <v>982.20999999999958</v>
      </c>
      <c r="M198" s="3092">
        <f t="shared" si="1610"/>
        <v>0</v>
      </c>
      <c r="N198" s="3092">
        <f t="shared" ref="N198:AB198" si="1611">SUM(N194-(N195+N196+N197))</f>
        <v>3404.4899999999984</v>
      </c>
      <c r="O198" s="3092">
        <f t="shared" si="1611"/>
        <v>3404.4899999999984</v>
      </c>
      <c r="P198" s="3092">
        <f t="shared" si="1611"/>
        <v>0</v>
      </c>
      <c r="Q198" s="3271">
        <f t="shared" si="1611"/>
        <v>2830.2478394758878</v>
      </c>
      <c r="R198" s="3271">
        <f t="shared" si="1611"/>
        <v>2829.8835245392575</v>
      </c>
      <c r="S198" s="3271">
        <f t="shared" si="1611"/>
        <v>0.36431493663008385</v>
      </c>
      <c r="T198" s="3092">
        <f t="shared" si="1611"/>
        <v>949.64</v>
      </c>
      <c r="U198" s="3092">
        <f t="shared" si="1611"/>
        <v>949.64</v>
      </c>
      <c r="V198" s="3092">
        <f t="shared" si="1611"/>
        <v>0</v>
      </c>
      <c r="W198" s="3092">
        <f t="shared" si="1611"/>
        <v>497.8900000000001</v>
      </c>
      <c r="X198" s="3092">
        <f t="shared" si="1611"/>
        <v>497.8900000000001</v>
      </c>
      <c r="Y198" s="3092">
        <f t="shared" si="1611"/>
        <v>0</v>
      </c>
      <c r="Z198" s="3092">
        <f t="shared" si="1611"/>
        <v>585.3599999999999</v>
      </c>
      <c r="AA198" s="3092">
        <f t="shared" si="1611"/>
        <v>585.3599999999999</v>
      </c>
      <c r="AB198" s="3092">
        <f t="shared" si="1611"/>
        <v>0</v>
      </c>
      <c r="AC198" s="3092">
        <f t="shared" ref="AC198:AE198" si="1612">SUM(AC194-(AC195+AC196+AC197))</f>
        <v>2032.8899999999999</v>
      </c>
      <c r="AD198" s="3092">
        <f t="shared" si="1612"/>
        <v>2032.8899999999999</v>
      </c>
      <c r="AE198" s="3092">
        <f t="shared" si="1612"/>
        <v>0</v>
      </c>
      <c r="AF198" s="3274">
        <f t="shared" ref="AF198:AK198" si="1613">SUM(AF194-(AF195+AF196+AF197))</f>
        <v>5660.4956789517755</v>
      </c>
      <c r="AG198" s="3274">
        <f t="shared" si="1613"/>
        <v>5659.7670490785149</v>
      </c>
      <c r="AH198" s="3274">
        <f t="shared" si="1613"/>
        <v>0.7286298732601677</v>
      </c>
      <c r="AI198" s="3093">
        <f t="shared" si="1613"/>
        <v>5437.3799999999974</v>
      </c>
      <c r="AJ198" s="3093">
        <f t="shared" si="1613"/>
        <v>5437.3799999999974</v>
      </c>
      <c r="AK198" s="3093">
        <f t="shared" si="1613"/>
        <v>0</v>
      </c>
      <c r="AL198" s="3068">
        <f t="shared" si="1455"/>
        <v>-223.11567895177814</v>
      </c>
      <c r="AM198" s="3068">
        <f t="shared" si="1456"/>
        <v>-222.38704907851752</v>
      </c>
      <c r="AN198" s="3068">
        <f t="shared" si="1457"/>
        <v>-0.7286298732601677</v>
      </c>
      <c r="AO198" s="3271">
        <f t="shared" ref="AO198:BC198" si="1614">SUM(AO194-(AO195+AO196+AO197))</f>
        <v>2830.2478394758878</v>
      </c>
      <c r="AP198" s="3271">
        <f t="shared" si="1614"/>
        <v>2829.8835245392575</v>
      </c>
      <c r="AQ198" s="3271">
        <f t="shared" si="1614"/>
        <v>0.36431493663008385</v>
      </c>
      <c r="AR198" s="3092">
        <f t="shared" si="1614"/>
        <v>430.11999999999989</v>
      </c>
      <c r="AS198" s="3092">
        <f t="shared" si="1614"/>
        <v>430.11999999999989</v>
      </c>
      <c r="AT198" s="3092">
        <f t="shared" si="1614"/>
        <v>0</v>
      </c>
      <c r="AU198" s="3092">
        <f t="shared" si="1614"/>
        <v>658.02</v>
      </c>
      <c r="AV198" s="3092">
        <f t="shared" si="1614"/>
        <v>658.02</v>
      </c>
      <c r="AW198" s="3092">
        <f t="shared" si="1614"/>
        <v>0</v>
      </c>
      <c r="AX198" s="3092">
        <f t="shared" si="1614"/>
        <v>371.21000000000026</v>
      </c>
      <c r="AY198" s="3092">
        <f t="shared" si="1614"/>
        <v>371.21000000000026</v>
      </c>
      <c r="AZ198" s="3092">
        <f t="shared" si="1614"/>
        <v>0</v>
      </c>
      <c r="BA198" s="3092">
        <f t="shared" si="1614"/>
        <v>1459.35</v>
      </c>
      <c r="BB198" s="3092">
        <f t="shared" si="1614"/>
        <v>1459.35</v>
      </c>
      <c r="BC198" s="3092">
        <f t="shared" si="1614"/>
        <v>0</v>
      </c>
      <c r="BD198" s="3274">
        <f t="shared" ref="BD198:BI198" si="1615">SUM(BD194-(BD195+BD196+BD197))</f>
        <v>8490.7435184276619</v>
      </c>
      <c r="BE198" s="3274">
        <f t="shared" si="1615"/>
        <v>8489.6505736177751</v>
      </c>
      <c r="BF198" s="3274">
        <f t="shared" si="1615"/>
        <v>1.092944809890251</v>
      </c>
      <c r="BG198" s="3093">
        <f t="shared" si="1615"/>
        <v>6896.7299999999977</v>
      </c>
      <c r="BH198" s="3093">
        <f t="shared" si="1615"/>
        <v>6896.7299999999977</v>
      </c>
      <c r="BI198" s="3093">
        <f t="shared" si="1615"/>
        <v>0</v>
      </c>
      <c r="BJ198" s="3068">
        <f t="shared" si="1460"/>
        <v>-1594.0135184276642</v>
      </c>
      <c r="BK198" s="3068">
        <f t="shared" si="1461"/>
        <v>-1592.9205736177773</v>
      </c>
      <c r="BL198" s="3068">
        <f t="shared" si="1462"/>
        <v>-1.092944809890251</v>
      </c>
      <c r="BM198" s="3271">
        <f t="shared" ref="BM198:CA198" si="1616">SUM(BM194-(BM195+BM196+BM197))</f>
        <v>2830.2478394758878</v>
      </c>
      <c r="BN198" s="3271">
        <f t="shared" si="1616"/>
        <v>2829.8835245392575</v>
      </c>
      <c r="BO198" s="3271">
        <f t="shared" si="1616"/>
        <v>0.36431493663008385</v>
      </c>
      <c r="BP198" s="3092">
        <f t="shared" si="1616"/>
        <v>0</v>
      </c>
      <c r="BQ198" s="3092">
        <f t="shared" si="1616"/>
        <v>0</v>
      </c>
      <c r="BR198" s="3092">
        <f t="shared" si="1616"/>
        <v>0</v>
      </c>
      <c r="BS198" s="3092">
        <f t="shared" si="1616"/>
        <v>0</v>
      </c>
      <c r="BT198" s="3092">
        <f t="shared" si="1616"/>
        <v>0</v>
      </c>
      <c r="BU198" s="3092">
        <f t="shared" si="1616"/>
        <v>0</v>
      </c>
      <c r="BV198" s="3092">
        <f t="shared" si="1616"/>
        <v>0</v>
      </c>
      <c r="BW198" s="3092">
        <f t="shared" si="1616"/>
        <v>0</v>
      </c>
      <c r="BX198" s="3092">
        <f t="shared" si="1616"/>
        <v>0</v>
      </c>
      <c r="BY198" s="3092">
        <f t="shared" si="1616"/>
        <v>0</v>
      </c>
      <c r="BZ198" s="3092">
        <f t="shared" si="1616"/>
        <v>0</v>
      </c>
      <c r="CA198" s="3092">
        <f t="shared" si="1616"/>
        <v>0</v>
      </c>
      <c r="CB198" s="3274">
        <f t="shared" ref="CB198:CD198" si="1617">SUM(CB194-(CB195+CB196+CB197))</f>
        <v>11320.991329391394</v>
      </c>
      <c r="CC198" s="3274">
        <f t="shared" si="1617"/>
        <v>11319.534069658643</v>
      </c>
      <c r="CD198" s="3274">
        <f t="shared" si="1617"/>
        <v>1.4572597327544923</v>
      </c>
      <c r="CE198" s="3093">
        <f t="shared" ref="CE198:CG198" si="1618">SUM(CE194-(CE195+CE196+CE197))</f>
        <v>6896.7299999999977</v>
      </c>
      <c r="CF198" s="3093">
        <f t="shared" si="1618"/>
        <v>6896.7299999999977</v>
      </c>
      <c r="CG198" s="3093">
        <f t="shared" si="1618"/>
        <v>0</v>
      </c>
      <c r="CH198" s="3068">
        <f t="shared" si="1466"/>
        <v>-4424.2613293913964</v>
      </c>
      <c r="CI198" s="3068">
        <f t="shared" si="1467"/>
        <v>-4422.8040696586449</v>
      </c>
      <c r="CJ198" s="3068">
        <f t="shared" si="1468"/>
        <v>-1.4572597327544923</v>
      </c>
      <c r="CK198" s="3049"/>
      <c r="CL198" s="3049"/>
      <c r="CM198" s="3049"/>
      <c r="CN198" s="3049"/>
    </row>
    <row r="199" spans="1:92" ht="18.75" x14ac:dyDescent="0.3">
      <c r="A199" s="3071" t="s">
        <v>3602</v>
      </c>
      <c r="B199" s="3270">
        <f t="shared" ref="B199:D199" si="1619">SUM(B138)</f>
        <v>1662.2419345419537</v>
      </c>
      <c r="C199" s="3270">
        <f t="shared" si="1619"/>
        <v>1661.6670485790901</v>
      </c>
      <c r="D199" s="3270">
        <f t="shared" si="1619"/>
        <v>0.57488596286364391</v>
      </c>
      <c r="E199" s="3088">
        <f t="shared" ref="E199:G199" si="1620">SUM(E138)</f>
        <v>0</v>
      </c>
      <c r="F199" s="3088">
        <f t="shared" si="1620"/>
        <v>0</v>
      </c>
      <c r="G199" s="3088">
        <f t="shared" si="1620"/>
        <v>0</v>
      </c>
      <c r="H199" s="3088">
        <f t="shared" ref="H199:J199" si="1621">SUM(H138)</f>
        <v>0</v>
      </c>
      <c r="I199" s="3088">
        <f t="shared" si="1621"/>
        <v>0</v>
      </c>
      <c r="J199" s="3088">
        <f t="shared" si="1621"/>
        <v>0</v>
      </c>
      <c r="K199" s="3088">
        <f t="shared" ref="K199:M199" si="1622">SUM(K138)</f>
        <v>781.91000000000008</v>
      </c>
      <c r="L199" s="3088">
        <f t="shared" si="1622"/>
        <v>781.91000000000008</v>
      </c>
      <c r="M199" s="3088">
        <f t="shared" si="1622"/>
        <v>0</v>
      </c>
      <c r="N199" s="3088">
        <f t="shared" ref="N199:AB199" si="1623">SUM(N138)</f>
        <v>781.91000000000008</v>
      </c>
      <c r="O199" s="3088">
        <f t="shared" si="1623"/>
        <v>781.91000000000008</v>
      </c>
      <c r="P199" s="3088">
        <f t="shared" si="1623"/>
        <v>0</v>
      </c>
      <c r="Q199" s="3270">
        <f t="shared" si="1623"/>
        <v>1662.2419345419537</v>
      </c>
      <c r="R199" s="3270">
        <f t="shared" si="1623"/>
        <v>1661.6670485790901</v>
      </c>
      <c r="S199" s="3270">
        <f t="shared" si="1623"/>
        <v>0.57488596286364391</v>
      </c>
      <c r="T199" s="3088">
        <f t="shared" si="1623"/>
        <v>0</v>
      </c>
      <c r="U199" s="3088">
        <f t="shared" si="1623"/>
        <v>0</v>
      </c>
      <c r="V199" s="3088">
        <f t="shared" si="1623"/>
        <v>0</v>
      </c>
      <c r="W199" s="3088">
        <f t="shared" si="1623"/>
        <v>0</v>
      </c>
      <c r="X199" s="3088">
        <f t="shared" si="1623"/>
        <v>0</v>
      </c>
      <c r="Y199" s="3088">
        <f t="shared" si="1623"/>
        <v>0</v>
      </c>
      <c r="Z199" s="3088">
        <f t="shared" si="1623"/>
        <v>781.91000000000008</v>
      </c>
      <c r="AA199" s="3088">
        <f t="shared" si="1623"/>
        <v>781.91000000000008</v>
      </c>
      <c r="AB199" s="3088">
        <f t="shared" si="1623"/>
        <v>0</v>
      </c>
      <c r="AC199" s="3088">
        <f t="shared" ref="AC199:AE199" si="1624">SUM(AC138)</f>
        <v>781.91000000000008</v>
      </c>
      <c r="AD199" s="3088">
        <f t="shared" si="1624"/>
        <v>781.91000000000008</v>
      </c>
      <c r="AE199" s="3088">
        <f t="shared" si="1624"/>
        <v>0</v>
      </c>
      <c r="AF199" s="3273">
        <f t="shared" ref="AF199:AK199" si="1625">SUM(AF138)</f>
        <v>3324.4838690839074</v>
      </c>
      <c r="AG199" s="3273">
        <f t="shared" si="1625"/>
        <v>3323.3340971581802</v>
      </c>
      <c r="AH199" s="3273">
        <f t="shared" si="1625"/>
        <v>1.1497719257272878</v>
      </c>
      <c r="AI199" s="3089">
        <f t="shared" si="1625"/>
        <v>1563.8200000000002</v>
      </c>
      <c r="AJ199" s="3089">
        <f t="shared" si="1625"/>
        <v>1563.8200000000002</v>
      </c>
      <c r="AK199" s="3089">
        <f t="shared" si="1625"/>
        <v>0</v>
      </c>
      <c r="AL199" s="3062">
        <f t="shared" si="1455"/>
        <v>-1760.6638690839072</v>
      </c>
      <c r="AM199" s="3062">
        <f t="shared" si="1456"/>
        <v>-1759.51409715818</v>
      </c>
      <c r="AN199" s="3062">
        <f t="shared" si="1457"/>
        <v>-1.1497719257272878</v>
      </c>
      <c r="AO199" s="3270">
        <f t="shared" ref="AO199:BC199" si="1626">SUM(AO138)</f>
        <v>1662.2419345419537</v>
      </c>
      <c r="AP199" s="3270">
        <f t="shared" si="1626"/>
        <v>1661.6670485790901</v>
      </c>
      <c r="AQ199" s="3270">
        <f t="shared" si="1626"/>
        <v>0.57488596286364391</v>
      </c>
      <c r="AR199" s="3088">
        <f t="shared" si="1626"/>
        <v>0</v>
      </c>
      <c r="AS199" s="3088">
        <f t="shared" si="1626"/>
        <v>0</v>
      </c>
      <c r="AT199" s="3088">
        <f t="shared" si="1626"/>
        <v>0</v>
      </c>
      <c r="AU199" s="3088">
        <f t="shared" si="1626"/>
        <v>0</v>
      </c>
      <c r="AV199" s="3088">
        <f t="shared" si="1626"/>
        <v>0</v>
      </c>
      <c r="AW199" s="3088">
        <f t="shared" si="1626"/>
        <v>0</v>
      </c>
      <c r="AX199" s="3088">
        <f t="shared" si="1626"/>
        <v>782.42000000000007</v>
      </c>
      <c r="AY199" s="3088">
        <f t="shared" si="1626"/>
        <v>782.42000000000007</v>
      </c>
      <c r="AZ199" s="3088">
        <f t="shared" si="1626"/>
        <v>0</v>
      </c>
      <c r="BA199" s="3088">
        <f t="shared" si="1626"/>
        <v>782.42000000000007</v>
      </c>
      <c r="BB199" s="3088">
        <f t="shared" si="1626"/>
        <v>782.42000000000007</v>
      </c>
      <c r="BC199" s="3088">
        <f t="shared" si="1626"/>
        <v>0</v>
      </c>
      <c r="BD199" s="3273">
        <f t="shared" ref="BD199:BI199" si="1627">SUM(BD138)</f>
        <v>4986.7258036258609</v>
      </c>
      <c r="BE199" s="3273">
        <f t="shared" si="1627"/>
        <v>4985.0011457372702</v>
      </c>
      <c r="BF199" s="3273">
        <f t="shared" si="1627"/>
        <v>1.7246578885909316</v>
      </c>
      <c r="BG199" s="3089">
        <f t="shared" si="1627"/>
        <v>2346.2400000000002</v>
      </c>
      <c r="BH199" s="3089">
        <f t="shared" si="1627"/>
        <v>2346.2400000000002</v>
      </c>
      <c r="BI199" s="3089">
        <f t="shared" si="1627"/>
        <v>0</v>
      </c>
      <c r="BJ199" s="3062">
        <f t="shared" si="1460"/>
        <v>-2640.4858036258606</v>
      </c>
      <c r="BK199" s="3062">
        <f t="shared" si="1461"/>
        <v>-2638.76114573727</v>
      </c>
      <c r="BL199" s="3062">
        <f t="shared" si="1462"/>
        <v>-1.7246578885909316</v>
      </c>
      <c r="BM199" s="3270">
        <f t="shared" ref="BM199:CA199" si="1628">SUM(BM138)</f>
        <v>1662.2419345419537</v>
      </c>
      <c r="BN199" s="3270">
        <f t="shared" si="1628"/>
        <v>1661.6670485790901</v>
      </c>
      <c r="BO199" s="3270">
        <f t="shared" si="1628"/>
        <v>0.57488596286364391</v>
      </c>
      <c r="BP199" s="3088">
        <f t="shared" si="1628"/>
        <v>0</v>
      </c>
      <c r="BQ199" s="3088">
        <f t="shared" si="1628"/>
        <v>0</v>
      </c>
      <c r="BR199" s="3088">
        <f t="shared" si="1628"/>
        <v>0</v>
      </c>
      <c r="BS199" s="3088">
        <f t="shared" si="1628"/>
        <v>0</v>
      </c>
      <c r="BT199" s="3088">
        <f t="shared" si="1628"/>
        <v>0</v>
      </c>
      <c r="BU199" s="3088">
        <f t="shared" si="1628"/>
        <v>0</v>
      </c>
      <c r="BV199" s="3088">
        <f t="shared" si="1628"/>
        <v>0</v>
      </c>
      <c r="BW199" s="3088">
        <f t="shared" si="1628"/>
        <v>0</v>
      </c>
      <c r="BX199" s="3088">
        <f t="shared" si="1628"/>
        <v>0</v>
      </c>
      <c r="BY199" s="3088">
        <f t="shared" si="1628"/>
        <v>0</v>
      </c>
      <c r="BZ199" s="3088">
        <f t="shared" si="1628"/>
        <v>0</v>
      </c>
      <c r="CA199" s="3088">
        <f t="shared" si="1628"/>
        <v>0</v>
      </c>
      <c r="CB199" s="3273">
        <f t="shared" ref="CB199:CD199" si="1629">SUM(CB138)</f>
        <v>6648.9677381678148</v>
      </c>
      <c r="CC199" s="3273">
        <f t="shared" si="1629"/>
        <v>6646.6681943163603</v>
      </c>
      <c r="CD199" s="3273">
        <f t="shared" si="1629"/>
        <v>2.2995438514545756</v>
      </c>
      <c r="CE199" s="3089">
        <f t="shared" ref="CE199:CG199" si="1630">SUM(CE138)</f>
        <v>2346.2400000000002</v>
      </c>
      <c r="CF199" s="3089">
        <f t="shared" si="1630"/>
        <v>2346.2400000000002</v>
      </c>
      <c r="CG199" s="3089">
        <f t="shared" si="1630"/>
        <v>0</v>
      </c>
      <c r="CH199" s="3062">
        <f t="shared" si="1466"/>
        <v>-4302.7277381678141</v>
      </c>
      <c r="CI199" s="3062">
        <f t="shared" si="1467"/>
        <v>-4300.4281943163605</v>
      </c>
      <c r="CJ199" s="3062">
        <f t="shared" si="1468"/>
        <v>-2.2995438514545756</v>
      </c>
      <c r="CK199" s="3049"/>
      <c r="CL199" s="3049"/>
      <c r="CM199" s="3049"/>
      <c r="CN199" s="3049"/>
    </row>
    <row r="200" spans="1:92" ht="18.75" x14ac:dyDescent="0.3">
      <c r="A200" s="3073" t="s">
        <v>1539</v>
      </c>
      <c r="B200" s="3271">
        <f>SUM(B139)</f>
        <v>456.97044824450387</v>
      </c>
      <c r="C200" s="3271">
        <f t="shared" ref="C200:D200" si="1631">SUM(C139)</f>
        <v>456.74097659450388</v>
      </c>
      <c r="D200" s="3271">
        <f t="shared" si="1631"/>
        <v>0.22947164999999997</v>
      </c>
      <c r="E200" s="3092">
        <f>SUM(E139)</f>
        <v>0</v>
      </c>
      <c r="F200" s="3092">
        <f t="shared" ref="F200:G200" si="1632">SUM(F139)</f>
        <v>0</v>
      </c>
      <c r="G200" s="3092">
        <f t="shared" si="1632"/>
        <v>0</v>
      </c>
      <c r="H200" s="3092">
        <f>SUM(H139)</f>
        <v>0</v>
      </c>
      <c r="I200" s="3092">
        <f t="shared" ref="I200:J200" si="1633">SUM(I139)</f>
        <v>0</v>
      </c>
      <c r="J200" s="3092">
        <f t="shared" si="1633"/>
        <v>0</v>
      </c>
      <c r="K200" s="3092">
        <f>SUM(K139)</f>
        <v>762.19</v>
      </c>
      <c r="L200" s="3092">
        <f t="shared" ref="L200:M200" si="1634">SUM(L139)</f>
        <v>762.19</v>
      </c>
      <c r="M200" s="3092">
        <f t="shared" si="1634"/>
        <v>0</v>
      </c>
      <c r="N200" s="3092">
        <f>SUM(N139)</f>
        <v>762.19</v>
      </c>
      <c r="O200" s="3092">
        <f t="shared" ref="O200:P200" si="1635">SUM(O139)</f>
        <v>762.19</v>
      </c>
      <c r="P200" s="3092">
        <f t="shared" si="1635"/>
        <v>0</v>
      </c>
      <c r="Q200" s="3271">
        <f>SUM(Q139)</f>
        <v>456.97044824450387</v>
      </c>
      <c r="R200" s="3271">
        <f t="shared" ref="R200:S200" si="1636">SUM(R139)</f>
        <v>456.74097659450388</v>
      </c>
      <c r="S200" s="3271">
        <f t="shared" si="1636"/>
        <v>0.22947164999999997</v>
      </c>
      <c r="T200" s="3092">
        <f>SUM(T139)</f>
        <v>0</v>
      </c>
      <c r="U200" s="3092">
        <f t="shared" ref="U200:V200" si="1637">SUM(U139)</f>
        <v>0</v>
      </c>
      <c r="V200" s="3092">
        <f t="shared" si="1637"/>
        <v>0</v>
      </c>
      <c r="W200" s="3092">
        <f>SUM(W139)</f>
        <v>0</v>
      </c>
      <c r="X200" s="3092">
        <f t="shared" ref="X200:Y200" si="1638">SUM(X139)</f>
        <v>0</v>
      </c>
      <c r="Y200" s="3092">
        <f t="shared" si="1638"/>
        <v>0</v>
      </c>
      <c r="Z200" s="3092">
        <f>SUM(Z139)</f>
        <v>762.19</v>
      </c>
      <c r="AA200" s="3092">
        <f t="shared" ref="AA200:AB200" si="1639">SUM(AA139)</f>
        <v>762.19</v>
      </c>
      <c r="AB200" s="3092">
        <f t="shared" si="1639"/>
        <v>0</v>
      </c>
      <c r="AC200" s="3092">
        <f>SUM(AC139)</f>
        <v>762.19</v>
      </c>
      <c r="AD200" s="3092">
        <f t="shared" ref="AD200:AE200" si="1640">SUM(AD139)</f>
        <v>762.19</v>
      </c>
      <c r="AE200" s="3092">
        <f t="shared" si="1640"/>
        <v>0</v>
      </c>
      <c r="AF200" s="3274">
        <f t="shared" ref="AF200:AK200" si="1641">SUM(AF139)</f>
        <v>913.94089648900774</v>
      </c>
      <c r="AG200" s="3274">
        <f t="shared" si="1641"/>
        <v>913.48195318900775</v>
      </c>
      <c r="AH200" s="3274">
        <f t="shared" si="1641"/>
        <v>0.45894329999999994</v>
      </c>
      <c r="AI200" s="3093">
        <f t="shared" si="1641"/>
        <v>1524.38</v>
      </c>
      <c r="AJ200" s="3093">
        <f t="shared" si="1641"/>
        <v>1524.38</v>
      </c>
      <c r="AK200" s="3093">
        <f t="shared" si="1641"/>
        <v>0</v>
      </c>
      <c r="AL200" s="3068">
        <f t="shared" si="1455"/>
        <v>610.43910351099237</v>
      </c>
      <c r="AM200" s="3068">
        <f t="shared" si="1456"/>
        <v>610.89804681099235</v>
      </c>
      <c r="AN200" s="3068">
        <f t="shared" si="1457"/>
        <v>-0.45894329999999994</v>
      </c>
      <c r="AO200" s="3271">
        <f>SUM(AO139)</f>
        <v>456.97044824450387</v>
      </c>
      <c r="AP200" s="3271">
        <f t="shared" ref="AP200:AQ200" si="1642">SUM(AP139)</f>
        <v>456.74097659450388</v>
      </c>
      <c r="AQ200" s="3271">
        <f t="shared" si="1642"/>
        <v>0.22947164999999997</v>
      </c>
      <c r="AR200" s="3092">
        <f>SUM(AR139)</f>
        <v>0</v>
      </c>
      <c r="AS200" s="3092">
        <f t="shared" ref="AS200:AT200" si="1643">SUM(AS139)</f>
        <v>0</v>
      </c>
      <c r="AT200" s="3092">
        <f t="shared" si="1643"/>
        <v>0</v>
      </c>
      <c r="AU200" s="3092">
        <f>SUM(AU139)</f>
        <v>0</v>
      </c>
      <c r="AV200" s="3092">
        <f t="shared" ref="AV200:AW200" si="1644">SUM(AV139)</f>
        <v>0</v>
      </c>
      <c r="AW200" s="3092">
        <f t="shared" si="1644"/>
        <v>0</v>
      </c>
      <c r="AX200" s="3092">
        <f>SUM(AX139)</f>
        <v>762.19</v>
      </c>
      <c r="AY200" s="3092">
        <f t="shared" ref="AY200:AZ200" si="1645">SUM(AY139)</f>
        <v>762.19</v>
      </c>
      <c r="AZ200" s="3092">
        <f t="shared" si="1645"/>
        <v>0</v>
      </c>
      <c r="BA200" s="3092">
        <f>SUM(BA139)</f>
        <v>762.19</v>
      </c>
      <c r="BB200" s="3092">
        <f t="shared" ref="BB200:BC200" si="1646">SUM(BB139)</f>
        <v>762.19</v>
      </c>
      <c r="BC200" s="3092">
        <f t="shared" si="1646"/>
        <v>0</v>
      </c>
      <c r="BD200" s="3274">
        <f t="shared" ref="BD200:BI200" si="1647">SUM(BD139)</f>
        <v>1370.9113447335114</v>
      </c>
      <c r="BE200" s="3274">
        <f t="shared" si="1647"/>
        <v>1370.2229297835115</v>
      </c>
      <c r="BF200" s="3274">
        <f t="shared" si="1647"/>
        <v>0.68841494999999986</v>
      </c>
      <c r="BG200" s="3093">
        <f t="shared" si="1647"/>
        <v>2286.5700000000002</v>
      </c>
      <c r="BH200" s="3093">
        <f t="shared" si="1647"/>
        <v>2286.5700000000002</v>
      </c>
      <c r="BI200" s="3093">
        <f t="shared" si="1647"/>
        <v>0</v>
      </c>
      <c r="BJ200" s="3068">
        <f t="shared" si="1460"/>
        <v>915.65865526648872</v>
      </c>
      <c r="BK200" s="3068">
        <f t="shared" si="1461"/>
        <v>916.34707021648865</v>
      </c>
      <c r="BL200" s="3068">
        <f t="shared" si="1462"/>
        <v>-0.68841494999999986</v>
      </c>
      <c r="BM200" s="3271">
        <f>SUM(BM139)</f>
        <v>456.97044824450387</v>
      </c>
      <c r="BN200" s="3271">
        <f t="shared" ref="BN200:BO200" si="1648">SUM(BN139)</f>
        <v>456.74097659450388</v>
      </c>
      <c r="BO200" s="3271">
        <f t="shared" si="1648"/>
        <v>0.22947164999999997</v>
      </c>
      <c r="BP200" s="3092">
        <f>SUM(BP139)</f>
        <v>0</v>
      </c>
      <c r="BQ200" s="3092">
        <f t="shared" ref="BQ200:BR200" si="1649">SUM(BQ139)</f>
        <v>0</v>
      </c>
      <c r="BR200" s="3092">
        <f t="shared" si="1649"/>
        <v>0</v>
      </c>
      <c r="BS200" s="3092">
        <f>SUM(BS139)</f>
        <v>0</v>
      </c>
      <c r="BT200" s="3092">
        <f t="shared" ref="BT200:BU200" si="1650">SUM(BT139)</f>
        <v>0</v>
      </c>
      <c r="BU200" s="3092">
        <f t="shared" si="1650"/>
        <v>0</v>
      </c>
      <c r="BV200" s="3092">
        <f>SUM(BV139)</f>
        <v>0</v>
      </c>
      <c r="BW200" s="3092">
        <f t="shared" ref="BW200:BX200" si="1651">SUM(BW139)</f>
        <v>0</v>
      </c>
      <c r="BX200" s="3092">
        <f t="shared" si="1651"/>
        <v>0</v>
      </c>
      <c r="BY200" s="3092">
        <f>SUM(BY139)</f>
        <v>0</v>
      </c>
      <c r="BZ200" s="3092">
        <f t="shared" ref="BZ200:CA200" si="1652">SUM(BZ139)</f>
        <v>0</v>
      </c>
      <c r="CA200" s="3092">
        <f t="shared" si="1652"/>
        <v>0</v>
      </c>
      <c r="CB200" s="3274">
        <f t="shared" ref="CB200:CD200" si="1653">SUM(CB139)</f>
        <v>1827.8817929780155</v>
      </c>
      <c r="CC200" s="3274">
        <f t="shared" si="1653"/>
        <v>1826.9639063780155</v>
      </c>
      <c r="CD200" s="3274">
        <f t="shared" si="1653"/>
        <v>0.91788659999999989</v>
      </c>
      <c r="CE200" s="3093">
        <f t="shared" ref="CE200:CG200" si="1654">SUM(CE139)</f>
        <v>2286.5700000000002</v>
      </c>
      <c r="CF200" s="3093">
        <f t="shared" si="1654"/>
        <v>2286.5700000000002</v>
      </c>
      <c r="CG200" s="3093">
        <f t="shared" si="1654"/>
        <v>0</v>
      </c>
      <c r="CH200" s="3068">
        <f t="shared" si="1466"/>
        <v>458.68820702198468</v>
      </c>
      <c r="CI200" s="3068">
        <f t="shared" si="1467"/>
        <v>459.60609362198466</v>
      </c>
      <c r="CJ200" s="3068">
        <f t="shared" si="1468"/>
        <v>-0.91788659999999989</v>
      </c>
      <c r="CK200" s="3049"/>
      <c r="CL200" s="3049"/>
      <c r="CM200" s="3049"/>
      <c r="CN200" s="3049"/>
    </row>
    <row r="201" spans="1:92" ht="18.75" x14ac:dyDescent="0.3">
      <c r="A201" s="3073" t="s">
        <v>533</v>
      </c>
      <c r="B201" s="3271">
        <f>SUM(B140)</f>
        <v>21.7775</v>
      </c>
      <c r="C201" s="3271">
        <f t="shared" ref="C201:D201" si="1655">SUM(C140)</f>
        <v>21.766975145142208</v>
      </c>
      <c r="D201" s="3271">
        <f t="shared" si="1655"/>
        <v>1.0524854857792657E-2</v>
      </c>
      <c r="E201" s="3092">
        <f>SUM(E140)</f>
        <v>0</v>
      </c>
      <c r="F201" s="3092">
        <f t="shared" ref="F201:G201" si="1656">SUM(F140)</f>
        <v>0</v>
      </c>
      <c r="G201" s="3092">
        <f t="shared" si="1656"/>
        <v>0</v>
      </c>
      <c r="H201" s="3092">
        <f>SUM(H140)</f>
        <v>0</v>
      </c>
      <c r="I201" s="3092">
        <f t="shared" ref="I201:J201" si="1657">SUM(I140)</f>
        <v>0</v>
      </c>
      <c r="J201" s="3092">
        <f t="shared" si="1657"/>
        <v>0</v>
      </c>
      <c r="K201" s="3092">
        <f>SUM(K140)</f>
        <v>19.72</v>
      </c>
      <c r="L201" s="3092">
        <f t="shared" ref="L201:M201" si="1658">SUM(L140)</f>
        <v>19.72</v>
      </c>
      <c r="M201" s="3092">
        <f t="shared" si="1658"/>
        <v>0</v>
      </c>
      <c r="N201" s="3092">
        <f>SUM(N140)</f>
        <v>19.72</v>
      </c>
      <c r="O201" s="3092">
        <f t="shared" ref="O201:P201" si="1659">SUM(O140)</f>
        <v>19.72</v>
      </c>
      <c r="P201" s="3092">
        <f t="shared" si="1659"/>
        <v>0</v>
      </c>
      <c r="Q201" s="3271">
        <f>SUM(Q140)</f>
        <v>21.7775</v>
      </c>
      <c r="R201" s="3271">
        <f t="shared" ref="R201:S201" si="1660">SUM(R140)</f>
        <v>21.766975145142208</v>
      </c>
      <c r="S201" s="3271">
        <f t="shared" si="1660"/>
        <v>1.0524854857792657E-2</v>
      </c>
      <c r="T201" s="3092">
        <f>SUM(T140)</f>
        <v>0</v>
      </c>
      <c r="U201" s="3092">
        <f t="shared" ref="U201:V201" si="1661">SUM(U140)</f>
        <v>0</v>
      </c>
      <c r="V201" s="3092">
        <f t="shared" si="1661"/>
        <v>0</v>
      </c>
      <c r="W201" s="3092">
        <f>SUM(W140)</f>
        <v>0</v>
      </c>
      <c r="X201" s="3092">
        <f t="shared" ref="X201:Y201" si="1662">SUM(X140)</f>
        <v>0</v>
      </c>
      <c r="Y201" s="3092">
        <f t="shared" si="1662"/>
        <v>0</v>
      </c>
      <c r="Z201" s="3092">
        <f>SUM(Z140)</f>
        <v>19.72</v>
      </c>
      <c r="AA201" s="3092">
        <f t="shared" ref="AA201:AB201" si="1663">SUM(AA140)</f>
        <v>19.72</v>
      </c>
      <c r="AB201" s="3092">
        <f t="shared" si="1663"/>
        <v>0</v>
      </c>
      <c r="AC201" s="3092">
        <f>SUM(AC140)</f>
        <v>19.72</v>
      </c>
      <c r="AD201" s="3092">
        <f t="shared" ref="AD201:AE201" si="1664">SUM(AD140)</f>
        <v>19.72</v>
      </c>
      <c r="AE201" s="3092">
        <f t="shared" si="1664"/>
        <v>0</v>
      </c>
      <c r="AF201" s="3274">
        <f t="shared" ref="AF201:AK201" si="1665">SUM(AF140)</f>
        <v>43.555</v>
      </c>
      <c r="AG201" s="3274">
        <f t="shared" si="1665"/>
        <v>43.533950290284416</v>
      </c>
      <c r="AH201" s="3274">
        <f t="shared" si="1665"/>
        <v>2.1049709715585313E-2</v>
      </c>
      <c r="AI201" s="3093">
        <f t="shared" si="1665"/>
        <v>39.44</v>
      </c>
      <c r="AJ201" s="3093">
        <f t="shared" si="1665"/>
        <v>39.44</v>
      </c>
      <c r="AK201" s="3093">
        <f t="shared" si="1665"/>
        <v>0</v>
      </c>
      <c r="AL201" s="3068">
        <f t="shared" si="1455"/>
        <v>-4.115000000000002</v>
      </c>
      <c r="AM201" s="3068">
        <f t="shared" si="1456"/>
        <v>-4.0939502902844183</v>
      </c>
      <c r="AN201" s="3068">
        <f t="shared" si="1457"/>
        <v>-2.1049709715585313E-2</v>
      </c>
      <c r="AO201" s="3271">
        <f>SUM(AO140)</f>
        <v>21.7775</v>
      </c>
      <c r="AP201" s="3271">
        <f t="shared" ref="AP201:AQ201" si="1666">SUM(AP140)</f>
        <v>21.766975145142208</v>
      </c>
      <c r="AQ201" s="3271">
        <f t="shared" si="1666"/>
        <v>1.0524854857792657E-2</v>
      </c>
      <c r="AR201" s="3092">
        <f>SUM(AR140)</f>
        <v>0</v>
      </c>
      <c r="AS201" s="3092">
        <f t="shared" ref="AS201:AT201" si="1667">SUM(AS140)</f>
        <v>0</v>
      </c>
      <c r="AT201" s="3092">
        <f t="shared" si="1667"/>
        <v>0</v>
      </c>
      <c r="AU201" s="3092">
        <f>SUM(AU140)</f>
        <v>0</v>
      </c>
      <c r="AV201" s="3092">
        <f t="shared" ref="AV201:AW201" si="1668">SUM(AV140)</f>
        <v>0</v>
      </c>
      <c r="AW201" s="3092">
        <f t="shared" si="1668"/>
        <v>0</v>
      </c>
      <c r="AX201" s="3092">
        <f>SUM(AX140)</f>
        <v>20.23</v>
      </c>
      <c r="AY201" s="3092">
        <f t="shared" ref="AY201:AZ201" si="1669">SUM(AY140)</f>
        <v>20.23</v>
      </c>
      <c r="AZ201" s="3092">
        <f t="shared" si="1669"/>
        <v>0</v>
      </c>
      <c r="BA201" s="3092">
        <f>SUM(BA140)</f>
        <v>20.23</v>
      </c>
      <c r="BB201" s="3092">
        <f t="shared" ref="BB201:BC201" si="1670">SUM(BB140)</f>
        <v>20.23</v>
      </c>
      <c r="BC201" s="3092">
        <f t="shared" si="1670"/>
        <v>0</v>
      </c>
      <c r="BD201" s="3274">
        <f t="shared" ref="BD201:BI201" si="1671">SUM(BD140)</f>
        <v>65.332499999999996</v>
      </c>
      <c r="BE201" s="3274">
        <f t="shared" si="1671"/>
        <v>65.30092543542662</v>
      </c>
      <c r="BF201" s="3274">
        <f t="shared" si="1671"/>
        <v>3.157456457337797E-2</v>
      </c>
      <c r="BG201" s="3093">
        <f t="shared" si="1671"/>
        <v>59.67</v>
      </c>
      <c r="BH201" s="3093">
        <f t="shared" si="1671"/>
        <v>59.67</v>
      </c>
      <c r="BI201" s="3093">
        <f t="shared" si="1671"/>
        <v>0</v>
      </c>
      <c r="BJ201" s="3068">
        <f t="shared" si="1460"/>
        <v>-5.6624999999999943</v>
      </c>
      <c r="BK201" s="3068">
        <f t="shared" si="1461"/>
        <v>-5.6309254354266187</v>
      </c>
      <c r="BL201" s="3068">
        <f t="shared" si="1462"/>
        <v>-3.157456457337797E-2</v>
      </c>
      <c r="BM201" s="3271">
        <f>SUM(BM140)</f>
        <v>21.7775</v>
      </c>
      <c r="BN201" s="3271">
        <f t="shared" ref="BN201:BO201" si="1672">SUM(BN140)</f>
        <v>21.766975145142208</v>
      </c>
      <c r="BO201" s="3271">
        <f t="shared" si="1672"/>
        <v>1.0524854857792657E-2</v>
      </c>
      <c r="BP201" s="3092">
        <f>SUM(BP140)</f>
        <v>0</v>
      </c>
      <c r="BQ201" s="3092">
        <f t="shared" ref="BQ201:BR201" si="1673">SUM(BQ140)</f>
        <v>0</v>
      </c>
      <c r="BR201" s="3092">
        <f t="shared" si="1673"/>
        <v>0</v>
      </c>
      <c r="BS201" s="3092">
        <f>SUM(BS140)</f>
        <v>0</v>
      </c>
      <c r="BT201" s="3092">
        <f t="shared" ref="BT201:BU201" si="1674">SUM(BT140)</f>
        <v>0</v>
      </c>
      <c r="BU201" s="3092">
        <f t="shared" si="1674"/>
        <v>0</v>
      </c>
      <c r="BV201" s="3092">
        <f>SUM(BV140)</f>
        <v>0</v>
      </c>
      <c r="BW201" s="3092">
        <f t="shared" ref="BW201:BX201" si="1675">SUM(BW140)</f>
        <v>0</v>
      </c>
      <c r="BX201" s="3092">
        <f t="shared" si="1675"/>
        <v>0</v>
      </c>
      <c r="BY201" s="3092">
        <f>SUM(BY140)</f>
        <v>0</v>
      </c>
      <c r="BZ201" s="3092">
        <f t="shared" ref="BZ201:CA201" si="1676">SUM(BZ140)</f>
        <v>0</v>
      </c>
      <c r="CA201" s="3092">
        <f t="shared" si="1676"/>
        <v>0</v>
      </c>
      <c r="CB201" s="3274">
        <f t="shared" ref="CB201:CD201" si="1677">SUM(CB140)</f>
        <v>87.11</v>
      </c>
      <c r="CC201" s="3274">
        <f t="shared" si="1677"/>
        <v>87.067900580568832</v>
      </c>
      <c r="CD201" s="3274">
        <f t="shared" si="1677"/>
        <v>4.2099419431170626E-2</v>
      </c>
      <c r="CE201" s="3093">
        <f t="shared" ref="CE201:CG201" si="1678">SUM(CE140)</f>
        <v>59.67</v>
      </c>
      <c r="CF201" s="3093">
        <f t="shared" si="1678"/>
        <v>59.67</v>
      </c>
      <c r="CG201" s="3093">
        <f t="shared" si="1678"/>
        <v>0</v>
      </c>
      <c r="CH201" s="3068">
        <f t="shared" si="1466"/>
        <v>-27.439999999999998</v>
      </c>
      <c r="CI201" s="3068">
        <f t="shared" si="1467"/>
        <v>-27.39790058056883</v>
      </c>
      <c r="CJ201" s="3068">
        <f t="shared" si="1468"/>
        <v>-4.2099419431170626E-2</v>
      </c>
      <c r="CK201" s="3049"/>
      <c r="CL201" s="3049"/>
      <c r="CM201" s="3049"/>
      <c r="CN201" s="3049"/>
    </row>
    <row r="202" spans="1:92" ht="18.75" x14ac:dyDescent="0.3">
      <c r="A202" s="3073" t="s">
        <v>534</v>
      </c>
      <c r="B202" s="3271">
        <f>SUM(B141)</f>
        <v>0</v>
      </c>
      <c r="C202" s="3271">
        <f t="shared" ref="C202:D202" si="1679">SUM(C141)</f>
        <v>0</v>
      </c>
      <c r="D202" s="3271">
        <f t="shared" si="1679"/>
        <v>0</v>
      </c>
      <c r="E202" s="3092">
        <f>SUM(E141)</f>
        <v>0</v>
      </c>
      <c r="F202" s="3092">
        <f t="shared" ref="F202:G202" si="1680">SUM(F141)</f>
        <v>0</v>
      </c>
      <c r="G202" s="3092">
        <f t="shared" si="1680"/>
        <v>0</v>
      </c>
      <c r="H202" s="3092">
        <f>SUM(H141)</f>
        <v>0</v>
      </c>
      <c r="I202" s="3092">
        <f t="shared" ref="I202:J202" si="1681">SUM(I141)</f>
        <v>0</v>
      </c>
      <c r="J202" s="3092">
        <f t="shared" si="1681"/>
        <v>0</v>
      </c>
      <c r="K202" s="3092">
        <f>SUM(K141)</f>
        <v>0</v>
      </c>
      <c r="L202" s="3092">
        <f t="shared" ref="L202:M202" si="1682">SUM(L141)</f>
        <v>0</v>
      </c>
      <c r="M202" s="3092">
        <f t="shared" si="1682"/>
        <v>0</v>
      </c>
      <c r="N202" s="3092">
        <f>SUM(N141)</f>
        <v>0</v>
      </c>
      <c r="O202" s="3092">
        <f t="shared" ref="O202:P202" si="1683">SUM(O141)</f>
        <v>0</v>
      </c>
      <c r="P202" s="3092">
        <f t="shared" si="1683"/>
        <v>0</v>
      </c>
      <c r="Q202" s="3271">
        <f>SUM(Q141)</f>
        <v>0</v>
      </c>
      <c r="R202" s="3271">
        <f t="shared" ref="R202:S202" si="1684">SUM(R141)</f>
        <v>0</v>
      </c>
      <c r="S202" s="3271">
        <f t="shared" si="1684"/>
        <v>0</v>
      </c>
      <c r="T202" s="3092">
        <f>SUM(T141)</f>
        <v>0</v>
      </c>
      <c r="U202" s="3092">
        <f t="shared" ref="U202:V202" si="1685">SUM(U141)</f>
        <v>0</v>
      </c>
      <c r="V202" s="3092">
        <f t="shared" si="1685"/>
        <v>0</v>
      </c>
      <c r="W202" s="3092">
        <f>SUM(W141)</f>
        <v>0</v>
      </c>
      <c r="X202" s="3092">
        <f t="shared" ref="X202:Y202" si="1686">SUM(X141)</f>
        <v>0</v>
      </c>
      <c r="Y202" s="3092">
        <f t="shared" si="1686"/>
        <v>0</v>
      </c>
      <c r="Z202" s="3092">
        <f>SUM(Z141)</f>
        <v>0</v>
      </c>
      <c r="AA202" s="3092">
        <f t="shared" ref="AA202:AB202" si="1687">SUM(AA141)</f>
        <v>0</v>
      </c>
      <c r="AB202" s="3092">
        <f t="shared" si="1687"/>
        <v>0</v>
      </c>
      <c r="AC202" s="3092">
        <f>SUM(AC141)</f>
        <v>0</v>
      </c>
      <c r="AD202" s="3092">
        <f t="shared" ref="AD202:AE202" si="1688">SUM(AD141)</f>
        <v>0</v>
      </c>
      <c r="AE202" s="3092">
        <f t="shared" si="1688"/>
        <v>0</v>
      </c>
      <c r="AF202" s="3274">
        <f t="shared" ref="AF202:AK202" si="1689">SUM(AF141)</f>
        <v>0</v>
      </c>
      <c r="AG202" s="3274">
        <f t="shared" si="1689"/>
        <v>0</v>
      </c>
      <c r="AH202" s="3274">
        <f t="shared" si="1689"/>
        <v>0</v>
      </c>
      <c r="AI202" s="3093">
        <f t="shared" si="1689"/>
        <v>0</v>
      </c>
      <c r="AJ202" s="3093">
        <f t="shared" si="1689"/>
        <v>0</v>
      </c>
      <c r="AK202" s="3093">
        <f t="shared" si="1689"/>
        <v>0</v>
      </c>
      <c r="AL202" s="3068">
        <f t="shared" si="1455"/>
        <v>0</v>
      </c>
      <c r="AM202" s="3068">
        <f t="shared" si="1456"/>
        <v>0</v>
      </c>
      <c r="AN202" s="3068">
        <f t="shared" si="1457"/>
        <v>0</v>
      </c>
      <c r="AO202" s="3271">
        <f>SUM(AO141)</f>
        <v>0</v>
      </c>
      <c r="AP202" s="3271">
        <f t="shared" ref="AP202:AQ202" si="1690">SUM(AP141)</f>
        <v>0</v>
      </c>
      <c r="AQ202" s="3271">
        <f t="shared" si="1690"/>
        <v>0</v>
      </c>
      <c r="AR202" s="3092">
        <f>SUM(AR141)</f>
        <v>0</v>
      </c>
      <c r="AS202" s="3092">
        <f t="shared" ref="AS202:AT202" si="1691">SUM(AS141)</f>
        <v>0</v>
      </c>
      <c r="AT202" s="3092">
        <f t="shared" si="1691"/>
        <v>0</v>
      </c>
      <c r="AU202" s="3092">
        <f>SUM(AU141)</f>
        <v>0</v>
      </c>
      <c r="AV202" s="3092">
        <f t="shared" ref="AV202:AW202" si="1692">SUM(AV141)</f>
        <v>0</v>
      </c>
      <c r="AW202" s="3092">
        <f t="shared" si="1692"/>
        <v>0</v>
      </c>
      <c r="AX202" s="3092">
        <f>SUM(AX141)</f>
        <v>0</v>
      </c>
      <c r="AY202" s="3092">
        <f t="shared" ref="AY202:AZ202" si="1693">SUM(AY141)</f>
        <v>0</v>
      </c>
      <c r="AZ202" s="3092">
        <f t="shared" si="1693"/>
        <v>0</v>
      </c>
      <c r="BA202" s="3092">
        <f>SUM(BA141)</f>
        <v>0</v>
      </c>
      <c r="BB202" s="3092">
        <f t="shared" ref="BB202:BC202" si="1694">SUM(BB141)</f>
        <v>0</v>
      </c>
      <c r="BC202" s="3092">
        <f t="shared" si="1694"/>
        <v>0</v>
      </c>
      <c r="BD202" s="3274">
        <f t="shared" ref="BD202:BI202" si="1695">SUM(BD141)</f>
        <v>0</v>
      </c>
      <c r="BE202" s="3274">
        <f t="shared" si="1695"/>
        <v>0</v>
      </c>
      <c r="BF202" s="3274">
        <f t="shared" si="1695"/>
        <v>0</v>
      </c>
      <c r="BG202" s="3093">
        <f t="shared" si="1695"/>
        <v>0</v>
      </c>
      <c r="BH202" s="3093">
        <f t="shared" si="1695"/>
        <v>0</v>
      </c>
      <c r="BI202" s="3093">
        <f t="shared" si="1695"/>
        <v>0</v>
      </c>
      <c r="BJ202" s="3068">
        <f t="shared" si="1460"/>
        <v>0</v>
      </c>
      <c r="BK202" s="3068">
        <f t="shared" si="1461"/>
        <v>0</v>
      </c>
      <c r="BL202" s="3068">
        <f t="shared" si="1462"/>
        <v>0</v>
      </c>
      <c r="BM202" s="3271">
        <f>SUM(BM141)</f>
        <v>0</v>
      </c>
      <c r="BN202" s="3271">
        <f t="shared" ref="BN202:BO202" si="1696">SUM(BN141)</f>
        <v>0</v>
      </c>
      <c r="BO202" s="3271">
        <f t="shared" si="1696"/>
        <v>0</v>
      </c>
      <c r="BP202" s="3092">
        <f>SUM(BP141)</f>
        <v>0</v>
      </c>
      <c r="BQ202" s="3092">
        <f t="shared" ref="BQ202:BR202" si="1697">SUM(BQ141)</f>
        <v>0</v>
      </c>
      <c r="BR202" s="3092">
        <f t="shared" si="1697"/>
        <v>0</v>
      </c>
      <c r="BS202" s="3092">
        <f>SUM(BS141)</f>
        <v>0</v>
      </c>
      <c r="BT202" s="3092">
        <f t="shared" ref="BT202:BU202" si="1698">SUM(BT141)</f>
        <v>0</v>
      </c>
      <c r="BU202" s="3092">
        <f t="shared" si="1698"/>
        <v>0</v>
      </c>
      <c r="BV202" s="3092">
        <f>SUM(BV141)</f>
        <v>0</v>
      </c>
      <c r="BW202" s="3092">
        <f t="shared" ref="BW202:BX202" si="1699">SUM(BW141)</f>
        <v>0</v>
      </c>
      <c r="BX202" s="3092">
        <f t="shared" si="1699"/>
        <v>0</v>
      </c>
      <c r="BY202" s="3092">
        <f>SUM(BY141)</f>
        <v>0</v>
      </c>
      <c r="BZ202" s="3092">
        <f t="shared" ref="BZ202:CA202" si="1700">SUM(BZ141)</f>
        <v>0</v>
      </c>
      <c r="CA202" s="3092">
        <f t="shared" si="1700"/>
        <v>0</v>
      </c>
      <c r="CB202" s="3274">
        <f t="shared" ref="CB202:CD202" si="1701">SUM(CB141)</f>
        <v>0</v>
      </c>
      <c r="CC202" s="3274">
        <f t="shared" si="1701"/>
        <v>0</v>
      </c>
      <c r="CD202" s="3274">
        <f t="shared" si="1701"/>
        <v>0</v>
      </c>
      <c r="CE202" s="3093">
        <f t="shared" ref="CE202:CG202" si="1702">SUM(CE141)</f>
        <v>0</v>
      </c>
      <c r="CF202" s="3093">
        <f t="shared" si="1702"/>
        <v>0</v>
      </c>
      <c r="CG202" s="3093">
        <f t="shared" si="1702"/>
        <v>0</v>
      </c>
      <c r="CH202" s="3068">
        <f t="shared" si="1466"/>
        <v>0</v>
      </c>
      <c r="CI202" s="3068">
        <f t="shared" si="1467"/>
        <v>0</v>
      </c>
      <c r="CJ202" s="3068">
        <f t="shared" si="1468"/>
        <v>0</v>
      </c>
      <c r="CK202" s="3049"/>
      <c r="CL202" s="3049"/>
      <c r="CM202" s="3049"/>
      <c r="CN202" s="3049"/>
    </row>
    <row r="203" spans="1:92" ht="18.75" x14ac:dyDescent="0.3">
      <c r="A203" s="3073" t="s">
        <v>535</v>
      </c>
      <c r="B203" s="3271">
        <f>SUM(B142)</f>
        <v>461.69255459499999</v>
      </c>
      <c r="C203" s="3271">
        <f>SUM(C142)</f>
        <v>461.35766513699411</v>
      </c>
      <c r="D203" s="3271">
        <f>SUM(D142)</f>
        <v>0.33488945800585129</v>
      </c>
      <c r="E203" s="3092">
        <f>SUM(E142)</f>
        <v>0</v>
      </c>
      <c r="F203" s="3092">
        <f>SUM(F142)</f>
        <v>0</v>
      </c>
      <c r="G203" s="3092">
        <f>SUM(G142)</f>
        <v>0</v>
      </c>
      <c r="H203" s="3092">
        <f>SUM(H142)</f>
        <v>0</v>
      </c>
      <c r="I203" s="3092">
        <f>SUM(I142)</f>
        <v>0</v>
      </c>
      <c r="J203" s="3092">
        <f>SUM(J142)</f>
        <v>0</v>
      </c>
      <c r="K203" s="3092">
        <f>SUM(K142)</f>
        <v>0</v>
      </c>
      <c r="L203" s="3092">
        <f>SUM(L142)</f>
        <v>0</v>
      </c>
      <c r="M203" s="3092">
        <f>SUM(M142)</f>
        <v>0</v>
      </c>
      <c r="N203" s="3092">
        <f>SUM(N142)</f>
        <v>0</v>
      </c>
      <c r="O203" s="3092">
        <f>SUM(O142)</f>
        <v>0</v>
      </c>
      <c r="P203" s="3092">
        <f>SUM(P142)</f>
        <v>0</v>
      </c>
      <c r="Q203" s="3271">
        <f>SUM(Q142)</f>
        <v>461.69255459499999</v>
      </c>
      <c r="R203" s="3271">
        <f>SUM(R142)</f>
        <v>461.35766513699411</v>
      </c>
      <c r="S203" s="3271">
        <f>SUM(S142)</f>
        <v>0.33488945800585129</v>
      </c>
      <c r="T203" s="3092">
        <f>SUM(T142)</f>
        <v>0</v>
      </c>
      <c r="U203" s="3092">
        <f>SUM(U142)</f>
        <v>0</v>
      </c>
      <c r="V203" s="3092">
        <f>SUM(V142)</f>
        <v>0</v>
      </c>
      <c r="W203" s="3092">
        <f>SUM(W142)</f>
        <v>0</v>
      </c>
      <c r="X203" s="3092">
        <f>SUM(X142)</f>
        <v>0</v>
      </c>
      <c r="Y203" s="3092">
        <f>SUM(Y142)</f>
        <v>0</v>
      </c>
      <c r="Z203" s="3092">
        <f>SUM(Z142)</f>
        <v>0</v>
      </c>
      <c r="AA203" s="3092">
        <f>SUM(AA142)</f>
        <v>0</v>
      </c>
      <c r="AB203" s="3092">
        <f>SUM(AB142)</f>
        <v>0</v>
      </c>
      <c r="AC203" s="3092">
        <f>SUM(AC142)</f>
        <v>0</v>
      </c>
      <c r="AD203" s="3092">
        <f t="shared" ref="AD203:AK204" si="1703">SUM(AD142)</f>
        <v>0</v>
      </c>
      <c r="AE203" s="3092">
        <f t="shared" si="1703"/>
        <v>0</v>
      </c>
      <c r="AF203" s="3274">
        <f t="shared" si="1703"/>
        <v>923.38510918999998</v>
      </c>
      <c r="AG203" s="3274">
        <f t="shared" si="1703"/>
        <v>922.71533027398823</v>
      </c>
      <c r="AH203" s="3274">
        <f t="shared" si="1703"/>
        <v>0.66977891601170259</v>
      </c>
      <c r="AI203" s="3093">
        <f t="shared" si="1703"/>
        <v>0</v>
      </c>
      <c r="AJ203" s="3093">
        <f t="shared" si="1703"/>
        <v>0</v>
      </c>
      <c r="AK203" s="3093">
        <f t="shared" si="1703"/>
        <v>0</v>
      </c>
      <c r="AL203" s="3068">
        <f t="shared" si="1455"/>
        <v>-923.38510918999998</v>
      </c>
      <c r="AM203" s="3068">
        <f t="shared" si="1456"/>
        <v>-922.71533027398823</v>
      </c>
      <c r="AN203" s="3068">
        <f t="shared" si="1457"/>
        <v>-0.66977891601170259</v>
      </c>
      <c r="AO203" s="3271">
        <f>SUM(AO142)</f>
        <v>461.69255459499999</v>
      </c>
      <c r="AP203" s="3271">
        <f>SUM(AP142)</f>
        <v>461.35766513699411</v>
      </c>
      <c r="AQ203" s="3271">
        <f>SUM(AQ142)</f>
        <v>0.33488945800585129</v>
      </c>
      <c r="AR203" s="3092">
        <f>SUM(AR142)</f>
        <v>0</v>
      </c>
      <c r="AS203" s="3092">
        <f>SUM(AS142)</f>
        <v>0</v>
      </c>
      <c r="AT203" s="3092">
        <f>SUM(AT142)</f>
        <v>0</v>
      </c>
      <c r="AU203" s="3092">
        <f>SUM(AU142)</f>
        <v>0</v>
      </c>
      <c r="AV203" s="3092">
        <f>SUM(AV142)</f>
        <v>0</v>
      </c>
      <c r="AW203" s="3092">
        <f>SUM(AW142)</f>
        <v>0</v>
      </c>
      <c r="AX203" s="3092">
        <f>SUM(AX142)</f>
        <v>0</v>
      </c>
      <c r="AY203" s="3092">
        <f>SUM(AY142)</f>
        <v>0</v>
      </c>
      <c r="AZ203" s="3092">
        <f>SUM(AZ142)</f>
        <v>0</v>
      </c>
      <c r="BA203" s="3092">
        <f>SUM(BA142)</f>
        <v>0</v>
      </c>
      <c r="BB203" s="3092">
        <f t="shared" ref="BB203:BI204" si="1704">SUM(BB142)</f>
        <v>0</v>
      </c>
      <c r="BC203" s="3092">
        <f t="shared" si="1704"/>
        <v>0</v>
      </c>
      <c r="BD203" s="3274">
        <f t="shared" si="1704"/>
        <v>1385.0776637849999</v>
      </c>
      <c r="BE203" s="3274">
        <f t="shared" si="1704"/>
        <v>1384.0729954109825</v>
      </c>
      <c r="BF203" s="3274">
        <f t="shared" si="1704"/>
        <v>1.0046683740175539</v>
      </c>
      <c r="BG203" s="3093">
        <f t="shared" si="1704"/>
        <v>0</v>
      </c>
      <c r="BH203" s="3093">
        <f t="shared" si="1704"/>
        <v>0</v>
      </c>
      <c r="BI203" s="3093">
        <f t="shared" si="1704"/>
        <v>0</v>
      </c>
      <c r="BJ203" s="3068">
        <f t="shared" si="1460"/>
        <v>-1385.0776637849999</v>
      </c>
      <c r="BK203" s="3068">
        <f t="shared" si="1461"/>
        <v>-1384.0729954109825</v>
      </c>
      <c r="BL203" s="3068">
        <f t="shared" si="1462"/>
        <v>-1.0046683740175539</v>
      </c>
      <c r="BM203" s="3271">
        <f>SUM(BM142)</f>
        <v>461.69255459499999</v>
      </c>
      <c r="BN203" s="3271">
        <f>SUM(BN142)</f>
        <v>461.35766513699411</v>
      </c>
      <c r="BO203" s="3271">
        <f>SUM(BO142)</f>
        <v>0.33488945800585129</v>
      </c>
      <c r="BP203" s="3092">
        <f>SUM(BP142)</f>
        <v>0</v>
      </c>
      <c r="BQ203" s="3092">
        <f>SUM(BQ142)</f>
        <v>0</v>
      </c>
      <c r="BR203" s="3092">
        <f>SUM(BR142)</f>
        <v>0</v>
      </c>
      <c r="BS203" s="3092">
        <f>SUM(BS142)</f>
        <v>0</v>
      </c>
      <c r="BT203" s="3092">
        <f>SUM(BT142)</f>
        <v>0</v>
      </c>
      <c r="BU203" s="3092">
        <f>SUM(BU142)</f>
        <v>0</v>
      </c>
      <c r="BV203" s="3092">
        <f>SUM(BV142)</f>
        <v>0</v>
      </c>
      <c r="BW203" s="3092">
        <f>SUM(BW142)</f>
        <v>0</v>
      </c>
      <c r="BX203" s="3092">
        <f>SUM(BX142)</f>
        <v>0</v>
      </c>
      <c r="BY203" s="3092">
        <f>SUM(BY142)</f>
        <v>0</v>
      </c>
      <c r="BZ203" s="3092">
        <f t="shared" ref="BZ203:CG204" si="1705">SUM(BZ142)</f>
        <v>0</v>
      </c>
      <c r="CA203" s="3092">
        <f t="shared" si="1705"/>
        <v>0</v>
      </c>
      <c r="CB203" s="3274">
        <f t="shared" si="1705"/>
        <v>1846.77021838</v>
      </c>
      <c r="CC203" s="3274">
        <f t="shared" si="1705"/>
        <v>1845.4306605479765</v>
      </c>
      <c r="CD203" s="3274">
        <f t="shared" si="1705"/>
        <v>1.3395578320234052</v>
      </c>
      <c r="CE203" s="3093">
        <f t="shared" si="1705"/>
        <v>0</v>
      </c>
      <c r="CF203" s="3093">
        <f t="shared" si="1705"/>
        <v>0</v>
      </c>
      <c r="CG203" s="3093">
        <f t="shared" si="1705"/>
        <v>0</v>
      </c>
      <c r="CH203" s="3068">
        <f t="shared" si="1466"/>
        <v>-1846.77021838</v>
      </c>
      <c r="CI203" s="3068">
        <f t="shared" si="1467"/>
        <v>-1845.4306605479765</v>
      </c>
      <c r="CJ203" s="3068">
        <f t="shared" si="1468"/>
        <v>-1.3395578320234052</v>
      </c>
      <c r="CK203" s="3049"/>
      <c r="CL203" s="3049"/>
      <c r="CM203" s="3049"/>
      <c r="CN203" s="3049"/>
    </row>
    <row r="204" spans="1:92" ht="18.75" x14ac:dyDescent="0.3">
      <c r="A204" s="3073" t="s">
        <v>3676</v>
      </c>
      <c r="B204" s="3271">
        <f>SUM(B143)</f>
        <v>721.80143170245003</v>
      </c>
      <c r="C204" s="3271">
        <f>SUM(C143)</f>
        <v>721.80143170245003</v>
      </c>
      <c r="D204" s="3271">
        <f>SUM(D143)</f>
        <v>0</v>
      </c>
      <c r="E204" s="3092">
        <f>SUM(E143)</f>
        <v>0</v>
      </c>
      <c r="F204" s="3092">
        <f>SUM(F143)</f>
        <v>0</v>
      </c>
      <c r="G204" s="3092">
        <f>SUM(G143)</f>
        <v>0</v>
      </c>
      <c r="H204" s="3092">
        <f>SUM(H143)</f>
        <v>0</v>
      </c>
      <c r="I204" s="3092">
        <f>SUM(I143)</f>
        <v>0</v>
      </c>
      <c r="J204" s="3092">
        <f>SUM(J143)</f>
        <v>0</v>
      </c>
      <c r="K204" s="3092">
        <f>SUM(K143)</f>
        <v>0</v>
      </c>
      <c r="L204" s="3092">
        <f>SUM(L143)</f>
        <v>0</v>
      </c>
      <c r="M204" s="3092">
        <f>SUM(M143)</f>
        <v>0</v>
      </c>
      <c r="N204" s="3092">
        <f>SUM(N143)</f>
        <v>0</v>
      </c>
      <c r="O204" s="3092">
        <f>SUM(O143)</f>
        <v>0</v>
      </c>
      <c r="P204" s="3092">
        <f>SUM(P143)</f>
        <v>0</v>
      </c>
      <c r="Q204" s="3271">
        <f>SUM(Q143)</f>
        <v>721.80143170245003</v>
      </c>
      <c r="R204" s="3271">
        <f>SUM(R143)</f>
        <v>721.80143170245003</v>
      </c>
      <c r="S204" s="3271">
        <f>SUM(S143)</f>
        <v>0</v>
      </c>
      <c r="T204" s="3092">
        <f>SUM(T143)</f>
        <v>0</v>
      </c>
      <c r="U204" s="3092">
        <f>SUM(U143)</f>
        <v>0</v>
      </c>
      <c r="V204" s="3092">
        <f>SUM(V143)</f>
        <v>0</v>
      </c>
      <c r="W204" s="3092">
        <f>SUM(W143)</f>
        <v>0</v>
      </c>
      <c r="X204" s="3092">
        <f>SUM(X143)</f>
        <v>0</v>
      </c>
      <c r="Y204" s="3092">
        <f>SUM(Y143)</f>
        <v>0</v>
      </c>
      <c r="Z204" s="3092">
        <f>SUM(Z143)</f>
        <v>0</v>
      </c>
      <c r="AA204" s="3092">
        <f>SUM(AA143)</f>
        <v>0</v>
      </c>
      <c r="AB204" s="3092">
        <f>SUM(AB143)</f>
        <v>0</v>
      </c>
      <c r="AC204" s="3092">
        <f>SUM(AC143)</f>
        <v>0</v>
      </c>
      <c r="AD204" s="3092">
        <f t="shared" si="1703"/>
        <v>0</v>
      </c>
      <c r="AE204" s="3092">
        <f t="shared" si="1703"/>
        <v>0</v>
      </c>
      <c r="AF204" s="3274">
        <f t="shared" si="1703"/>
        <v>1443.6028634049001</v>
      </c>
      <c r="AG204" s="3274">
        <f t="shared" si="1703"/>
        <v>1443.6028634049001</v>
      </c>
      <c r="AH204" s="3274">
        <f t="shared" si="1703"/>
        <v>0</v>
      </c>
      <c r="AI204" s="3093">
        <f t="shared" si="1703"/>
        <v>0</v>
      </c>
      <c r="AJ204" s="3093">
        <f t="shared" si="1703"/>
        <v>0</v>
      </c>
      <c r="AK204" s="3093">
        <f t="shared" si="1703"/>
        <v>0</v>
      </c>
      <c r="AL204" s="3068">
        <f t="shared" ref="AL204" si="1706">SUM(AI204-AF204)</f>
        <v>-1443.6028634049001</v>
      </c>
      <c r="AM204" s="3068">
        <f t="shared" ref="AM204" si="1707">SUM(AJ204-AG204)</f>
        <v>-1443.6028634049001</v>
      </c>
      <c r="AN204" s="3068">
        <f t="shared" ref="AN204" si="1708">SUM(AK204-AH204)</f>
        <v>0</v>
      </c>
      <c r="AO204" s="3271">
        <f>SUM(AO143)</f>
        <v>721.80143170245003</v>
      </c>
      <c r="AP204" s="3271">
        <f>SUM(AP143)</f>
        <v>721.80143170245003</v>
      </c>
      <c r="AQ204" s="3271">
        <f>SUM(AQ143)</f>
        <v>0</v>
      </c>
      <c r="AR204" s="3092">
        <f>SUM(AR143)</f>
        <v>0</v>
      </c>
      <c r="AS204" s="3092">
        <f>SUM(AS143)</f>
        <v>0</v>
      </c>
      <c r="AT204" s="3092">
        <f>SUM(AT143)</f>
        <v>0</v>
      </c>
      <c r="AU204" s="3092">
        <f>SUM(AU143)</f>
        <v>0</v>
      </c>
      <c r="AV204" s="3092">
        <f>SUM(AV143)</f>
        <v>0</v>
      </c>
      <c r="AW204" s="3092">
        <f>SUM(AW143)</f>
        <v>0</v>
      </c>
      <c r="AX204" s="3092">
        <f>SUM(AX143)</f>
        <v>0</v>
      </c>
      <c r="AY204" s="3092">
        <f>SUM(AY143)</f>
        <v>0</v>
      </c>
      <c r="AZ204" s="3092">
        <f>SUM(AZ143)</f>
        <v>0</v>
      </c>
      <c r="BA204" s="3092">
        <f>SUM(BA143)</f>
        <v>0</v>
      </c>
      <c r="BB204" s="3092">
        <f t="shared" si="1704"/>
        <v>0</v>
      </c>
      <c r="BC204" s="3092">
        <f t="shared" si="1704"/>
        <v>0</v>
      </c>
      <c r="BD204" s="3274">
        <f t="shared" si="1704"/>
        <v>2165.4042951073502</v>
      </c>
      <c r="BE204" s="3274">
        <f t="shared" si="1704"/>
        <v>2165.4042951073502</v>
      </c>
      <c r="BF204" s="3274">
        <f t="shared" si="1704"/>
        <v>0</v>
      </c>
      <c r="BG204" s="3093">
        <f t="shared" si="1704"/>
        <v>0</v>
      </c>
      <c r="BH204" s="3093">
        <f t="shared" si="1704"/>
        <v>0</v>
      </c>
      <c r="BI204" s="3093">
        <f t="shared" si="1704"/>
        <v>0</v>
      </c>
      <c r="BJ204" s="3068">
        <f t="shared" ref="BJ204" si="1709">SUM(BG204-BD204)</f>
        <v>-2165.4042951073502</v>
      </c>
      <c r="BK204" s="3068">
        <f t="shared" ref="BK204" si="1710">SUM(BH204-BE204)</f>
        <v>-2165.4042951073502</v>
      </c>
      <c r="BL204" s="3068">
        <f t="shared" ref="BL204" si="1711">SUM(BI204-BF204)</f>
        <v>0</v>
      </c>
      <c r="BM204" s="3271">
        <f>SUM(BM143)</f>
        <v>721.80143170245003</v>
      </c>
      <c r="BN204" s="3271">
        <f>SUM(BN143)</f>
        <v>721.80143170245003</v>
      </c>
      <c r="BO204" s="3271">
        <f>SUM(BO143)</f>
        <v>0</v>
      </c>
      <c r="BP204" s="3092">
        <f>SUM(BP143)</f>
        <v>0</v>
      </c>
      <c r="BQ204" s="3092">
        <f>SUM(BQ143)</f>
        <v>0</v>
      </c>
      <c r="BR204" s="3092">
        <f>SUM(BR143)</f>
        <v>0</v>
      </c>
      <c r="BS204" s="3092">
        <f>SUM(BS143)</f>
        <v>0</v>
      </c>
      <c r="BT204" s="3092">
        <f>SUM(BT143)</f>
        <v>0</v>
      </c>
      <c r="BU204" s="3092">
        <f>SUM(BU143)</f>
        <v>0</v>
      </c>
      <c r="BV204" s="3092">
        <f>SUM(BV143)</f>
        <v>0</v>
      </c>
      <c r="BW204" s="3092">
        <f>SUM(BW143)</f>
        <v>0</v>
      </c>
      <c r="BX204" s="3092">
        <f>SUM(BX143)</f>
        <v>0</v>
      </c>
      <c r="BY204" s="3092">
        <f>SUM(BY143)</f>
        <v>0</v>
      </c>
      <c r="BZ204" s="3092">
        <f t="shared" si="1705"/>
        <v>0</v>
      </c>
      <c r="CA204" s="3092">
        <f t="shared" si="1705"/>
        <v>0</v>
      </c>
      <c r="CB204" s="3274">
        <f t="shared" si="1705"/>
        <v>2887.2057268098001</v>
      </c>
      <c r="CC204" s="3274">
        <f t="shared" si="1705"/>
        <v>2887.2057268098001</v>
      </c>
      <c r="CD204" s="3274">
        <f t="shared" si="1705"/>
        <v>0</v>
      </c>
      <c r="CE204" s="3093">
        <f t="shared" si="1705"/>
        <v>0</v>
      </c>
      <c r="CF204" s="3093">
        <f t="shared" si="1705"/>
        <v>0</v>
      </c>
      <c r="CG204" s="3093">
        <f t="shared" si="1705"/>
        <v>0</v>
      </c>
      <c r="CH204" s="3068">
        <f t="shared" ref="CH204" si="1712">SUM(CE204-CB204)</f>
        <v>-2887.2057268098001</v>
      </c>
      <c r="CI204" s="3068">
        <f t="shared" ref="CI204" si="1713">SUM(CF204-CC204)</f>
        <v>-2887.2057268098001</v>
      </c>
      <c r="CJ204" s="3068">
        <f t="shared" ref="CJ204" si="1714">SUM(CG204-CD204)</f>
        <v>0</v>
      </c>
      <c r="CK204" s="3049"/>
      <c r="CL204" s="3049"/>
      <c r="CM204" s="3049"/>
      <c r="CN204" s="3049"/>
    </row>
    <row r="205" spans="1:92" ht="18.75" x14ac:dyDescent="0.3">
      <c r="A205" s="3071" t="s">
        <v>3618</v>
      </c>
      <c r="B205" s="3270">
        <f t="shared" ref="B205:D205" si="1715">SUM(B144)</f>
        <v>2582.91725</v>
      </c>
      <c r="C205" s="3270">
        <f t="shared" si="1715"/>
        <v>2581.6689511059149</v>
      </c>
      <c r="D205" s="3270">
        <f t="shared" si="1715"/>
        <v>1.2482988940851316</v>
      </c>
      <c r="E205" s="3088">
        <f t="shared" ref="E205:G205" si="1716">SUM(E144)</f>
        <v>1289.635</v>
      </c>
      <c r="F205" s="3088">
        <f t="shared" si="1716"/>
        <v>1289.25</v>
      </c>
      <c r="G205" s="3088">
        <f t="shared" si="1716"/>
        <v>0.38500000000000001</v>
      </c>
      <c r="H205" s="3088">
        <f t="shared" ref="H205:J205" si="1717">SUM(H144)</f>
        <v>1124.5250000000001</v>
      </c>
      <c r="I205" s="3088">
        <f t="shared" si="1717"/>
        <v>1124.22</v>
      </c>
      <c r="J205" s="3088">
        <f t="shared" si="1717"/>
        <v>0.30499999999999999</v>
      </c>
      <c r="K205" s="3088">
        <f t="shared" ref="K205:M205" si="1718">SUM(K144)</f>
        <v>1237.7259999999999</v>
      </c>
      <c r="L205" s="3088">
        <f t="shared" si="1718"/>
        <v>1237.4099999999999</v>
      </c>
      <c r="M205" s="3088">
        <f t="shared" si="1718"/>
        <v>0.316</v>
      </c>
      <c r="N205" s="3088">
        <f t="shared" ref="N205:AB205" si="1719">SUM(N144)</f>
        <v>3651.886</v>
      </c>
      <c r="O205" s="3088">
        <f t="shared" si="1719"/>
        <v>3650.88</v>
      </c>
      <c r="P205" s="3088">
        <f t="shared" si="1719"/>
        <v>1.006</v>
      </c>
      <c r="Q205" s="3270">
        <f t="shared" si="1719"/>
        <v>2582.91725</v>
      </c>
      <c r="R205" s="3270">
        <f t="shared" si="1719"/>
        <v>2581.6689511059149</v>
      </c>
      <c r="S205" s="3270">
        <f t="shared" si="1719"/>
        <v>1.2482988940851316</v>
      </c>
      <c r="T205" s="3088">
        <f t="shared" si="1719"/>
        <v>1304.8874999999998</v>
      </c>
      <c r="U205" s="3088">
        <f t="shared" si="1719"/>
        <v>1304.58</v>
      </c>
      <c r="V205" s="3088">
        <f t="shared" si="1719"/>
        <v>0.3075</v>
      </c>
      <c r="W205" s="3088">
        <f t="shared" si="1719"/>
        <v>1320.4290000000001</v>
      </c>
      <c r="X205" s="3088">
        <f t="shared" si="1719"/>
        <v>1320.02</v>
      </c>
      <c r="Y205" s="3088">
        <f t="shared" si="1719"/>
        <v>0.40900000000000003</v>
      </c>
      <c r="Z205" s="3088">
        <f t="shared" si="1719"/>
        <v>1336.056</v>
      </c>
      <c r="AA205" s="3088">
        <f t="shared" si="1719"/>
        <v>1335.53</v>
      </c>
      <c r="AB205" s="3088">
        <f t="shared" si="1719"/>
        <v>0.52600000000000002</v>
      </c>
      <c r="AC205" s="3088">
        <f t="shared" ref="AC205:AE205" si="1720">SUM(AC144)</f>
        <v>3961.3724999999999</v>
      </c>
      <c r="AD205" s="3088">
        <f t="shared" si="1720"/>
        <v>3960.13</v>
      </c>
      <c r="AE205" s="3088">
        <f t="shared" si="1720"/>
        <v>1.2425000000000002</v>
      </c>
      <c r="AF205" s="3273">
        <f t="shared" ref="AF205:AK205" si="1721">SUM(AF144)</f>
        <v>5165.8344999999999</v>
      </c>
      <c r="AG205" s="3273">
        <f t="shared" si="1721"/>
        <v>5163.3379022118297</v>
      </c>
      <c r="AH205" s="3273">
        <f t="shared" si="1721"/>
        <v>2.4965977881702632</v>
      </c>
      <c r="AI205" s="3089">
        <f t="shared" si="1721"/>
        <v>7613.2584999999999</v>
      </c>
      <c r="AJ205" s="3089">
        <f t="shared" si="1721"/>
        <v>7611.01</v>
      </c>
      <c r="AK205" s="3089">
        <f t="shared" si="1721"/>
        <v>2.2484999999999999</v>
      </c>
      <c r="AL205" s="3062">
        <f t="shared" si="1455"/>
        <v>2447.424</v>
      </c>
      <c r="AM205" s="3062">
        <f t="shared" si="1456"/>
        <v>2447.6720977881705</v>
      </c>
      <c r="AN205" s="3062">
        <f t="shared" si="1457"/>
        <v>-0.24809778817026329</v>
      </c>
      <c r="AO205" s="3270">
        <f t="shared" ref="AO205:BC205" si="1722">SUM(AO144)</f>
        <v>2582.91725</v>
      </c>
      <c r="AP205" s="3270">
        <f t="shared" si="1722"/>
        <v>2581.6689511059149</v>
      </c>
      <c r="AQ205" s="3270">
        <f t="shared" si="1722"/>
        <v>1.2482988940851316</v>
      </c>
      <c r="AR205" s="3088">
        <f t="shared" si="1722"/>
        <v>1464.2629999999999</v>
      </c>
      <c r="AS205" s="3088">
        <f t="shared" si="1722"/>
        <v>1463.8999999999999</v>
      </c>
      <c r="AT205" s="3088">
        <f t="shared" si="1722"/>
        <v>0.36300000000000004</v>
      </c>
      <c r="AU205" s="3088">
        <f t="shared" si="1722"/>
        <v>1274.557</v>
      </c>
      <c r="AV205" s="3088">
        <f t="shared" si="1722"/>
        <v>1274.28</v>
      </c>
      <c r="AW205" s="3088">
        <f t="shared" si="1722"/>
        <v>0.27700000000000002</v>
      </c>
      <c r="AX205" s="3088">
        <f t="shared" si="1722"/>
        <v>1192.5227</v>
      </c>
      <c r="AY205" s="3088">
        <f t="shared" si="1722"/>
        <v>1192.05</v>
      </c>
      <c r="AZ205" s="3088">
        <f t="shared" si="1722"/>
        <v>0.47270000000000001</v>
      </c>
      <c r="BA205" s="3088">
        <f t="shared" si="1722"/>
        <v>3931.3426999999997</v>
      </c>
      <c r="BB205" s="3088">
        <f t="shared" si="1722"/>
        <v>3930.2299999999996</v>
      </c>
      <c r="BC205" s="3088">
        <f t="shared" si="1722"/>
        <v>1.1127000000000002</v>
      </c>
      <c r="BD205" s="3273">
        <f t="shared" ref="BD205:BI205" si="1723">SUM(BD144)</f>
        <v>7748.7517500000004</v>
      </c>
      <c r="BE205" s="3273">
        <f t="shared" si="1723"/>
        <v>7745.0068533177446</v>
      </c>
      <c r="BF205" s="3273">
        <f t="shared" si="1723"/>
        <v>3.7448966822553951</v>
      </c>
      <c r="BG205" s="3089">
        <f t="shared" si="1723"/>
        <v>11544.601199999999</v>
      </c>
      <c r="BH205" s="3089">
        <f t="shared" si="1723"/>
        <v>11541.24</v>
      </c>
      <c r="BI205" s="3089">
        <f t="shared" si="1723"/>
        <v>3.3612000000000002</v>
      </c>
      <c r="BJ205" s="3062">
        <f t="shared" si="1460"/>
        <v>3795.8494499999988</v>
      </c>
      <c r="BK205" s="3062">
        <f t="shared" si="1461"/>
        <v>3796.2331466822552</v>
      </c>
      <c r="BL205" s="3062">
        <f t="shared" si="1462"/>
        <v>-0.38369668225539488</v>
      </c>
      <c r="BM205" s="3270">
        <f t="shared" ref="BM205:CA205" si="1724">SUM(BM144)</f>
        <v>2582.91725</v>
      </c>
      <c r="BN205" s="3270">
        <f t="shared" si="1724"/>
        <v>2581.6689511059149</v>
      </c>
      <c r="BO205" s="3270">
        <f t="shared" si="1724"/>
        <v>1.2482988940851316</v>
      </c>
      <c r="BP205" s="3088">
        <f t="shared" si="1724"/>
        <v>0</v>
      </c>
      <c r="BQ205" s="3088">
        <f t="shared" si="1724"/>
        <v>0</v>
      </c>
      <c r="BR205" s="3088">
        <f t="shared" si="1724"/>
        <v>0</v>
      </c>
      <c r="BS205" s="3088">
        <f t="shared" si="1724"/>
        <v>0</v>
      </c>
      <c r="BT205" s="3088">
        <f t="shared" si="1724"/>
        <v>0</v>
      </c>
      <c r="BU205" s="3088">
        <f t="shared" si="1724"/>
        <v>0</v>
      </c>
      <c r="BV205" s="3088">
        <f t="shared" si="1724"/>
        <v>0</v>
      </c>
      <c r="BW205" s="3088">
        <f t="shared" si="1724"/>
        <v>0</v>
      </c>
      <c r="BX205" s="3088">
        <f t="shared" si="1724"/>
        <v>0</v>
      </c>
      <c r="BY205" s="3088">
        <f t="shared" si="1724"/>
        <v>0</v>
      </c>
      <c r="BZ205" s="3088">
        <f t="shared" si="1724"/>
        <v>0</v>
      </c>
      <c r="CA205" s="3088">
        <f t="shared" si="1724"/>
        <v>0</v>
      </c>
      <c r="CB205" s="3273">
        <f t="shared" ref="CB205:CD205" si="1725">SUM(CB144)</f>
        <v>10331.669406318588</v>
      </c>
      <c r="CC205" s="3273">
        <f t="shared" si="1725"/>
        <v>10326.676210545877</v>
      </c>
      <c r="CD205" s="3273">
        <f t="shared" si="1725"/>
        <v>4.9931957727103642</v>
      </c>
      <c r="CE205" s="3089">
        <f t="shared" ref="CE205:CG205" si="1726">SUM(CE144)</f>
        <v>11544.601199999999</v>
      </c>
      <c r="CF205" s="3089">
        <f t="shared" si="1726"/>
        <v>11541.24</v>
      </c>
      <c r="CG205" s="3089">
        <f t="shared" si="1726"/>
        <v>3.3612000000000002</v>
      </c>
      <c r="CH205" s="3062">
        <f t="shared" si="1466"/>
        <v>1212.9317936814114</v>
      </c>
      <c r="CI205" s="3062">
        <f t="shared" si="1467"/>
        <v>1214.5637894541233</v>
      </c>
      <c r="CJ205" s="3062">
        <f t="shared" si="1468"/>
        <v>-1.631995772710364</v>
      </c>
      <c r="CK205" s="3049"/>
      <c r="CL205" s="3049"/>
      <c r="CM205" s="3049"/>
      <c r="CN205" s="3049"/>
    </row>
    <row r="206" spans="1:92" ht="18.75" x14ac:dyDescent="0.3">
      <c r="A206" s="3076" t="s">
        <v>3605</v>
      </c>
      <c r="B206" s="3271">
        <f t="shared" ref="B206:D206" si="1727">SUM(B145)</f>
        <v>1642.8625</v>
      </c>
      <c r="C206" s="3271">
        <f t="shared" si="1727"/>
        <v>1642.0685204631473</v>
      </c>
      <c r="D206" s="3271">
        <f t="shared" si="1727"/>
        <v>0.79397953685273281</v>
      </c>
      <c r="E206" s="3092">
        <f t="shared" ref="E206:G206" si="1728">SUM(E145)</f>
        <v>822.01599999999996</v>
      </c>
      <c r="F206" s="3092">
        <f t="shared" si="1728"/>
        <v>821.77</v>
      </c>
      <c r="G206" s="3092">
        <f t="shared" si="1728"/>
        <v>0.246</v>
      </c>
      <c r="H206" s="3092">
        <f t="shared" ref="H206:J206" si="1729">SUM(H145)</f>
        <v>705.66000000000008</v>
      </c>
      <c r="I206" s="3092">
        <f t="shared" si="1729"/>
        <v>705.47</v>
      </c>
      <c r="J206" s="3092">
        <f t="shared" si="1729"/>
        <v>0.19</v>
      </c>
      <c r="K206" s="3092">
        <f t="shared" ref="K206:M206" si="1730">SUM(K145)</f>
        <v>729.36</v>
      </c>
      <c r="L206" s="3092">
        <f t="shared" si="1730"/>
        <v>729.17</v>
      </c>
      <c r="M206" s="3092">
        <f t="shared" si="1730"/>
        <v>0.19</v>
      </c>
      <c r="N206" s="3092">
        <f t="shared" ref="N206:AB206" si="1731">SUM(N145)</f>
        <v>2257.0360000000001</v>
      </c>
      <c r="O206" s="3092">
        <f t="shared" si="1731"/>
        <v>2256.41</v>
      </c>
      <c r="P206" s="3092">
        <f t="shared" si="1731"/>
        <v>0.626</v>
      </c>
      <c r="Q206" s="3271">
        <f t="shared" si="1731"/>
        <v>1642.8625</v>
      </c>
      <c r="R206" s="3271">
        <f t="shared" si="1731"/>
        <v>1642.0685204631473</v>
      </c>
      <c r="S206" s="3271">
        <f t="shared" si="1731"/>
        <v>0.79397953685273281</v>
      </c>
      <c r="T206" s="3092">
        <f t="shared" si="1731"/>
        <v>750.05</v>
      </c>
      <c r="U206" s="3092">
        <f t="shared" si="1731"/>
        <v>749.87</v>
      </c>
      <c r="V206" s="3092">
        <f t="shared" si="1731"/>
        <v>0.18</v>
      </c>
      <c r="W206" s="3092">
        <f t="shared" si="1731"/>
        <v>853.63</v>
      </c>
      <c r="X206" s="3092">
        <f t="shared" si="1731"/>
        <v>853.37</v>
      </c>
      <c r="Y206" s="3092">
        <f t="shared" si="1731"/>
        <v>0.26</v>
      </c>
      <c r="Z206" s="3092">
        <f t="shared" si="1731"/>
        <v>831.19</v>
      </c>
      <c r="AA206" s="3092">
        <f t="shared" si="1731"/>
        <v>830.86</v>
      </c>
      <c r="AB206" s="3092">
        <f t="shared" si="1731"/>
        <v>0.33</v>
      </c>
      <c r="AC206" s="3092">
        <f t="shared" ref="AC206:AE206" si="1732">SUM(AC145)</f>
        <v>2434.87</v>
      </c>
      <c r="AD206" s="3092">
        <f t="shared" si="1732"/>
        <v>2434.1</v>
      </c>
      <c r="AE206" s="3092">
        <f t="shared" si="1732"/>
        <v>0.77</v>
      </c>
      <c r="AF206" s="3274">
        <f t="shared" ref="AF206:AK206" si="1733">SUM(AF145)</f>
        <v>3285.7249999999999</v>
      </c>
      <c r="AG206" s="3274">
        <f t="shared" si="1733"/>
        <v>3284.1370409262945</v>
      </c>
      <c r="AH206" s="3274">
        <f t="shared" si="1733"/>
        <v>1.5879590737054656</v>
      </c>
      <c r="AI206" s="3093">
        <f t="shared" si="1733"/>
        <v>4691.9059999999999</v>
      </c>
      <c r="AJ206" s="3093">
        <f t="shared" si="1733"/>
        <v>4690.51</v>
      </c>
      <c r="AK206" s="3093">
        <f t="shared" si="1733"/>
        <v>1.3959999999999999</v>
      </c>
      <c r="AL206" s="3068">
        <f t="shared" si="1455"/>
        <v>1406.181</v>
      </c>
      <c r="AM206" s="3068">
        <f t="shared" si="1456"/>
        <v>1406.3729590737057</v>
      </c>
      <c r="AN206" s="3068">
        <f t="shared" si="1457"/>
        <v>-0.19195907370546572</v>
      </c>
      <c r="AO206" s="3271">
        <f t="shared" ref="AO206:BC206" si="1734">SUM(AO145)</f>
        <v>1642.8625</v>
      </c>
      <c r="AP206" s="3271">
        <f t="shared" si="1734"/>
        <v>1642.0685204631473</v>
      </c>
      <c r="AQ206" s="3271">
        <f t="shared" si="1734"/>
        <v>0.79397953685273281</v>
      </c>
      <c r="AR206" s="3092">
        <f t="shared" si="1734"/>
        <v>931.84100000000001</v>
      </c>
      <c r="AS206" s="3092">
        <f t="shared" si="1734"/>
        <v>931.61</v>
      </c>
      <c r="AT206" s="3092">
        <f t="shared" si="1734"/>
        <v>0.23100000000000001</v>
      </c>
      <c r="AU206" s="3092">
        <f t="shared" si="1734"/>
        <v>760.32499999999993</v>
      </c>
      <c r="AV206" s="3092">
        <f t="shared" si="1734"/>
        <v>760.16</v>
      </c>
      <c r="AW206" s="3092">
        <f t="shared" si="1734"/>
        <v>0.16500000000000001</v>
      </c>
      <c r="AX206" s="3092">
        <f t="shared" si="1734"/>
        <v>748.26</v>
      </c>
      <c r="AY206" s="3092">
        <f t="shared" si="1734"/>
        <v>747.96</v>
      </c>
      <c r="AZ206" s="3092">
        <f t="shared" si="1734"/>
        <v>0.3</v>
      </c>
      <c r="BA206" s="3092">
        <f t="shared" si="1734"/>
        <v>2440.4259999999999</v>
      </c>
      <c r="BB206" s="3092">
        <f t="shared" si="1734"/>
        <v>2439.73</v>
      </c>
      <c r="BC206" s="3092">
        <f t="shared" si="1734"/>
        <v>0.69599999999999995</v>
      </c>
      <c r="BD206" s="3274">
        <f t="shared" ref="BD206:BI206" si="1735">SUM(BD145)</f>
        <v>4928.5874999999996</v>
      </c>
      <c r="BE206" s="3274">
        <f t="shared" si="1735"/>
        <v>4926.2055613894418</v>
      </c>
      <c r="BF206" s="3274">
        <f t="shared" si="1735"/>
        <v>2.3819386105581986</v>
      </c>
      <c r="BG206" s="3093">
        <f t="shared" si="1735"/>
        <v>7132.3320000000003</v>
      </c>
      <c r="BH206" s="3093">
        <f t="shared" si="1735"/>
        <v>7130.24</v>
      </c>
      <c r="BI206" s="3093">
        <f t="shared" si="1735"/>
        <v>2.0919999999999996</v>
      </c>
      <c r="BJ206" s="3068">
        <f t="shared" si="1460"/>
        <v>2203.7445000000007</v>
      </c>
      <c r="BK206" s="3068">
        <f t="shared" si="1461"/>
        <v>2204.034438610558</v>
      </c>
      <c r="BL206" s="3068">
        <f t="shared" si="1462"/>
        <v>-0.28993861055819892</v>
      </c>
      <c r="BM206" s="3271">
        <f t="shared" ref="BM206:CA206" si="1736">SUM(BM145)</f>
        <v>1642.8625</v>
      </c>
      <c r="BN206" s="3271">
        <f t="shared" si="1736"/>
        <v>1642.0685204631473</v>
      </c>
      <c r="BO206" s="3271">
        <f t="shared" si="1736"/>
        <v>0.79397953685273281</v>
      </c>
      <c r="BP206" s="3092">
        <f t="shared" si="1736"/>
        <v>0</v>
      </c>
      <c r="BQ206" s="3092">
        <f t="shared" si="1736"/>
        <v>0</v>
      </c>
      <c r="BR206" s="3092">
        <f t="shared" si="1736"/>
        <v>0</v>
      </c>
      <c r="BS206" s="3092">
        <f t="shared" si="1736"/>
        <v>0</v>
      </c>
      <c r="BT206" s="3092">
        <f t="shared" si="1736"/>
        <v>0</v>
      </c>
      <c r="BU206" s="3092">
        <f t="shared" si="1736"/>
        <v>0</v>
      </c>
      <c r="BV206" s="3092">
        <f t="shared" si="1736"/>
        <v>0</v>
      </c>
      <c r="BW206" s="3092">
        <f t="shared" si="1736"/>
        <v>0</v>
      </c>
      <c r="BX206" s="3092">
        <f t="shared" si="1736"/>
        <v>0</v>
      </c>
      <c r="BY206" s="3092">
        <f t="shared" si="1736"/>
        <v>0</v>
      </c>
      <c r="BZ206" s="3092">
        <f t="shared" si="1736"/>
        <v>0</v>
      </c>
      <c r="CA206" s="3092">
        <f t="shared" si="1736"/>
        <v>0</v>
      </c>
      <c r="CB206" s="3274">
        <f t="shared" ref="CB206:CD206" si="1737">SUM(CB145)</f>
        <v>6571.45</v>
      </c>
      <c r="CC206" s="3274">
        <f t="shared" si="1737"/>
        <v>6568.274081852589</v>
      </c>
      <c r="CD206" s="3274">
        <f t="shared" si="1737"/>
        <v>3.1759181474109313</v>
      </c>
      <c r="CE206" s="3093">
        <f t="shared" ref="CE206:CG206" si="1738">SUM(CE145)</f>
        <v>7132.3320000000003</v>
      </c>
      <c r="CF206" s="3093">
        <f t="shared" si="1738"/>
        <v>7130.24</v>
      </c>
      <c r="CG206" s="3093">
        <f t="shared" si="1738"/>
        <v>2.0919999999999996</v>
      </c>
      <c r="CH206" s="3068">
        <f t="shared" si="1466"/>
        <v>560.88200000000052</v>
      </c>
      <c r="CI206" s="3068">
        <f t="shared" si="1467"/>
        <v>561.96591814741078</v>
      </c>
      <c r="CJ206" s="3068">
        <f t="shared" si="1468"/>
        <v>-1.0839181474109316</v>
      </c>
      <c r="CK206" s="3049"/>
      <c r="CL206" s="3049"/>
      <c r="CM206" s="3049"/>
      <c r="CN206" s="3049"/>
    </row>
    <row r="207" spans="1:92" ht="18.75" x14ac:dyDescent="0.3">
      <c r="A207" s="3076" t="s">
        <v>3606</v>
      </c>
      <c r="B207" s="3271">
        <f t="shared" ref="B207:D207" si="1739">SUM(B146)</f>
        <v>492.86</v>
      </c>
      <c r="C207" s="3271">
        <f t="shared" si="1739"/>
        <v>492.62180553483131</v>
      </c>
      <c r="D207" s="3271">
        <f t="shared" si="1739"/>
        <v>0.23819446516871493</v>
      </c>
      <c r="E207" s="3092">
        <f t="shared" ref="E207:G207" si="1740">SUM(E146)</f>
        <v>241.762</v>
      </c>
      <c r="F207" s="3092">
        <f t="shared" si="1740"/>
        <v>241.69</v>
      </c>
      <c r="G207" s="3092">
        <f t="shared" si="1740"/>
        <v>7.1999999999999995E-2</v>
      </c>
      <c r="H207" s="3092">
        <f t="shared" ref="H207:J207" si="1741">SUM(H146)</f>
        <v>212.63800000000001</v>
      </c>
      <c r="I207" s="3092">
        <f t="shared" si="1741"/>
        <v>212.58</v>
      </c>
      <c r="J207" s="3092">
        <f t="shared" si="1741"/>
        <v>5.8000000000000003E-2</v>
      </c>
      <c r="K207" s="3092">
        <f t="shared" ref="K207:M207" si="1742">SUM(K146)</f>
        <v>215.96</v>
      </c>
      <c r="L207" s="3092">
        <f t="shared" si="1742"/>
        <v>215.9</v>
      </c>
      <c r="M207" s="3092">
        <f t="shared" si="1742"/>
        <v>0.06</v>
      </c>
      <c r="N207" s="3092">
        <f t="shared" ref="N207:AB207" si="1743">SUM(N146)</f>
        <v>670.36</v>
      </c>
      <c r="O207" s="3092">
        <f t="shared" si="1743"/>
        <v>670.17</v>
      </c>
      <c r="P207" s="3092">
        <f t="shared" si="1743"/>
        <v>0.19</v>
      </c>
      <c r="Q207" s="3271">
        <f t="shared" si="1743"/>
        <v>492.86</v>
      </c>
      <c r="R207" s="3271">
        <f t="shared" si="1743"/>
        <v>492.62180553483131</v>
      </c>
      <c r="S207" s="3271">
        <f t="shared" si="1743"/>
        <v>0.23819446516871493</v>
      </c>
      <c r="T207" s="3092">
        <f t="shared" si="1743"/>
        <v>243.06</v>
      </c>
      <c r="U207" s="3092">
        <f t="shared" si="1743"/>
        <v>243</v>
      </c>
      <c r="V207" s="3092">
        <f t="shared" si="1743"/>
        <v>0.06</v>
      </c>
      <c r="W207" s="3092">
        <f t="shared" si="1743"/>
        <v>256.08</v>
      </c>
      <c r="X207" s="3092">
        <f t="shared" si="1743"/>
        <v>256</v>
      </c>
      <c r="Y207" s="3092">
        <f t="shared" si="1743"/>
        <v>0.08</v>
      </c>
      <c r="Z207" s="3092">
        <f t="shared" si="1743"/>
        <v>249.53</v>
      </c>
      <c r="AA207" s="3092">
        <f t="shared" si="1743"/>
        <v>249.43</v>
      </c>
      <c r="AB207" s="3092">
        <f t="shared" si="1743"/>
        <v>0.1</v>
      </c>
      <c r="AC207" s="3092">
        <f t="shared" ref="AC207:AE207" si="1744">SUM(AC146)</f>
        <v>748.67000000000007</v>
      </c>
      <c r="AD207" s="3092">
        <f t="shared" si="1744"/>
        <v>748.43000000000006</v>
      </c>
      <c r="AE207" s="3092">
        <f t="shared" si="1744"/>
        <v>0.24000000000000002</v>
      </c>
      <c r="AF207" s="3274">
        <f t="shared" ref="AF207:AK207" si="1745">SUM(AF146)</f>
        <v>985.72</v>
      </c>
      <c r="AG207" s="3274">
        <f t="shared" si="1745"/>
        <v>985.24361106966262</v>
      </c>
      <c r="AH207" s="3274">
        <f t="shared" si="1745"/>
        <v>0.47638893033742985</v>
      </c>
      <c r="AI207" s="3093">
        <f t="shared" si="1745"/>
        <v>1419.0300000000002</v>
      </c>
      <c r="AJ207" s="3093">
        <f t="shared" si="1745"/>
        <v>1418.6</v>
      </c>
      <c r="AK207" s="3093">
        <f t="shared" si="1745"/>
        <v>0.43000000000000005</v>
      </c>
      <c r="AL207" s="3068">
        <f t="shared" si="1455"/>
        <v>433.31000000000017</v>
      </c>
      <c r="AM207" s="3068">
        <f t="shared" si="1456"/>
        <v>433.35638893033729</v>
      </c>
      <c r="AN207" s="3068">
        <f t="shared" si="1457"/>
        <v>-4.6388930337429801E-2</v>
      </c>
      <c r="AO207" s="3271">
        <f t="shared" ref="AO207:BC207" si="1746">SUM(AO146)</f>
        <v>492.86</v>
      </c>
      <c r="AP207" s="3271">
        <f t="shared" si="1746"/>
        <v>492.62180553483131</v>
      </c>
      <c r="AQ207" s="3271">
        <f t="shared" si="1746"/>
        <v>0.23819446516871493</v>
      </c>
      <c r="AR207" s="3092">
        <f t="shared" si="1746"/>
        <v>280.399</v>
      </c>
      <c r="AS207" s="3092">
        <f t="shared" si="1746"/>
        <v>280.33</v>
      </c>
      <c r="AT207" s="3092">
        <f t="shared" si="1746"/>
        <v>6.9000000000000006E-2</v>
      </c>
      <c r="AU207" s="3092">
        <f t="shared" si="1746"/>
        <v>226.709</v>
      </c>
      <c r="AV207" s="3092">
        <f t="shared" si="1746"/>
        <v>226.66</v>
      </c>
      <c r="AW207" s="3092">
        <f t="shared" si="1746"/>
        <v>4.9000000000000002E-2</v>
      </c>
      <c r="AX207" s="3092">
        <f t="shared" si="1746"/>
        <v>223.54</v>
      </c>
      <c r="AY207" s="3092">
        <f t="shared" si="1746"/>
        <v>223.45</v>
      </c>
      <c r="AZ207" s="3092">
        <f t="shared" si="1746"/>
        <v>0.09</v>
      </c>
      <c r="BA207" s="3092">
        <f t="shared" si="1746"/>
        <v>730.64800000000002</v>
      </c>
      <c r="BB207" s="3092">
        <f t="shared" si="1746"/>
        <v>730.44</v>
      </c>
      <c r="BC207" s="3092">
        <f t="shared" si="1746"/>
        <v>0.20800000000000002</v>
      </c>
      <c r="BD207" s="3274">
        <f t="shared" ref="BD207:BI207" si="1747">SUM(BD146)</f>
        <v>1478.5800000000002</v>
      </c>
      <c r="BE207" s="3274">
        <f t="shared" si="1747"/>
        <v>1477.8654166044939</v>
      </c>
      <c r="BF207" s="3274">
        <f t="shared" si="1747"/>
        <v>0.7145833955061448</v>
      </c>
      <c r="BG207" s="3093">
        <f t="shared" si="1747"/>
        <v>2149.6780000000003</v>
      </c>
      <c r="BH207" s="3093">
        <f t="shared" si="1747"/>
        <v>2149.04</v>
      </c>
      <c r="BI207" s="3093">
        <f t="shared" si="1747"/>
        <v>0.63800000000000012</v>
      </c>
      <c r="BJ207" s="3068">
        <f t="shared" si="1460"/>
        <v>671.09800000000018</v>
      </c>
      <c r="BK207" s="3068">
        <f t="shared" si="1461"/>
        <v>671.17458339550603</v>
      </c>
      <c r="BL207" s="3068">
        <f t="shared" si="1462"/>
        <v>-7.658339550614468E-2</v>
      </c>
      <c r="BM207" s="3271">
        <f t="shared" ref="BM207:CA207" si="1748">SUM(BM146)</f>
        <v>492.86</v>
      </c>
      <c r="BN207" s="3271">
        <f t="shared" si="1748"/>
        <v>492.62180553483131</v>
      </c>
      <c r="BO207" s="3271">
        <f t="shared" si="1748"/>
        <v>0.23819446516871493</v>
      </c>
      <c r="BP207" s="3092">
        <f t="shared" si="1748"/>
        <v>0</v>
      </c>
      <c r="BQ207" s="3092">
        <f t="shared" si="1748"/>
        <v>0</v>
      </c>
      <c r="BR207" s="3092">
        <f t="shared" si="1748"/>
        <v>0</v>
      </c>
      <c r="BS207" s="3092">
        <f t="shared" si="1748"/>
        <v>0</v>
      </c>
      <c r="BT207" s="3092">
        <f t="shared" si="1748"/>
        <v>0</v>
      </c>
      <c r="BU207" s="3092">
        <f t="shared" si="1748"/>
        <v>0</v>
      </c>
      <c r="BV207" s="3092">
        <f t="shared" si="1748"/>
        <v>0</v>
      </c>
      <c r="BW207" s="3092">
        <f t="shared" si="1748"/>
        <v>0</v>
      </c>
      <c r="BX207" s="3092">
        <f t="shared" si="1748"/>
        <v>0</v>
      </c>
      <c r="BY207" s="3092">
        <f t="shared" si="1748"/>
        <v>0</v>
      </c>
      <c r="BZ207" s="3092">
        <f t="shared" si="1748"/>
        <v>0</v>
      </c>
      <c r="CA207" s="3092">
        <f t="shared" si="1748"/>
        <v>0</v>
      </c>
      <c r="CB207" s="3274">
        <f t="shared" ref="CB207:CD207" si="1749">SUM(CB146)</f>
        <v>1971.44</v>
      </c>
      <c r="CC207" s="3274">
        <f t="shared" si="1749"/>
        <v>1970.4872221393252</v>
      </c>
      <c r="CD207" s="3274">
        <f t="shared" si="1749"/>
        <v>0.9527778606748597</v>
      </c>
      <c r="CE207" s="3093">
        <f t="shared" ref="CE207:CG207" si="1750">SUM(CE146)</f>
        <v>2149.6780000000003</v>
      </c>
      <c r="CF207" s="3093">
        <f t="shared" si="1750"/>
        <v>2149.04</v>
      </c>
      <c r="CG207" s="3093">
        <f t="shared" si="1750"/>
        <v>0.63800000000000012</v>
      </c>
      <c r="CH207" s="3068">
        <f t="shared" si="1466"/>
        <v>178.23800000000028</v>
      </c>
      <c r="CI207" s="3068">
        <f t="shared" si="1467"/>
        <v>178.55277786067472</v>
      </c>
      <c r="CJ207" s="3068">
        <f t="shared" si="1468"/>
        <v>-0.31477786067485958</v>
      </c>
      <c r="CK207" s="3049"/>
      <c r="CL207" s="3049"/>
      <c r="CM207" s="3049"/>
      <c r="CN207" s="3049"/>
    </row>
    <row r="208" spans="1:92" ht="18.75" x14ac:dyDescent="0.3">
      <c r="A208" s="3079" t="s">
        <v>280</v>
      </c>
      <c r="B208" s="3271">
        <f t="shared" ref="B208:D208" si="1751">SUM(B147)</f>
        <v>3.8897500000000003</v>
      </c>
      <c r="C208" s="3271">
        <f t="shared" si="1751"/>
        <v>3.8878701214931422</v>
      </c>
      <c r="D208" s="3271">
        <f t="shared" si="1751"/>
        <v>1.8798785068579492E-3</v>
      </c>
      <c r="E208" s="3092">
        <f t="shared" ref="E208:G208" si="1752">SUM(E147)</f>
        <v>6.9219999999999997</v>
      </c>
      <c r="F208" s="3092">
        <f t="shared" si="1752"/>
        <v>6.92</v>
      </c>
      <c r="G208" s="3092">
        <f t="shared" si="1752"/>
        <v>2E-3</v>
      </c>
      <c r="H208" s="3092">
        <f t="shared" ref="H208:J208" si="1753">SUM(H147)</f>
        <v>6.1019999999999994</v>
      </c>
      <c r="I208" s="3092">
        <f t="shared" si="1753"/>
        <v>6.1</v>
      </c>
      <c r="J208" s="3092">
        <f t="shared" si="1753"/>
        <v>2E-3</v>
      </c>
      <c r="K208" s="3092">
        <f t="shared" ref="K208:M208" si="1754">SUM(K147)</f>
        <v>6.0019999999999998</v>
      </c>
      <c r="L208" s="3092">
        <f t="shared" si="1754"/>
        <v>6</v>
      </c>
      <c r="M208" s="3092">
        <f t="shared" si="1754"/>
        <v>2E-3</v>
      </c>
      <c r="N208" s="3092">
        <f t="shared" ref="N208:AB208" si="1755">SUM(N147)</f>
        <v>19.026</v>
      </c>
      <c r="O208" s="3092">
        <f t="shared" si="1755"/>
        <v>19.02</v>
      </c>
      <c r="P208" s="3092">
        <f t="shared" si="1755"/>
        <v>6.0000000000000001E-3</v>
      </c>
      <c r="Q208" s="3271">
        <f t="shared" si="1755"/>
        <v>3.8897500000000003</v>
      </c>
      <c r="R208" s="3271">
        <f t="shared" si="1755"/>
        <v>3.8878701214931422</v>
      </c>
      <c r="S208" s="3271">
        <f t="shared" si="1755"/>
        <v>1.8798785068579492E-3</v>
      </c>
      <c r="T208" s="3092">
        <f t="shared" si="1755"/>
        <v>6.1310000000000002</v>
      </c>
      <c r="U208" s="3092">
        <f t="shared" si="1755"/>
        <v>6.13</v>
      </c>
      <c r="V208" s="3092">
        <f t="shared" si="1755"/>
        <v>1E-3</v>
      </c>
      <c r="W208" s="3092">
        <f t="shared" si="1755"/>
        <v>5.9119999999999999</v>
      </c>
      <c r="X208" s="3092">
        <f t="shared" si="1755"/>
        <v>5.91</v>
      </c>
      <c r="Y208" s="3092">
        <f t="shared" si="1755"/>
        <v>2E-3</v>
      </c>
      <c r="Z208" s="3092">
        <f t="shared" si="1755"/>
        <v>4.6920000000000002</v>
      </c>
      <c r="AA208" s="3092">
        <f t="shared" si="1755"/>
        <v>4.6900000000000004</v>
      </c>
      <c r="AB208" s="3092">
        <f t="shared" si="1755"/>
        <v>2E-3</v>
      </c>
      <c r="AC208" s="3092">
        <f t="shared" ref="AC208:AE208" si="1756">SUM(AC147)</f>
        <v>16.734999999999999</v>
      </c>
      <c r="AD208" s="3092">
        <f t="shared" si="1756"/>
        <v>16.73</v>
      </c>
      <c r="AE208" s="3092">
        <f t="shared" si="1756"/>
        <v>5.0000000000000001E-3</v>
      </c>
      <c r="AF208" s="3274">
        <f t="shared" ref="AF208:AK208" si="1757">SUM(AF147)</f>
        <v>7.7795000000000005</v>
      </c>
      <c r="AG208" s="3274">
        <f t="shared" si="1757"/>
        <v>7.7757402429862843</v>
      </c>
      <c r="AH208" s="3274">
        <f t="shared" si="1757"/>
        <v>3.7597570137158985E-3</v>
      </c>
      <c r="AI208" s="3093">
        <f t="shared" si="1757"/>
        <v>35.760999999999996</v>
      </c>
      <c r="AJ208" s="3093">
        <f t="shared" si="1757"/>
        <v>35.75</v>
      </c>
      <c r="AK208" s="3093">
        <f t="shared" si="1757"/>
        <v>1.0999999999999999E-2</v>
      </c>
      <c r="AL208" s="3068">
        <f t="shared" si="1455"/>
        <v>27.981499999999997</v>
      </c>
      <c r="AM208" s="3068">
        <f t="shared" si="1456"/>
        <v>27.974259757013716</v>
      </c>
      <c r="AN208" s="3068">
        <f t="shared" si="1457"/>
        <v>7.2402429862841004E-3</v>
      </c>
      <c r="AO208" s="3271">
        <f t="shared" ref="AO208:BC208" si="1758">SUM(AO147)</f>
        <v>3.8897500000000003</v>
      </c>
      <c r="AP208" s="3271">
        <f t="shared" si="1758"/>
        <v>3.8878701214931422</v>
      </c>
      <c r="AQ208" s="3271">
        <f t="shared" si="1758"/>
        <v>1.8798785068579492E-3</v>
      </c>
      <c r="AR208" s="3092">
        <f t="shared" si="1758"/>
        <v>6.101</v>
      </c>
      <c r="AS208" s="3092">
        <f t="shared" si="1758"/>
        <v>6.1</v>
      </c>
      <c r="AT208" s="3092">
        <f t="shared" si="1758"/>
        <v>1E-3</v>
      </c>
      <c r="AU208" s="3092">
        <f t="shared" si="1758"/>
        <v>7.8719999999999999</v>
      </c>
      <c r="AV208" s="3092">
        <f t="shared" si="1758"/>
        <v>7.87</v>
      </c>
      <c r="AW208" s="3092">
        <f t="shared" si="1758"/>
        <v>2E-3</v>
      </c>
      <c r="AX208" s="3092">
        <f t="shared" si="1758"/>
        <v>7.0529999999999999</v>
      </c>
      <c r="AY208" s="3092">
        <f t="shared" si="1758"/>
        <v>7.05</v>
      </c>
      <c r="AZ208" s="3092">
        <f t="shared" si="1758"/>
        <v>3.0000000000000001E-3</v>
      </c>
      <c r="BA208" s="3092">
        <f t="shared" si="1758"/>
        <v>21.026</v>
      </c>
      <c r="BB208" s="3092">
        <f t="shared" si="1758"/>
        <v>21.02</v>
      </c>
      <c r="BC208" s="3092">
        <f t="shared" si="1758"/>
        <v>6.0000000000000001E-3</v>
      </c>
      <c r="BD208" s="3274">
        <f t="shared" ref="BD208:BI208" si="1759">SUM(BD147)</f>
        <v>11.66925</v>
      </c>
      <c r="BE208" s="3274">
        <f t="shared" si="1759"/>
        <v>11.663610364479426</v>
      </c>
      <c r="BF208" s="3274">
        <f t="shared" si="1759"/>
        <v>5.6396355205738475E-3</v>
      </c>
      <c r="BG208" s="3093">
        <f t="shared" si="1759"/>
        <v>56.786999999999992</v>
      </c>
      <c r="BH208" s="3093">
        <f t="shared" si="1759"/>
        <v>56.769999999999996</v>
      </c>
      <c r="BI208" s="3093">
        <f t="shared" si="1759"/>
        <v>1.7000000000000001E-2</v>
      </c>
      <c r="BJ208" s="3068">
        <f t="shared" si="1460"/>
        <v>45.117749999999994</v>
      </c>
      <c r="BK208" s="3068">
        <f t="shared" si="1461"/>
        <v>45.106389635520571</v>
      </c>
      <c r="BL208" s="3068">
        <f t="shared" si="1462"/>
        <v>1.1360364479426153E-2</v>
      </c>
      <c r="BM208" s="3271">
        <f t="shared" ref="BM208:CA208" si="1760">SUM(BM147)</f>
        <v>3.8897500000000003</v>
      </c>
      <c r="BN208" s="3271">
        <f t="shared" si="1760"/>
        <v>3.8878701214931422</v>
      </c>
      <c r="BO208" s="3271">
        <f t="shared" si="1760"/>
        <v>1.8798785068579492E-3</v>
      </c>
      <c r="BP208" s="3092">
        <f t="shared" si="1760"/>
        <v>0</v>
      </c>
      <c r="BQ208" s="3092">
        <f t="shared" si="1760"/>
        <v>0</v>
      </c>
      <c r="BR208" s="3092">
        <f t="shared" si="1760"/>
        <v>0</v>
      </c>
      <c r="BS208" s="3092">
        <f t="shared" si="1760"/>
        <v>0</v>
      </c>
      <c r="BT208" s="3092">
        <f t="shared" si="1760"/>
        <v>0</v>
      </c>
      <c r="BU208" s="3092">
        <f t="shared" si="1760"/>
        <v>0</v>
      </c>
      <c r="BV208" s="3092">
        <f t="shared" si="1760"/>
        <v>0</v>
      </c>
      <c r="BW208" s="3092">
        <f t="shared" si="1760"/>
        <v>0</v>
      </c>
      <c r="BX208" s="3092">
        <f t="shared" si="1760"/>
        <v>0</v>
      </c>
      <c r="BY208" s="3092">
        <f t="shared" si="1760"/>
        <v>0</v>
      </c>
      <c r="BZ208" s="3092">
        <f t="shared" si="1760"/>
        <v>0</v>
      </c>
      <c r="CA208" s="3092">
        <f t="shared" si="1760"/>
        <v>0</v>
      </c>
      <c r="CB208" s="3274">
        <f t="shared" ref="CB208:CD208" si="1761">SUM(CB147)</f>
        <v>15.559000000000001</v>
      </c>
      <c r="CC208" s="3274">
        <f t="shared" si="1761"/>
        <v>15.551480485972569</v>
      </c>
      <c r="CD208" s="3274">
        <f t="shared" si="1761"/>
        <v>7.519514027431797E-3</v>
      </c>
      <c r="CE208" s="3093">
        <f t="shared" ref="CE208:CG208" si="1762">SUM(CE147)</f>
        <v>56.786999999999992</v>
      </c>
      <c r="CF208" s="3093">
        <f t="shared" si="1762"/>
        <v>56.769999999999996</v>
      </c>
      <c r="CG208" s="3093">
        <f t="shared" si="1762"/>
        <v>1.7000000000000001E-2</v>
      </c>
      <c r="CH208" s="3068">
        <f t="shared" si="1466"/>
        <v>41.227999999999994</v>
      </c>
      <c r="CI208" s="3068">
        <f t="shared" si="1467"/>
        <v>41.218519514027427</v>
      </c>
      <c r="CJ208" s="3068">
        <f t="shared" si="1468"/>
        <v>9.4804859725682034E-3</v>
      </c>
      <c r="CK208" s="3049"/>
      <c r="CL208" s="3049"/>
      <c r="CM208" s="3049"/>
      <c r="CN208" s="3049"/>
    </row>
    <row r="209" spans="1:92" ht="18.75" x14ac:dyDescent="0.3">
      <c r="A209" s="3079" t="s">
        <v>1560</v>
      </c>
      <c r="B209" s="3271">
        <f t="shared" ref="B209:D209" si="1763">SUM(B148)</f>
        <v>16.1525</v>
      </c>
      <c r="C209" s="3271">
        <f t="shared" si="1763"/>
        <v>16.144693653169991</v>
      </c>
      <c r="D209" s="3271">
        <f t="shared" si="1763"/>
        <v>7.8063468300078476E-3</v>
      </c>
      <c r="E209" s="3092">
        <f t="shared" ref="E209:G209" si="1764">SUM(E148)</f>
        <v>11.503</v>
      </c>
      <c r="F209" s="3092">
        <f t="shared" si="1764"/>
        <v>11.5</v>
      </c>
      <c r="G209" s="3092">
        <f t="shared" si="1764"/>
        <v>3.0000000000000001E-3</v>
      </c>
      <c r="H209" s="3092">
        <f t="shared" ref="H209:J209" si="1765">SUM(H148)</f>
        <v>10.403</v>
      </c>
      <c r="I209" s="3092">
        <f t="shared" si="1765"/>
        <v>10.4</v>
      </c>
      <c r="J209" s="3092">
        <f t="shared" si="1765"/>
        <v>3.0000000000000001E-3</v>
      </c>
      <c r="K209" s="3092">
        <f t="shared" ref="K209:M209" si="1766">SUM(K148)</f>
        <v>8.4220000000000006</v>
      </c>
      <c r="L209" s="3092">
        <f t="shared" si="1766"/>
        <v>8.42</v>
      </c>
      <c r="M209" s="3092">
        <f t="shared" si="1766"/>
        <v>2E-3</v>
      </c>
      <c r="N209" s="3092">
        <f t="shared" ref="N209:AB209" si="1767">SUM(N148)</f>
        <v>30.327999999999999</v>
      </c>
      <c r="O209" s="3092">
        <f t="shared" si="1767"/>
        <v>30.32</v>
      </c>
      <c r="P209" s="3092">
        <f t="shared" si="1767"/>
        <v>8.0000000000000002E-3</v>
      </c>
      <c r="Q209" s="3271">
        <f t="shared" si="1767"/>
        <v>16.1525</v>
      </c>
      <c r="R209" s="3271">
        <f t="shared" si="1767"/>
        <v>16.144693653169991</v>
      </c>
      <c r="S209" s="3271">
        <f t="shared" si="1767"/>
        <v>7.8063468300078476E-3</v>
      </c>
      <c r="T209" s="3092">
        <f t="shared" si="1767"/>
        <v>6.4714999999999998</v>
      </c>
      <c r="U209" s="3092">
        <f t="shared" si="1767"/>
        <v>6.47</v>
      </c>
      <c r="V209" s="3092">
        <f t="shared" si="1767"/>
        <v>1.5E-3</v>
      </c>
      <c r="W209" s="3092">
        <f t="shared" si="1767"/>
        <v>2.4209999999999998</v>
      </c>
      <c r="X209" s="3092">
        <f t="shared" si="1767"/>
        <v>2.42</v>
      </c>
      <c r="Y209" s="3092">
        <f t="shared" si="1767"/>
        <v>1E-3</v>
      </c>
      <c r="Z209" s="3092">
        <f t="shared" si="1767"/>
        <v>0</v>
      </c>
      <c r="AA209" s="3092">
        <f t="shared" si="1767"/>
        <v>0</v>
      </c>
      <c r="AB209" s="3092">
        <f t="shared" si="1767"/>
        <v>0</v>
      </c>
      <c r="AC209" s="3092">
        <f t="shared" ref="AC209:AE209" si="1768">SUM(AC148)</f>
        <v>8.8925000000000001</v>
      </c>
      <c r="AD209" s="3092">
        <f t="shared" si="1768"/>
        <v>8.89</v>
      </c>
      <c r="AE209" s="3092">
        <f t="shared" si="1768"/>
        <v>2.5000000000000001E-3</v>
      </c>
      <c r="AF209" s="3274">
        <f t="shared" ref="AF209:AK209" si="1769">SUM(AF148)</f>
        <v>32.305</v>
      </c>
      <c r="AG209" s="3274">
        <f t="shared" si="1769"/>
        <v>32.289387306339982</v>
      </c>
      <c r="AH209" s="3274">
        <f t="shared" si="1769"/>
        <v>1.5612693660015695E-2</v>
      </c>
      <c r="AI209" s="3093">
        <f t="shared" si="1769"/>
        <v>39.220500000000001</v>
      </c>
      <c r="AJ209" s="3093">
        <f t="shared" si="1769"/>
        <v>39.21</v>
      </c>
      <c r="AK209" s="3093">
        <f t="shared" si="1769"/>
        <v>1.0500000000000001E-2</v>
      </c>
      <c r="AL209" s="3068">
        <f t="shared" si="1455"/>
        <v>6.9155000000000015</v>
      </c>
      <c r="AM209" s="3068">
        <f t="shared" si="1456"/>
        <v>6.9206126936600185</v>
      </c>
      <c r="AN209" s="3068">
        <f t="shared" si="1457"/>
        <v>-5.1126936600156946E-3</v>
      </c>
      <c r="AO209" s="3271">
        <f t="shared" ref="AO209:BC209" si="1770">SUM(AO148)</f>
        <v>16.1525</v>
      </c>
      <c r="AP209" s="3271">
        <f t="shared" si="1770"/>
        <v>16.144693653169991</v>
      </c>
      <c r="AQ209" s="3271">
        <f t="shared" si="1770"/>
        <v>7.8063468300078476E-3</v>
      </c>
      <c r="AR209" s="3092">
        <f t="shared" si="1770"/>
        <v>0</v>
      </c>
      <c r="AS209" s="3092">
        <f t="shared" si="1770"/>
        <v>0</v>
      </c>
      <c r="AT209" s="3092">
        <f t="shared" si="1770"/>
        <v>0</v>
      </c>
      <c r="AU209" s="3092">
        <f t="shared" si="1770"/>
        <v>0</v>
      </c>
      <c r="AV209" s="3092">
        <f t="shared" si="1770"/>
        <v>0</v>
      </c>
      <c r="AW209" s="3092">
        <f t="shared" si="1770"/>
        <v>0</v>
      </c>
      <c r="AX209" s="3092">
        <f t="shared" si="1770"/>
        <v>1.6606999999999998</v>
      </c>
      <c r="AY209" s="3092">
        <f t="shared" si="1770"/>
        <v>1.66</v>
      </c>
      <c r="AZ209" s="3092">
        <f t="shared" si="1770"/>
        <v>6.9999999999999999E-4</v>
      </c>
      <c r="BA209" s="3092">
        <f t="shared" si="1770"/>
        <v>1.6606999999999998</v>
      </c>
      <c r="BB209" s="3092">
        <f t="shared" si="1770"/>
        <v>1.66</v>
      </c>
      <c r="BC209" s="3092">
        <f t="shared" si="1770"/>
        <v>6.9999999999999999E-4</v>
      </c>
      <c r="BD209" s="3274">
        <f t="shared" ref="BD209:BI209" si="1771">SUM(BD148)</f>
        <v>48.457499999999996</v>
      </c>
      <c r="BE209" s="3274">
        <f t="shared" si="1771"/>
        <v>48.43408095950997</v>
      </c>
      <c r="BF209" s="3274">
        <f t="shared" si="1771"/>
        <v>2.3419040490023545E-2</v>
      </c>
      <c r="BG209" s="3093">
        <f t="shared" si="1771"/>
        <v>40.8812</v>
      </c>
      <c r="BH209" s="3093">
        <f t="shared" si="1771"/>
        <v>40.869999999999997</v>
      </c>
      <c r="BI209" s="3093">
        <f t="shared" si="1771"/>
        <v>1.12E-2</v>
      </c>
      <c r="BJ209" s="3068">
        <f t="shared" si="1460"/>
        <v>-7.5762999999999963</v>
      </c>
      <c r="BK209" s="3068">
        <f t="shared" si="1461"/>
        <v>-7.5640809595099725</v>
      </c>
      <c r="BL209" s="3068">
        <f t="shared" si="1462"/>
        <v>-1.2219040490023545E-2</v>
      </c>
      <c r="BM209" s="3271">
        <f t="shared" ref="BM209:CA209" si="1772">SUM(BM148)</f>
        <v>16.1525</v>
      </c>
      <c r="BN209" s="3271">
        <f t="shared" si="1772"/>
        <v>16.144693653169991</v>
      </c>
      <c r="BO209" s="3271">
        <f t="shared" si="1772"/>
        <v>7.8063468300078476E-3</v>
      </c>
      <c r="BP209" s="3092">
        <f t="shared" si="1772"/>
        <v>0</v>
      </c>
      <c r="BQ209" s="3092">
        <f t="shared" si="1772"/>
        <v>0</v>
      </c>
      <c r="BR209" s="3092">
        <f t="shared" si="1772"/>
        <v>0</v>
      </c>
      <c r="BS209" s="3092">
        <f t="shared" si="1772"/>
        <v>0</v>
      </c>
      <c r="BT209" s="3092">
        <f t="shared" si="1772"/>
        <v>0</v>
      </c>
      <c r="BU209" s="3092">
        <f t="shared" si="1772"/>
        <v>0</v>
      </c>
      <c r="BV209" s="3092">
        <f t="shared" si="1772"/>
        <v>0</v>
      </c>
      <c r="BW209" s="3092">
        <f t="shared" si="1772"/>
        <v>0</v>
      </c>
      <c r="BX209" s="3092">
        <f t="shared" si="1772"/>
        <v>0</v>
      </c>
      <c r="BY209" s="3092">
        <f t="shared" si="1772"/>
        <v>0</v>
      </c>
      <c r="BZ209" s="3092">
        <f t="shared" si="1772"/>
        <v>0</v>
      </c>
      <c r="CA209" s="3092">
        <f t="shared" si="1772"/>
        <v>0</v>
      </c>
      <c r="CB209" s="3274">
        <f t="shared" ref="CB209:CD209" si="1773">SUM(CB148)</f>
        <v>64.61</v>
      </c>
      <c r="CC209" s="3274">
        <f t="shared" si="1773"/>
        <v>64.578774612679965</v>
      </c>
      <c r="CD209" s="3274">
        <f t="shared" si="1773"/>
        <v>3.1225387320031391E-2</v>
      </c>
      <c r="CE209" s="3093">
        <f t="shared" ref="CE209:CG209" si="1774">SUM(CE148)</f>
        <v>40.8812</v>
      </c>
      <c r="CF209" s="3093">
        <f t="shared" si="1774"/>
        <v>40.869999999999997</v>
      </c>
      <c r="CG209" s="3093">
        <f t="shared" si="1774"/>
        <v>1.12E-2</v>
      </c>
      <c r="CH209" s="3068">
        <f t="shared" si="1466"/>
        <v>-23.7288</v>
      </c>
      <c r="CI209" s="3068">
        <f t="shared" si="1467"/>
        <v>-23.708774612679967</v>
      </c>
      <c r="CJ209" s="3068">
        <f t="shared" si="1468"/>
        <v>-2.0025387320031389E-2</v>
      </c>
      <c r="CK209" s="3049"/>
      <c r="CL209" s="3049"/>
      <c r="CM209" s="3049"/>
      <c r="CN209" s="3049"/>
    </row>
    <row r="210" spans="1:92" ht="18.75" x14ac:dyDescent="0.3">
      <c r="A210" s="3079" t="s">
        <v>281</v>
      </c>
      <c r="B210" s="3271">
        <f t="shared" ref="B210:D210" si="1775">SUM(B149)</f>
        <v>19.079999999999998</v>
      </c>
      <c r="C210" s="3271">
        <f t="shared" si="1775"/>
        <v>19.070778820769753</v>
      </c>
      <c r="D210" s="3271">
        <f t="shared" si="1775"/>
        <v>9.2211792302460752E-3</v>
      </c>
      <c r="E210" s="3092">
        <f t="shared" ref="E210:G210" si="1776">SUM(E149)</f>
        <v>6.2519999999999998</v>
      </c>
      <c r="F210" s="3092">
        <f t="shared" si="1776"/>
        <v>6.25</v>
      </c>
      <c r="G210" s="3092">
        <f t="shared" si="1776"/>
        <v>2E-3</v>
      </c>
      <c r="H210" s="3092">
        <f t="shared" ref="H210:J210" si="1777">SUM(H149)</f>
        <v>9.0120000000000005</v>
      </c>
      <c r="I210" s="3092">
        <f t="shared" si="1777"/>
        <v>9.01</v>
      </c>
      <c r="J210" s="3092">
        <f t="shared" si="1777"/>
        <v>2E-3</v>
      </c>
      <c r="K210" s="3092">
        <f t="shared" ref="K210:M210" si="1778">SUM(K149)</f>
        <v>9.2620000000000005</v>
      </c>
      <c r="L210" s="3092">
        <f t="shared" si="1778"/>
        <v>9.26</v>
      </c>
      <c r="M210" s="3092">
        <f t="shared" si="1778"/>
        <v>2E-3</v>
      </c>
      <c r="N210" s="3092">
        <f t="shared" ref="N210:AB210" si="1779">SUM(N149)</f>
        <v>24.526</v>
      </c>
      <c r="O210" s="3092">
        <f t="shared" si="1779"/>
        <v>24.52</v>
      </c>
      <c r="P210" s="3092">
        <f t="shared" si="1779"/>
        <v>6.0000000000000001E-3</v>
      </c>
      <c r="Q210" s="3271">
        <f t="shared" si="1779"/>
        <v>19.079999999999998</v>
      </c>
      <c r="R210" s="3271">
        <f t="shared" si="1779"/>
        <v>19.070778820769753</v>
      </c>
      <c r="S210" s="3271">
        <f t="shared" si="1779"/>
        <v>9.2211792302460752E-3</v>
      </c>
      <c r="T210" s="3092">
        <f t="shared" si="1779"/>
        <v>8.9620000000000015</v>
      </c>
      <c r="U210" s="3092">
        <f t="shared" si="1779"/>
        <v>8.9600000000000009</v>
      </c>
      <c r="V210" s="3092">
        <f t="shared" si="1779"/>
        <v>2E-3</v>
      </c>
      <c r="W210" s="3092">
        <f t="shared" si="1779"/>
        <v>9.2220000000000013</v>
      </c>
      <c r="X210" s="3092">
        <f t="shared" si="1779"/>
        <v>9.2200000000000006</v>
      </c>
      <c r="Y210" s="3092">
        <f t="shared" si="1779"/>
        <v>2E-3</v>
      </c>
      <c r="Z210" s="3092">
        <f t="shared" si="1779"/>
        <v>9.3040000000000003</v>
      </c>
      <c r="AA210" s="3092">
        <f t="shared" si="1779"/>
        <v>9.3000000000000007</v>
      </c>
      <c r="AB210" s="3092">
        <f t="shared" si="1779"/>
        <v>4.0000000000000001E-3</v>
      </c>
      <c r="AC210" s="3092">
        <f t="shared" ref="AC210:AE210" si="1780">SUM(AC149)</f>
        <v>27.488</v>
      </c>
      <c r="AD210" s="3092">
        <f t="shared" si="1780"/>
        <v>27.48</v>
      </c>
      <c r="AE210" s="3092">
        <f t="shared" si="1780"/>
        <v>8.0000000000000002E-3</v>
      </c>
      <c r="AF210" s="3274">
        <f t="shared" ref="AF210:AK210" si="1781">SUM(AF149)</f>
        <v>38.159999999999997</v>
      </c>
      <c r="AG210" s="3274">
        <f t="shared" si="1781"/>
        <v>38.141557641539507</v>
      </c>
      <c r="AH210" s="3274">
        <f t="shared" si="1781"/>
        <v>1.844235846049215E-2</v>
      </c>
      <c r="AI210" s="3093">
        <f t="shared" si="1781"/>
        <v>52.013999999999996</v>
      </c>
      <c r="AJ210" s="3093">
        <f t="shared" si="1781"/>
        <v>52</v>
      </c>
      <c r="AK210" s="3093">
        <f t="shared" si="1781"/>
        <v>1.4E-2</v>
      </c>
      <c r="AL210" s="3068">
        <f t="shared" si="1455"/>
        <v>13.853999999999999</v>
      </c>
      <c r="AM210" s="3068">
        <f t="shared" si="1456"/>
        <v>13.858442358460493</v>
      </c>
      <c r="AN210" s="3068">
        <f t="shared" si="1457"/>
        <v>-4.44235846049215E-3</v>
      </c>
      <c r="AO210" s="3271">
        <f t="shared" ref="AO210:BC210" si="1782">SUM(AO149)</f>
        <v>19.079999999999998</v>
      </c>
      <c r="AP210" s="3271">
        <f t="shared" si="1782"/>
        <v>19.070778820769753</v>
      </c>
      <c r="AQ210" s="3271">
        <f t="shared" si="1782"/>
        <v>9.2211792302460752E-3</v>
      </c>
      <c r="AR210" s="3092">
        <f t="shared" si="1782"/>
        <v>9.6020000000000003</v>
      </c>
      <c r="AS210" s="3092">
        <f t="shared" si="1782"/>
        <v>9.6</v>
      </c>
      <c r="AT210" s="3092">
        <f t="shared" si="1782"/>
        <v>2E-3</v>
      </c>
      <c r="AU210" s="3092">
        <f t="shared" si="1782"/>
        <v>9.2720000000000002</v>
      </c>
      <c r="AV210" s="3092">
        <f t="shared" si="1782"/>
        <v>9.27</v>
      </c>
      <c r="AW210" s="3092">
        <f t="shared" si="1782"/>
        <v>2E-3</v>
      </c>
      <c r="AX210" s="3092">
        <f t="shared" si="1782"/>
        <v>9.1839999999999993</v>
      </c>
      <c r="AY210" s="3092">
        <f t="shared" si="1782"/>
        <v>9.18</v>
      </c>
      <c r="AZ210" s="3092">
        <f t="shared" si="1782"/>
        <v>4.0000000000000001E-3</v>
      </c>
      <c r="BA210" s="3092">
        <f t="shared" si="1782"/>
        <v>28.057999999999996</v>
      </c>
      <c r="BB210" s="3092">
        <f t="shared" si="1782"/>
        <v>28.049999999999997</v>
      </c>
      <c r="BC210" s="3092">
        <f t="shared" si="1782"/>
        <v>8.0000000000000002E-3</v>
      </c>
      <c r="BD210" s="3274">
        <f t="shared" ref="BD210:BI210" si="1783">SUM(BD149)</f>
        <v>57.239999999999995</v>
      </c>
      <c r="BE210" s="3274">
        <f t="shared" si="1783"/>
        <v>57.21233646230926</v>
      </c>
      <c r="BF210" s="3274">
        <f t="shared" si="1783"/>
        <v>2.7663537690738225E-2</v>
      </c>
      <c r="BG210" s="3093">
        <f t="shared" si="1783"/>
        <v>80.071999999999989</v>
      </c>
      <c r="BH210" s="3093">
        <f t="shared" si="1783"/>
        <v>80.05</v>
      </c>
      <c r="BI210" s="3093">
        <f t="shared" si="1783"/>
        <v>2.1999999999999999E-2</v>
      </c>
      <c r="BJ210" s="3068">
        <f t="shared" si="1460"/>
        <v>22.831999999999994</v>
      </c>
      <c r="BK210" s="3068">
        <f t="shared" si="1461"/>
        <v>22.837663537690737</v>
      </c>
      <c r="BL210" s="3068">
        <f t="shared" si="1462"/>
        <v>-5.6635376907382268E-3</v>
      </c>
      <c r="BM210" s="3271">
        <f t="shared" ref="BM210:CA210" si="1784">SUM(BM149)</f>
        <v>19.079999999999998</v>
      </c>
      <c r="BN210" s="3271">
        <f t="shared" si="1784"/>
        <v>19.070778820769753</v>
      </c>
      <c r="BO210" s="3271">
        <f t="shared" si="1784"/>
        <v>9.2211792302460752E-3</v>
      </c>
      <c r="BP210" s="3092">
        <f t="shared" si="1784"/>
        <v>0</v>
      </c>
      <c r="BQ210" s="3092">
        <f t="shared" si="1784"/>
        <v>0</v>
      </c>
      <c r="BR210" s="3092">
        <f t="shared" si="1784"/>
        <v>0</v>
      </c>
      <c r="BS210" s="3092">
        <f t="shared" si="1784"/>
        <v>0</v>
      </c>
      <c r="BT210" s="3092">
        <f t="shared" si="1784"/>
        <v>0</v>
      </c>
      <c r="BU210" s="3092">
        <f t="shared" si="1784"/>
        <v>0</v>
      </c>
      <c r="BV210" s="3092">
        <f t="shared" si="1784"/>
        <v>0</v>
      </c>
      <c r="BW210" s="3092">
        <f t="shared" si="1784"/>
        <v>0</v>
      </c>
      <c r="BX210" s="3092">
        <f t="shared" si="1784"/>
        <v>0</v>
      </c>
      <c r="BY210" s="3092">
        <f t="shared" si="1784"/>
        <v>0</v>
      </c>
      <c r="BZ210" s="3092">
        <f t="shared" si="1784"/>
        <v>0</v>
      </c>
      <c r="CA210" s="3092">
        <f t="shared" si="1784"/>
        <v>0</v>
      </c>
      <c r="CB210" s="3274">
        <f t="shared" ref="CB210:CD210" si="1785">SUM(CB149)</f>
        <v>76.319999999999993</v>
      </c>
      <c r="CC210" s="3274">
        <f t="shared" si="1785"/>
        <v>76.283115283079013</v>
      </c>
      <c r="CD210" s="3274">
        <f t="shared" si="1785"/>
        <v>3.6884716920984301E-2</v>
      </c>
      <c r="CE210" s="3093">
        <f t="shared" ref="CE210:CG210" si="1786">SUM(CE149)</f>
        <v>80.071999999999989</v>
      </c>
      <c r="CF210" s="3093">
        <f t="shared" si="1786"/>
        <v>80.05</v>
      </c>
      <c r="CG210" s="3093">
        <f t="shared" si="1786"/>
        <v>2.1999999999999999E-2</v>
      </c>
      <c r="CH210" s="3068">
        <f t="shared" si="1466"/>
        <v>3.7519999999999953</v>
      </c>
      <c r="CI210" s="3068">
        <f t="shared" si="1467"/>
        <v>3.766884716920984</v>
      </c>
      <c r="CJ210" s="3068">
        <f t="shared" si="1468"/>
        <v>-1.4884716920984302E-2</v>
      </c>
      <c r="CK210" s="3049"/>
      <c r="CL210" s="3049"/>
      <c r="CM210" s="3049"/>
      <c r="CN210" s="3049"/>
    </row>
    <row r="211" spans="1:92" ht="18.75" x14ac:dyDescent="0.3">
      <c r="A211" s="3073" t="s">
        <v>3607</v>
      </c>
      <c r="B211" s="3271">
        <f t="shared" ref="B211:D211" si="1787">SUM(B150)</f>
        <v>408.07249999999999</v>
      </c>
      <c r="C211" s="3271">
        <f t="shared" si="1787"/>
        <v>407.87528251250342</v>
      </c>
      <c r="D211" s="3271">
        <f t="shared" si="1787"/>
        <v>0.19721748749657189</v>
      </c>
      <c r="E211" s="3092">
        <f t="shared" ref="E211:G211" si="1788">SUM(E150)</f>
        <v>201.18</v>
      </c>
      <c r="F211" s="3092">
        <f t="shared" si="1788"/>
        <v>201.12</v>
      </c>
      <c r="G211" s="3092">
        <f t="shared" si="1788"/>
        <v>0.06</v>
      </c>
      <c r="H211" s="3092">
        <f t="shared" ref="H211:J211" si="1789">SUM(H150)</f>
        <v>180.71</v>
      </c>
      <c r="I211" s="3092">
        <f t="shared" si="1789"/>
        <v>180.66</v>
      </c>
      <c r="J211" s="3092">
        <f t="shared" si="1789"/>
        <v>0.05</v>
      </c>
      <c r="K211" s="3092">
        <f t="shared" ref="K211:M211" si="1790">SUM(K150)</f>
        <v>268.72000000000003</v>
      </c>
      <c r="L211" s="3092">
        <f t="shared" si="1790"/>
        <v>268.66000000000003</v>
      </c>
      <c r="M211" s="3092">
        <f t="shared" si="1790"/>
        <v>0.06</v>
      </c>
      <c r="N211" s="3092">
        <f t="shared" ref="N211:AB211" si="1791">SUM(N150)</f>
        <v>650.61</v>
      </c>
      <c r="O211" s="3092">
        <f t="shared" si="1791"/>
        <v>650.44000000000005</v>
      </c>
      <c r="P211" s="3092">
        <f t="shared" si="1791"/>
        <v>0.16999999999999998</v>
      </c>
      <c r="Q211" s="3271">
        <f t="shared" si="1791"/>
        <v>408.07249999999999</v>
      </c>
      <c r="R211" s="3271">
        <f t="shared" si="1791"/>
        <v>407.87528251250342</v>
      </c>
      <c r="S211" s="3271">
        <f t="shared" si="1791"/>
        <v>0.19721748749657189</v>
      </c>
      <c r="T211" s="3092">
        <f t="shared" si="1791"/>
        <v>290.21299999999997</v>
      </c>
      <c r="U211" s="3092">
        <f t="shared" si="1791"/>
        <v>290.14999999999998</v>
      </c>
      <c r="V211" s="3092">
        <f t="shared" si="1791"/>
        <v>6.3E-2</v>
      </c>
      <c r="W211" s="3092">
        <f t="shared" si="1791"/>
        <v>193.16399999999999</v>
      </c>
      <c r="X211" s="3092">
        <f t="shared" si="1791"/>
        <v>193.1</v>
      </c>
      <c r="Y211" s="3092">
        <f t="shared" si="1791"/>
        <v>6.4000000000000001E-2</v>
      </c>
      <c r="Z211" s="3092">
        <f t="shared" si="1791"/>
        <v>241.34</v>
      </c>
      <c r="AA211" s="3092">
        <f t="shared" si="1791"/>
        <v>241.25</v>
      </c>
      <c r="AB211" s="3092">
        <f t="shared" si="1791"/>
        <v>0.09</v>
      </c>
      <c r="AC211" s="3092">
        <f t="shared" ref="AC211:AE211" si="1792">SUM(AC150)</f>
        <v>724.71699999999998</v>
      </c>
      <c r="AD211" s="3092">
        <f t="shared" si="1792"/>
        <v>724.5</v>
      </c>
      <c r="AE211" s="3092">
        <f t="shared" si="1792"/>
        <v>0.217</v>
      </c>
      <c r="AF211" s="3274">
        <f t="shared" ref="AF211:AK211" si="1793">SUM(AF150)</f>
        <v>816.14499999999998</v>
      </c>
      <c r="AG211" s="3274">
        <f t="shared" si="1793"/>
        <v>815.75056502500684</v>
      </c>
      <c r="AH211" s="3274">
        <f t="shared" si="1793"/>
        <v>0.39443497499314378</v>
      </c>
      <c r="AI211" s="3093">
        <f t="shared" si="1793"/>
        <v>1375.327</v>
      </c>
      <c r="AJ211" s="3093">
        <f t="shared" si="1793"/>
        <v>1374.94</v>
      </c>
      <c r="AK211" s="3093">
        <f t="shared" si="1793"/>
        <v>0.38700000000000001</v>
      </c>
      <c r="AL211" s="3068">
        <f t="shared" si="1455"/>
        <v>559.18200000000002</v>
      </c>
      <c r="AM211" s="3068">
        <f t="shared" si="1456"/>
        <v>559.18943497499322</v>
      </c>
      <c r="AN211" s="3068">
        <f t="shared" si="1457"/>
        <v>-7.4349749931437725E-3</v>
      </c>
      <c r="AO211" s="3271">
        <f t="shared" ref="AO211:BC211" si="1794">SUM(AO150)</f>
        <v>408.07249999999999</v>
      </c>
      <c r="AP211" s="3271">
        <f t="shared" si="1794"/>
        <v>407.87528251250342</v>
      </c>
      <c r="AQ211" s="3271">
        <f t="shared" si="1794"/>
        <v>0.19721748749657189</v>
      </c>
      <c r="AR211" s="3092">
        <f t="shared" si="1794"/>
        <v>236.32</v>
      </c>
      <c r="AS211" s="3092">
        <f t="shared" si="1794"/>
        <v>236.26</v>
      </c>
      <c r="AT211" s="3092">
        <f t="shared" si="1794"/>
        <v>0.06</v>
      </c>
      <c r="AU211" s="3092">
        <f t="shared" si="1794"/>
        <v>270.37900000000002</v>
      </c>
      <c r="AV211" s="3092">
        <f t="shared" si="1794"/>
        <v>270.32</v>
      </c>
      <c r="AW211" s="3092">
        <f t="shared" si="1794"/>
        <v>5.8999999999999997E-2</v>
      </c>
      <c r="AX211" s="3092">
        <f t="shared" si="1794"/>
        <v>202.82499999999999</v>
      </c>
      <c r="AY211" s="3092">
        <f t="shared" si="1794"/>
        <v>202.75</v>
      </c>
      <c r="AZ211" s="3092">
        <f t="shared" si="1794"/>
        <v>7.4999999999999997E-2</v>
      </c>
      <c r="BA211" s="3092">
        <f t="shared" si="1794"/>
        <v>709.52399999999989</v>
      </c>
      <c r="BB211" s="3092">
        <f t="shared" si="1794"/>
        <v>709.32999999999993</v>
      </c>
      <c r="BC211" s="3092">
        <f t="shared" si="1794"/>
        <v>0.19400000000000001</v>
      </c>
      <c r="BD211" s="3274">
        <f t="shared" ref="BD211:BI211" si="1795">SUM(BD150)</f>
        <v>1224.2175</v>
      </c>
      <c r="BE211" s="3274">
        <f t="shared" si="1795"/>
        <v>1223.6258475375103</v>
      </c>
      <c r="BF211" s="3274">
        <f t="shared" si="1795"/>
        <v>0.5916524624897157</v>
      </c>
      <c r="BG211" s="3093">
        <f t="shared" si="1795"/>
        <v>2084.8509999999997</v>
      </c>
      <c r="BH211" s="3093">
        <f t="shared" si="1795"/>
        <v>2084.27</v>
      </c>
      <c r="BI211" s="3093">
        <f t="shared" si="1795"/>
        <v>0.58099999999999996</v>
      </c>
      <c r="BJ211" s="3068">
        <f t="shared" si="1460"/>
        <v>860.63349999999969</v>
      </c>
      <c r="BK211" s="3068">
        <f t="shared" si="1461"/>
        <v>860.64415246248973</v>
      </c>
      <c r="BL211" s="3068">
        <f t="shared" si="1462"/>
        <v>-1.0652462489715742E-2</v>
      </c>
      <c r="BM211" s="3271">
        <f t="shared" ref="BM211:CA211" si="1796">SUM(BM150)</f>
        <v>408.07249999999999</v>
      </c>
      <c r="BN211" s="3271">
        <f t="shared" si="1796"/>
        <v>407.87528251250342</v>
      </c>
      <c r="BO211" s="3271">
        <f t="shared" si="1796"/>
        <v>0.19721748749657189</v>
      </c>
      <c r="BP211" s="3092">
        <f t="shared" si="1796"/>
        <v>0</v>
      </c>
      <c r="BQ211" s="3092">
        <f t="shared" si="1796"/>
        <v>0</v>
      </c>
      <c r="BR211" s="3092">
        <f t="shared" si="1796"/>
        <v>0</v>
      </c>
      <c r="BS211" s="3092">
        <f t="shared" si="1796"/>
        <v>0</v>
      </c>
      <c r="BT211" s="3092">
        <f t="shared" si="1796"/>
        <v>0</v>
      </c>
      <c r="BU211" s="3092">
        <f t="shared" si="1796"/>
        <v>0</v>
      </c>
      <c r="BV211" s="3092">
        <f t="shared" si="1796"/>
        <v>0</v>
      </c>
      <c r="BW211" s="3092">
        <f t="shared" si="1796"/>
        <v>0</v>
      </c>
      <c r="BX211" s="3092">
        <f t="shared" si="1796"/>
        <v>0</v>
      </c>
      <c r="BY211" s="3092">
        <f t="shared" si="1796"/>
        <v>0</v>
      </c>
      <c r="BZ211" s="3092">
        <f t="shared" si="1796"/>
        <v>0</v>
      </c>
      <c r="CA211" s="3092">
        <f t="shared" si="1796"/>
        <v>0</v>
      </c>
      <c r="CB211" s="3274">
        <f t="shared" ref="CB211:CD211" si="1797">SUM(CB150)</f>
        <v>1632.29</v>
      </c>
      <c r="CC211" s="3274">
        <f t="shared" si="1797"/>
        <v>1631.5011300500137</v>
      </c>
      <c r="CD211" s="3274">
        <f t="shared" si="1797"/>
        <v>0.78886994998628757</v>
      </c>
      <c r="CE211" s="3093">
        <f t="shared" ref="CE211:CG211" si="1798">SUM(CE150)</f>
        <v>2084.8509999999997</v>
      </c>
      <c r="CF211" s="3093">
        <f t="shared" si="1798"/>
        <v>2084.27</v>
      </c>
      <c r="CG211" s="3093">
        <f t="shared" si="1798"/>
        <v>0.58099999999999996</v>
      </c>
      <c r="CH211" s="3068">
        <f t="shared" si="1466"/>
        <v>452.56099999999969</v>
      </c>
      <c r="CI211" s="3068">
        <f t="shared" si="1467"/>
        <v>452.76886994998631</v>
      </c>
      <c r="CJ211" s="3068">
        <f t="shared" si="1468"/>
        <v>-0.20786994998628761</v>
      </c>
      <c r="CK211" s="3049"/>
      <c r="CL211" s="3049"/>
      <c r="CM211" s="3049"/>
      <c r="CN211" s="3049"/>
    </row>
    <row r="212" spans="1:92" ht="18.75" x14ac:dyDescent="0.3">
      <c r="A212" s="3059" t="s">
        <v>3608</v>
      </c>
      <c r="B212" s="3270">
        <f t="shared" ref="B212:D212" si="1799">SUM(B151)</f>
        <v>0</v>
      </c>
      <c r="C212" s="3270">
        <f t="shared" si="1799"/>
        <v>0</v>
      </c>
      <c r="D212" s="3270">
        <f t="shared" si="1799"/>
        <v>0</v>
      </c>
      <c r="E212" s="3088">
        <f t="shared" ref="E212:G212" si="1800">SUM(E151)</f>
        <v>0</v>
      </c>
      <c r="F212" s="3088">
        <f t="shared" si="1800"/>
        <v>0</v>
      </c>
      <c r="G212" s="3088">
        <f t="shared" si="1800"/>
        <v>0</v>
      </c>
      <c r="H212" s="3088">
        <f t="shared" ref="H212:J212" si="1801">SUM(H151)</f>
        <v>0</v>
      </c>
      <c r="I212" s="3088">
        <f t="shared" si="1801"/>
        <v>0</v>
      </c>
      <c r="J212" s="3088">
        <f t="shared" si="1801"/>
        <v>0</v>
      </c>
      <c r="K212" s="3088">
        <f t="shared" ref="K212:M212" si="1802">SUM(K151)</f>
        <v>0</v>
      </c>
      <c r="L212" s="3088">
        <f t="shared" si="1802"/>
        <v>0</v>
      </c>
      <c r="M212" s="3088">
        <f t="shared" si="1802"/>
        <v>0</v>
      </c>
      <c r="N212" s="3088">
        <f t="shared" ref="N212:AB212" si="1803">SUM(N151)</f>
        <v>0</v>
      </c>
      <c r="O212" s="3088">
        <f t="shared" si="1803"/>
        <v>0</v>
      </c>
      <c r="P212" s="3088">
        <f t="shared" si="1803"/>
        <v>0</v>
      </c>
      <c r="Q212" s="3270">
        <f t="shared" si="1803"/>
        <v>0</v>
      </c>
      <c r="R212" s="3270">
        <f t="shared" si="1803"/>
        <v>0</v>
      </c>
      <c r="S212" s="3270">
        <f t="shared" si="1803"/>
        <v>0</v>
      </c>
      <c r="T212" s="3088">
        <f t="shared" si="1803"/>
        <v>0</v>
      </c>
      <c r="U212" s="3088">
        <f t="shared" si="1803"/>
        <v>0</v>
      </c>
      <c r="V212" s="3088">
        <f t="shared" si="1803"/>
        <v>0</v>
      </c>
      <c r="W212" s="3088">
        <f t="shared" si="1803"/>
        <v>0</v>
      </c>
      <c r="X212" s="3088">
        <f t="shared" si="1803"/>
        <v>0</v>
      </c>
      <c r="Y212" s="3088">
        <f t="shared" si="1803"/>
        <v>0</v>
      </c>
      <c r="Z212" s="3088">
        <f t="shared" si="1803"/>
        <v>0</v>
      </c>
      <c r="AA212" s="3088">
        <f t="shared" si="1803"/>
        <v>0</v>
      </c>
      <c r="AB212" s="3088">
        <f t="shared" si="1803"/>
        <v>0</v>
      </c>
      <c r="AC212" s="3088">
        <f t="shared" ref="AC212:AE212" si="1804">SUM(AC151)</f>
        <v>0</v>
      </c>
      <c r="AD212" s="3088">
        <f t="shared" si="1804"/>
        <v>0</v>
      </c>
      <c r="AE212" s="3088">
        <f t="shared" si="1804"/>
        <v>0</v>
      </c>
      <c r="AF212" s="3273">
        <f t="shared" ref="AF212:AK212" si="1805">SUM(AF151)</f>
        <v>0</v>
      </c>
      <c r="AG212" s="3273">
        <f t="shared" si="1805"/>
        <v>0</v>
      </c>
      <c r="AH212" s="3273">
        <f t="shared" si="1805"/>
        <v>0</v>
      </c>
      <c r="AI212" s="3089">
        <f t="shared" si="1805"/>
        <v>0</v>
      </c>
      <c r="AJ212" s="3089">
        <f t="shared" si="1805"/>
        <v>0</v>
      </c>
      <c r="AK212" s="3089">
        <f t="shared" si="1805"/>
        <v>0</v>
      </c>
      <c r="AL212" s="3062">
        <f t="shared" si="1455"/>
        <v>0</v>
      </c>
      <c r="AM212" s="3062">
        <f t="shared" si="1456"/>
        <v>0</v>
      </c>
      <c r="AN212" s="3062">
        <f t="shared" si="1457"/>
        <v>0</v>
      </c>
      <c r="AO212" s="3270">
        <f t="shared" ref="AO212:BC212" si="1806">SUM(AO151)</f>
        <v>0</v>
      </c>
      <c r="AP212" s="3270">
        <f t="shared" si="1806"/>
        <v>0</v>
      </c>
      <c r="AQ212" s="3270">
        <f t="shared" si="1806"/>
        <v>0</v>
      </c>
      <c r="AR212" s="3088">
        <f t="shared" si="1806"/>
        <v>0</v>
      </c>
      <c r="AS212" s="3088">
        <f t="shared" si="1806"/>
        <v>0</v>
      </c>
      <c r="AT212" s="3088">
        <f t="shared" si="1806"/>
        <v>0</v>
      </c>
      <c r="AU212" s="3088">
        <f t="shared" si="1806"/>
        <v>0</v>
      </c>
      <c r="AV212" s="3088">
        <f t="shared" si="1806"/>
        <v>0</v>
      </c>
      <c r="AW212" s="3088">
        <f t="shared" si="1806"/>
        <v>0</v>
      </c>
      <c r="AX212" s="3088">
        <f t="shared" si="1806"/>
        <v>0</v>
      </c>
      <c r="AY212" s="3088">
        <f t="shared" si="1806"/>
        <v>0</v>
      </c>
      <c r="AZ212" s="3088">
        <f t="shared" si="1806"/>
        <v>0</v>
      </c>
      <c r="BA212" s="3088">
        <f t="shared" si="1806"/>
        <v>0</v>
      </c>
      <c r="BB212" s="3088">
        <f t="shared" si="1806"/>
        <v>0</v>
      </c>
      <c r="BC212" s="3088">
        <f t="shared" si="1806"/>
        <v>0</v>
      </c>
      <c r="BD212" s="3273">
        <f t="shared" ref="BD212:BI212" si="1807">SUM(BD151)</f>
        <v>0</v>
      </c>
      <c r="BE212" s="3273">
        <f t="shared" si="1807"/>
        <v>0</v>
      </c>
      <c r="BF212" s="3273">
        <f t="shared" si="1807"/>
        <v>0</v>
      </c>
      <c r="BG212" s="3089">
        <f t="shared" si="1807"/>
        <v>0</v>
      </c>
      <c r="BH212" s="3089">
        <f t="shared" si="1807"/>
        <v>0</v>
      </c>
      <c r="BI212" s="3089">
        <f t="shared" si="1807"/>
        <v>0</v>
      </c>
      <c r="BJ212" s="3062">
        <f t="shared" si="1460"/>
        <v>0</v>
      </c>
      <c r="BK212" s="3062">
        <f t="shared" si="1461"/>
        <v>0</v>
      </c>
      <c r="BL212" s="3062">
        <f t="shared" si="1462"/>
        <v>0</v>
      </c>
      <c r="BM212" s="3270">
        <f t="shared" ref="BM212:CA212" si="1808">SUM(BM151)</f>
        <v>0</v>
      </c>
      <c r="BN212" s="3270">
        <f t="shared" si="1808"/>
        <v>0</v>
      </c>
      <c r="BO212" s="3270">
        <f t="shared" si="1808"/>
        <v>0</v>
      </c>
      <c r="BP212" s="3088">
        <f t="shared" si="1808"/>
        <v>0</v>
      </c>
      <c r="BQ212" s="3088">
        <f t="shared" si="1808"/>
        <v>0</v>
      </c>
      <c r="BR212" s="3088">
        <f t="shared" si="1808"/>
        <v>0</v>
      </c>
      <c r="BS212" s="3088">
        <f t="shared" si="1808"/>
        <v>0</v>
      </c>
      <c r="BT212" s="3088">
        <f t="shared" si="1808"/>
        <v>0</v>
      </c>
      <c r="BU212" s="3088">
        <f t="shared" si="1808"/>
        <v>0</v>
      </c>
      <c r="BV212" s="3088">
        <f t="shared" si="1808"/>
        <v>0</v>
      </c>
      <c r="BW212" s="3088">
        <f t="shared" si="1808"/>
        <v>0</v>
      </c>
      <c r="BX212" s="3088">
        <f t="shared" si="1808"/>
        <v>0</v>
      </c>
      <c r="BY212" s="3088">
        <f t="shared" si="1808"/>
        <v>0</v>
      </c>
      <c r="BZ212" s="3088">
        <f t="shared" si="1808"/>
        <v>0</v>
      </c>
      <c r="CA212" s="3088">
        <f t="shared" si="1808"/>
        <v>0</v>
      </c>
      <c r="CB212" s="3273">
        <f t="shared" ref="CB212:CD212" si="1809">SUM(CB151)</f>
        <v>0</v>
      </c>
      <c r="CC212" s="3273">
        <f t="shared" si="1809"/>
        <v>0</v>
      </c>
      <c r="CD212" s="3273">
        <f t="shared" si="1809"/>
        <v>0</v>
      </c>
      <c r="CE212" s="3089">
        <f t="shared" ref="CE212:CG212" si="1810">SUM(CE151)</f>
        <v>0</v>
      </c>
      <c r="CF212" s="3089">
        <f t="shared" si="1810"/>
        <v>0</v>
      </c>
      <c r="CG212" s="3089">
        <f t="shared" si="1810"/>
        <v>0</v>
      </c>
      <c r="CH212" s="3062">
        <f t="shared" si="1466"/>
        <v>0</v>
      </c>
      <c r="CI212" s="3062">
        <f t="shared" si="1467"/>
        <v>0</v>
      </c>
      <c r="CJ212" s="3062">
        <f t="shared" si="1468"/>
        <v>0</v>
      </c>
      <c r="CK212" s="3049"/>
      <c r="CL212" s="3049"/>
      <c r="CM212" s="3049"/>
      <c r="CN212" s="3049"/>
    </row>
    <row r="213" spans="1:92" ht="18.75" x14ac:dyDescent="0.3">
      <c r="A213" s="3059" t="s">
        <v>3609</v>
      </c>
      <c r="B213" s="3270">
        <f t="shared" ref="B213:D213" si="1811">SUM(B152)</f>
        <v>73.702500000000001</v>
      </c>
      <c r="C213" s="3270">
        <f t="shared" si="1811"/>
        <v>73.702500000000001</v>
      </c>
      <c r="D213" s="3270">
        <f t="shared" si="1811"/>
        <v>0</v>
      </c>
      <c r="E213" s="3088">
        <f t="shared" ref="E213:G213" si="1812">SUM(E152)</f>
        <v>0</v>
      </c>
      <c r="F213" s="3088">
        <f t="shared" si="1812"/>
        <v>0</v>
      </c>
      <c r="G213" s="3088">
        <f t="shared" si="1812"/>
        <v>0</v>
      </c>
      <c r="H213" s="3088">
        <f t="shared" ref="H213:J213" si="1813">SUM(H152)</f>
        <v>0</v>
      </c>
      <c r="I213" s="3088">
        <f t="shared" si="1813"/>
        <v>0</v>
      </c>
      <c r="J213" s="3088">
        <f t="shared" si="1813"/>
        <v>0</v>
      </c>
      <c r="K213" s="3088">
        <f t="shared" ref="K213:M213" si="1814">SUM(K152)</f>
        <v>0</v>
      </c>
      <c r="L213" s="3088">
        <f t="shared" si="1814"/>
        <v>0</v>
      </c>
      <c r="M213" s="3088">
        <f t="shared" si="1814"/>
        <v>0</v>
      </c>
      <c r="N213" s="3088">
        <f t="shared" ref="N213:AB213" si="1815">SUM(N152)</f>
        <v>0</v>
      </c>
      <c r="O213" s="3088">
        <f t="shared" si="1815"/>
        <v>0</v>
      </c>
      <c r="P213" s="3088">
        <f t="shared" si="1815"/>
        <v>0</v>
      </c>
      <c r="Q213" s="3270">
        <f t="shared" si="1815"/>
        <v>73.702500000000001</v>
      </c>
      <c r="R213" s="3270">
        <f t="shared" si="1815"/>
        <v>73.702500000000001</v>
      </c>
      <c r="S213" s="3270">
        <f t="shared" si="1815"/>
        <v>0</v>
      </c>
      <c r="T213" s="3088">
        <f t="shared" si="1815"/>
        <v>0</v>
      </c>
      <c r="U213" s="3088">
        <f t="shared" si="1815"/>
        <v>0</v>
      </c>
      <c r="V213" s="3088">
        <f t="shared" si="1815"/>
        <v>0</v>
      </c>
      <c r="W213" s="3088">
        <f t="shared" si="1815"/>
        <v>0</v>
      </c>
      <c r="X213" s="3088">
        <f t="shared" si="1815"/>
        <v>0</v>
      </c>
      <c r="Y213" s="3088">
        <f t="shared" si="1815"/>
        <v>0</v>
      </c>
      <c r="Z213" s="3088">
        <f t="shared" si="1815"/>
        <v>0</v>
      </c>
      <c r="AA213" s="3088">
        <f t="shared" si="1815"/>
        <v>0</v>
      </c>
      <c r="AB213" s="3088">
        <f t="shared" si="1815"/>
        <v>0</v>
      </c>
      <c r="AC213" s="3088">
        <f t="shared" ref="AC213:AE213" si="1816">SUM(AC152)</f>
        <v>0</v>
      </c>
      <c r="AD213" s="3088">
        <f t="shared" si="1816"/>
        <v>0</v>
      </c>
      <c r="AE213" s="3088">
        <f t="shared" si="1816"/>
        <v>0</v>
      </c>
      <c r="AF213" s="3273">
        <f t="shared" ref="AF213:AK213" si="1817">SUM(AF152)</f>
        <v>147.405</v>
      </c>
      <c r="AG213" s="3273">
        <f t="shared" si="1817"/>
        <v>147.405</v>
      </c>
      <c r="AH213" s="3273">
        <f t="shared" si="1817"/>
        <v>0</v>
      </c>
      <c r="AI213" s="3089">
        <f t="shared" si="1817"/>
        <v>0</v>
      </c>
      <c r="AJ213" s="3089">
        <f t="shared" si="1817"/>
        <v>0</v>
      </c>
      <c r="AK213" s="3089">
        <f t="shared" si="1817"/>
        <v>0</v>
      </c>
      <c r="AL213" s="3068">
        <f t="shared" si="1455"/>
        <v>-147.405</v>
      </c>
      <c r="AM213" s="3068">
        <f t="shared" si="1456"/>
        <v>-147.405</v>
      </c>
      <c r="AN213" s="3068">
        <f t="shared" si="1457"/>
        <v>0</v>
      </c>
      <c r="AO213" s="3270">
        <f t="shared" ref="AO213:BC213" si="1818">SUM(AO152)</f>
        <v>73.702500000000001</v>
      </c>
      <c r="AP213" s="3270">
        <f t="shared" si="1818"/>
        <v>73.702500000000001</v>
      </c>
      <c r="AQ213" s="3270">
        <f t="shared" si="1818"/>
        <v>0</v>
      </c>
      <c r="AR213" s="3088">
        <f t="shared" si="1818"/>
        <v>0</v>
      </c>
      <c r="AS213" s="3088">
        <f t="shared" si="1818"/>
        <v>0</v>
      </c>
      <c r="AT213" s="3088">
        <f t="shared" si="1818"/>
        <v>0</v>
      </c>
      <c r="AU213" s="3088">
        <f t="shared" si="1818"/>
        <v>0</v>
      </c>
      <c r="AV213" s="3088">
        <f t="shared" si="1818"/>
        <v>0</v>
      </c>
      <c r="AW213" s="3088">
        <f t="shared" si="1818"/>
        <v>0</v>
      </c>
      <c r="AX213" s="3088">
        <f t="shared" si="1818"/>
        <v>0</v>
      </c>
      <c r="AY213" s="3088">
        <f t="shared" si="1818"/>
        <v>0</v>
      </c>
      <c r="AZ213" s="3088">
        <f t="shared" si="1818"/>
        <v>0</v>
      </c>
      <c r="BA213" s="3088">
        <f t="shared" si="1818"/>
        <v>0</v>
      </c>
      <c r="BB213" s="3088">
        <f t="shared" si="1818"/>
        <v>0</v>
      </c>
      <c r="BC213" s="3088">
        <f t="shared" si="1818"/>
        <v>0</v>
      </c>
      <c r="BD213" s="3273">
        <f t="shared" ref="BD213:BI213" si="1819">SUM(BD152)</f>
        <v>221.10750000000002</v>
      </c>
      <c r="BE213" s="3273">
        <f t="shared" si="1819"/>
        <v>221.10750000000002</v>
      </c>
      <c r="BF213" s="3273">
        <f t="shared" si="1819"/>
        <v>0</v>
      </c>
      <c r="BG213" s="3089">
        <f t="shared" si="1819"/>
        <v>0</v>
      </c>
      <c r="BH213" s="3089">
        <f t="shared" si="1819"/>
        <v>0</v>
      </c>
      <c r="BI213" s="3089">
        <f t="shared" si="1819"/>
        <v>0</v>
      </c>
      <c r="BJ213" s="3068">
        <f t="shared" si="1460"/>
        <v>-221.10750000000002</v>
      </c>
      <c r="BK213" s="3068">
        <f t="shared" si="1461"/>
        <v>-221.10750000000002</v>
      </c>
      <c r="BL213" s="3068">
        <f t="shared" si="1462"/>
        <v>0</v>
      </c>
      <c r="BM213" s="3270">
        <f t="shared" ref="BM213:CA213" si="1820">SUM(BM152)</f>
        <v>73.702500000000001</v>
      </c>
      <c r="BN213" s="3270">
        <f t="shared" si="1820"/>
        <v>73.702500000000001</v>
      </c>
      <c r="BO213" s="3270">
        <f t="shared" si="1820"/>
        <v>0</v>
      </c>
      <c r="BP213" s="3088">
        <f t="shared" si="1820"/>
        <v>0</v>
      </c>
      <c r="BQ213" s="3088">
        <f t="shared" si="1820"/>
        <v>0</v>
      </c>
      <c r="BR213" s="3088">
        <f t="shared" si="1820"/>
        <v>0</v>
      </c>
      <c r="BS213" s="3088">
        <f t="shared" si="1820"/>
        <v>0</v>
      </c>
      <c r="BT213" s="3088">
        <f t="shared" si="1820"/>
        <v>0</v>
      </c>
      <c r="BU213" s="3088">
        <f t="shared" si="1820"/>
        <v>0</v>
      </c>
      <c r="BV213" s="3088">
        <f t="shared" si="1820"/>
        <v>0</v>
      </c>
      <c r="BW213" s="3088">
        <f t="shared" si="1820"/>
        <v>0</v>
      </c>
      <c r="BX213" s="3088">
        <f t="shared" si="1820"/>
        <v>0</v>
      </c>
      <c r="BY213" s="3088">
        <f t="shared" si="1820"/>
        <v>0</v>
      </c>
      <c r="BZ213" s="3088">
        <f t="shared" si="1820"/>
        <v>0</v>
      </c>
      <c r="CA213" s="3088">
        <f t="shared" si="1820"/>
        <v>0</v>
      </c>
      <c r="CB213" s="3273">
        <f t="shared" ref="CB213:CD213" si="1821">SUM(CB152)</f>
        <v>294.81</v>
      </c>
      <c r="CC213" s="3273">
        <f t="shared" si="1821"/>
        <v>294.81</v>
      </c>
      <c r="CD213" s="3273">
        <f t="shared" si="1821"/>
        <v>0</v>
      </c>
      <c r="CE213" s="3089">
        <f t="shared" ref="CE213:CG213" si="1822">SUM(CE152)</f>
        <v>0</v>
      </c>
      <c r="CF213" s="3089">
        <f t="shared" si="1822"/>
        <v>0</v>
      </c>
      <c r="CG213" s="3089">
        <f t="shared" si="1822"/>
        <v>0</v>
      </c>
      <c r="CH213" s="3068">
        <f t="shared" si="1466"/>
        <v>-294.81</v>
      </c>
      <c r="CI213" s="3068">
        <f t="shared" si="1467"/>
        <v>-294.81</v>
      </c>
      <c r="CJ213" s="3068">
        <f t="shared" si="1468"/>
        <v>0</v>
      </c>
      <c r="CK213" s="3049"/>
      <c r="CL213" s="3049"/>
      <c r="CM213" s="3049"/>
      <c r="CN213" s="3049"/>
    </row>
    <row r="214" spans="1:92" ht="18.75" x14ac:dyDescent="0.3">
      <c r="A214" s="3074" t="s">
        <v>12</v>
      </c>
      <c r="B214" s="3272">
        <f t="shared" ref="B214:D214" si="1823">SUM(B186+B187+B188+B189+B190+B191+B192+B194+B199+B205+B212+B213)</f>
        <v>36807.620361995192</v>
      </c>
      <c r="C214" s="3272">
        <f t="shared" si="1823"/>
        <v>36799.926279495696</v>
      </c>
      <c r="D214" s="3272">
        <f t="shared" si="1823"/>
        <v>7.6940824994927342</v>
      </c>
      <c r="E214" s="3082">
        <f t="shared" ref="E214:G214" si="1824">SUM(E186+E187+E188+E189+E190+E191+E192+E194+E199+E205+E212+E213)</f>
        <v>11426.996999999999</v>
      </c>
      <c r="F214" s="3082">
        <f>SUM(F186+F187+F188+F189+F190+F191+F192+F194+F199+F205+F212+F213)</f>
        <v>11424.89</v>
      </c>
      <c r="G214" s="3082">
        <f t="shared" si="1824"/>
        <v>2.1070000000000002</v>
      </c>
      <c r="H214" s="3082">
        <f t="shared" ref="H214:J214" si="1825">SUM(H186+H187+H188+H189+H190+H191+H192+H194+H199+H205+H212+H213)</f>
        <v>10332.425000000001</v>
      </c>
      <c r="I214" s="3082">
        <f t="shared" si="1825"/>
        <v>10330.749999999998</v>
      </c>
      <c r="J214" s="3082">
        <f t="shared" si="1825"/>
        <v>1.675</v>
      </c>
      <c r="K214" s="3082">
        <f t="shared" ref="K214:M214" si="1826">SUM(K186+K187+K188+K189+K190+K191+K192+K194+K199+K205+K212+K213)</f>
        <v>12531.936000000002</v>
      </c>
      <c r="L214" s="3082">
        <f t="shared" si="1826"/>
        <v>12530.1</v>
      </c>
      <c r="M214" s="3082">
        <f t="shared" si="1826"/>
        <v>1.8360000000000001</v>
      </c>
      <c r="N214" s="3082">
        <f t="shared" ref="N214:AB214" si="1827">SUM(N186+N187+N188+N189+N190+N191+N192+N194+N199+N205+N212+N213)</f>
        <v>34291.358</v>
      </c>
      <c r="O214" s="3082">
        <f t="shared" si="1827"/>
        <v>34285.74</v>
      </c>
      <c r="P214" s="3082">
        <f t="shared" si="1827"/>
        <v>5.6180000000000003</v>
      </c>
      <c r="Q214" s="3272">
        <f t="shared" si="1827"/>
        <v>36807.620361995192</v>
      </c>
      <c r="R214" s="3272">
        <f t="shared" si="1827"/>
        <v>36799.926279495696</v>
      </c>
      <c r="S214" s="3272">
        <f t="shared" si="1827"/>
        <v>7.6940824994927342</v>
      </c>
      <c r="T214" s="3082">
        <f t="shared" si="1827"/>
        <v>11324.5075</v>
      </c>
      <c r="U214" s="3082">
        <f t="shared" si="1827"/>
        <v>11322.82</v>
      </c>
      <c r="V214" s="3082">
        <f t="shared" si="1827"/>
        <v>1.6875</v>
      </c>
      <c r="W214" s="3082">
        <f t="shared" si="1827"/>
        <v>12735.948999999999</v>
      </c>
      <c r="X214" s="3082">
        <f t="shared" si="1827"/>
        <v>12733.619999999999</v>
      </c>
      <c r="Y214" s="3082">
        <f t="shared" si="1827"/>
        <v>2.3289999999999997</v>
      </c>
      <c r="Z214" s="3082">
        <f t="shared" si="1827"/>
        <v>12831.116</v>
      </c>
      <c r="AA214" s="3082">
        <f t="shared" si="1827"/>
        <v>12828.24</v>
      </c>
      <c r="AB214" s="3082">
        <f t="shared" si="1827"/>
        <v>2.8760000000000003</v>
      </c>
      <c r="AC214" s="3082">
        <f t="shared" ref="AC214:AE214" si="1828">SUM(AC186+AC187+AC188+AC189+AC190+AC191+AC192+AC194+AC199+AC205+AC212+AC213)</f>
        <v>36891.572499999995</v>
      </c>
      <c r="AD214" s="3082">
        <f t="shared" si="1828"/>
        <v>36884.68</v>
      </c>
      <c r="AE214" s="3082">
        <f t="shared" si="1828"/>
        <v>6.8925000000000001</v>
      </c>
      <c r="AF214" s="3275">
        <f t="shared" ref="AF214:AK214" si="1829">SUM(AF186+AF187+AF188+AF189+AF190+AF191+AF192+AF194+AF199+AF205+AF212+AF213)</f>
        <v>73615.240723990384</v>
      </c>
      <c r="AG214" s="3275">
        <f t="shared" si="1829"/>
        <v>73599.852558991392</v>
      </c>
      <c r="AH214" s="3275">
        <f t="shared" si="1829"/>
        <v>15.388164998985468</v>
      </c>
      <c r="AI214" s="3083">
        <f t="shared" si="1829"/>
        <v>71182.930500000002</v>
      </c>
      <c r="AJ214" s="3083">
        <f t="shared" si="1829"/>
        <v>71170.42</v>
      </c>
      <c r="AK214" s="3083">
        <f t="shared" si="1829"/>
        <v>12.5105</v>
      </c>
      <c r="AL214" s="3058">
        <f t="shared" si="1455"/>
        <v>-2432.3102239903819</v>
      </c>
      <c r="AM214" s="3058">
        <f t="shared" si="1456"/>
        <v>-2429.4325589913933</v>
      </c>
      <c r="AN214" s="3058">
        <f t="shared" si="1457"/>
        <v>-2.8776649989854679</v>
      </c>
      <c r="AO214" s="3272">
        <f t="shared" ref="AO214:BC214" si="1830">SUM(AO186+AO187+AO188+AO189+AO190+AO191+AO192+AO194+AO199+AO205+AO212+AO213)</f>
        <v>36979.844126076037</v>
      </c>
      <c r="AP214" s="3272">
        <f t="shared" si="1830"/>
        <v>36972.132587435095</v>
      </c>
      <c r="AQ214" s="3272">
        <f t="shared" si="1830"/>
        <v>7.7115386409448954</v>
      </c>
      <c r="AR214" s="3082">
        <f t="shared" si="1830"/>
        <v>11545.733</v>
      </c>
      <c r="AS214" s="3082">
        <f t="shared" si="1830"/>
        <v>11543.8</v>
      </c>
      <c r="AT214" s="3082">
        <f t="shared" si="1830"/>
        <v>1.9329999999999998</v>
      </c>
      <c r="AU214" s="3082">
        <f t="shared" si="1830"/>
        <v>12637.050999999999</v>
      </c>
      <c r="AV214" s="3082">
        <f t="shared" si="1830"/>
        <v>12635.4</v>
      </c>
      <c r="AW214" s="3082">
        <f t="shared" si="1830"/>
        <v>1.6509999999999998</v>
      </c>
      <c r="AX214" s="3082">
        <f t="shared" si="1830"/>
        <v>13887.012699999999</v>
      </c>
      <c r="AY214" s="3082">
        <f t="shared" si="1830"/>
        <v>13884.14</v>
      </c>
      <c r="AZ214" s="3082">
        <f t="shared" si="1830"/>
        <v>2.8727000000000005</v>
      </c>
      <c r="BA214" s="3082">
        <f t="shared" si="1830"/>
        <v>38069.796699999999</v>
      </c>
      <c r="BB214" s="3082">
        <f t="shared" si="1830"/>
        <v>38063.339999999997</v>
      </c>
      <c r="BC214" s="3082">
        <f t="shared" si="1830"/>
        <v>6.4567000000000005</v>
      </c>
      <c r="BD214" s="3275">
        <f t="shared" ref="BD214:BI214" si="1831">SUM(BD186+BD187+BD188+BD189+BD190+BD191+BD192+BD194+BD199+BD205+BD212+BD213)</f>
        <v>110595.08485006641</v>
      </c>
      <c r="BE214" s="3083">
        <f t="shared" si="1831"/>
        <v>110571.98514642649</v>
      </c>
      <c r="BF214" s="3275">
        <f t="shared" si="1831"/>
        <v>23.099703639930365</v>
      </c>
      <c r="BG214" s="3083">
        <f t="shared" si="1831"/>
        <v>109252.72720000001</v>
      </c>
      <c r="BH214" s="3083">
        <f t="shared" si="1831"/>
        <v>109233.76000000004</v>
      </c>
      <c r="BI214" s="3083">
        <f t="shared" si="1831"/>
        <v>18.967199999999998</v>
      </c>
      <c r="BJ214" s="3058">
        <f t="shared" si="1460"/>
        <v>-1342.3576500664058</v>
      </c>
      <c r="BK214" s="3058">
        <f t="shared" si="1461"/>
        <v>-1338.2251464264555</v>
      </c>
      <c r="BL214" s="3058">
        <f t="shared" si="1462"/>
        <v>-4.1325036399303663</v>
      </c>
      <c r="BM214" s="3272">
        <f t="shared" ref="BM214:CA214" si="1832">SUM(BM186+BM187+BM188+BM189+BM190+BM191+BM192+BM194+BM199+BM205+BM212+BM213)</f>
        <v>36979.844126076037</v>
      </c>
      <c r="BN214" s="3272">
        <f t="shared" si="1832"/>
        <v>36972.132587435095</v>
      </c>
      <c r="BO214" s="3272">
        <f t="shared" si="1832"/>
        <v>7.7115386409448954</v>
      </c>
      <c r="BP214" s="3082">
        <f t="shared" si="1832"/>
        <v>0</v>
      </c>
      <c r="BQ214" s="3082">
        <f t="shared" si="1832"/>
        <v>0</v>
      </c>
      <c r="BR214" s="3082">
        <f t="shared" si="1832"/>
        <v>0</v>
      </c>
      <c r="BS214" s="3082">
        <f t="shared" si="1832"/>
        <v>0</v>
      </c>
      <c r="BT214" s="3082">
        <f t="shared" si="1832"/>
        <v>0</v>
      </c>
      <c r="BU214" s="3082">
        <f t="shared" si="1832"/>
        <v>0</v>
      </c>
      <c r="BV214" s="3082">
        <f t="shared" si="1832"/>
        <v>0</v>
      </c>
      <c r="BW214" s="3082">
        <f t="shared" si="1832"/>
        <v>0</v>
      </c>
      <c r="BX214" s="3082">
        <f t="shared" si="1832"/>
        <v>0</v>
      </c>
      <c r="BY214" s="3082">
        <f t="shared" si="1832"/>
        <v>0</v>
      </c>
      <c r="BZ214" s="3082">
        <f t="shared" si="1832"/>
        <v>0</v>
      </c>
      <c r="CA214" s="3082">
        <f t="shared" si="1832"/>
        <v>0</v>
      </c>
      <c r="CB214" s="3083">
        <f t="shared" ref="CB214:CD214" si="1833">SUM(CB186+CB187+CB188+CB189+CB190+CB191+CB192+CB194+CB199+CB205+CB212+CB213)</f>
        <v>147574.92935394889</v>
      </c>
      <c r="CC214" s="3275">
        <f t="shared" si="1833"/>
        <v>147544.11811148541</v>
      </c>
      <c r="CD214" s="3275">
        <f t="shared" si="1833"/>
        <v>30.811242463479257</v>
      </c>
      <c r="CE214" s="3083">
        <f t="shared" ref="CE214:CG214" si="1834">SUM(CE186+CE187+CE188+CE189+CE190+CE191+CE192+CE194+CE199+CE205+CE212+CE213)</f>
        <v>109252.72720000001</v>
      </c>
      <c r="CF214" s="3083">
        <f t="shared" si="1834"/>
        <v>109233.76000000004</v>
      </c>
      <c r="CG214" s="3083">
        <f t="shared" si="1834"/>
        <v>18.967199999999998</v>
      </c>
      <c r="CH214" s="3058">
        <f t="shared" si="1466"/>
        <v>-38322.202153948878</v>
      </c>
      <c r="CI214" s="3058">
        <f t="shared" si="1467"/>
        <v>-38310.358111485373</v>
      </c>
      <c r="CJ214" s="3058">
        <f t="shared" si="1468"/>
        <v>-11.844042463479258</v>
      </c>
      <c r="CK214" s="3049"/>
      <c r="CL214" s="3049"/>
      <c r="CM214" s="3049"/>
      <c r="CN214" s="3049"/>
    </row>
    <row r="215" spans="1:92" ht="18.75" x14ac:dyDescent="0.3">
      <c r="A215" s="3074" t="s">
        <v>13</v>
      </c>
      <c r="B215" s="3272">
        <f t="shared" ref="B215:D215" si="1835">SUM(B176)</f>
        <v>915.59873083333332</v>
      </c>
      <c r="C215" s="3272">
        <f t="shared" si="1835"/>
        <v>915.15623083333332</v>
      </c>
      <c r="D215" s="3272">
        <f t="shared" si="1835"/>
        <v>0.4425</v>
      </c>
      <c r="E215" s="3082">
        <f t="shared" ref="E215:G215" si="1836">SUM(E176)</f>
        <v>311.55500000000001</v>
      </c>
      <c r="F215" s="3082">
        <f t="shared" si="1836"/>
        <v>311.435</v>
      </c>
      <c r="G215" s="3082">
        <f t="shared" si="1836"/>
        <v>0.12</v>
      </c>
      <c r="H215" s="3082">
        <f t="shared" ref="H215:J215" si="1837">SUM(H176)</f>
        <v>297</v>
      </c>
      <c r="I215" s="3082">
        <f t="shared" si="1837"/>
        <v>296.91000000000003</v>
      </c>
      <c r="J215" s="3082">
        <f t="shared" si="1837"/>
        <v>0.09</v>
      </c>
      <c r="K215" s="3082">
        <f t="shared" ref="K215:M215" si="1838">SUM(K176)</f>
        <v>282.20400000000001</v>
      </c>
      <c r="L215" s="3082">
        <f t="shared" si="1838"/>
        <v>282.12900000000002</v>
      </c>
      <c r="M215" s="3082">
        <f t="shared" si="1838"/>
        <v>7.4999999999999997E-2</v>
      </c>
      <c r="N215" s="3082">
        <f t="shared" ref="N215:AB215" si="1839">SUM(N176)</f>
        <v>890.75900000000001</v>
      </c>
      <c r="O215" s="3082">
        <f t="shared" si="1839"/>
        <v>890.47400000000005</v>
      </c>
      <c r="P215" s="3082">
        <f t="shared" si="1839"/>
        <v>0.28499999999999998</v>
      </c>
      <c r="Q215" s="3272">
        <f t="shared" si="1839"/>
        <v>915.59873083333332</v>
      </c>
      <c r="R215" s="3272">
        <f t="shared" si="1839"/>
        <v>915.15623083333332</v>
      </c>
      <c r="S215" s="3272">
        <f t="shared" si="1839"/>
        <v>0.4425</v>
      </c>
      <c r="T215" s="3082">
        <f t="shared" si="1839"/>
        <v>295.19499999999999</v>
      </c>
      <c r="U215" s="3082">
        <f t="shared" si="1839"/>
        <v>295.09999999999997</v>
      </c>
      <c r="V215" s="3082">
        <f t="shared" si="1839"/>
        <v>9.5000000000000001E-2</v>
      </c>
      <c r="W215" s="3082">
        <f t="shared" si="1839"/>
        <v>283.73199999999997</v>
      </c>
      <c r="X215" s="3082">
        <f t="shared" si="1839"/>
        <v>283.63499999999999</v>
      </c>
      <c r="Y215" s="3082">
        <f t="shared" si="1839"/>
        <v>9.7000000000000003E-2</v>
      </c>
      <c r="Z215" s="3082">
        <f t="shared" si="1839"/>
        <v>281.80300000000005</v>
      </c>
      <c r="AA215" s="3082">
        <f t="shared" si="1839"/>
        <v>281.72200000000004</v>
      </c>
      <c r="AB215" s="3082">
        <f t="shared" si="1839"/>
        <v>8.1000000000000003E-2</v>
      </c>
      <c r="AC215" s="3082">
        <f t="shared" ref="AC215:AE215" si="1840">SUM(AC176)</f>
        <v>860.73</v>
      </c>
      <c r="AD215" s="3082">
        <f t="shared" si="1840"/>
        <v>860.45699999999999</v>
      </c>
      <c r="AE215" s="3082">
        <f t="shared" si="1840"/>
        <v>0.27300000000000002</v>
      </c>
      <c r="AF215" s="3275">
        <f t="shared" ref="AF215:AK215" si="1841">SUM(AF176)</f>
        <v>1831.1974616666666</v>
      </c>
      <c r="AG215" s="3275">
        <f t="shared" si="1841"/>
        <v>1830.3124616666666</v>
      </c>
      <c r="AH215" s="3275">
        <f t="shared" si="1841"/>
        <v>0.88500000000000001</v>
      </c>
      <c r="AI215" s="3083">
        <f t="shared" si="1841"/>
        <v>1751.489</v>
      </c>
      <c r="AJ215" s="3083">
        <f t="shared" si="1841"/>
        <v>1750.931</v>
      </c>
      <c r="AK215" s="3083">
        <f t="shared" si="1841"/>
        <v>0.55800000000000005</v>
      </c>
      <c r="AL215" s="3058">
        <f t="shared" si="1455"/>
        <v>-79.708461666666608</v>
      </c>
      <c r="AM215" s="3058">
        <f t="shared" si="1456"/>
        <v>-79.38146166666661</v>
      </c>
      <c r="AN215" s="3058">
        <f t="shared" si="1457"/>
        <v>-0.32699999999999996</v>
      </c>
      <c r="AO215" s="3272">
        <f t="shared" ref="AO215:BC215" si="1842">SUM(AO176)</f>
        <v>915.59873083333332</v>
      </c>
      <c r="AP215" s="3272">
        <f t="shared" si="1842"/>
        <v>915.15623083333332</v>
      </c>
      <c r="AQ215" s="3272">
        <f t="shared" si="1842"/>
        <v>0.4425</v>
      </c>
      <c r="AR215" s="3082">
        <f t="shared" si="1842"/>
        <v>275.69200000000001</v>
      </c>
      <c r="AS215" s="3082">
        <f t="shared" si="1842"/>
        <v>275.601</v>
      </c>
      <c r="AT215" s="3082">
        <f t="shared" si="1842"/>
        <v>9.0999999999999998E-2</v>
      </c>
      <c r="AU215" s="3082">
        <f t="shared" si="1842"/>
        <v>310.952</v>
      </c>
      <c r="AV215" s="3082">
        <f t="shared" si="1842"/>
        <v>310.86200000000002</v>
      </c>
      <c r="AW215" s="3082">
        <f t="shared" si="1842"/>
        <v>0.09</v>
      </c>
      <c r="AX215" s="3082">
        <f t="shared" si="1842"/>
        <v>301.12099999999992</v>
      </c>
      <c r="AY215" s="3082">
        <f t="shared" si="1842"/>
        <v>301.03099999999995</v>
      </c>
      <c r="AZ215" s="3082">
        <f t="shared" si="1842"/>
        <v>0.09</v>
      </c>
      <c r="BA215" s="3082">
        <f t="shared" si="1842"/>
        <v>887.76499999999999</v>
      </c>
      <c r="BB215" s="3082">
        <f t="shared" si="1842"/>
        <v>887.49400000000003</v>
      </c>
      <c r="BC215" s="3082">
        <f t="shared" si="1842"/>
        <v>0.27100000000000002</v>
      </c>
      <c r="BD215" s="3275">
        <f t="shared" ref="BD215:BI215" si="1843">SUM(BD176)</f>
        <v>2746.7961924999995</v>
      </c>
      <c r="BE215" s="3275">
        <f t="shared" si="1843"/>
        <v>2745.4686924999996</v>
      </c>
      <c r="BF215" s="3275">
        <f t="shared" si="1843"/>
        <v>1.3275000000000001</v>
      </c>
      <c r="BG215" s="3083">
        <f t="shared" si="1843"/>
        <v>2639.2540000000008</v>
      </c>
      <c r="BH215" s="3083">
        <f t="shared" si="1843"/>
        <v>2638.4250000000006</v>
      </c>
      <c r="BI215" s="3083">
        <f t="shared" si="1843"/>
        <v>0.82900000000000007</v>
      </c>
      <c r="BJ215" s="3058">
        <f t="shared" si="1460"/>
        <v>-107.54219249999869</v>
      </c>
      <c r="BK215" s="3058">
        <f t="shared" si="1461"/>
        <v>-107.043692499999</v>
      </c>
      <c r="BL215" s="3058">
        <f t="shared" si="1462"/>
        <v>-0.49850000000000005</v>
      </c>
      <c r="BM215" s="3272">
        <f t="shared" ref="BM215:CA215" si="1844">SUM(BM176)</f>
        <v>915.59873083333332</v>
      </c>
      <c r="BN215" s="3272">
        <f t="shared" si="1844"/>
        <v>915.15623083333332</v>
      </c>
      <c r="BO215" s="3272">
        <f t="shared" si="1844"/>
        <v>0.4425</v>
      </c>
      <c r="BP215" s="3082">
        <f t="shared" si="1844"/>
        <v>0</v>
      </c>
      <c r="BQ215" s="3082">
        <f t="shared" si="1844"/>
        <v>0</v>
      </c>
      <c r="BR215" s="3082">
        <f t="shared" si="1844"/>
        <v>0</v>
      </c>
      <c r="BS215" s="3082">
        <f t="shared" si="1844"/>
        <v>0</v>
      </c>
      <c r="BT215" s="3082">
        <f t="shared" si="1844"/>
        <v>0</v>
      </c>
      <c r="BU215" s="3082">
        <f t="shared" si="1844"/>
        <v>0</v>
      </c>
      <c r="BV215" s="3082">
        <f t="shared" si="1844"/>
        <v>0</v>
      </c>
      <c r="BW215" s="3082">
        <f t="shared" si="1844"/>
        <v>0</v>
      </c>
      <c r="BX215" s="3082">
        <f t="shared" si="1844"/>
        <v>0</v>
      </c>
      <c r="BY215" s="3082">
        <f t="shared" si="1844"/>
        <v>0</v>
      </c>
      <c r="BZ215" s="3082">
        <f t="shared" si="1844"/>
        <v>0</v>
      </c>
      <c r="CA215" s="3082">
        <f t="shared" si="1844"/>
        <v>0</v>
      </c>
      <c r="CB215" s="3275">
        <f t="shared" ref="CB215:CD215" si="1845">SUM(CB176)</f>
        <v>3662.3949233333333</v>
      </c>
      <c r="CC215" s="3275">
        <f t="shared" si="1845"/>
        <v>3660.6249233333333</v>
      </c>
      <c r="CD215" s="3275">
        <f t="shared" si="1845"/>
        <v>1.77</v>
      </c>
      <c r="CE215" s="3083">
        <f t="shared" ref="CE215:CG215" si="1846">SUM(CE176)</f>
        <v>2639.2540000000008</v>
      </c>
      <c r="CF215" s="3083">
        <f t="shared" si="1846"/>
        <v>2638.4250000000006</v>
      </c>
      <c r="CG215" s="3083">
        <f t="shared" si="1846"/>
        <v>0.82900000000000007</v>
      </c>
      <c r="CH215" s="3058">
        <f t="shared" si="1466"/>
        <v>-1023.1409233333325</v>
      </c>
      <c r="CI215" s="3058">
        <f t="shared" si="1467"/>
        <v>-1022.1999233333327</v>
      </c>
      <c r="CJ215" s="3058">
        <f t="shared" si="1468"/>
        <v>-0.94099999999999995</v>
      </c>
      <c r="CK215" s="3049"/>
      <c r="CL215" s="3049"/>
      <c r="CM215" s="3049"/>
      <c r="CN215" s="3049"/>
    </row>
    <row r="216" spans="1:92" ht="18.75" x14ac:dyDescent="0.3">
      <c r="A216" s="3074" t="s">
        <v>14</v>
      </c>
      <c r="B216" s="3272">
        <f t="shared" ref="B216:D216" si="1847">SUM(B214/B215)</f>
        <v>40.200602209763538</v>
      </c>
      <c r="C216" s="3272">
        <f t="shared" si="1847"/>
        <v>40.211632767867407</v>
      </c>
      <c r="D216" s="3272">
        <f t="shared" si="1847"/>
        <v>17.387757061000528</v>
      </c>
      <c r="E216" s="3082">
        <f t="shared" ref="E216:G216" si="1848">SUM(E214/E215)</f>
        <v>36.677302562950359</v>
      </c>
      <c r="F216" s="3082">
        <f t="shared" si="1848"/>
        <v>36.684669353155549</v>
      </c>
      <c r="G216" s="3082">
        <f t="shared" si="1848"/>
        <v>17.558333333333337</v>
      </c>
      <c r="H216" s="3082">
        <f t="shared" ref="H216:J216" si="1849">SUM(H214/H215)</f>
        <v>34.78930976430977</v>
      </c>
      <c r="I216" s="3082">
        <f t="shared" si="1849"/>
        <v>34.794213734801779</v>
      </c>
      <c r="J216" s="3082">
        <f t="shared" si="1849"/>
        <v>18.611111111111111</v>
      </c>
      <c r="K216" s="3082">
        <f t="shared" ref="K216:M216" si="1850">SUM(K214/K215)</f>
        <v>44.407364884976829</v>
      </c>
      <c r="L216" s="3082">
        <f t="shared" si="1850"/>
        <v>44.412662292780958</v>
      </c>
      <c r="M216" s="3082">
        <f t="shared" si="1850"/>
        <v>24.48</v>
      </c>
      <c r="N216" s="3082">
        <f t="shared" ref="N216:AB216" si="1851">SUM(N214/N215)</f>
        <v>38.496785325772741</v>
      </c>
      <c r="O216" s="3082">
        <f t="shared" si="1851"/>
        <v>38.50279738656041</v>
      </c>
      <c r="P216" s="3082">
        <f t="shared" si="1851"/>
        <v>19.712280701754388</v>
      </c>
      <c r="Q216" s="3272">
        <f t="shared" si="1851"/>
        <v>40.200602209763538</v>
      </c>
      <c r="R216" s="3272">
        <f t="shared" si="1851"/>
        <v>40.211632767867407</v>
      </c>
      <c r="S216" s="3272">
        <f t="shared" si="1851"/>
        <v>17.387757061000528</v>
      </c>
      <c r="T216" s="3082">
        <f t="shared" si="1851"/>
        <v>38.362802554243807</v>
      </c>
      <c r="U216" s="3082">
        <f t="shared" si="1851"/>
        <v>38.369434090138938</v>
      </c>
      <c r="V216" s="3082">
        <f t="shared" si="1851"/>
        <v>17.763157894736842</v>
      </c>
      <c r="W216" s="3082">
        <f t="shared" si="1851"/>
        <v>44.887249235193778</v>
      </c>
      <c r="X216" s="3082">
        <f t="shared" si="1851"/>
        <v>44.894388915331319</v>
      </c>
      <c r="Y216" s="3082">
        <f t="shared" si="1851"/>
        <v>24.010309278350512</v>
      </c>
      <c r="Z216" s="3082">
        <f t="shared" si="1851"/>
        <v>45.532219316330902</v>
      </c>
      <c r="AA216" s="3082">
        <f t="shared" si="1851"/>
        <v>45.535101979966058</v>
      </c>
      <c r="AB216" s="3082">
        <f t="shared" si="1851"/>
        <v>35.506172839506178</v>
      </c>
      <c r="AC216" s="3082">
        <f t="shared" ref="AC216:AE216" si="1852">SUM(AC214/AC215)</f>
        <v>42.860795487551258</v>
      </c>
      <c r="AD216" s="3082">
        <f t="shared" si="1852"/>
        <v>42.866383793728218</v>
      </c>
      <c r="AE216" s="3082">
        <f t="shared" si="1852"/>
        <v>25.247252747252745</v>
      </c>
      <c r="AF216" s="3275">
        <f t="shared" ref="AF216:AK216" si="1853">SUM(AF214/AF215)</f>
        <v>40.200602209763538</v>
      </c>
      <c r="AG216" s="3275">
        <f t="shared" si="1853"/>
        <v>40.211632767867407</v>
      </c>
      <c r="AH216" s="3275">
        <f t="shared" si="1853"/>
        <v>17.387757061000528</v>
      </c>
      <c r="AI216" s="3083">
        <f t="shared" si="1853"/>
        <v>40.641380277010022</v>
      </c>
      <c r="AJ216" s="3083">
        <f t="shared" si="1853"/>
        <v>40.647187125020913</v>
      </c>
      <c r="AK216" s="3083">
        <f t="shared" si="1853"/>
        <v>22.420250896057347</v>
      </c>
      <c r="AL216" s="3058">
        <f t="shared" si="1455"/>
        <v>0.44077806724648383</v>
      </c>
      <c r="AM216" s="3058">
        <f t="shared" si="1456"/>
        <v>0.43555435715350654</v>
      </c>
      <c r="AN216" s="3058">
        <f t="shared" si="1457"/>
        <v>5.0324938350568189</v>
      </c>
      <c r="AO216" s="3272">
        <f t="shared" ref="AO216:BC216" si="1854">SUM(AO214/AO215)</f>
        <v>40.388701819648425</v>
      </c>
      <c r="AP216" s="3272">
        <f t="shared" si="1854"/>
        <v>40.399804253934427</v>
      </c>
      <c r="AQ216" s="3272">
        <f t="shared" si="1854"/>
        <v>17.42720596823705</v>
      </c>
      <c r="AR216" s="3082">
        <f t="shared" si="1854"/>
        <v>41.879100590514049</v>
      </c>
      <c r="AS216" s="3082">
        <f t="shared" si="1854"/>
        <v>41.885914782602384</v>
      </c>
      <c r="AT216" s="3082">
        <f t="shared" si="1854"/>
        <v>21.241758241758241</v>
      </c>
      <c r="AU216" s="3082">
        <f t="shared" si="1854"/>
        <v>40.639876894183026</v>
      </c>
      <c r="AV216" s="3082">
        <f t="shared" si="1854"/>
        <v>40.646331812830127</v>
      </c>
      <c r="AW216" s="3082">
        <f t="shared" si="1854"/>
        <v>18.344444444444441</v>
      </c>
      <c r="AX216" s="3082">
        <f t="shared" si="1854"/>
        <v>46.117715801953374</v>
      </c>
      <c r="AY216" s="3082">
        <f t="shared" si="1854"/>
        <v>46.121960861173775</v>
      </c>
      <c r="AZ216" s="3082">
        <f t="shared" si="1854"/>
        <v>31.918888888888894</v>
      </c>
      <c r="BA216" s="3082">
        <f t="shared" si="1854"/>
        <v>42.882741153345762</v>
      </c>
      <c r="BB216" s="3082">
        <f t="shared" si="1854"/>
        <v>42.888560373365898</v>
      </c>
      <c r="BC216" s="3082">
        <f t="shared" si="1854"/>
        <v>23.825461254612545</v>
      </c>
      <c r="BD216" s="3275">
        <f t="shared" ref="BD216:BI216" si="1855">SUM(BD214/BD215)</f>
        <v>40.263302079725172</v>
      </c>
      <c r="BE216" s="3275">
        <f t="shared" si="1855"/>
        <v>40.274356596556423</v>
      </c>
      <c r="BF216" s="3275">
        <f t="shared" si="1855"/>
        <v>17.400906696746034</v>
      </c>
      <c r="BG216" s="3083">
        <f t="shared" si="1855"/>
        <v>41.395306097859461</v>
      </c>
      <c r="BH216" s="3083">
        <f t="shared" si="1855"/>
        <v>41.401123776495453</v>
      </c>
      <c r="BI216" s="3083">
        <f t="shared" si="1855"/>
        <v>22.879613992762359</v>
      </c>
      <c r="BJ216" s="3058">
        <f t="shared" si="1460"/>
        <v>1.132004018134289</v>
      </c>
      <c r="BK216" s="3058">
        <f t="shared" si="1461"/>
        <v>1.12676717993903</v>
      </c>
      <c r="BL216" s="3058">
        <f t="shared" si="1462"/>
        <v>5.4787072960163243</v>
      </c>
      <c r="BM216" s="3272">
        <f t="shared" ref="BM216:CA216" si="1856">SUM(BM214/BM215)</f>
        <v>40.388701819648425</v>
      </c>
      <c r="BN216" s="3272">
        <f t="shared" si="1856"/>
        <v>40.399804253934427</v>
      </c>
      <c r="BO216" s="3272">
        <f t="shared" si="1856"/>
        <v>17.42720596823705</v>
      </c>
      <c r="BP216" s="3082" t="e">
        <f t="shared" si="1856"/>
        <v>#DIV/0!</v>
      </c>
      <c r="BQ216" s="3082" t="e">
        <f t="shared" si="1856"/>
        <v>#DIV/0!</v>
      </c>
      <c r="BR216" s="3082" t="e">
        <f t="shared" si="1856"/>
        <v>#DIV/0!</v>
      </c>
      <c r="BS216" s="3082" t="e">
        <f t="shared" si="1856"/>
        <v>#DIV/0!</v>
      </c>
      <c r="BT216" s="3082" t="e">
        <f t="shared" si="1856"/>
        <v>#DIV/0!</v>
      </c>
      <c r="BU216" s="3082" t="e">
        <f t="shared" si="1856"/>
        <v>#DIV/0!</v>
      </c>
      <c r="BV216" s="3082" t="e">
        <f t="shared" si="1856"/>
        <v>#DIV/0!</v>
      </c>
      <c r="BW216" s="3082" t="e">
        <f t="shared" si="1856"/>
        <v>#DIV/0!</v>
      </c>
      <c r="BX216" s="3082" t="e">
        <f t="shared" si="1856"/>
        <v>#DIV/0!</v>
      </c>
      <c r="BY216" s="3082" t="e">
        <f t="shared" si="1856"/>
        <v>#DIV/0!</v>
      </c>
      <c r="BZ216" s="3082" t="e">
        <f t="shared" si="1856"/>
        <v>#DIV/0!</v>
      </c>
      <c r="CA216" s="3082" t="e">
        <f t="shared" si="1856"/>
        <v>#DIV/0!</v>
      </c>
      <c r="CB216" s="3275">
        <f t="shared" ref="CB216:CD216" si="1857">SUM(CB214/CB215)</f>
        <v>40.294652117864281</v>
      </c>
      <c r="CC216" s="3275">
        <f t="shared" si="1857"/>
        <v>40.305718614059217</v>
      </c>
      <c r="CD216" s="3275">
        <f t="shared" si="1857"/>
        <v>17.407481617784892</v>
      </c>
      <c r="CE216" s="3083">
        <f t="shared" ref="CE216:CG216" si="1858">SUM(CE214/CE215)</f>
        <v>41.395306097859461</v>
      </c>
      <c r="CF216" s="3083">
        <f t="shared" si="1858"/>
        <v>41.401123776495453</v>
      </c>
      <c r="CG216" s="3083">
        <f t="shared" si="1858"/>
        <v>22.879613992762359</v>
      </c>
      <c r="CH216" s="3058">
        <f t="shared" si="1466"/>
        <v>1.1006539799951796</v>
      </c>
      <c r="CI216" s="3058">
        <f t="shared" si="1467"/>
        <v>1.0954051624362364</v>
      </c>
      <c r="CJ216" s="3058">
        <f t="shared" si="1468"/>
        <v>5.4721323749774662</v>
      </c>
      <c r="CK216" s="3049"/>
      <c r="CL216" s="3049"/>
      <c r="CM216" s="3049"/>
      <c r="CN216" s="3049"/>
    </row>
    <row r="217" spans="1:92" ht="18.75" x14ac:dyDescent="0.3">
      <c r="A217" s="3080" t="s">
        <v>3610</v>
      </c>
      <c r="B217" s="3735">
        <f>SUM(B218:B220)</f>
        <v>0</v>
      </c>
      <c r="C217" s="3736"/>
      <c r="D217" s="3737"/>
      <c r="E217" s="3668">
        <f>SUM(E218:E220)</f>
        <v>76.010000000000005</v>
      </c>
      <c r="F217" s="3669"/>
      <c r="G217" s="3670"/>
      <c r="H217" s="3668">
        <f>SUM(H218:H220)</f>
        <v>162.63</v>
      </c>
      <c r="I217" s="3669"/>
      <c r="J217" s="3670"/>
      <c r="K217" s="3668">
        <f>SUM(K218:K220)</f>
        <v>166.96</v>
      </c>
      <c r="L217" s="3669"/>
      <c r="M217" s="3670"/>
      <c r="N217" s="3668">
        <f>SUM(N218:N220)</f>
        <v>405.6</v>
      </c>
      <c r="O217" s="3669"/>
      <c r="P217" s="3670"/>
      <c r="Q217" s="3735">
        <f>SUM(Q218:Q220)</f>
        <v>0</v>
      </c>
      <c r="R217" s="3736"/>
      <c r="S217" s="3737"/>
      <c r="T217" s="3668">
        <f>SUM(T218:T220)</f>
        <v>77.460000000000008</v>
      </c>
      <c r="U217" s="3669"/>
      <c r="V217" s="3670"/>
      <c r="W217" s="3668">
        <f>SUM(W218:W220)</f>
        <v>24.96</v>
      </c>
      <c r="X217" s="3669"/>
      <c r="Y217" s="3670"/>
      <c r="Z217" s="3668">
        <f>SUM(Z218:Z220)</f>
        <v>54.82</v>
      </c>
      <c r="AA217" s="3669"/>
      <c r="AB217" s="3670"/>
      <c r="AC217" s="3668">
        <f>SUM(AC218:AC220)</f>
        <v>157.24</v>
      </c>
      <c r="AD217" s="3669"/>
      <c r="AE217" s="3670"/>
      <c r="AF217" s="3732">
        <f>SUM(B217+Q217)</f>
        <v>0</v>
      </c>
      <c r="AG217" s="3733"/>
      <c r="AH217" s="3734"/>
      <c r="AI217" s="3765">
        <f>SUM(N217+AC217)</f>
        <v>562.84</v>
      </c>
      <c r="AJ217" s="3766"/>
      <c r="AK217" s="3767"/>
      <c r="AL217" s="3765">
        <f>SUM(AI217-AF217)</f>
        <v>562.84</v>
      </c>
      <c r="AM217" s="3766"/>
      <c r="AN217" s="3767"/>
      <c r="AO217" s="3735">
        <f>SUM(AO218:AO220)</f>
        <v>0</v>
      </c>
      <c r="AP217" s="3736"/>
      <c r="AQ217" s="3737"/>
      <c r="AR217" s="3668">
        <f>SUM(AR218:AR220)</f>
        <v>81.3</v>
      </c>
      <c r="AS217" s="3669"/>
      <c r="AT217" s="3670"/>
      <c r="AU217" s="3668">
        <f>SUM(AU218:AU220)</f>
        <v>52.53</v>
      </c>
      <c r="AV217" s="3669"/>
      <c r="AW217" s="3670"/>
      <c r="AX217" s="3668">
        <f>SUM(AX218:AX220)</f>
        <v>13.54</v>
      </c>
      <c r="AY217" s="3669"/>
      <c r="AZ217" s="3670"/>
      <c r="BA217" s="3668">
        <f>SUM(BA218:BA220)</f>
        <v>147.36999999999998</v>
      </c>
      <c r="BB217" s="3669"/>
      <c r="BC217" s="3670"/>
      <c r="BD217" s="3732">
        <f t="shared" ref="BD217" si="1859">SUM(AF217+AO217)</f>
        <v>0</v>
      </c>
      <c r="BE217" s="3733"/>
      <c r="BF217" s="3734"/>
      <c r="BG217" s="3765">
        <f>SUM(BA217+AI217)</f>
        <v>710.21</v>
      </c>
      <c r="BH217" s="3766"/>
      <c r="BI217" s="3767"/>
      <c r="BJ217" s="3765">
        <f>SUM(BG217-BD217)</f>
        <v>710.21</v>
      </c>
      <c r="BK217" s="3766"/>
      <c r="BL217" s="3767"/>
      <c r="BM217" s="3735">
        <f>SUM(BM218:BM220)</f>
        <v>128.46299999999999</v>
      </c>
      <c r="BN217" s="3736"/>
      <c r="BO217" s="3737"/>
      <c r="BP217" s="3668">
        <f>SUM(BP218:BP220)</f>
        <v>0</v>
      </c>
      <c r="BQ217" s="3669"/>
      <c r="BR217" s="3670"/>
      <c r="BS217" s="3668">
        <f>SUM(BS218:BS220)</f>
        <v>0</v>
      </c>
      <c r="BT217" s="3669"/>
      <c r="BU217" s="3670"/>
      <c r="BV217" s="3668">
        <f>SUM(BV218:BV220)</f>
        <v>0</v>
      </c>
      <c r="BW217" s="3669"/>
      <c r="BX217" s="3670"/>
      <c r="BY217" s="3668">
        <f>SUM(BY218:BY220)</f>
        <v>0</v>
      </c>
      <c r="BZ217" s="3669"/>
      <c r="CA217" s="3670"/>
      <c r="CB217" s="3732">
        <f t="shared" ref="CB217:CB221" si="1860">SUM(BM217+BD217)</f>
        <v>128.46299999999999</v>
      </c>
      <c r="CC217" s="3733"/>
      <c r="CD217" s="3734"/>
      <c r="CE217" s="3765">
        <f>SUM(BY217+BG217)</f>
        <v>710.21</v>
      </c>
      <c r="CF217" s="3766"/>
      <c r="CG217" s="3767"/>
      <c r="CH217" s="3765">
        <f>SUM(CE217-CB217)</f>
        <v>581.74700000000007</v>
      </c>
      <c r="CI217" s="3766"/>
      <c r="CJ217" s="3767"/>
      <c r="CK217" s="3049"/>
      <c r="CL217" s="3049"/>
      <c r="CM217" s="3049"/>
      <c r="CN217" s="3049"/>
    </row>
    <row r="218" spans="1:92" ht="36" customHeight="1" x14ac:dyDescent="0.2">
      <c r="A218" s="3471" t="s">
        <v>3749</v>
      </c>
      <c r="B218" s="3634">
        <f>SUM(B157)</f>
        <v>0</v>
      </c>
      <c r="C218" s="3635"/>
      <c r="D218" s="3636"/>
      <c r="E218" s="3634">
        <f>SUM(E157)</f>
        <v>0</v>
      </c>
      <c r="F218" s="3635"/>
      <c r="G218" s="3636"/>
      <c r="H218" s="3634">
        <f>SUM(H157)</f>
        <v>0</v>
      </c>
      <c r="I218" s="3635"/>
      <c r="J218" s="3636"/>
      <c r="K218" s="3634">
        <f>SUM(K157)</f>
        <v>0</v>
      </c>
      <c r="L218" s="3635"/>
      <c r="M218" s="3636"/>
      <c r="N218" s="3634">
        <f>SUM(E218+H218+K218)</f>
        <v>0</v>
      </c>
      <c r="O218" s="3635"/>
      <c r="P218" s="3636"/>
      <c r="Q218" s="3634">
        <f>SUM(Q157)</f>
        <v>0</v>
      </c>
      <c r="R218" s="3635"/>
      <c r="S218" s="3636"/>
      <c r="T218" s="3634">
        <f>SUM(T157)</f>
        <v>0</v>
      </c>
      <c r="U218" s="3635"/>
      <c r="V218" s="3636"/>
      <c r="W218" s="3634">
        <f t="shared" ref="W218:W219" si="1861">SUM(W157)</f>
        <v>0</v>
      </c>
      <c r="X218" s="3635"/>
      <c r="Y218" s="3636"/>
      <c r="Z218" s="3634">
        <f t="shared" ref="Z218:Z219" si="1862">SUM(Z157)</f>
        <v>0</v>
      </c>
      <c r="AA218" s="3635"/>
      <c r="AB218" s="3636"/>
      <c r="AC218" s="3634">
        <f>SUM(T218+W218+Z218)</f>
        <v>0</v>
      </c>
      <c r="AD218" s="3635"/>
      <c r="AE218" s="3636"/>
      <c r="AF218" s="3686">
        <f>SUM(B218+Q218)</f>
        <v>0</v>
      </c>
      <c r="AG218" s="3687"/>
      <c r="AH218" s="3688"/>
      <c r="AI218" s="3738">
        <f t="shared" ref="AI218" si="1863">SUM(N218+AC218)</f>
        <v>0</v>
      </c>
      <c r="AJ218" s="3739"/>
      <c r="AK218" s="3740"/>
      <c r="AL218" s="3738">
        <f t="shared" ref="AL218" si="1864">SUM(AI218-AF218)</f>
        <v>0</v>
      </c>
      <c r="AM218" s="3739"/>
      <c r="AN218" s="3740"/>
      <c r="AO218" s="3634">
        <f t="shared" ref="AO218:AO219" si="1865">SUM(AO157)</f>
        <v>0</v>
      </c>
      <c r="AP218" s="3635"/>
      <c r="AQ218" s="3636"/>
      <c r="AR218" s="3634">
        <f t="shared" ref="AR218:AR219" si="1866">SUM(AR157)</f>
        <v>0</v>
      </c>
      <c r="AS218" s="3635"/>
      <c r="AT218" s="3636"/>
      <c r="AU218" s="3634">
        <f t="shared" ref="AU218:AU219" si="1867">SUM(AU157)</f>
        <v>0</v>
      </c>
      <c r="AV218" s="3635"/>
      <c r="AW218" s="3636"/>
      <c r="AX218" s="3634">
        <f t="shared" ref="AX218:AX219" si="1868">SUM(AX157)</f>
        <v>0</v>
      </c>
      <c r="AY218" s="3635"/>
      <c r="AZ218" s="3636"/>
      <c r="BA218" s="3634">
        <f>SUM(AR218+AU218+AX218)</f>
        <v>0</v>
      </c>
      <c r="BB218" s="3635"/>
      <c r="BC218" s="3636"/>
      <c r="BD218" s="3686">
        <f>SUM(AF218+AO218)</f>
        <v>0</v>
      </c>
      <c r="BE218" s="3687"/>
      <c r="BF218" s="3688"/>
      <c r="BG218" s="3738">
        <f t="shared" ref="BG218" si="1869">SUM(BA218+AI218)</f>
        <v>0</v>
      </c>
      <c r="BH218" s="3739"/>
      <c r="BI218" s="3740"/>
      <c r="BJ218" s="3738">
        <f>SUM(BG218-BD218)</f>
        <v>0</v>
      </c>
      <c r="BK218" s="3739"/>
      <c r="BL218" s="3740"/>
      <c r="BM218" s="3634">
        <f t="shared" ref="BM218:BM219" si="1870">SUM(BM157)</f>
        <v>128.46299999999999</v>
      </c>
      <c r="BN218" s="3635"/>
      <c r="BO218" s="3636"/>
      <c r="BP218" s="3634">
        <f t="shared" ref="BP218:BP219" si="1871">SUM(BP157)</f>
        <v>0</v>
      </c>
      <c r="BQ218" s="3635"/>
      <c r="BR218" s="3636"/>
      <c r="BS218" s="3634">
        <f t="shared" ref="BS218:BS219" si="1872">SUM(BS157)</f>
        <v>0</v>
      </c>
      <c r="BT218" s="3635"/>
      <c r="BU218" s="3636"/>
      <c r="BV218" s="3634">
        <f t="shared" ref="BV218:BV219" si="1873">SUM(BV157)</f>
        <v>0</v>
      </c>
      <c r="BW218" s="3635"/>
      <c r="BX218" s="3636"/>
      <c r="BY218" s="3634">
        <f>SUM(BP218+BS218+BV218)</f>
        <v>0</v>
      </c>
      <c r="BZ218" s="3635"/>
      <c r="CA218" s="3636"/>
      <c r="CB218" s="3686">
        <f t="shared" ref="CB218" si="1874">SUM(BM218+BD218)</f>
        <v>128.46299999999999</v>
      </c>
      <c r="CC218" s="3687"/>
      <c r="CD218" s="3688"/>
      <c r="CE218" s="3752">
        <f t="shared" ref="CE218" si="1875">SUM(BY218+BG218)</f>
        <v>0</v>
      </c>
      <c r="CF218" s="3753"/>
      <c r="CG218" s="3754"/>
      <c r="CH218" s="3752">
        <f>SUM(CE218-CB218)</f>
        <v>-128.46299999999999</v>
      </c>
      <c r="CI218" s="3753"/>
      <c r="CJ218" s="3754"/>
      <c r="CK218" s="3049"/>
      <c r="CL218" s="3049"/>
      <c r="CM218" s="3049"/>
      <c r="CN218" s="3049"/>
    </row>
    <row r="219" spans="1:92" ht="35.25" customHeight="1" x14ac:dyDescent="0.2">
      <c r="A219" s="3081" t="s">
        <v>3611</v>
      </c>
      <c r="B219" s="3634">
        <f>SUM(B158)</f>
        <v>0</v>
      </c>
      <c r="C219" s="3635"/>
      <c r="D219" s="3636"/>
      <c r="E219" s="3634">
        <f>SUM(E158)</f>
        <v>0</v>
      </c>
      <c r="F219" s="3635"/>
      <c r="G219" s="3636"/>
      <c r="H219" s="3634">
        <f>SUM(H158)</f>
        <v>0</v>
      </c>
      <c r="I219" s="3635"/>
      <c r="J219" s="3636"/>
      <c r="K219" s="3634">
        <f>SUM(K158)</f>
        <v>0</v>
      </c>
      <c r="L219" s="3635"/>
      <c r="M219" s="3636"/>
      <c r="N219" s="3634">
        <f>SUM(E219+H219+K219)</f>
        <v>0</v>
      </c>
      <c r="O219" s="3635"/>
      <c r="P219" s="3636"/>
      <c r="Q219" s="3634">
        <f>SUM(Q158)</f>
        <v>0</v>
      </c>
      <c r="R219" s="3635"/>
      <c r="S219" s="3636"/>
      <c r="T219" s="3634">
        <f>SUM(T158)</f>
        <v>45</v>
      </c>
      <c r="U219" s="3635"/>
      <c r="V219" s="3636"/>
      <c r="W219" s="3634">
        <f t="shared" si="1861"/>
        <v>0</v>
      </c>
      <c r="X219" s="3635"/>
      <c r="Y219" s="3636"/>
      <c r="Z219" s="3634">
        <f t="shared" si="1862"/>
        <v>0</v>
      </c>
      <c r="AA219" s="3635"/>
      <c r="AB219" s="3636"/>
      <c r="AC219" s="3634">
        <f>SUM(T219+W219+Z219)</f>
        <v>45</v>
      </c>
      <c r="AD219" s="3635"/>
      <c r="AE219" s="3636"/>
      <c r="AF219" s="3686">
        <f>SUM(B219+Q219)</f>
        <v>0</v>
      </c>
      <c r="AG219" s="3687"/>
      <c r="AH219" s="3688"/>
      <c r="AI219" s="3738">
        <f t="shared" ref="AI219:AI221" si="1876">SUM(N219+AC219)</f>
        <v>45</v>
      </c>
      <c r="AJ219" s="3739"/>
      <c r="AK219" s="3740"/>
      <c r="AL219" s="3738">
        <f t="shared" ref="AL219:AL221" si="1877">SUM(AI219-AF219)</f>
        <v>45</v>
      </c>
      <c r="AM219" s="3739"/>
      <c r="AN219" s="3740"/>
      <c r="AO219" s="3634">
        <f t="shared" si="1865"/>
        <v>0</v>
      </c>
      <c r="AP219" s="3635"/>
      <c r="AQ219" s="3636"/>
      <c r="AR219" s="3634">
        <f t="shared" si="1866"/>
        <v>0</v>
      </c>
      <c r="AS219" s="3635"/>
      <c r="AT219" s="3636"/>
      <c r="AU219" s="3634">
        <f t="shared" si="1867"/>
        <v>0</v>
      </c>
      <c r="AV219" s="3635"/>
      <c r="AW219" s="3636"/>
      <c r="AX219" s="3634">
        <f t="shared" si="1868"/>
        <v>0</v>
      </c>
      <c r="AY219" s="3635"/>
      <c r="AZ219" s="3636"/>
      <c r="BA219" s="3634">
        <f>SUM(AR219+AU219+AX219)</f>
        <v>0</v>
      </c>
      <c r="BB219" s="3635"/>
      <c r="BC219" s="3636"/>
      <c r="BD219" s="3686">
        <f>SUM(AF219+AO219)</f>
        <v>0</v>
      </c>
      <c r="BE219" s="3687"/>
      <c r="BF219" s="3688"/>
      <c r="BG219" s="3738">
        <f t="shared" ref="BG219:BG221" si="1878">SUM(BA219+AI219)</f>
        <v>45</v>
      </c>
      <c r="BH219" s="3739"/>
      <c r="BI219" s="3740"/>
      <c r="BJ219" s="3738">
        <f>SUM(BG219-BD219)</f>
        <v>45</v>
      </c>
      <c r="BK219" s="3739"/>
      <c r="BL219" s="3740"/>
      <c r="BM219" s="3634">
        <f t="shared" si="1870"/>
        <v>0</v>
      </c>
      <c r="BN219" s="3635"/>
      <c r="BO219" s="3636"/>
      <c r="BP219" s="3634">
        <f t="shared" si="1871"/>
        <v>0</v>
      </c>
      <c r="BQ219" s="3635"/>
      <c r="BR219" s="3636"/>
      <c r="BS219" s="3634">
        <f t="shared" si="1872"/>
        <v>0</v>
      </c>
      <c r="BT219" s="3635"/>
      <c r="BU219" s="3636"/>
      <c r="BV219" s="3634">
        <f t="shared" si="1873"/>
        <v>0</v>
      </c>
      <c r="BW219" s="3635"/>
      <c r="BX219" s="3636"/>
      <c r="BY219" s="3634">
        <f>SUM(BP219+BS219+BV219)</f>
        <v>0</v>
      </c>
      <c r="BZ219" s="3635"/>
      <c r="CA219" s="3636"/>
      <c r="CB219" s="3686">
        <f t="shared" si="1860"/>
        <v>0</v>
      </c>
      <c r="CC219" s="3687"/>
      <c r="CD219" s="3688"/>
      <c r="CE219" s="3752">
        <f t="shared" ref="CE219:CE221" si="1879">SUM(BY219+BG219)</f>
        <v>45</v>
      </c>
      <c r="CF219" s="3753"/>
      <c r="CG219" s="3754"/>
      <c r="CH219" s="3752">
        <f>SUM(CE219-CB219)</f>
        <v>45</v>
      </c>
      <c r="CI219" s="3753"/>
      <c r="CJ219" s="3754"/>
      <c r="CK219" s="3049"/>
      <c r="CL219" s="3049"/>
      <c r="CM219" s="3049"/>
      <c r="CN219" s="3049"/>
    </row>
    <row r="220" spans="1:92" ht="35.25" customHeight="1" x14ac:dyDescent="0.2">
      <c r="A220" s="3081" t="s">
        <v>3612</v>
      </c>
      <c r="B220" s="3634">
        <f>SUM(B159)</f>
        <v>0</v>
      </c>
      <c r="C220" s="3635"/>
      <c r="D220" s="3636"/>
      <c r="E220" s="3634">
        <f>SUM(E159)</f>
        <v>76.010000000000005</v>
      </c>
      <c r="F220" s="3635"/>
      <c r="G220" s="3636"/>
      <c r="H220" s="3634">
        <f>SUM(H159)</f>
        <v>162.63</v>
      </c>
      <c r="I220" s="3635"/>
      <c r="J220" s="3636"/>
      <c r="K220" s="3634">
        <f>SUM(K159)</f>
        <v>166.96</v>
      </c>
      <c r="L220" s="3635"/>
      <c r="M220" s="3636"/>
      <c r="N220" s="3634">
        <f>SUM(E220+H220+K220)</f>
        <v>405.6</v>
      </c>
      <c r="O220" s="3635"/>
      <c r="P220" s="3636"/>
      <c r="Q220" s="3634">
        <f>SUM(Q159)</f>
        <v>0</v>
      </c>
      <c r="R220" s="3635"/>
      <c r="S220" s="3636"/>
      <c r="T220" s="3634">
        <f>SUM(T159)</f>
        <v>32.46</v>
      </c>
      <c r="U220" s="3635"/>
      <c r="V220" s="3636"/>
      <c r="W220" s="3634">
        <f t="shared" ref="W220" si="1880">SUM(W159)</f>
        <v>24.96</v>
      </c>
      <c r="X220" s="3635"/>
      <c r="Y220" s="3636"/>
      <c r="Z220" s="3634">
        <f t="shared" ref="Z220" si="1881">SUM(Z159)</f>
        <v>54.82</v>
      </c>
      <c r="AA220" s="3635"/>
      <c r="AB220" s="3636"/>
      <c r="AC220" s="3634">
        <f>SUM(T220+W220+Z220)</f>
        <v>112.24000000000001</v>
      </c>
      <c r="AD220" s="3635"/>
      <c r="AE220" s="3636"/>
      <c r="AF220" s="3686">
        <f>SUM(B220+Q220)</f>
        <v>0</v>
      </c>
      <c r="AG220" s="3687"/>
      <c r="AH220" s="3688"/>
      <c r="AI220" s="3738">
        <f t="shared" si="1876"/>
        <v>517.84</v>
      </c>
      <c r="AJ220" s="3739"/>
      <c r="AK220" s="3740"/>
      <c r="AL220" s="3738">
        <f t="shared" si="1877"/>
        <v>517.84</v>
      </c>
      <c r="AM220" s="3739"/>
      <c r="AN220" s="3740"/>
      <c r="AO220" s="3634">
        <f t="shared" ref="AO220" si="1882">SUM(AO159)</f>
        <v>0</v>
      </c>
      <c r="AP220" s="3635"/>
      <c r="AQ220" s="3636"/>
      <c r="AR220" s="3634">
        <f t="shared" ref="AR220" si="1883">SUM(AR159)</f>
        <v>81.3</v>
      </c>
      <c r="AS220" s="3635"/>
      <c r="AT220" s="3636"/>
      <c r="AU220" s="3634">
        <f t="shared" ref="AU220" si="1884">SUM(AU159)</f>
        <v>52.53</v>
      </c>
      <c r="AV220" s="3635"/>
      <c r="AW220" s="3636"/>
      <c r="AX220" s="3634">
        <f t="shared" ref="AX220" si="1885">SUM(AX159)</f>
        <v>13.54</v>
      </c>
      <c r="AY220" s="3635"/>
      <c r="AZ220" s="3636"/>
      <c r="BA220" s="3634">
        <f>SUM(AR220+AU220+AX220)</f>
        <v>147.36999999999998</v>
      </c>
      <c r="BB220" s="3635"/>
      <c r="BC220" s="3636"/>
      <c r="BD220" s="3686">
        <f>SUM(AF220+AO220)</f>
        <v>0</v>
      </c>
      <c r="BE220" s="3687"/>
      <c r="BF220" s="3688"/>
      <c r="BG220" s="3738">
        <f t="shared" si="1878"/>
        <v>665.21</v>
      </c>
      <c r="BH220" s="3739"/>
      <c r="BI220" s="3740"/>
      <c r="BJ220" s="3738">
        <f>SUM(BG220-BD220)</f>
        <v>665.21</v>
      </c>
      <c r="BK220" s="3739"/>
      <c r="BL220" s="3740"/>
      <c r="BM220" s="3634">
        <f t="shared" ref="BM220" si="1886">SUM(BM159)</f>
        <v>0</v>
      </c>
      <c r="BN220" s="3635"/>
      <c r="BO220" s="3636"/>
      <c r="BP220" s="3634">
        <f t="shared" ref="BP220" si="1887">SUM(BP159)</f>
        <v>0</v>
      </c>
      <c r="BQ220" s="3635"/>
      <c r="BR220" s="3636"/>
      <c r="BS220" s="3634">
        <f t="shared" ref="BS220" si="1888">SUM(BS159)</f>
        <v>0</v>
      </c>
      <c r="BT220" s="3635"/>
      <c r="BU220" s="3636"/>
      <c r="BV220" s="3634">
        <f t="shared" ref="BV220" si="1889">SUM(BV159)</f>
        <v>0</v>
      </c>
      <c r="BW220" s="3635"/>
      <c r="BX220" s="3636"/>
      <c r="BY220" s="3634">
        <f>SUM(BP220+BS220+BV220)</f>
        <v>0</v>
      </c>
      <c r="BZ220" s="3635"/>
      <c r="CA220" s="3636"/>
      <c r="CB220" s="3686">
        <f t="shared" si="1860"/>
        <v>0</v>
      </c>
      <c r="CC220" s="3687"/>
      <c r="CD220" s="3688"/>
      <c r="CE220" s="3752">
        <f t="shared" si="1879"/>
        <v>665.21</v>
      </c>
      <c r="CF220" s="3753"/>
      <c r="CG220" s="3754"/>
      <c r="CH220" s="3752">
        <f>SUM(CE220-CB220)</f>
        <v>665.21</v>
      </c>
      <c r="CI220" s="3753"/>
      <c r="CJ220" s="3754"/>
      <c r="CK220" s="3049"/>
      <c r="CL220" s="3049"/>
      <c r="CM220" s="3049"/>
      <c r="CN220" s="3049"/>
    </row>
    <row r="221" spans="1:92" ht="18.75" x14ac:dyDescent="0.3">
      <c r="A221" s="3080" t="s">
        <v>3613</v>
      </c>
      <c r="B221" s="3735">
        <f>SUM(B214+B217)</f>
        <v>36807.620361995192</v>
      </c>
      <c r="C221" s="3736"/>
      <c r="D221" s="3737"/>
      <c r="E221" s="3668">
        <f>SUM(E214+E217)</f>
        <v>11503.007</v>
      </c>
      <c r="F221" s="3669"/>
      <c r="G221" s="3670"/>
      <c r="H221" s="3668">
        <f t="shared" ref="H221" si="1890">SUM(H214+H217)</f>
        <v>10495.055</v>
      </c>
      <c r="I221" s="3669"/>
      <c r="J221" s="3670"/>
      <c r="K221" s="3668">
        <f t="shared" ref="K221" si="1891">SUM(K214+K217)</f>
        <v>12698.896000000001</v>
      </c>
      <c r="L221" s="3669"/>
      <c r="M221" s="3670"/>
      <c r="N221" s="3668">
        <f t="shared" ref="N221" si="1892">SUM(N214+N217)</f>
        <v>34696.957999999999</v>
      </c>
      <c r="O221" s="3669"/>
      <c r="P221" s="3670"/>
      <c r="Q221" s="3735">
        <f>SUM(Q214+Q217)</f>
        <v>36807.620361995192</v>
      </c>
      <c r="R221" s="3736"/>
      <c r="S221" s="3737"/>
      <c r="T221" s="3668">
        <f>SUM(T214+T217)</f>
        <v>11401.967499999999</v>
      </c>
      <c r="U221" s="3669"/>
      <c r="V221" s="3670"/>
      <c r="W221" s="3668">
        <f t="shared" ref="W221" si="1893">SUM(W214+W217)</f>
        <v>12760.908999999998</v>
      </c>
      <c r="X221" s="3669"/>
      <c r="Y221" s="3670"/>
      <c r="Z221" s="3668">
        <f t="shared" ref="Z221" si="1894">SUM(Z214+Z217)</f>
        <v>12885.936</v>
      </c>
      <c r="AA221" s="3669"/>
      <c r="AB221" s="3670"/>
      <c r="AC221" s="3668">
        <f t="shared" ref="AC221" si="1895">SUM(AC214+AC217)</f>
        <v>37048.812499999993</v>
      </c>
      <c r="AD221" s="3669"/>
      <c r="AE221" s="3670"/>
      <c r="AF221" s="3732">
        <f>SUM(B221+Q221)</f>
        <v>73615.240723990384</v>
      </c>
      <c r="AG221" s="3733"/>
      <c r="AH221" s="3734"/>
      <c r="AI221" s="3765">
        <f t="shared" si="1876"/>
        <v>71745.770499999984</v>
      </c>
      <c r="AJ221" s="3766"/>
      <c r="AK221" s="3767"/>
      <c r="AL221" s="3765">
        <f t="shared" si="1877"/>
        <v>-1869.4702239904</v>
      </c>
      <c r="AM221" s="3766"/>
      <c r="AN221" s="3767"/>
      <c r="AO221" s="3735">
        <f>SUM(AO214+AO217)</f>
        <v>36979.844126076037</v>
      </c>
      <c r="AP221" s="3736"/>
      <c r="AQ221" s="3737"/>
      <c r="AR221" s="3668">
        <f>SUM(AR214+AR217)</f>
        <v>11627.032999999999</v>
      </c>
      <c r="AS221" s="3669"/>
      <c r="AT221" s="3670"/>
      <c r="AU221" s="3668">
        <f t="shared" ref="AU221" si="1896">SUM(AU214+AU217)</f>
        <v>12689.581</v>
      </c>
      <c r="AV221" s="3669"/>
      <c r="AW221" s="3670"/>
      <c r="AX221" s="3668">
        <f t="shared" ref="AX221" si="1897">SUM(AX214+AX217)</f>
        <v>13900.5527</v>
      </c>
      <c r="AY221" s="3669"/>
      <c r="AZ221" s="3670"/>
      <c r="BA221" s="3668">
        <f t="shared" ref="BA221" si="1898">SUM(BA214+BA217)</f>
        <v>38217.166700000002</v>
      </c>
      <c r="BB221" s="3669"/>
      <c r="BC221" s="3670"/>
      <c r="BD221" s="3732">
        <f t="shared" ref="BD221" si="1899">SUM(AF221+AO221)</f>
        <v>110595.08485006643</v>
      </c>
      <c r="BE221" s="3733"/>
      <c r="BF221" s="3734"/>
      <c r="BG221" s="3765">
        <f t="shared" si="1878"/>
        <v>109962.93719999999</v>
      </c>
      <c r="BH221" s="3766"/>
      <c r="BI221" s="3767"/>
      <c r="BJ221" s="3765">
        <f>SUM(BG221-BD221)</f>
        <v>-632.14765006644302</v>
      </c>
      <c r="BK221" s="3766"/>
      <c r="BL221" s="3767"/>
      <c r="BM221" s="3735">
        <f>SUM(BM214+BM217)</f>
        <v>37108.307126076041</v>
      </c>
      <c r="BN221" s="3736"/>
      <c r="BO221" s="3737"/>
      <c r="BP221" s="3668">
        <f>SUM(BP214+BP217)</f>
        <v>0</v>
      </c>
      <c r="BQ221" s="3669"/>
      <c r="BR221" s="3670"/>
      <c r="BS221" s="3668">
        <f t="shared" ref="BS221" si="1900">SUM(BS214+BS217)</f>
        <v>0</v>
      </c>
      <c r="BT221" s="3669"/>
      <c r="BU221" s="3670"/>
      <c r="BV221" s="3668">
        <f t="shared" ref="BV221" si="1901">SUM(BV214+BV217)</f>
        <v>0</v>
      </c>
      <c r="BW221" s="3669"/>
      <c r="BX221" s="3670"/>
      <c r="BY221" s="3668">
        <f t="shared" ref="BY221" si="1902">SUM(BY214+BY217)</f>
        <v>0</v>
      </c>
      <c r="BZ221" s="3669"/>
      <c r="CA221" s="3670"/>
      <c r="CB221" s="3732">
        <f t="shared" si="1860"/>
        <v>147703.39197614248</v>
      </c>
      <c r="CC221" s="3733"/>
      <c r="CD221" s="3734"/>
      <c r="CE221" s="3765">
        <f t="shared" si="1879"/>
        <v>109962.93719999999</v>
      </c>
      <c r="CF221" s="3766"/>
      <c r="CG221" s="3767"/>
      <c r="CH221" s="3765">
        <f>SUM(CE221-CB221)</f>
        <v>-37740.454776142491</v>
      </c>
      <c r="CI221" s="3766"/>
      <c r="CJ221" s="3767"/>
      <c r="CK221" s="3049"/>
      <c r="CL221" s="3049"/>
      <c r="CM221" s="3049"/>
      <c r="CN221" s="3049"/>
    </row>
    <row r="222" spans="1:92" ht="18.75" x14ac:dyDescent="0.3">
      <c r="A222" s="3084"/>
      <c r="B222" s="3084"/>
      <c r="C222" s="3084"/>
      <c r="D222" s="3084"/>
      <c r="E222" s="3084"/>
      <c r="F222" s="3084"/>
      <c r="G222" s="3084"/>
      <c r="H222" s="3084"/>
      <c r="I222" s="3084"/>
      <c r="J222" s="3084"/>
      <c r="K222" s="3084"/>
      <c r="L222" s="3084"/>
      <c r="M222" s="3084"/>
      <c r="N222" s="3094"/>
      <c r="O222" s="3094"/>
      <c r="P222" s="3094"/>
      <c r="Q222" s="3094"/>
      <c r="R222" s="3094"/>
      <c r="S222" s="3094"/>
      <c r="T222" s="3094"/>
      <c r="U222" s="3094"/>
      <c r="V222" s="3094"/>
      <c r="W222" s="3094"/>
      <c r="X222" s="3094"/>
      <c r="Y222" s="3094"/>
      <c r="Z222" s="3094"/>
      <c r="AA222" s="3094"/>
      <c r="AB222" s="3094"/>
      <c r="AC222" s="3094"/>
      <c r="AD222" s="3094"/>
      <c r="AE222" s="3094"/>
      <c r="AF222" s="3094"/>
      <c r="AG222" s="3094"/>
      <c r="AH222" s="3094"/>
      <c r="AI222" s="3094"/>
      <c r="AJ222" s="3094"/>
      <c r="AK222" s="3094"/>
      <c r="AL222" s="3094"/>
      <c r="AM222" s="3094"/>
      <c r="AN222" s="3094"/>
      <c r="AO222" s="3094"/>
      <c r="AP222" s="3094"/>
      <c r="AQ222" s="3094"/>
      <c r="AR222" s="3094"/>
      <c r="AS222" s="3094"/>
      <c r="AT222" s="3094"/>
      <c r="AU222" s="3094"/>
      <c r="AV222" s="3094"/>
      <c r="AW222" s="3094"/>
      <c r="AX222" s="3094"/>
      <c r="AY222" s="3094"/>
      <c r="AZ222" s="3094"/>
      <c r="BA222" s="3094"/>
      <c r="BB222" s="3094"/>
      <c r="BC222" s="3094"/>
      <c r="BD222" s="3094"/>
      <c r="BE222" s="3094"/>
      <c r="BF222" s="3094"/>
      <c r="BG222" s="3094"/>
      <c r="BH222" s="3094"/>
      <c r="BI222" s="3094"/>
      <c r="BJ222" s="3094"/>
      <c r="BK222" s="3094"/>
      <c r="BL222" s="3094"/>
      <c r="BM222" s="3094"/>
      <c r="BN222" s="3094"/>
      <c r="BO222" s="3094"/>
      <c r="BP222" s="3094"/>
      <c r="BQ222" s="3094"/>
      <c r="BR222" s="3094"/>
      <c r="BS222" s="3094"/>
      <c r="BT222" s="3094"/>
      <c r="BU222" s="3094"/>
      <c r="BV222" s="3094"/>
      <c r="BW222" s="3094"/>
      <c r="BX222" s="3094"/>
      <c r="BY222" s="3094"/>
      <c r="BZ222" s="3094"/>
      <c r="CA222" s="3094"/>
      <c r="CB222" s="3094"/>
      <c r="CC222" s="3094"/>
      <c r="CD222" s="3094"/>
      <c r="CE222" s="3094"/>
      <c r="CF222" s="3094"/>
      <c r="CG222" s="3094"/>
      <c r="CH222" s="3094"/>
      <c r="CI222" s="3049"/>
      <c r="CJ222" s="3049"/>
      <c r="CK222" s="3049"/>
      <c r="CL222" s="3049"/>
      <c r="CM222" s="3049"/>
      <c r="CN222" s="3049"/>
    </row>
    <row r="223" spans="1:92" ht="20.25" x14ac:dyDescent="0.3">
      <c r="A223" s="3044" t="s">
        <v>3678</v>
      </c>
      <c r="B223" s="3049"/>
      <c r="C223" s="3049"/>
      <c r="D223" s="3049"/>
      <c r="E223" s="3049"/>
      <c r="F223" s="3049"/>
      <c r="G223" s="3049"/>
      <c r="H223" s="3049"/>
      <c r="I223" s="3049"/>
      <c r="J223" s="3049"/>
      <c r="K223" s="3049"/>
      <c r="L223" s="3049"/>
      <c r="M223" s="3049"/>
      <c r="N223" s="3049"/>
      <c r="O223" s="3049"/>
      <c r="P223" s="3049"/>
      <c r="Q223" s="3049"/>
      <c r="R223" s="3049"/>
      <c r="S223" s="3049"/>
      <c r="T223" s="3049"/>
      <c r="U223" s="3049"/>
      <c r="V223" s="3049"/>
      <c r="W223" s="3049"/>
      <c r="X223" s="3049"/>
      <c r="Y223" s="3049"/>
      <c r="Z223" s="3049"/>
      <c r="AA223" s="3049"/>
      <c r="AB223" s="3049"/>
      <c r="AC223" s="3049"/>
      <c r="AD223" s="3049"/>
      <c r="AE223" s="3049"/>
      <c r="AF223" s="3049"/>
      <c r="AG223" s="3049"/>
      <c r="AH223" s="3049"/>
      <c r="AI223" s="3049"/>
      <c r="AJ223" s="3049"/>
      <c r="AK223" s="3049"/>
      <c r="AL223" s="3049"/>
      <c r="AM223" s="3049"/>
      <c r="AN223" s="3049"/>
      <c r="AO223" s="3049"/>
      <c r="AP223" s="3049"/>
      <c r="AQ223" s="3049"/>
      <c r="AR223" s="3049"/>
      <c r="AS223" s="3049"/>
      <c r="AT223" s="3049"/>
      <c r="AU223" s="3049"/>
      <c r="AV223" s="3049"/>
      <c r="AW223" s="3049"/>
      <c r="AX223" s="3049"/>
      <c r="AY223" s="3049"/>
      <c r="AZ223" s="3049"/>
      <c r="BA223" s="3049"/>
      <c r="BB223" s="3049"/>
      <c r="BC223" s="3049"/>
      <c r="BD223" s="3049"/>
      <c r="BE223" s="3049"/>
      <c r="BF223" s="3049"/>
      <c r="BG223" s="3049"/>
      <c r="BH223" s="3049"/>
      <c r="BI223" s="3049"/>
      <c r="BJ223" s="3049"/>
      <c r="BK223" s="3049"/>
      <c r="BL223" s="3049"/>
      <c r="BM223" s="3049"/>
      <c r="BN223" s="3049"/>
      <c r="BO223" s="3049"/>
      <c r="BP223" s="3049"/>
      <c r="BQ223" s="3049"/>
      <c r="BR223" s="3049"/>
      <c r="BS223" s="3049"/>
      <c r="BT223" s="3049"/>
      <c r="BU223" s="3049"/>
      <c r="BV223" s="3049"/>
      <c r="BW223" s="3049"/>
      <c r="BX223" s="3049"/>
      <c r="BY223" s="3049"/>
      <c r="BZ223" s="3049"/>
      <c r="CA223" s="3049"/>
      <c r="CB223" s="3049"/>
      <c r="CC223" s="3049"/>
      <c r="CD223" s="3049"/>
      <c r="CE223" s="3049"/>
      <c r="CF223" s="3049"/>
      <c r="CG223" s="3049"/>
      <c r="CH223" s="3049"/>
      <c r="CI223" s="3049"/>
      <c r="CJ223" s="3049"/>
      <c r="CK223" s="3049"/>
      <c r="CL223" s="3049"/>
      <c r="CM223" s="3049"/>
      <c r="CN223" s="3049"/>
    </row>
    <row r="224" spans="1:92" ht="20.25" x14ac:dyDescent="0.3">
      <c r="A224" s="3050"/>
      <c r="B224" s="3049"/>
      <c r="C224" s="3049"/>
      <c r="D224" s="3049"/>
      <c r="E224" s="3049"/>
      <c r="F224" s="3049"/>
      <c r="G224" s="3049"/>
      <c r="H224" s="3049"/>
      <c r="I224" s="3049"/>
      <c r="J224" s="3049"/>
      <c r="K224" s="3049"/>
      <c r="L224" s="3049"/>
      <c r="M224" s="3049"/>
      <c r="N224" s="3049"/>
      <c r="O224" s="3049"/>
      <c r="P224" s="3049"/>
      <c r="Q224" s="3049"/>
      <c r="R224" s="3049"/>
      <c r="S224" s="3049"/>
      <c r="T224" s="3049"/>
      <c r="U224" s="3049"/>
      <c r="V224" s="3049"/>
      <c r="W224" s="3049"/>
      <c r="X224" s="3049"/>
      <c r="Y224" s="3049"/>
      <c r="Z224" s="3049"/>
      <c r="AA224" s="3049"/>
      <c r="AB224" s="3049"/>
      <c r="AC224" s="3049"/>
      <c r="AD224" s="3049"/>
      <c r="AE224" s="3049"/>
      <c r="AF224" s="3049"/>
      <c r="AG224" s="3049"/>
      <c r="AH224" s="3049"/>
      <c r="AI224" s="3049"/>
      <c r="AJ224" s="3049"/>
      <c r="AK224" s="3049"/>
      <c r="AL224" s="3049"/>
      <c r="AM224" s="3049"/>
      <c r="AN224" s="3049"/>
      <c r="AO224" s="3049"/>
      <c r="AP224" s="3049"/>
      <c r="AQ224" s="3049"/>
      <c r="AR224" s="3049"/>
      <c r="AS224" s="3049"/>
      <c r="AT224" s="3049"/>
      <c r="AU224" s="3049"/>
      <c r="AV224" s="3049"/>
      <c r="AW224" s="3049"/>
      <c r="AX224" s="3049"/>
      <c r="AY224" s="3049"/>
      <c r="AZ224" s="3049"/>
      <c r="BA224" s="3049"/>
      <c r="BB224" s="3049"/>
      <c r="BC224" s="3049"/>
      <c r="BD224" s="3049"/>
      <c r="BE224" s="3049"/>
      <c r="BF224" s="3049"/>
      <c r="BG224" s="3049"/>
      <c r="BH224" s="3049"/>
      <c r="BI224" s="3049"/>
      <c r="BJ224" s="3049"/>
      <c r="BK224" s="3049"/>
      <c r="BL224" s="3049"/>
      <c r="BM224" s="3049"/>
      <c r="BN224" s="3049"/>
      <c r="BO224" s="3049"/>
      <c r="BP224" s="3049"/>
      <c r="BQ224" s="3049"/>
      <c r="BR224" s="3049"/>
      <c r="BS224" s="3049"/>
      <c r="BT224" s="3049"/>
      <c r="BU224" s="3049"/>
      <c r="BV224" s="3049"/>
      <c r="BW224" s="3049"/>
      <c r="BX224" s="3049"/>
      <c r="BY224" s="3049"/>
      <c r="BZ224" s="3049"/>
      <c r="CA224" s="3049"/>
      <c r="CB224" s="3049"/>
      <c r="CC224" s="3049"/>
      <c r="CD224" s="3049"/>
      <c r="CE224" s="3049"/>
      <c r="CF224" s="3049"/>
      <c r="CG224" s="3049"/>
      <c r="CH224" s="3049"/>
      <c r="CI224" s="3049"/>
      <c r="CJ224" s="3049"/>
      <c r="CK224" s="3049"/>
      <c r="CL224" s="3049"/>
      <c r="CM224" s="3049"/>
      <c r="CN224" s="3049"/>
    </row>
    <row r="225" spans="1:92" ht="18.75" customHeight="1" x14ac:dyDescent="0.2">
      <c r="A225" s="3723" t="s">
        <v>536</v>
      </c>
      <c r="B225" s="3707" t="s">
        <v>3575</v>
      </c>
      <c r="C225" s="3708"/>
      <c r="D225" s="3708"/>
      <c r="E225" s="3708"/>
      <c r="F225" s="3708"/>
      <c r="G225" s="3708"/>
      <c r="H225" s="3708"/>
      <c r="I225" s="3708"/>
      <c r="J225" s="3708"/>
      <c r="K225" s="3708"/>
      <c r="L225" s="3708"/>
      <c r="M225" s="3708"/>
      <c r="N225" s="3708"/>
      <c r="O225" s="3708"/>
      <c r="P225" s="3725"/>
      <c r="Q225" s="3696" t="s">
        <v>3576</v>
      </c>
      <c r="R225" s="3697"/>
      <c r="S225" s="3697"/>
      <c r="T225" s="3697"/>
      <c r="U225" s="3697"/>
      <c r="V225" s="3697"/>
      <c r="W225" s="3697"/>
      <c r="X225" s="3697"/>
      <c r="Y225" s="3697"/>
      <c r="Z225" s="3697"/>
      <c r="AA225" s="3697"/>
      <c r="AB225" s="3697"/>
      <c r="AC225" s="3697"/>
      <c r="AD225" s="3655"/>
      <c r="AE225" s="3656"/>
      <c r="AF225" s="3692" t="s">
        <v>3577</v>
      </c>
      <c r="AG225" s="3693"/>
      <c r="AH225" s="3693"/>
      <c r="AI225" s="3693"/>
      <c r="AJ225" s="3693"/>
      <c r="AK225" s="3693"/>
      <c r="AL225" s="3693"/>
      <c r="AM225" s="3705"/>
      <c r="AN225" s="3706"/>
      <c r="AO225" s="3707" t="s">
        <v>3578</v>
      </c>
      <c r="AP225" s="3708"/>
      <c r="AQ225" s="3708"/>
      <c r="AR225" s="3708"/>
      <c r="AS225" s="3708"/>
      <c r="AT225" s="3708"/>
      <c r="AU225" s="3708"/>
      <c r="AV225" s="3708"/>
      <c r="AW225" s="3708"/>
      <c r="AX225" s="3708"/>
      <c r="AY225" s="3708"/>
      <c r="AZ225" s="3708"/>
      <c r="BA225" s="3708"/>
      <c r="BB225" s="3705"/>
      <c r="BC225" s="3706"/>
      <c r="BD225" s="3692" t="s">
        <v>3579</v>
      </c>
      <c r="BE225" s="3693"/>
      <c r="BF225" s="3693"/>
      <c r="BG225" s="3693"/>
      <c r="BH225" s="3693"/>
      <c r="BI225" s="3693"/>
      <c r="BJ225" s="3693"/>
      <c r="BK225" s="3705"/>
      <c r="BL225" s="3706"/>
      <c r="BM225" s="3726" t="s">
        <v>3580</v>
      </c>
      <c r="BN225" s="3727"/>
      <c r="BO225" s="3727"/>
      <c r="BP225" s="3727"/>
      <c r="BQ225" s="3727"/>
      <c r="BR225" s="3727"/>
      <c r="BS225" s="3727"/>
      <c r="BT225" s="3727"/>
      <c r="BU225" s="3727"/>
      <c r="BV225" s="3727"/>
      <c r="BW225" s="3727"/>
      <c r="BX225" s="3727"/>
      <c r="BY225" s="3727"/>
      <c r="BZ225" s="3607"/>
      <c r="CA225" s="3607"/>
      <c r="CB225" s="3692" t="s">
        <v>2019</v>
      </c>
      <c r="CC225" s="3693"/>
      <c r="CD225" s="3693"/>
      <c r="CE225" s="3693"/>
      <c r="CF225" s="3693"/>
      <c r="CG225" s="3693"/>
      <c r="CH225" s="3693"/>
      <c r="CI225" s="3694"/>
      <c r="CJ225" s="3695"/>
      <c r="CK225" s="3049"/>
      <c r="CL225" s="3049"/>
      <c r="CM225" s="3049"/>
      <c r="CN225" s="3049"/>
    </row>
    <row r="226" spans="1:92" ht="18.75" customHeight="1" x14ac:dyDescent="0.2">
      <c r="A226" s="3724"/>
      <c r="B226" s="3696" t="s">
        <v>3581</v>
      </c>
      <c r="C226" s="3697"/>
      <c r="D226" s="3698"/>
      <c r="E226" s="3726" t="s">
        <v>582</v>
      </c>
      <c r="F226" s="3727"/>
      <c r="G226" s="3728"/>
      <c r="H226" s="3726" t="s">
        <v>583</v>
      </c>
      <c r="I226" s="3727"/>
      <c r="J226" s="3728"/>
      <c r="K226" s="3726" t="s">
        <v>584</v>
      </c>
      <c r="L226" s="3727"/>
      <c r="M226" s="3728"/>
      <c r="N226" s="3696" t="s">
        <v>1692</v>
      </c>
      <c r="O226" s="3697"/>
      <c r="P226" s="3698"/>
      <c r="Q226" s="3696" t="s">
        <v>3581</v>
      </c>
      <c r="R226" s="3697"/>
      <c r="S226" s="3698"/>
      <c r="T226" s="3729" t="s">
        <v>3582</v>
      </c>
      <c r="U226" s="3730"/>
      <c r="V226" s="3731"/>
      <c r="W226" s="3729" t="s">
        <v>586</v>
      </c>
      <c r="X226" s="3730"/>
      <c r="Y226" s="3731"/>
      <c r="Z226" s="3729" t="s">
        <v>587</v>
      </c>
      <c r="AA226" s="3730"/>
      <c r="AB226" s="3731"/>
      <c r="AC226" s="3696" t="s">
        <v>1692</v>
      </c>
      <c r="AD226" s="3697"/>
      <c r="AE226" s="3698"/>
      <c r="AF226" s="3699" t="s">
        <v>3581</v>
      </c>
      <c r="AG226" s="3700"/>
      <c r="AH226" s="3701"/>
      <c r="AI226" s="3699" t="s">
        <v>1692</v>
      </c>
      <c r="AJ226" s="3700"/>
      <c r="AK226" s="3701"/>
      <c r="AL226" s="3699" t="s">
        <v>3583</v>
      </c>
      <c r="AM226" s="3700"/>
      <c r="AN226" s="3701"/>
      <c r="AO226" s="3712" t="s">
        <v>3581</v>
      </c>
      <c r="AP226" s="3713"/>
      <c r="AQ226" s="3714"/>
      <c r="AR226" s="3702" t="s">
        <v>588</v>
      </c>
      <c r="AS226" s="3703"/>
      <c r="AT226" s="3704"/>
      <c r="AU226" s="3702" t="s">
        <v>589</v>
      </c>
      <c r="AV226" s="3703"/>
      <c r="AW226" s="3704"/>
      <c r="AX226" s="3702" t="s">
        <v>590</v>
      </c>
      <c r="AY226" s="3703"/>
      <c r="AZ226" s="3704"/>
      <c r="BA226" s="3712" t="s">
        <v>1692</v>
      </c>
      <c r="BB226" s="3713"/>
      <c r="BC226" s="3714"/>
      <c r="BD226" s="3715" t="s">
        <v>3581</v>
      </c>
      <c r="BE226" s="3716"/>
      <c r="BF226" s="3717"/>
      <c r="BG226" s="3715" t="s">
        <v>1692</v>
      </c>
      <c r="BH226" s="3716"/>
      <c r="BI226" s="3717"/>
      <c r="BJ226" s="3715" t="s">
        <v>3583</v>
      </c>
      <c r="BK226" s="3716"/>
      <c r="BL226" s="3717"/>
      <c r="BM226" s="3762" t="s">
        <v>3581</v>
      </c>
      <c r="BN226" s="3763"/>
      <c r="BO226" s="3764"/>
      <c r="BP226" s="3709" t="s">
        <v>591</v>
      </c>
      <c r="BQ226" s="3710"/>
      <c r="BR226" s="3711"/>
      <c r="BS226" s="3709" t="s">
        <v>592</v>
      </c>
      <c r="BT226" s="3710"/>
      <c r="BU226" s="3711"/>
      <c r="BV226" s="3709" t="s">
        <v>593</v>
      </c>
      <c r="BW226" s="3710"/>
      <c r="BX226" s="3711"/>
      <c r="BY226" s="3762" t="s">
        <v>1692</v>
      </c>
      <c r="BZ226" s="3763"/>
      <c r="CA226" s="3763"/>
      <c r="CB226" s="3718" t="s">
        <v>3581</v>
      </c>
      <c r="CC226" s="3721"/>
      <c r="CD226" s="3722"/>
      <c r="CE226" s="3718" t="s">
        <v>1692</v>
      </c>
      <c r="CF226" s="3721"/>
      <c r="CG226" s="3722"/>
      <c r="CH226" s="3718" t="s">
        <v>3583</v>
      </c>
      <c r="CI226" s="3719"/>
      <c r="CJ226" s="3720"/>
      <c r="CK226" s="3049"/>
      <c r="CL226" s="3049"/>
      <c r="CM226" s="3049"/>
      <c r="CN226" s="3049"/>
    </row>
    <row r="227" spans="1:92" ht="18.75" customHeight="1" x14ac:dyDescent="0.2">
      <c r="A227" s="3724"/>
      <c r="B227" s="3095" t="s">
        <v>627</v>
      </c>
      <c r="C227" s="3095" t="s">
        <v>3625</v>
      </c>
      <c r="D227" s="3095" t="s">
        <v>3626</v>
      </c>
      <c r="E227" s="3095" t="s">
        <v>627</v>
      </c>
      <c r="F227" s="3095" t="s">
        <v>3625</v>
      </c>
      <c r="G227" s="3095" t="s">
        <v>3626</v>
      </c>
      <c r="H227" s="3095" t="s">
        <v>627</v>
      </c>
      <c r="I227" s="3095" t="s">
        <v>3625</v>
      </c>
      <c r="J227" s="3095" t="s">
        <v>3626</v>
      </c>
      <c r="K227" s="3095" t="s">
        <v>627</v>
      </c>
      <c r="L227" s="3095" t="s">
        <v>3625</v>
      </c>
      <c r="M227" s="3095" t="s">
        <v>3626</v>
      </c>
      <c r="N227" s="3095" t="s">
        <v>627</v>
      </c>
      <c r="O227" s="3095" t="s">
        <v>3625</v>
      </c>
      <c r="P227" s="3095" t="s">
        <v>3626</v>
      </c>
      <c r="Q227" s="3095" t="s">
        <v>627</v>
      </c>
      <c r="R227" s="3095" t="s">
        <v>3625</v>
      </c>
      <c r="S227" s="3095" t="s">
        <v>3626</v>
      </c>
      <c r="T227" s="3095" t="s">
        <v>627</v>
      </c>
      <c r="U227" s="3095" t="s">
        <v>3625</v>
      </c>
      <c r="V227" s="3095" t="s">
        <v>3626</v>
      </c>
      <c r="W227" s="3095" t="s">
        <v>627</v>
      </c>
      <c r="X227" s="3095" t="s">
        <v>3625</v>
      </c>
      <c r="Y227" s="3095" t="s">
        <v>3626</v>
      </c>
      <c r="Z227" s="3095" t="s">
        <v>627</v>
      </c>
      <c r="AA227" s="3095" t="s">
        <v>3625</v>
      </c>
      <c r="AB227" s="3095" t="s">
        <v>3626</v>
      </c>
      <c r="AC227" s="3095" t="s">
        <v>627</v>
      </c>
      <c r="AD227" s="3095" t="s">
        <v>3625</v>
      </c>
      <c r="AE227" s="3095" t="s">
        <v>3626</v>
      </c>
      <c r="AF227" s="3096" t="s">
        <v>627</v>
      </c>
      <c r="AG227" s="3096" t="s">
        <v>3625</v>
      </c>
      <c r="AH227" s="3096" t="s">
        <v>3626</v>
      </c>
      <c r="AI227" s="3096" t="s">
        <v>627</v>
      </c>
      <c r="AJ227" s="3096" t="s">
        <v>3625</v>
      </c>
      <c r="AK227" s="3096" t="s">
        <v>3626</v>
      </c>
      <c r="AL227" s="3096" t="s">
        <v>627</v>
      </c>
      <c r="AM227" s="3096" t="s">
        <v>3625</v>
      </c>
      <c r="AN227" s="3096" t="s">
        <v>3626</v>
      </c>
      <c r="AO227" s="3095" t="s">
        <v>627</v>
      </c>
      <c r="AP227" s="3095" t="s">
        <v>3625</v>
      </c>
      <c r="AQ227" s="3095" t="s">
        <v>3626</v>
      </c>
      <c r="AR227" s="3095" t="s">
        <v>627</v>
      </c>
      <c r="AS227" s="3095" t="s">
        <v>3625</v>
      </c>
      <c r="AT227" s="3095" t="s">
        <v>3626</v>
      </c>
      <c r="AU227" s="3095" t="s">
        <v>627</v>
      </c>
      <c r="AV227" s="3095" t="s">
        <v>3625</v>
      </c>
      <c r="AW227" s="3095" t="s">
        <v>3626</v>
      </c>
      <c r="AX227" s="3095" t="s">
        <v>627</v>
      </c>
      <c r="AY227" s="3095" t="s">
        <v>3625</v>
      </c>
      <c r="AZ227" s="3095" t="s">
        <v>3626</v>
      </c>
      <c r="BA227" s="3095" t="s">
        <v>627</v>
      </c>
      <c r="BB227" s="3095" t="s">
        <v>3625</v>
      </c>
      <c r="BC227" s="3095" t="s">
        <v>3626</v>
      </c>
      <c r="BD227" s="3096" t="s">
        <v>627</v>
      </c>
      <c r="BE227" s="3096" t="s">
        <v>3625</v>
      </c>
      <c r="BF227" s="3096" t="s">
        <v>3626</v>
      </c>
      <c r="BG227" s="3096" t="s">
        <v>627</v>
      </c>
      <c r="BH227" s="3096" t="s">
        <v>3625</v>
      </c>
      <c r="BI227" s="3096" t="s">
        <v>3626</v>
      </c>
      <c r="BJ227" s="3096" t="s">
        <v>627</v>
      </c>
      <c r="BK227" s="3096" t="s">
        <v>3625</v>
      </c>
      <c r="BL227" s="3096" t="s">
        <v>3626</v>
      </c>
      <c r="BM227" s="3095" t="s">
        <v>627</v>
      </c>
      <c r="BN227" s="3095" t="s">
        <v>3625</v>
      </c>
      <c r="BO227" s="3095" t="s">
        <v>3626</v>
      </c>
      <c r="BP227" s="3095" t="s">
        <v>627</v>
      </c>
      <c r="BQ227" s="3095" t="s">
        <v>3625</v>
      </c>
      <c r="BR227" s="3095" t="s">
        <v>3626</v>
      </c>
      <c r="BS227" s="3095" t="s">
        <v>627</v>
      </c>
      <c r="BT227" s="3095" t="s">
        <v>3625</v>
      </c>
      <c r="BU227" s="3095" t="s">
        <v>3626</v>
      </c>
      <c r="BV227" s="3095" t="s">
        <v>627</v>
      </c>
      <c r="BW227" s="3095" t="s">
        <v>3625</v>
      </c>
      <c r="BX227" s="3095" t="s">
        <v>3626</v>
      </c>
      <c r="BY227" s="3095" t="s">
        <v>627</v>
      </c>
      <c r="BZ227" s="3095" t="s">
        <v>3625</v>
      </c>
      <c r="CA227" s="3097" t="s">
        <v>3626</v>
      </c>
      <c r="CB227" s="3096" t="s">
        <v>627</v>
      </c>
      <c r="CC227" s="3096" t="s">
        <v>3625</v>
      </c>
      <c r="CD227" s="3096" t="s">
        <v>3626</v>
      </c>
      <c r="CE227" s="3096" t="s">
        <v>627</v>
      </c>
      <c r="CF227" s="3096" t="s">
        <v>3625</v>
      </c>
      <c r="CG227" s="3096" t="s">
        <v>3626</v>
      </c>
      <c r="CH227" s="3096" t="s">
        <v>627</v>
      </c>
      <c r="CI227" s="3096" t="s">
        <v>3625</v>
      </c>
      <c r="CJ227" s="3096" t="s">
        <v>3626</v>
      </c>
      <c r="CK227" s="3049"/>
      <c r="CL227" s="3049"/>
      <c r="CM227" s="3049"/>
      <c r="CN227" s="3049"/>
    </row>
    <row r="228" spans="1:92" ht="18.75" x14ac:dyDescent="0.3">
      <c r="A228" s="3075" t="s">
        <v>72</v>
      </c>
      <c r="B228" s="3270">
        <f t="shared" ref="B228" si="1903">SUM(B33+B67+B102+B126)</f>
        <v>1759.5410263949266</v>
      </c>
      <c r="C228" s="3270">
        <f t="shared" ref="C228:S228" si="1904">SUM(C33+C67+C102+C126)</f>
        <v>1759.3429933550217</v>
      </c>
      <c r="D228" s="3270">
        <f t="shared" si="1904"/>
        <v>0.19803303990490731</v>
      </c>
      <c r="E228" s="3088">
        <f t="shared" si="1904"/>
        <v>647.44000000000005</v>
      </c>
      <c r="F228" s="3088">
        <f t="shared" si="1904"/>
        <v>647.44000000000005</v>
      </c>
      <c r="G228" s="3088">
        <f t="shared" si="1904"/>
        <v>0</v>
      </c>
      <c r="H228" s="3088">
        <f t="shared" si="1904"/>
        <v>483.36</v>
      </c>
      <c r="I228" s="3088">
        <f t="shared" si="1904"/>
        <v>483.36</v>
      </c>
      <c r="J228" s="3088">
        <f t="shared" si="1904"/>
        <v>0</v>
      </c>
      <c r="K228" s="3088">
        <f t="shared" si="1904"/>
        <v>702.38000000000011</v>
      </c>
      <c r="L228" s="3088">
        <f t="shared" si="1904"/>
        <v>702.38000000000011</v>
      </c>
      <c r="M228" s="3088">
        <f t="shared" si="1904"/>
        <v>0</v>
      </c>
      <c r="N228" s="3088">
        <f t="shared" si="1904"/>
        <v>1833.18</v>
      </c>
      <c r="O228" s="3088">
        <f t="shared" si="1904"/>
        <v>1833.18</v>
      </c>
      <c r="P228" s="3088">
        <f t="shared" si="1904"/>
        <v>0</v>
      </c>
      <c r="Q228" s="3270">
        <f t="shared" si="1904"/>
        <v>1759.5410263949266</v>
      </c>
      <c r="R228" s="3270">
        <f t="shared" si="1904"/>
        <v>1759.3429933550217</v>
      </c>
      <c r="S228" s="3270">
        <f t="shared" si="1904"/>
        <v>0.19803303990490731</v>
      </c>
      <c r="T228" s="3088">
        <f t="shared" ref="T228:AE228" si="1905">SUM(T33+T67+T102+T126)</f>
        <v>482.5</v>
      </c>
      <c r="U228" s="3088">
        <f t="shared" si="1905"/>
        <v>482.5</v>
      </c>
      <c r="V228" s="3088">
        <f t="shared" si="1905"/>
        <v>0</v>
      </c>
      <c r="W228" s="3088">
        <f t="shared" si="1905"/>
        <v>579.52</v>
      </c>
      <c r="X228" s="3088">
        <f t="shared" si="1905"/>
        <v>579.52</v>
      </c>
      <c r="Y228" s="3088">
        <f t="shared" si="1905"/>
        <v>0</v>
      </c>
      <c r="Z228" s="3088">
        <f t="shared" si="1905"/>
        <v>634.91</v>
      </c>
      <c r="AA228" s="3088">
        <f t="shared" si="1905"/>
        <v>634.91</v>
      </c>
      <c r="AB228" s="3088">
        <f t="shared" si="1905"/>
        <v>0</v>
      </c>
      <c r="AC228" s="3088">
        <f t="shared" si="1905"/>
        <v>1696.9299999999998</v>
      </c>
      <c r="AD228" s="3088">
        <f t="shared" si="1905"/>
        <v>1696.9299999999998</v>
      </c>
      <c r="AE228" s="3088">
        <f t="shared" si="1905"/>
        <v>0</v>
      </c>
      <c r="AF228" s="3273">
        <f t="shared" ref="AF228:AK228" si="1906">SUM(AF33+AF67+AF102+AF126)</f>
        <v>3519.0820527898532</v>
      </c>
      <c r="AG228" s="3273">
        <f t="shared" si="1906"/>
        <v>3518.6859867100434</v>
      </c>
      <c r="AH228" s="3273">
        <f t="shared" si="1906"/>
        <v>0.39606607980981462</v>
      </c>
      <c r="AI228" s="3089">
        <f t="shared" si="1906"/>
        <v>3530.11</v>
      </c>
      <c r="AJ228" s="3089">
        <f t="shared" si="1906"/>
        <v>3530.11</v>
      </c>
      <c r="AK228" s="3089">
        <f t="shared" si="1906"/>
        <v>0</v>
      </c>
      <c r="AL228" s="3062">
        <f t="shared" ref="AL228:AL260" si="1907">SUM(AI228-AF228)</f>
        <v>11.027947210146976</v>
      </c>
      <c r="AM228" s="3062">
        <f t="shared" ref="AM228:AM260" si="1908">SUM(AJ228-AG228)</f>
        <v>11.424013289956747</v>
      </c>
      <c r="AN228" s="3062">
        <f t="shared" ref="AN228:AN260" si="1909">SUM(AK228-AH228)</f>
        <v>-0.39606607980981462</v>
      </c>
      <c r="AO228" s="3270">
        <f t="shared" ref="AO228:BC228" si="1910">SUM(AO33+AO67+AO102+AO126)</f>
        <v>1759.5410263949266</v>
      </c>
      <c r="AP228" s="3270">
        <f t="shared" si="1910"/>
        <v>1759.3429933550217</v>
      </c>
      <c r="AQ228" s="3270">
        <f t="shared" si="1910"/>
        <v>0.19803303990490731</v>
      </c>
      <c r="AR228" s="3088">
        <f t="shared" si="1910"/>
        <v>539.74</v>
      </c>
      <c r="AS228" s="3088">
        <f t="shared" si="1910"/>
        <v>539.74</v>
      </c>
      <c r="AT228" s="3088">
        <f t="shared" si="1910"/>
        <v>0</v>
      </c>
      <c r="AU228" s="3088">
        <f t="shared" si="1910"/>
        <v>620.70000000000005</v>
      </c>
      <c r="AV228" s="3088">
        <f t="shared" si="1910"/>
        <v>620.70000000000005</v>
      </c>
      <c r="AW228" s="3088">
        <f t="shared" si="1910"/>
        <v>0</v>
      </c>
      <c r="AX228" s="3088">
        <f t="shared" si="1910"/>
        <v>701.77</v>
      </c>
      <c r="AY228" s="3088">
        <f t="shared" si="1910"/>
        <v>701.77</v>
      </c>
      <c r="AZ228" s="3088">
        <f t="shared" si="1910"/>
        <v>0</v>
      </c>
      <c r="BA228" s="3088">
        <f t="shared" si="1910"/>
        <v>1862.21</v>
      </c>
      <c r="BB228" s="3088">
        <f t="shared" si="1910"/>
        <v>1862.21</v>
      </c>
      <c r="BC228" s="3088">
        <f t="shared" si="1910"/>
        <v>0</v>
      </c>
      <c r="BD228" s="3273">
        <f t="shared" ref="BD228:BI228" si="1911">SUM(BD33+BD67+BD102+BD126)</f>
        <v>5278.6230791847793</v>
      </c>
      <c r="BE228" s="3273">
        <f t="shared" si="1911"/>
        <v>5278.0289800650644</v>
      </c>
      <c r="BF228" s="3273">
        <f t="shared" si="1911"/>
        <v>0.59409911971472196</v>
      </c>
      <c r="BG228" s="3089">
        <f t="shared" si="1911"/>
        <v>5392.32</v>
      </c>
      <c r="BH228" s="3089">
        <f t="shared" si="1911"/>
        <v>5392.32</v>
      </c>
      <c r="BI228" s="3089">
        <f t="shared" si="1911"/>
        <v>0</v>
      </c>
      <c r="BJ228" s="3062">
        <f t="shared" ref="BJ228:BJ260" si="1912">SUM(BG228-BD228)</f>
        <v>113.69692081522044</v>
      </c>
      <c r="BK228" s="3062">
        <f t="shared" ref="BK228:BK260" si="1913">SUM(BH228-BE228)</f>
        <v>114.29101993493532</v>
      </c>
      <c r="BL228" s="3062">
        <f t="shared" ref="BL228:BL260" si="1914">SUM(BI228-BF228)</f>
        <v>-0.59409911971472196</v>
      </c>
      <c r="BM228" s="3270">
        <f t="shared" ref="BM228:CA228" si="1915">SUM(BM33+BM67+BM102+BM126)</f>
        <v>1759.5410263949266</v>
      </c>
      <c r="BN228" s="3270">
        <f t="shared" si="1915"/>
        <v>1759.3429933550217</v>
      </c>
      <c r="BO228" s="3270">
        <f t="shared" si="1915"/>
        <v>0.19803303990490731</v>
      </c>
      <c r="BP228" s="3088">
        <f t="shared" si="1915"/>
        <v>0</v>
      </c>
      <c r="BQ228" s="3088">
        <f t="shared" si="1915"/>
        <v>0</v>
      </c>
      <c r="BR228" s="3088">
        <f t="shared" si="1915"/>
        <v>0</v>
      </c>
      <c r="BS228" s="3088">
        <f t="shared" si="1915"/>
        <v>0</v>
      </c>
      <c r="BT228" s="3088">
        <f t="shared" si="1915"/>
        <v>0</v>
      </c>
      <c r="BU228" s="3088">
        <f t="shared" si="1915"/>
        <v>0</v>
      </c>
      <c r="BV228" s="3088">
        <f t="shared" si="1915"/>
        <v>0</v>
      </c>
      <c r="BW228" s="3088">
        <f t="shared" si="1915"/>
        <v>0</v>
      </c>
      <c r="BX228" s="3088">
        <f t="shared" si="1915"/>
        <v>0</v>
      </c>
      <c r="BY228" s="3088">
        <f t="shared" si="1915"/>
        <v>0</v>
      </c>
      <c r="BZ228" s="3088">
        <f t="shared" si="1915"/>
        <v>0</v>
      </c>
      <c r="CA228" s="3088">
        <f t="shared" si="1915"/>
        <v>0</v>
      </c>
      <c r="CB228" s="3273">
        <f t="shared" ref="CB228:CG228" si="1916">SUM(CB33+CB67+CB102+CB126)</f>
        <v>7038.1641055797063</v>
      </c>
      <c r="CC228" s="3273">
        <f t="shared" si="1916"/>
        <v>7037.3719734200868</v>
      </c>
      <c r="CD228" s="3273">
        <f t="shared" si="1916"/>
        <v>0.79213215961962924</v>
      </c>
      <c r="CE228" s="3089">
        <f t="shared" si="1916"/>
        <v>5392.32</v>
      </c>
      <c r="CF228" s="3089">
        <f t="shared" si="1916"/>
        <v>5392.32</v>
      </c>
      <c r="CG228" s="3089">
        <f t="shared" si="1916"/>
        <v>0</v>
      </c>
      <c r="CH228" s="3062">
        <f t="shared" ref="CH228:CH260" si="1917">SUM(CE228-CB228)</f>
        <v>-1645.8441055797066</v>
      </c>
      <c r="CI228" s="3062">
        <f t="shared" ref="CI228:CI260" si="1918">SUM(CF228-CC228)</f>
        <v>-1645.0519734200871</v>
      </c>
      <c r="CJ228" s="3062">
        <f t="shared" ref="CJ228:CJ260" si="1919">SUM(CG228-CD228)</f>
        <v>-0.79213215961962924</v>
      </c>
      <c r="CK228" s="3049"/>
      <c r="CL228" s="3049"/>
      <c r="CM228" s="3049"/>
      <c r="CN228" s="3049"/>
    </row>
    <row r="229" spans="1:92" ht="18.75" x14ac:dyDescent="0.3">
      <c r="A229" s="3075" t="s">
        <v>117</v>
      </c>
      <c r="B229" s="3270">
        <f t="shared" ref="B229" si="1920">SUM(B34+B68+B103+B127)</f>
        <v>529.49509163874188</v>
      </c>
      <c r="C229" s="3270">
        <f t="shared" ref="C229:S229" si="1921">SUM(C34+C68+C103+C127)</f>
        <v>529.43529171148532</v>
      </c>
      <c r="D229" s="3270">
        <f t="shared" si="1921"/>
        <v>5.9799927256525054E-2</v>
      </c>
      <c r="E229" s="3088">
        <f t="shared" si="1921"/>
        <v>195.52999999999997</v>
      </c>
      <c r="F229" s="3088">
        <f t="shared" si="1921"/>
        <v>195.52999999999997</v>
      </c>
      <c r="G229" s="3088">
        <f t="shared" si="1921"/>
        <v>0</v>
      </c>
      <c r="H229" s="3088">
        <f t="shared" si="1921"/>
        <v>145.84</v>
      </c>
      <c r="I229" s="3088">
        <f t="shared" si="1921"/>
        <v>145.84</v>
      </c>
      <c r="J229" s="3088">
        <f t="shared" si="1921"/>
        <v>0</v>
      </c>
      <c r="K229" s="3088">
        <f t="shared" si="1921"/>
        <v>209.5</v>
      </c>
      <c r="L229" s="3088">
        <f t="shared" si="1921"/>
        <v>209.5</v>
      </c>
      <c r="M229" s="3088">
        <f t="shared" si="1921"/>
        <v>0</v>
      </c>
      <c r="N229" s="3088">
        <f t="shared" si="1921"/>
        <v>550.86999999999989</v>
      </c>
      <c r="O229" s="3088">
        <f t="shared" si="1921"/>
        <v>550.86999999999989</v>
      </c>
      <c r="P229" s="3088">
        <f t="shared" si="1921"/>
        <v>0</v>
      </c>
      <c r="Q229" s="3270">
        <f t="shared" si="1921"/>
        <v>529.49509163874188</v>
      </c>
      <c r="R229" s="3270">
        <f t="shared" si="1921"/>
        <v>529.43529171148532</v>
      </c>
      <c r="S229" s="3270">
        <f t="shared" si="1921"/>
        <v>5.9799927256525054E-2</v>
      </c>
      <c r="T229" s="3088">
        <f t="shared" ref="T229:AE229" si="1922">SUM(T34+T68+T103+T127)</f>
        <v>153.79</v>
      </c>
      <c r="U229" s="3088">
        <f t="shared" si="1922"/>
        <v>153.79</v>
      </c>
      <c r="V229" s="3088">
        <f t="shared" si="1922"/>
        <v>0</v>
      </c>
      <c r="W229" s="3088">
        <f t="shared" si="1922"/>
        <v>171.85</v>
      </c>
      <c r="X229" s="3088">
        <f t="shared" si="1922"/>
        <v>171.85</v>
      </c>
      <c r="Y229" s="3088">
        <f t="shared" si="1922"/>
        <v>0</v>
      </c>
      <c r="Z229" s="3088">
        <f t="shared" si="1922"/>
        <v>191.75</v>
      </c>
      <c r="AA229" s="3088">
        <f t="shared" si="1922"/>
        <v>191.75</v>
      </c>
      <c r="AB229" s="3088">
        <f t="shared" si="1922"/>
        <v>0</v>
      </c>
      <c r="AC229" s="3088">
        <f t="shared" si="1922"/>
        <v>517.39</v>
      </c>
      <c r="AD229" s="3088">
        <f t="shared" si="1922"/>
        <v>517.39</v>
      </c>
      <c r="AE229" s="3088">
        <f t="shared" si="1922"/>
        <v>0</v>
      </c>
      <c r="AF229" s="3273">
        <f t="shared" ref="AF229:AK229" si="1923">SUM(AF34+AF68+AF103+AF127)</f>
        <v>1058.9901832774838</v>
      </c>
      <c r="AG229" s="3273">
        <f t="shared" si="1923"/>
        <v>1058.8705834229706</v>
      </c>
      <c r="AH229" s="3273">
        <f t="shared" si="1923"/>
        <v>0.11959985451305011</v>
      </c>
      <c r="AI229" s="3089">
        <f t="shared" si="1923"/>
        <v>1068.26</v>
      </c>
      <c r="AJ229" s="3089">
        <f t="shared" si="1923"/>
        <v>1068.26</v>
      </c>
      <c r="AK229" s="3089">
        <f t="shared" si="1923"/>
        <v>0</v>
      </c>
      <c r="AL229" s="3062">
        <f t="shared" si="1907"/>
        <v>9.2698167225162251</v>
      </c>
      <c r="AM229" s="3062">
        <f t="shared" si="1908"/>
        <v>9.3894165770293512</v>
      </c>
      <c r="AN229" s="3062">
        <f t="shared" si="1909"/>
        <v>-0.11959985451305011</v>
      </c>
      <c r="AO229" s="3270">
        <f t="shared" ref="AO229:BC229" si="1924">SUM(AO34+AO68+AO103+AO127)</f>
        <v>529.49509163874188</v>
      </c>
      <c r="AP229" s="3270">
        <f t="shared" si="1924"/>
        <v>529.43529171148532</v>
      </c>
      <c r="AQ229" s="3270">
        <f t="shared" si="1924"/>
        <v>5.9799927256525054E-2</v>
      </c>
      <c r="AR229" s="3088">
        <f t="shared" si="1924"/>
        <v>162.86000000000001</v>
      </c>
      <c r="AS229" s="3088">
        <f t="shared" si="1924"/>
        <v>162.86000000000001</v>
      </c>
      <c r="AT229" s="3088">
        <f t="shared" si="1924"/>
        <v>0</v>
      </c>
      <c r="AU229" s="3088">
        <f t="shared" si="1924"/>
        <v>187.31</v>
      </c>
      <c r="AV229" s="3088">
        <f t="shared" si="1924"/>
        <v>187.31</v>
      </c>
      <c r="AW229" s="3088">
        <f t="shared" si="1924"/>
        <v>0</v>
      </c>
      <c r="AX229" s="3088">
        <f t="shared" si="1924"/>
        <v>211.81</v>
      </c>
      <c r="AY229" s="3088">
        <f t="shared" si="1924"/>
        <v>211.81</v>
      </c>
      <c r="AZ229" s="3088">
        <f t="shared" si="1924"/>
        <v>0</v>
      </c>
      <c r="BA229" s="3088">
        <f t="shared" si="1924"/>
        <v>561.98</v>
      </c>
      <c r="BB229" s="3088">
        <f t="shared" si="1924"/>
        <v>561.98</v>
      </c>
      <c r="BC229" s="3088">
        <f t="shared" si="1924"/>
        <v>0</v>
      </c>
      <c r="BD229" s="3273">
        <f t="shared" ref="BD229:BI229" si="1925">SUM(BD34+BD68+BD103+BD127)</f>
        <v>1588.4852749162255</v>
      </c>
      <c r="BE229" s="3273">
        <f t="shared" si="1925"/>
        <v>1588.3058751344561</v>
      </c>
      <c r="BF229" s="3273">
        <f t="shared" si="1925"/>
        <v>0.17939978176957516</v>
      </c>
      <c r="BG229" s="3089">
        <f t="shared" si="1925"/>
        <v>1630.24</v>
      </c>
      <c r="BH229" s="3089">
        <f t="shared" si="1925"/>
        <v>1630.24</v>
      </c>
      <c r="BI229" s="3089">
        <f t="shared" si="1925"/>
        <v>0</v>
      </c>
      <c r="BJ229" s="3062">
        <f t="shared" si="1912"/>
        <v>41.754725083774474</v>
      </c>
      <c r="BK229" s="3062">
        <f t="shared" si="1913"/>
        <v>41.934124865543936</v>
      </c>
      <c r="BL229" s="3062">
        <f t="shared" si="1914"/>
        <v>-0.17939978176957516</v>
      </c>
      <c r="BM229" s="3270">
        <f t="shared" ref="BM229:CA229" si="1926">SUM(BM34+BM68+BM103+BM127)</f>
        <v>529.49509163874188</v>
      </c>
      <c r="BN229" s="3270">
        <f t="shared" si="1926"/>
        <v>529.43529171148532</v>
      </c>
      <c r="BO229" s="3270">
        <f t="shared" si="1926"/>
        <v>5.9799927256525054E-2</v>
      </c>
      <c r="BP229" s="3088">
        <f t="shared" si="1926"/>
        <v>0</v>
      </c>
      <c r="BQ229" s="3088">
        <f t="shared" si="1926"/>
        <v>0</v>
      </c>
      <c r="BR229" s="3088">
        <f t="shared" si="1926"/>
        <v>0</v>
      </c>
      <c r="BS229" s="3088">
        <f t="shared" si="1926"/>
        <v>0</v>
      </c>
      <c r="BT229" s="3088">
        <f t="shared" si="1926"/>
        <v>0</v>
      </c>
      <c r="BU229" s="3088">
        <f t="shared" si="1926"/>
        <v>0</v>
      </c>
      <c r="BV229" s="3088">
        <f t="shared" si="1926"/>
        <v>0</v>
      </c>
      <c r="BW229" s="3088">
        <f t="shared" si="1926"/>
        <v>0</v>
      </c>
      <c r="BX229" s="3088">
        <f t="shared" si="1926"/>
        <v>0</v>
      </c>
      <c r="BY229" s="3088">
        <f t="shared" si="1926"/>
        <v>0</v>
      </c>
      <c r="BZ229" s="3088">
        <f t="shared" si="1926"/>
        <v>0</v>
      </c>
      <c r="CA229" s="3088">
        <f t="shared" si="1926"/>
        <v>0</v>
      </c>
      <c r="CB229" s="3273">
        <f t="shared" ref="CB229:CG229" si="1927">SUM(CB34+CB68+CB103+CB127)</f>
        <v>2117.9803665549675</v>
      </c>
      <c r="CC229" s="3273">
        <f t="shared" si="1927"/>
        <v>2117.7411668459413</v>
      </c>
      <c r="CD229" s="3273">
        <f t="shared" si="1927"/>
        <v>0.23919970902610022</v>
      </c>
      <c r="CE229" s="3089">
        <f t="shared" si="1927"/>
        <v>1630.24</v>
      </c>
      <c r="CF229" s="3089">
        <f t="shared" si="1927"/>
        <v>1630.24</v>
      </c>
      <c r="CG229" s="3089">
        <f t="shared" si="1927"/>
        <v>0</v>
      </c>
      <c r="CH229" s="3062">
        <f t="shared" si="1917"/>
        <v>-487.74036655496752</v>
      </c>
      <c r="CI229" s="3062">
        <f t="shared" si="1918"/>
        <v>-487.50116684594127</v>
      </c>
      <c r="CJ229" s="3062">
        <f t="shared" si="1919"/>
        <v>-0.23919970902610022</v>
      </c>
      <c r="CK229" s="3049"/>
      <c r="CL229" s="3049"/>
      <c r="CM229" s="3049"/>
      <c r="CN229" s="3049"/>
    </row>
    <row r="230" spans="1:92" ht="18.75" x14ac:dyDescent="0.3">
      <c r="A230" s="3075" t="s">
        <v>3591</v>
      </c>
      <c r="B230" s="3270">
        <f>SUM(B35)</f>
        <v>274.56764824999999</v>
      </c>
      <c r="C230" s="3270">
        <f>SUM(C35)</f>
        <v>274.43495236449996</v>
      </c>
      <c r="D230" s="3270">
        <f t="shared" ref="D230:S230" si="1928">SUM(D35)</f>
        <v>0.13269588550002148</v>
      </c>
      <c r="E230" s="3088">
        <f t="shared" si="1928"/>
        <v>54.75</v>
      </c>
      <c r="F230" s="3088">
        <f t="shared" si="1928"/>
        <v>54.75</v>
      </c>
      <c r="G230" s="3088">
        <f t="shared" si="1928"/>
        <v>0</v>
      </c>
      <c r="H230" s="3088">
        <f t="shared" si="1928"/>
        <v>54.75</v>
      </c>
      <c r="I230" s="3088">
        <f t="shared" si="1928"/>
        <v>54.75</v>
      </c>
      <c r="J230" s="3088">
        <f t="shared" si="1928"/>
        <v>0</v>
      </c>
      <c r="K230" s="3088">
        <f t="shared" si="1928"/>
        <v>54.75</v>
      </c>
      <c r="L230" s="3088">
        <f t="shared" si="1928"/>
        <v>54.75</v>
      </c>
      <c r="M230" s="3088">
        <f t="shared" si="1928"/>
        <v>0</v>
      </c>
      <c r="N230" s="3088">
        <f t="shared" si="1928"/>
        <v>164.25</v>
      </c>
      <c r="O230" s="3088">
        <f t="shared" si="1928"/>
        <v>164.25</v>
      </c>
      <c r="P230" s="3088">
        <f t="shared" si="1928"/>
        <v>0</v>
      </c>
      <c r="Q230" s="3270">
        <f t="shared" si="1928"/>
        <v>274.56764824999999</v>
      </c>
      <c r="R230" s="3270">
        <f t="shared" si="1928"/>
        <v>274.43495236449996</v>
      </c>
      <c r="S230" s="3270">
        <f t="shared" si="1928"/>
        <v>0.13269588550002148</v>
      </c>
      <c r="T230" s="3088">
        <f t="shared" ref="T230:AE230" si="1929">SUM(T35)</f>
        <v>54.75</v>
      </c>
      <c r="U230" s="3088">
        <f t="shared" si="1929"/>
        <v>54.75</v>
      </c>
      <c r="V230" s="3088">
        <f t="shared" si="1929"/>
        <v>0</v>
      </c>
      <c r="W230" s="3088">
        <f t="shared" si="1929"/>
        <v>54.75</v>
      </c>
      <c r="X230" s="3088">
        <f t="shared" si="1929"/>
        <v>54.75</v>
      </c>
      <c r="Y230" s="3088">
        <f t="shared" si="1929"/>
        <v>0</v>
      </c>
      <c r="Z230" s="3088">
        <f t="shared" si="1929"/>
        <v>54.75</v>
      </c>
      <c r="AA230" s="3088">
        <f t="shared" si="1929"/>
        <v>54.75</v>
      </c>
      <c r="AB230" s="3088">
        <f t="shared" si="1929"/>
        <v>0</v>
      </c>
      <c r="AC230" s="3088">
        <f t="shared" si="1929"/>
        <v>164.25</v>
      </c>
      <c r="AD230" s="3088">
        <f t="shared" si="1929"/>
        <v>164.25</v>
      </c>
      <c r="AE230" s="3088">
        <f t="shared" si="1929"/>
        <v>0</v>
      </c>
      <c r="AF230" s="3273">
        <f t="shared" ref="AF230:AK230" si="1930">SUM(AF35)</f>
        <v>549.13529649999998</v>
      </c>
      <c r="AG230" s="3273">
        <f t="shared" si="1930"/>
        <v>548.86990472899993</v>
      </c>
      <c r="AH230" s="3273">
        <f t="shared" si="1930"/>
        <v>0.26539177100004296</v>
      </c>
      <c r="AI230" s="3089">
        <f t="shared" si="1930"/>
        <v>328.5</v>
      </c>
      <c r="AJ230" s="3089">
        <f t="shared" si="1930"/>
        <v>328.5</v>
      </c>
      <c r="AK230" s="3089">
        <f t="shared" si="1930"/>
        <v>0</v>
      </c>
      <c r="AL230" s="3062">
        <f t="shared" si="1907"/>
        <v>-220.63529649999998</v>
      </c>
      <c r="AM230" s="3062">
        <f t="shared" si="1908"/>
        <v>-220.36990472899993</v>
      </c>
      <c r="AN230" s="3062">
        <f t="shared" si="1909"/>
        <v>-0.26539177100004296</v>
      </c>
      <c r="AO230" s="3270">
        <f t="shared" ref="AO230:BC230" si="1931">SUM(AO35)</f>
        <v>274.56764824999999</v>
      </c>
      <c r="AP230" s="3270">
        <f t="shared" si="1931"/>
        <v>274.43495236449996</v>
      </c>
      <c r="AQ230" s="3270">
        <f t="shared" si="1931"/>
        <v>0.13269588550002148</v>
      </c>
      <c r="AR230" s="3088">
        <f t="shared" si="1931"/>
        <v>54.75</v>
      </c>
      <c r="AS230" s="3088">
        <f t="shared" si="1931"/>
        <v>54.75</v>
      </c>
      <c r="AT230" s="3088">
        <f t="shared" si="1931"/>
        <v>0</v>
      </c>
      <c r="AU230" s="3088">
        <f t="shared" si="1931"/>
        <v>54.75</v>
      </c>
      <c r="AV230" s="3088">
        <f t="shared" si="1931"/>
        <v>54.75</v>
      </c>
      <c r="AW230" s="3088">
        <f t="shared" si="1931"/>
        <v>0</v>
      </c>
      <c r="AX230" s="3088">
        <f t="shared" si="1931"/>
        <v>54.75</v>
      </c>
      <c r="AY230" s="3088">
        <f t="shared" si="1931"/>
        <v>54.75</v>
      </c>
      <c r="AZ230" s="3088">
        <f t="shared" si="1931"/>
        <v>0</v>
      </c>
      <c r="BA230" s="3088">
        <f t="shared" si="1931"/>
        <v>164.25</v>
      </c>
      <c r="BB230" s="3088">
        <f t="shared" si="1931"/>
        <v>164.25</v>
      </c>
      <c r="BC230" s="3088">
        <f t="shared" si="1931"/>
        <v>0</v>
      </c>
      <c r="BD230" s="3273">
        <f t="shared" ref="BD230:BI230" si="1932">SUM(BD35)</f>
        <v>823.70294474999992</v>
      </c>
      <c r="BE230" s="3273">
        <f t="shared" si="1932"/>
        <v>823.30485709349989</v>
      </c>
      <c r="BF230" s="3273">
        <f t="shared" si="1932"/>
        <v>0.39808765650006445</v>
      </c>
      <c r="BG230" s="3089">
        <f t="shared" si="1932"/>
        <v>492.75</v>
      </c>
      <c r="BH230" s="3089">
        <f t="shared" si="1932"/>
        <v>492.75</v>
      </c>
      <c r="BI230" s="3089">
        <f t="shared" si="1932"/>
        <v>0</v>
      </c>
      <c r="BJ230" s="3062">
        <f t="shared" si="1912"/>
        <v>-330.95294474999992</v>
      </c>
      <c r="BK230" s="3062">
        <f t="shared" si="1913"/>
        <v>-330.55485709349989</v>
      </c>
      <c r="BL230" s="3062">
        <f t="shared" si="1914"/>
        <v>-0.39808765650006445</v>
      </c>
      <c r="BM230" s="3270">
        <f t="shared" ref="BM230:CA230" si="1933">SUM(BM35)</f>
        <v>274.56764824999999</v>
      </c>
      <c r="BN230" s="3270">
        <f t="shared" si="1933"/>
        <v>274.43495236449996</v>
      </c>
      <c r="BO230" s="3270">
        <f t="shared" si="1933"/>
        <v>0.13269588550002148</v>
      </c>
      <c r="BP230" s="3088">
        <f t="shared" si="1933"/>
        <v>0</v>
      </c>
      <c r="BQ230" s="3088">
        <f t="shared" si="1933"/>
        <v>0</v>
      </c>
      <c r="BR230" s="3088">
        <f t="shared" si="1933"/>
        <v>0</v>
      </c>
      <c r="BS230" s="3088">
        <f t="shared" si="1933"/>
        <v>0</v>
      </c>
      <c r="BT230" s="3088">
        <f t="shared" si="1933"/>
        <v>0</v>
      </c>
      <c r="BU230" s="3088">
        <f t="shared" si="1933"/>
        <v>0</v>
      </c>
      <c r="BV230" s="3088">
        <f t="shared" si="1933"/>
        <v>0</v>
      </c>
      <c r="BW230" s="3088">
        <f t="shared" si="1933"/>
        <v>0</v>
      </c>
      <c r="BX230" s="3088">
        <f t="shared" si="1933"/>
        <v>0</v>
      </c>
      <c r="BY230" s="3088">
        <f t="shared" si="1933"/>
        <v>0</v>
      </c>
      <c r="BZ230" s="3088">
        <f t="shared" si="1933"/>
        <v>0</v>
      </c>
      <c r="CA230" s="3088">
        <f t="shared" si="1933"/>
        <v>0</v>
      </c>
      <c r="CB230" s="3273">
        <f t="shared" ref="CB230:CG230" si="1934">SUM(CB35)</f>
        <v>1098.270593</v>
      </c>
      <c r="CC230" s="3273">
        <f t="shared" si="1934"/>
        <v>1097.7398094579999</v>
      </c>
      <c r="CD230" s="3273">
        <f t="shared" si="1934"/>
        <v>0.53078354200008593</v>
      </c>
      <c r="CE230" s="3089">
        <f t="shared" si="1934"/>
        <v>492.75</v>
      </c>
      <c r="CF230" s="3089">
        <f t="shared" si="1934"/>
        <v>492.75</v>
      </c>
      <c r="CG230" s="3089">
        <f t="shared" si="1934"/>
        <v>0</v>
      </c>
      <c r="CH230" s="3062">
        <f t="shared" si="1917"/>
        <v>-605.52059299999996</v>
      </c>
      <c r="CI230" s="3062">
        <f t="shared" si="1918"/>
        <v>-604.98980945799985</v>
      </c>
      <c r="CJ230" s="3062">
        <f t="shared" si="1919"/>
        <v>-0.53078354200008593</v>
      </c>
      <c r="CK230" s="3049"/>
      <c r="CL230" s="3049"/>
      <c r="CM230" s="3049"/>
      <c r="CN230" s="3049"/>
    </row>
    <row r="231" spans="1:92" ht="18.75" x14ac:dyDescent="0.3">
      <c r="A231" s="3075" t="s">
        <v>52</v>
      </c>
      <c r="B231" s="3270">
        <f t="shared" ref="B231" si="1935">SUM(B36+B69+B104+B128)</f>
        <v>42.022540968415584</v>
      </c>
      <c r="C231" s="3270">
        <f t="shared" ref="C231:S231" si="1936">SUM(C36+C69+C104+C128)</f>
        <v>42.01833994754368</v>
      </c>
      <c r="D231" s="3270">
        <f t="shared" si="1936"/>
        <v>4.2010208719086449E-3</v>
      </c>
      <c r="E231" s="3088">
        <f t="shared" si="1936"/>
        <v>9.5</v>
      </c>
      <c r="F231" s="3088">
        <f t="shared" si="1936"/>
        <v>9.5</v>
      </c>
      <c r="G231" s="3088">
        <f t="shared" si="1936"/>
        <v>0</v>
      </c>
      <c r="H231" s="3088">
        <f t="shared" si="1936"/>
        <v>13.96</v>
      </c>
      <c r="I231" s="3088">
        <f t="shared" si="1936"/>
        <v>13.96</v>
      </c>
      <c r="J231" s="3088">
        <f t="shared" si="1936"/>
        <v>0</v>
      </c>
      <c r="K231" s="3088">
        <f t="shared" si="1936"/>
        <v>13.67</v>
      </c>
      <c r="L231" s="3088">
        <f t="shared" si="1936"/>
        <v>13.67</v>
      </c>
      <c r="M231" s="3088">
        <f t="shared" si="1936"/>
        <v>0</v>
      </c>
      <c r="N231" s="3088">
        <f t="shared" si="1936"/>
        <v>37.129999999999995</v>
      </c>
      <c r="O231" s="3088">
        <f t="shared" si="1936"/>
        <v>37.129999999999995</v>
      </c>
      <c r="P231" s="3088">
        <f t="shared" si="1936"/>
        <v>0</v>
      </c>
      <c r="Q231" s="3270">
        <f t="shared" si="1936"/>
        <v>42.022540968415584</v>
      </c>
      <c r="R231" s="3270">
        <f t="shared" si="1936"/>
        <v>42.01833994754368</v>
      </c>
      <c r="S231" s="3270">
        <f t="shared" si="1936"/>
        <v>4.2010208719086449E-3</v>
      </c>
      <c r="T231" s="3088">
        <f t="shared" ref="T231:AE231" si="1937">SUM(T36+T69+T104+T128)</f>
        <v>17.7</v>
      </c>
      <c r="U231" s="3088">
        <f t="shared" si="1937"/>
        <v>17.7</v>
      </c>
      <c r="V231" s="3088">
        <f t="shared" si="1937"/>
        <v>0</v>
      </c>
      <c r="W231" s="3088">
        <f t="shared" si="1937"/>
        <v>10.18</v>
      </c>
      <c r="X231" s="3088">
        <f t="shared" si="1937"/>
        <v>10.18</v>
      </c>
      <c r="Y231" s="3088">
        <f t="shared" si="1937"/>
        <v>0</v>
      </c>
      <c r="Z231" s="3088">
        <f t="shared" si="1937"/>
        <v>14.07</v>
      </c>
      <c r="AA231" s="3088">
        <f t="shared" si="1937"/>
        <v>14.07</v>
      </c>
      <c r="AB231" s="3088">
        <f t="shared" si="1937"/>
        <v>0</v>
      </c>
      <c r="AC231" s="3088">
        <f t="shared" si="1937"/>
        <v>41.95</v>
      </c>
      <c r="AD231" s="3088">
        <f t="shared" si="1937"/>
        <v>41.95</v>
      </c>
      <c r="AE231" s="3088">
        <f t="shared" si="1937"/>
        <v>0</v>
      </c>
      <c r="AF231" s="3273">
        <f t="shared" ref="AF231:AK231" si="1938">SUM(AF36+AF69+AF104+AF128)</f>
        <v>84.045081936831167</v>
      </c>
      <c r="AG231" s="3273">
        <f t="shared" si="1938"/>
        <v>84.03667989508736</v>
      </c>
      <c r="AH231" s="3273">
        <f t="shared" si="1938"/>
        <v>8.4020417438172897E-3</v>
      </c>
      <c r="AI231" s="3089">
        <f t="shared" si="1938"/>
        <v>79.079999999999984</v>
      </c>
      <c r="AJ231" s="3089">
        <f t="shared" si="1938"/>
        <v>79.079999999999984</v>
      </c>
      <c r="AK231" s="3089">
        <f t="shared" si="1938"/>
        <v>0</v>
      </c>
      <c r="AL231" s="3062">
        <f t="shared" si="1907"/>
        <v>-4.9650819368311829</v>
      </c>
      <c r="AM231" s="3062">
        <f t="shared" si="1908"/>
        <v>-4.9566798950873761</v>
      </c>
      <c r="AN231" s="3062">
        <f t="shared" si="1909"/>
        <v>-8.4020417438172897E-3</v>
      </c>
      <c r="AO231" s="3270">
        <f t="shared" ref="AO231:BC231" si="1939">SUM(AO36+AO69+AO104+AO128)</f>
        <v>42.022540968415584</v>
      </c>
      <c r="AP231" s="3270">
        <f t="shared" si="1939"/>
        <v>42.01833994754368</v>
      </c>
      <c r="AQ231" s="3270">
        <f t="shared" si="1939"/>
        <v>4.2010208719086449E-3</v>
      </c>
      <c r="AR231" s="3088">
        <f t="shared" si="1939"/>
        <v>19.12</v>
      </c>
      <c r="AS231" s="3088">
        <f t="shared" si="1939"/>
        <v>19.12</v>
      </c>
      <c r="AT231" s="3088">
        <f t="shared" si="1939"/>
        <v>0</v>
      </c>
      <c r="AU231" s="3088">
        <f t="shared" si="1939"/>
        <v>23.660000000000004</v>
      </c>
      <c r="AV231" s="3088">
        <f t="shared" si="1939"/>
        <v>23.660000000000004</v>
      </c>
      <c r="AW231" s="3088">
        <f t="shared" si="1939"/>
        <v>0</v>
      </c>
      <c r="AX231" s="3088">
        <f t="shared" si="1939"/>
        <v>23.31</v>
      </c>
      <c r="AY231" s="3088">
        <f t="shared" si="1939"/>
        <v>23.31</v>
      </c>
      <c r="AZ231" s="3088">
        <f t="shared" si="1939"/>
        <v>0</v>
      </c>
      <c r="BA231" s="3088">
        <f t="shared" si="1939"/>
        <v>66.09</v>
      </c>
      <c r="BB231" s="3088">
        <f t="shared" si="1939"/>
        <v>66.09</v>
      </c>
      <c r="BC231" s="3088">
        <f t="shared" si="1939"/>
        <v>0</v>
      </c>
      <c r="BD231" s="3273">
        <f t="shared" ref="BD231:BI231" si="1940">SUM(BD36+BD69+BD104+BD128)</f>
        <v>126.06762290524676</v>
      </c>
      <c r="BE231" s="3273">
        <f t="shared" si="1940"/>
        <v>126.05501984263104</v>
      </c>
      <c r="BF231" s="3273">
        <f t="shared" si="1940"/>
        <v>1.2603062615725934E-2</v>
      </c>
      <c r="BG231" s="3089">
        <f t="shared" si="1940"/>
        <v>145.17000000000002</v>
      </c>
      <c r="BH231" s="3089">
        <f t="shared" si="1940"/>
        <v>145.17000000000002</v>
      </c>
      <c r="BI231" s="3089">
        <f t="shared" si="1940"/>
        <v>0</v>
      </c>
      <c r="BJ231" s="3062">
        <f t="shared" si="1912"/>
        <v>19.102377094753251</v>
      </c>
      <c r="BK231" s="3062">
        <f t="shared" si="1913"/>
        <v>19.114980157368976</v>
      </c>
      <c r="BL231" s="3062">
        <f t="shared" si="1914"/>
        <v>-1.2603062615725934E-2</v>
      </c>
      <c r="BM231" s="3270">
        <f t="shared" ref="BM231:CA231" si="1941">SUM(BM36+BM69+BM104+BM128)</f>
        <v>42.022540968415584</v>
      </c>
      <c r="BN231" s="3270">
        <f t="shared" si="1941"/>
        <v>42.01833994754368</v>
      </c>
      <c r="BO231" s="3270">
        <f t="shared" si="1941"/>
        <v>4.2010208719086449E-3</v>
      </c>
      <c r="BP231" s="3088">
        <f t="shared" si="1941"/>
        <v>0</v>
      </c>
      <c r="BQ231" s="3088">
        <f t="shared" si="1941"/>
        <v>0</v>
      </c>
      <c r="BR231" s="3088">
        <f t="shared" si="1941"/>
        <v>0</v>
      </c>
      <c r="BS231" s="3088">
        <f t="shared" si="1941"/>
        <v>0</v>
      </c>
      <c r="BT231" s="3088">
        <f t="shared" si="1941"/>
        <v>0</v>
      </c>
      <c r="BU231" s="3088">
        <f t="shared" si="1941"/>
        <v>0</v>
      </c>
      <c r="BV231" s="3088">
        <f t="shared" si="1941"/>
        <v>0</v>
      </c>
      <c r="BW231" s="3088">
        <f t="shared" si="1941"/>
        <v>0</v>
      </c>
      <c r="BX231" s="3088">
        <f t="shared" si="1941"/>
        <v>0</v>
      </c>
      <c r="BY231" s="3088">
        <f t="shared" si="1941"/>
        <v>0</v>
      </c>
      <c r="BZ231" s="3088">
        <f t="shared" si="1941"/>
        <v>0</v>
      </c>
      <c r="CA231" s="3088">
        <f t="shared" si="1941"/>
        <v>0</v>
      </c>
      <c r="CB231" s="3273">
        <f t="shared" ref="CB231:CG231" si="1942">SUM(CB36+CB69+CB104+CB128)</f>
        <v>168.09016387366236</v>
      </c>
      <c r="CC231" s="3273">
        <f t="shared" si="1942"/>
        <v>168.07335979017472</v>
      </c>
      <c r="CD231" s="3273">
        <f t="shared" si="1942"/>
        <v>1.6804083487634579E-2</v>
      </c>
      <c r="CE231" s="3089">
        <f t="shared" si="1942"/>
        <v>145.17000000000002</v>
      </c>
      <c r="CF231" s="3089">
        <f t="shared" si="1942"/>
        <v>145.17000000000002</v>
      </c>
      <c r="CG231" s="3089">
        <f t="shared" si="1942"/>
        <v>0</v>
      </c>
      <c r="CH231" s="3062">
        <f t="shared" si="1917"/>
        <v>-22.920163873662347</v>
      </c>
      <c r="CI231" s="3062">
        <f t="shared" si="1918"/>
        <v>-22.903359790174704</v>
      </c>
      <c r="CJ231" s="3062">
        <f t="shared" si="1919"/>
        <v>-1.6804083487634579E-2</v>
      </c>
      <c r="CK231" s="3049"/>
      <c r="CL231" s="3049"/>
      <c r="CM231" s="3049"/>
      <c r="CN231" s="3049"/>
    </row>
    <row r="232" spans="1:92" ht="18.75" x14ac:dyDescent="0.3">
      <c r="A232" s="3075" t="s">
        <v>3592</v>
      </c>
      <c r="B232" s="3270">
        <f t="shared" ref="B232" si="1943">SUM(B37+B70)</f>
        <v>4.5042748378028694</v>
      </c>
      <c r="C232" s="3270">
        <f t="shared" ref="C232:S232" si="1944">SUM(C37+C70)</f>
        <v>4.5042748378028694</v>
      </c>
      <c r="D232" s="3270">
        <f t="shared" si="1944"/>
        <v>0</v>
      </c>
      <c r="E232" s="3088">
        <f t="shared" si="1944"/>
        <v>1.55</v>
      </c>
      <c r="F232" s="3088">
        <f t="shared" si="1944"/>
        <v>1.55</v>
      </c>
      <c r="G232" s="3088">
        <f t="shared" si="1944"/>
        <v>0</v>
      </c>
      <c r="H232" s="3088">
        <f t="shared" si="1944"/>
        <v>1.55</v>
      </c>
      <c r="I232" s="3088">
        <f t="shared" si="1944"/>
        <v>1.55</v>
      </c>
      <c r="J232" s="3088">
        <f t="shared" si="1944"/>
        <v>0</v>
      </c>
      <c r="K232" s="3088">
        <f t="shared" si="1944"/>
        <v>1.55</v>
      </c>
      <c r="L232" s="3088">
        <f t="shared" si="1944"/>
        <v>1.55</v>
      </c>
      <c r="M232" s="3088">
        <f t="shared" si="1944"/>
        <v>0</v>
      </c>
      <c r="N232" s="3088">
        <f t="shared" si="1944"/>
        <v>4.6500000000000004</v>
      </c>
      <c r="O232" s="3088">
        <f t="shared" si="1944"/>
        <v>4.6500000000000004</v>
      </c>
      <c r="P232" s="3088">
        <f t="shared" si="1944"/>
        <v>0</v>
      </c>
      <c r="Q232" s="3270">
        <f t="shared" si="1944"/>
        <v>4.5042748378028694</v>
      </c>
      <c r="R232" s="3270">
        <f t="shared" si="1944"/>
        <v>4.5042748378028694</v>
      </c>
      <c r="S232" s="3270">
        <f t="shared" si="1944"/>
        <v>0</v>
      </c>
      <c r="T232" s="3088">
        <f t="shared" ref="T232:AE232" si="1945">SUM(T37+T70)</f>
        <v>1.55</v>
      </c>
      <c r="U232" s="3088">
        <f t="shared" si="1945"/>
        <v>1.55</v>
      </c>
      <c r="V232" s="3088">
        <f t="shared" si="1945"/>
        <v>0</v>
      </c>
      <c r="W232" s="3088">
        <f t="shared" si="1945"/>
        <v>1.53</v>
      </c>
      <c r="X232" s="3088">
        <f t="shared" si="1945"/>
        <v>1.53</v>
      </c>
      <c r="Y232" s="3088">
        <f t="shared" si="1945"/>
        <v>0</v>
      </c>
      <c r="Z232" s="3088">
        <f t="shared" si="1945"/>
        <v>1.43</v>
      </c>
      <c r="AA232" s="3088">
        <f t="shared" si="1945"/>
        <v>1.43</v>
      </c>
      <c r="AB232" s="3088">
        <f t="shared" si="1945"/>
        <v>0</v>
      </c>
      <c r="AC232" s="3088">
        <f t="shared" si="1945"/>
        <v>4.51</v>
      </c>
      <c r="AD232" s="3088">
        <f t="shared" si="1945"/>
        <v>4.51</v>
      </c>
      <c r="AE232" s="3088">
        <f t="shared" si="1945"/>
        <v>0</v>
      </c>
      <c r="AF232" s="3273">
        <f t="shared" ref="AF232:AK232" si="1946">SUM(AF37+AF70)</f>
        <v>9.0085496756057388</v>
      </c>
      <c r="AG232" s="3273">
        <f t="shared" si="1946"/>
        <v>9.0085496756057388</v>
      </c>
      <c r="AH232" s="3273">
        <f t="shared" si="1946"/>
        <v>0</v>
      </c>
      <c r="AI232" s="3089">
        <f t="shared" si="1946"/>
        <v>9.16</v>
      </c>
      <c r="AJ232" s="3089">
        <f t="shared" si="1946"/>
        <v>9.16</v>
      </c>
      <c r="AK232" s="3089">
        <f t="shared" si="1946"/>
        <v>0</v>
      </c>
      <c r="AL232" s="3062">
        <f t="shared" si="1907"/>
        <v>0.15145032439426132</v>
      </c>
      <c r="AM232" s="3062">
        <f t="shared" si="1908"/>
        <v>0.15145032439426132</v>
      </c>
      <c r="AN232" s="3062">
        <f t="shared" si="1909"/>
        <v>0</v>
      </c>
      <c r="AO232" s="3270">
        <f t="shared" ref="AO232:BC232" si="1947">SUM(AO37+AO70)</f>
        <v>4.5042748378028694</v>
      </c>
      <c r="AP232" s="3270">
        <f t="shared" si="1947"/>
        <v>4.5042748378028694</v>
      </c>
      <c r="AQ232" s="3270">
        <f t="shared" si="1947"/>
        <v>0</v>
      </c>
      <c r="AR232" s="3088">
        <f t="shared" si="1947"/>
        <v>1.43</v>
      </c>
      <c r="AS232" s="3088">
        <f t="shared" si="1947"/>
        <v>1.43</v>
      </c>
      <c r="AT232" s="3088">
        <f t="shared" si="1947"/>
        <v>0</v>
      </c>
      <c r="AU232" s="3088">
        <f t="shared" si="1947"/>
        <v>1.43</v>
      </c>
      <c r="AV232" s="3088">
        <f t="shared" si="1947"/>
        <v>1.43</v>
      </c>
      <c r="AW232" s="3088">
        <f t="shared" si="1947"/>
        <v>0</v>
      </c>
      <c r="AX232" s="3088">
        <f t="shared" si="1947"/>
        <v>1.43</v>
      </c>
      <c r="AY232" s="3088">
        <f t="shared" si="1947"/>
        <v>1.43</v>
      </c>
      <c r="AZ232" s="3088">
        <f t="shared" si="1947"/>
        <v>0</v>
      </c>
      <c r="BA232" s="3088">
        <f t="shared" si="1947"/>
        <v>4.29</v>
      </c>
      <c r="BB232" s="3088">
        <f t="shared" si="1947"/>
        <v>4.29</v>
      </c>
      <c r="BC232" s="3088">
        <f t="shared" si="1947"/>
        <v>0</v>
      </c>
      <c r="BD232" s="3273">
        <f t="shared" ref="BD232:BI232" si="1948">SUM(BD37+BD70)</f>
        <v>13.512824513408608</v>
      </c>
      <c r="BE232" s="3273">
        <f t="shared" si="1948"/>
        <v>13.512824513408608</v>
      </c>
      <c r="BF232" s="3273">
        <f t="shared" si="1948"/>
        <v>0</v>
      </c>
      <c r="BG232" s="3089">
        <f t="shared" si="1948"/>
        <v>13.45</v>
      </c>
      <c r="BH232" s="3089">
        <f t="shared" si="1948"/>
        <v>13.45</v>
      </c>
      <c r="BI232" s="3089">
        <f t="shared" si="1948"/>
        <v>0</v>
      </c>
      <c r="BJ232" s="3062">
        <f t="shared" si="1912"/>
        <v>-6.2824513408608951E-2</v>
      </c>
      <c r="BK232" s="3062">
        <f t="shared" si="1913"/>
        <v>-6.2824513408608951E-2</v>
      </c>
      <c r="BL232" s="3062">
        <f t="shared" si="1914"/>
        <v>0</v>
      </c>
      <c r="BM232" s="3270">
        <f t="shared" ref="BM232:CA232" si="1949">SUM(BM37+BM70)</f>
        <v>4.5042748378028694</v>
      </c>
      <c r="BN232" s="3270">
        <f t="shared" si="1949"/>
        <v>4.5042748378028694</v>
      </c>
      <c r="BO232" s="3270">
        <f t="shared" si="1949"/>
        <v>0</v>
      </c>
      <c r="BP232" s="3088">
        <f t="shared" si="1949"/>
        <v>0</v>
      </c>
      <c r="BQ232" s="3088">
        <f t="shared" si="1949"/>
        <v>0</v>
      </c>
      <c r="BR232" s="3088">
        <f t="shared" si="1949"/>
        <v>0</v>
      </c>
      <c r="BS232" s="3088">
        <f t="shared" si="1949"/>
        <v>0</v>
      </c>
      <c r="BT232" s="3088">
        <f t="shared" si="1949"/>
        <v>0</v>
      </c>
      <c r="BU232" s="3088">
        <f t="shared" si="1949"/>
        <v>0</v>
      </c>
      <c r="BV232" s="3088">
        <f t="shared" si="1949"/>
        <v>0</v>
      </c>
      <c r="BW232" s="3088">
        <f t="shared" si="1949"/>
        <v>0</v>
      </c>
      <c r="BX232" s="3088">
        <f t="shared" si="1949"/>
        <v>0</v>
      </c>
      <c r="BY232" s="3088">
        <f t="shared" si="1949"/>
        <v>0</v>
      </c>
      <c r="BZ232" s="3088">
        <f t="shared" si="1949"/>
        <v>0</v>
      </c>
      <c r="CA232" s="3088">
        <f t="shared" si="1949"/>
        <v>0</v>
      </c>
      <c r="CB232" s="3273">
        <f t="shared" ref="CB232:CG232" si="1950">SUM(CB37+CB70)</f>
        <v>18.017099351211478</v>
      </c>
      <c r="CC232" s="3273">
        <f t="shared" si="1950"/>
        <v>18.017099351211478</v>
      </c>
      <c r="CD232" s="3273">
        <f t="shared" si="1950"/>
        <v>0</v>
      </c>
      <c r="CE232" s="3089">
        <f t="shared" si="1950"/>
        <v>13.45</v>
      </c>
      <c r="CF232" s="3089">
        <f t="shared" si="1950"/>
        <v>13.45</v>
      </c>
      <c r="CG232" s="3089">
        <f t="shared" si="1950"/>
        <v>0</v>
      </c>
      <c r="CH232" s="3062">
        <f t="shared" si="1917"/>
        <v>-4.5670993512114784</v>
      </c>
      <c r="CI232" s="3062">
        <f t="shared" si="1918"/>
        <v>-4.5670993512114784</v>
      </c>
      <c r="CJ232" s="3062">
        <f t="shared" si="1919"/>
        <v>0</v>
      </c>
      <c r="CK232" s="3049"/>
      <c r="CL232" s="3049"/>
      <c r="CM232" s="3049"/>
      <c r="CN232" s="3049"/>
    </row>
    <row r="233" spans="1:92" ht="18.75" x14ac:dyDescent="0.3">
      <c r="A233" s="3075" t="s">
        <v>601</v>
      </c>
      <c r="B233" s="3270">
        <f t="shared" ref="B233" si="1951">SUM(B38+B71+B106+B129)</f>
        <v>197.99511233515844</v>
      </c>
      <c r="C233" s="3270">
        <f t="shared" ref="C233:S233" si="1952">SUM(C38+C71+C106+C129)</f>
        <v>197.95031847684513</v>
      </c>
      <c r="D233" s="3270">
        <f t="shared" si="1952"/>
        <v>4.4793858313323998E-2</v>
      </c>
      <c r="E233" s="3088">
        <f t="shared" si="1952"/>
        <v>65</v>
      </c>
      <c r="F233" s="3088">
        <f t="shared" si="1952"/>
        <v>65</v>
      </c>
      <c r="G233" s="3088">
        <f t="shared" si="1952"/>
        <v>0</v>
      </c>
      <c r="H233" s="3088">
        <f t="shared" si="1952"/>
        <v>191.85999999999999</v>
      </c>
      <c r="I233" s="3088">
        <f t="shared" si="1952"/>
        <v>191.85999999999999</v>
      </c>
      <c r="J233" s="3088">
        <f t="shared" si="1952"/>
        <v>0</v>
      </c>
      <c r="K233" s="3088">
        <f t="shared" si="1952"/>
        <v>54.92</v>
      </c>
      <c r="L233" s="3088">
        <f t="shared" si="1952"/>
        <v>54.92</v>
      </c>
      <c r="M233" s="3088">
        <f t="shared" si="1952"/>
        <v>0</v>
      </c>
      <c r="N233" s="3088">
        <f t="shared" si="1952"/>
        <v>311.77999999999997</v>
      </c>
      <c r="O233" s="3088">
        <f t="shared" si="1952"/>
        <v>311.77999999999997</v>
      </c>
      <c r="P233" s="3088">
        <f t="shared" si="1952"/>
        <v>0</v>
      </c>
      <c r="Q233" s="3270">
        <f t="shared" si="1952"/>
        <v>197.99511233515844</v>
      </c>
      <c r="R233" s="3270">
        <f t="shared" si="1952"/>
        <v>197.95031847684513</v>
      </c>
      <c r="S233" s="3270">
        <f t="shared" si="1952"/>
        <v>4.4793858313323998E-2</v>
      </c>
      <c r="T233" s="3088">
        <f t="shared" ref="T233:AE233" si="1953">SUM(T38+T71+T106+T129)</f>
        <v>58.95</v>
      </c>
      <c r="U233" s="3088">
        <f>SUM(U38+U71+U106+U129)</f>
        <v>58.95</v>
      </c>
      <c r="V233" s="3088">
        <f t="shared" si="1953"/>
        <v>0</v>
      </c>
      <c r="W233" s="3088">
        <f t="shared" si="1953"/>
        <v>93.49</v>
      </c>
      <c r="X233" s="3088">
        <f t="shared" si="1953"/>
        <v>93.49</v>
      </c>
      <c r="Y233" s="3088">
        <f t="shared" si="1953"/>
        <v>0</v>
      </c>
      <c r="Z233" s="3088">
        <f t="shared" si="1953"/>
        <v>55</v>
      </c>
      <c r="AA233" s="3088">
        <f t="shared" si="1953"/>
        <v>55</v>
      </c>
      <c r="AB233" s="3088">
        <f t="shared" si="1953"/>
        <v>0</v>
      </c>
      <c r="AC233" s="3088">
        <f t="shared" si="1953"/>
        <v>207.44</v>
      </c>
      <c r="AD233" s="3088">
        <f t="shared" si="1953"/>
        <v>207.44</v>
      </c>
      <c r="AE233" s="3088">
        <f t="shared" si="1953"/>
        <v>0</v>
      </c>
      <c r="AF233" s="3273">
        <f t="shared" ref="AF233:AK233" si="1954">SUM(AF38+AF71+AF106+AF129)</f>
        <v>395.99022467031688</v>
      </c>
      <c r="AG233" s="3273">
        <f t="shared" si="1954"/>
        <v>395.90063695369025</v>
      </c>
      <c r="AH233" s="3273">
        <f t="shared" si="1954"/>
        <v>8.9587716626647995E-2</v>
      </c>
      <c r="AI233" s="3089">
        <f t="shared" si="1954"/>
        <v>519.21999999999991</v>
      </c>
      <c r="AJ233" s="3089">
        <f t="shared" si="1954"/>
        <v>519.21999999999991</v>
      </c>
      <c r="AK233" s="3089">
        <f t="shared" si="1954"/>
        <v>0</v>
      </c>
      <c r="AL233" s="3062">
        <f t="shared" si="1907"/>
        <v>123.22977532968304</v>
      </c>
      <c r="AM233" s="3062">
        <f t="shared" si="1908"/>
        <v>123.31936304630966</v>
      </c>
      <c r="AN233" s="3062">
        <f t="shared" si="1909"/>
        <v>-8.9587716626647995E-2</v>
      </c>
      <c r="AO233" s="3270">
        <f t="shared" ref="AO233:BC233" si="1955">SUM(AO38+AO71+AO106+AO129)</f>
        <v>197.99511233515844</v>
      </c>
      <c r="AP233" s="3270">
        <f t="shared" si="1955"/>
        <v>197.95031847684513</v>
      </c>
      <c r="AQ233" s="3270">
        <f t="shared" si="1955"/>
        <v>4.4793858313323998E-2</v>
      </c>
      <c r="AR233" s="3088">
        <f t="shared" si="1955"/>
        <v>51.42</v>
      </c>
      <c r="AS233" s="3088">
        <f t="shared" si="1955"/>
        <v>51.42</v>
      </c>
      <c r="AT233" s="3088">
        <f t="shared" si="1955"/>
        <v>0</v>
      </c>
      <c r="AU233" s="3088">
        <f t="shared" si="1955"/>
        <v>45</v>
      </c>
      <c r="AV233" s="3088">
        <f t="shared" si="1955"/>
        <v>45</v>
      </c>
      <c r="AW233" s="3088">
        <f t="shared" si="1955"/>
        <v>0</v>
      </c>
      <c r="AX233" s="3088">
        <f t="shared" si="1955"/>
        <v>41.03</v>
      </c>
      <c r="AY233" s="3088">
        <f t="shared" si="1955"/>
        <v>41.03</v>
      </c>
      <c r="AZ233" s="3088">
        <f t="shared" si="1955"/>
        <v>0</v>
      </c>
      <c r="BA233" s="3088">
        <f t="shared" si="1955"/>
        <v>137.44999999999999</v>
      </c>
      <c r="BB233" s="3088">
        <f t="shared" si="1955"/>
        <v>137.44999999999999</v>
      </c>
      <c r="BC233" s="3088">
        <f t="shared" si="1955"/>
        <v>0</v>
      </c>
      <c r="BD233" s="3273">
        <f t="shared" ref="BD233:BI233" si="1956">SUM(BD38+BD71+BD106+BD129)</f>
        <v>593.98533700547534</v>
      </c>
      <c r="BE233" s="3273">
        <f t="shared" si="1956"/>
        <v>593.85095543053535</v>
      </c>
      <c r="BF233" s="3273">
        <f t="shared" si="1956"/>
        <v>0.13438157493997199</v>
      </c>
      <c r="BG233" s="3089">
        <f t="shared" si="1956"/>
        <v>656.67</v>
      </c>
      <c r="BH233" s="3089">
        <f t="shared" si="1956"/>
        <v>656.67</v>
      </c>
      <c r="BI233" s="3089">
        <f t="shared" si="1956"/>
        <v>0</v>
      </c>
      <c r="BJ233" s="3062">
        <f t="shared" si="1912"/>
        <v>62.684662994524615</v>
      </c>
      <c r="BK233" s="3062">
        <f t="shared" si="1913"/>
        <v>62.819044569464609</v>
      </c>
      <c r="BL233" s="3062">
        <f t="shared" si="1914"/>
        <v>-0.13438157493997199</v>
      </c>
      <c r="BM233" s="3270">
        <f t="shared" ref="BM233:CA233" si="1957">SUM(BM38+BM71+BM106+BM129)</f>
        <v>197.99511233515844</v>
      </c>
      <c r="BN233" s="3270">
        <f t="shared" si="1957"/>
        <v>197.95031847684513</v>
      </c>
      <c r="BO233" s="3270">
        <f t="shared" si="1957"/>
        <v>4.4793858313323998E-2</v>
      </c>
      <c r="BP233" s="3088">
        <f t="shared" si="1957"/>
        <v>0</v>
      </c>
      <c r="BQ233" s="3088">
        <f t="shared" si="1957"/>
        <v>0</v>
      </c>
      <c r="BR233" s="3088">
        <f t="shared" si="1957"/>
        <v>0</v>
      </c>
      <c r="BS233" s="3088">
        <f t="shared" si="1957"/>
        <v>0</v>
      </c>
      <c r="BT233" s="3088">
        <f t="shared" si="1957"/>
        <v>0</v>
      </c>
      <c r="BU233" s="3088">
        <f t="shared" si="1957"/>
        <v>0</v>
      </c>
      <c r="BV233" s="3088">
        <f t="shared" si="1957"/>
        <v>0</v>
      </c>
      <c r="BW233" s="3088">
        <f t="shared" si="1957"/>
        <v>0</v>
      </c>
      <c r="BX233" s="3088">
        <f t="shared" si="1957"/>
        <v>0</v>
      </c>
      <c r="BY233" s="3088">
        <f t="shared" si="1957"/>
        <v>0</v>
      </c>
      <c r="BZ233" s="3088">
        <f t="shared" si="1957"/>
        <v>0</v>
      </c>
      <c r="CA233" s="3088">
        <f t="shared" si="1957"/>
        <v>0</v>
      </c>
      <c r="CB233" s="3273">
        <f t="shared" ref="CB233:CG233" si="1958">SUM(CB38+CB71+CB106+CB129)</f>
        <v>791.98044934063375</v>
      </c>
      <c r="CC233" s="3273">
        <f t="shared" si="1958"/>
        <v>791.80127390738051</v>
      </c>
      <c r="CD233" s="3273">
        <f t="shared" si="1958"/>
        <v>0.17917543325329599</v>
      </c>
      <c r="CE233" s="3089">
        <f t="shared" si="1958"/>
        <v>656.67</v>
      </c>
      <c r="CF233" s="3089">
        <f t="shared" si="1958"/>
        <v>656.67</v>
      </c>
      <c r="CG233" s="3089">
        <f t="shared" si="1958"/>
        <v>0</v>
      </c>
      <c r="CH233" s="3062">
        <f t="shared" si="1917"/>
        <v>-135.3104493406338</v>
      </c>
      <c r="CI233" s="3062">
        <f t="shared" si="1918"/>
        <v>-135.13127390738055</v>
      </c>
      <c r="CJ233" s="3062">
        <f t="shared" si="1919"/>
        <v>-0.17917543325329599</v>
      </c>
      <c r="CK233" s="3049"/>
      <c r="CL233" s="3049"/>
      <c r="CM233" s="3049"/>
      <c r="CN233" s="3049"/>
    </row>
    <row r="234" spans="1:92" ht="18.75" x14ac:dyDescent="0.3">
      <c r="A234" s="3075" t="s">
        <v>3597</v>
      </c>
      <c r="B234" s="3270">
        <f>SUM(B81)</f>
        <v>72.75</v>
      </c>
      <c r="C234" s="3270">
        <f>SUM(C81)</f>
        <v>72.75</v>
      </c>
      <c r="D234" s="3270">
        <f t="shared" ref="D234:S234" si="1959">SUM(D81)</f>
        <v>0</v>
      </c>
      <c r="E234" s="3088">
        <f t="shared" si="1959"/>
        <v>0</v>
      </c>
      <c r="F234" s="3088">
        <f t="shared" si="1959"/>
        <v>0</v>
      </c>
      <c r="G234" s="3088">
        <f t="shared" si="1959"/>
        <v>0</v>
      </c>
      <c r="H234" s="3088">
        <f t="shared" si="1959"/>
        <v>0</v>
      </c>
      <c r="I234" s="3088">
        <f t="shared" si="1959"/>
        <v>0</v>
      </c>
      <c r="J234" s="3088">
        <f t="shared" si="1959"/>
        <v>0</v>
      </c>
      <c r="K234" s="3088">
        <f t="shared" si="1959"/>
        <v>0</v>
      </c>
      <c r="L234" s="3088">
        <f t="shared" si="1959"/>
        <v>0</v>
      </c>
      <c r="M234" s="3088">
        <f t="shared" si="1959"/>
        <v>0</v>
      </c>
      <c r="N234" s="3088">
        <f t="shared" si="1959"/>
        <v>0</v>
      </c>
      <c r="O234" s="3088">
        <f t="shared" si="1959"/>
        <v>0</v>
      </c>
      <c r="P234" s="3088">
        <f t="shared" si="1959"/>
        <v>0</v>
      </c>
      <c r="Q234" s="3270">
        <f t="shared" si="1959"/>
        <v>72.75</v>
      </c>
      <c r="R234" s="3270">
        <f t="shared" si="1959"/>
        <v>72.75</v>
      </c>
      <c r="S234" s="3270">
        <f t="shared" si="1959"/>
        <v>0</v>
      </c>
      <c r="T234" s="3088">
        <f t="shared" ref="T234:AE234" si="1960">SUM(T81)</f>
        <v>0</v>
      </c>
      <c r="U234" s="3088">
        <f t="shared" si="1960"/>
        <v>0</v>
      </c>
      <c r="V234" s="3088">
        <f t="shared" si="1960"/>
        <v>0</v>
      </c>
      <c r="W234" s="3088">
        <f t="shared" si="1960"/>
        <v>0</v>
      </c>
      <c r="X234" s="3088">
        <f t="shared" si="1960"/>
        <v>0</v>
      </c>
      <c r="Y234" s="3088">
        <f t="shared" si="1960"/>
        <v>0</v>
      </c>
      <c r="Z234" s="3088">
        <f t="shared" si="1960"/>
        <v>0</v>
      </c>
      <c r="AA234" s="3088">
        <f t="shared" si="1960"/>
        <v>0</v>
      </c>
      <c r="AB234" s="3088">
        <f t="shared" si="1960"/>
        <v>0</v>
      </c>
      <c r="AC234" s="3088">
        <f t="shared" si="1960"/>
        <v>0</v>
      </c>
      <c r="AD234" s="3088">
        <f t="shared" si="1960"/>
        <v>0</v>
      </c>
      <c r="AE234" s="3088">
        <f t="shared" si="1960"/>
        <v>0</v>
      </c>
      <c r="AF234" s="3273">
        <f t="shared" ref="AF234:AK234" si="1961">SUM(AF81)</f>
        <v>145.5</v>
      </c>
      <c r="AG234" s="3273">
        <f t="shared" si="1961"/>
        <v>145.5</v>
      </c>
      <c r="AH234" s="3273">
        <f t="shared" si="1961"/>
        <v>0</v>
      </c>
      <c r="AI234" s="3089">
        <f t="shared" si="1961"/>
        <v>0</v>
      </c>
      <c r="AJ234" s="3089">
        <f t="shared" si="1961"/>
        <v>0</v>
      </c>
      <c r="AK234" s="3089">
        <f t="shared" si="1961"/>
        <v>0</v>
      </c>
      <c r="AL234" s="3062">
        <f t="shared" si="1907"/>
        <v>-145.5</v>
      </c>
      <c r="AM234" s="3062">
        <f t="shared" si="1908"/>
        <v>-145.5</v>
      </c>
      <c r="AN234" s="3062">
        <f t="shared" si="1909"/>
        <v>0</v>
      </c>
      <c r="AO234" s="3270">
        <f t="shared" ref="AO234:BC234" si="1962">SUM(AO81)</f>
        <v>72.75</v>
      </c>
      <c r="AP234" s="3270">
        <f t="shared" si="1962"/>
        <v>72.75</v>
      </c>
      <c r="AQ234" s="3270">
        <f t="shared" si="1962"/>
        <v>0</v>
      </c>
      <c r="AR234" s="3088">
        <f t="shared" si="1962"/>
        <v>0</v>
      </c>
      <c r="AS234" s="3088">
        <f t="shared" si="1962"/>
        <v>0</v>
      </c>
      <c r="AT234" s="3088">
        <f t="shared" si="1962"/>
        <v>0</v>
      </c>
      <c r="AU234" s="3088">
        <f t="shared" si="1962"/>
        <v>0</v>
      </c>
      <c r="AV234" s="3088">
        <f t="shared" si="1962"/>
        <v>0</v>
      </c>
      <c r="AW234" s="3088">
        <f t="shared" si="1962"/>
        <v>0</v>
      </c>
      <c r="AX234" s="3088">
        <f t="shared" si="1962"/>
        <v>0</v>
      </c>
      <c r="AY234" s="3088">
        <f t="shared" si="1962"/>
        <v>0</v>
      </c>
      <c r="AZ234" s="3088">
        <f t="shared" si="1962"/>
        <v>0</v>
      </c>
      <c r="BA234" s="3088">
        <f t="shared" si="1962"/>
        <v>0</v>
      </c>
      <c r="BB234" s="3088">
        <f t="shared" si="1962"/>
        <v>0</v>
      </c>
      <c r="BC234" s="3088">
        <f t="shared" si="1962"/>
        <v>0</v>
      </c>
      <c r="BD234" s="3273">
        <f t="shared" ref="BD234:BI234" si="1963">SUM(BD81)</f>
        <v>218.25</v>
      </c>
      <c r="BE234" s="3273">
        <f t="shared" si="1963"/>
        <v>218.25</v>
      </c>
      <c r="BF234" s="3273">
        <f t="shared" si="1963"/>
        <v>0</v>
      </c>
      <c r="BG234" s="3089">
        <f t="shared" si="1963"/>
        <v>0</v>
      </c>
      <c r="BH234" s="3089">
        <f t="shared" si="1963"/>
        <v>0</v>
      </c>
      <c r="BI234" s="3089">
        <f t="shared" si="1963"/>
        <v>0</v>
      </c>
      <c r="BJ234" s="3062">
        <f t="shared" si="1912"/>
        <v>-218.25</v>
      </c>
      <c r="BK234" s="3062">
        <f t="shared" si="1913"/>
        <v>-218.25</v>
      </c>
      <c r="BL234" s="3062">
        <f t="shared" si="1914"/>
        <v>0</v>
      </c>
      <c r="BM234" s="3270">
        <f t="shared" ref="BM234:CA234" si="1964">SUM(BM81)</f>
        <v>72.75</v>
      </c>
      <c r="BN234" s="3270">
        <f t="shared" si="1964"/>
        <v>72.75</v>
      </c>
      <c r="BO234" s="3270">
        <f t="shared" si="1964"/>
        <v>0</v>
      </c>
      <c r="BP234" s="3088">
        <f t="shared" si="1964"/>
        <v>0</v>
      </c>
      <c r="BQ234" s="3088">
        <f t="shared" si="1964"/>
        <v>0</v>
      </c>
      <c r="BR234" s="3088">
        <f t="shared" si="1964"/>
        <v>0</v>
      </c>
      <c r="BS234" s="3088">
        <f t="shared" si="1964"/>
        <v>0</v>
      </c>
      <c r="BT234" s="3088">
        <f t="shared" si="1964"/>
        <v>0</v>
      </c>
      <c r="BU234" s="3088">
        <f t="shared" si="1964"/>
        <v>0</v>
      </c>
      <c r="BV234" s="3088">
        <f t="shared" si="1964"/>
        <v>0</v>
      </c>
      <c r="BW234" s="3088">
        <f t="shared" si="1964"/>
        <v>0</v>
      </c>
      <c r="BX234" s="3088">
        <f t="shared" si="1964"/>
        <v>0</v>
      </c>
      <c r="BY234" s="3088">
        <f t="shared" si="1964"/>
        <v>0</v>
      </c>
      <c r="BZ234" s="3088">
        <f t="shared" si="1964"/>
        <v>0</v>
      </c>
      <c r="CA234" s="3088">
        <f t="shared" si="1964"/>
        <v>0</v>
      </c>
      <c r="CB234" s="3273">
        <f t="shared" ref="CB234:CG234" si="1965">SUM(CB81)</f>
        <v>291</v>
      </c>
      <c r="CC234" s="3273">
        <f t="shared" si="1965"/>
        <v>291</v>
      </c>
      <c r="CD234" s="3273">
        <f t="shared" si="1965"/>
        <v>0</v>
      </c>
      <c r="CE234" s="3089">
        <f t="shared" si="1965"/>
        <v>0</v>
      </c>
      <c r="CF234" s="3089">
        <f t="shared" si="1965"/>
        <v>0</v>
      </c>
      <c r="CG234" s="3089">
        <f t="shared" si="1965"/>
        <v>0</v>
      </c>
      <c r="CH234" s="3062">
        <f t="shared" si="1917"/>
        <v>-291</v>
      </c>
      <c r="CI234" s="3062">
        <f t="shared" si="1918"/>
        <v>-291</v>
      </c>
      <c r="CJ234" s="3062">
        <f t="shared" si="1919"/>
        <v>0</v>
      </c>
      <c r="CK234" s="3049"/>
      <c r="CL234" s="3049"/>
      <c r="CM234" s="3049"/>
      <c r="CN234" s="3049"/>
    </row>
    <row r="235" spans="1:92" ht="18.75" x14ac:dyDescent="0.3">
      <c r="A235" s="3075" t="s">
        <v>98</v>
      </c>
      <c r="B235" s="3270">
        <f t="shared" ref="B235" si="1966">SUM(B39+B74)</f>
        <v>44.244955250000004</v>
      </c>
      <c r="C235" s="3270">
        <f t="shared" ref="C235:S235" si="1967">SUM(C39+C74)</f>
        <v>44.23553352691583</v>
      </c>
      <c r="D235" s="3270">
        <f t="shared" si="1967"/>
        <v>9.4217230841654453E-3</v>
      </c>
      <c r="E235" s="3088">
        <f t="shared" si="1967"/>
        <v>0</v>
      </c>
      <c r="F235" s="3088">
        <f t="shared" si="1967"/>
        <v>0</v>
      </c>
      <c r="G235" s="3088">
        <f t="shared" si="1967"/>
        <v>0</v>
      </c>
      <c r="H235" s="3088">
        <f t="shared" si="1967"/>
        <v>0</v>
      </c>
      <c r="I235" s="3088">
        <f t="shared" si="1967"/>
        <v>0</v>
      </c>
      <c r="J235" s="3088">
        <f t="shared" si="1967"/>
        <v>0</v>
      </c>
      <c r="K235" s="3088">
        <f t="shared" si="1967"/>
        <v>20.169999999999998</v>
      </c>
      <c r="L235" s="3088">
        <f t="shared" si="1967"/>
        <v>20.169999999999998</v>
      </c>
      <c r="M235" s="3088">
        <f t="shared" si="1967"/>
        <v>0</v>
      </c>
      <c r="N235" s="3088">
        <f t="shared" si="1967"/>
        <v>20.169999999999998</v>
      </c>
      <c r="O235" s="3088">
        <f t="shared" si="1967"/>
        <v>20.169999999999998</v>
      </c>
      <c r="P235" s="3088">
        <f t="shared" si="1967"/>
        <v>0</v>
      </c>
      <c r="Q235" s="3270">
        <f t="shared" si="1967"/>
        <v>44.244955250000004</v>
      </c>
      <c r="R235" s="3270">
        <f t="shared" si="1967"/>
        <v>44.23553352691583</v>
      </c>
      <c r="S235" s="3270">
        <f t="shared" si="1967"/>
        <v>9.4217230841654453E-3</v>
      </c>
      <c r="T235" s="3088">
        <f t="shared" ref="T235:AE235" si="1968">SUM(T39+T74)</f>
        <v>0</v>
      </c>
      <c r="U235" s="3088">
        <f t="shared" si="1968"/>
        <v>0</v>
      </c>
      <c r="V235" s="3088">
        <f t="shared" si="1968"/>
        <v>0</v>
      </c>
      <c r="W235" s="3088">
        <f t="shared" si="1968"/>
        <v>0</v>
      </c>
      <c r="X235" s="3088">
        <f t="shared" si="1968"/>
        <v>0</v>
      </c>
      <c r="Y235" s="3088">
        <f t="shared" si="1968"/>
        <v>0</v>
      </c>
      <c r="Z235" s="3088">
        <f t="shared" si="1968"/>
        <v>20.169999999999998</v>
      </c>
      <c r="AA235" s="3088">
        <f t="shared" si="1968"/>
        <v>20.169999999999998</v>
      </c>
      <c r="AB235" s="3088">
        <f t="shared" si="1968"/>
        <v>0</v>
      </c>
      <c r="AC235" s="3088">
        <f t="shared" si="1968"/>
        <v>20.169999999999998</v>
      </c>
      <c r="AD235" s="3088">
        <f t="shared" si="1968"/>
        <v>20.169999999999998</v>
      </c>
      <c r="AE235" s="3088">
        <f t="shared" si="1968"/>
        <v>0</v>
      </c>
      <c r="AF235" s="3273">
        <f t="shared" ref="AF235:AK235" si="1969">SUM(AF39+AF74)</f>
        <v>88.489910500000008</v>
      </c>
      <c r="AG235" s="3273">
        <f t="shared" si="1969"/>
        <v>88.471067053831661</v>
      </c>
      <c r="AH235" s="3273">
        <f t="shared" si="1969"/>
        <v>1.8843446168330891E-2</v>
      </c>
      <c r="AI235" s="3089">
        <f t="shared" si="1969"/>
        <v>40.339999999999996</v>
      </c>
      <c r="AJ235" s="3089">
        <f t="shared" si="1969"/>
        <v>40.339999999999996</v>
      </c>
      <c r="AK235" s="3089">
        <f t="shared" si="1969"/>
        <v>0</v>
      </c>
      <c r="AL235" s="3062">
        <f t="shared" si="1907"/>
        <v>-48.149910500000011</v>
      </c>
      <c r="AM235" s="3062">
        <f t="shared" si="1908"/>
        <v>-48.131067053831664</v>
      </c>
      <c r="AN235" s="3062">
        <f t="shared" si="1909"/>
        <v>-1.8843446168330891E-2</v>
      </c>
      <c r="AO235" s="3270">
        <f t="shared" ref="AO235:BC235" si="1970">SUM(AO39+AO74)</f>
        <v>44.244955250000004</v>
      </c>
      <c r="AP235" s="3270">
        <f t="shared" si="1970"/>
        <v>44.23553352691583</v>
      </c>
      <c r="AQ235" s="3270">
        <f t="shared" si="1970"/>
        <v>9.4217230841654453E-3</v>
      </c>
      <c r="AR235" s="3088">
        <f t="shared" si="1970"/>
        <v>0</v>
      </c>
      <c r="AS235" s="3088">
        <f t="shared" si="1970"/>
        <v>0</v>
      </c>
      <c r="AT235" s="3088">
        <f t="shared" si="1970"/>
        <v>0</v>
      </c>
      <c r="AU235" s="3088">
        <f t="shared" si="1970"/>
        <v>0</v>
      </c>
      <c r="AV235" s="3088">
        <f t="shared" si="1970"/>
        <v>0</v>
      </c>
      <c r="AW235" s="3088">
        <f t="shared" si="1970"/>
        <v>0</v>
      </c>
      <c r="AX235" s="3088">
        <f t="shared" si="1970"/>
        <v>20.169999999999998</v>
      </c>
      <c r="AY235" s="3088">
        <f t="shared" si="1970"/>
        <v>20.169999999999998</v>
      </c>
      <c r="AZ235" s="3088">
        <f t="shared" si="1970"/>
        <v>0</v>
      </c>
      <c r="BA235" s="3088">
        <f t="shared" si="1970"/>
        <v>20.169999999999998</v>
      </c>
      <c r="BB235" s="3088">
        <f t="shared" si="1970"/>
        <v>20.169999999999998</v>
      </c>
      <c r="BC235" s="3088">
        <f t="shared" si="1970"/>
        <v>0</v>
      </c>
      <c r="BD235" s="3273">
        <f t="shared" ref="BD235:BI235" si="1971">SUM(BD39+BD74)</f>
        <v>132.73486575000001</v>
      </c>
      <c r="BE235" s="3273">
        <f t="shared" si="1971"/>
        <v>132.70660058074751</v>
      </c>
      <c r="BF235" s="3273">
        <f t="shared" si="1971"/>
        <v>2.8265169252496336E-2</v>
      </c>
      <c r="BG235" s="3089">
        <f t="shared" si="1971"/>
        <v>60.51</v>
      </c>
      <c r="BH235" s="3089">
        <f t="shared" si="1971"/>
        <v>60.51</v>
      </c>
      <c r="BI235" s="3089">
        <f t="shared" si="1971"/>
        <v>0</v>
      </c>
      <c r="BJ235" s="3062">
        <f t="shared" si="1912"/>
        <v>-72.224865750000021</v>
      </c>
      <c r="BK235" s="3062">
        <f t="shared" si="1913"/>
        <v>-72.196600580747514</v>
      </c>
      <c r="BL235" s="3062">
        <f t="shared" si="1914"/>
        <v>-2.8265169252496336E-2</v>
      </c>
      <c r="BM235" s="3270">
        <f t="shared" ref="BM235:CA235" si="1972">SUM(BM39+BM74)</f>
        <v>44.244955250000004</v>
      </c>
      <c r="BN235" s="3270">
        <f t="shared" si="1972"/>
        <v>44.23553352691583</v>
      </c>
      <c r="BO235" s="3270">
        <f t="shared" si="1972"/>
        <v>9.4217230841654453E-3</v>
      </c>
      <c r="BP235" s="3088">
        <f t="shared" si="1972"/>
        <v>0</v>
      </c>
      <c r="BQ235" s="3088">
        <f t="shared" si="1972"/>
        <v>0</v>
      </c>
      <c r="BR235" s="3088">
        <f t="shared" si="1972"/>
        <v>0</v>
      </c>
      <c r="BS235" s="3088">
        <f t="shared" si="1972"/>
        <v>0</v>
      </c>
      <c r="BT235" s="3088">
        <f t="shared" si="1972"/>
        <v>0</v>
      </c>
      <c r="BU235" s="3088">
        <f t="shared" si="1972"/>
        <v>0</v>
      </c>
      <c r="BV235" s="3088">
        <f t="shared" si="1972"/>
        <v>0</v>
      </c>
      <c r="BW235" s="3088">
        <f t="shared" si="1972"/>
        <v>0</v>
      </c>
      <c r="BX235" s="3088">
        <f t="shared" si="1972"/>
        <v>0</v>
      </c>
      <c r="BY235" s="3088">
        <f t="shared" si="1972"/>
        <v>0</v>
      </c>
      <c r="BZ235" s="3088">
        <f t="shared" si="1972"/>
        <v>0</v>
      </c>
      <c r="CA235" s="3088">
        <f t="shared" si="1972"/>
        <v>0</v>
      </c>
      <c r="CB235" s="3273">
        <f t="shared" ref="CB235:CG235" si="1973">SUM(CB39+CB74)</f>
        <v>176.97982100000002</v>
      </c>
      <c r="CC235" s="3273">
        <f t="shared" si="1973"/>
        <v>176.94213410766332</v>
      </c>
      <c r="CD235" s="3273">
        <f t="shared" si="1973"/>
        <v>3.7686892336661781E-2</v>
      </c>
      <c r="CE235" s="3089">
        <f t="shared" si="1973"/>
        <v>60.51</v>
      </c>
      <c r="CF235" s="3089">
        <f t="shared" si="1973"/>
        <v>60.51</v>
      </c>
      <c r="CG235" s="3089">
        <f t="shared" si="1973"/>
        <v>0</v>
      </c>
      <c r="CH235" s="3062">
        <f t="shared" si="1917"/>
        <v>-116.46982100000002</v>
      </c>
      <c r="CI235" s="3062">
        <f t="shared" si="1918"/>
        <v>-116.43213410766333</v>
      </c>
      <c r="CJ235" s="3062">
        <f t="shared" si="1919"/>
        <v>-3.7686892336661781E-2</v>
      </c>
      <c r="CK235" s="3049"/>
      <c r="CL235" s="3049"/>
      <c r="CM235" s="3049"/>
      <c r="CN235" s="3049"/>
    </row>
    <row r="236" spans="1:92" ht="18.75" x14ac:dyDescent="0.3">
      <c r="A236" s="3075" t="s">
        <v>603</v>
      </c>
      <c r="B236" s="3270">
        <f>SUM(B73)</f>
        <v>0</v>
      </c>
      <c r="C236" s="3270">
        <f>SUM(C73)</f>
        <v>0</v>
      </c>
      <c r="D236" s="3270">
        <f t="shared" ref="D236:S236" si="1974">SUM(D73)</f>
        <v>0</v>
      </c>
      <c r="E236" s="3088">
        <f t="shared" si="1974"/>
        <v>0</v>
      </c>
      <c r="F236" s="3088">
        <f t="shared" si="1974"/>
        <v>0</v>
      </c>
      <c r="G236" s="3088">
        <f t="shared" si="1974"/>
        <v>0</v>
      </c>
      <c r="H236" s="3088">
        <f t="shared" si="1974"/>
        <v>0</v>
      </c>
      <c r="I236" s="3088">
        <f t="shared" si="1974"/>
        <v>0</v>
      </c>
      <c r="J236" s="3088">
        <f t="shared" si="1974"/>
        <v>0</v>
      </c>
      <c r="K236" s="3088">
        <f t="shared" si="1974"/>
        <v>0</v>
      </c>
      <c r="L236" s="3088">
        <f t="shared" si="1974"/>
        <v>0</v>
      </c>
      <c r="M236" s="3088">
        <f t="shared" si="1974"/>
        <v>0</v>
      </c>
      <c r="N236" s="3088">
        <f t="shared" si="1974"/>
        <v>0</v>
      </c>
      <c r="O236" s="3088">
        <f t="shared" si="1974"/>
        <v>0</v>
      </c>
      <c r="P236" s="3088">
        <f t="shared" si="1974"/>
        <v>0</v>
      </c>
      <c r="Q236" s="3270">
        <f t="shared" si="1974"/>
        <v>0</v>
      </c>
      <c r="R236" s="3270">
        <f t="shared" si="1974"/>
        <v>0</v>
      </c>
      <c r="S236" s="3270">
        <f t="shared" si="1974"/>
        <v>0</v>
      </c>
      <c r="T236" s="3088">
        <f t="shared" ref="T236:AE236" si="1975">SUM(T73)</f>
        <v>0</v>
      </c>
      <c r="U236" s="3088">
        <f t="shared" si="1975"/>
        <v>0</v>
      </c>
      <c r="V236" s="3088">
        <f t="shared" si="1975"/>
        <v>0</v>
      </c>
      <c r="W236" s="3088">
        <f t="shared" si="1975"/>
        <v>0</v>
      </c>
      <c r="X236" s="3088">
        <f t="shared" si="1975"/>
        <v>0</v>
      </c>
      <c r="Y236" s="3088">
        <f t="shared" si="1975"/>
        <v>0</v>
      </c>
      <c r="Z236" s="3088">
        <f t="shared" si="1975"/>
        <v>44.88</v>
      </c>
      <c r="AA236" s="3088">
        <f t="shared" si="1975"/>
        <v>44.88</v>
      </c>
      <c r="AB236" s="3088">
        <f t="shared" si="1975"/>
        <v>0</v>
      </c>
      <c r="AC236" s="3088">
        <f t="shared" si="1975"/>
        <v>44.88</v>
      </c>
      <c r="AD236" s="3088">
        <f t="shared" si="1975"/>
        <v>44.88</v>
      </c>
      <c r="AE236" s="3088">
        <f t="shared" si="1975"/>
        <v>0</v>
      </c>
      <c r="AF236" s="3273">
        <f t="shared" ref="AF236:AK236" si="1976">SUM(AF73)</f>
        <v>0</v>
      </c>
      <c r="AG236" s="3273">
        <f t="shared" si="1976"/>
        <v>0</v>
      </c>
      <c r="AH236" s="3273">
        <f t="shared" si="1976"/>
        <v>0</v>
      </c>
      <c r="AI236" s="3089">
        <f t="shared" si="1976"/>
        <v>44.88</v>
      </c>
      <c r="AJ236" s="3089">
        <f t="shared" si="1976"/>
        <v>44.88</v>
      </c>
      <c r="AK236" s="3089">
        <f t="shared" si="1976"/>
        <v>0</v>
      </c>
      <c r="AL236" s="3062">
        <f t="shared" si="1907"/>
        <v>44.88</v>
      </c>
      <c r="AM236" s="3062">
        <f t="shared" si="1908"/>
        <v>44.88</v>
      </c>
      <c r="AN236" s="3062">
        <f t="shared" si="1909"/>
        <v>0</v>
      </c>
      <c r="AO236" s="3270">
        <f t="shared" ref="AO236:BC236" si="1977">SUM(AO73)</f>
        <v>0</v>
      </c>
      <c r="AP236" s="3270">
        <f t="shared" si="1977"/>
        <v>0</v>
      </c>
      <c r="AQ236" s="3270">
        <f t="shared" si="1977"/>
        <v>0</v>
      </c>
      <c r="AR236" s="3088">
        <f t="shared" si="1977"/>
        <v>44.88</v>
      </c>
      <c r="AS236" s="3088">
        <f t="shared" si="1977"/>
        <v>44.88</v>
      </c>
      <c r="AT236" s="3088">
        <f t="shared" si="1977"/>
        <v>0</v>
      </c>
      <c r="AU236" s="3088">
        <f t="shared" si="1977"/>
        <v>0</v>
      </c>
      <c r="AV236" s="3088">
        <f t="shared" si="1977"/>
        <v>0</v>
      </c>
      <c r="AW236" s="3088">
        <f t="shared" si="1977"/>
        <v>0</v>
      </c>
      <c r="AX236" s="3088">
        <f t="shared" si="1977"/>
        <v>0</v>
      </c>
      <c r="AY236" s="3088">
        <f t="shared" si="1977"/>
        <v>0</v>
      </c>
      <c r="AZ236" s="3088">
        <f t="shared" si="1977"/>
        <v>0</v>
      </c>
      <c r="BA236" s="3088">
        <f t="shared" si="1977"/>
        <v>44.88</v>
      </c>
      <c r="BB236" s="3088">
        <f t="shared" si="1977"/>
        <v>44.88</v>
      </c>
      <c r="BC236" s="3088">
        <f t="shared" si="1977"/>
        <v>0</v>
      </c>
      <c r="BD236" s="3273">
        <f t="shared" ref="BD236:BI236" si="1978">SUM(BD73)</f>
        <v>0</v>
      </c>
      <c r="BE236" s="3273">
        <f t="shared" si="1978"/>
        <v>0</v>
      </c>
      <c r="BF236" s="3273">
        <f t="shared" si="1978"/>
        <v>0</v>
      </c>
      <c r="BG236" s="3089">
        <f t="shared" si="1978"/>
        <v>89.76</v>
      </c>
      <c r="BH236" s="3089">
        <f t="shared" si="1978"/>
        <v>89.76</v>
      </c>
      <c r="BI236" s="3089">
        <f t="shared" si="1978"/>
        <v>0</v>
      </c>
      <c r="BJ236" s="3062">
        <f t="shared" si="1912"/>
        <v>89.76</v>
      </c>
      <c r="BK236" s="3062">
        <f t="shared" si="1913"/>
        <v>89.76</v>
      </c>
      <c r="BL236" s="3062">
        <f t="shared" si="1914"/>
        <v>0</v>
      </c>
      <c r="BM236" s="3270">
        <f t="shared" ref="BM236:CA236" si="1979">SUM(BM73)</f>
        <v>0</v>
      </c>
      <c r="BN236" s="3270">
        <f t="shared" si="1979"/>
        <v>0</v>
      </c>
      <c r="BO236" s="3270">
        <f t="shared" si="1979"/>
        <v>0</v>
      </c>
      <c r="BP236" s="3088">
        <f t="shared" si="1979"/>
        <v>0</v>
      </c>
      <c r="BQ236" s="3088">
        <f t="shared" si="1979"/>
        <v>0</v>
      </c>
      <c r="BR236" s="3088">
        <f t="shared" si="1979"/>
        <v>0</v>
      </c>
      <c r="BS236" s="3088">
        <f t="shared" si="1979"/>
        <v>0</v>
      </c>
      <c r="BT236" s="3088">
        <f t="shared" si="1979"/>
        <v>0</v>
      </c>
      <c r="BU236" s="3088">
        <f t="shared" si="1979"/>
        <v>0</v>
      </c>
      <c r="BV236" s="3088">
        <f t="shared" si="1979"/>
        <v>0</v>
      </c>
      <c r="BW236" s="3088">
        <f t="shared" si="1979"/>
        <v>0</v>
      </c>
      <c r="BX236" s="3088">
        <f t="shared" si="1979"/>
        <v>0</v>
      </c>
      <c r="BY236" s="3088">
        <f t="shared" si="1979"/>
        <v>0</v>
      </c>
      <c r="BZ236" s="3088">
        <f t="shared" si="1979"/>
        <v>0</v>
      </c>
      <c r="CA236" s="3088">
        <f t="shared" si="1979"/>
        <v>0</v>
      </c>
      <c r="CB236" s="3273">
        <f t="shared" ref="CB236:CG236" si="1980">SUM(CB73)</f>
        <v>0</v>
      </c>
      <c r="CC236" s="3273">
        <f t="shared" si="1980"/>
        <v>0</v>
      </c>
      <c r="CD236" s="3273">
        <f t="shared" si="1980"/>
        <v>0</v>
      </c>
      <c r="CE236" s="3089">
        <f t="shared" si="1980"/>
        <v>89.76</v>
      </c>
      <c r="CF236" s="3089">
        <f t="shared" si="1980"/>
        <v>89.76</v>
      </c>
      <c r="CG236" s="3089">
        <f t="shared" si="1980"/>
        <v>0</v>
      </c>
      <c r="CH236" s="3062">
        <f t="shared" si="1917"/>
        <v>89.76</v>
      </c>
      <c r="CI236" s="3062">
        <f t="shared" si="1918"/>
        <v>89.76</v>
      </c>
      <c r="CJ236" s="3062">
        <f t="shared" si="1919"/>
        <v>0</v>
      </c>
      <c r="CK236" s="3049"/>
      <c r="CL236" s="3049"/>
      <c r="CM236" s="3049"/>
      <c r="CN236" s="3049"/>
    </row>
    <row r="237" spans="1:92" ht="18.75" x14ac:dyDescent="0.3">
      <c r="A237" s="3075" t="s">
        <v>42</v>
      </c>
      <c r="B237" s="3270">
        <f>SUM(B75)</f>
        <v>11.260687094507174</v>
      </c>
      <c r="C237" s="3270">
        <f>SUM(C75)</f>
        <v>11.260687094507174</v>
      </c>
      <c r="D237" s="3270">
        <f t="shared" ref="D237:S237" si="1981">SUM(D75)</f>
        <v>0</v>
      </c>
      <c r="E237" s="3088">
        <f t="shared" si="1981"/>
        <v>0.61</v>
      </c>
      <c r="F237" s="3088">
        <f t="shared" si="1981"/>
        <v>0.61</v>
      </c>
      <c r="G237" s="3088">
        <f t="shared" si="1981"/>
        <v>0</v>
      </c>
      <c r="H237" s="3088">
        <f t="shared" si="1981"/>
        <v>0</v>
      </c>
      <c r="I237" s="3088">
        <f t="shared" si="1981"/>
        <v>0</v>
      </c>
      <c r="J237" s="3088">
        <f t="shared" si="1981"/>
        <v>0</v>
      </c>
      <c r="K237" s="3088">
        <f t="shared" si="1981"/>
        <v>2.76</v>
      </c>
      <c r="L237" s="3088">
        <f t="shared" si="1981"/>
        <v>2.76</v>
      </c>
      <c r="M237" s="3088">
        <f t="shared" si="1981"/>
        <v>0</v>
      </c>
      <c r="N237" s="3088">
        <f t="shared" si="1981"/>
        <v>3.3699999999999997</v>
      </c>
      <c r="O237" s="3088">
        <f t="shared" si="1981"/>
        <v>3.3699999999999997</v>
      </c>
      <c r="P237" s="3088">
        <f t="shared" si="1981"/>
        <v>0</v>
      </c>
      <c r="Q237" s="3270">
        <f t="shared" si="1981"/>
        <v>11.260687094507174</v>
      </c>
      <c r="R237" s="3270">
        <f t="shared" si="1981"/>
        <v>11.260687094507174</v>
      </c>
      <c r="S237" s="3270">
        <f t="shared" si="1981"/>
        <v>0</v>
      </c>
      <c r="T237" s="3088">
        <f t="shared" ref="T237:AE237" si="1982">SUM(T75)</f>
        <v>0</v>
      </c>
      <c r="U237" s="3088">
        <f t="shared" si="1982"/>
        <v>0</v>
      </c>
      <c r="V237" s="3088">
        <f t="shared" si="1982"/>
        <v>0</v>
      </c>
      <c r="W237" s="3088">
        <f t="shared" si="1982"/>
        <v>0</v>
      </c>
      <c r="X237" s="3088">
        <f t="shared" si="1982"/>
        <v>0</v>
      </c>
      <c r="Y237" s="3088">
        <f t="shared" si="1982"/>
        <v>0</v>
      </c>
      <c r="Z237" s="3088">
        <f t="shared" si="1982"/>
        <v>1.34</v>
      </c>
      <c r="AA237" s="3088">
        <f t="shared" si="1982"/>
        <v>1.34</v>
      </c>
      <c r="AB237" s="3088">
        <f t="shared" si="1982"/>
        <v>0</v>
      </c>
      <c r="AC237" s="3088">
        <f t="shared" si="1982"/>
        <v>1.34</v>
      </c>
      <c r="AD237" s="3088">
        <f t="shared" si="1982"/>
        <v>1.34</v>
      </c>
      <c r="AE237" s="3088">
        <f t="shared" si="1982"/>
        <v>0</v>
      </c>
      <c r="AF237" s="3273">
        <f t="shared" ref="AF237:AK237" si="1983">SUM(AF75)</f>
        <v>22.521374189014349</v>
      </c>
      <c r="AG237" s="3273">
        <f t="shared" si="1983"/>
        <v>22.521374189014349</v>
      </c>
      <c r="AH237" s="3273">
        <f t="shared" si="1983"/>
        <v>0</v>
      </c>
      <c r="AI237" s="3089">
        <f t="shared" si="1983"/>
        <v>4.71</v>
      </c>
      <c r="AJ237" s="3089">
        <f t="shared" si="1983"/>
        <v>4.71</v>
      </c>
      <c r="AK237" s="3089">
        <f t="shared" si="1983"/>
        <v>0</v>
      </c>
      <c r="AL237" s="3062">
        <f t="shared" si="1907"/>
        <v>-17.811374189014348</v>
      </c>
      <c r="AM237" s="3062">
        <f t="shared" si="1908"/>
        <v>-17.811374189014348</v>
      </c>
      <c r="AN237" s="3062">
        <f t="shared" si="1909"/>
        <v>0</v>
      </c>
      <c r="AO237" s="3270">
        <f t="shared" ref="AO237:BC237" si="1984">SUM(AO75)</f>
        <v>11.260687094507174</v>
      </c>
      <c r="AP237" s="3270">
        <f t="shared" si="1984"/>
        <v>11.260687094507174</v>
      </c>
      <c r="AQ237" s="3270">
        <f t="shared" si="1984"/>
        <v>0</v>
      </c>
      <c r="AR237" s="3088">
        <f t="shared" si="1984"/>
        <v>0</v>
      </c>
      <c r="AS237" s="3088">
        <f t="shared" si="1984"/>
        <v>0</v>
      </c>
      <c r="AT237" s="3088">
        <f t="shared" si="1984"/>
        <v>0</v>
      </c>
      <c r="AU237" s="3088">
        <f t="shared" si="1984"/>
        <v>0</v>
      </c>
      <c r="AV237" s="3088">
        <f t="shared" si="1984"/>
        <v>0</v>
      </c>
      <c r="AW237" s="3088">
        <f t="shared" si="1984"/>
        <v>0</v>
      </c>
      <c r="AX237" s="3088">
        <f t="shared" si="1984"/>
        <v>25.63</v>
      </c>
      <c r="AY237" s="3088">
        <f t="shared" si="1984"/>
        <v>25.63</v>
      </c>
      <c r="AZ237" s="3088">
        <f t="shared" si="1984"/>
        <v>0</v>
      </c>
      <c r="BA237" s="3088">
        <f t="shared" si="1984"/>
        <v>25.63</v>
      </c>
      <c r="BB237" s="3088">
        <f t="shared" si="1984"/>
        <v>25.63</v>
      </c>
      <c r="BC237" s="3088">
        <f t="shared" si="1984"/>
        <v>0</v>
      </c>
      <c r="BD237" s="3273">
        <f t="shared" ref="BD237:BI237" si="1985">SUM(BD75)</f>
        <v>33.782061283521521</v>
      </c>
      <c r="BE237" s="3273">
        <f t="shared" si="1985"/>
        <v>33.782061283521521</v>
      </c>
      <c r="BF237" s="3273">
        <f t="shared" si="1985"/>
        <v>0</v>
      </c>
      <c r="BG237" s="3089">
        <f t="shared" si="1985"/>
        <v>30.34</v>
      </c>
      <c r="BH237" s="3089">
        <f t="shared" si="1985"/>
        <v>30.34</v>
      </c>
      <c r="BI237" s="3089">
        <f t="shared" si="1985"/>
        <v>0</v>
      </c>
      <c r="BJ237" s="3062">
        <f t="shared" si="1912"/>
        <v>-3.4420612835215216</v>
      </c>
      <c r="BK237" s="3062">
        <f t="shared" si="1913"/>
        <v>-3.4420612835215216</v>
      </c>
      <c r="BL237" s="3062">
        <f t="shared" si="1914"/>
        <v>0</v>
      </c>
      <c r="BM237" s="3270">
        <f t="shared" ref="BM237:CA237" si="1986">SUM(BM75)</f>
        <v>11.260687094507174</v>
      </c>
      <c r="BN237" s="3270">
        <f t="shared" si="1986"/>
        <v>11.260687094507174</v>
      </c>
      <c r="BO237" s="3270">
        <f t="shared" si="1986"/>
        <v>0</v>
      </c>
      <c r="BP237" s="3088">
        <f t="shared" si="1986"/>
        <v>0</v>
      </c>
      <c r="BQ237" s="3088">
        <f t="shared" si="1986"/>
        <v>0</v>
      </c>
      <c r="BR237" s="3088">
        <f t="shared" si="1986"/>
        <v>0</v>
      </c>
      <c r="BS237" s="3088">
        <f t="shared" si="1986"/>
        <v>0</v>
      </c>
      <c r="BT237" s="3088">
        <f t="shared" si="1986"/>
        <v>0</v>
      </c>
      <c r="BU237" s="3088">
        <f t="shared" si="1986"/>
        <v>0</v>
      </c>
      <c r="BV237" s="3088">
        <f t="shared" si="1986"/>
        <v>0</v>
      </c>
      <c r="BW237" s="3088">
        <f t="shared" si="1986"/>
        <v>0</v>
      </c>
      <c r="BX237" s="3088">
        <f t="shared" si="1986"/>
        <v>0</v>
      </c>
      <c r="BY237" s="3088">
        <f t="shared" si="1986"/>
        <v>0</v>
      </c>
      <c r="BZ237" s="3088">
        <f t="shared" si="1986"/>
        <v>0</v>
      </c>
      <c r="CA237" s="3088">
        <f t="shared" si="1986"/>
        <v>0</v>
      </c>
      <c r="CB237" s="3273">
        <f t="shared" ref="CB237:CG237" si="1987">SUM(CB75)</f>
        <v>45.042748378028698</v>
      </c>
      <c r="CC237" s="3273">
        <f t="shared" si="1987"/>
        <v>45.042748378028698</v>
      </c>
      <c r="CD237" s="3273">
        <f t="shared" si="1987"/>
        <v>0</v>
      </c>
      <c r="CE237" s="3089">
        <f t="shared" si="1987"/>
        <v>30.34</v>
      </c>
      <c r="CF237" s="3089">
        <f t="shared" si="1987"/>
        <v>30.34</v>
      </c>
      <c r="CG237" s="3089">
        <f t="shared" si="1987"/>
        <v>0</v>
      </c>
      <c r="CH237" s="3062">
        <f t="shared" si="1917"/>
        <v>-14.702748378028698</v>
      </c>
      <c r="CI237" s="3062">
        <f t="shared" si="1918"/>
        <v>-14.702748378028698</v>
      </c>
      <c r="CJ237" s="3062">
        <f t="shared" si="1919"/>
        <v>0</v>
      </c>
      <c r="CK237" s="3049"/>
      <c r="CL237" s="3049"/>
      <c r="CM237" s="3049"/>
      <c r="CN237" s="3049"/>
    </row>
    <row r="238" spans="1:92" ht="18.75" x14ac:dyDescent="0.3">
      <c r="A238" s="3075" t="s">
        <v>3595</v>
      </c>
      <c r="B238" s="3270">
        <f>SUM(B72)</f>
        <v>7.6986198768834768</v>
      </c>
      <c r="C238" s="3270">
        <f>SUM(C72)</f>
        <v>7.6986198768834768</v>
      </c>
      <c r="D238" s="3270">
        <f t="shared" ref="D238:S238" si="1988">SUM(D72)</f>
        <v>0</v>
      </c>
      <c r="E238" s="3088">
        <f t="shared" si="1988"/>
        <v>0</v>
      </c>
      <c r="F238" s="3088">
        <f t="shared" si="1988"/>
        <v>0</v>
      </c>
      <c r="G238" s="3088">
        <f t="shared" si="1988"/>
        <v>0</v>
      </c>
      <c r="H238" s="3088">
        <f t="shared" si="1988"/>
        <v>0</v>
      </c>
      <c r="I238" s="3088">
        <f t="shared" si="1988"/>
        <v>0</v>
      </c>
      <c r="J238" s="3088">
        <f t="shared" si="1988"/>
        <v>0</v>
      </c>
      <c r="K238" s="3088">
        <f t="shared" si="1988"/>
        <v>0</v>
      </c>
      <c r="L238" s="3088">
        <f t="shared" si="1988"/>
        <v>0</v>
      </c>
      <c r="M238" s="3088">
        <f t="shared" si="1988"/>
        <v>0</v>
      </c>
      <c r="N238" s="3088">
        <f t="shared" si="1988"/>
        <v>0</v>
      </c>
      <c r="O238" s="3088">
        <f t="shared" si="1988"/>
        <v>0</v>
      </c>
      <c r="P238" s="3088">
        <f t="shared" si="1988"/>
        <v>0</v>
      </c>
      <c r="Q238" s="3270">
        <f t="shared" si="1988"/>
        <v>7.6986198768834768</v>
      </c>
      <c r="R238" s="3270">
        <f t="shared" si="1988"/>
        <v>7.6986198768834768</v>
      </c>
      <c r="S238" s="3270">
        <f t="shared" si="1988"/>
        <v>0</v>
      </c>
      <c r="T238" s="3088">
        <f t="shared" ref="T238:AE238" si="1989">SUM(T72)</f>
        <v>0</v>
      </c>
      <c r="U238" s="3088">
        <f t="shared" si="1989"/>
        <v>0</v>
      </c>
      <c r="V238" s="3088">
        <f t="shared" si="1989"/>
        <v>0</v>
      </c>
      <c r="W238" s="3088">
        <f t="shared" si="1989"/>
        <v>0</v>
      </c>
      <c r="X238" s="3088">
        <f t="shared" si="1989"/>
        <v>0</v>
      </c>
      <c r="Y238" s="3088">
        <f t="shared" si="1989"/>
        <v>0</v>
      </c>
      <c r="Z238" s="3088">
        <f t="shared" si="1989"/>
        <v>0</v>
      </c>
      <c r="AA238" s="3088">
        <f t="shared" si="1989"/>
        <v>0</v>
      </c>
      <c r="AB238" s="3088">
        <f t="shared" si="1989"/>
        <v>0</v>
      </c>
      <c r="AC238" s="3088">
        <f t="shared" si="1989"/>
        <v>0</v>
      </c>
      <c r="AD238" s="3088">
        <f t="shared" si="1989"/>
        <v>0</v>
      </c>
      <c r="AE238" s="3088">
        <f t="shared" si="1989"/>
        <v>0</v>
      </c>
      <c r="AF238" s="3273">
        <f t="shared" ref="AF238:AK238" si="1990">SUM(AF72)</f>
        <v>15.397239753766954</v>
      </c>
      <c r="AG238" s="3273">
        <f t="shared" si="1990"/>
        <v>15.397239753766954</v>
      </c>
      <c r="AH238" s="3273">
        <f t="shared" si="1990"/>
        <v>0</v>
      </c>
      <c r="AI238" s="3089">
        <f t="shared" si="1990"/>
        <v>0</v>
      </c>
      <c r="AJ238" s="3089">
        <f t="shared" si="1990"/>
        <v>0</v>
      </c>
      <c r="AK238" s="3089">
        <f t="shared" si="1990"/>
        <v>0</v>
      </c>
      <c r="AL238" s="3062">
        <f t="shared" si="1907"/>
        <v>-15.397239753766954</v>
      </c>
      <c r="AM238" s="3062">
        <f t="shared" si="1908"/>
        <v>-15.397239753766954</v>
      </c>
      <c r="AN238" s="3062">
        <f t="shared" si="1909"/>
        <v>0</v>
      </c>
      <c r="AO238" s="3270">
        <f t="shared" ref="AO238:BC238" si="1991">SUM(AO72)</f>
        <v>7.6986198768834768</v>
      </c>
      <c r="AP238" s="3270">
        <f t="shared" si="1991"/>
        <v>7.6986198768834768</v>
      </c>
      <c r="AQ238" s="3270">
        <f t="shared" si="1991"/>
        <v>0</v>
      </c>
      <c r="AR238" s="3088">
        <f t="shared" si="1991"/>
        <v>0</v>
      </c>
      <c r="AS238" s="3088">
        <f t="shared" si="1991"/>
        <v>0</v>
      </c>
      <c r="AT238" s="3088">
        <f t="shared" si="1991"/>
        <v>0</v>
      </c>
      <c r="AU238" s="3088">
        <f t="shared" si="1991"/>
        <v>0</v>
      </c>
      <c r="AV238" s="3088">
        <f t="shared" si="1991"/>
        <v>0</v>
      </c>
      <c r="AW238" s="3088">
        <f t="shared" si="1991"/>
        <v>0</v>
      </c>
      <c r="AX238" s="3088">
        <f t="shared" si="1991"/>
        <v>0</v>
      </c>
      <c r="AY238" s="3088">
        <f t="shared" si="1991"/>
        <v>0</v>
      </c>
      <c r="AZ238" s="3088">
        <f t="shared" si="1991"/>
        <v>0</v>
      </c>
      <c r="BA238" s="3088">
        <f t="shared" si="1991"/>
        <v>0</v>
      </c>
      <c r="BB238" s="3088">
        <f t="shared" si="1991"/>
        <v>0</v>
      </c>
      <c r="BC238" s="3088">
        <f t="shared" si="1991"/>
        <v>0</v>
      </c>
      <c r="BD238" s="3273">
        <f t="shared" ref="BD238:BI238" si="1992">SUM(BD72)</f>
        <v>23.09585963065043</v>
      </c>
      <c r="BE238" s="3273">
        <f t="shared" si="1992"/>
        <v>23.09585963065043</v>
      </c>
      <c r="BF238" s="3273">
        <f t="shared" si="1992"/>
        <v>0</v>
      </c>
      <c r="BG238" s="3089">
        <f t="shared" si="1992"/>
        <v>0</v>
      </c>
      <c r="BH238" s="3089">
        <f t="shared" si="1992"/>
        <v>0</v>
      </c>
      <c r="BI238" s="3089">
        <f t="shared" si="1992"/>
        <v>0</v>
      </c>
      <c r="BJ238" s="3062">
        <f t="shared" si="1912"/>
        <v>-23.09585963065043</v>
      </c>
      <c r="BK238" s="3062">
        <f t="shared" si="1913"/>
        <v>-23.09585963065043</v>
      </c>
      <c r="BL238" s="3062">
        <f t="shared" si="1914"/>
        <v>0</v>
      </c>
      <c r="BM238" s="3270">
        <f t="shared" ref="BM238:CA238" si="1993">SUM(BM72)</f>
        <v>7.6986198768834768</v>
      </c>
      <c r="BN238" s="3270">
        <f t="shared" si="1993"/>
        <v>7.6986198768834768</v>
      </c>
      <c r="BO238" s="3270">
        <f t="shared" si="1993"/>
        <v>0</v>
      </c>
      <c r="BP238" s="3088">
        <f t="shared" si="1993"/>
        <v>0</v>
      </c>
      <c r="BQ238" s="3088">
        <f t="shared" si="1993"/>
        <v>0</v>
      </c>
      <c r="BR238" s="3088">
        <f t="shared" si="1993"/>
        <v>0</v>
      </c>
      <c r="BS238" s="3088">
        <f t="shared" si="1993"/>
        <v>0</v>
      </c>
      <c r="BT238" s="3088">
        <f t="shared" si="1993"/>
        <v>0</v>
      </c>
      <c r="BU238" s="3088">
        <f t="shared" si="1993"/>
        <v>0</v>
      </c>
      <c r="BV238" s="3088">
        <f t="shared" si="1993"/>
        <v>0</v>
      </c>
      <c r="BW238" s="3088">
        <f t="shared" si="1993"/>
        <v>0</v>
      </c>
      <c r="BX238" s="3088">
        <f t="shared" si="1993"/>
        <v>0</v>
      </c>
      <c r="BY238" s="3088">
        <f t="shared" si="1993"/>
        <v>0</v>
      </c>
      <c r="BZ238" s="3088">
        <f t="shared" si="1993"/>
        <v>0</v>
      </c>
      <c r="CA238" s="3088">
        <f t="shared" si="1993"/>
        <v>0</v>
      </c>
      <c r="CB238" s="3273">
        <f t="shared" ref="CB238:CG238" si="1994">SUM(CB72)</f>
        <v>30.794479507533907</v>
      </c>
      <c r="CC238" s="3273">
        <f t="shared" si="1994"/>
        <v>30.794479507533907</v>
      </c>
      <c r="CD238" s="3273">
        <f t="shared" si="1994"/>
        <v>0</v>
      </c>
      <c r="CE238" s="3089">
        <f t="shared" si="1994"/>
        <v>0</v>
      </c>
      <c r="CF238" s="3089">
        <f t="shared" si="1994"/>
        <v>0</v>
      </c>
      <c r="CG238" s="3089">
        <f t="shared" si="1994"/>
        <v>0</v>
      </c>
      <c r="CH238" s="3062">
        <f t="shared" si="1917"/>
        <v>-30.794479507533907</v>
      </c>
      <c r="CI238" s="3062">
        <f t="shared" si="1918"/>
        <v>-30.794479507533907</v>
      </c>
      <c r="CJ238" s="3062">
        <f t="shared" si="1919"/>
        <v>0</v>
      </c>
      <c r="CK238" s="3049"/>
      <c r="CL238" s="3049"/>
      <c r="CM238" s="3049"/>
      <c r="CN238" s="3049"/>
    </row>
    <row r="239" spans="1:92" ht="18.75" x14ac:dyDescent="0.3">
      <c r="A239" s="3075" t="s">
        <v>32</v>
      </c>
      <c r="B239" s="3270">
        <f>SUM(B83+B111+B131)</f>
        <v>17.32</v>
      </c>
      <c r="C239" s="3270">
        <f>SUM(C83+C111+C131)</f>
        <v>17.314086942983121</v>
      </c>
      <c r="D239" s="3270">
        <f t="shared" ref="D239:S239" si="1995">SUM(D83+D111+D131)</f>
        <v>5.9130570168794937E-3</v>
      </c>
      <c r="E239" s="3088">
        <f t="shared" si="1995"/>
        <v>14.68</v>
      </c>
      <c r="F239" s="3088">
        <f t="shared" si="1995"/>
        <v>14.68</v>
      </c>
      <c r="G239" s="3088">
        <f t="shared" si="1995"/>
        <v>0</v>
      </c>
      <c r="H239" s="3088">
        <f t="shared" si="1995"/>
        <v>0.28000000000000003</v>
      </c>
      <c r="I239" s="3088">
        <f t="shared" si="1995"/>
        <v>0.28000000000000003</v>
      </c>
      <c r="J239" s="3088">
        <f t="shared" si="1995"/>
        <v>0</v>
      </c>
      <c r="K239" s="3088">
        <f t="shared" si="1995"/>
        <v>0.28000000000000003</v>
      </c>
      <c r="L239" s="3088">
        <f t="shared" si="1995"/>
        <v>0.28000000000000003</v>
      </c>
      <c r="M239" s="3088">
        <f t="shared" si="1995"/>
        <v>0</v>
      </c>
      <c r="N239" s="3088">
        <f t="shared" si="1995"/>
        <v>15.24</v>
      </c>
      <c r="O239" s="3088">
        <f t="shared" si="1995"/>
        <v>15.24</v>
      </c>
      <c r="P239" s="3088">
        <f t="shared" si="1995"/>
        <v>0</v>
      </c>
      <c r="Q239" s="3270">
        <f t="shared" si="1995"/>
        <v>17.32</v>
      </c>
      <c r="R239" s="3270">
        <f t="shared" si="1995"/>
        <v>17.314086942983121</v>
      </c>
      <c r="S239" s="3270">
        <f t="shared" si="1995"/>
        <v>5.9130570168794937E-3</v>
      </c>
      <c r="T239" s="3088">
        <f t="shared" ref="T239:AE239" si="1996">SUM(T83+T111+T131)</f>
        <v>58.18</v>
      </c>
      <c r="U239" s="3088">
        <f t="shared" si="1996"/>
        <v>58.18</v>
      </c>
      <c r="V239" s="3088">
        <f t="shared" si="1996"/>
        <v>0</v>
      </c>
      <c r="W239" s="3088">
        <f t="shared" si="1996"/>
        <v>0.28000000000000003</v>
      </c>
      <c r="X239" s="3088">
        <f t="shared" si="1996"/>
        <v>0.28000000000000003</v>
      </c>
      <c r="Y239" s="3088">
        <f t="shared" si="1996"/>
        <v>0</v>
      </c>
      <c r="Z239" s="3088">
        <f t="shared" si="1996"/>
        <v>14.68</v>
      </c>
      <c r="AA239" s="3088">
        <f t="shared" si="1996"/>
        <v>14.68</v>
      </c>
      <c r="AB239" s="3088">
        <f t="shared" si="1996"/>
        <v>0</v>
      </c>
      <c r="AC239" s="3088">
        <f t="shared" si="1996"/>
        <v>73.14</v>
      </c>
      <c r="AD239" s="3088">
        <f t="shared" si="1996"/>
        <v>73.14</v>
      </c>
      <c r="AE239" s="3088">
        <f t="shared" si="1996"/>
        <v>0</v>
      </c>
      <c r="AF239" s="3273">
        <f t="shared" ref="AF239:AK239" si="1997">SUM(AF83+AF111+AF131)</f>
        <v>34.64</v>
      </c>
      <c r="AG239" s="3273">
        <f t="shared" si="1997"/>
        <v>34.628173885966241</v>
      </c>
      <c r="AH239" s="3273">
        <f t="shared" si="1997"/>
        <v>1.1826114033758987E-2</v>
      </c>
      <c r="AI239" s="3089">
        <f t="shared" si="1997"/>
        <v>88.38000000000001</v>
      </c>
      <c r="AJ239" s="3089">
        <f t="shared" si="1997"/>
        <v>88.38000000000001</v>
      </c>
      <c r="AK239" s="3089">
        <f t="shared" si="1997"/>
        <v>0</v>
      </c>
      <c r="AL239" s="3062">
        <f t="shared" si="1907"/>
        <v>53.740000000000009</v>
      </c>
      <c r="AM239" s="3062">
        <f t="shared" si="1908"/>
        <v>53.751826114033769</v>
      </c>
      <c r="AN239" s="3062">
        <f t="shared" si="1909"/>
        <v>-1.1826114033758987E-2</v>
      </c>
      <c r="AO239" s="3270">
        <f t="shared" ref="AO239:BC239" si="1998">SUM(AO83+AO111+AO131)</f>
        <v>17.32</v>
      </c>
      <c r="AP239" s="3270">
        <f t="shared" si="1998"/>
        <v>17.314086942983121</v>
      </c>
      <c r="AQ239" s="3270">
        <f t="shared" si="1998"/>
        <v>5.9130570168794937E-3</v>
      </c>
      <c r="AR239" s="3088">
        <f t="shared" si="1998"/>
        <v>21.28</v>
      </c>
      <c r="AS239" s="3088">
        <f t="shared" si="1998"/>
        <v>21.28</v>
      </c>
      <c r="AT239" s="3088">
        <f t="shared" si="1998"/>
        <v>0</v>
      </c>
      <c r="AU239" s="3088">
        <f t="shared" si="1998"/>
        <v>8.48</v>
      </c>
      <c r="AV239" s="3088">
        <f t="shared" si="1998"/>
        <v>8.48</v>
      </c>
      <c r="AW239" s="3088">
        <f t="shared" si="1998"/>
        <v>0</v>
      </c>
      <c r="AX239" s="3088">
        <f t="shared" si="1998"/>
        <v>0</v>
      </c>
      <c r="AY239" s="3088">
        <f t="shared" si="1998"/>
        <v>0</v>
      </c>
      <c r="AZ239" s="3088">
        <f t="shared" si="1998"/>
        <v>0</v>
      </c>
      <c r="BA239" s="3088">
        <f t="shared" si="1998"/>
        <v>29.759999999999998</v>
      </c>
      <c r="BB239" s="3088">
        <f t="shared" si="1998"/>
        <v>29.759999999999998</v>
      </c>
      <c r="BC239" s="3088">
        <f t="shared" si="1998"/>
        <v>0</v>
      </c>
      <c r="BD239" s="3273">
        <f t="shared" ref="BD239:BI239" si="1999">SUM(BD83+BD111+BD131)</f>
        <v>51.959999999999987</v>
      </c>
      <c r="BE239" s="3273">
        <f t="shared" si="1999"/>
        <v>51.942260828949351</v>
      </c>
      <c r="BF239" s="3273">
        <f t="shared" si="1999"/>
        <v>1.7739171050638478E-2</v>
      </c>
      <c r="BG239" s="3089">
        <f t="shared" si="1999"/>
        <v>118.14000000000001</v>
      </c>
      <c r="BH239" s="3089">
        <f t="shared" si="1999"/>
        <v>118.14000000000001</v>
      </c>
      <c r="BI239" s="3089">
        <f t="shared" si="1999"/>
        <v>0</v>
      </c>
      <c r="BJ239" s="3062">
        <f t="shared" si="1912"/>
        <v>66.180000000000035</v>
      </c>
      <c r="BK239" s="3062">
        <f t="shared" si="1913"/>
        <v>66.197739171050671</v>
      </c>
      <c r="BL239" s="3062">
        <f t="shared" si="1914"/>
        <v>-1.7739171050638478E-2</v>
      </c>
      <c r="BM239" s="3270">
        <f t="shared" ref="BM239:CA239" si="2000">SUM(BM83+BM111+BM131)</f>
        <v>17.32</v>
      </c>
      <c r="BN239" s="3270">
        <f t="shared" si="2000"/>
        <v>17.314086942983121</v>
      </c>
      <c r="BO239" s="3270">
        <f t="shared" si="2000"/>
        <v>5.9130570168794937E-3</v>
      </c>
      <c r="BP239" s="3088">
        <f t="shared" si="2000"/>
        <v>0</v>
      </c>
      <c r="BQ239" s="3088">
        <f t="shared" si="2000"/>
        <v>0</v>
      </c>
      <c r="BR239" s="3088">
        <f t="shared" si="2000"/>
        <v>0</v>
      </c>
      <c r="BS239" s="3088">
        <f t="shared" si="2000"/>
        <v>0</v>
      </c>
      <c r="BT239" s="3088">
        <f t="shared" si="2000"/>
        <v>0</v>
      </c>
      <c r="BU239" s="3088">
        <f t="shared" si="2000"/>
        <v>0</v>
      </c>
      <c r="BV239" s="3088">
        <f t="shared" si="2000"/>
        <v>0</v>
      </c>
      <c r="BW239" s="3088">
        <f t="shared" si="2000"/>
        <v>0</v>
      </c>
      <c r="BX239" s="3088">
        <f t="shared" si="2000"/>
        <v>0</v>
      </c>
      <c r="BY239" s="3088">
        <f t="shared" si="2000"/>
        <v>0</v>
      </c>
      <c r="BZ239" s="3088">
        <f t="shared" si="2000"/>
        <v>0</v>
      </c>
      <c r="CA239" s="3088">
        <f t="shared" si="2000"/>
        <v>0</v>
      </c>
      <c r="CB239" s="3273">
        <f t="shared" ref="CB239:CG239" si="2001">SUM(CB83+CB111+CB131)</f>
        <v>69.28</v>
      </c>
      <c r="CC239" s="3273">
        <f t="shared" si="2001"/>
        <v>69.256347771932482</v>
      </c>
      <c r="CD239" s="3273">
        <f t="shared" si="2001"/>
        <v>2.3652228067517975E-2</v>
      </c>
      <c r="CE239" s="3089">
        <f t="shared" si="2001"/>
        <v>118.14000000000001</v>
      </c>
      <c r="CF239" s="3089">
        <f t="shared" si="2001"/>
        <v>118.14000000000001</v>
      </c>
      <c r="CG239" s="3089">
        <f t="shared" si="2001"/>
        <v>0</v>
      </c>
      <c r="CH239" s="3062">
        <f t="shared" si="1917"/>
        <v>48.860000000000014</v>
      </c>
      <c r="CI239" s="3062">
        <f t="shared" si="1918"/>
        <v>48.883652228067533</v>
      </c>
      <c r="CJ239" s="3062">
        <f t="shared" si="1919"/>
        <v>-2.3652228067517975E-2</v>
      </c>
      <c r="CK239" s="3049"/>
      <c r="CL239" s="3049"/>
      <c r="CM239" s="3049"/>
      <c r="CN239" s="3049"/>
    </row>
    <row r="240" spans="1:92" ht="18.75" x14ac:dyDescent="0.3">
      <c r="A240" s="3075" t="s">
        <v>599</v>
      </c>
      <c r="B240" s="3270">
        <f>SUM(B105)</f>
        <v>570.80999999999995</v>
      </c>
      <c r="C240" s="3270">
        <f>SUM(C105)</f>
        <v>570.53413305469508</v>
      </c>
      <c r="D240" s="3270">
        <f t="shared" ref="D240:S240" si="2002">SUM(D105)</f>
        <v>0.27586694530486172</v>
      </c>
      <c r="E240" s="3088">
        <f t="shared" si="2002"/>
        <v>150.99</v>
      </c>
      <c r="F240" s="3088">
        <f t="shared" si="2002"/>
        <v>150.99</v>
      </c>
      <c r="G240" s="3088">
        <f t="shared" si="2002"/>
        <v>0</v>
      </c>
      <c r="H240" s="3088">
        <f t="shared" si="2002"/>
        <v>126.56</v>
      </c>
      <c r="I240" s="3088">
        <f t="shared" si="2002"/>
        <v>126.56</v>
      </c>
      <c r="J240" s="3088">
        <f t="shared" si="2002"/>
        <v>0</v>
      </c>
      <c r="K240" s="3088">
        <f t="shared" si="2002"/>
        <v>112.25999999999999</v>
      </c>
      <c r="L240" s="3088">
        <f t="shared" si="2002"/>
        <v>112.25999999999999</v>
      </c>
      <c r="M240" s="3088">
        <f t="shared" si="2002"/>
        <v>0</v>
      </c>
      <c r="N240" s="3088">
        <f t="shared" si="2002"/>
        <v>389.81</v>
      </c>
      <c r="O240" s="3088">
        <f t="shared" si="2002"/>
        <v>389.81</v>
      </c>
      <c r="P240" s="3088">
        <f t="shared" si="2002"/>
        <v>0</v>
      </c>
      <c r="Q240" s="3270">
        <f t="shared" si="2002"/>
        <v>570.80999999999995</v>
      </c>
      <c r="R240" s="3270">
        <f t="shared" si="2002"/>
        <v>570.53413305469508</v>
      </c>
      <c r="S240" s="3270">
        <f t="shared" si="2002"/>
        <v>0.27586694530486172</v>
      </c>
      <c r="T240" s="3088">
        <f t="shared" ref="T240:AE240" si="2003">SUM(T105)</f>
        <v>142.6</v>
      </c>
      <c r="U240" s="3088">
        <f t="shared" si="2003"/>
        <v>142.6</v>
      </c>
      <c r="V240" s="3088">
        <f t="shared" si="2003"/>
        <v>0</v>
      </c>
      <c r="W240" s="3088">
        <f t="shared" si="2003"/>
        <v>119.32000000000001</v>
      </c>
      <c r="X240" s="3088">
        <f t="shared" si="2003"/>
        <v>119.32000000000001</v>
      </c>
      <c r="Y240" s="3088">
        <f t="shared" si="2003"/>
        <v>0</v>
      </c>
      <c r="Z240" s="3088">
        <f t="shared" si="2003"/>
        <v>158.81</v>
      </c>
      <c r="AA240" s="3088">
        <f t="shared" si="2003"/>
        <v>158.81</v>
      </c>
      <c r="AB240" s="3088">
        <f t="shared" si="2003"/>
        <v>0</v>
      </c>
      <c r="AC240" s="3088">
        <f t="shared" si="2003"/>
        <v>420.73</v>
      </c>
      <c r="AD240" s="3088">
        <f t="shared" si="2003"/>
        <v>420.73</v>
      </c>
      <c r="AE240" s="3088">
        <f t="shared" si="2003"/>
        <v>0</v>
      </c>
      <c r="AF240" s="3273">
        <f t="shared" ref="AF240:AK240" si="2004">SUM(AF105)</f>
        <v>1141.6199999999999</v>
      </c>
      <c r="AG240" s="3273">
        <f t="shared" si="2004"/>
        <v>1141.0682661093902</v>
      </c>
      <c r="AH240" s="3273">
        <f t="shared" si="2004"/>
        <v>0.55173389060972344</v>
      </c>
      <c r="AI240" s="3089">
        <f t="shared" si="2004"/>
        <v>810.54</v>
      </c>
      <c r="AJ240" s="3089">
        <f t="shared" si="2004"/>
        <v>810.54</v>
      </c>
      <c r="AK240" s="3089">
        <f t="shared" si="2004"/>
        <v>0</v>
      </c>
      <c r="AL240" s="3062">
        <f t="shared" si="1907"/>
        <v>-331.07999999999993</v>
      </c>
      <c r="AM240" s="3062">
        <f t="shared" si="1908"/>
        <v>-330.52826610939019</v>
      </c>
      <c r="AN240" s="3062">
        <f t="shared" si="1909"/>
        <v>-0.55173389060972344</v>
      </c>
      <c r="AO240" s="3270">
        <f t="shared" ref="AO240:BC240" si="2005">SUM(AO105)</f>
        <v>570.80999999999995</v>
      </c>
      <c r="AP240" s="3270">
        <f t="shared" si="2005"/>
        <v>570.53413305469508</v>
      </c>
      <c r="AQ240" s="3270">
        <f t="shared" si="2005"/>
        <v>0.27586694530486172</v>
      </c>
      <c r="AR240" s="3088">
        <f t="shared" si="2005"/>
        <v>165.88000000000002</v>
      </c>
      <c r="AS240" s="3088">
        <f t="shared" si="2005"/>
        <v>165.88000000000002</v>
      </c>
      <c r="AT240" s="3088">
        <f t="shared" si="2005"/>
        <v>0</v>
      </c>
      <c r="AU240" s="3088">
        <f t="shared" si="2005"/>
        <v>128.45000000000002</v>
      </c>
      <c r="AV240" s="3088">
        <f t="shared" si="2005"/>
        <v>128.45000000000002</v>
      </c>
      <c r="AW240" s="3088">
        <f t="shared" si="2005"/>
        <v>0</v>
      </c>
      <c r="AX240" s="3088">
        <f t="shared" si="2005"/>
        <v>141.22</v>
      </c>
      <c r="AY240" s="3088">
        <f t="shared" si="2005"/>
        <v>141.22</v>
      </c>
      <c r="AZ240" s="3088">
        <f t="shared" si="2005"/>
        <v>0</v>
      </c>
      <c r="BA240" s="3088">
        <f t="shared" si="2005"/>
        <v>435.55000000000007</v>
      </c>
      <c r="BB240" s="3088">
        <f t="shared" si="2005"/>
        <v>435.55000000000007</v>
      </c>
      <c r="BC240" s="3088">
        <f t="shared" si="2005"/>
        <v>0</v>
      </c>
      <c r="BD240" s="3273">
        <f t="shared" ref="BD240:BI240" si="2006">SUM(BD105)</f>
        <v>1712.4299999999998</v>
      </c>
      <c r="BE240" s="3273">
        <f t="shared" si="2006"/>
        <v>1711.6023991640852</v>
      </c>
      <c r="BF240" s="3273">
        <f t="shared" si="2006"/>
        <v>0.82760083591458522</v>
      </c>
      <c r="BG240" s="3089">
        <f t="shared" si="2006"/>
        <v>1246.0900000000001</v>
      </c>
      <c r="BH240" s="3089">
        <f t="shared" si="2006"/>
        <v>1246.0900000000001</v>
      </c>
      <c r="BI240" s="3089">
        <f t="shared" si="2006"/>
        <v>0</v>
      </c>
      <c r="BJ240" s="3062">
        <f t="shared" si="1912"/>
        <v>-466.33999999999969</v>
      </c>
      <c r="BK240" s="3062">
        <f t="shared" si="1913"/>
        <v>-465.51239916408508</v>
      </c>
      <c r="BL240" s="3062">
        <f t="shared" si="1914"/>
        <v>-0.82760083591458522</v>
      </c>
      <c r="BM240" s="3270">
        <f t="shared" ref="BM240:CA240" si="2007">SUM(BM105)</f>
        <v>570.80999999999995</v>
      </c>
      <c r="BN240" s="3270">
        <f t="shared" si="2007"/>
        <v>570.53413305469508</v>
      </c>
      <c r="BO240" s="3270">
        <f t="shared" si="2007"/>
        <v>0.27586694530486172</v>
      </c>
      <c r="BP240" s="3088">
        <f t="shared" si="2007"/>
        <v>0</v>
      </c>
      <c r="BQ240" s="3088">
        <f t="shared" si="2007"/>
        <v>0</v>
      </c>
      <c r="BR240" s="3088">
        <f t="shared" si="2007"/>
        <v>0</v>
      </c>
      <c r="BS240" s="3088">
        <f t="shared" si="2007"/>
        <v>0</v>
      </c>
      <c r="BT240" s="3088">
        <f t="shared" si="2007"/>
        <v>0</v>
      </c>
      <c r="BU240" s="3088">
        <f t="shared" si="2007"/>
        <v>0</v>
      </c>
      <c r="BV240" s="3088">
        <f t="shared" si="2007"/>
        <v>0</v>
      </c>
      <c r="BW240" s="3088">
        <f t="shared" si="2007"/>
        <v>0</v>
      </c>
      <c r="BX240" s="3088">
        <f t="shared" si="2007"/>
        <v>0</v>
      </c>
      <c r="BY240" s="3088">
        <f t="shared" si="2007"/>
        <v>0</v>
      </c>
      <c r="BZ240" s="3088">
        <f t="shared" si="2007"/>
        <v>0</v>
      </c>
      <c r="CA240" s="3088">
        <f t="shared" si="2007"/>
        <v>0</v>
      </c>
      <c r="CB240" s="3273">
        <f t="shared" ref="CB240:CG240" si="2008">SUM(CB105)</f>
        <v>2283.2399999999998</v>
      </c>
      <c r="CC240" s="3273">
        <f t="shared" si="2008"/>
        <v>2282.1365322187803</v>
      </c>
      <c r="CD240" s="3273">
        <f t="shared" si="2008"/>
        <v>1.1034677812194469</v>
      </c>
      <c r="CE240" s="3089">
        <f t="shared" si="2008"/>
        <v>1246.0900000000001</v>
      </c>
      <c r="CF240" s="3089">
        <f t="shared" si="2008"/>
        <v>1246.0900000000001</v>
      </c>
      <c r="CG240" s="3089">
        <f t="shared" si="2008"/>
        <v>0</v>
      </c>
      <c r="CH240" s="3062">
        <f t="shared" si="1917"/>
        <v>-1037.1499999999996</v>
      </c>
      <c r="CI240" s="3062">
        <f t="shared" si="1918"/>
        <v>-1036.0465322187802</v>
      </c>
      <c r="CJ240" s="3062">
        <f t="shared" si="1919"/>
        <v>-1.1034677812194469</v>
      </c>
      <c r="CK240" s="3049"/>
      <c r="CL240" s="3049"/>
      <c r="CM240" s="3049"/>
      <c r="CN240" s="3049"/>
    </row>
    <row r="241" spans="1:92" ht="18.75" x14ac:dyDescent="0.3">
      <c r="A241" s="3075" t="s">
        <v>3619</v>
      </c>
      <c r="B241" s="3270">
        <f t="shared" ref="B241:C243" si="2009">SUM(B107)</f>
        <v>30.160000000000004</v>
      </c>
      <c r="C241" s="3270">
        <f t="shared" si="2009"/>
        <v>30.145423964067916</v>
      </c>
      <c r="D241" s="3270">
        <f t="shared" ref="D241:S241" si="2010">SUM(D107)</f>
        <v>1.4576035932087089E-2</v>
      </c>
      <c r="E241" s="3088">
        <f t="shared" si="2010"/>
        <v>9.7100000000000009</v>
      </c>
      <c r="F241" s="3088">
        <f t="shared" si="2010"/>
        <v>9.7100000000000009</v>
      </c>
      <c r="G241" s="3088">
        <f t="shared" si="2010"/>
        <v>0</v>
      </c>
      <c r="H241" s="3088">
        <f t="shared" si="2010"/>
        <v>9.73</v>
      </c>
      <c r="I241" s="3088">
        <f t="shared" si="2010"/>
        <v>9.73</v>
      </c>
      <c r="J241" s="3088">
        <f t="shared" si="2010"/>
        <v>0</v>
      </c>
      <c r="K241" s="3088">
        <f t="shared" si="2010"/>
        <v>9.73</v>
      </c>
      <c r="L241" s="3088">
        <f t="shared" si="2010"/>
        <v>9.73</v>
      </c>
      <c r="M241" s="3088">
        <f t="shared" si="2010"/>
        <v>0</v>
      </c>
      <c r="N241" s="3088">
        <f t="shared" si="2010"/>
        <v>29.17</v>
      </c>
      <c r="O241" s="3088">
        <f t="shared" si="2010"/>
        <v>29.17</v>
      </c>
      <c r="P241" s="3088">
        <f t="shared" si="2010"/>
        <v>0</v>
      </c>
      <c r="Q241" s="3270">
        <f t="shared" si="2010"/>
        <v>30.160000000000004</v>
      </c>
      <c r="R241" s="3270">
        <f t="shared" si="2010"/>
        <v>30.145423964067916</v>
      </c>
      <c r="S241" s="3270">
        <f t="shared" si="2010"/>
        <v>1.4576035932087089E-2</v>
      </c>
      <c r="T241" s="3088">
        <f t="shared" ref="T241:AE241" si="2011">SUM(T107)</f>
        <v>9.67</v>
      </c>
      <c r="U241" s="3088">
        <f t="shared" si="2011"/>
        <v>9.67</v>
      </c>
      <c r="V241" s="3088">
        <f t="shared" si="2011"/>
        <v>0</v>
      </c>
      <c r="W241" s="3088">
        <f t="shared" si="2011"/>
        <v>8.1999999999999993</v>
      </c>
      <c r="X241" s="3088">
        <f t="shared" si="2011"/>
        <v>8.1999999999999993</v>
      </c>
      <c r="Y241" s="3088">
        <f t="shared" si="2011"/>
        <v>0</v>
      </c>
      <c r="Z241" s="3088">
        <f t="shared" si="2011"/>
        <v>8.9499999999999993</v>
      </c>
      <c r="AA241" s="3088">
        <f t="shared" si="2011"/>
        <v>8.9499999999999993</v>
      </c>
      <c r="AB241" s="3088">
        <f t="shared" si="2011"/>
        <v>0</v>
      </c>
      <c r="AC241" s="3088">
        <f t="shared" si="2011"/>
        <v>26.819999999999997</v>
      </c>
      <c r="AD241" s="3088">
        <f t="shared" si="2011"/>
        <v>26.819999999999997</v>
      </c>
      <c r="AE241" s="3088">
        <f t="shared" si="2011"/>
        <v>0</v>
      </c>
      <c r="AF241" s="3273">
        <f t="shared" ref="AF241:AK241" si="2012">SUM(AF107)</f>
        <v>60.320000000000007</v>
      </c>
      <c r="AG241" s="3273">
        <f t="shared" si="2012"/>
        <v>60.290847928135832</v>
      </c>
      <c r="AH241" s="3273">
        <f t="shared" si="2012"/>
        <v>2.9152071864174178E-2</v>
      </c>
      <c r="AI241" s="3089">
        <f t="shared" si="2012"/>
        <v>55.989999999999995</v>
      </c>
      <c r="AJ241" s="3089">
        <f t="shared" si="2012"/>
        <v>55.989999999999995</v>
      </c>
      <c r="AK241" s="3089">
        <f t="shared" si="2012"/>
        <v>0</v>
      </c>
      <c r="AL241" s="3062">
        <f t="shared" si="1907"/>
        <v>-4.3300000000000125</v>
      </c>
      <c r="AM241" s="3062">
        <f t="shared" si="1908"/>
        <v>-4.3008479281358376</v>
      </c>
      <c r="AN241" s="3062">
        <f t="shared" si="1909"/>
        <v>-2.9152071864174178E-2</v>
      </c>
      <c r="AO241" s="3270">
        <f t="shared" ref="AO241:BC241" si="2013">SUM(AO107)</f>
        <v>30.160000000000004</v>
      </c>
      <c r="AP241" s="3270">
        <f t="shared" si="2013"/>
        <v>30.145423964067916</v>
      </c>
      <c r="AQ241" s="3270">
        <f t="shared" si="2013"/>
        <v>1.4576035932087089E-2</v>
      </c>
      <c r="AR241" s="3088">
        <f t="shared" si="2013"/>
        <v>9.31</v>
      </c>
      <c r="AS241" s="3088">
        <f t="shared" si="2013"/>
        <v>9.31</v>
      </c>
      <c r="AT241" s="3088">
        <f t="shared" si="2013"/>
        <v>0</v>
      </c>
      <c r="AU241" s="3088">
        <f t="shared" si="2013"/>
        <v>9.31</v>
      </c>
      <c r="AV241" s="3088">
        <f t="shared" si="2013"/>
        <v>9.31</v>
      </c>
      <c r="AW241" s="3088">
        <f t="shared" si="2013"/>
        <v>0</v>
      </c>
      <c r="AX241" s="3088">
        <f t="shared" si="2013"/>
        <v>9.31</v>
      </c>
      <c r="AY241" s="3088">
        <f t="shared" si="2013"/>
        <v>9.31</v>
      </c>
      <c r="AZ241" s="3088">
        <f t="shared" si="2013"/>
        <v>0</v>
      </c>
      <c r="BA241" s="3088">
        <f t="shared" si="2013"/>
        <v>27.93</v>
      </c>
      <c r="BB241" s="3088">
        <f t="shared" si="2013"/>
        <v>27.93</v>
      </c>
      <c r="BC241" s="3088">
        <f t="shared" si="2013"/>
        <v>0</v>
      </c>
      <c r="BD241" s="3273">
        <f t="shared" ref="BD241:BI241" si="2014">SUM(BD107)</f>
        <v>90.48</v>
      </c>
      <c r="BE241" s="3273">
        <f t="shared" si="2014"/>
        <v>90.436271892203749</v>
      </c>
      <c r="BF241" s="3273">
        <f t="shared" si="2014"/>
        <v>4.3728107796261267E-2</v>
      </c>
      <c r="BG241" s="3089">
        <f t="shared" si="2014"/>
        <v>83.919999999999987</v>
      </c>
      <c r="BH241" s="3089">
        <f t="shared" si="2014"/>
        <v>83.919999999999987</v>
      </c>
      <c r="BI241" s="3089">
        <f t="shared" si="2014"/>
        <v>0</v>
      </c>
      <c r="BJ241" s="3062">
        <f t="shared" si="1912"/>
        <v>-6.5600000000000165</v>
      </c>
      <c r="BK241" s="3062">
        <f t="shared" si="1913"/>
        <v>-6.5162718922037612</v>
      </c>
      <c r="BL241" s="3062">
        <f t="shared" si="1914"/>
        <v>-4.3728107796261267E-2</v>
      </c>
      <c r="BM241" s="3270">
        <f t="shared" ref="BM241:CA241" si="2015">SUM(BM107)</f>
        <v>30.160000000000004</v>
      </c>
      <c r="BN241" s="3270">
        <f t="shared" si="2015"/>
        <v>30.145423964067916</v>
      </c>
      <c r="BO241" s="3270">
        <f t="shared" si="2015"/>
        <v>1.4576035932087089E-2</v>
      </c>
      <c r="BP241" s="3088">
        <f t="shared" si="2015"/>
        <v>0</v>
      </c>
      <c r="BQ241" s="3088">
        <f t="shared" si="2015"/>
        <v>0</v>
      </c>
      <c r="BR241" s="3088">
        <f t="shared" si="2015"/>
        <v>0</v>
      </c>
      <c r="BS241" s="3088">
        <f t="shared" si="2015"/>
        <v>0</v>
      </c>
      <c r="BT241" s="3088">
        <f t="shared" si="2015"/>
        <v>0</v>
      </c>
      <c r="BU241" s="3088">
        <f t="shared" si="2015"/>
        <v>0</v>
      </c>
      <c r="BV241" s="3088">
        <f t="shared" si="2015"/>
        <v>0</v>
      </c>
      <c r="BW241" s="3088">
        <f t="shared" si="2015"/>
        <v>0</v>
      </c>
      <c r="BX241" s="3088">
        <f t="shared" si="2015"/>
        <v>0</v>
      </c>
      <c r="BY241" s="3088">
        <f t="shared" si="2015"/>
        <v>0</v>
      </c>
      <c r="BZ241" s="3088">
        <f t="shared" si="2015"/>
        <v>0</v>
      </c>
      <c r="CA241" s="3088">
        <f t="shared" si="2015"/>
        <v>0</v>
      </c>
      <c r="CB241" s="3273">
        <f t="shared" ref="CB241:CG241" si="2016">SUM(CB107)</f>
        <v>120.64</v>
      </c>
      <c r="CC241" s="3273">
        <f t="shared" si="2016"/>
        <v>120.58169585627166</v>
      </c>
      <c r="CD241" s="3273">
        <f t="shared" si="2016"/>
        <v>5.8304143728348357E-2</v>
      </c>
      <c r="CE241" s="3089">
        <f t="shared" si="2016"/>
        <v>83.919999999999987</v>
      </c>
      <c r="CF241" s="3089">
        <f t="shared" si="2016"/>
        <v>83.919999999999987</v>
      </c>
      <c r="CG241" s="3089">
        <f t="shared" si="2016"/>
        <v>0</v>
      </c>
      <c r="CH241" s="3062">
        <f t="shared" si="1917"/>
        <v>-36.720000000000013</v>
      </c>
      <c r="CI241" s="3062">
        <f t="shared" si="1918"/>
        <v>-36.661695856271677</v>
      </c>
      <c r="CJ241" s="3062">
        <f t="shared" si="1919"/>
        <v>-5.8304143728348357E-2</v>
      </c>
      <c r="CK241" s="3049"/>
      <c r="CL241" s="3049"/>
      <c r="CM241" s="3049"/>
      <c r="CN241" s="3049"/>
    </row>
    <row r="242" spans="1:92" ht="18.75" x14ac:dyDescent="0.3">
      <c r="A242" s="3075" t="s">
        <v>610</v>
      </c>
      <c r="B242" s="3270">
        <f t="shared" si="2009"/>
        <v>6.2450000000000001</v>
      </c>
      <c r="C242" s="3270">
        <f t="shared" si="2009"/>
        <v>6.2419818519762638</v>
      </c>
      <c r="D242" s="3270">
        <f t="shared" ref="D242:S242" si="2017">SUM(D108)</f>
        <v>3.0181480237362027E-3</v>
      </c>
      <c r="E242" s="3088">
        <f t="shared" si="2017"/>
        <v>0</v>
      </c>
      <c r="F242" s="3088">
        <f t="shared" si="2017"/>
        <v>0</v>
      </c>
      <c r="G242" s="3088">
        <f t="shared" si="2017"/>
        <v>0</v>
      </c>
      <c r="H242" s="3088">
        <f t="shared" si="2017"/>
        <v>0</v>
      </c>
      <c r="I242" s="3088">
        <f t="shared" si="2017"/>
        <v>0</v>
      </c>
      <c r="J242" s="3088">
        <f t="shared" si="2017"/>
        <v>0</v>
      </c>
      <c r="K242" s="3088">
        <f t="shared" si="2017"/>
        <v>1.9</v>
      </c>
      <c r="L242" s="3088">
        <f t="shared" si="2017"/>
        <v>1.9</v>
      </c>
      <c r="M242" s="3088">
        <f t="shared" si="2017"/>
        <v>0</v>
      </c>
      <c r="N242" s="3088">
        <f t="shared" si="2017"/>
        <v>1.9</v>
      </c>
      <c r="O242" s="3088">
        <f t="shared" si="2017"/>
        <v>1.9</v>
      </c>
      <c r="P242" s="3088">
        <f t="shared" si="2017"/>
        <v>0</v>
      </c>
      <c r="Q242" s="3270">
        <f t="shared" si="2017"/>
        <v>6.2450000000000001</v>
      </c>
      <c r="R242" s="3270">
        <f t="shared" si="2017"/>
        <v>6.2419818519762638</v>
      </c>
      <c r="S242" s="3270">
        <f t="shared" si="2017"/>
        <v>3.0181480237362027E-3</v>
      </c>
      <c r="T242" s="3088">
        <f t="shared" ref="T242:AE242" si="2018">SUM(T108)</f>
        <v>0</v>
      </c>
      <c r="U242" s="3088">
        <f t="shared" si="2018"/>
        <v>0</v>
      </c>
      <c r="V242" s="3088">
        <f t="shared" si="2018"/>
        <v>0</v>
      </c>
      <c r="W242" s="3088">
        <f t="shared" si="2018"/>
        <v>0</v>
      </c>
      <c r="X242" s="3088">
        <f t="shared" si="2018"/>
        <v>0</v>
      </c>
      <c r="Y242" s="3088">
        <f t="shared" si="2018"/>
        <v>0</v>
      </c>
      <c r="Z242" s="3088">
        <f t="shared" si="2018"/>
        <v>1.26</v>
      </c>
      <c r="AA242" s="3088">
        <f t="shared" si="2018"/>
        <v>1.26</v>
      </c>
      <c r="AB242" s="3088">
        <f t="shared" si="2018"/>
        <v>0</v>
      </c>
      <c r="AC242" s="3088">
        <f t="shared" si="2018"/>
        <v>1.26</v>
      </c>
      <c r="AD242" s="3088">
        <f t="shared" si="2018"/>
        <v>1.26</v>
      </c>
      <c r="AE242" s="3088">
        <f t="shared" si="2018"/>
        <v>0</v>
      </c>
      <c r="AF242" s="3273">
        <f t="shared" ref="AF242:AK242" si="2019">SUM(AF108)</f>
        <v>12.49</v>
      </c>
      <c r="AG242" s="3273">
        <f t="shared" si="2019"/>
        <v>12.483963703952528</v>
      </c>
      <c r="AH242" s="3273">
        <f t="shared" si="2019"/>
        <v>6.0362960474724054E-3</v>
      </c>
      <c r="AI242" s="3089">
        <f t="shared" si="2019"/>
        <v>3.16</v>
      </c>
      <c r="AJ242" s="3089">
        <f t="shared" si="2019"/>
        <v>3.16</v>
      </c>
      <c r="AK242" s="3089">
        <f t="shared" si="2019"/>
        <v>0</v>
      </c>
      <c r="AL242" s="3062">
        <f t="shared" si="1907"/>
        <v>-9.33</v>
      </c>
      <c r="AM242" s="3062">
        <f t="shared" si="1908"/>
        <v>-9.3239637039525274</v>
      </c>
      <c r="AN242" s="3062">
        <f t="shared" si="1909"/>
        <v>-6.0362960474724054E-3</v>
      </c>
      <c r="AO242" s="3270">
        <f t="shared" ref="AO242:BC242" si="2020">SUM(AO108)</f>
        <v>6.2450000000000001</v>
      </c>
      <c r="AP242" s="3270">
        <f t="shared" si="2020"/>
        <v>6.2419818519762638</v>
      </c>
      <c r="AQ242" s="3270">
        <f t="shared" si="2020"/>
        <v>3.0181480237362027E-3</v>
      </c>
      <c r="AR242" s="3088">
        <f t="shared" si="2020"/>
        <v>0</v>
      </c>
      <c r="AS242" s="3088">
        <f t="shared" si="2020"/>
        <v>0</v>
      </c>
      <c r="AT242" s="3088">
        <f t="shared" si="2020"/>
        <v>0</v>
      </c>
      <c r="AU242" s="3088">
        <f t="shared" si="2020"/>
        <v>2.52</v>
      </c>
      <c r="AV242" s="3088">
        <f t="shared" si="2020"/>
        <v>2.52</v>
      </c>
      <c r="AW242" s="3088">
        <f t="shared" si="2020"/>
        <v>0</v>
      </c>
      <c r="AX242" s="3088">
        <f t="shared" si="2020"/>
        <v>5.64</v>
      </c>
      <c r="AY242" s="3088">
        <f t="shared" si="2020"/>
        <v>5.64</v>
      </c>
      <c r="AZ242" s="3088">
        <f t="shared" si="2020"/>
        <v>0</v>
      </c>
      <c r="BA242" s="3088">
        <f t="shared" si="2020"/>
        <v>8.16</v>
      </c>
      <c r="BB242" s="3088">
        <f t="shared" si="2020"/>
        <v>8.16</v>
      </c>
      <c r="BC242" s="3088">
        <f t="shared" si="2020"/>
        <v>0</v>
      </c>
      <c r="BD242" s="3273">
        <f t="shared" ref="BD242:BI242" si="2021">SUM(BD108)</f>
        <v>18.734999999999999</v>
      </c>
      <c r="BE242" s="3273">
        <f t="shared" si="2021"/>
        <v>18.725945555928792</v>
      </c>
      <c r="BF242" s="3273">
        <f t="shared" si="2021"/>
        <v>9.0544440712086085E-3</v>
      </c>
      <c r="BG242" s="3089">
        <f t="shared" si="2021"/>
        <v>11.32</v>
      </c>
      <c r="BH242" s="3089">
        <f t="shared" si="2021"/>
        <v>11.32</v>
      </c>
      <c r="BI242" s="3089">
        <f t="shared" si="2021"/>
        <v>0</v>
      </c>
      <c r="BJ242" s="3062">
        <f t="shared" si="1912"/>
        <v>-7.4149999999999991</v>
      </c>
      <c r="BK242" s="3062">
        <f t="shared" si="1913"/>
        <v>-7.4059455559287919</v>
      </c>
      <c r="BL242" s="3062">
        <f t="shared" si="1914"/>
        <v>-9.0544440712086085E-3</v>
      </c>
      <c r="BM242" s="3270">
        <f t="shared" ref="BM242:CA242" si="2022">SUM(BM108)</f>
        <v>6.2450000000000001</v>
      </c>
      <c r="BN242" s="3270">
        <f t="shared" si="2022"/>
        <v>6.2419818519762638</v>
      </c>
      <c r="BO242" s="3270">
        <f t="shared" si="2022"/>
        <v>3.0181480237362027E-3</v>
      </c>
      <c r="BP242" s="3088">
        <f t="shared" si="2022"/>
        <v>0</v>
      </c>
      <c r="BQ242" s="3088">
        <f t="shared" si="2022"/>
        <v>0</v>
      </c>
      <c r="BR242" s="3088">
        <f t="shared" si="2022"/>
        <v>0</v>
      </c>
      <c r="BS242" s="3088">
        <f t="shared" si="2022"/>
        <v>0</v>
      </c>
      <c r="BT242" s="3088">
        <f t="shared" si="2022"/>
        <v>0</v>
      </c>
      <c r="BU242" s="3088">
        <f t="shared" si="2022"/>
        <v>0</v>
      </c>
      <c r="BV242" s="3088">
        <f t="shared" si="2022"/>
        <v>0</v>
      </c>
      <c r="BW242" s="3088">
        <f t="shared" si="2022"/>
        <v>0</v>
      </c>
      <c r="BX242" s="3088">
        <f t="shared" si="2022"/>
        <v>0</v>
      </c>
      <c r="BY242" s="3088">
        <f t="shared" si="2022"/>
        <v>0</v>
      </c>
      <c r="BZ242" s="3088">
        <f t="shared" si="2022"/>
        <v>0</v>
      </c>
      <c r="CA242" s="3088">
        <f t="shared" si="2022"/>
        <v>0</v>
      </c>
      <c r="CB242" s="3273">
        <f t="shared" ref="CB242:CG242" si="2023">SUM(CB108)</f>
        <v>24.98</v>
      </c>
      <c r="CC242" s="3273">
        <f t="shared" si="2023"/>
        <v>24.967927407905055</v>
      </c>
      <c r="CD242" s="3273">
        <f t="shared" si="2023"/>
        <v>1.2072592094944811E-2</v>
      </c>
      <c r="CE242" s="3089">
        <f t="shared" si="2023"/>
        <v>11.32</v>
      </c>
      <c r="CF242" s="3089">
        <f t="shared" si="2023"/>
        <v>11.32</v>
      </c>
      <c r="CG242" s="3089">
        <f t="shared" si="2023"/>
        <v>0</v>
      </c>
      <c r="CH242" s="3062">
        <f t="shared" si="1917"/>
        <v>-13.66</v>
      </c>
      <c r="CI242" s="3062">
        <f t="shared" si="1918"/>
        <v>-13.647927407905055</v>
      </c>
      <c r="CJ242" s="3062">
        <f t="shared" si="1919"/>
        <v>-1.2072592094944811E-2</v>
      </c>
      <c r="CK242" s="3049"/>
      <c r="CL242" s="3049"/>
      <c r="CM242" s="3049"/>
      <c r="CN242" s="3049"/>
    </row>
    <row r="243" spans="1:92" ht="18.75" x14ac:dyDescent="0.3">
      <c r="A243" s="3075" t="s">
        <v>41</v>
      </c>
      <c r="B243" s="3270">
        <f t="shared" si="2009"/>
        <v>0</v>
      </c>
      <c r="C243" s="3270">
        <f t="shared" si="2009"/>
        <v>0</v>
      </c>
      <c r="D243" s="3270">
        <f t="shared" ref="D243:S243" si="2024">SUM(D109)</f>
        <v>0</v>
      </c>
      <c r="E243" s="3088">
        <f t="shared" si="2024"/>
        <v>0</v>
      </c>
      <c r="F243" s="3088">
        <f t="shared" si="2024"/>
        <v>0</v>
      </c>
      <c r="G243" s="3088">
        <f t="shared" si="2024"/>
        <v>0</v>
      </c>
      <c r="H243" s="3088">
        <f t="shared" si="2024"/>
        <v>0</v>
      </c>
      <c r="I243" s="3088">
        <f t="shared" si="2024"/>
        <v>0</v>
      </c>
      <c r="J243" s="3088">
        <f t="shared" si="2024"/>
        <v>0</v>
      </c>
      <c r="K243" s="3088">
        <f t="shared" si="2024"/>
        <v>0</v>
      </c>
      <c r="L243" s="3088">
        <f t="shared" si="2024"/>
        <v>0</v>
      </c>
      <c r="M243" s="3088">
        <f t="shared" si="2024"/>
        <v>0</v>
      </c>
      <c r="N243" s="3088">
        <f t="shared" si="2024"/>
        <v>0</v>
      </c>
      <c r="O243" s="3088">
        <f t="shared" si="2024"/>
        <v>0</v>
      </c>
      <c r="P243" s="3088">
        <f t="shared" si="2024"/>
        <v>0</v>
      </c>
      <c r="Q243" s="3270">
        <f t="shared" si="2024"/>
        <v>0</v>
      </c>
      <c r="R243" s="3270">
        <f t="shared" si="2024"/>
        <v>0</v>
      </c>
      <c r="S243" s="3270">
        <f t="shared" si="2024"/>
        <v>0</v>
      </c>
      <c r="T243" s="3088">
        <f t="shared" ref="T243:AE243" si="2025">SUM(T109)</f>
        <v>0</v>
      </c>
      <c r="U243" s="3088">
        <f t="shared" si="2025"/>
        <v>0</v>
      </c>
      <c r="V243" s="3088">
        <f t="shared" si="2025"/>
        <v>0</v>
      </c>
      <c r="W243" s="3088">
        <f t="shared" si="2025"/>
        <v>0</v>
      </c>
      <c r="X243" s="3088">
        <f t="shared" si="2025"/>
        <v>0</v>
      </c>
      <c r="Y243" s="3088">
        <f t="shared" si="2025"/>
        <v>0</v>
      </c>
      <c r="Z243" s="3088">
        <f t="shared" si="2025"/>
        <v>0</v>
      </c>
      <c r="AA243" s="3088">
        <f t="shared" si="2025"/>
        <v>0</v>
      </c>
      <c r="AB243" s="3088">
        <f t="shared" si="2025"/>
        <v>0</v>
      </c>
      <c r="AC243" s="3088">
        <f t="shared" si="2025"/>
        <v>0</v>
      </c>
      <c r="AD243" s="3088">
        <f t="shared" si="2025"/>
        <v>0</v>
      </c>
      <c r="AE243" s="3088">
        <f t="shared" si="2025"/>
        <v>0</v>
      </c>
      <c r="AF243" s="3273">
        <f t="shared" ref="AF243:AK243" si="2026">SUM(AF109)</f>
        <v>0</v>
      </c>
      <c r="AG243" s="3273">
        <f t="shared" si="2026"/>
        <v>0</v>
      </c>
      <c r="AH243" s="3273">
        <f t="shared" si="2026"/>
        <v>0</v>
      </c>
      <c r="AI243" s="3089">
        <f t="shared" si="2026"/>
        <v>0</v>
      </c>
      <c r="AJ243" s="3089">
        <f t="shared" si="2026"/>
        <v>0</v>
      </c>
      <c r="AK243" s="3089">
        <f t="shared" si="2026"/>
        <v>0</v>
      </c>
      <c r="AL243" s="3062">
        <f t="shared" si="1907"/>
        <v>0</v>
      </c>
      <c r="AM243" s="3062">
        <f t="shared" si="1908"/>
        <v>0</v>
      </c>
      <c r="AN243" s="3062">
        <f t="shared" si="1909"/>
        <v>0</v>
      </c>
      <c r="AO243" s="3270">
        <f t="shared" ref="AO243:BC243" si="2027">SUM(AO109)</f>
        <v>0</v>
      </c>
      <c r="AP243" s="3270">
        <f t="shared" si="2027"/>
        <v>0</v>
      </c>
      <c r="AQ243" s="3270">
        <f t="shared" si="2027"/>
        <v>0</v>
      </c>
      <c r="AR243" s="3088">
        <f t="shared" si="2027"/>
        <v>0</v>
      </c>
      <c r="AS243" s="3088">
        <f t="shared" si="2027"/>
        <v>0</v>
      </c>
      <c r="AT243" s="3088">
        <f t="shared" si="2027"/>
        <v>0</v>
      </c>
      <c r="AU243" s="3088">
        <f t="shared" si="2027"/>
        <v>0</v>
      </c>
      <c r="AV243" s="3088">
        <f t="shared" si="2027"/>
        <v>0</v>
      </c>
      <c r="AW243" s="3088">
        <f t="shared" si="2027"/>
        <v>0</v>
      </c>
      <c r="AX243" s="3088">
        <f t="shared" si="2027"/>
        <v>0</v>
      </c>
      <c r="AY243" s="3088">
        <f t="shared" si="2027"/>
        <v>0</v>
      </c>
      <c r="AZ243" s="3088">
        <f t="shared" si="2027"/>
        <v>0</v>
      </c>
      <c r="BA243" s="3088">
        <f t="shared" si="2027"/>
        <v>0</v>
      </c>
      <c r="BB243" s="3088">
        <f t="shared" si="2027"/>
        <v>0</v>
      </c>
      <c r="BC243" s="3088">
        <f t="shared" si="2027"/>
        <v>0</v>
      </c>
      <c r="BD243" s="3273">
        <f t="shared" ref="BD243:BI243" si="2028">SUM(BD109)</f>
        <v>0</v>
      </c>
      <c r="BE243" s="3273">
        <f t="shared" si="2028"/>
        <v>0</v>
      </c>
      <c r="BF243" s="3273">
        <f t="shared" si="2028"/>
        <v>0</v>
      </c>
      <c r="BG243" s="3089">
        <f t="shared" si="2028"/>
        <v>0</v>
      </c>
      <c r="BH243" s="3089">
        <f t="shared" si="2028"/>
        <v>0</v>
      </c>
      <c r="BI243" s="3089">
        <f t="shared" si="2028"/>
        <v>0</v>
      </c>
      <c r="BJ243" s="3062">
        <f t="shared" si="1912"/>
        <v>0</v>
      </c>
      <c r="BK243" s="3062">
        <f t="shared" si="1913"/>
        <v>0</v>
      </c>
      <c r="BL243" s="3062">
        <f t="shared" si="1914"/>
        <v>0</v>
      </c>
      <c r="BM243" s="3270">
        <f t="shared" ref="BM243:CA243" si="2029">SUM(BM109)</f>
        <v>0</v>
      </c>
      <c r="BN243" s="3270">
        <f t="shared" si="2029"/>
        <v>0</v>
      </c>
      <c r="BO243" s="3270">
        <f t="shared" si="2029"/>
        <v>0</v>
      </c>
      <c r="BP243" s="3088">
        <f t="shared" si="2029"/>
        <v>0</v>
      </c>
      <c r="BQ243" s="3088">
        <f t="shared" si="2029"/>
        <v>0</v>
      </c>
      <c r="BR243" s="3088">
        <f t="shared" si="2029"/>
        <v>0</v>
      </c>
      <c r="BS243" s="3088">
        <f t="shared" si="2029"/>
        <v>0</v>
      </c>
      <c r="BT243" s="3088">
        <f t="shared" si="2029"/>
        <v>0</v>
      </c>
      <c r="BU243" s="3088">
        <f t="shared" si="2029"/>
        <v>0</v>
      </c>
      <c r="BV243" s="3088">
        <f t="shared" si="2029"/>
        <v>0</v>
      </c>
      <c r="BW243" s="3088">
        <f t="shared" si="2029"/>
        <v>0</v>
      </c>
      <c r="BX243" s="3088">
        <f t="shared" si="2029"/>
        <v>0</v>
      </c>
      <c r="BY243" s="3088">
        <f t="shared" si="2029"/>
        <v>0</v>
      </c>
      <c r="BZ243" s="3088">
        <f t="shared" si="2029"/>
        <v>0</v>
      </c>
      <c r="CA243" s="3088">
        <f t="shared" si="2029"/>
        <v>0</v>
      </c>
      <c r="CB243" s="3273">
        <f t="shared" ref="CB243:CG243" si="2030">SUM(CB109)</f>
        <v>0</v>
      </c>
      <c r="CC243" s="3273">
        <f t="shared" si="2030"/>
        <v>0</v>
      </c>
      <c r="CD243" s="3273">
        <f t="shared" si="2030"/>
        <v>0</v>
      </c>
      <c r="CE243" s="3089">
        <f t="shared" si="2030"/>
        <v>0</v>
      </c>
      <c r="CF243" s="3089">
        <f t="shared" si="2030"/>
        <v>0</v>
      </c>
      <c r="CG243" s="3089">
        <f t="shared" si="2030"/>
        <v>0</v>
      </c>
      <c r="CH243" s="3062">
        <f t="shared" si="1917"/>
        <v>0</v>
      </c>
      <c r="CI243" s="3062">
        <f t="shared" si="1918"/>
        <v>0</v>
      </c>
      <c r="CJ243" s="3062">
        <f t="shared" si="1919"/>
        <v>0</v>
      </c>
      <c r="CK243" s="3049"/>
      <c r="CL243" s="3049"/>
      <c r="CM243" s="3049"/>
      <c r="CN243" s="3049"/>
    </row>
    <row r="244" spans="1:92" ht="18.75" x14ac:dyDescent="0.3">
      <c r="A244" s="3075" t="s">
        <v>38</v>
      </c>
      <c r="B244" s="3270">
        <f t="shared" ref="B244" si="2031">SUM(B40+B82+B110+B130)</f>
        <v>29.348427817074739</v>
      </c>
      <c r="C244" s="3270">
        <f t="shared" ref="C244:S244" si="2032">SUM(C40+C82+C110+C130)</f>
        <v>29.343668167282424</v>
      </c>
      <c r="D244" s="3270">
        <f t="shared" si="2032"/>
        <v>4.7596497923158947E-3</v>
      </c>
      <c r="E244" s="3088">
        <f t="shared" si="2032"/>
        <v>0</v>
      </c>
      <c r="F244" s="3088">
        <f t="shared" si="2032"/>
        <v>0</v>
      </c>
      <c r="G244" s="3088">
        <f t="shared" si="2032"/>
        <v>0</v>
      </c>
      <c r="H244" s="3088">
        <f t="shared" si="2032"/>
        <v>4.7</v>
      </c>
      <c r="I244" s="3088">
        <f t="shared" si="2032"/>
        <v>4.7</v>
      </c>
      <c r="J244" s="3088">
        <f t="shared" si="2032"/>
        <v>0</v>
      </c>
      <c r="K244" s="3088">
        <f t="shared" si="2032"/>
        <v>30</v>
      </c>
      <c r="L244" s="3088">
        <f t="shared" si="2032"/>
        <v>30</v>
      </c>
      <c r="M244" s="3088">
        <f t="shared" si="2032"/>
        <v>0</v>
      </c>
      <c r="N244" s="3088">
        <f t="shared" si="2032"/>
        <v>34.700000000000003</v>
      </c>
      <c r="O244" s="3088">
        <f t="shared" si="2032"/>
        <v>34.700000000000003</v>
      </c>
      <c r="P244" s="3088">
        <f t="shared" si="2032"/>
        <v>0</v>
      </c>
      <c r="Q244" s="3270">
        <f t="shared" si="2032"/>
        <v>29.348427817074739</v>
      </c>
      <c r="R244" s="3270">
        <f t="shared" si="2032"/>
        <v>29.343668167282424</v>
      </c>
      <c r="S244" s="3270">
        <f t="shared" si="2032"/>
        <v>4.7596497923158947E-3</v>
      </c>
      <c r="T244" s="3088">
        <f t="shared" ref="T244:AE244" si="2033">SUM(T40+T82+T110+T130)</f>
        <v>37.5</v>
      </c>
      <c r="U244" s="3088">
        <f t="shared" si="2033"/>
        <v>37.5</v>
      </c>
      <c r="V244" s="3088">
        <f t="shared" si="2033"/>
        <v>0</v>
      </c>
      <c r="W244" s="3088">
        <f t="shared" si="2033"/>
        <v>0</v>
      </c>
      <c r="X244" s="3088">
        <f t="shared" si="2033"/>
        <v>0</v>
      </c>
      <c r="Y244" s="3088">
        <f t="shared" si="2033"/>
        <v>0</v>
      </c>
      <c r="Z244" s="3088">
        <f t="shared" si="2033"/>
        <v>0</v>
      </c>
      <c r="AA244" s="3088">
        <f t="shared" si="2033"/>
        <v>0</v>
      </c>
      <c r="AB244" s="3088">
        <f t="shared" si="2033"/>
        <v>0</v>
      </c>
      <c r="AC244" s="3088">
        <f t="shared" si="2033"/>
        <v>37.5</v>
      </c>
      <c r="AD244" s="3088">
        <f t="shared" si="2033"/>
        <v>37.5</v>
      </c>
      <c r="AE244" s="3088">
        <f t="shared" si="2033"/>
        <v>0</v>
      </c>
      <c r="AF244" s="3273">
        <f t="shared" ref="AF244:AK244" si="2034">SUM(AF40+AF82+AF110+AF130)</f>
        <v>58.696855634149479</v>
      </c>
      <c r="AG244" s="3273">
        <f t="shared" si="2034"/>
        <v>58.687336334564847</v>
      </c>
      <c r="AH244" s="3273">
        <f t="shared" si="2034"/>
        <v>9.5192995846317893E-3</v>
      </c>
      <c r="AI244" s="3089">
        <f t="shared" si="2034"/>
        <v>72.2</v>
      </c>
      <c r="AJ244" s="3089">
        <f t="shared" si="2034"/>
        <v>72.2</v>
      </c>
      <c r="AK244" s="3089">
        <f t="shared" si="2034"/>
        <v>0</v>
      </c>
      <c r="AL244" s="3062">
        <f t="shared" si="1907"/>
        <v>13.503144365850524</v>
      </c>
      <c r="AM244" s="3062">
        <f t="shared" si="1908"/>
        <v>13.512663665435156</v>
      </c>
      <c r="AN244" s="3062">
        <f t="shared" si="1909"/>
        <v>-9.5192995846317893E-3</v>
      </c>
      <c r="AO244" s="3270">
        <f t="shared" ref="AO244:BC244" si="2035">SUM(AO40+AO82+AO110+AO130)</f>
        <v>29.348427817074739</v>
      </c>
      <c r="AP244" s="3270">
        <f t="shared" si="2035"/>
        <v>29.343668167282424</v>
      </c>
      <c r="AQ244" s="3270">
        <f t="shared" si="2035"/>
        <v>4.7596497923158947E-3</v>
      </c>
      <c r="AR244" s="3088">
        <f t="shared" si="2035"/>
        <v>0</v>
      </c>
      <c r="AS244" s="3088">
        <f t="shared" si="2035"/>
        <v>0</v>
      </c>
      <c r="AT244" s="3088">
        <f t="shared" si="2035"/>
        <v>0</v>
      </c>
      <c r="AU244" s="3088">
        <f t="shared" si="2035"/>
        <v>5.7</v>
      </c>
      <c r="AV244" s="3088">
        <f t="shared" si="2035"/>
        <v>5.7</v>
      </c>
      <c r="AW244" s="3088">
        <f t="shared" si="2035"/>
        <v>0</v>
      </c>
      <c r="AX244" s="3088">
        <f t="shared" si="2035"/>
        <v>0</v>
      </c>
      <c r="AY244" s="3088">
        <f t="shared" si="2035"/>
        <v>0</v>
      </c>
      <c r="AZ244" s="3088">
        <f t="shared" si="2035"/>
        <v>0</v>
      </c>
      <c r="BA244" s="3088">
        <f t="shared" si="2035"/>
        <v>5.7</v>
      </c>
      <c r="BB244" s="3088">
        <f t="shared" si="2035"/>
        <v>5.7</v>
      </c>
      <c r="BC244" s="3088">
        <f t="shared" si="2035"/>
        <v>0</v>
      </c>
      <c r="BD244" s="3273">
        <f t="shared" ref="BD244:BI244" si="2036">SUM(BD40+BD82+BD110+BD130)</f>
        <v>88.045283451224208</v>
      </c>
      <c r="BE244" s="3273">
        <f t="shared" si="2036"/>
        <v>88.031004501847264</v>
      </c>
      <c r="BF244" s="3273">
        <f t="shared" si="2036"/>
        <v>1.4278949376947684E-2</v>
      </c>
      <c r="BG244" s="3089">
        <f t="shared" si="2036"/>
        <v>77.900000000000006</v>
      </c>
      <c r="BH244" s="3089">
        <f t="shared" si="2036"/>
        <v>77.900000000000006</v>
      </c>
      <c r="BI244" s="3089">
        <f t="shared" si="2036"/>
        <v>0</v>
      </c>
      <c r="BJ244" s="3062">
        <f t="shared" si="1912"/>
        <v>-10.145283451224202</v>
      </c>
      <c r="BK244" s="3062">
        <f t="shared" si="1913"/>
        <v>-10.131004501847258</v>
      </c>
      <c r="BL244" s="3062">
        <f t="shared" si="1914"/>
        <v>-1.4278949376947684E-2</v>
      </c>
      <c r="BM244" s="3270">
        <f t="shared" ref="BM244:CA244" si="2037">SUM(BM40+BM82+BM110+BM130)</f>
        <v>29.348427817074739</v>
      </c>
      <c r="BN244" s="3270">
        <f t="shared" si="2037"/>
        <v>29.343668167282424</v>
      </c>
      <c r="BO244" s="3270">
        <f t="shared" si="2037"/>
        <v>4.7596497923158947E-3</v>
      </c>
      <c r="BP244" s="3088">
        <f t="shared" si="2037"/>
        <v>0</v>
      </c>
      <c r="BQ244" s="3088">
        <f t="shared" si="2037"/>
        <v>0</v>
      </c>
      <c r="BR244" s="3088">
        <f t="shared" si="2037"/>
        <v>0</v>
      </c>
      <c r="BS244" s="3088">
        <f t="shared" si="2037"/>
        <v>0</v>
      </c>
      <c r="BT244" s="3088">
        <f t="shared" si="2037"/>
        <v>0</v>
      </c>
      <c r="BU244" s="3088">
        <f t="shared" si="2037"/>
        <v>0</v>
      </c>
      <c r="BV244" s="3088">
        <f t="shared" si="2037"/>
        <v>0</v>
      </c>
      <c r="BW244" s="3088">
        <f t="shared" si="2037"/>
        <v>0</v>
      </c>
      <c r="BX244" s="3088">
        <f t="shared" si="2037"/>
        <v>0</v>
      </c>
      <c r="BY244" s="3088">
        <f t="shared" si="2037"/>
        <v>0</v>
      </c>
      <c r="BZ244" s="3088">
        <f t="shared" si="2037"/>
        <v>0</v>
      </c>
      <c r="CA244" s="3088">
        <f t="shared" si="2037"/>
        <v>0</v>
      </c>
      <c r="CB244" s="3273">
        <f t="shared" ref="CB244:CG244" si="2038">SUM(CB40+CB82+CB110+CB130)</f>
        <v>117.39371126829896</v>
      </c>
      <c r="CC244" s="3273">
        <f t="shared" si="2038"/>
        <v>117.37467266912969</v>
      </c>
      <c r="CD244" s="3273">
        <f t="shared" si="2038"/>
        <v>1.9038599169263579E-2</v>
      </c>
      <c r="CE244" s="3089">
        <f t="shared" si="2038"/>
        <v>77.900000000000006</v>
      </c>
      <c r="CF244" s="3089">
        <f t="shared" si="2038"/>
        <v>77.900000000000006</v>
      </c>
      <c r="CG244" s="3089">
        <f t="shared" si="2038"/>
        <v>0</v>
      </c>
      <c r="CH244" s="3062">
        <f t="shared" si="1917"/>
        <v>-39.493711268298952</v>
      </c>
      <c r="CI244" s="3062">
        <f t="shared" si="1918"/>
        <v>-39.474672669129689</v>
      </c>
      <c r="CJ244" s="3062">
        <f t="shared" si="1919"/>
        <v>-1.9038599169263579E-2</v>
      </c>
      <c r="CK244" s="3049"/>
      <c r="CL244" s="3049"/>
      <c r="CM244" s="3049"/>
      <c r="CN244" s="3049"/>
    </row>
    <row r="245" spans="1:92" ht="18.75" x14ac:dyDescent="0.3">
      <c r="A245" s="3075" t="s">
        <v>3620</v>
      </c>
      <c r="B245" s="3270">
        <f t="shared" ref="B245:C249" si="2039">SUM(B76)</f>
        <v>28.75</v>
      </c>
      <c r="C245" s="3270">
        <f t="shared" si="2039"/>
        <v>28.75</v>
      </c>
      <c r="D245" s="3270">
        <f t="shared" ref="D245:S245" si="2040">SUM(D76)</f>
        <v>0</v>
      </c>
      <c r="E245" s="3088">
        <f t="shared" si="2040"/>
        <v>7.67</v>
      </c>
      <c r="F245" s="3088">
        <f t="shared" si="2040"/>
        <v>7.67</v>
      </c>
      <c r="G245" s="3088">
        <f t="shared" si="2040"/>
        <v>0</v>
      </c>
      <c r="H245" s="3088">
        <f t="shared" si="2040"/>
        <v>0</v>
      </c>
      <c r="I245" s="3088">
        <f t="shared" si="2040"/>
        <v>0</v>
      </c>
      <c r="J245" s="3088">
        <f t="shared" si="2040"/>
        <v>0</v>
      </c>
      <c r="K245" s="3088">
        <f t="shared" si="2040"/>
        <v>34.94</v>
      </c>
      <c r="L245" s="3088">
        <f t="shared" si="2040"/>
        <v>34.94</v>
      </c>
      <c r="M245" s="3088">
        <f t="shared" si="2040"/>
        <v>0</v>
      </c>
      <c r="N245" s="3088">
        <f t="shared" si="2040"/>
        <v>42.61</v>
      </c>
      <c r="O245" s="3088">
        <f t="shared" si="2040"/>
        <v>42.61</v>
      </c>
      <c r="P245" s="3088">
        <f t="shared" si="2040"/>
        <v>0</v>
      </c>
      <c r="Q245" s="3270">
        <f t="shared" si="2040"/>
        <v>28.75</v>
      </c>
      <c r="R245" s="3270">
        <f t="shared" si="2040"/>
        <v>28.75</v>
      </c>
      <c r="S245" s="3270">
        <f t="shared" si="2040"/>
        <v>0</v>
      </c>
      <c r="T245" s="3088">
        <f t="shared" ref="T245:AE245" si="2041">SUM(T76)</f>
        <v>8</v>
      </c>
      <c r="U245" s="3088">
        <f t="shared" si="2041"/>
        <v>8</v>
      </c>
      <c r="V245" s="3088">
        <f t="shared" si="2041"/>
        <v>0</v>
      </c>
      <c r="W245" s="3088">
        <f t="shared" si="2041"/>
        <v>1.51</v>
      </c>
      <c r="X245" s="3088">
        <f t="shared" si="2041"/>
        <v>1.51</v>
      </c>
      <c r="Y245" s="3088">
        <f t="shared" si="2041"/>
        <v>0</v>
      </c>
      <c r="Z245" s="3088">
        <f t="shared" si="2041"/>
        <v>10.59</v>
      </c>
      <c r="AA245" s="3088">
        <f t="shared" si="2041"/>
        <v>10.59</v>
      </c>
      <c r="AB245" s="3088">
        <f t="shared" si="2041"/>
        <v>0</v>
      </c>
      <c r="AC245" s="3088">
        <f t="shared" si="2041"/>
        <v>20.100000000000001</v>
      </c>
      <c r="AD245" s="3088">
        <f t="shared" si="2041"/>
        <v>20.100000000000001</v>
      </c>
      <c r="AE245" s="3088">
        <f t="shared" si="2041"/>
        <v>0</v>
      </c>
      <c r="AF245" s="3273">
        <f t="shared" ref="AF245:AK245" si="2042">SUM(AF76)</f>
        <v>57.5</v>
      </c>
      <c r="AG245" s="3273">
        <f t="shared" si="2042"/>
        <v>57.5</v>
      </c>
      <c r="AH245" s="3273">
        <f t="shared" si="2042"/>
        <v>0</v>
      </c>
      <c r="AI245" s="3089">
        <f t="shared" si="2042"/>
        <v>62.71</v>
      </c>
      <c r="AJ245" s="3089">
        <f t="shared" si="2042"/>
        <v>62.71</v>
      </c>
      <c r="AK245" s="3089">
        <f t="shared" si="2042"/>
        <v>0</v>
      </c>
      <c r="AL245" s="3062">
        <f t="shared" si="1907"/>
        <v>5.2100000000000009</v>
      </c>
      <c r="AM245" s="3062">
        <f t="shared" si="1908"/>
        <v>5.2100000000000009</v>
      </c>
      <c r="AN245" s="3062">
        <f t="shared" si="1909"/>
        <v>0</v>
      </c>
      <c r="AO245" s="3270">
        <f t="shared" ref="AO245:BC245" si="2043">SUM(AO76)</f>
        <v>28.75</v>
      </c>
      <c r="AP245" s="3270">
        <f t="shared" si="2043"/>
        <v>28.75</v>
      </c>
      <c r="AQ245" s="3270">
        <f t="shared" si="2043"/>
        <v>0</v>
      </c>
      <c r="AR245" s="3088">
        <f t="shared" si="2043"/>
        <v>0.37</v>
      </c>
      <c r="AS245" s="3088">
        <f t="shared" si="2043"/>
        <v>0.37</v>
      </c>
      <c r="AT245" s="3088">
        <f t="shared" si="2043"/>
        <v>0</v>
      </c>
      <c r="AU245" s="3088">
        <f t="shared" si="2043"/>
        <v>27.46</v>
      </c>
      <c r="AV245" s="3088">
        <f t="shared" si="2043"/>
        <v>27.46</v>
      </c>
      <c r="AW245" s="3088">
        <f t="shared" si="2043"/>
        <v>0</v>
      </c>
      <c r="AX245" s="3088">
        <f t="shared" si="2043"/>
        <v>18.09</v>
      </c>
      <c r="AY245" s="3088">
        <f t="shared" si="2043"/>
        <v>18.09</v>
      </c>
      <c r="AZ245" s="3088">
        <f t="shared" si="2043"/>
        <v>0</v>
      </c>
      <c r="BA245" s="3088">
        <f t="shared" si="2043"/>
        <v>45.92</v>
      </c>
      <c r="BB245" s="3088">
        <f t="shared" si="2043"/>
        <v>45.92</v>
      </c>
      <c r="BC245" s="3088">
        <f t="shared" si="2043"/>
        <v>0</v>
      </c>
      <c r="BD245" s="3273">
        <f t="shared" ref="BD245:BI245" si="2044">SUM(BD76)</f>
        <v>86.25</v>
      </c>
      <c r="BE245" s="3273">
        <f t="shared" si="2044"/>
        <v>86.25</v>
      </c>
      <c r="BF245" s="3273">
        <f t="shared" si="2044"/>
        <v>0</v>
      </c>
      <c r="BG245" s="3089">
        <f t="shared" si="2044"/>
        <v>108.63</v>
      </c>
      <c r="BH245" s="3089">
        <f t="shared" si="2044"/>
        <v>108.63</v>
      </c>
      <c r="BI245" s="3089">
        <f t="shared" si="2044"/>
        <v>0</v>
      </c>
      <c r="BJ245" s="3062">
        <f t="shared" si="1912"/>
        <v>22.379999999999995</v>
      </c>
      <c r="BK245" s="3062">
        <f t="shared" si="1913"/>
        <v>22.379999999999995</v>
      </c>
      <c r="BL245" s="3062">
        <f t="shared" si="1914"/>
        <v>0</v>
      </c>
      <c r="BM245" s="3270">
        <f t="shared" ref="BM245:CA245" si="2045">SUM(BM76)</f>
        <v>28.75</v>
      </c>
      <c r="BN245" s="3270">
        <f t="shared" si="2045"/>
        <v>28.75</v>
      </c>
      <c r="BO245" s="3270">
        <f t="shared" si="2045"/>
        <v>0</v>
      </c>
      <c r="BP245" s="3088">
        <f t="shared" si="2045"/>
        <v>0</v>
      </c>
      <c r="BQ245" s="3088">
        <f t="shared" si="2045"/>
        <v>0</v>
      </c>
      <c r="BR245" s="3088">
        <f t="shared" si="2045"/>
        <v>0</v>
      </c>
      <c r="BS245" s="3088">
        <f t="shared" si="2045"/>
        <v>0</v>
      </c>
      <c r="BT245" s="3088">
        <f t="shared" si="2045"/>
        <v>0</v>
      </c>
      <c r="BU245" s="3088">
        <f t="shared" si="2045"/>
        <v>0</v>
      </c>
      <c r="BV245" s="3088">
        <f t="shared" si="2045"/>
        <v>0</v>
      </c>
      <c r="BW245" s="3088">
        <f t="shared" si="2045"/>
        <v>0</v>
      </c>
      <c r="BX245" s="3088">
        <f t="shared" si="2045"/>
        <v>0</v>
      </c>
      <c r="BY245" s="3088">
        <f t="shared" si="2045"/>
        <v>0</v>
      </c>
      <c r="BZ245" s="3088">
        <f t="shared" si="2045"/>
        <v>0</v>
      </c>
      <c r="CA245" s="3088">
        <f t="shared" si="2045"/>
        <v>0</v>
      </c>
      <c r="CB245" s="3273">
        <f t="shared" ref="CB245:CG245" si="2046">SUM(CB76)</f>
        <v>115</v>
      </c>
      <c r="CC245" s="3273">
        <f t="shared" si="2046"/>
        <v>115</v>
      </c>
      <c r="CD245" s="3273">
        <f t="shared" si="2046"/>
        <v>0</v>
      </c>
      <c r="CE245" s="3089">
        <f t="shared" si="2046"/>
        <v>108.63</v>
      </c>
      <c r="CF245" s="3089">
        <f t="shared" si="2046"/>
        <v>108.63</v>
      </c>
      <c r="CG245" s="3089">
        <f t="shared" si="2046"/>
        <v>0</v>
      </c>
      <c r="CH245" s="3062">
        <f t="shared" si="1917"/>
        <v>-6.3700000000000045</v>
      </c>
      <c r="CI245" s="3062">
        <f t="shared" si="1918"/>
        <v>-6.3700000000000045</v>
      </c>
      <c r="CJ245" s="3062">
        <f t="shared" si="1919"/>
        <v>0</v>
      </c>
      <c r="CK245" s="3049"/>
      <c r="CL245" s="3049"/>
      <c r="CM245" s="3049"/>
      <c r="CN245" s="3049"/>
    </row>
    <row r="246" spans="1:92" ht="18.75" x14ac:dyDescent="0.3">
      <c r="A246" s="3075" t="s">
        <v>3621</v>
      </c>
      <c r="B246" s="3270">
        <f t="shared" si="2039"/>
        <v>0</v>
      </c>
      <c r="C246" s="3270">
        <f t="shared" si="2039"/>
        <v>0</v>
      </c>
      <c r="D246" s="3270">
        <f t="shared" ref="D246:S246" si="2047">SUM(D77)</f>
        <v>0</v>
      </c>
      <c r="E246" s="3088">
        <f t="shared" si="2047"/>
        <v>0</v>
      </c>
      <c r="F246" s="3088">
        <f t="shared" si="2047"/>
        <v>0</v>
      </c>
      <c r="G246" s="3088">
        <f t="shared" si="2047"/>
        <v>0</v>
      </c>
      <c r="H246" s="3088">
        <f t="shared" si="2047"/>
        <v>0</v>
      </c>
      <c r="I246" s="3088">
        <f t="shared" si="2047"/>
        <v>0</v>
      </c>
      <c r="J246" s="3088">
        <f t="shared" si="2047"/>
        <v>0</v>
      </c>
      <c r="K246" s="3088">
        <f t="shared" si="2047"/>
        <v>0</v>
      </c>
      <c r="L246" s="3088">
        <f t="shared" si="2047"/>
        <v>0</v>
      </c>
      <c r="M246" s="3088">
        <f t="shared" si="2047"/>
        <v>0</v>
      </c>
      <c r="N246" s="3088">
        <f t="shared" si="2047"/>
        <v>0</v>
      </c>
      <c r="O246" s="3088">
        <f t="shared" si="2047"/>
        <v>0</v>
      </c>
      <c r="P246" s="3088">
        <f t="shared" si="2047"/>
        <v>0</v>
      </c>
      <c r="Q246" s="3270">
        <f t="shared" si="2047"/>
        <v>0</v>
      </c>
      <c r="R246" s="3270">
        <f t="shared" si="2047"/>
        <v>0</v>
      </c>
      <c r="S246" s="3270">
        <f t="shared" si="2047"/>
        <v>0</v>
      </c>
      <c r="T246" s="3088">
        <f t="shared" ref="T246:AE246" si="2048">SUM(T77)</f>
        <v>0</v>
      </c>
      <c r="U246" s="3088">
        <f t="shared" si="2048"/>
        <v>0</v>
      </c>
      <c r="V246" s="3088">
        <f t="shared" si="2048"/>
        <v>0</v>
      </c>
      <c r="W246" s="3088">
        <f t="shared" si="2048"/>
        <v>0</v>
      </c>
      <c r="X246" s="3088">
        <f t="shared" si="2048"/>
        <v>0</v>
      </c>
      <c r="Y246" s="3088">
        <f t="shared" si="2048"/>
        <v>0</v>
      </c>
      <c r="Z246" s="3088">
        <f t="shared" si="2048"/>
        <v>0</v>
      </c>
      <c r="AA246" s="3088">
        <f t="shared" si="2048"/>
        <v>0</v>
      </c>
      <c r="AB246" s="3088">
        <f t="shared" si="2048"/>
        <v>0</v>
      </c>
      <c r="AC246" s="3088">
        <f t="shared" si="2048"/>
        <v>0</v>
      </c>
      <c r="AD246" s="3088">
        <f t="shared" si="2048"/>
        <v>0</v>
      </c>
      <c r="AE246" s="3088">
        <f t="shared" si="2048"/>
        <v>0</v>
      </c>
      <c r="AF246" s="3273">
        <f t="shared" ref="AF246:AK246" si="2049">SUM(AF77)</f>
        <v>0</v>
      </c>
      <c r="AG246" s="3273">
        <f t="shared" si="2049"/>
        <v>0</v>
      </c>
      <c r="AH246" s="3273">
        <f t="shared" si="2049"/>
        <v>0</v>
      </c>
      <c r="AI246" s="3089">
        <f t="shared" si="2049"/>
        <v>0</v>
      </c>
      <c r="AJ246" s="3089">
        <f t="shared" si="2049"/>
        <v>0</v>
      </c>
      <c r="AK246" s="3089">
        <f t="shared" si="2049"/>
        <v>0</v>
      </c>
      <c r="AL246" s="3062">
        <f t="shared" si="1907"/>
        <v>0</v>
      </c>
      <c r="AM246" s="3062">
        <f t="shared" si="1908"/>
        <v>0</v>
      </c>
      <c r="AN246" s="3062">
        <f t="shared" si="1909"/>
        <v>0</v>
      </c>
      <c r="AO246" s="3270">
        <f t="shared" ref="AO246:BC246" si="2050">SUM(AO77)</f>
        <v>0</v>
      </c>
      <c r="AP246" s="3270">
        <f t="shared" si="2050"/>
        <v>0</v>
      </c>
      <c r="AQ246" s="3270">
        <f t="shared" si="2050"/>
        <v>0</v>
      </c>
      <c r="AR246" s="3088">
        <f t="shared" si="2050"/>
        <v>0</v>
      </c>
      <c r="AS246" s="3088">
        <f t="shared" si="2050"/>
        <v>0</v>
      </c>
      <c r="AT246" s="3088">
        <f t="shared" si="2050"/>
        <v>0</v>
      </c>
      <c r="AU246" s="3088">
        <f t="shared" si="2050"/>
        <v>0</v>
      </c>
      <c r="AV246" s="3088">
        <f t="shared" si="2050"/>
        <v>0</v>
      </c>
      <c r="AW246" s="3088">
        <f t="shared" si="2050"/>
        <v>0</v>
      </c>
      <c r="AX246" s="3088">
        <f t="shared" si="2050"/>
        <v>0</v>
      </c>
      <c r="AY246" s="3088">
        <f t="shared" si="2050"/>
        <v>0</v>
      </c>
      <c r="AZ246" s="3088">
        <f t="shared" si="2050"/>
        <v>0</v>
      </c>
      <c r="BA246" s="3088">
        <f t="shared" si="2050"/>
        <v>0</v>
      </c>
      <c r="BB246" s="3088">
        <f t="shared" si="2050"/>
        <v>0</v>
      </c>
      <c r="BC246" s="3088">
        <f t="shared" si="2050"/>
        <v>0</v>
      </c>
      <c r="BD246" s="3273">
        <f t="shared" ref="BD246:BI246" si="2051">SUM(BD77)</f>
        <v>0</v>
      </c>
      <c r="BE246" s="3273">
        <f t="shared" si="2051"/>
        <v>0</v>
      </c>
      <c r="BF246" s="3273">
        <f t="shared" si="2051"/>
        <v>0</v>
      </c>
      <c r="BG246" s="3089">
        <f t="shared" si="2051"/>
        <v>0</v>
      </c>
      <c r="BH246" s="3089">
        <f t="shared" si="2051"/>
        <v>0</v>
      </c>
      <c r="BI246" s="3089">
        <f t="shared" si="2051"/>
        <v>0</v>
      </c>
      <c r="BJ246" s="3062">
        <f t="shared" si="1912"/>
        <v>0</v>
      </c>
      <c r="BK246" s="3062">
        <f t="shared" si="1913"/>
        <v>0</v>
      </c>
      <c r="BL246" s="3062">
        <f t="shared" si="1914"/>
        <v>0</v>
      </c>
      <c r="BM246" s="3270">
        <f t="shared" ref="BM246:CA246" si="2052">SUM(BM77)</f>
        <v>0</v>
      </c>
      <c r="BN246" s="3270">
        <f t="shared" si="2052"/>
        <v>0</v>
      </c>
      <c r="BO246" s="3270">
        <f t="shared" si="2052"/>
        <v>0</v>
      </c>
      <c r="BP246" s="3088">
        <f t="shared" si="2052"/>
        <v>0</v>
      </c>
      <c r="BQ246" s="3088">
        <f t="shared" si="2052"/>
        <v>0</v>
      </c>
      <c r="BR246" s="3088">
        <f t="shared" si="2052"/>
        <v>0</v>
      </c>
      <c r="BS246" s="3088">
        <f t="shared" si="2052"/>
        <v>0</v>
      </c>
      <c r="BT246" s="3088">
        <f t="shared" si="2052"/>
        <v>0</v>
      </c>
      <c r="BU246" s="3088">
        <f t="shared" si="2052"/>
        <v>0</v>
      </c>
      <c r="BV246" s="3088">
        <f t="shared" si="2052"/>
        <v>0</v>
      </c>
      <c r="BW246" s="3088">
        <f t="shared" si="2052"/>
        <v>0</v>
      </c>
      <c r="BX246" s="3088">
        <f t="shared" si="2052"/>
        <v>0</v>
      </c>
      <c r="BY246" s="3088">
        <f t="shared" si="2052"/>
        <v>0</v>
      </c>
      <c r="BZ246" s="3088">
        <f t="shared" si="2052"/>
        <v>0</v>
      </c>
      <c r="CA246" s="3088">
        <f t="shared" si="2052"/>
        <v>0</v>
      </c>
      <c r="CB246" s="3273">
        <f t="shared" ref="CB246:CG246" si="2053">SUM(CB77)</f>
        <v>0</v>
      </c>
      <c r="CC246" s="3273">
        <f t="shared" si="2053"/>
        <v>0</v>
      </c>
      <c r="CD246" s="3273">
        <f t="shared" si="2053"/>
        <v>0</v>
      </c>
      <c r="CE246" s="3089">
        <f t="shared" si="2053"/>
        <v>0</v>
      </c>
      <c r="CF246" s="3089">
        <f t="shared" si="2053"/>
        <v>0</v>
      </c>
      <c r="CG246" s="3089">
        <f t="shared" si="2053"/>
        <v>0</v>
      </c>
      <c r="CH246" s="3062">
        <f t="shared" si="1917"/>
        <v>0</v>
      </c>
      <c r="CI246" s="3062">
        <f t="shared" si="1918"/>
        <v>0</v>
      </c>
      <c r="CJ246" s="3062">
        <f t="shared" si="1919"/>
        <v>0</v>
      </c>
      <c r="CK246" s="3049"/>
      <c r="CL246" s="3049"/>
      <c r="CM246" s="3049"/>
      <c r="CN246" s="3049"/>
    </row>
    <row r="247" spans="1:92" ht="18.75" x14ac:dyDescent="0.3">
      <c r="A247" s="3075" t="s">
        <v>3622</v>
      </c>
      <c r="B247" s="3270">
        <f t="shared" si="2039"/>
        <v>40.687750000000001</v>
      </c>
      <c r="C247" s="3270">
        <f t="shared" si="2039"/>
        <v>40.687750000000001</v>
      </c>
      <c r="D247" s="3270">
        <f t="shared" ref="D247:S247" si="2054">SUM(D78)</f>
        <v>0</v>
      </c>
      <c r="E247" s="3088">
        <f t="shared" si="2054"/>
        <v>0.35</v>
      </c>
      <c r="F247" s="3088">
        <f t="shared" si="2054"/>
        <v>0.35</v>
      </c>
      <c r="G247" s="3088">
        <f t="shared" si="2054"/>
        <v>0</v>
      </c>
      <c r="H247" s="3088">
        <f t="shared" si="2054"/>
        <v>14.5</v>
      </c>
      <c r="I247" s="3088">
        <f t="shared" si="2054"/>
        <v>14.5</v>
      </c>
      <c r="J247" s="3088">
        <f t="shared" si="2054"/>
        <v>0</v>
      </c>
      <c r="K247" s="3088">
        <f t="shared" si="2054"/>
        <v>86.259999999999991</v>
      </c>
      <c r="L247" s="3088">
        <f t="shared" si="2054"/>
        <v>86.259999999999991</v>
      </c>
      <c r="M247" s="3088">
        <f t="shared" si="2054"/>
        <v>0</v>
      </c>
      <c r="N247" s="3088">
        <f t="shared" si="2054"/>
        <v>101.10999999999999</v>
      </c>
      <c r="O247" s="3088">
        <f t="shared" si="2054"/>
        <v>101.10999999999999</v>
      </c>
      <c r="P247" s="3088">
        <f t="shared" si="2054"/>
        <v>0</v>
      </c>
      <c r="Q247" s="3270">
        <f t="shared" si="2054"/>
        <v>40.687750000000001</v>
      </c>
      <c r="R247" s="3270">
        <f t="shared" si="2054"/>
        <v>40.687750000000001</v>
      </c>
      <c r="S247" s="3270">
        <f t="shared" si="2054"/>
        <v>0</v>
      </c>
      <c r="T247" s="3088">
        <f t="shared" ref="T247:AE247" si="2055">SUM(T78)</f>
        <v>8.42</v>
      </c>
      <c r="U247" s="3088">
        <f t="shared" si="2055"/>
        <v>8.42</v>
      </c>
      <c r="V247" s="3088">
        <f t="shared" si="2055"/>
        <v>0</v>
      </c>
      <c r="W247" s="3088">
        <f t="shared" si="2055"/>
        <v>0.35</v>
      </c>
      <c r="X247" s="3088">
        <f t="shared" si="2055"/>
        <v>0.35</v>
      </c>
      <c r="Y247" s="3088">
        <f t="shared" si="2055"/>
        <v>0</v>
      </c>
      <c r="Z247" s="3088">
        <f t="shared" si="2055"/>
        <v>194.06</v>
      </c>
      <c r="AA247" s="3088">
        <f t="shared" si="2055"/>
        <v>194.06</v>
      </c>
      <c r="AB247" s="3088">
        <f t="shared" si="2055"/>
        <v>0</v>
      </c>
      <c r="AC247" s="3088">
        <f t="shared" si="2055"/>
        <v>202.83</v>
      </c>
      <c r="AD247" s="3088">
        <f t="shared" si="2055"/>
        <v>202.83</v>
      </c>
      <c r="AE247" s="3088">
        <f t="shared" si="2055"/>
        <v>0</v>
      </c>
      <c r="AF247" s="3273">
        <f t="shared" ref="AF247:AK247" si="2056">SUM(AF78)</f>
        <v>81.375500000000002</v>
      </c>
      <c r="AG247" s="3273">
        <f t="shared" si="2056"/>
        <v>81.375500000000002</v>
      </c>
      <c r="AH247" s="3273">
        <f t="shared" si="2056"/>
        <v>0</v>
      </c>
      <c r="AI247" s="3089">
        <f t="shared" si="2056"/>
        <v>303.94</v>
      </c>
      <c r="AJ247" s="3089">
        <f t="shared" si="2056"/>
        <v>303.94</v>
      </c>
      <c r="AK247" s="3089">
        <f t="shared" si="2056"/>
        <v>0</v>
      </c>
      <c r="AL247" s="3062">
        <f t="shared" si="1907"/>
        <v>222.56450000000001</v>
      </c>
      <c r="AM247" s="3062">
        <f t="shared" si="1908"/>
        <v>222.56450000000001</v>
      </c>
      <c r="AN247" s="3062">
        <f t="shared" si="1909"/>
        <v>0</v>
      </c>
      <c r="AO247" s="3270">
        <f t="shared" ref="AO247:BC247" si="2057">SUM(AO78)</f>
        <v>40.687750000000001</v>
      </c>
      <c r="AP247" s="3270">
        <f t="shared" si="2057"/>
        <v>40.687750000000001</v>
      </c>
      <c r="AQ247" s="3270">
        <f t="shared" si="2057"/>
        <v>0</v>
      </c>
      <c r="AR247" s="3088">
        <f t="shared" si="2057"/>
        <v>0.35</v>
      </c>
      <c r="AS247" s="3088">
        <f t="shared" si="2057"/>
        <v>0.35</v>
      </c>
      <c r="AT247" s="3088">
        <f t="shared" si="2057"/>
        <v>0</v>
      </c>
      <c r="AU247" s="3088">
        <f t="shared" si="2057"/>
        <v>111.56</v>
      </c>
      <c r="AV247" s="3088">
        <f t="shared" si="2057"/>
        <v>111.56</v>
      </c>
      <c r="AW247" s="3088">
        <f t="shared" si="2057"/>
        <v>0</v>
      </c>
      <c r="AX247" s="3088">
        <f t="shared" si="2057"/>
        <v>-140.44999999999999</v>
      </c>
      <c r="AY247" s="3088">
        <f t="shared" si="2057"/>
        <v>-140.44999999999999</v>
      </c>
      <c r="AZ247" s="3088">
        <f t="shared" si="2057"/>
        <v>0</v>
      </c>
      <c r="BA247" s="3088">
        <f t="shared" si="2057"/>
        <v>-28.539999999999992</v>
      </c>
      <c r="BB247" s="3088">
        <f t="shared" si="2057"/>
        <v>-28.539999999999992</v>
      </c>
      <c r="BC247" s="3088">
        <f t="shared" si="2057"/>
        <v>0</v>
      </c>
      <c r="BD247" s="3273">
        <f t="shared" ref="BD247:BI247" si="2058">SUM(BD78)</f>
        <v>122.06325000000001</v>
      </c>
      <c r="BE247" s="3273">
        <f t="shared" si="2058"/>
        <v>122.06325000000001</v>
      </c>
      <c r="BF247" s="3273">
        <f t="shared" si="2058"/>
        <v>0</v>
      </c>
      <c r="BG247" s="3089">
        <f t="shared" si="2058"/>
        <v>275.39999999999998</v>
      </c>
      <c r="BH247" s="3089">
        <f t="shared" si="2058"/>
        <v>275.39999999999998</v>
      </c>
      <c r="BI247" s="3089">
        <f t="shared" si="2058"/>
        <v>0</v>
      </c>
      <c r="BJ247" s="3062">
        <f t="shared" si="1912"/>
        <v>153.33674999999997</v>
      </c>
      <c r="BK247" s="3062">
        <f t="shared" si="1913"/>
        <v>153.33674999999997</v>
      </c>
      <c r="BL247" s="3062">
        <f t="shared" si="1914"/>
        <v>0</v>
      </c>
      <c r="BM247" s="3270">
        <f t="shared" ref="BM247:CA247" si="2059">SUM(BM78)</f>
        <v>40.687750000000001</v>
      </c>
      <c r="BN247" s="3270">
        <f t="shared" si="2059"/>
        <v>40.687750000000001</v>
      </c>
      <c r="BO247" s="3270">
        <f t="shared" si="2059"/>
        <v>0</v>
      </c>
      <c r="BP247" s="3088">
        <f t="shared" si="2059"/>
        <v>0</v>
      </c>
      <c r="BQ247" s="3088">
        <f t="shared" si="2059"/>
        <v>0</v>
      </c>
      <c r="BR247" s="3088">
        <f t="shared" si="2059"/>
        <v>0</v>
      </c>
      <c r="BS247" s="3088">
        <f t="shared" si="2059"/>
        <v>0</v>
      </c>
      <c r="BT247" s="3088">
        <f t="shared" si="2059"/>
        <v>0</v>
      </c>
      <c r="BU247" s="3088">
        <f t="shared" si="2059"/>
        <v>0</v>
      </c>
      <c r="BV247" s="3088">
        <f t="shared" si="2059"/>
        <v>0</v>
      </c>
      <c r="BW247" s="3088">
        <f t="shared" si="2059"/>
        <v>0</v>
      </c>
      <c r="BX247" s="3088">
        <f t="shared" si="2059"/>
        <v>0</v>
      </c>
      <c r="BY247" s="3088">
        <f t="shared" si="2059"/>
        <v>0</v>
      </c>
      <c r="BZ247" s="3088">
        <f t="shared" si="2059"/>
        <v>0</v>
      </c>
      <c r="CA247" s="3088">
        <f t="shared" si="2059"/>
        <v>0</v>
      </c>
      <c r="CB247" s="3273">
        <f t="shared" ref="CB247:CG247" si="2060">SUM(CB78)</f>
        <v>162.751</v>
      </c>
      <c r="CC247" s="3273">
        <f t="shared" si="2060"/>
        <v>162.751</v>
      </c>
      <c r="CD247" s="3273">
        <f t="shared" si="2060"/>
        <v>0</v>
      </c>
      <c r="CE247" s="3089">
        <f t="shared" si="2060"/>
        <v>275.39999999999998</v>
      </c>
      <c r="CF247" s="3089">
        <f t="shared" si="2060"/>
        <v>275.39999999999998</v>
      </c>
      <c r="CG247" s="3089">
        <f t="shared" si="2060"/>
        <v>0</v>
      </c>
      <c r="CH247" s="3062">
        <f t="shared" si="1917"/>
        <v>112.64899999999997</v>
      </c>
      <c r="CI247" s="3062">
        <f t="shared" si="1918"/>
        <v>112.64899999999997</v>
      </c>
      <c r="CJ247" s="3062">
        <f t="shared" si="1919"/>
        <v>0</v>
      </c>
      <c r="CK247" s="3049"/>
      <c r="CL247" s="3049"/>
      <c r="CM247" s="3049"/>
      <c r="CN247" s="3049"/>
    </row>
    <row r="248" spans="1:92" ht="18.75" x14ac:dyDescent="0.3">
      <c r="A248" s="3075" t="s">
        <v>632</v>
      </c>
      <c r="B248" s="3270">
        <f t="shared" si="2039"/>
        <v>0</v>
      </c>
      <c r="C248" s="3270">
        <f t="shared" si="2039"/>
        <v>0</v>
      </c>
      <c r="D248" s="3270">
        <f t="shared" ref="D248:S248" si="2061">SUM(D79)</f>
        <v>0</v>
      </c>
      <c r="E248" s="3088">
        <f t="shared" si="2061"/>
        <v>36.56</v>
      </c>
      <c r="F248" s="3088">
        <f t="shared" si="2061"/>
        <v>36.56</v>
      </c>
      <c r="G248" s="3088">
        <f t="shared" si="2061"/>
        <v>0</v>
      </c>
      <c r="H248" s="3088">
        <f t="shared" si="2061"/>
        <v>41.52</v>
      </c>
      <c r="I248" s="3088">
        <f t="shared" si="2061"/>
        <v>41.52</v>
      </c>
      <c r="J248" s="3088">
        <f t="shared" si="2061"/>
        <v>0</v>
      </c>
      <c r="K248" s="3088">
        <f t="shared" si="2061"/>
        <v>39.04</v>
      </c>
      <c r="L248" s="3088">
        <f t="shared" si="2061"/>
        <v>39.04</v>
      </c>
      <c r="M248" s="3088">
        <f t="shared" si="2061"/>
        <v>0</v>
      </c>
      <c r="N248" s="3088">
        <f t="shared" si="2061"/>
        <v>117.12</v>
      </c>
      <c r="O248" s="3088">
        <f t="shared" si="2061"/>
        <v>117.12</v>
      </c>
      <c r="P248" s="3088">
        <f t="shared" si="2061"/>
        <v>0</v>
      </c>
      <c r="Q248" s="3270">
        <f t="shared" si="2061"/>
        <v>0</v>
      </c>
      <c r="R248" s="3270">
        <f t="shared" si="2061"/>
        <v>0</v>
      </c>
      <c r="S248" s="3270">
        <f t="shared" si="2061"/>
        <v>0</v>
      </c>
      <c r="T248" s="3088">
        <f t="shared" ref="T248:AE248" si="2062">SUM(T79)</f>
        <v>37.64</v>
      </c>
      <c r="U248" s="3088">
        <f t="shared" si="2062"/>
        <v>37.64</v>
      </c>
      <c r="V248" s="3088">
        <f t="shared" si="2062"/>
        <v>0</v>
      </c>
      <c r="W248" s="3088">
        <f t="shared" si="2062"/>
        <v>37.72</v>
      </c>
      <c r="X248" s="3088">
        <f t="shared" si="2062"/>
        <v>37.72</v>
      </c>
      <c r="Y248" s="3088">
        <f t="shared" si="2062"/>
        <v>0</v>
      </c>
      <c r="Z248" s="3088">
        <f t="shared" si="2062"/>
        <v>37.24</v>
      </c>
      <c r="AA248" s="3088">
        <f t="shared" si="2062"/>
        <v>37.24</v>
      </c>
      <c r="AB248" s="3088">
        <f t="shared" si="2062"/>
        <v>0</v>
      </c>
      <c r="AC248" s="3088">
        <f t="shared" si="2062"/>
        <v>112.6</v>
      </c>
      <c r="AD248" s="3088">
        <f t="shared" si="2062"/>
        <v>112.6</v>
      </c>
      <c r="AE248" s="3088">
        <f t="shared" si="2062"/>
        <v>0</v>
      </c>
      <c r="AF248" s="3273">
        <f t="shared" ref="AF248:AK248" si="2063">SUM(AF79)</f>
        <v>0</v>
      </c>
      <c r="AG248" s="3273">
        <f t="shared" si="2063"/>
        <v>0</v>
      </c>
      <c r="AH248" s="3273">
        <f t="shared" si="2063"/>
        <v>0</v>
      </c>
      <c r="AI248" s="3089">
        <f t="shared" si="2063"/>
        <v>229.72</v>
      </c>
      <c r="AJ248" s="3089">
        <f t="shared" si="2063"/>
        <v>229.72</v>
      </c>
      <c r="AK248" s="3089">
        <f t="shared" si="2063"/>
        <v>0</v>
      </c>
      <c r="AL248" s="3062">
        <f t="shared" si="1907"/>
        <v>229.72</v>
      </c>
      <c r="AM248" s="3062">
        <f t="shared" si="1908"/>
        <v>229.72</v>
      </c>
      <c r="AN248" s="3062">
        <f t="shared" si="1909"/>
        <v>0</v>
      </c>
      <c r="AO248" s="3270">
        <f t="shared" ref="AO248:BC248" si="2064">SUM(AO79)</f>
        <v>0</v>
      </c>
      <c r="AP248" s="3270">
        <f t="shared" si="2064"/>
        <v>0</v>
      </c>
      <c r="AQ248" s="3270">
        <f t="shared" si="2064"/>
        <v>0</v>
      </c>
      <c r="AR248" s="3088">
        <f t="shared" si="2064"/>
        <v>36.54</v>
      </c>
      <c r="AS248" s="3088">
        <f t="shared" si="2064"/>
        <v>36.54</v>
      </c>
      <c r="AT248" s="3088">
        <f t="shared" si="2064"/>
        <v>0</v>
      </c>
      <c r="AU248" s="3088">
        <f t="shared" si="2064"/>
        <v>32.85</v>
      </c>
      <c r="AV248" s="3088">
        <f t="shared" si="2064"/>
        <v>32.85</v>
      </c>
      <c r="AW248" s="3088">
        <f t="shared" si="2064"/>
        <v>0</v>
      </c>
      <c r="AX248" s="3088">
        <f t="shared" si="2064"/>
        <v>36.81</v>
      </c>
      <c r="AY248" s="3088">
        <f t="shared" si="2064"/>
        <v>36.81</v>
      </c>
      <c r="AZ248" s="3088">
        <f t="shared" si="2064"/>
        <v>0</v>
      </c>
      <c r="BA248" s="3088">
        <f t="shared" si="2064"/>
        <v>106.2</v>
      </c>
      <c r="BB248" s="3088">
        <f t="shared" si="2064"/>
        <v>106.2</v>
      </c>
      <c r="BC248" s="3088">
        <f t="shared" si="2064"/>
        <v>0</v>
      </c>
      <c r="BD248" s="3273">
        <f t="shared" ref="BD248:BI248" si="2065">SUM(BD79)</f>
        <v>0</v>
      </c>
      <c r="BE248" s="3273">
        <f t="shared" si="2065"/>
        <v>0</v>
      </c>
      <c r="BF248" s="3273">
        <f t="shared" si="2065"/>
        <v>0</v>
      </c>
      <c r="BG248" s="3089">
        <f t="shared" si="2065"/>
        <v>335.92</v>
      </c>
      <c r="BH248" s="3089">
        <f t="shared" si="2065"/>
        <v>335.92</v>
      </c>
      <c r="BI248" s="3089">
        <f t="shared" si="2065"/>
        <v>0</v>
      </c>
      <c r="BJ248" s="3062">
        <f t="shared" si="1912"/>
        <v>335.92</v>
      </c>
      <c r="BK248" s="3062">
        <f t="shared" si="1913"/>
        <v>335.92</v>
      </c>
      <c r="BL248" s="3062">
        <f t="shared" si="1914"/>
        <v>0</v>
      </c>
      <c r="BM248" s="3270">
        <f t="shared" ref="BM248:CA248" si="2066">SUM(BM79)</f>
        <v>0</v>
      </c>
      <c r="BN248" s="3270">
        <f t="shared" si="2066"/>
        <v>0</v>
      </c>
      <c r="BO248" s="3270">
        <f t="shared" si="2066"/>
        <v>0</v>
      </c>
      <c r="BP248" s="3088">
        <f t="shared" si="2066"/>
        <v>0</v>
      </c>
      <c r="BQ248" s="3088">
        <f t="shared" si="2066"/>
        <v>0</v>
      </c>
      <c r="BR248" s="3088">
        <f t="shared" si="2066"/>
        <v>0</v>
      </c>
      <c r="BS248" s="3088">
        <f t="shared" si="2066"/>
        <v>0</v>
      </c>
      <c r="BT248" s="3088">
        <f t="shared" si="2066"/>
        <v>0</v>
      </c>
      <c r="BU248" s="3088">
        <f t="shared" si="2066"/>
        <v>0</v>
      </c>
      <c r="BV248" s="3088">
        <f t="shared" si="2066"/>
        <v>0</v>
      </c>
      <c r="BW248" s="3088">
        <f t="shared" si="2066"/>
        <v>0</v>
      </c>
      <c r="BX248" s="3088">
        <f t="shared" si="2066"/>
        <v>0</v>
      </c>
      <c r="BY248" s="3088">
        <f t="shared" si="2066"/>
        <v>0</v>
      </c>
      <c r="BZ248" s="3088">
        <f t="shared" si="2066"/>
        <v>0</v>
      </c>
      <c r="CA248" s="3088">
        <f t="shared" si="2066"/>
        <v>0</v>
      </c>
      <c r="CB248" s="3273">
        <f t="shared" ref="CB248:CG248" si="2067">SUM(CB79)</f>
        <v>0</v>
      </c>
      <c r="CC248" s="3273">
        <f t="shared" si="2067"/>
        <v>0</v>
      </c>
      <c r="CD248" s="3273">
        <f t="shared" si="2067"/>
        <v>0</v>
      </c>
      <c r="CE248" s="3089">
        <f t="shared" si="2067"/>
        <v>335.92</v>
      </c>
      <c r="CF248" s="3089">
        <f t="shared" si="2067"/>
        <v>335.92</v>
      </c>
      <c r="CG248" s="3089">
        <f t="shared" si="2067"/>
        <v>0</v>
      </c>
      <c r="CH248" s="3062">
        <f t="shared" si="1917"/>
        <v>335.92</v>
      </c>
      <c r="CI248" s="3062">
        <f t="shared" si="1918"/>
        <v>335.92</v>
      </c>
      <c r="CJ248" s="3062">
        <f t="shared" si="1919"/>
        <v>0</v>
      </c>
      <c r="CK248" s="3049"/>
      <c r="CL248" s="3049"/>
      <c r="CM248" s="3049"/>
      <c r="CN248" s="3049"/>
    </row>
    <row r="249" spans="1:92" ht="18.75" x14ac:dyDescent="0.3">
      <c r="A249" s="3075" t="s">
        <v>608</v>
      </c>
      <c r="B249" s="3270">
        <f t="shared" si="2039"/>
        <v>0</v>
      </c>
      <c r="C249" s="3270">
        <f t="shared" si="2039"/>
        <v>0</v>
      </c>
      <c r="D249" s="3270">
        <f t="shared" ref="D249:S249" si="2068">SUM(D80)</f>
        <v>0</v>
      </c>
      <c r="E249" s="3088">
        <f t="shared" si="2068"/>
        <v>0</v>
      </c>
      <c r="F249" s="3088">
        <f t="shared" si="2068"/>
        <v>0</v>
      </c>
      <c r="G249" s="3088">
        <f t="shared" si="2068"/>
        <v>0</v>
      </c>
      <c r="H249" s="3088">
        <f t="shared" si="2068"/>
        <v>8.92</v>
      </c>
      <c r="I249" s="3088">
        <f t="shared" si="2068"/>
        <v>8.92</v>
      </c>
      <c r="J249" s="3088">
        <f t="shared" si="2068"/>
        <v>0</v>
      </c>
      <c r="K249" s="3088">
        <f t="shared" si="2068"/>
        <v>8.85</v>
      </c>
      <c r="L249" s="3088">
        <f t="shared" si="2068"/>
        <v>8.85</v>
      </c>
      <c r="M249" s="3088">
        <f t="shared" si="2068"/>
        <v>0</v>
      </c>
      <c r="N249" s="3088">
        <f t="shared" si="2068"/>
        <v>17.77</v>
      </c>
      <c r="O249" s="3088">
        <f t="shared" si="2068"/>
        <v>17.77</v>
      </c>
      <c r="P249" s="3088">
        <f t="shared" si="2068"/>
        <v>0</v>
      </c>
      <c r="Q249" s="3270">
        <f t="shared" si="2068"/>
        <v>0</v>
      </c>
      <c r="R249" s="3270">
        <f t="shared" si="2068"/>
        <v>0</v>
      </c>
      <c r="S249" s="3270">
        <f t="shared" si="2068"/>
        <v>0</v>
      </c>
      <c r="T249" s="3088">
        <f t="shared" ref="T249:AE249" si="2069">SUM(T80)</f>
        <v>8.3000000000000007</v>
      </c>
      <c r="U249" s="3088">
        <f t="shared" si="2069"/>
        <v>8.3000000000000007</v>
      </c>
      <c r="V249" s="3088">
        <f t="shared" si="2069"/>
        <v>0</v>
      </c>
      <c r="W249" s="3088">
        <f t="shared" si="2069"/>
        <v>8.34</v>
      </c>
      <c r="X249" s="3088">
        <f t="shared" si="2069"/>
        <v>8.34</v>
      </c>
      <c r="Y249" s="3088">
        <f t="shared" si="2069"/>
        <v>0</v>
      </c>
      <c r="Z249" s="3088">
        <f t="shared" si="2069"/>
        <v>8.11</v>
      </c>
      <c r="AA249" s="3088">
        <f t="shared" si="2069"/>
        <v>8.11</v>
      </c>
      <c r="AB249" s="3088">
        <f t="shared" si="2069"/>
        <v>0</v>
      </c>
      <c r="AC249" s="3088">
        <f t="shared" si="2069"/>
        <v>24.75</v>
      </c>
      <c r="AD249" s="3088">
        <f t="shared" si="2069"/>
        <v>24.75</v>
      </c>
      <c r="AE249" s="3088">
        <f t="shared" si="2069"/>
        <v>0</v>
      </c>
      <c r="AF249" s="3273">
        <f t="shared" ref="AF249:AK249" si="2070">SUM(AF80)</f>
        <v>0</v>
      </c>
      <c r="AG249" s="3273">
        <f t="shared" si="2070"/>
        <v>0</v>
      </c>
      <c r="AH249" s="3273">
        <f t="shared" si="2070"/>
        <v>0</v>
      </c>
      <c r="AI249" s="3089">
        <f t="shared" si="2070"/>
        <v>42.519999999999996</v>
      </c>
      <c r="AJ249" s="3089">
        <f t="shared" si="2070"/>
        <v>42.519999999999996</v>
      </c>
      <c r="AK249" s="3089">
        <f t="shared" si="2070"/>
        <v>0</v>
      </c>
      <c r="AL249" s="3062">
        <f t="shared" si="1907"/>
        <v>42.519999999999996</v>
      </c>
      <c r="AM249" s="3062">
        <f t="shared" si="1908"/>
        <v>42.519999999999996</v>
      </c>
      <c r="AN249" s="3062">
        <f t="shared" si="1909"/>
        <v>0</v>
      </c>
      <c r="AO249" s="3270">
        <f t="shared" ref="AO249:BC249" si="2071">SUM(AO80)</f>
        <v>0</v>
      </c>
      <c r="AP249" s="3270">
        <f t="shared" si="2071"/>
        <v>0</v>
      </c>
      <c r="AQ249" s="3270">
        <f t="shared" si="2071"/>
        <v>0</v>
      </c>
      <c r="AR249" s="3088">
        <f t="shared" si="2071"/>
        <v>8.06</v>
      </c>
      <c r="AS249" s="3088">
        <f t="shared" si="2071"/>
        <v>8.06</v>
      </c>
      <c r="AT249" s="3088">
        <f t="shared" si="2071"/>
        <v>0</v>
      </c>
      <c r="AU249" s="3088">
        <f t="shared" si="2071"/>
        <v>8</v>
      </c>
      <c r="AV249" s="3088">
        <f t="shared" si="2071"/>
        <v>8</v>
      </c>
      <c r="AW249" s="3088">
        <f t="shared" si="2071"/>
        <v>0</v>
      </c>
      <c r="AX249" s="3088">
        <f t="shared" si="2071"/>
        <v>8.19</v>
      </c>
      <c r="AY249" s="3088">
        <f t="shared" si="2071"/>
        <v>8.19</v>
      </c>
      <c r="AZ249" s="3088">
        <f t="shared" si="2071"/>
        <v>0</v>
      </c>
      <c r="BA249" s="3088">
        <f t="shared" si="2071"/>
        <v>24.25</v>
      </c>
      <c r="BB249" s="3088">
        <f t="shared" si="2071"/>
        <v>24.25</v>
      </c>
      <c r="BC249" s="3088">
        <f t="shared" si="2071"/>
        <v>0</v>
      </c>
      <c r="BD249" s="3273">
        <f t="shared" ref="BD249:BI249" si="2072">SUM(BD80)</f>
        <v>0</v>
      </c>
      <c r="BE249" s="3273">
        <f t="shared" si="2072"/>
        <v>0</v>
      </c>
      <c r="BF249" s="3273">
        <f t="shared" si="2072"/>
        <v>0</v>
      </c>
      <c r="BG249" s="3089">
        <f t="shared" si="2072"/>
        <v>66.77</v>
      </c>
      <c r="BH249" s="3089">
        <f t="shared" si="2072"/>
        <v>66.77</v>
      </c>
      <c r="BI249" s="3089">
        <f t="shared" si="2072"/>
        <v>0</v>
      </c>
      <c r="BJ249" s="3062">
        <f t="shared" si="1912"/>
        <v>66.77</v>
      </c>
      <c r="BK249" s="3062">
        <f t="shared" si="1913"/>
        <v>66.77</v>
      </c>
      <c r="BL249" s="3062">
        <f t="shared" si="1914"/>
        <v>0</v>
      </c>
      <c r="BM249" s="3270">
        <f t="shared" ref="BM249:CA249" si="2073">SUM(BM80)</f>
        <v>0</v>
      </c>
      <c r="BN249" s="3270">
        <f t="shared" si="2073"/>
        <v>0</v>
      </c>
      <c r="BO249" s="3270">
        <f t="shared" si="2073"/>
        <v>0</v>
      </c>
      <c r="BP249" s="3088">
        <f t="shared" si="2073"/>
        <v>0</v>
      </c>
      <c r="BQ249" s="3088">
        <f t="shared" si="2073"/>
        <v>0</v>
      </c>
      <c r="BR249" s="3088">
        <f t="shared" si="2073"/>
        <v>0</v>
      </c>
      <c r="BS249" s="3088">
        <f t="shared" si="2073"/>
        <v>0</v>
      </c>
      <c r="BT249" s="3088">
        <f t="shared" si="2073"/>
        <v>0</v>
      </c>
      <c r="BU249" s="3088">
        <f t="shared" si="2073"/>
        <v>0</v>
      </c>
      <c r="BV249" s="3088">
        <f t="shared" si="2073"/>
        <v>0</v>
      </c>
      <c r="BW249" s="3088">
        <f t="shared" si="2073"/>
        <v>0</v>
      </c>
      <c r="BX249" s="3088">
        <f t="shared" si="2073"/>
        <v>0</v>
      </c>
      <c r="BY249" s="3088">
        <f t="shared" si="2073"/>
        <v>0</v>
      </c>
      <c r="BZ249" s="3088">
        <f t="shared" si="2073"/>
        <v>0</v>
      </c>
      <c r="CA249" s="3088">
        <f t="shared" si="2073"/>
        <v>0</v>
      </c>
      <c r="CB249" s="3273">
        <f t="shared" ref="CB249:CG249" si="2074">SUM(CB80)</f>
        <v>0</v>
      </c>
      <c r="CC249" s="3273">
        <f t="shared" si="2074"/>
        <v>0</v>
      </c>
      <c r="CD249" s="3273">
        <f t="shared" si="2074"/>
        <v>0</v>
      </c>
      <c r="CE249" s="3089">
        <f t="shared" si="2074"/>
        <v>66.77</v>
      </c>
      <c r="CF249" s="3089">
        <f t="shared" si="2074"/>
        <v>66.77</v>
      </c>
      <c r="CG249" s="3089">
        <f t="shared" si="2074"/>
        <v>0</v>
      </c>
      <c r="CH249" s="3062">
        <f t="shared" si="1917"/>
        <v>66.77</v>
      </c>
      <c r="CI249" s="3062">
        <f t="shared" si="1918"/>
        <v>66.77</v>
      </c>
      <c r="CJ249" s="3062">
        <f t="shared" si="1919"/>
        <v>0</v>
      </c>
      <c r="CK249" s="3049"/>
      <c r="CL249" s="3049"/>
      <c r="CM249" s="3049"/>
      <c r="CN249" s="3049"/>
    </row>
    <row r="250" spans="1:92" ht="18.75" x14ac:dyDescent="0.3">
      <c r="A250" s="3080" t="s">
        <v>602</v>
      </c>
      <c r="B250" s="3272">
        <f>SUM(B251:B254)</f>
        <v>1779.9303695240865</v>
      </c>
      <c r="C250" s="3272">
        <f>SUM(C251:C254)</f>
        <v>1779.8500124037851</v>
      </c>
      <c r="D250" s="3272">
        <f t="shared" ref="D250:S250" si="2075">SUM(D251:D254)</f>
        <v>8.0357120301557089E-2</v>
      </c>
      <c r="E250" s="3082">
        <f t="shared" si="2075"/>
        <v>911.22</v>
      </c>
      <c r="F250" s="3082">
        <f t="shared" si="2075"/>
        <v>911.22</v>
      </c>
      <c r="G250" s="3082">
        <f t="shared" si="2075"/>
        <v>0</v>
      </c>
      <c r="H250" s="3082">
        <f t="shared" si="2075"/>
        <v>821.27</v>
      </c>
      <c r="I250" s="3082">
        <f t="shared" si="2075"/>
        <v>821.27</v>
      </c>
      <c r="J250" s="3082">
        <f t="shared" si="2075"/>
        <v>0</v>
      </c>
      <c r="K250" s="3082">
        <f t="shared" si="2075"/>
        <v>586.99999999999989</v>
      </c>
      <c r="L250" s="3082">
        <f t="shared" si="2075"/>
        <v>586.99999999999989</v>
      </c>
      <c r="M250" s="3082">
        <f t="shared" si="2075"/>
        <v>0</v>
      </c>
      <c r="N250" s="3082">
        <f t="shared" si="2075"/>
        <v>2319.4899999999998</v>
      </c>
      <c r="O250" s="3082">
        <f t="shared" si="2075"/>
        <v>2319.4899999999998</v>
      </c>
      <c r="P250" s="3082">
        <f t="shared" si="2075"/>
        <v>0</v>
      </c>
      <c r="Q250" s="3272">
        <f t="shared" si="2075"/>
        <v>1779.9303695240865</v>
      </c>
      <c r="R250" s="3272">
        <f t="shared" si="2075"/>
        <v>1779.8500124037851</v>
      </c>
      <c r="S250" s="3272">
        <f t="shared" si="2075"/>
        <v>8.0357120301557089E-2</v>
      </c>
      <c r="T250" s="3082">
        <f t="shared" ref="T250" si="2076">SUM(T251:T254)</f>
        <v>378.37000000000006</v>
      </c>
      <c r="U250" s="3082">
        <f t="shared" ref="U250" si="2077">SUM(U251:U254)</f>
        <v>378.37000000000006</v>
      </c>
      <c r="V250" s="3082">
        <f t="shared" ref="V250" si="2078">SUM(V251:V254)</f>
        <v>0</v>
      </c>
      <c r="W250" s="3082">
        <f t="shared" ref="W250" si="2079">SUM(W251:W254)</f>
        <v>149.44999999999999</v>
      </c>
      <c r="X250" s="3082">
        <f t="shared" ref="X250" si="2080">SUM(X251:X254)</f>
        <v>149.44999999999999</v>
      </c>
      <c r="Y250" s="3082">
        <f t="shared" ref="Y250" si="2081">SUM(Y251:Y254)</f>
        <v>0</v>
      </c>
      <c r="Z250" s="3082">
        <f t="shared" ref="Z250" si="2082">SUM(Z251:Z254)</f>
        <v>9.4500000000000011</v>
      </c>
      <c r="AA250" s="3082">
        <f t="shared" ref="AA250" si="2083">SUM(AA251:AA254)</f>
        <v>9.4500000000000011</v>
      </c>
      <c r="AB250" s="3082">
        <f t="shared" ref="AB250" si="2084">SUM(AB251:AB254)</f>
        <v>0</v>
      </c>
      <c r="AC250" s="3082">
        <f t="shared" ref="AC250" si="2085">SUM(AC251:AC254)</f>
        <v>537.27</v>
      </c>
      <c r="AD250" s="3082">
        <f t="shared" ref="AD250" si="2086">SUM(AD251:AD254)</f>
        <v>537.27</v>
      </c>
      <c r="AE250" s="3082">
        <f t="shared" ref="AE250" si="2087">SUM(AE251:AE254)</f>
        <v>0</v>
      </c>
      <c r="AF250" s="3275">
        <f t="shared" ref="AF250" si="2088">SUM(AF251:AF254)</f>
        <v>3559.8607390481729</v>
      </c>
      <c r="AG250" s="3275">
        <f t="shared" ref="AG250" si="2089">SUM(AG251:AG254)</f>
        <v>3559.7000248075701</v>
      </c>
      <c r="AH250" s="3275">
        <f t="shared" ref="AH250" si="2090">SUM(AH251:AH254)</f>
        <v>0.16071424060311418</v>
      </c>
      <c r="AI250" s="3083">
        <f t="shared" ref="AI250" si="2091">SUM(AI251:AI254)</f>
        <v>2856.76</v>
      </c>
      <c r="AJ250" s="3083">
        <f t="shared" ref="AJ250" si="2092">SUM(AJ251:AJ254)</f>
        <v>2856.76</v>
      </c>
      <c r="AK250" s="3083">
        <f t="shared" ref="AK250" si="2093">SUM(AK251:AK254)</f>
        <v>0</v>
      </c>
      <c r="AL250" s="3062">
        <f t="shared" si="1907"/>
        <v>-703.10073904817273</v>
      </c>
      <c r="AM250" s="3062">
        <f t="shared" si="1908"/>
        <v>-702.9400248075699</v>
      </c>
      <c r="AN250" s="3062">
        <f t="shared" si="1909"/>
        <v>-0.16071424060311418</v>
      </c>
      <c r="AO250" s="3272">
        <f t="shared" ref="AO250" si="2094">SUM(AO251:AO254)</f>
        <v>1779.9303695240865</v>
      </c>
      <c r="AP250" s="3272">
        <f t="shared" ref="AP250" si="2095">SUM(AP251:AP254)</f>
        <v>1779.8500124037851</v>
      </c>
      <c r="AQ250" s="3272">
        <f t="shared" ref="AQ250" si="2096">SUM(AQ251:AQ254)</f>
        <v>8.0357120301557089E-2</v>
      </c>
      <c r="AR250" s="3082">
        <f t="shared" ref="AR250" si="2097">SUM(AR251:AR254)</f>
        <v>48.72</v>
      </c>
      <c r="AS250" s="3082">
        <f t="shared" ref="AS250" si="2098">SUM(AS251:AS254)</f>
        <v>48.72</v>
      </c>
      <c r="AT250" s="3082">
        <f t="shared" ref="AT250" si="2099">SUM(AT251:AT254)</f>
        <v>0</v>
      </c>
      <c r="AU250" s="3082">
        <f t="shared" ref="AU250" si="2100">SUM(AU251:AU254)</f>
        <v>93.31</v>
      </c>
      <c r="AV250" s="3082">
        <f t="shared" ref="AV250" si="2101">SUM(AV251:AV254)</f>
        <v>93.31</v>
      </c>
      <c r="AW250" s="3082">
        <f t="shared" ref="AW250" si="2102">SUM(AW251:AW254)</f>
        <v>0</v>
      </c>
      <c r="AX250" s="3082">
        <f t="shared" ref="AX250" si="2103">SUM(AX251:AX254)</f>
        <v>71.890000000000015</v>
      </c>
      <c r="AY250" s="3082">
        <f t="shared" ref="AY250" si="2104">SUM(AY251:AY254)</f>
        <v>71.890000000000015</v>
      </c>
      <c r="AZ250" s="3082">
        <f t="shared" ref="AZ250" si="2105">SUM(AZ251:AZ254)</f>
        <v>0</v>
      </c>
      <c r="BA250" s="3082">
        <f t="shared" ref="BA250" si="2106">SUM(BA251:BA254)</f>
        <v>213.92000000000002</v>
      </c>
      <c r="BB250" s="3082">
        <f t="shared" ref="BB250" si="2107">SUM(BB251:BB254)</f>
        <v>213.92000000000002</v>
      </c>
      <c r="BC250" s="3082">
        <f t="shared" ref="BC250" si="2108">SUM(BC251:BC254)</f>
        <v>0</v>
      </c>
      <c r="BD250" s="3275">
        <f t="shared" ref="BD250" si="2109">SUM(BD251:BD254)</f>
        <v>5339.7911085722599</v>
      </c>
      <c r="BE250" s="3275">
        <f t="shared" ref="BE250" si="2110">SUM(BE251:BE254)</f>
        <v>5339.5500372113556</v>
      </c>
      <c r="BF250" s="3275">
        <f t="shared" ref="BF250" si="2111">SUM(BF251:BF254)</f>
        <v>0.24107136090467127</v>
      </c>
      <c r="BG250" s="3083">
        <f t="shared" ref="BG250" si="2112">SUM(BG251:BG254)</f>
        <v>3070.6800000000007</v>
      </c>
      <c r="BH250" s="3083">
        <f t="shared" ref="BH250" si="2113">SUM(BH251:BH254)</f>
        <v>3070.6800000000007</v>
      </c>
      <c r="BI250" s="3083">
        <f t="shared" ref="BI250" si="2114">SUM(BI251:BI254)</f>
        <v>0</v>
      </c>
      <c r="BJ250" s="3062">
        <f t="shared" si="1912"/>
        <v>-2269.1111085722591</v>
      </c>
      <c r="BK250" s="3062">
        <f t="shared" si="1913"/>
        <v>-2268.8700372113549</v>
      </c>
      <c r="BL250" s="3062">
        <f t="shared" si="1914"/>
        <v>-0.24107136090467127</v>
      </c>
      <c r="BM250" s="3272">
        <f t="shared" ref="BM250" si="2115">SUM(BM251:BM254)</f>
        <v>1779.9303695240865</v>
      </c>
      <c r="BN250" s="3272">
        <f t="shared" ref="BN250" si="2116">SUM(BN251:BN254)</f>
        <v>1779.8500124037851</v>
      </c>
      <c r="BO250" s="3272">
        <f t="shared" ref="BO250" si="2117">SUM(BO251:BO254)</f>
        <v>8.0357120301557089E-2</v>
      </c>
      <c r="BP250" s="3082">
        <f t="shared" ref="BP250" si="2118">SUM(BP251:BP254)</f>
        <v>0</v>
      </c>
      <c r="BQ250" s="3082">
        <f t="shared" ref="BQ250" si="2119">SUM(BQ251:BQ254)</f>
        <v>0</v>
      </c>
      <c r="BR250" s="3082">
        <f t="shared" ref="BR250" si="2120">SUM(BR251:BR254)</f>
        <v>0</v>
      </c>
      <c r="BS250" s="3082">
        <f t="shared" ref="BS250" si="2121">SUM(BS251:BS254)</f>
        <v>0</v>
      </c>
      <c r="BT250" s="3082">
        <f t="shared" ref="BT250" si="2122">SUM(BT251:BT254)</f>
        <v>0</v>
      </c>
      <c r="BU250" s="3082">
        <f t="shared" ref="BU250" si="2123">SUM(BU251:BU254)</f>
        <v>0</v>
      </c>
      <c r="BV250" s="3082">
        <f t="shared" ref="BV250" si="2124">SUM(BV251:BV254)</f>
        <v>0</v>
      </c>
      <c r="BW250" s="3082">
        <f t="shared" ref="BW250" si="2125">SUM(BW251:BW254)</f>
        <v>0</v>
      </c>
      <c r="BX250" s="3082">
        <f t="shared" ref="BX250" si="2126">SUM(BX251:BX254)</f>
        <v>0</v>
      </c>
      <c r="BY250" s="3082">
        <f t="shared" ref="BY250" si="2127">SUM(BY251:BY254)</f>
        <v>0</v>
      </c>
      <c r="BZ250" s="3082">
        <f t="shared" ref="BZ250" si="2128">SUM(BZ251:BZ254)</f>
        <v>0</v>
      </c>
      <c r="CA250" s="3082">
        <f t="shared" ref="CA250:CB250" si="2129">SUM(CA251:CA254)</f>
        <v>0</v>
      </c>
      <c r="CB250" s="3275">
        <f t="shared" si="2129"/>
        <v>7119.7214780963459</v>
      </c>
      <c r="CC250" s="3275">
        <f t="shared" ref="CC250" si="2130">SUM(CC251:CC254)</f>
        <v>7119.4000496151402</v>
      </c>
      <c r="CD250" s="3275">
        <f t="shared" ref="CD250" si="2131">SUM(CD251:CD254)</f>
        <v>0.32142848120622836</v>
      </c>
      <c r="CE250" s="3083">
        <f t="shared" ref="CE250" si="2132">SUM(CE251:CE254)</f>
        <v>3070.6800000000007</v>
      </c>
      <c r="CF250" s="3083">
        <f t="shared" ref="CF250" si="2133">SUM(CF251:CF254)</f>
        <v>3070.6800000000007</v>
      </c>
      <c r="CG250" s="3083">
        <f t="shared" ref="CG250" si="2134">SUM(CG251:CG254)</f>
        <v>0</v>
      </c>
      <c r="CH250" s="3062">
        <f t="shared" si="1917"/>
        <v>-4049.0414780963451</v>
      </c>
      <c r="CI250" s="3062">
        <f t="shared" si="1918"/>
        <v>-4048.7200496151395</v>
      </c>
      <c r="CJ250" s="3062">
        <f t="shared" si="1919"/>
        <v>-0.32142848120622836</v>
      </c>
      <c r="CK250" s="3049"/>
      <c r="CL250" s="3049"/>
      <c r="CM250" s="3049"/>
      <c r="CN250" s="3049"/>
    </row>
    <row r="251" spans="1:92" ht="18.75" x14ac:dyDescent="0.3">
      <c r="A251" s="3076" t="s">
        <v>555</v>
      </c>
      <c r="B251" s="3270">
        <f>SUM(B85+B64)</f>
        <v>1395.4419602324999</v>
      </c>
      <c r="C251" s="3270">
        <f>SUM(C85+C64)</f>
        <v>1395.4419602324999</v>
      </c>
      <c r="D251" s="3270">
        <f t="shared" ref="D251:S251" si="2135">SUM(D85+D64)</f>
        <v>0</v>
      </c>
      <c r="E251" s="3088">
        <f t="shared" si="2135"/>
        <v>814.41</v>
      </c>
      <c r="F251" s="3088">
        <f>SUM(F85+F64)</f>
        <v>814.41</v>
      </c>
      <c r="G251" s="3088">
        <f t="shared" si="2135"/>
        <v>0</v>
      </c>
      <c r="H251" s="3088">
        <f t="shared" si="2135"/>
        <v>619.94999999999993</v>
      </c>
      <c r="I251" s="3088">
        <f t="shared" si="2135"/>
        <v>619.94999999999993</v>
      </c>
      <c r="J251" s="3088">
        <f t="shared" si="2135"/>
        <v>0</v>
      </c>
      <c r="K251" s="3088">
        <f t="shared" si="2135"/>
        <v>561.6099999999999</v>
      </c>
      <c r="L251" s="3088">
        <f t="shared" si="2135"/>
        <v>561.6099999999999</v>
      </c>
      <c r="M251" s="3088">
        <f t="shared" si="2135"/>
        <v>0</v>
      </c>
      <c r="N251" s="3088">
        <f t="shared" si="2135"/>
        <v>1995.9699999999998</v>
      </c>
      <c r="O251" s="3088">
        <f t="shared" si="2135"/>
        <v>1995.9699999999998</v>
      </c>
      <c r="P251" s="3088">
        <f t="shared" si="2135"/>
        <v>0</v>
      </c>
      <c r="Q251" s="3270">
        <f t="shared" si="2135"/>
        <v>1395.4419602324999</v>
      </c>
      <c r="R251" s="3270">
        <f t="shared" si="2135"/>
        <v>1395.4419602324999</v>
      </c>
      <c r="S251" s="3270">
        <f t="shared" si="2135"/>
        <v>0</v>
      </c>
      <c r="T251" s="3088">
        <f t="shared" ref="T251:AE251" si="2136">SUM(T85+T64)</f>
        <v>363.08000000000004</v>
      </c>
      <c r="U251" s="3088">
        <f t="shared" si="2136"/>
        <v>363.08000000000004</v>
      </c>
      <c r="V251" s="3088">
        <f t="shared" si="2136"/>
        <v>0</v>
      </c>
      <c r="W251" s="3088">
        <f t="shared" si="2136"/>
        <v>131.32999999999998</v>
      </c>
      <c r="X251" s="3088">
        <f t="shared" si="2136"/>
        <v>131.32999999999998</v>
      </c>
      <c r="Y251" s="3088">
        <f t="shared" si="2136"/>
        <v>0</v>
      </c>
      <c r="Z251" s="3088">
        <f t="shared" si="2136"/>
        <v>4.8600000000000003</v>
      </c>
      <c r="AA251" s="3088">
        <f t="shared" si="2136"/>
        <v>4.8600000000000003</v>
      </c>
      <c r="AB251" s="3088">
        <f t="shared" si="2136"/>
        <v>0</v>
      </c>
      <c r="AC251" s="3088">
        <f t="shared" si="2136"/>
        <v>499.27000000000004</v>
      </c>
      <c r="AD251" s="3088">
        <f t="shared" si="2136"/>
        <v>499.27000000000004</v>
      </c>
      <c r="AE251" s="3088">
        <f t="shared" si="2136"/>
        <v>0</v>
      </c>
      <c r="AF251" s="3273">
        <f t="shared" ref="AF251:AK251" si="2137">SUM(AF85+AF64)</f>
        <v>2790.8839204649998</v>
      </c>
      <c r="AG251" s="3273">
        <f t="shared" si="2137"/>
        <v>2790.8839204649998</v>
      </c>
      <c r="AH251" s="3273">
        <f t="shared" si="2137"/>
        <v>0</v>
      </c>
      <c r="AI251" s="3089">
        <f t="shared" si="2137"/>
        <v>2495.2400000000002</v>
      </c>
      <c r="AJ251" s="3089">
        <f t="shared" si="2137"/>
        <v>2495.2400000000002</v>
      </c>
      <c r="AK251" s="3089">
        <f t="shared" si="2137"/>
        <v>0</v>
      </c>
      <c r="AL251" s="3062">
        <f t="shared" si="1907"/>
        <v>-295.64392046499961</v>
      </c>
      <c r="AM251" s="3062">
        <f t="shared" si="1908"/>
        <v>-295.64392046499961</v>
      </c>
      <c r="AN251" s="3062">
        <f t="shared" si="1909"/>
        <v>0</v>
      </c>
      <c r="AO251" s="3270">
        <f t="shared" ref="AO251:BC251" si="2138">SUM(AO85+AO64)</f>
        <v>1395.4419602324999</v>
      </c>
      <c r="AP251" s="3270">
        <f t="shared" si="2138"/>
        <v>1395.4419602324999</v>
      </c>
      <c r="AQ251" s="3270">
        <f t="shared" si="2138"/>
        <v>0</v>
      </c>
      <c r="AR251" s="3088">
        <f t="shared" si="2138"/>
        <v>3.61</v>
      </c>
      <c r="AS251" s="3088">
        <f t="shared" si="2138"/>
        <v>3.61</v>
      </c>
      <c r="AT251" s="3088">
        <f t="shared" si="2138"/>
        <v>0</v>
      </c>
      <c r="AU251" s="3088">
        <f t="shared" si="2138"/>
        <v>4.57</v>
      </c>
      <c r="AV251" s="3088">
        <f t="shared" si="2138"/>
        <v>4.57</v>
      </c>
      <c r="AW251" s="3088">
        <f t="shared" si="2138"/>
        <v>0</v>
      </c>
      <c r="AX251" s="3088">
        <f t="shared" si="2138"/>
        <v>18.87</v>
      </c>
      <c r="AY251" s="3088">
        <f t="shared" si="2138"/>
        <v>18.87</v>
      </c>
      <c r="AZ251" s="3088">
        <f t="shared" si="2138"/>
        <v>0</v>
      </c>
      <c r="BA251" s="3088">
        <f t="shared" si="2138"/>
        <v>27.05</v>
      </c>
      <c r="BB251" s="3088">
        <f t="shared" si="2138"/>
        <v>27.05</v>
      </c>
      <c r="BC251" s="3088">
        <f t="shared" si="2138"/>
        <v>0</v>
      </c>
      <c r="BD251" s="3273">
        <f t="shared" ref="BD251:BI251" si="2139">SUM(BD85+BD64)</f>
        <v>4186.3258806975</v>
      </c>
      <c r="BE251" s="3273">
        <f t="shared" si="2139"/>
        <v>4186.3258806975</v>
      </c>
      <c r="BF251" s="3273">
        <f t="shared" si="2139"/>
        <v>0</v>
      </c>
      <c r="BG251" s="3089">
        <f t="shared" si="2139"/>
        <v>2522.2900000000004</v>
      </c>
      <c r="BH251" s="3089">
        <f t="shared" si="2139"/>
        <v>2522.2900000000004</v>
      </c>
      <c r="BI251" s="3089">
        <f t="shared" si="2139"/>
        <v>0</v>
      </c>
      <c r="BJ251" s="3062">
        <f t="shared" si="1912"/>
        <v>-1664.0358806974996</v>
      </c>
      <c r="BK251" s="3062">
        <f t="shared" si="1913"/>
        <v>-1664.0358806974996</v>
      </c>
      <c r="BL251" s="3062">
        <f t="shared" si="1914"/>
        <v>0</v>
      </c>
      <c r="BM251" s="3270">
        <f t="shared" ref="BM251:CA251" si="2140">SUM(BM85+BM64)</f>
        <v>1395.4419602324999</v>
      </c>
      <c r="BN251" s="3270">
        <f t="shared" si="2140"/>
        <v>1395.4419602324999</v>
      </c>
      <c r="BO251" s="3270">
        <f t="shared" si="2140"/>
        <v>0</v>
      </c>
      <c r="BP251" s="3088">
        <f t="shared" si="2140"/>
        <v>0</v>
      </c>
      <c r="BQ251" s="3088">
        <f t="shared" si="2140"/>
        <v>0</v>
      </c>
      <c r="BR251" s="3088">
        <f t="shared" si="2140"/>
        <v>0</v>
      </c>
      <c r="BS251" s="3088">
        <f t="shared" si="2140"/>
        <v>0</v>
      </c>
      <c r="BT251" s="3088">
        <f t="shared" si="2140"/>
        <v>0</v>
      </c>
      <c r="BU251" s="3088">
        <f t="shared" si="2140"/>
        <v>0</v>
      </c>
      <c r="BV251" s="3088">
        <f t="shared" si="2140"/>
        <v>0</v>
      </c>
      <c r="BW251" s="3088">
        <f t="shared" si="2140"/>
        <v>0</v>
      </c>
      <c r="BX251" s="3088">
        <f t="shared" si="2140"/>
        <v>0</v>
      </c>
      <c r="BY251" s="3088">
        <f t="shared" si="2140"/>
        <v>0</v>
      </c>
      <c r="BZ251" s="3088">
        <f t="shared" si="2140"/>
        <v>0</v>
      </c>
      <c r="CA251" s="3088">
        <f t="shared" si="2140"/>
        <v>0</v>
      </c>
      <c r="CB251" s="3273">
        <f t="shared" ref="CB251:CG251" si="2141">SUM(CB85+CB64)</f>
        <v>5581.7678409299997</v>
      </c>
      <c r="CC251" s="3273">
        <f t="shared" si="2141"/>
        <v>5581.7678409299997</v>
      </c>
      <c r="CD251" s="3273">
        <f t="shared" si="2141"/>
        <v>0</v>
      </c>
      <c r="CE251" s="3089">
        <f t="shared" si="2141"/>
        <v>2522.2900000000004</v>
      </c>
      <c r="CF251" s="3089">
        <f t="shared" si="2141"/>
        <v>2522.2900000000004</v>
      </c>
      <c r="CG251" s="3089">
        <f t="shared" si="2141"/>
        <v>0</v>
      </c>
      <c r="CH251" s="3062">
        <f t="shared" si="1917"/>
        <v>-3059.4778409299993</v>
      </c>
      <c r="CI251" s="3062">
        <f t="shared" si="1918"/>
        <v>-3059.4778409299993</v>
      </c>
      <c r="CJ251" s="3062">
        <f t="shared" si="1919"/>
        <v>0</v>
      </c>
      <c r="CK251" s="3049"/>
      <c r="CL251" s="3049"/>
      <c r="CM251" s="3049"/>
      <c r="CN251" s="3049"/>
    </row>
    <row r="252" spans="1:92" ht="18.75" x14ac:dyDescent="0.3">
      <c r="A252" s="3076" t="s">
        <v>557</v>
      </c>
      <c r="B252" s="3270">
        <f t="shared" ref="B252" si="2142">SUM(B42+B86+B113+B133)</f>
        <v>372.32403816475687</v>
      </c>
      <c r="C252" s="3270">
        <f t="shared" ref="C252:S252" si="2143">SUM(C42+C86+C113+C133)</f>
        <v>372.2444250076137</v>
      </c>
      <c r="D252" s="3270">
        <f t="shared" si="2143"/>
        <v>7.9613157143152244E-2</v>
      </c>
      <c r="E252" s="3088">
        <f t="shared" si="2143"/>
        <v>95.45</v>
      </c>
      <c r="F252" s="3088">
        <f t="shared" si="2143"/>
        <v>95.45</v>
      </c>
      <c r="G252" s="3088">
        <f t="shared" si="2143"/>
        <v>0</v>
      </c>
      <c r="H252" s="3088">
        <f t="shared" si="2143"/>
        <v>201.32000000000002</v>
      </c>
      <c r="I252" s="3088">
        <f t="shared" si="2143"/>
        <v>201.32000000000002</v>
      </c>
      <c r="J252" s="3088">
        <f t="shared" si="2143"/>
        <v>0</v>
      </c>
      <c r="K252" s="3088">
        <f t="shared" si="2143"/>
        <v>24.17</v>
      </c>
      <c r="L252" s="3088">
        <f t="shared" si="2143"/>
        <v>24.17</v>
      </c>
      <c r="M252" s="3088">
        <f t="shared" si="2143"/>
        <v>0</v>
      </c>
      <c r="N252" s="3088">
        <f t="shared" si="2143"/>
        <v>320.94</v>
      </c>
      <c r="O252" s="3088">
        <f t="shared" si="2143"/>
        <v>320.94</v>
      </c>
      <c r="P252" s="3088">
        <f t="shared" si="2143"/>
        <v>0</v>
      </c>
      <c r="Q252" s="3270">
        <f t="shared" si="2143"/>
        <v>372.32403816475687</v>
      </c>
      <c r="R252" s="3270">
        <f t="shared" si="2143"/>
        <v>372.2444250076137</v>
      </c>
      <c r="S252" s="3270">
        <f t="shared" si="2143"/>
        <v>7.9613157143152244E-2</v>
      </c>
      <c r="T252" s="3088">
        <f t="shared" ref="T252:AE252" si="2144">SUM(T42+T86+T113+T133)</f>
        <v>10.54</v>
      </c>
      <c r="U252" s="3088">
        <f t="shared" si="2144"/>
        <v>10.54</v>
      </c>
      <c r="V252" s="3088">
        <f t="shared" si="2144"/>
        <v>0</v>
      </c>
      <c r="W252" s="3088">
        <f t="shared" si="2144"/>
        <v>15.27</v>
      </c>
      <c r="X252" s="3088">
        <f t="shared" si="2144"/>
        <v>15.27</v>
      </c>
      <c r="Y252" s="3088">
        <f t="shared" si="2144"/>
        <v>0</v>
      </c>
      <c r="Z252" s="3088">
        <f t="shared" si="2144"/>
        <v>1.28</v>
      </c>
      <c r="AA252" s="3088">
        <f t="shared" si="2144"/>
        <v>1.28</v>
      </c>
      <c r="AB252" s="3088">
        <f t="shared" si="2144"/>
        <v>0</v>
      </c>
      <c r="AC252" s="3088">
        <f t="shared" si="2144"/>
        <v>27.09</v>
      </c>
      <c r="AD252" s="3088">
        <f t="shared" si="2144"/>
        <v>27.09</v>
      </c>
      <c r="AE252" s="3088">
        <f t="shared" si="2144"/>
        <v>0</v>
      </c>
      <c r="AF252" s="3273">
        <f t="shared" ref="AF252:AK252" si="2145">SUM(AF42+AF86+AF113+AF133)</f>
        <v>744.64807632951374</v>
      </c>
      <c r="AG252" s="3273">
        <f t="shared" si="2145"/>
        <v>744.4888500152274</v>
      </c>
      <c r="AH252" s="3273">
        <f t="shared" si="2145"/>
        <v>0.15922631428630449</v>
      </c>
      <c r="AI252" s="3089">
        <f t="shared" si="2145"/>
        <v>348.03000000000003</v>
      </c>
      <c r="AJ252" s="3089">
        <f t="shared" si="2145"/>
        <v>348.03000000000003</v>
      </c>
      <c r="AK252" s="3089">
        <f t="shared" si="2145"/>
        <v>0</v>
      </c>
      <c r="AL252" s="3062">
        <f t="shared" si="1907"/>
        <v>-396.61807632951371</v>
      </c>
      <c r="AM252" s="3062">
        <f t="shared" si="1908"/>
        <v>-396.45885001522737</v>
      </c>
      <c r="AN252" s="3062">
        <f t="shared" si="1909"/>
        <v>-0.15922631428630449</v>
      </c>
      <c r="AO252" s="3270">
        <f t="shared" ref="AO252:BC252" si="2146">SUM(AO42+AO86+AO113+AO133)</f>
        <v>372.32403816475687</v>
      </c>
      <c r="AP252" s="3270">
        <f t="shared" si="2146"/>
        <v>372.2444250076137</v>
      </c>
      <c r="AQ252" s="3270">
        <f t="shared" si="2146"/>
        <v>7.9613157143152244E-2</v>
      </c>
      <c r="AR252" s="3088">
        <f t="shared" si="2146"/>
        <v>45.11</v>
      </c>
      <c r="AS252" s="3088">
        <f t="shared" si="2146"/>
        <v>45.11</v>
      </c>
      <c r="AT252" s="3088">
        <f t="shared" si="2146"/>
        <v>0</v>
      </c>
      <c r="AU252" s="3088">
        <f t="shared" si="2146"/>
        <v>85.8</v>
      </c>
      <c r="AV252" s="3088">
        <f t="shared" si="2146"/>
        <v>85.8</v>
      </c>
      <c r="AW252" s="3088">
        <f t="shared" si="2146"/>
        <v>0</v>
      </c>
      <c r="AX252" s="3088">
        <f t="shared" si="2146"/>
        <v>34.340000000000003</v>
      </c>
      <c r="AY252" s="3088">
        <f t="shared" si="2146"/>
        <v>34.340000000000003</v>
      </c>
      <c r="AZ252" s="3088">
        <f t="shared" si="2146"/>
        <v>0</v>
      </c>
      <c r="BA252" s="3088">
        <f t="shared" si="2146"/>
        <v>165.25</v>
      </c>
      <c r="BB252" s="3088">
        <f t="shared" si="2146"/>
        <v>165.25</v>
      </c>
      <c r="BC252" s="3088">
        <f t="shared" si="2146"/>
        <v>0</v>
      </c>
      <c r="BD252" s="3273">
        <f t="shared" ref="BD252:BI252" si="2147">SUM(BD42+BD86+BD113+BD133)</f>
        <v>1116.9721144942707</v>
      </c>
      <c r="BE252" s="3273">
        <f t="shared" si="2147"/>
        <v>1116.7332750228413</v>
      </c>
      <c r="BF252" s="3273">
        <f t="shared" si="2147"/>
        <v>0.23883947142945675</v>
      </c>
      <c r="BG252" s="3089">
        <f t="shared" si="2147"/>
        <v>513.28</v>
      </c>
      <c r="BH252" s="3089">
        <f t="shared" si="2147"/>
        <v>513.28</v>
      </c>
      <c r="BI252" s="3089">
        <f t="shared" si="2147"/>
        <v>0</v>
      </c>
      <c r="BJ252" s="3062">
        <f t="shared" si="1912"/>
        <v>-603.69211449427075</v>
      </c>
      <c r="BK252" s="3062">
        <f t="shared" si="1913"/>
        <v>-603.45327502284135</v>
      </c>
      <c r="BL252" s="3062">
        <f t="shared" si="1914"/>
        <v>-0.23883947142945675</v>
      </c>
      <c r="BM252" s="3270">
        <f t="shared" ref="BM252:CA252" si="2148">SUM(BM42+BM86+BM113+BM133)</f>
        <v>372.32403816475687</v>
      </c>
      <c r="BN252" s="3270">
        <f t="shared" si="2148"/>
        <v>372.2444250076137</v>
      </c>
      <c r="BO252" s="3270">
        <f t="shared" si="2148"/>
        <v>7.9613157143152244E-2</v>
      </c>
      <c r="BP252" s="3088">
        <f t="shared" si="2148"/>
        <v>0</v>
      </c>
      <c r="BQ252" s="3088">
        <f t="shared" si="2148"/>
        <v>0</v>
      </c>
      <c r="BR252" s="3088">
        <f t="shared" si="2148"/>
        <v>0</v>
      </c>
      <c r="BS252" s="3088">
        <f t="shared" si="2148"/>
        <v>0</v>
      </c>
      <c r="BT252" s="3088">
        <f t="shared" si="2148"/>
        <v>0</v>
      </c>
      <c r="BU252" s="3088">
        <f t="shared" si="2148"/>
        <v>0</v>
      </c>
      <c r="BV252" s="3088">
        <f t="shared" si="2148"/>
        <v>0</v>
      </c>
      <c r="BW252" s="3088">
        <f t="shared" si="2148"/>
        <v>0</v>
      </c>
      <c r="BX252" s="3088">
        <f t="shared" si="2148"/>
        <v>0</v>
      </c>
      <c r="BY252" s="3088">
        <f t="shared" si="2148"/>
        <v>0</v>
      </c>
      <c r="BZ252" s="3088">
        <f t="shared" si="2148"/>
        <v>0</v>
      </c>
      <c r="CA252" s="3088">
        <f t="shared" si="2148"/>
        <v>0</v>
      </c>
      <c r="CB252" s="3273">
        <f t="shared" ref="CB252:CG252" si="2149">SUM(CB42+CB86+CB113+CB133)</f>
        <v>1489.2961526590275</v>
      </c>
      <c r="CC252" s="3273">
        <f t="shared" si="2149"/>
        <v>1488.9777000304548</v>
      </c>
      <c r="CD252" s="3273">
        <f t="shared" si="2149"/>
        <v>0.31845262857260898</v>
      </c>
      <c r="CE252" s="3089">
        <f t="shared" si="2149"/>
        <v>513.28</v>
      </c>
      <c r="CF252" s="3089">
        <f t="shared" si="2149"/>
        <v>513.28</v>
      </c>
      <c r="CG252" s="3089">
        <f t="shared" si="2149"/>
        <v>0</v>
      </c>
      <c r="CH252" s="3062">
        <f t="shared" si="1917"/>
        <v>-976.01615265902751</v>
      </c>
      <c r="CI252" s="3062">
        <f t="shared" si="1918"/>
        <v>-975.69770003045483</v>
      </c>
      <c r="CJ252" s="3062">
        <f t="shared" si="1919"/>
        <v>-0.31845262857260898</v>
      </c>
      <c r="CK252" s="3049"/>
      <c r="CL252" s="3049"/>
      <c r="CM252" s="3049"/>
      <c r="CN252" s="3049"/>
    </row>
    <row r="253" spans="1:92" ht="18.75" x14ac:dyDescent="0.3">
      <c r="A253" s="3076" t="s">
        <v>556</v>
      </c>
      <c r="B253" s="3270">
        <f t="shared" ref="B253" si="2150">SUM(B43+B87)</f>
        <v>1.5393711268298953</v>
      </c>
      <c r="C253" s="3270">
        <f t="shared" ref="C253:S253" si="2151">SUM(C43+C87)</f>
        <v>1.5386271636714905</v>
      </c>
      <c r="D253" s="3270">
        <f t="shared" si="2151"/>
        <v>7.4396315840483899E-4</v>
      </c>
      <c r="E253" s="3088">
        <f t="shared" si="2151"/>
        <v>0</v>
      </c>
      <c r="F253" s="3088">
        <f t="shared" si="2151"/>
        <v>0</v>
      </c>
      <c r="G253" s="3088">
        <f t="shared" si="2151"/>
        <v>0</v>
      </c>
      <c r="H253" s="3088">
        <f t="shared" si="2151"/>
        <v>0</v>
      </c>
      <c r="I253" s="3088">
        <f t="shared" si="2151"/>
        <v>0</v>
      </c>
      <c r="J253" s="3088">
        <f t="shared" si="2151"/>
        <v>0</v>
      </c>
      <c r="K253" s="3088">
        <f t="shared" si="2151"/>
        <v>0</v>
      </c>
      <c r="L253" s="3088">
        <f t="shared" si="2151"/>
        <v>0</v>
      </c>
      <c r="M253" s="3088">
        <f t="shared" si="2151"/>
        <v>0</v>
      </c>
      <c r="N253" s="3088">
        <f t="shared" si="2151"/>
        <v>0</v>
      </c>
      <c r="O253" s="3088">
        <f t="shared" si="2151"/>
        <v>0</v>
      </c>
      <c r="P253" s="3088">
        <f t="shared" si="2151"/>
        <v>0</v>
      </c>
      <c r="Q253" s="3270">
        <f t="shared" si="2151"/>
        <v>1.5393711268298953</v>
      </c>
      <c r="R253" s="3270">
        <f t="shared" si="2151"/>
        <v>1.5386271636714905</v>
      </c>
      <c r="S253" s="3270">
        <f t="shared" si="2151"/>
        <v>7.4396315840483899E-4</v>
      </c>
      <c r="T253" s="3088">
        <f t="shared" ref="T253:AE253" si="2152">SUM(T43+T87)</f>
        <v>0</v>
      </c>
      <c r="U253" s="3088">
        <f t="shared" si="2152"/>
        <v>0</v>
      </c>
      <c r="V253" s="3088">
        <f t="shared" si="2152"/>
        <v>0</v>
      </c>
      <c r="W253" s="3088">
        <f t="shared" si="2152"/>
        <v>0</v>
      </c>
      <c r="X253" s="3088">
        <f t="shared" si="2152"/>
        <v>0</v>
      </c>
      <c r="Y253" s="3088">
        <f t="shared" si="2152"/>
        <v>0</v>
      </c>
      <c r="Z253" s="3088">
        <f t="shared" si="2152"/>
        <v>0</v>
      </c>
      <c r="AA253" s="3088">
        <f t="shared" si="2152"/>
        <v>0</v>
      </c>
      <c r="AB253" s="3088">
        <f t="shared" si="2152"/>
        <v>0</v>
      </c>
      <c r="AC253" s="3088">
        <f t="shared" si="2152"/>
        <v>0</v>
      </c>
      <c r="AD253" s="3088">
        <f t="shared" si="2152"/>
        <v>0</v>
      </c>
      <c r="AE253" s="3088">
        <f t="shared" si="2152"/>
        <v>0</v>
      </c>
      <c r="AF253" s="3273">
        <f t="shared" ref="AF253:AK253" si="2153">SUM(AF43+AF87)</f>
        <v>3.0787422536597906</v>
      </c>
      <c r="AG253" s="3273">
        <f t="shared" si="2153"/>
        <v>3.0772543273429811</v>
      </c>
      <c r="AH253" s="3273">
        <f t="shared" si="2153"/>
        <v>1.487926316809678E-3</v>
      </c>
      <c r="AI253" s="3089">
        <f t="shared" si="2153"/>
        <v>0</v>
      </c>
      <c r="AJ253" s="3089">
        <f t="shared" si="2153"/>
        <v>0</v>
      </c>
      <c r="AK253" s="3089">
        <f t="shared" si="2153"/>
        <v>0</v>
      </c>
      <c r="AL253" s="3062">
        <f t="shared" si="1907"/>
        <v>-3.0787422536597906</v>
      </c>
      <c r="AM253" s="3062">
        <f t="shared" si="1908"/>
        <v>-3.0772543273429811</v>
      </c>
      <c r="AN253" s="3062">
        <f t="shared" si="1909"/>
        <v>-1.487926316809678E-3</v>
      </c>
      <c r="AO253" s="3270">
        <f t="shared" ref="AO253:BC253" si="2154">SUM(AO43+AO87)</f>
        <v>1.5393711268298953</v>
      </c>
      <c r="AP253" s="3270">
        <f t="shared" si="2154"/>
        <v>1.5386271636714905</v>
      </c>
      <c r="AQ253" s="3270">
        <f t="shared" si="2154"/>
        <v>7.4396315840483899E-4</v>
      </c>
      <c r="AR253" s="3088">
        <f t="shared" si="2154"/>
        <v>0</v>
      </c>
      <c r="AS253" s="3088">
        <f t="shared" si="2154"/>
        <v>0</v>
      </c>
      <c r="AT253" s="3088">
        <f t="shared" si="2154"/>
        <v>0</v>
      </c>
      <c r="AU253" s="3088">
        <f t="shared" si="2154"/>
        <v>0</v>
      </c>
      <c r="AV253" s="3088">
        <f t="shared" si="2154"/>
        <v>0</v>
      </c>
      <c r="AW253" s="3088">
        <f t="shared" si="2154"/>
        <v>0</v>
      </c>
      <c r="AX253" s="3088">
        <f t="shared" si="2154"/>
        <v>0</v>
      </c>
      <c r="AY253" s="3088">
        <f t="shared" si="2154"/>
        <v>0</v>
      </c>
      <c r="AZ253" s="3088">
        <f t="shared" si="2154"/>
        <v>0</v>
      </c>
      <c r="BA253" s="3088">
        <f t="shared" si="2154"/>
        <v>0</v>
      </c>
      <c r="BB253" s="3088">
        <f t="shared" si="2154"/>
        <v>0</v>
      </c>
      <c r="BC253" s="3088">
        <f t="shared" si="2154"/>
        <v>0</v>
      </c>
      <c r="BD253" s="3273">
        <f t="shared" ref="BD253:BI253" si="2155">SUM(BD43+BD87)</f>
        <v>4.6181133804896861</v>
      </c>
      <c r="BE253" s="3273">
        <f t="shared" si="2155"/>
        <v>4.6158814910144716</v>
      </c>
      <c r="BF253" s="3273">
        <f t="shared" si="2155"/>
        <v>2.231889475214517E-3</v>
      </c>
      <c r="BG253" s="3089">
        <f t="shared" si="2155"/>
        <v>0</v>
      </c>
      <c r="BH253" s="3089">
        <f t="shared" si="2155"/>
        <v>0</v>
      </c>
      <c r="BI253" s="3089">
        <f t="shared" si="2155"/>
        <v>0</v>
      </c>
      <c r="BJ253" s="3062">
        <f t="shared" si="1912"/>
        <v>-4.6181133804896861</v>
      </c>
      <c r="BK253" s="3062">
        <f t="shared" si="1913"/>
        <v>-4.6158814910144716</v>
      </c>
      <c r="BL253" s="3062">
        <f t="shared" si="1914"/>
        <v>-2.231889475214517E-3</v>
      </c>
      <c r="BM253" s="3270">
        <f t="shared" ref="BM253:CA253" si="2156">SUM(BM43+BM87)</f>
        <v>1.5393711268298953</v>
      </c>
      <c r="BN253" s="3270">
        <f t="shared" si="2156"/>
        <v>1.5386271636714905</v>
      </c>
      <c r="BO253" s="3270">
        <f t="shared" si="2156"/>
        <v>7.4396315840483899E-4</v>
      </c>
      <c r="BP253" s="3088">
        <f t="shared" si="2156"/>
        <v>0</v>
      </c>
      <c r="BQ253" s="3088">
        <f t="shared" si="2156"/>
        <v>0</v>
      </c>
      <c r="BR253" s="3088">
        <f t="shared" si="2156"/>
        <v>0</v>
      </c>
      <c r="BS253" s="3088">
        <f t="shared" si="2156"/>
        <v>0</v>
      </c>
      <c r="BT253" s="3088">
        <f t="shared" si="2156"/>
        <v>0</v>
      </c>
      <c r="BU253" s="3088">
        <f t="shared" si="2156"/>
        <v>0</v>
      </c>
      <c r="BV253" s="3088">
        <f t="shared" si="2156"/>
        <v>0</v>
      </c>
      <c r="BW253" s="3088">
        <f t="shared" si="2156"/>
        <v>0</v>
      </c>
      <c r="BX253" s="3088">
        <f t="shared" si="2156"/>
        <v>0</v>
      </c>
      <c r="BY253" s="3088">
        <f t="shared" si="2156"/>
        <v>0</v>
      </c>
      <c r="BZ253" s="3088">
        <f t="shared" si="2156"/>
        <v>0</v>
      </c>
      <c r="CA253" s="3088">
        <f t="shared" si="2156"/>
        <v>0</v>
      </c>
      <c r="CB253" s="3273">
        <f t="shared" ref="CB253:CG253" si="2157">SUM(CB43+CB87)</f>
        <v>6.1574845073195812</v>
      </c>
      <c r="CC253" s="3273">
        <f t="shared" si="2157"/>
        <v>6.1545086546859622</v>
      </c>
      <c r="CD253" s="3273">
        <f t="shared" si="2157"/>
        <v>2.975852633619356E-3</v>
      </c>
      <c r="CE253" s="3089">
        <f t="shared" si="2157"/>
        <v>0</v>
      </c>
      <c r="CF253" s="3089">
        <f t="shared" si="2157"/>
        <v>0</v>
      </c>
      <c r="CG253" s="3089">
        <f t="shared" si="2157"/>
        <v>0</v>
      </c>
      <c r="CH253" s="3062">
        <f t="shared" si="1917"/>
        <v>-6.1574845073195812</v>
      </c>
      <c r="CI253" s="3062">
        <f t="shared" si="1918"/>
        <v>-6.1545086546859622</v>
      </c>
      <c r="CJ253" s="3062">
        <f t="shared" si="1919"/>
        <v>-2.975852633619356E-3</v>
      </c>
      <c r="CK253" s="3049"/>
      <c r="CL253" s="3049"/>
      <c r="CM253" s="3049"/>
      <c r="CN253" s="3049"/>
    </row>
    <row r="254" spans="1:92" ht="18.75" x14ac:dyDescent="0.3">
      <c r="A254" s="3076" t="s">
        <v>3623</v>
      </c>
      <c r="B254" s="3270">
        <f t="shared" ref="B254" si="2158">SUM(B44+B88)</f>
        <v>10.625</v>
      </c>
      <c r="C254" s="3270">
        <f t="shared" ref="C254:S254" si="2159">SUM(C44+C88)</f>
        <v>10.625</v>
      </c>
      <c r="D254" s="3270">
        <f t="shared" si="2159"/>
        <v>0</v>
      </c>
      <c r="E254" s="3088">
        <f t="shared" si="2159"/>
        <v>1.36</v>
      </c>
      <c r="F254" s="3088">
        <f t="shared" si="2159"/>
        <v>1.36</v>
      </c>
      <c r="G254" s="3088">
        <f t="shared" si="2159"/>
        <v>0</v>
      </c>
      <c r="H254" s="3088">
        <f t="shared" si="2159"/>
        <v>0</v>
      </c>
      <c r="I254" s="3088">
        <f t="shared" si="2159"/>
        <v>0</v>
      </c>
      <c r="J254" s="3088">
        <f t="shared" si="2159"/>
        <v>0</v>
      </c>
      <c r="K254" s="3088">
        <f t="shared" si="2159"/>
        <v>1.22</v>
      </c>
      <c r="L254" s="3088">
        <f t="shared" si="2159"/>
        <v>1.22</v>
      </c>
      <c r="M254" s="3088">
        <f t="shared" si="2159"/>
        <v>0</v>
      </c>
      <c r="N254" s="3088">
        <f t="shared" si="2159"/>
        <v>2.58</v>
      </c>
      <c r="O254" s="3088">
        <f t="shared" si="2159"/>
        <v>2.58</v>
      </c>
      <c r="P254" s="3088">
        <f t="shared" si="2159"/>
        <v>0</v>
      </c>
      <c r="Q254" s="3270">
        <f t="shared" si="2159"/>
        <v>10.625</v>
      </c>
      <c r="R254" s="3270">
        <f t="shared" si="2159"/>
        <v>10.625</v>
      </c>
      <c r="S254" s="3270">
        <f t="shared" si="2159"/>
        <v>0</v>
      </c>
      <c r="T254" s="3088">
        <f t="shared" ref="T254:AE254" si="2160">SUM(T44+T88)</f>
        <v>4.75</v>
      </c>
      <c r="U254" s="3088">
        <f t="shared" si="2160"/>
        <v>4.75</v>
      </c>
      <c r="V254" s="3088">
        <f t="shared" si="2160"/>
        <v>0</v>
      </c>
      <c r="W254" s="3088">
        <f t="shared" si="2160"/>
        <v>2.85</v>
      </c>
      <c r="X254" s="3088">
        <f t="shared" si="2160"/>
        <v>2.85</v>
      </c>
      <c r="Y254" s="3088">
        <f t="shared" si="2160"/>
        <v>0</v>
      </c>
      <c r="Z254" s="3088">
        <f t="shared" si="2160"/>
        <v>3.31</v>
      </c>
      <c r="AA254" s="3088">
        <f t="shared" si="2160"/>
        <v>3.31</v>
      </c>
      <c r="AB254" s="3088">
        <f t="shared" si="2160"/>
        <v>0</v>
      </c>
      <c r="AC254" s="3088">
        <f t="shared" si="2160"/>
        <v>10.91</v>
      </c>
      <c r="AD254" s="3088">
        <f t="shared" si="2160"/>
        <v>10.91</v>
      </c>
      <c r="AE254" s="3088">
        <f t="shared" si="2160"/>
        <v>0</v>
      </c>
      <c r="AF254" s="3273">
        <f t="shared" ref="AF254:AK254" si="2161">SUM(AF44+AF88)</f>
        <v>21.25</v>
      </c>
      <c r="AG254" s="3273">
        <f t="shared" si="2161"/>
        <v>21.25</v>
      </c>
      <c r="AH254" s="3273">
        <f t="shared" si="2161"/>
        <v>0</v>
      </c>
      <c r="AI254" s="3089">
        <f t="shared" si="2161"/>
        <v>13.49</v>
      </c>
      <c r="AJ254" s="3089">
        <f t="shared" si="2161"/>
        <v>13.49</v>
      </c>
      <c r="AK254" s="3089">
        <f t="shared" si="2161"/>
        <v>0</v>
      </c>
      <c r="AL254" s="3062">
        <f t="shared" si="1907"/>
        <v>-7.76</v>
      </c>
      <c r="AM254" s="3062">
        <f t="shared" si="1908"/>
        <v>-7.76</v>
      </c>
      <c r="AN254" s="3062">
        <f t="shared" si="1909"/>
        <v>0</v>
      </c>
      <c r="AO254" s="3270">
        <f t="shared" ref="AO254:BC254" si="2162">SUM(AO44+AO88)</f>
        <v>10.625</v>
      </c>
      <c r="AP254" s="3270">
        <f t="shared" si="2162"/>
        <v>10.625</v>
      </c>
      <c r="AQ254" s="3270">
        <f t="shared" si="2162"/>
        <v>0</v>
      </c>
      <c r="AR254" s="3088">
        <f t="shared" si="2162"/>
        <v>0</v>
      </c>
      <c r="AS254" s="3088">
        <f t="shared" si="2162"/>
        <v>0</v>
      </c>
      <c r="AT254" s="3088">
        <f t="shared" si="2162"/>
        <v>0</v>
      </c>
      <c r="AU254" s="3088">
        <f t="shared" si="2162"/>
        <v>2.94</v>
      </c>
      <c r="AV254" s="3088">
        <f t="shared" si="2162"/>
        <v>2.94</v>
      </c>
      <c r="AW254" s="3088">
        <f t="shared" si="2162"/>
        <v>0</v>
      </c>
      <c r="AX254" s="3088">
        <f t="shared" si="2162"/>
        <v>18.68</v>
      </c>
      <c r="AY254" s="3088">
        <f t="shared" si="2162"/>
        <v>18.68</v>
      </c>
      <c r="AZ254" s="3088">
        <f t="shared" si="2162"/>
        <v>0</v>
      </c>
      <c r="BA254" s="3088">
        <f t="shared" si="2162"/>
        <v>21.62</v>
      </c>
      <c r="BB254" s="3088">
        <f t="shared" si="2162"/>
        <v>21.62</v>
      </c>
      <c r="BC254" s="3088">
        <f t="shared" si="2162"/>
        <v>0</v>
      </c>
      <c r="BD254" s="3273">
        <f t="shared" ref="BD254:BI254" si="2163">SUM(BD44+BD88)</f>
        <v>31.875</v>
      </c>
      <c r="BE254" s="3273">
        <f t="shared" si="2163"/>
        <v>31.875</v>
      </c>
      <c r="BF254" s="3273">
        <f t="shared" si="2163"/>
        <v>0</v>
      </c>
      <c r="BG254" s="3089">
        <f t="shared" si="2163"/>
        <v>35.11</v>
      </c>
      <c r="BH254" s="3089">
        <f t="shared" si="2163"/>
        <v>35.11</v>
      </c>
      <c r="BI254" s="3089">
        <f t="shared" si="2163"/>
        <v>0</v>
      </c>
      <c r="BJ254" s="3062">
        <f t="shared" si="1912"/>
        <v>3.2349999999999994</v>
      </c>
      <c r="BK254" s="3062">
        <f t="shared" si="1913"/>
        <v>3.2349999999999994</v>
      </c>
      <c r="BL254" s="3062">
        <f t="shared" si="1914"/>
        <v>0</v>
      </c>
      <c r="BM254" s="3270">
        <f t="shared" ref="BM254:CA254" si="2164">SUM(BM44+BM88)</f>
        <v>10.625</v>
      </c>
      <c r="BN254" s="3270">
        <f t="shared" si="2164"/>
        <v>10.625</v>
      </c>
      <c r="BO254" s="3270">
        <f t="shared" si="2164"/>
        <v>0</v>
      </c>
      <c r="BP254" s="3088">
        <f t="shared" si="2164"/>
        <v>0</v>
      </c>
      <c r="BQ254" s="3088">
        <f t="shared" si="2164"/>
        <v>0</v>
      </c>
      <c r="BR254" s="3088">
        <f t="shared" si="2164"/>
        <v>0</v>
      </c>
      <c r="BS254" s="3088">
        <f t="shared" si="2164"/>
        <v>0</v>
      </c>
      <c r="BT254" s="3088">
        <f t="shared" si="2164"/>
        <v>0</v>
      </c>
      <c r="BU254" s="3088">
        <f t="shared" si="2164"/>
        <v>0</v>
      </c>
      <c r="BV254" s="3088">
        <f t="shared" si="2164"/>
        <v>0</v>
      </c>
      <c r="BW254" s="3088">
        <f t="shared" si="2164"/>
        <v>0</v>
      </c>
      <c r="BX254" s="3088">
        <f t="shared" si="2164"/>
        <v>0</v>
      </c>
      <c r="BY254" s="3088">
        <f t="shared" si="2164"/>
        <v>0</v>
      </c>
      <c r="BZ254" s="3088">
        <f t="shared" si="2164"/>
        <v>0</v>
      </c>
      <c r="CA254" s="3088">
        <f t="shared" si="2164"/>
        <v>0</v>
      </c>
      <c r="CB254" s="3273">
        <f t="shared" ref="CB254:CG254" si="2165">SUM(CB44+CB88)</f>
        <v>42.5</v>
      </c>
      <c r="CC254" s="3273">
        <f t="shared" si="2165"/>
        <v>42.5</v>
      </c>
      <c r="CD254" s="3273">
        <f t="shared" si="2165"/>
        <v>0</v>
      </c>
      <c r="CE254" s="3089">
        <f t="shared" si="2165"/>
        <v>35.11</v>
      </c>
      <c r="CF254" s="3089">
        <f t="shared" si="2165"/>
        <v>35.11</v>
      </c>
      <c r="CG254" s="3089">
        <f t="shared" si="2165"/>
        <v>0</v>
      </c>
      <c r="CH254" s="3062">
        <f t="shared" si="1917"/>
        <v>-7.3900000000000006</v>
      </c>
      <c r="CI254" s="3062">
        <f t="shared" si="1918"/>
        <v>-7.3900000000000006</v>
      </c>
      <c r="CJ254" s="3062">
        <f t="shared" si="1919"/>
        <v>0</v>
      </c>
      <c r="CK254" s="3049"/>
      <c r="CL254" s="3049"/>
      <c r="CM254" s="3049"/>
      <c r="CN254" s="3049"/>
    </row>
    <row r="255" spans="1:92" ht="18.75" x14ac:dyDescent="0.3">
      <c r="A255" s="3080" t="s">
        <v>605</v>
      </c>
      <c r="B255" s="3272">
        <f>SUM(B256:B259)</f>
        <v>242.76245352195872</v>
      </c>
      <c r="C255" s="3272">
        <f>SUM(C256:C259)</f>
        <v>242.69787508416465</v>
      </c>
      <c r="D255" s="3272">
        <f t="shared" ref="D255:S255" si="2166">SUM(D256:D259)</f>
        <v>6.457843779408845E-2</v>
      </c>
      <c r="E255" s="3082">
        <f t="shared" si="2166"/>
        <v>25.85</v>
      </c>
      <c r="F255" s="3082">
        <f t="shared" si="2166"/>
        <v>25.85</v>
      </c>
      <c r="G255" s="3082">
        <f t="shared" si="2166"/>
        <v>0</v>
      </c>
      <c r="H255" s="3082">
        <f t="shared" si="2166"/>
        <v>121.79000000000002</v>
      </c>
      <c r="I255" s="3082">
        <f t="shared" si="2166"/>
        <v>121.79000000000002</v>
      </c>
      <c r="J255" s="3082">
        <f t="shared" si="2166"/>
        <v>0</v>
      </c>
      <c r="K255" s="3082">
        <f t="shared" si="2166"/>
        <v>36.39</v>
      </c>
      <c r="L255" s="3082">
        <f t="shared" si="2166"/>
        <v>36.39</v>
      </c>
      <c r="M255" s="3082">
        <f t="shared" si="2166"/>
        <v>0</v>
      </c>
      <c r="N255" s="3082">
        <f t="shared" si="2166"/>
        <v>184.03000000000003</v>
      </c>
      <c r="O255" s="3082">
        <f t="shared" si="2166"/>
        <v>184.03000000000003</v>
      </c>
      <c r="P255" s="3082">
        <f t="shared" si="2166"/>
        <v>0</v>
      </c>
      <c r="Q255" s="3272">
        <f t="shared" si="2166"/>
        <v>242.76245352195872</v>
      </c>
      <c r="R255" s="3272">
        <f t="shared" si="2166"/>
        <v>242.69787508416465</v>
      </c>
      <c r="S255" s="3272">
        <f t="shared" si="2166"/>
        <v>6.457843779408845E-2</v>
      </c>
      <c r="T255" s="3082">
        <f t="shared" ref="T255" si="2167">SUM(T256:T259)</f>
        <v>270.60999999999996</v>
      </c>
      <c r="U255" s="3082">
        <f t="shared" ref="U255" si="2168">SUM(U256:U259)</f>
        <v>270.60999999999996</v>
      </c>
      <c r="V255" s="3082">
        <f t="shared" ref="V255" si="2169">SUM(V256:V259)</f>
        <v>0</v>
      </c>
      <c r="W255" s="3082">
        <f t="shared" ref="W255" si="2170">SUM(W256:W259)</f>
        <v>132.09</v>
      </c>
      <c r="X255" s="3082">
        <f t="shared" ref="X255" si="2171">SUM(X256:X259)</f>
        <v>132.09</v>
      </c>
      <c r="Y255" s="3082">
        <f t="shared" ref="Y255" si="2172">SUM(Y256:Y259)</f>
        <v>0</v>
      </c>
      <c r="Z255" s="3082">
        <f t="shared" ref="Z255" si="2173">SUM(Z256:Z259)</f>
        <v>109.38</v>
      </c>
      <c r="AA255" s="3082">
        <f t="shared" ref="AA255" si="2174">SUM(AA256:AA259)</f>
        <v>109.38</v>
      </c>
      <c r="AB255" s="3082">
        <f t="shared" ref="AB255" si="2175">SUM(AB256:AB259)</f>
        <v>0</v>
      </c>
      <c r="AC255" s="3082">
        <f t="shared" ref="AC255" si="2176">SUM(AC256:AC259)</f>
        <v>512.07999999999993</v>
      </c>
      <c r="AD255" s="3082">
        <f t="shared" ref="AD255" si="2177">SUM(AD256:AD259)</f>
        <v>512.07999999999993</v>
      </c>
      <c r="AE255" s="3082">
        <f t="shared" ref="AE255" si="2178">SUM(AE256:AE259)</f>
        <v>0</v>
      </c>
      <c r="AF255" s="3275">
        <f t="shared" ref="AF255" si="2179">SUM(AF256:AF259)</f>
        <v>485.52490704391744</v>
      </c>
      <c r="AG255" s="3275">
        <f t="shared" ref="AG255" si="2180">SUM(AG256:AG259)</f>
        <v>485.3957501683293</v>
      </c>
      <c r="AH255" s="3275">
        <f t="shared" ref="AH255" si="2181">SUM(AH256:AH259)</f>
        <v>0.1291568755881769</v>
      </c>
      <c r="AI255" s="3083">
        <f t="shared" ref="AI255" si="2182">SUM(AI256:AI259)</f>
        <v>696.1099999999999</v>
      </c>
      <c r="AJ255" s="3083">
        <f t="shared" ref="AJ255" si="2183">SUM(AJ256:AJ259)</f>
        <v>696.1099999999999</v>
      </c>
      <c r="AK255" s="3083">
        <f t="shared" ref="AK255" si="2184">SUM(AK256:AK259)</f>
        <v>0</v>
      </c>
      <c r="AL255" s="3062">
        <f t="shared" si="1907"/>
        <v>210.58509295608246</v>
      </c>
      <c r="AM255" s="3062">
        <f t="shared" si="1908"/>
        <v>210.7142498316706</v>
      </c>
      <c r="AN255" s="3062">
        <f t="shared" si="1909"/>
        <v>-0.1291568755881769</v>
      </c>
      <c r="AO255" s="3272">
        <f t="shared" ref="AO255" si="2185">SUM(AO256:AO259)</f>
        <v>242.76245352195872</v>
      </c>
      <c r="AP255" s="3272">
        <f t="shared" ref="AP255" si="2186">SUM(AP256:AP259)</f>
        <v>242.69787508416465</v>
      </c>
      <c r="AQ255" s="3272">
        <f t="shared" ref="AQ255" si="2187">SUM(AQ256:AQ259)</f>
        <v>6.457843779408845E-2</v>
      </c>
      <c r="AR255" s="3082">
        <f t="shared" ref="AR255" si="2188">SUM(AR256:AR259)</f>
        <v>133.88999999999999</v>
      </c>
      <c r="AS255" s="3082">
        <f t="shared" ref="AS255" si="2189">SUM(AS256:AS259)</f>
        <v>133.88999999999999</v>
      </c>
      <c r="AT255" s="3082">
        <f t="shared" ref="AT255" si="2190">SUM(AT256:AT259)</f>
        <v>0</v>
      </c>
      <c r="AU255" s="3082">
        <f t="shared" ref="AU255" si="2191">SUM(AU256:AU259)</f>
        <v>233.99</v>
      </c>
      <c r="AV255" s="3082">
        <f t="shared" ref="AV255" si="2192">SUM(AV256:AV259)</f>
        <v>233.99</v>
      </c>
      <c r="AW255" s="3082">
        <f t="shared" ref="AW255" si="2193">SUM(AW256:AW259)</f>
        <v>0</v>
      </c>
      <c r="AX255" s="3082">
        <f t="shared" ref="AX255" si="2194">SUM(AX256:AX259)</f>
        <v>195.41</v>
      </c>
      <c r="AY255" s="3082">
        <f t="shared" ref="AY255" si="2195">SUM(AY256:AY259)</f>
        <v>195.41</v>
      </c>
      <c r="AZ255" s="3082">
        <f t="shared" ref="AZ255" si="2196">SUM(AZ256:AZ259)</f>
        <v>0</v>
      </c>
      <c r="BA255" s="3082">
        <f t="shared" ref="BA255" si="2197">SUM(BA256:BA259)</f>
        <v>563.29000000000008</v>
      </c>
      <c r="BB255" s="3082">
        <f t="shared" ref="BB255" si="2198">SUM(BB256:BB259)</f>
        <v>563.29000000000008</v>
      </c>
      <c r="BC255" s="3082">
        <f t="shared" ref="BC255" si="2199">SUM(BC256:BC259)</f>
        <v>0</v>
      </c>
      <c r="BD255" s="3275">
        <f t="shared" ref="BD255" si="2200">SUM(BD256:BD259)</f>
        <v>728.28736056587616</v>
      </c>
      <c r="BE255" s="3275">
        <f t="shared" ref="BE255" si="2201">SUM(BE256:BE259)</f>
        <v>728.09362525249401</v>
      </c>
      <c r="BF255" s="3275">
        <f t="shared" ref="BF255" si="2202">SUM(BF256:BF259)</f>
        <v>0.19373531338226532</v>
      </c>
      <c r="BG255" s="3083">
        <f t="shared" ref="BG255" si="2203">SUM(BG256:BG259)</f>
        <v>1259.3999999999999</v>
      </c>
      <c r="BH255" s="3083">
        <f t="shared" ref="BH255" si="2204">SUM(BH256:BH259)</f>
        <v>1259.3999999999999</v>
      </c>
      <c r="BI255" s="3083">
        <f t="shared" ref="BI255" si="2205">SUM(BI256:BI259)</f>
        <v>0</v>
      </c>
      <c r="BJ255" s="3062">
        <f t="shared" si="1912"/>
        <v>531.11263943412371</v>
      </c>
      <c r="BK255" s="3062">
        <f t="shared" si="1913"/>
        <v>531.30637474750586</v>
      </c>
      <c r="BL255" s="3062">
        <f t="shared" si="1914"/>
        <v>-0.19373531338226532</v>
      </c>
      <c r="BM255" s="3272">
        <f t="shared" ref="BM255" si="2206">SUM(BM256:BM259)</f>
        <v>242.76245352195872</v>
      </c>
      <c r="BN255" s="3272">
        <f t="shared" ref="BN255" si="2207">SUM(BN256:BN259)</f>
        <v>242.69787508416465</v>
      </c>
      <c r="BO255" s="3272">
        <f t="shared" ref="BO255" si="2208">SUM(BO256:BO259)</f>
        <v>6.457843779408845E-2</v>
      </c>
      <c r="BP255" s="3082">
        <f t="shared" ref="BP255" si="2209">SUM(BP256:BP259)</f>
        <v>0</v>
      </c>
      <c r="BQ255" s="3082">
        <f t="shared" ref="BQ255" si="2210">SUM(BQ256:BQ259)</f>
        <v>0</v>
      </c>
      <c r="BR255" s="3082">
        <f t="shared" ref="BR255" si="2211">SUM(BR256:BR259)</f>
        <v>0</v>
      </c>
      <c r="BS255" s="3082">
        <f t="shared" ref="BS255" si="2212">SUM(BS256:BS259)</f>
        <v>0</v>
      </c>
      <c r="BT255" s="3082">
        <f t="shared" ref="BT255" si="2213">SUM(BT256:BT259)</f>
        <v>0</v>
      </c>
      <c r="BU255" s="3082">
        <f t="shared" ref="BU255" si="2214">SUM(BU256:BU259)</f>
        <v>0</v>
      </c>
      <c r="BV255" s="3082">
        <f t="shared" ref="BV255" si="2215">SUM(BV256:BV259)</f>
        <v>0</v>
      </c>
      <c r="BW255" s="3082">
        <f t="shared" ref="BW255" si="2216">SUM(BW256:BW259)</f>
        <v>0</v>
      </c>
      <c r="BX255" s="3082">
        <f t="shared" ref="BX255" si="2217">SUM(BX256:BX259)</f>
        <v>0</v>
      </c>
      <c r="BY255" s="3082">
        <f t="shared" ref="BY255" si="2218">SUM(BY256:BY259)</f>
        <v>0</v>
      </c>
      <c r="BZ255" s="3082">
        <f t="shared" ref="BZ255" si="2219">SUM(BZ256:BZ259)</f>
        <v>0</v>
      </c>
      <c r="CA255" s="3082">
        <f t="shared" ref="CA255:CB255" si="2220">SUM(CA256:CA259)</f>
        <v>0</v>
      </c>
      <c r="CB255" s="3275">
        <f t="shared" si="2220"/>
        <v>971.04981408783487</v>
      </c>
      <c r="CC255" s="3275">
        <f t="shared" ref="CC255" si="2221">SUM(CC256:CC259)</f>
        <v>970.7915003366586</v>
      </c>
      <c r="CD255" s="3275">
        <f t="shared" ref="CD255" si="2222">SUM(CD256:CD259)</f>
        <v>0.2583137511763538</v>
      </c>
      <c r="CE255" s="3083">
        <f t="shared" ref="CE255" si="2223">SUM(CE256:CE259)</f>
        <v>1259.3999999999999</v>
      </c>
      <c r="CF255" s="3083">
        <f t="shared" ref="CF255" si="2224">SUM(CF256:CF259)</f>
        <v>1259.3999999999999</v>
      </c>
      <c r="CG255" s="3083">
        <f t="shared" ref="CG255" si="2225">SUM(CG256:CG259)</f>
        <v>0</v>
      </c>
      <c r="CH255" s="3062">
        <f t="shared" si="1917"/>
        <v>288.35018591216499</v>
      </c>
      <c r="CI255" s="3062">
        <f t="shared" si="1918"/>
        <v>288.60849966334126</v>
      </c>
      <c r="CJ255" s="3062">
        <f t="shared" si="1919"/>
        <v>-0.2583137511763538</v>
      </c>
      <c r="CK255" s="3049"/>
      <c r="CL255" s="3049"/>
      <c r="CM255" s="3049"/>
      <c r="CN255" s="3049"/>
    </row>
    <row r="256" spans="1:92" ht="18.75" x14ac:dyDescent="0.3">
      <c r="A256" s="3076" t="s">
        <v>543</v>
      </c>
      <c r="B256" s="3270">
        <f t="shared" ref="B256" si="2226">SUM(B46+B90+B115+B135)</f>
        <v>146.91451285244199</v>
      </c>
      <c r="C256" s="3270">
        <f t="shared" ref="C256:S256" si="2227">SUM(C46+C90+C115+C135)</f>
        <v>146.8809328684907</v>
      </c>
      <c r="D256" s="3270">
        <f t="shared" si="2227"/>
        <v>3.3579983951290832E-2</v>
      </c>
      <c r="E256" s="3088">
        <f t="shared" si="2227"/>
        <v>0</v>
      </c>
      <c r="F256" s="3088">
        <f t="shared" si="2227"/>
        <v>0</v>
      </c>
      <c r="G256" s="3088">
        <f t="shared" si="2227"/>
        <v>0</v>
      </c>
      <c r="H256" s="3088">
        <f t="shared" si="2227"/>
        <v>50.760000000000005</v>
      </c>
      <c r="I256" s="3088">
        <f t="shared" si="2227"/>
        <v>50.760000000000005</v>
      </c>
      <c r="J256" s="3088">
        <f t="shared" si="2227"/>
        <v>0</v>
      </c>
      <c r="K256" s="3088">
        <f t="shared" si="2227"/>
        <v>9.1</v>
      </c>
      <c r="L256" s="3088">
        <f t="shared" si="2227"/>
        <v>9.1</v>
      </c>
      <c r="M256" s="3088">
        <f t="shared" si="2227"/>
        <v>0</v>
      </c>
      <c r="N256" s="3088">
        <f t="shared" si="2227"/>
        <v>59.86</v>
      </c>
      <c r="O256" s="3088">
        <f t="shared" si="2227"/>
        <v>59.86</v>
      </c>
      <c r="P256" s="3088">
        <f t="shared" si="2227"/>
        <v>0</v>
      </c>
      <c r="Q256" s="3270">
        <f t="shared" si="2227"/>
        <v>146.91451285244199</v>
      </c>
      <c r="R256" s="3270">
        <f t="shared" si="2227"/>
        <v>146.8809328684907</v>
      </c>
      <c r="S256" s="3270">
        <f t="shared" si="2227"/>
        <v>3.3579983951290832E-2</v>
      </c>
      <c r="T256" s="3088">
        <f t="shared" ref="T256:AE256" si="2228">SUM(T46+T90+T115+T135)</f>
        <v>68.75</v>
      </c>
      <c r="U256" s="3088">
        <f t="shared" si="2228"/>
        <v>68.75</v>
      </c>
      <c r="V256" s="3088">
        <f t="shared" si="2228"/>
        <v>0</v>
      </c>
      <c r="W256" s="3088">
        <f t="shared" si="2228"/>
        <v>120.5</v>
      </c>
      <c r="X256" s="3088">
        <f t="shared" si="2228"/>
        <v>120.5</v>
      </c>
      <c r="Y256" s="3088">
        <f t="shared" si="2228"/>
        <v>0</v>
      </c>
      <c r="Z256" s="3088">
        <f t="shared" si="2228"/>
        <v>55.11</v>
      </c>
      <c r="AA256" s="3088">
        <f t="shared" si="2228"/>
        <v>55.11</v>
      </c>
      <c r="AB256" s="3088">
        <f t="shared" si="2228"/>
        <v>0</v>
      </c>
      <c r="AC256" s="3088">
        <f t="shared" si="2228"/>
        <v>244.35999999999999</v>
      </c>
      <c r="AD256" s="3088">
        <f t="shared" si="2228"/>
        <v>244.35999999999999</v>
      </c>
      <c r="AE256" s="3088">
        <f t="shared" si="2228"/>
        <v>0</v>
      </c>
      <c r="AF256" s="3273">
        <f t="shared" ref="AF256:AK256" si="2229">SUM(AF46+AF90+AF115+AF135)</f>
        <v>293.82902570488397</v>
      </c>
      <c r="AG256" s="3273">
        <f t="shared" si="2229"/>
        <v>293.76186573698141</v>
      </c>
      <c r="AH256" s="3273">
        <f t="shared" si="2229"/>
        <v>6.7159967902581663E-2</v>
      </c>
      <c r="AI256" s="3089">
        <f t="shared" si="2229"/>
        <v>304.21999999999997</v>
      </c>
      <c r="AJ256" s="3089">
        <f t="shared" si="2229"/>
        <v>304.21999999999997</v>
      </c>
      <c r="AK256" s="3089">
        <f t="shared" si="2229"/>
        <v>0</v>
      </c>
      <c r="AL256" s="3062">
        <f t="shared" si="1907"/>
        <v>10.390974295115996</v>
      </c>
      <c r="AM256" s="3062">
        <f t="shared" si="1908"/>
        <v>10.458134263018565</v>
      </c>
      <c r="AN256" s="3062">
        <f t="shared" si="1909"/>
        <v>-6.7159967902581663E-2</v>
      </c>
      <c r="AO256" s="3270">
        <f t="shared" ref="AO256:BC256" si="2230">SUM(AO46+AO90+AO115+AO135)</f>
        <v>146.91451285244199</v>
      </c>
      <c r="AP256" s="3270">
        <f t="shared" si="2230"/>
        <v>146.8809328684907</v>
      </c>
      <c r="AQ256" s="3270">
        <f t="shared" si="2230"/>
        <v>3.3579983951290832E-2</v>
      </c>
      <c r="AR256" s="3088">
        <f t="shared" si="2230"/>
        <v>83.75</v>
      </c>
      <c r="AS256" s="3088">
        <f t="shared" si="2230"/>
        <v>83.75</v>
      </c>
      <c r="AT256" s="3088">
        <f t="shared" si="2230"/>
        <v>0</v>
      </c>
      <c r="AU256" s="3088">
        <f t="shared" si="2230"/>
        <v>157.32</v>
      </c>
      <c r="AV256" s="3088">
        <f t="shared" si="2230"/>
        <v>157.32</v>
      </c>
      <c r="AW256" s="3088">
        <f t="shared" si="2230"/>
        <v>0</v>
      </c>
      <c r="AX256" s="3088">
        <f t="shared" si="2230"/>
        <v>161.68</v>
      </c>
      <c r="AY256" s="3088">
        <f t="shared" si="2230"/>
        <v>161.68</v>
      </c>
      <c r="AZ256" s="3088">
        <f t="shared" si="2230"/>
        <v>0</v>
      </c>
      <c r="BA256" s="3088">
        <f t="shared" si="2230"/>
        <v>402.75000000000006</v>
      </c>
      <c r="BB256" s="3088">
        <f t="shared" si="2230"/>
        <v>402.75000000000006</v>
      </c>
      <c r="BC256" s="3088">
        <f t="shared" si="2230"/>
        <v>0</v>
      </c>
      <c r="BD256" s="3273">
        <f t="shared" ref="BD256:BI256" si="2231">SUM(BD46+BD90+BD115+BD135)</f>
        <v>440.74353855732596</v>
      </c>
      <c r="BE256" s="3273">
        <f t="shared" si="2231"/>
        <v>440.64279860547214</v>
      </c>
      <c r="BF256" s="3273">
        <f t="shared" si="2231"/>
        <v>0.10073995185387249</v>
      </c>
      <c r="BG256" s="3089">
        <f t="shared" si="2231"/>
        <v>706.97</v>
      </c>
      <c r="BH256" s="3089">
        <f t="shared" si="2231"/>
        <v>706.97</v>
      </c>
      <c r="BI256" s="3089">
        <f t="shared" si="2231"/>
        <v>0</v>
      </c>
      <c r="BJ256" s="3062">
        <f t="shared" si="1912"/>
        <v>266.22646144267406</v>
      </c>
      <c r="BK256" s="3062">
        <f t="shared" si="1913"/>
        <v>266.32720139452789</v>
      </c>
      <c r="BL256" s="3062">
        <f t="shared" si="1914"/>
        <v>-0.10073995185387249</v>
      </c>
      <c r="BM256" s="3270">
        <f t="shared" ref="BM256:CA256" si="2232">SUM(BM46+BM90+BM115+BM135)</f>
        <v>146.91451285244199</v>
      </c>
      <c r="BN256" s="3270">
        <f t="shared" si="2232"/>
        <v>146.8809328684907</v>
      </c>
      <c r="BO256" s="3270">
        <f t="shared" si="2232"/>
        <v>3.3579983951290832E-2</v>
      </c>
      <c r="BP256" s="3088">
        <f t="shared" si="2232"/>
        <v>0</v>
      </c>
      <c r="BQ256" s="3088">
        <f t="shared" si="2232"/>
        <v>0</v>
      </c>
      <c r="BR256" s="3088">
        <f t="shared" si="2232"/>
        <v>0</v>
      </c>
      <c r="BS256" s="3088">
        <f t="shared" si="2232"/>
        <v>0</v>
      </c>
      <c r="BT256" s="3088">
        <f t="shared" si="2232"/>
        <v>0</v>
      </c>
      <c r="BU256" s="3088">
        <f t="shared" si="2232"/>
        <v>0</v>
      </c>
      <c r="BV256" s="3088">
        <f t="shared" si="2232"/>
        <v>0</v>
      </c>
      <c r="BW256" s="3088">
        <f t="shared" si="2232"/>
        <v>0</v>
      </c>
      <c r="BX256" s="3088">
        <f t="shared" si="2232"/>
        <v>0</v>
      </c>
      <c r="BY256" s="3088">
        <f t="shared" si="2232"/>
        <v>0</v>
      </c>
      <c r="BZ256" s="3088">
        <f t="shared" si="2232"/>
        <v>0</v>
      </c>
      <c r="CA256" s="3088">
        <f t="shared" si="2232"/>
        <v>0</v>
      </c>
      <c r="CB256" s="3273">
        <f t="shared" ref="CB256:CG256" si="2233">SUM(CB46+CB90+CB115+CB135)</f>
        <v>587.65805140976795</v>
      </c>
      <c r="CC256" s="3273">
        <f t="shared" si="2233"/>
        <v>587.52373147396281</v>
      </c>
      <c r="CD256" s="3273">
        <f t="shared" si="2233"/>
        <v>0.13431993580516333</v>
      </c>
      <c r="CE256" s="3089">
        <f t="shared" si="2233"/>
        <v>706.97</v>
      </c>
      <c r="CF256" s="3089">
        <f t="shared" si="2233"/>
        <v>706.97</v>
      </c>
      <c r="CG256" s="3089">
        <f t="shared" si="2233"/>
        <v>0</v>
      </c>
      <c r="CH256" s="3062">
        <f t="shared" si="1917"/>
        <v>119.31194859023208</v>
      </c>
      <c r="CI256" s="3062">
        <f t="shared" si="1918"/>
        <v>119.44626852603722</v>
      </c>
      <c r="CJ256" s="3062">
        <f t="shared" si="1919"/>
        <v>-0.13431993580516333</v>
      </c>
      <c r="CK256" s="3049"/>
      <c r="CL256" s="3049"/>
      <c r="CM256" s="3049"/>
      <c r="CN256" s="3049"/>
    </row>
    <row r="257" spans="1:92" ht="18.75" x14ac:dyDescent="0.3">
      <c r="A257" s="3076" t="s">
        <v>552</v>
      </c>
      <c r="B257" s="3270">
        <f>SUM(B92+B116)</f>
        <v>65.127499999999998</v>
      </c>
      <c r="C257" s="3270">
        <f>SUM(C92+C116)</f>
        <v>65.107016948179989</v>
      </c>
      <c r="D257" s="3270">
        <f t="shared" ref="D257:S257" si="2234">SUM(D92+D116)</f>
        <v>2.048305182001595E-2</v>
      </c>
      <c r="E257" s="3088">
        <f t="shared" si="2234"/>
        <v>12.3</v>
      </c>
      <c r="F257" s="3088">
        <f t="shared" si="2234"/>
        <v>12.3</v>
      </c>
      <c r="G257" s="3088">
        <f t="shared" si="2234"/>
        <v>0</v>
      </c>
      <c r="H257" s="3088">
        <f t="shared" si="2234"/>
        <v>40.1</v>
      </c>
      <c r="I257" s="3088">
        <f t="shared" si="2234"/>
        <v>40.1</v>
      </c>
      <c r="J257" s="3088">
        <f t="shared" si="2234"/>
        <v>0</v>
      </c>
      <c r="K257" s="3088">
        <f t="shared" si="2234"/>
        <v>24.54</v>
      </c>
      <c r="L257" s="3088">
        <f t="shared" si="2234"/>
        <v>24.54</v>
      </c>
      <c r="M257" s="3088">
        <f t="shared" si="2234"/>
        <v>0</v>
      </c>
      <c r="N257" s="3088">
        <f t="shared" si="2234"/>
        <v>76.94</v>
      </c>
      <c r="O257" s="3088">
        <f t="shared" si="2234"/>
        <v>76.94</v>
      </c>
      <c r="P257" s="3088">
        <f t="shared" si="2234"/>
        <v>0</v>
      </c>
      <c r="Q257" s="3270">
        <f t="shared" si="2234"/>
        <v>65.127499999999998</v>
      </c>
      <c r="R257" s="3270">
        <f t="shared" si="2234"/>
        <v>65.107016948179989</v>
      </c>
      <c r="S257" s="3270">
        <f t="shared" si="2234"/>
        <v>2.048305182001595E-2</v>
      </c>
      <c r="T257" s="3088">
        <f t="shared" ref="T257:AE257" si="2235">SUM(T92+T116)</f>
        <v>34.239999999999995</v>
      </c>
      <c r="U257" s="3088">
        <f t="shared" si="2235"/>
        <v>34.239999999999995</v>
      </c>
      <c r="V257" s="3088">
        <f t="shared" si="2235"/>
        <v>0</v>
      </c>
      <c r="W257" s="3088">
        <f t="shared" si="2235"/>
        <v>0</v>
      </c>
      <c r="X257" s="3088">
        <f t="shared" si="2235"/>
        <v>0</v>
      </c>
      <c r="Y257" s="3088">
        <f t="shared" si="2235"/>
        <v>0</v>
      </c>
      <c r="Z257" s="3088">
        <f t="shared" si="2235"/>
        <v>30.96</v>
      </c>
      <c r="AA257" s="3088">
        <f t="shared" si="2235"/>
        <v>30.96</v>
      </c>
      <c r="AB257" s="3088">
        <f t="shared" si="2235"/>
        <v>0</v>
      </c>
      <c r="AC257" s="3088">
        <f t="shared" si="2235"/>
        <v>65.199999999999989</v>
      </c>
      <c r="AD257" s="3088">
        <f t="shared" si="2235"/>
        <v>65.199999999999989</v>
      </c>
      <c r="AE257" s="3088">
        <f t="shared" si="2235"/>
        <v>0</v>
      </c>
      <c r="AF257" s="3273">
        <f t="shared" ref="AF257:AK257" si="2236">SUM(AF92+AF116)</f>
        <v>130.255</v>
      </c>
      <c r="AG257" s="3273">
        <f t="shared" si="2236"/>
        <v>130.21403389635998</v>
      </c>
      <c r="AH257" s="3273">
        <f t="shared" si="2236"/>
        <v>4.0966103640031899E-2</v>
      </c>
      <c r="AI257" s="3089">
        <f t="shared" si="2236"/>
        <v>142.13999999999999</v>
      </c>
      <c r="AJ257" s="3089">
        <f t="shared" si="2236"/>
        <v>142.13999999999999</v>
      </c>
      <c r="AK257" s="3089">
        <f t="shared" si="2236"/>
        <v>0</v>
      </c>
      <c r="AL257" s="3062">
        <f t="shared" si="1907"/>
        <v>11.884999999999991</v>
      </c>
      <c r="AM257" s="3062">
        <f t="shared" si="1908"/>
        <v>11.925966103640008</v>
      </c>
      <c r="AN257" s="3062">
        <f t="shared" si="1909"/>
        <v>-4.0966103640031899E-2</v>
      </c>
      <c r="AO257" s="3270">
        <f t="shared" ref="AO257:BC257" si="2237">SUM(AO92+AO116)</f>
        <v>65.127499999999998</v>
      </c>
      <c r="AP257" s="3270">
        <f t="shared" si="2237"/>
        <v>65.107016948179989</v>
      </c>
      <c r="AQ257" s="3270">
        <f t="shared" si="2237"/>
        <v>2.048305182001595E-2</v>
      </c>
      <c r="AR257" s="3088">
        <f t="shared" si="2237"/>
        <v>31.23</v>
      </c>
      <c r="AS257" s="3088">
        <f t="shared" si="2237"/>
        <v>31.23</v>
      </c>
      <c r="AT257" s="3088">
        <f t="shared" si="2237"/>
        <v>0</v>
      </c>
      <c r="AU257" s="3088">
        <f t="shared" si="2237"/>
        <v>0</v>
      </c>
      <c r="AV257" s="3088">
        <f t="shared" si="2237"/>
        <v>0</v>
      </c>
      <c r="AW257" s="3088">
        <f t="shared" si="2237"/>
        <v>0</v>
      </c>
      <c r="AX257" s="3088">
        <f t="shared" si="2237"/>
        <v>13.17</v>
      </c>
      <c r="AY257" s="3088">
        <f t="shared" si="2237"/>
        <v>13.17</v>
      </c>
      <c r="AZ257" s="3088">
        <f t="shared" si="2237"/>
        <v>0</v>
      </c>
      <c r="BA257" s="3088">
        <f t="shared" si="2237"/>
        <v>44.4</v>
      </c>
      <c r="BB257" s="3088">
        <f t="shared" si="2237"/>
        <v>44.4</v>
      </c>
      <c r="BC257" s="3088">
        <f t="shared" si="2237"/>
        <v>0</v>
      </c>
      <c r="BD257" s="3273">
        <f t="shared" ref="BD257:BI257" si="2238">SUM(BD92+BD116)</f>
        <v>195.38249999999999</v>
      </c>
      <c r="BE257" s="3273">
        <f t="shared" si="2238"/>
        <v>195.32105084453997</v>
      </c>
      <c r="BF257" s="3273">
        <f t="shared" si="2238"/>
        <v>6.1449155460047852E-2</v>
      </c>
      <c r="BG257" s="3089">
        <f t="shared" si="2238"/>
        <v>186.54</v>
      </c>
      <c r="BH257" s="3089">
        <f t="shared" si="2238"/>
        <v>186.54</v>
      </c>
      <c r="BI257" s="3089">
        <f t="shared" si="2238"/>
        <v>0</v>
      </c>
      <c r="BJ257" s="3062">
        <f t="shared" si="1912"/>
        <v>-8.8425000000000011</v>
      </c>
      <c r="BK257" s="3062">
        <f t="shared" si="1913"/>
        <v>-8.7810508445399762</v>
      </c>
      <c r="BL257" s="3062">
        <f t="shared" si="1914"/>
        <v>-6.1449155460047852E-2</v>
      </c>
      <c r="BM257" s="3270">
        <f t="shared" ref="BM257:CA257" si="2239">SUM(BM92+BM116)</f>
        <v>65.127499999999998</v>
      </c>
      <c r="BN257" s="3270">
        <f t="shared" si="2239"/>
        <v>65.107016948179989</v>
      </c>
      <c r="BO257" s="3270">
        <f t="shared" si="2239"/>
        <v>2.048305182001595E-2</v>
      </c>
      <c r="BP257" s="3088">
        <f t="shared" si="2239"/>
        <v>0</v>
      </c>
      <c r="BQ257" s="3088">
        <f t="shared" si="2239"/>
        <v>0</v>
      </c>
      <c r="BR257" s="3088">
        <f t="shared" si="2239"/>
        <v>0</v>
      </c>
      <c r="BS257" s="3088">
        <f t="shared" si="2239"/>
        <v>0</v>
      </c>
      <c r="BT257" s="3088">
        <f t="shared" si="2239"/>
        <v>0</v>
      </c>
      <c r="BU257" s="3088">
        <f t="shared" si="2239"/>
        <v>0</v>
      </c>
      <c r="BV257" s="3088">
        <f t="shared" si="2239"/>
        <v>0</v>
      </c>
      <c r="BW257" s="3088">
        <f t="shared" si="2239"/>
        <v>0</v>
      </c>
      <c r="BX257" s="3088">
        <f t="shared" si="2239"/>
        <v>0</v>
      </c>
      <c r="BY257" s="3088">
        <f t="shared" si="2239"/>
        <v>0</v>
      </c>
      <c r="BZ257" s="3088">
        <f t="shared" si="2239"/>
        <v>0</v>
      </c>
      <c r="CA257" s="3088">
        <f t="shared" si="2239"/>
        <v>0</v>
      </c>
      <c r="CB257" s="3273">
        <f t="shared" ref="CB257:CG257" si="2240">SUM(CB92+CB116)</f>
        <v>260.51</v>
      </c>
      <c r="CC257" s="3273">
        <f t="shared" si="2240"/>
        <v>260.42806779271996</v>
      </c>
      <c r="CD257" s="3273">
        <f t="shared" si="2240"/>
        <v>8.1932207280063798E-2</v>
      </c>
      <c r="CE257" s="3089">
        <f t="shared" si="2240"/>
        <v>186.54</v>
      </c>
      <c r="CF257" s="3089">
        <f t="shared" si="2240"/>
        <v>186.54</v>
      </c>
      <c r="CG257" s="3089">
        <f t="shared" si="2240"/>
        <v>0</v>
      </c>
      <c r="CH257" s="3062">
        <f t="shared" si="1917"/>
        <v>-73.97</v>
      </c>
      <c r="CI257" s="3062">
        <f t="shared" si="1918"/>
        <v>-73.888067792719966</v>
      </c>
      <c r="CJ257" s="3062">
        <f t="shared" si="1919"/>
        <v>-8.1932207280063798E-2</v>
      </c>
      <c r="CK257" s="3049"/>
      <c r="CL257" s="3049"/>
      <c r="CM257" s="3049"/>
      <c r="CN257" s="3049"/>
    </row>
    <row r="258" spans="1:92" ht="18.75" x14ac:dyDescent="0.3">
      <c r="A258" s="3076" t="s">
        <v>639</v>
      </c>
      <c r="B258" s="3270">
        <f t="shared" ref="B258" si="2241">SUM(B47+B91+B136)</f>
        <v>28.227940669516741</v>
      </c>
      <c r="C258" s="3270">
        <f t="shared" ref="C258:S258" si="2242">SUM(C47+C91+C136)</f>
        <v>28.217787735230999</v>
      </c>
      <c r="D258" s="3270">
        <f t="shared" si="2242"/>
        <v>1.0152934285743691E-2</v>
      </c>
      <c r="E258" s="3088">
        <f t="shared" si="2242"/>
        <v>12.39</v>
      </c>
      <c r="F258" s="3088">
        <f t="shared" si="2242"/>
        <v>12.39</v>
      </c>
      <c r="G258" s="3088">
        <f t="shared" si="2242"/>
        <v>0</v>
      </c>
      <c r="H258" s="3088">
        <f t="shared" si="2242"/>
        <v>30.01</v>
      </c>
      <c r="I258" s="3088">
        <f t="shared" si="2242"/>
        <v>30.01</v>
      </c>
      <c r="J258" s="3088">
        <f t="shared" si="2242"/>
        <v>0</v>
      </c>
      <c r="K258" s="3088">
        <f t="shared" si="2242"/>
        <v>1.9</v>
      </c>
      <c r="L258" s="3088">
        <f t="shared" si="2242"/>
        <v>1.9</v>
      </c>
      <c r="M258" s="3088">
        <f t="shared" si="2242"/>
        <v>0</v>
      </c>
      <c r="N258" s="3088">
        <f t="shared" si="2242"/>
        <v>44.3</v>
      </c>
      <c r="O258" s="3088">
        <f t="shared" si="2242"/>
        <v>44.3</v>
      </c>
      <c r="P258" s="3088">
        <f t="shared" si="2242"/>
        <v>0</v>
      </c>
      <c r="Q258" s="3270">
        <f t="shared" si="2242"/>
        <v>28.227940669516741</v>
      </c>
      <c r="R258" s="3270">
        <f t="shared" si="2242"/>
        <v>28.217787735230999</v>
      </c>
      <c r="S258" s="3270">
        <f t="shared" si="2242"/>
        <v>1.0152934285743691E-2</v>
      </c>
      <c r="T258" s="3088">
        <f t="shared" ref="T258:AE258" si="2243">SUM(T47+T91+T136)</f>
        <v>166.34</v>
      </c>
      <c r="U258" s="3088">
        <f t="shared" si="2243"/>
        <v>166.34</v>
      </c>
      <c r="V258" s="3088">
        <f t="shared" si="2243"/>
        <v>0</v>
      </c>
      <c r="W258" s="3088">
        <f t="shared" si="2243"/>
        <v>9.75</v>
      </c>
      <c r="X258" s="3088">
        <f t="shared" si="2243"/>
        <v>9.75</v>
      </c>
      <c r="Y258" s="3088">
        <f t="shared" si="2243"/>
        <v>0</v>
      </c>
      <c r="Z258" s="3088">
        <f t="shared" si="2243"/>
        <v>20.97</v>
      </c>
      <c r="AA258" s="3088">
        <f t="shared" si="2243"/>
        <v>20.97</v>
      </c>
      <c r="AB258" s="3088">
        <f t="shared" si="2243"/>
        <v>0</v>
      </c>
      <c r="AC258" s="3088">
        <f t="shared" si="2243"/>
        <v>197.05999999999997</v>
      </c>
      <c r="AD258" s="3088">
        <f t="shared" si="2243"/>
        <v>197.05999999999997</v>
      </c>
      <c r="AE258" s="3088">
        <f t="shared" si="2243"/>
        <v>0</v>
      </c>
      <c r="AF258" s="3273">
        <f t="shared" ref="AF258:AK258" si="2244">SUM(AF47+AF91+AF136)</f>
        <v>56.455881339033482</v>
      </c>
      <c r="AG258" s="3273">
        <f t="shared" si="2244"/>
        <v>56.435575470461998</v>
      </c>
      <c r="AH258" s="3273">
        <f t="shared" si="2244"/>
        <v>2.0305868571487383E-2</v>
      </c>
      <c r="AI258" s="3089">
        <f t="shared" si="2244"/>
        <v>241.35999999999999</v>
      </c>
      <c r="AJ258" s="3089">
        <f t="shared" si="2244"/>
        <v>241.35999999999999</v>
      </c>
      <c r="AK258" s="3089">
        <f t="shared" si="2244"/>
        <v>0</v>
      </c>
      <c r="AL258" s="3062">
        <f t="shared" si="1907"/>
        <v>184.9041186609665</v>
      </c>
      <c r="AM258" s="3062">
        <f t="shared" si="1908"/>
        <v>184.92442452953799</v>
      </c>
      <c r="AN258" s="3062">
        <f t="shared" si="1909"/>
        <v>-2.0305868571487383E-2</v>
      </c>
      <c r="AO258" s="3270">
        <f t="shared" ref="AO258:BC258" si="2245">SUM(AO47+AO91+AO136)</f>
        <v>28.227940669516741</v>
      </c>
      <c r="AP258" s="3270">
        <f t="shared" si="2245"/>
        <v>28.217787735230999</v>
      </c>
      <c r="AQ258" s="3270">
        <f t="shared" si="2245"/>
        <v>1.0152934285743691E-2</v>
      </c>
      <c r="AR258" s="3088">
        <f t="shared" si="2245"/>
        <v>17.059999999999999</v>
      </c>
      <c r="AS258" s="3088">
        <f t="shared" si="2245"/>
        <v>17.059999999999999</v>
      </c>
      <c r="AT258" s="3088">
        <f t="shared" si="2245"/>
        <v>0</v>
      </c>
      <c r="AU258" s="3088">
        <f t="shared" si="2245"/>
        <v>76.67</v>
      </c>
      <c r="AV258" s="3088">
        <f t="shared" si="2245"/>
        <v>76.67</v>
      </c>
      <c r="AW258" s="3088">
        <f t="shared" si="2245"/>
        <v>0</v>
      </c>
      <c r="AX258" s="3088">
        <f t="shared" si="2245"/>
        <v>20.21</v>
      </c>
      <c r="AY258" s="3088">
        <f t="shared" si="2245"/>
        <v>20.21</v>
      </c>
      <c r="AZ258" s="3088">
        <f t="shared" si="2245"/>
        <v>0</v>
      </c>
      <c r="BA258" s="3088">
        <f t="shared" si="2245"/>
        <v>113.94</v>
      </c>
      <c r="BB258" s="3088">
        <f t="shared" si="2245"/>
        <v>113.94</v>
      </c>
      <c r="BC258" s="3088">
        <f t="shared" si="2245"/>
        <v>0</v>
      </c>
      <c r="BD258" s="3273">
        <f t="shared" ref="BD258:BI258" si="2246">SUM(BD47+BD91+BD136)</f>
        <v>84.683822008550237</v>
      </c>
      <c r="BE258" s="3273">
        <f t="shared" si="2246"/>
        <v>84.653363205692997</v>
      </c>
      <c r="BF258" s="3273">
        <f t="shared" si="2246"/>
        <v>3.0458802857231074E-2</v>
      </c>
      <c r="BG258" s="3089">
        <f t="shared" si="2246"/>
        <v>355.29999999999995</v>
      </c>
      <c r="BH258" s="3089">
        <f t="shared" si="2246"/>
        <v>355.29999999999995</v>
      </c>
      <c r="BI258" s="3089">
        <f t="shared" si="2246"/>
        <v>0</v>
      </c>
      <c r="BJ258" s="3062">
        <f t="shared" si="1912"/>
        <v>270.61617799144972</v>
      </c>
      <c r="BK258" s="3062">
        <f t="shared" si="1913"/>
        <v>270.64663679430697</v>
      </c>
      <c r="BL258" s="3062">
        <f t="shared" si="1914"/>
        <v>-3.0458802857231074E-2</v>
      </c>
      <c r="BM258" s="3270">
        <f t="shared" ref="BM258:CA258" si="2247">SUM(BM47+BM91+BM136)</f>
        <v>28.227940669516741</v>
      </c>
      <c r="BN258" s="3270">
        <f t="shared" si="2247"/>
        <v>28.217787735230999</v>
      </c>
      <c r="BO258" s="3270">
        <f t="shared" si="2247"/>
        <v>1.0152934285743691E-2</v>
      </c>
      <c r="BP258" s="3088">
        <f t="shared" si="2247"/>
        <v>0</v>
      </c>
      <c r="BQ258" s="3088">
        <f t="shared" si="2247"/>
        <v>0</v>
      </c>
      <c r="BR258" s="3088">
        <f t="shared" si="2247"/>
        <v>0</v>
      </c>
      <c r="BS258" s="3088">
        <f t="shared" si="2247"/>
        <v>0</v>
      </c>
      <c r="BT258" s="3088">
        <f t="shared" si="2247"/>
        <v>0</v>
      </c>
      <c r="BU258" s="3088">
        <f t="shared" si="2247"/>
        <v>0</v>
      </c>
      <c r="BV258" s="3088">
        <f t="shared" si="2247"/>
        <v>0</v>
      </c>
      <c r="BW258" s="3088">
        <f t="shared" si="2247"/>
        <v>0</v>
      </c>
      <c r="BX258" s="3088">
        <f t="shared" si="2247"/>
        <v>0</v>
      </c>
      <c r="BY258" s="3088">
        <f t="shared" si="2247"/>
        <v>0</v>
      </c>
      <c r="BZ258" s="3088">
        <f t="shared" si="2247"/>
        <v>0</v>
      </c>
      <c r="CA258" s="3088">
        <f t="shared" si="2247"/>
        <v>0</v>
      </c>
      <c r="CB258" s="3273">
        <f t="shared" ref="CB258:CG258" si="2248">SUM(CB47+CB91+CB136)</f>
        <v>112.91176267806696</v>
      </c>
      <c r="CC258" s="3273">
        <f t="shared" si="2248"/>
        <v>112.871150940924</v>
      </c>
      <c r="CD258" s="3273">
        <f t="shared" si="2248"/>
        <v>4.0611737142974766E-2</v>
      </c>
      <c r="CE258" s="3089">
        <f t="shared" si="2248"/>
        <v>355.29999999999995</v>
      </c>
      <c r="CF258" s="3089">
        <f t="shared" si="2248"/>
        <v>355.29999999999995</v>
      </c>
      <c r="CG258" s="3089">
        <f t="shared" si="2248"/>
        <v>0</v>
      </c>
      <c r="CH258" s="3062">
        <f t="shared" si="1917"/>
        <v>242.38823732193299</v>
      </c>
      <c r="CI258" s="3062">
        <f t="shared" si="1918"/>
        <v>242.42884905907596</v>
      </c>
      <c r="CJ258" s="3062">
        <f t="shared" si="1919"/>
        <v>-4.0611737142974766E-2</v>
      </c>
      <c r="CK258" s="3049"/>
      <c r="CL258" s="3049"/>
      <c r="CM258" s="3049"/>
      <c r="CN258" s="3049"/>
    </row>
    <row r="259" spans="1:92" ht="18.75" x14ac:dyDescent="0.3">
      <c r="A259" s="3076" t="s">
        <v>609</v>
      </c>
      <c r="B259" s="3270">
        <f>SUM(B93+B117+B137)</f>
        <v>2.4924999999999997</v>
      </c>
      <c r="C259" s="3270">
        <f>SUM(C93+C117+C137)</f>
        <v>2.4921375322629622</v>
      </c>
      <c r="D259" s="3270">
        <f t="shared" ref="D259:S259" si="2249">SUM(D93+D117+D137)</f>
        <v>3.6246773703797465E-4</v>
      </c>
      <c r="E259" s="3088">
        <f t="shared" si="2249"/>
        <v>1.1600000000000001</v>
      </c>
      <c r="F259" s="3088">
        <f t="shared" si="2249"/>
        <v>1.1600000000000001</v>
      </c>
      <c r="G259" s="3088">
        <f t="shared" si="2249"/>
        <v>0</v>
      </c>
      <c r="H259" s="3088">
        <f t="shared" si="2249"/>
        <v>0.91999999999999993</v>
      </c>
      <c r="I259" s="3088">
        <f t="shared" si="2249"/>
        <v>0.91999999999999993</v>
      </c>
      <c r="J259" s="3088">
        <f t="shared" si="2249"/>
        <v>0</v>
      </c>
      <c r="K259" s="3088">
        <f t="shared" si="2249"/>
        <v>0.85</v>
      </c>
      <c r="L259" s="3088">
        <f t="shared" si="2249"/>
        <v>0.85</v>
      </c>
      <c r="M259" s="3088">
        <f t="shared" si="2249"/>
        <v>0</v>
      </c>
      <c r="N259" s="3088">
        <f t="shared" si="2249"/>
        <v>2.93</v>
      </c>
      <c r="O259" s="3088">
        <f t="shared" si="2249"/>
        <v>2.93</v>
      </c>
      <c r="P259" s="3088">
        <f t="shared" si="2249"/>
        <v>0</v>
      </c>
      <c r="Q259" s="3270">
        <f t="shared" si="2249"/>
        <v>2.4924999999999997</v>
      </c>
      <c r="R259" s="3270">
        <f t="shared" si="2249"/>
        <v>2.4921375322629622</v>
      </c>
      <c r="S259" s="3270">
        <f t="shared" si="2249"/>
        <v>3.6246773703797465E-4</v>
      </c>
      <c r="T259" s="3088">
        <f t="shared" ref="T259:AE259" si="2250">SUM(T93+T117+T137)</f>
        <v>1.28</v>
      </c>
      <c r="U259" s="3088">
        <f t="shared" si="2250"/>
        <v>1.28</v>
      </c>
      <c r="V259" s="3088">
        <f t="shared" si="2250"/>
        <v>0</v>
      </c>
      <c r="W259" s="3088">
        <f t="shared" si="2250"/>
        <v>1.8399999999999999</v>
      </c>
      <c r="X259" s="3088">
        <f t="shared" si="2250"/>
        <v>1.8399999999999999</v>
      </c>
      <c r="Y259" s="3088">
        <f t="shared" si="2250"/>
        <v>0</v>
      </c>
      <c r="Z259" s="3088">
        <f t="shared" si="2250"/>
        <v>2.34</v>
      </c>
      <c r="AA259" s="3088">
        <f t="shared" si="2250"/>
        <v>2.34</v>
      </c>
      <c r="AB259" s="3088">
        <f t="shared" si="2250"/>
        <v>0</v>
      </c>
      <c r="AC259" s="3088">
        <f t="shared" si="2250"/>
        <v>5.46</v>
      </c>
      <c r="AD259" s="3088">
        <f t="shared" si="2250"/>
        <v>5.46</v>
      </c>
      <c r="AE259" s="3088">
        <f t="shared" si="2250"/>
        <v>0</v>
      </c>
      <c r="AF259" s="3273">
        <f t="shared" ref="AF259:AK259" si="2251">SUM(AF93+AF117+AF137)</f>
        <v>4.9849999999999994</v>
      </c>
      <c r="AG259" s="3273">
        <f t="shared" si="2251"/>
        <v>4.9842750645259244</v>
      </c>
      <c r="AH259" s="3273">
        <f t="shared" si="2251"/>
        <v>7.249354740759493E-4</v>
      </c>
      <c r="AI259" s="3089">
        <f t="shared" si="2251"/>
        <v>8.39</v>
      </c>
      <c r="AJ259" s="3089">
        <f t="shared" si="2251"/>
        <v>8.39</v>
      </c>
      <c r="AK259" s="3089">
        <f t="shared" si="2251"/>
        <v>0</v>
      </c>
      <c r="AL259" s="3062">
        <f t="shared" si="1907"/>
        <v>3.4050000000000011</v>
      </c>
      <c r="AM259" s="3062">
        <f t="shared" si="1908"/>
        <v>3.4057249354740762</v>
      </c>
      <c r="AN259" s="3062">
        <f t="shared" si="1909"/>
        <v>-7.249354740759493E-4</v>
      </c>
      <c r="AO259" s="3270">
        <f t="shared" ref="AO259:BC259" si="2252">SUM(AO93+AO117+AO137)</f>
        <v>2.4924999999999997</v>
      </c>
      <c r="AP259" s="3270">
        <f t="shared" si="2252"/>
        <v>2.4921375322629622</v>
      </c>
      <c r="AQ259" s="3270">
        <f t="shared" si="2252"/>
        <v>3.6246773703797465E-4</v>
      </c>
      <c r="AR259" s="3088">
        <f t="shared" si="2252"/>
        <v>1.85</v>
      </c>
      <c r="AS259" s="3088">
        <f t="shared" si="2252"/>
        <v>1.85</v>
      </c>
      <c r="AT259" s="3088">
        <f t="shared" si="2252"/>
        <v>0</v>
      </c>
      <c r="AU259" s="3088">
        <f t="shared" si="2252"/>
        <v>0</v>
      </c>
      <c r="AV259" s="3088">
        <f t="shared" si="2252"/>
        <v>0</v>
      </c>
      <c r="AW259" s="3088">
        <f t="shared" si="2252"/>
        <v>0</v>
      </c>
      <c r="AX259" s="3088">
        <f t="shared" si="2252"/>
        <v>0.35</v>
      </c>
      <c r="AY259" s="3088">
        <f t="shared" si="2252"/>
        <v>0.35</v>
      </c>
      <c r="AZ259" s="3088">
        <f t="shared" si="2252"/>
        <v>0</v>
      </c>
      <c r="BA259" s="3088">
        <f t="shared" si="2252"/>
        <v>2.2000000000000002</v>
      </c>
      <c r="BB259" s="3088">
        <f t="shared" si="2252"/>
        <v>2.2000000000000002</v>
      </c>
      <c r="BC259" s="3088">
        <f t="shared" si="2252"/>
        <v>0</v>
      </c>
      <c r="BD259" s="3273">
        <f t="shared" ref="BD259:BI259" si="2253">SUM(BD93+BD117+BD137)</f>
        <v>7.4775</v>
      </c>
      <c r="BE259" s="3273">
        <f t="shared" si="2253"/>
        <v>7.4764125967888857</v>
      </c>
      <c r="BF259" s="3273">
        <f t="shared" si="2253"/>
        <v>1.0874032111139239E-3</v>
      </c>
      <c r="BG259" s="3089">
        <f t="shared" si="2253"/>
        <v>10.590000000000002</v>
      </c>
      <c r="BH259" s="3089">
        <f t="shared" si="2253"/>
        <v>10.590000000000002</v>
      </c>
      <c r="BI259" s="3089">
        <f t="shared" si="2253"/>
        <v>0</v>
      </c>
      <c r="BJ259" s="3062">
        <f t="shared" si="1912"/>
        <v>3.1125000000000016</v>
      </c>
      <c r="BK259" s="3062">
        <f t="shared" si="1913"/>
        <v>3.1135874032111159</v>
      </c>
      <c r="BL259" s="3062">
        <f t="shared" si="1914"/>
        <v>-1.0874032111139239E-3</v>
      </c>
      <c r="BM259" s="3270">
        <f t="shared" ref="BM259:CA259" si="2254">SUM(BM93+BM117+BM137)</f>
        <v>2.4924999999999997</v>
      </c>
      <c r="BN259" s="3270">
        <f t="shared" si="2254"/>
        <v>2.4921375322629622</v>
      </c>
      <c r="BO259" s="3270">
        <f t="shared" si="2254"/>
        <v>3.6246773703797465E-4</v>
      </c>
      <c r="BP259" s="3088">
        <f t="shared" si="2254"/>
        <v>0</v>
      </c>
      <c r="BQ259" s="3088">
        <f t="shared" si="2254"/>
        <v>0</v>
      </c>
      <c r="BR259" s="3088">
        <f t="shared" si="2254"/>
        <v>0</v>
      </c>
      <c r="BS259" s="3088">
        <f t="shared" si="2254"/>
        <v>0</v>
      </c>
      <c r="BT259" s="3088">
        <f t="shared" si="2254"/>
        <v>0</v>
      </c>
      <c r="BU259" s="3088">
        <f t="shared" si="2254"/>
        <v>0</v>
      </c>
      <c r="BV259" s="3088">
        <f t="shared" si="2254"/>
        <v>0</v>
      </c>
      <c r="BW259" s="3088">
        <f t="shared" si="2254"/>
        <v>0</v>
      </c>
      <c r="BX259" s="3088">
        <f t="shared" si="2254"/>
        <v>0</v>
      </c>
      <c r="BY259" s="3088">
        <f t="shared" si="2254"/>
        <v>0</v>
      </c>
      <c r="BZ259" s="3088">
        <f t="shared" si="2254"/>
        <v>0</v>
      </c>
      <c r="CA259" s="3088">
        <f t="shared" si="2254"/>
        <v>0</v>
      </c>
      <c r="CB259" s="3273">
        <f t="shared" ref="CB259:CG259" si="2255">SUM(CB93+CB117+CB137)</f>
        <v>9.9699999999999989</v>
      </c>
      <c r="CC259" s="3273">
        <f t="shared" si="2255"/>
        <v>9.9685501290518488</v>
      </c>
      <c r="CD259" s="3273">
        <f t="shared" si="2255"/>
        <v>1.4498709481518986E-3</v>
      </c>
      <c r="CE259" s="3089">
        <f t="shared" si="2255"/>
        <v>10.590000000000002</v>
      </c>
      <c r="CF259" s="3089">
        <f t="shared" si="2255"/>
        <v>10.590000000000002</v>
      </c>
      <c r="CG259" s="3089">
        <f t="shared" si="2255"/>
        <v>0</v>
      </c>
      <c r="CH259" s="3062">
        <f t="shared" si="1917"/>
        <v>0.62000000000000277</v>
      </c>
      <c r="CI259" s="3062">
        <f t="shared" si="1918"/>
        <v>0.62144987094815285</v>
      </c>
      <c r="CJ259" s="3062">
        <f t="shared" si="1919"/>
        <v>-1.4498709481518986E-3</v>
      </c>
      <c r="CK259" s="3049"/>
      <c r="CL259" s="3049"/>
      <c r="CM259" s="3049"/>
      <c r="CN259" s="3049"/>
    </row>
    <row r="260" spans="1:92" ht="18.75" x14ac:dyDescent="0.3">
      <c r="A260" s="3080" t="s">
        <v>288</v>
      </c>
      <c r="B260" s="3272">
        <f>SUM(B228:B250)+B255</f>
        <v>5690.0939575095563</v>
      </c>
      <c r="C260" s="3272">
        <f>SUM(C228:C250)+C255</f>
        <v>5689.195942660459</v>
      </c>
      <c r="D260" s="3272">
        <f t="shared" ref="D260:S260" si="2256">SUM(D228:D250)+D255</f>
        <v>0.89801484909637797</v>
      </c>
      <c r="E260" s="3082">
        <f t="shared" si="2256"/>
        <v>2131.41</v>
      </c>
      <c r="F260" s="3082">
        <f t="shared" si="2256"/>
        <v>2131.41</v>
      </c>
      <c r="G260" s="3082">
        <f t="shared" si="2256"/>
        <v>0</v>
      </c>
      <c r="H260" s="3082">
        <f t="shared" si="2256"/>
        <v>2040.5900000000001</v>
      </c>
      <c r="I260" s="3082">
        <f t="shared" si="2256"/>
        <v>2040.5900000000001</v>
      </c>
      <c r="J260" s="3082">
        <f t="shared" si="2256"/>
        <v>0</v>
      </c>
      <c r="K260" s="3082">
        <f t="shared" si="2256"/>
        <v>2006.3500000000001</v>
      </c>
      <c r="L260" s="3082">
        <f t="shared" si="2256"/>
        <v>2006.3500000000001</v>
      </c>
      <c r="M260" s="3082">
        <f t="shared" si="2256"/>
        <v>0</v>
      </c>
      <c r="N260" s="3082">
        <f t="shared" si="2256"/>
        <v>6178.3499999999995</v>
      </c>
      <c r="O260" s="3082">
        <f t="shared" si="2256"/>
        <v>6178.3499999999995</v>
      </c>
      <c r="P260" s="3082">
        <f t="shared" si="2256"/>
        <v>0</v>
      </c>
      <c r="Q260" s="3272">
        <f t="shared" si="2256"/>
        <v>5690.0939575095563</v>
      </c>
      <c r="R260" s="3272">
        <f t="shared" si="2256"/>
        <v>5689.195942660459</v>
      </c>
      <c r="S260" s="3272">
        <f t="shared" si="2256"/>
        <v>0.89801484909637797</v>
      </c>
      <c r="T260" s="3082">
        <f t="shared" ref="T260:AE260" si="2257">SUM(T228:T250)+T255</f>
        <v>1728.5300000000002</v>
      </c>
      <c r="U260" s="3082">
        <f t="shared" si="2257"/>
        <v>1728.5300000000002</v>
      </c>
      <c r="V260" s="3082">
        <f t="shared" si="2257"/>
        <v>0</v>
      </c>
      <c r="W260" s="3082">
        <f t="shared" si="2257"/>
        <v>1368.5799999999997</v>
      </c>
      <c r="X260" s="3082">
        <f t="shared" si="2257"/>
        <v>1368.5799999999997</v>
      </c>
      <c r="Y260" s="3082">
        <f t="shared" si="2257"/>
        <v>0</v>
      </c>
      <c r="Z260" s="3082">
        <f t="shared" si="2257"/>
        <v>1570.83</v>
      </c>
      <c r="AA260" s="3082">
        <f t="shared" si="2257"/>
        <v>1570.83</v>
      </c>
      <c r="AB260" s="3082">
        <f t="shared" si="2257"/>
        <v>0</v>
      </c>
      <c r="AC260" s="3082">
        <f t="shared" si="2257"/>
        <v>4667.9400000000005</v>
      </c>
      <c r="AD260" s="3082">
        <f t="shared" si="2257"/>
        <v>4667.9400000000005</v>
      </c>
      <c r="AE260" s="3082">
        <f t="shared" si="2257"/>
        <v>0</v>
      </c>
      <c r="AF260" s="3275">
        <f t="shared" ref="AF260:AK260" si="2258">SUM(AF228:AF250)+AF255</f>
        <v>11380.187915019113</v>
      </c>
      <c r="AG260" s="3275">
        <f t="shared" si="2258"/>
        <v>11378.391885320918</v>
      </c>
      <c r="AH260" s="3275">
        <f t="shared" si="2258"/>
        <v>1.7960296981927559</v>
      </c>
      <c r="AI260" s="3083">
        <f t="shared" si="2258"/>
        <v>10846.29</v>
      </c>
      <c r="AJ260" s="3083">
        <f t="shared" si="2258"/>
        <v>10846.29</v>
      </c>
      <c r="AK260" s="3083">
        <f t="shared" si="2258"/>
        <v>0</v>
      </c>
      <c r="AL260" s="3062">
        <f t="shared" si="1907"/>
        <v>-533.89791501911168</v>
      </c>
      <c r="AM260" s="3062">
        <f t="shared" si="1908"/>
        <v>-532.10188532091706</v>
      </c>
      <c r="AN260" s="3062">
        <f t="shared" si="1909"/>
        <v>-1.7960296981927559</v>
      </c>
      <c r="AO260" s="3272">
        <f t="shared" ref="AO260:BC260" si="2259">SUM(AO228:AO250)+AO255</f>
        <v>5690.0939575095563</v>
      </c>
      <c r="AP260" s="3272">
        <f t="shared" si="2259"/>
        <v>5689.195942660459</v>
      </c>
      <c r="AQ260" s="3272">
        <f t="shared" si="2259"/>
        <v>0.89801484909637797</v>
      </c>
      <c r="AR260" s="3082">
        <f t="shared" si="2259"/>
        <v>1298.5999999999995</v>
      </c>
      <c r="AS260" s="3082">
        <f t="shared" si="2259"/>
        <v>1298.5999999999995</v>
      </c>
      <c r="AT260" s="3082">
        <f t="shared" si="2259"/>
        <v>0</v>
      </c>
      <c r="AU260" s="3082">
        <f t="shared" si="2259"/>
        <v>1594.4799999999998</v>
      </c>
      <c r="AV260" s="3082">
        <f t="shared" si="2259"/>
        <v>1594.4799999999998</v>
      </c>
      <c r="AW260" s="3082">
        <f t="shared" si="2259"/>
        <v>0</v>
      </c>
      <c r="AX260" s="3082">
        <f t="shared" si="2259"/>
        <v>1426.0100000000002</v>
      </c>
      <c r="AY260" s="3082">
        <f t="shared" si="2259"/>
        <v>1426.0100000000002</v>
      </c>
      <c r="AZ260" s="3082">
        <f t="shared" si="2259"/>
        <v>0</v>
      </c>
      <c r="BA260" s="3082">
        <f t="shared" si="2259"/>
        <v>4319.09</v>
      </c>
      <c r="BB260" s="3082">
        <f t="shared" si="2259"/>
        <v>4319.09</v>
      </c>
      <c r="BC260" s="3082">
        <f t="shared" si="2259"/>
        <v>0</v>
      </c>
      <c r="BD260" s="3275">
        <f t="shared" ref="BD260:BI260" si="2260">SUM(BD228:BD250)+BD255</f>
        <v>17070.281872528667</v>
      </c>
      <c r="BE260" s="3275">
        <f t="shared" si="2260"/>
        <v>17067.587827981381</v>
      </c>
      <c r="BF260" s="3275">
        <f t="shared" si="2260"/>
        <v>2.6940445472891339</v>
      </c>
      <c r="BG260" s="3083">
        <f t="shared" si="2260"/>
        <v>15165.379999999997</v>
      </c>
      <c r="BH260" s="3083">
        <f t="shared" si="2260"/>
        <v>15165.379999999997</v>
      </c>
      <c r="BI260" s="3083">
        <f t="shared" si="2260"/>
        <v>0</v>
      </c>
      <c r="BJ260" s="3062">
        <f t="shared" si="1912"/>
        <v>-1904.9018725286696</v>
      </c>
      <c r="BK260" s="3062">
        <f t="shared" si="1913"/>
        <v>-1902.2078279813832</v>
      </c>
      <c r="BL260" s="3062">
        <f t="shared" si="1914"/>
        <v>-2.6940445472891339</v>
      </c>
      <c r="BM260" s="3272">
        <f t="shared" ref="BM260:CA260" si="2261">SUM(BM228:BM250)+BM255</f>
        <v>5690.0939575095563</v>
      </c>
      <c r="BN260" s="3272">
        <f t="shared" si="2261"/>
        <v>5689.195942660459</v>
      </c>
      <c r="BO260" s="3272">
        <f t="shared" si="2261"/>
        <v>0.89801484909637797</v>
      </c>
      <c r="BP260" s="3082">
        <f t="shared" si="2261"/>
        <v>0</v>
      </c>
      <c r="BQ260" s="3082">
        <f t="shared" si="2261"/>
        <v>0</v>
      </c>
      <c r="BR260" s="3082">
        <f t="shared" si="2261"/>
        <v>0</v>
      </c>
      <c r="BS260" s="3082">
        <f t="shared" si="2261"/>
        <v>0</v>
      </c>
      <c r="BT260" s="3082">
        <f t="shared" si="2261"/>
        <v>0</v>
      </c>
      <c r="BU260" s="3082">
        <f t="shared" si="2261"/>
        <v>0</v>
      </c>
      <c r="BV260" s="3082">
        <f t="shared" si="2261"/>
        <v>0</v>
      </c>
      <c r="BW260" s="3082">
        <f t="shared" si="2261"/>
        <v>0</v>
      </c>
      <c r="BX260" s="3082">
        <f t="shared" si="2261"/>
        <v>0</v>
      </c>
      <c r="BY260" s="3082">
        <f t="shared" si="2261"/>
        <v>0</v>
      </c>
      <c r="BZ260" s="3082">
        <f t="shared" si="2261"/>
        <v>0</v>
      </c>
      <c r="CA260" s="3082">
        <f t="shared" si="2261"/>
        <v>0</v>
      </c>
      <c r="CB260" s="3275">
        <f t="shared" ref="CB260:CG260" si="2262">SUM(CB228:CB250)+CB255</f>
        <v>22760.375830038225</v>
      </c>
      <c r="CC260" s="3275">
        <f t="shared" si="2262"/>
        <v>22756.783770641836</v>
      </c>
      <c r="CD260" s="3275">
        <f t="shared" si="2262"/>
        <v>3.5920593963855119</v>
      </c>
      <c r="CE260" s="3083">
        <f t="shared" si="2262"/>
        <v>15165.379999999997</v>
      </c>
      <c r="CF260" s="3083">
        <f t="shared" si="2262"/>
        <v>15165.379999999997</v>
      </c>
      <c r="CG260" s="3083">
        <f t="shared" si="2262"/>
        <v>0</v>
      </c>
      <c r="CH260" s="3062">
        <f t="shared" si="1917"/>
        <v>-7594.9958300382277</v>
      </c>
      <c r="CI260" s="3062">
        <f t="shared" si="1918"/>
        <v>-7591.4037706418385</v>
      </c>
      <c r="CJ260" s="3062">
        <f t="shared" si="1919"/>
        <v>-3.5920593963855119</v>
      </c>
      <c r="CK260" s="3049"/>
      <c r="CL260" s="3049"/>
      <c r="CM260" s="3049"/>
      <c r="CN260" s="3049"/>
    </row>
    <row r="261" spans="1:92" ht="18.75" x14ac:dyDescent="0.3">
      <c r="A261" s="3049"/>
      <c r="B261" s="3094"/>
      <c r="C261" s="3094"/>
      <c r="D261" s="3094"/>
      <c r="E261" s="3094"/>
      <c r="F261" s="3094"/>
      <c r="G261" s="3094"/>
      <c r="H261" s="3094"/>
      <c r="I261" s="3094"/>
      <c r="J261" s="3094"/>
      <c r="K261" s="3094"/>
      <c r="L261" s="3094"/>
      <c r="M261" s="3094"/>
      <c r="N261" s="3094"/>
      <c r="O261" s="3094"/>
      <c r="P261" s="3094"/>
      <c r="Q261" s="3094"/>
      <c r="R261" s="3094"/>
      <c r="S261" s="3094"/>
      <c r="T261" s="3094"/>
      <c r="U261" s="3094"/>
      <c r="V261" s="3094"/>
      <c r="W261" s="3094"/>
      <c r="X261" s="3094"/>
      <c r="Y261" s="3094"/>
      <c r="Z261" s="3094"/>
      <c r="AA261" s="3094"/>
      <c r="AB261" s="3094"/>
      <c r="AC261" s="3094"/>
      <c r="AD261" s="3094"/>
      <c r="AE261" s="3094"/>
      <c r="AF261" s="3094"/>
      <c r="AG261" s="3094"/>
      <c r="AH261" s="3094"/>
      <c r="AI261" s="3094"/>
      <c r="AJ261" s="3094"/>
      <c r="AK261" s="3094"/>
      <c r="AL261" s="3094"/>
      <c r="AM261" s="3094"/>
      <c r="AN261" s="3094"/>
      <c r="AO261" s="3094"/>
      <c r="AP261" s="3094"/>
      <c r="AQ261" s="3094"/>
      <c r="AR261" s="3094"/>
      <c r="AS261" s="3094"/>
      <c r="AT261" s="3094"/>
      <c r="AU261" s="3094"/>
      <c r="AV261" s="3094"/>
      <c r="AW261" s="3094"/>
      <c r="AX261" s="3094"/>
      <c r="AY261" s="3094"/>
      <c r="AZ261" s="3094"/>
      <c r="BA261" s="3094"/>
      <c r="BB261" s="3094"/>
      <c r="BC261" s="3094"/>
      <c r="BD261" s="3094"/>
      <c r="BE261" s="3094"/>
      <c r="BF261" s="3094"/>
      <c r="BG261" s="3094"/>
      <c r="BH261" s="3094"/>
      <c r="BI261" s="3094"/>
      <c r="BJ261" s="3049"/>
      <c r="BK261" s="3049"/>
      <c r="BL261" s="3049"/>
      <c r="BM261" s="3049"/>
      <c r="BN261" s="3049"/>
      <c r="BO261" s="3049"/>
      <c r="BP261" s="3049"/>
      <c r="BQ261" s="3049"/>
      <c r="BR261" s="3049"/>
      <c r="BS261" s="3049"/>
      <c r="BT261" s="3049"/>
      <c r="BU261" s="3049"/>
      <c r="BV261" s="3049"/>
      <c r="BW261" s="3049"/>
      <c r="BX261" s="3049"/>
      <c r="BY261" s="3049"/>
      <c r="BZ261" s="3049"/>
      <c r="CA261" s="3049"/>
      <c r="CB261" s="3049"/>
      <c r="CC261" s="3049"/>
      <c r="CD261" s="3049"/>
      <c r="CE261" s="3049"/>
      <c r="CF261" s="3049"/>
      <c r="CG261" s="3049"/>
      <c r="CH261" s="3049"/>
      <c r="CI261" s="3049"/>
      <c r="CJ261" s="3049"/>
      <c r="CK261" s="3049"/>
      <c r="CL261" s="3049"/>
      <c r="CM261" s="3049"/>
      <c r="CN261" s="3049"/>
    </row>
    <row r="262" spans="1:92" ht="18.75" x14ac:dyDescent="0.3">
      <c r="A262" s="3084"/>
      <c r="B262" s="3084"/>
      <c r="C262" s="3084"/>
      <c r="D262" s="3084"/>
      <c r="E262" s="3084"/>
      <c r="F262" s="3084"/>
      <c r="G262" s="3084"/>
      <c r="H262" s="3084"/>
      <c r="I262" s="3084"/>
      <c r="J262" s="3084"/>
      <c r="K262" s="3084"/>
      <c r="L262" s="3084"/>
      <c r="M262" s="3084"/>
      <c r="N262" s="3094"/>
      <c r="O262" s="3094"/>
      <c r="P262" s="3094"/>
      <c r="Q262" s="3094"/>
      <c r="R262" s="3094"/>
      <c r="S262" s="3094"/>
      <c r="T262" s="3094"/>
      <c r="U262" s="3094"/>
      <c r="V262" s="3094"/>
      <c r="W262" s="3094"/>
      <c r="X262" s="3094"/>
      <c r="Y262" s="3094"/>
      <c r="Z262" s="3094"/>
      <c r="AA262" s="3094"/>
      <c r="AB262" s="3094"/>
      <c r="AC262" s="3094"/>
      <c r="AD262" s="3094"/>
      <c r="AE262" s="3094"/>
      <c r="AF262" s="3094"/>
      <c r="AG262" s="3094"/>
      <c r="AH262" s="3094"/>
      <c r="AI262" s="3094"/>
      <c r="AJ262" s="3094"/>
      <c r="AK262" s="3094"/>
      <c r="AL262" s="3094"/>
      <c r="AM262" s="3094"/>
      <c r="AN262" s="3094"/>
      <c r="AO262" s="3094"/>
      <c r="AP262" s="3094"/>
      <c r="AQ262" s="3094"/>
      <c r="AR262" s="3094"/>
      <c r="AS262" s="3094"/>
      <c r="AT262" s="3094"/>
      <c r="AU262" s="3094"/>
      <c r="AV262" s="3094"/>
      <c r="AW262" s="3094"/>
      <c r="AX262" s="3094"/>
      <c r="AY262" s="3094"/>
      <c r="AZ262" s="3094"/>
      <c r="BA262" s="3094"/>
      <c r="BB262" s="3094"/>
      <c r="BC262" s="3094"/>
      <c r="BD262" s="3094"/>
      <c r="BE262" s="3094"/>
      <c r="BF262" s="3094"/>
      <c r="BG262" s="3094"/>
      <c r="BH262" s="3094"/>
      <c r="BI262" s="3094"/>
      <c r="BJ262" s="3049"/>
      <c r="BK262" s="3049"/>
      <c r="BL262" s="3049"/>
      <c r="BM262" s="3049"/>
      <c r="BN262" s="3049"/>
      <c r="BO262" s="3049"/>
      <c r="BP262" s="3049"/>
      <c r="BQ262" s="3049"/>
      <c r="BR262" s="3049"/>
      <c r="BS262" s="3049"/>
      <c r="BT262" s="3049"/>
      <c r="BU262" s="3049"/>
      <c r="BV262" s="3049"/>
      <c r="BW262" s="3049"/>
      <c r="BX262" s="3049"/>
      <c r="BY262" s="3049"/>
      <c r="BZ262" s="3049"/>
      <c r="CA262" s="3049"/>
      <c r="CB262" s="3049"/>
      <c r="CC262" s="3049"/>
      <c r="CD262" s="3049"/>
      <c r="CE262" s="3049"/>
      <c r="CF262" s="3049"/>
      <c r="CG262" s="3049"/>
      <c r="CH262" s="3049"/>
      <c r="CI262" s="3049"/>
      <c r="CJ262" s="3049"/>
      <c r="CK262" s="3049"/>
      <c r="CL262" s="3049"/>
      <c r="CM262" s="3049"/>
      <c r="CN262" s="3049"/>
    </row>
    <row r="263" spans="1:92" x14ac:dyDescent="0.2">
      <c r="A263" s="3049"/>
      <c r="B263" s="3049"/>
      <c r="C263" s="3049"/>
      <c r="D263" s="3049"/>
      <c r="E263" s="3049"/>
      <c r="F263" s="3049"/>
      <c r="G263" s="3049"/>
      <c r="H263" s="3049"/>
      <c r="I263" s="3049"/>
      <c r="J263" s="3049"/>
      <c r="K263" s="3049"/>
      <c r="L263" s="3049"/>
      <c r="M263" s="3049"/>
      <c r="N263" s="3049"/>
      <c r="O263" s="3049"/>
      <c r="P263" s="3049"/>
      <c r="Q263" s="3049"/>
      <c r="R263" s="3049"/>
      <c r="S263" s="3049"/>
      <c r="T263" s="3049"/>
      <c r="U263" s="3049"/>
      <c r="V263" s="3049"/>
      <c r="W263" s="3049"/>
      <c r="X263" s="3049"/>
      <c r="Y263" s="3049"/>
      <c r="Z263" s="3049"/>
      <c r="AA263" s="3049"/>
      <c r="AB263" s="3049"/>
      <c r="AC263" s="3049"/>
      <c r="AD263" s="3049"/>
      <c r="AE263" s="3049"/>
      <c r="AF263" s="3049"/>
      <c r="AG263" s="3049"/>
      <c r="AH263" s="3049"/>
      <c r="AI263" s="3049"/>
      <c r="AJ263" s="3049"/>
      <c r="AK263" s="3049"/>
      <c r="AL263" s="3049"/>
      <c r="AM263" s="3049"/>
      <c r="AN263" s="3049"/>
      <c r="AO263" s="3049"/>
      <c r="AP263" s="3049"/>
      <c r="AQ263" s="3049"/>
      <c r="AR263" s="3049"/>
      <c r="AS263" s="3049"/>
      <c r="AT263" s="3049"/>
      <c r="AU263" s="3049"/>
      <c r="AV263" s="3049"/>
      <c r="AW263" s="3049"/>
      <c r="AX263" s="3049"/>
      <c r="AY263" s="3049"/>
      <c r="AZ263" s="3049"/>
      <c r="BA263" s="3049"/>
      <c r="BB263" s="3049"/>
      <c r="BC263" s="3049"/>
      <c r="BD263" s="3049"/>
      <c r="BE263" s="3049"/>
      <c r="BF263" s="3049"/>
      <c r="BG263" s="3049"/>
      <c r="BH263" s="3049"/>
      <c r="BI263" s="3049"/>
      <c r="BJ263" s="3049"/>
      <c r="BK263" s="3049"/>
      <c r="BL263" s="3049"/>
      <c r="BM263" s="3049"/>
      <c r="BN263" s="3049"/>
      <c r="BO263" s="3049"/>
      <c r="BP263" s="3049"/>
      <c r="BQ263" s="3049"/>
      <c r="BR263" s="3049"/>
      <c r="BS263" s="3049"/>
      <c r="BT263" s="3049"/>
      <c r="BU263" s="3049"/>
      <c r="BV263" s="3049"/>
      <c r="BW263" s="3049"/>
      <c r="BX263" s="3049"/>
      <c r="BY263" s="3049"/>
      <c r="BZ263" s="3049"/>
      <c r="CA263" s="3049"/>
      <c r="CB263" s="3049"/>
      <c r="CC263" s="3049"/>
      <c r="CD263" s="3049"/>
      <c r="CE263" s="3049"/>
      <c r="CF263" s="3049"/>
      <c r="CG263" s="3049"/>
      <c r="CH263" s="3049"/>
      <c r="CI263" s="3049"/>
      <c r="CJ263" s="3049"/>
      <c r="CK263" s="3049"/>
      <c r="CL263" s="3049"/>
      <c r="CM263" s="3049"/>
      <c r="CN263" s="3049"/>
    </row>
    <row r="264" spans="1:92" x14ac:dyDescent="0.2">
      <c r="A264" s="3049"/>
      <c r="B264" s="3049"/>
      <c r="C264" s="3049"/>
      <c r="D264" s="3049"/>
      <c r="E264" s="3049"/>
      <c r="F264" s="3049"/>
      <c r="G264" s="3049"/>
      <c r="H264" s="3049"/>
      <c r="I264" s="3049"/>
      <c r="J264" s="3049"/>
      <c r="K264" s="3049"/>
      <c r="L264" s="3049"/>
      <c r="M264" s="3049"/>
      <c r="N264" s="3049"/>
      <c r="O264" s="3049"/>
      <c r="P264" s="3049"/>
      <c r="Q264" s="3049"/>
      <c r="R264" s="3049"/>
      <c r="S264" s="3049"/>
      <c r="T264" s="3049"/>
      <c r="U264" s="3049"/>
      <c r="V264" s="3049"/>
      <c r="W264" s="3049"/>
      <c r="X264" s="3049"/>
      <c r="Y264" s="3049"/>
      <c r="Z264" s="3049"/>
      <c r="AA264" s="3049"/>
      <c r="AB264" s="3049"/>
      <c r="AC264" s="3049"/>
      <c r="AD264" s="3049"/>
      <c r="AE264" s="3049"/>
      <c r="AF264" s="3049"/>
      <c r="AG264" s="3049"/>
      <c r="AH264" s="3049"/>
      <c r="AI264" s="3049"/>
      <c r="AJ264" s="3049"/>
      <c r="AK264" s="3049"/>
      <c r="AL264" s="3049"/>
      <c r="AM264" s="3049"/>
      <c r="AN264" s="3049"/>
      <c r="AO264" s="3049"/>
      <c r="AP264" s="3049"/>
      <c r="AQ264" s="3049"/>
      <c r="AR264" s="3049"/>
      <c r="AS264" s="3049"/>
      <c r="AT264" s="3049"/>
      <c r="AU264" s="3049"/>
      <c r="AV264" s="3049"/>
      <c r="AW264" s="3049"/>
      <c r="AX264" s="3049"/>
      <c r="AY264" s="3049"/>
      <c r="AZ264" s="3049"/>
      <c r="BA264" s="3049"/>
      <c r="BB264" s="3049"/>
      <c r="BC264" s="3049"/>
      <c r="BD264" s="3049"/>
      <c r="BE264" s="3049"/>
      <c r="BF264" s="3049"/>
      <c r="BG264" s="3049"/>
      <c r="BH264" s="3049"/>
      <c r="BI264" s="3049"/>
      <c r="BJ264" s="3049"/>
      <c r="BK264" s="3049"/>
      <c r="BL264" s="3049"/>
      <c r="BM264" s="3049"/>
      <c r="BN264" s="3049"/>
      <c r="BO264" s="3049"/>
      <c r="BP264" s="3049"/>
      <c r="BQ264" s="3049"/>
      <c r="BR264" s="3049"/>
      <c r="BS264" s="3049"/>
      <c r="BT264" s="3049"/>
      <c r="BU264" s="3049"/>
      <c r="BV264" s="3049"/>
      <c r="BW264" s="3049"/>
      <c r="BX264" s="3049"/>
      <c r="BY264" s="3049"/>
      <c r="BZ264" s="3049"/>
      <c r="CA264" s="3049"/>
      <c r="CB264" s="3049"/>
      <c r="CC264" s="3049"/>
      <c r="CD264" s="3049"/>
      <c r="CE264" s="3049"/>
      <c r="CF264" s="3049"/>
      <c r="CG264" s="3049"/>
      <c r="CH264" s="3049"/>
      <c r="CI264" s="3049"/>
      <c r="CJ264" s="3049"/>
      <c r="CK264" s="3049"/>
      <c r="CL264" s="3049"/>
      <c r="CM264" s="3049"/>
      <c r="CN264" s="3049"/>
    </row>
    <row r="265" spans="1:92" x14ac:dyDescent="0.2">
      <c r="A265" s="3049"/>
      <c r="B265" s="3049"/>
      <c r="C265" s="3049"/>
      <c r="D265" s="3049"/>
      <c r="E265" s="3049"/>
      <c r="F265" s="3049"/>
      <c r="G265" s="3049"/>
      <c r="H265" s="3049"/>
      <c r="I265" s="3049"/>
      <c r="J265" s="3049"/>
      <c r="K265" s="3049"/>
      <c r="L265" s="3049"/>
      <c r="M265" s="3049"/>
      <c r="N265" s="3049"/>
      <c r="O265" s="3049"/>
      <c r="P265" s="3049"/>
      <c r="Q265" s="3049"/>
      <c r="R265" s="3049"/>
      <c r="S265" s="3049"/>
      <c r="T265" s="3049"/>
      <c r="U265" s="3049"/>
      <c r="V265" s="3049"/>
      <c r="W265" s="3049"/>
      <c r="X265" s="3049"/>
      <c r="Y265" s="3049"/>
      <c r="Z265" s="3049"/>
      <c r="AA265" s="3049"/>
      <c r="AB265" s="3049"/>
      <c r="AC265" s="3049"/>
      <c r="AD265" s="3049"/>
      <c r="AE265" s="3049"/>
      <c r="AF265" s="3049"/>
      <c r="AG265" s="3049"/>
      <c r="AH265" s="3049"/>
      <c r="AI265" s="3049"/>
      <c r="AJ265" s="3049"/>
      <c r="AK265" s="3049"/>
      <c r="AL265" s="3049"/>
      <c r="AM265" s="3049"/>
      <c r="AN265" s="3049"/>
      <c r="AO265" s="3049"/>
      <c r="AP265" s="3049"/>
      <c r="AQ265" s="3049"/>
      <c r="AR265" s="3049"/>
      <c r="AS265" s="3049"/>
      <c r="AT265" s="3049"/>
      <c r="AU265" s="3049"/>
      <c r="AV265" s="3049"/>
      <c r="AW265" s="3049"/>
      <c r="AX265" s="3049"/>
      <c r="AY265" s="3049"/>
      <c r="AZ265" s="3049"/>
      <c r="BA265" s="3049"/>
      <c r="BB265" s="3049"/>
      <c r="BC265" s="3049"/>
      <c r="BD265" s="3049"/>
      <c r="BE265" s="3049"/>
      <c r="BF265" s="3049"/>
      <c r="BG265" s="3049"/>
      <c r="BH265" s="3049"/>
      <c r="BI265" s="3049"/>
      <c r="BJ265" s="3049"/>
      <c r="BK265" s="3049"/>
      <c r="BL265" s="3049"/>
      <c r="BM265" s="3049"/>
      <c r="BN265" s="3049"/>
      <c r="BO265" s="3049"/>
      <c r="BP265" s="3049"/>
      <c r="BQ265" s="3049"/>
      <c r="BR265" s="3049"/>
      <c r="BS265" s="3049"/>
      <c r="BT265" s="3049"/>
      <c r="BU265" s="3049"/>
      <c r="BV265" s="3049"/>
      <c r="BW265" s="3049"/>
      <c r="BX265" s="3049"/>
      <c r="BY265" s="3049"/>
      <c r="BZ265" s="3049"/>
      <c r="CA265" s="3049"/>
      <c r="CB265" s="3049"/>
      <c r="CC265" s="3049"/>
      <c r="CD265" s="3049"/>
      <c r="CE265" s="3049"/>
      <c r="CF265" s="3049"/>
      <c r="CG265" s="3049"/>
      <c r="CH265" s="3049"/>
      <c r="CI265" s="3049"/>
      <c r="CJ265" s="3049"/>
      <c r="CK265" s="3049"/>
      <c r="CL265" s="3049"/>
      <c r="CM265" s="3049"/>
      <c r="CN265" s="3049"/>
    </row>
    <row r="266" spans="1:92" x14ac:dyDescent="0.2">
      <c r="A266" s="3049"/>
      <c r="B266" s="3049"/>
      <c r="C266" s="3049"/>
      <c r="D266" s="3049"/>
      <c r="E266" s="3049"/>
      <c r="F266" s="3049"/>
      <c r="G266" s="3049"/>
      <c r="H266" s="3049"/>
      <c r="I266" s="3049"/>
      <c r="J266" s="3049"/>
      <c r="K266" s="3049"/>
      <c r="L266" s="3049"/>
      <c r="M266" s="3049"/>
      <c r="N266" s="3049"/>
      <c r="O266" s="3049"/>
      <c r="P266" s="3049"/>
      <c r="Q266" s="3049"/>
      <c r="R266" s="3049"/>
      <c r="S266" s="3049"/>
      <c r="T266" s="3049"/>
      <c r="U266" s="3049"/>
      <c r="V266" s="3049"/>
      <c r="W266" s="3049"/>
      <c r="X266" s="3049"/>
      <c r="Y266" s="3049"/>
      <c r="Z266" s="3049"/>
      <c r="AA266" s="3049"/>
      <c r="AB266" s="3049"/>
      <c r="AC266" s="3049"/>
      <c r="AD266" s="3049"/>
      <c r="AE266" s="3049"/>
      <c r="AF266" s="3049"/>
      <c r="AG266" s="3049"/>
      <c r="AH266" s="3049"/>
      <c r="AI266" s="3049"/>
      <c r="AJ266" s="3049"/>
      <c r="AK266" s="3049"/>
      <c r="AL266" s="3049"/>
      <c r="AM266" s="3049"/>
      <c r="AN266" s="3049"/>
      <c r="AO266" s="3049"/>
      <c r="AP266" s="3049"/>
      <c r="AQ266" s="3049"/>
      <c r="AR266" s="3049"/>
      <c r="AS266" s="3049"/>
      <c r="AT266" s="3049"/>
      <c r="AU266" s="3049"/>
      <c r="AV266" s="3049"/>
      <c r="AW266" s="3049"/>
      <c r="AX266" s="3049"/>
      <c r="AY266" s="3049"/>
      <c r="AZ266" s="3049"/>
      <c r="BA266" s="3049"/>
      <c r="BB266" s="3049"/>
      <c r="BC266" s="3049"/>
      <c r="BD266" s="3049"/>
      <c r="BE266" s="3049"/>
      <c r="BF266" s="3049"/>
      <c r="BG266" s="3049"/>
      <c r="BH266" s="3049"/>
      <c r="BI266" s="3049"/>
      <c r="BJ266" s="3049"/>
      <c r="BK266" s="3049"/>
      <c r="BL266" s="3049"/>
      <c r="BM266" s="3049"/>
      <c r="BN266" s="3049"/>
      <c r="BO266" s="3049"/>
      <c r="BP266" s="3049"/>
      <c r="BQ266" s="3049"/>
      <c r="BR266" s="3049"/>
      <c r="BS266" s="3049"/>
      <c r="BT266" s="3049"/>
      <c r="BU266" s="3049"/>
      <c r="BV266" s="3049"/>
      <c r="BW266" s="3049"/>
      <c r="BX266" s="3049"/>
      <c r="BY266" s="3049"/>
      <c r="BZ266" s="3049"/>
      <c r="CA266" s="3049"/>
      <c r="CB266" s="3049"/>
      <c r="CC266" s="3049"/>
      <c r="CD266" s="3049"/>
      <c r="CE266" s="3049"/>
      <c r="CF266" s="3049"/>
      <c r="CG266" s="3049"/>
      <c r="CH266" s="3049"/>
      <c r="CI266" s="3049"/>
      <c r="CJ266" s="3049"/>
      <c r="CK266" s="3049"/>
      <c r="CL266" s="3049"/>
      <c r="CM266" s="3049"/>
      <c r="CN266" s="3049"/>
    </row>
    <row r="267" spans="1:92" x14ac:dyDescent="0.2">
      <c r="A267" s="3049"/>
      <c r="B267" s="3049"/>
      <c r="C267" s="3049"/>
      <c r="D267" s="3049"/>
      <c r="E267" s="3049"/>
      <c r="F267" s="3049"/>
      <c r="G267" s="3049"/>
      <c r="H267" s="3049"/>
      <c r="I267" s="3049"/>
      <c r="J267" s="3049"/>
      <c r="K267" s="3049"/>
      <c r="L267" s="3049"/>
      <c r="M267" s="3049"/>
      <c r="N267" s="3049"/>
      <c r="O267" s="3049"/>
      <c r="P267" s="3049"/>
      <c r="Q267" s="3049"/>
      <c r="R267" s="3049"/>
      <c r="S267" s="3049"/>
      <c r="T267" s="3049"/>
      <c r="U267" s="3049"/>
      <c r="V267" s="3049"/>
      <c r="W267" s="3049"/>
      <c r="X267" s="3049"/>
      <c r="Y267" s="3049"/>
      <c r="Z267" s="3049"/>
      <c r="AA267" s="3049"/>
      <c r="AB267" s="3049"/>
      <c r="AC267" s="3049"/>
      <c r="AD267" s="3049"/>
      <c r="AE267" s="3049"/>
      <c r="AF267" s="3049"/>
      <c r="AG267" s="3049"/>
      <c r="AH267" s="3049"/>
      <c r="AI267" s="3049"/>
      <c r="AJ267" s="3049"/>
      <c r="AK267" s="3049"/>
      <c r="AL267" s="3049"/>
      <c r="AM267" s="3049"/>
      <c r="AN267" s="3049"/>
      <c r="AO267" s="3049"/>
      <c r="AP267" s="3049"/>
      <c r="AQ267" s="3049"/>
      <c r="AR267" s="3049"/>
      <c r="AS267" s="3049"/>
      <c r="AT267" s="3049"/>
      <c r="AU267" s="3049"/>
      <c r="AV267" s="3049"/>
      <c r="AW267" s="3049"/>
      <c r="AX267" s="3049"/>
      <c r="AY267" s="3049"/>
      <c r="AZ267" s="3049"/>
      <c r="BA267" s="3049"/>
      <c r="BB267" s="3049"/>
      <c r="BC267" s="3049"/>
      <c r="BD267" s="3049"/>
      <c r="BE267" s="3049"/>
      <c r="BF267" s="3049"/>
      <c r="BG267" s="3049"/>
      <c r="BH267" s="3049"/>
      <c r="BI267" s="3049"/>
      <c r="BJ267" s="3049"/>
      <c r="BK267" s="3049"/>
      <c r="BL267" s="3049"/>
      <c r="BM267" s="3049"/>
      <c r="BN267" s="3049"/>
      <c r="BO267" s="3049"/>
      <c r="BP267" s="3049"/>
      <c r="BQ267" s="3049"/>
      <c r="BR267" s="3049"/>
      <c r="BS267" s="3049"/>
      <c r="BT267" s="3049"/>
      <c r="BU267" s="3049"/>
      <c r="BV267" s="3049"/>
      <c r="BW267" s="3049"/>
      <c r="BX267" s="3049"/>
      <c r="BY267" s="3049"/>
      <c r="BZ267" s="3049"/>
      <c r="CA267" s="3049"/>
      <c r="CB267" s="3049"/>
      <c r="CC267" s="3049"/>
      <c r="CD267" s="3049"/>
      <c r="CE267" s="3049"/>
      <c r="CF267" s="3049"/>
      <c r="CG267" s="3049"/>
      <c r="CH267" s="3049"/>
      <c r="CI267" s="3049"/>
      <c r="CJ267" s="3049"/>
      <c r="CK267" s="3049"/>
      <c r="CL267" s="3049"/>
      <c r="CM267" s="3049"/>
      <c r="CN267" s="3049"/>
    </row>
    <row r="268" spans="1:92" x14ac:dyDescent="0.2">
      <c r="A268" s="3049"/>
      <c r="B268" s="3049"/>
      <c r="C268" s="3049"/>
      <c r="D268" s="3049"/>
      <c r="E268" s="3049"/>
      <c r="F268" s="3049"/>
      <c r="G268" s="3049"/>
      <c r="H268" s="3049"/>
      <c r="I268" s="3049"/>
      <c r="J268" s="3049"/>
      <c r="K268" s="3049"/>
      <c r="L268" s="3049"/>
      <c r="M268" s="3049"/>
      <c r="N268" s="3049"/>
      <c r="O268" s="3049"/>
      <c r="P268" s="3049"/>
      <c r="Q268" s="3049"/>
      <c r="R268" s="3049"/>
      <c r="S268" s="3049"/>
      <c r="T268" s="3049"/>
      <c r="U268" s="3049"/>
      <c r="V268" s="3049"/>
      <c r="W268" s="3049"/>
      <c r="X268" s="3049"/>
      <c r="Y268" s="3049"/>
      <c r="Z268" s="3049"/>
      <c r="AA268" s="3049"/>
      <c r="AB268" s="3049"/>
      <c r="AC268" s="3049"/>
      <c r="AD268" s="3049"/>
      <c r="AE268" s="3049"/>
      <c r="AF268" s="3049"/>
      <c r="AG268" s="3049"/>
      <c r="AH268" s="3049"/>
      <c r="AI268" s="3049"/>
      <c r="AJ268" s="3049"/>
      <c r="AK268" s="3049"/>
      <c r="AL268" s="3049"/>
      <c r="AM268" s="3049"/>
      <c r="AN268" s="3049"/>
      <c r="AO268" s="3049"/>
      <c r="AP268" s="3049"/>
      <c r="AQ268" s="3049"/>
      <c r="AR268" s="3049"/>
      <c r="AS268" s="3049"/>
      <c r="AT268" s="3049"/>
      <c r="AU268" s="3049"/>
      <c r="AV268" s="3049"/>
      <c r="AW268" s="3049"/>
      <c r="AX268" s="3049"/>
      <c r="AY268" s="3049"/>
      <c r="AZ268" s="3049"/>
      <c r="BA268" s="3049"/>
      <c r="BB268" s="3049"/>
      <c r="BC268" s="3049"/>
      <c r="BD268" s="3049"/>
      <c r="BE268" s="3049"/>
      <c r="BF268" s="3049"/>
      <c r="BG268" s="3049"/>
      <c r="BH268" s="3049"/>
      <c r="BI268" s="3049"/>
      <c r="BJ268" s="3049"/>
      <c r="BK268" s="3049"/>
      <c r="BL268" s="3049"/>
      <c r="BM268" s="3049"/>
      <c r="BN268" s="3049"/>
      <c r="BO268" s="3049"/>
      <c r="BP268" s="3049"/>
      <c r="BQ268" s="3049"/>
      <c r="BR268" s="3049"/>
      <c r="BS268" s="3049"/>
      <c r="BT268" s="3049"/>
      <c r="BU268" s="3049"/>
      <c r="BV268" s="3049"/>
      <c r="BW268" s="3049"/>
      <c r="BX268" s="3049"/>
      <c r="BY268" s="3049"/>
      <c r="BZ268" s="3049"/>
      <c r="CA268" s="3049"/>
      <c r="CB268" s="3049"/>
      <c r="CC268" s="3049"/>
      <c r="CD268" s="3049"/>
      <c r="CE268" s="3049"/>
      <c r="CF268" s="3049"/>
      <c r="CG268" s="3049"/>
      <c r="CH268" s="3049"/>
      <c r="CI268" s="3049"/>
      <c r="CJ268" s="3049"/>
      <c r="CK268" s="3049"/>
      <c r="CL268" s="3049"/>
      <c r="CM268" s="3049"/>
      <c r="CN268" s="3049"/>
    </row>
    <row r="269" spans="1:92" x14ac:dyDescent="0.2">
      <c r="A269" s="3049"/>
      <c r="B269" s="3049"/>
      <c r="C269" s="3049"/>
      <c r="D269" s="3049"/>
      <c r="E269" s="3049"/>
      <c r="F269" s="3049"/>
      <c r="G269" s="3049"/>
      <c r="H269" s="3049"/>
      <c r="I269" s="3049"/>
      <c r="J269" s="3049"/>
      <c r="K269" s="3049"/>
      <c r="L269" s="3049"/>
      <c r="M269" s="3049"/>
      <c r="N269" s="3049"/>
      <c r="O269" s="3049"/>
      <c r="P269" s="3049"/>
      <c r="Q269" s="3049"/>
      <c r="R269" s="3049"/>
      <c r="S269" s="3049"/>
      <c r="T269" s="3049"/>
      <c r="U269" s="3049"/>
      <c r="V269" s="3049"/>
      <c r="W269" s="3049"/>
      <c r="X269" s="3049"/>
      <c r="Y269" s="3049"/>
      <c r="Z269" s="3049"/>
      <c r="AA269" s="3049"/>
      <c r="AB269" s="3049"/>
      <c r="AC269" s="3049"/>
      <c r="AD269" s="3049"/>
      <c r="AE269" s="3049"/>
      <c r="AF269" s="3049"/>
      <c r="AG269" s="3049"/>
      <c r="AH269" s="3049"/>
      <c r="AI269" s="3049"/>
      <c r="AJ269" s="3049"/>
      <c r="AK269" s="3049"/>
      <c r="AL269" s="3049"/>
      <c r="AM269" s="3049"/>
      <c r="AN269" s="3049"/>
      <c r="AO269" s="3049"/>
      <c r="AP269" s="3049"/>
      <c r="AQ269" s="3049"/>
      <c r="AR269" s="3049"/>
      <c r="AS269" s="3049"/>
      <c r="AT269" s="3049"/>
      <c r="AU269" s="3049"/>
      <c r="AV269" s="3049"/>
      <c r="AW269" s="3049"/>
      <c r="AX269" s="3049"/>
      <c r="AY269" s="3049"/>
      <c r="AZ269" s="3049"/>
      <c r="BA269" s="3049"/>
      <c r="BB269" s="3049"/>
      <c r="BC269" s="3049"/>
      <c r="BD269" s="3049"/>
      <c r="BE269" s="3049"/>
      <c r="BF269" s="3049"/>
      <c r="BG269" s="3049"/>
      <c r="BH269" s="3049"/>
      <c r="BI269" s="3049"/>
      <c r="BJ269" s="3049"/>
      <c r="BK269" s="3049"/>
      <c r="BL269" s="3049"/>
      <c r="BM269" s="3049"/>
      <c r="BN269" s="3049"/>
      <c r="BO269" s="3049"/>
      <c r="BP269" s="3049"/>
      <c r="BQ269" s="3049"/>
      <c r="BR269" s="3049"/>
      <c r="BS269" s="3049"/>
      <c r="BT269" s="3049"/>
      <c r="BU269" s="3049"/>
      <c r="BV269" s="3049"/>
      <c r="BW269" s="3049"/>
      <c r="BX269" s="3049"/>
      <c r="BY269" s="3049"/>
      <c r="BZ269" s="3049"/>
      <c r="CA269" s="3049"/>
      <c r="CB269" s="3049"/>
      <c r="CC269" s="3049"/>
      <c r="CD269" s="3049"/>
      <c r="CE269" s="3049"/>
      <c r="CF269" s="3049"/>
      <c r="CG269" s="3049"/>
      <c r="CH269" s="3049"/>
      <c r="CI269" s="3049"/>
      <c r="CJ269" s="3049"/>
      <c r="CK269" s="3049"/>
      <c r="CL269" s="3049"/>
      <c r="CM269" s="3049"/>
      <c r="CN269" s="3049"/>
    </row>
    <row r="270" spans="1:92" x14ac:dyDescent="0.2">
      <c r="A270" s="3049"/>
      <c r="B270" s="3049"/>
      <c r="C270" s="3049"/>
      <c r="D270" s="3049"/>
      <c r="E270" s="3049"/>
      <c r="F270" s="3049"/>
      <c r="G270" s="3049"/>
      <c r="H270" s="3049"/>
      <c r="I270" s="3049"/>
      <c r="J270" s="3049"/>
      <c r="K270" s="3049"/>
      <c r="L270" s="3049"/>
      <c r="M270" s="3049"/>
      <c r="N270" s="3049"/>
      <c r="O270" s="3049"/>
      <c r="P270" s="3049"/>
      <c r="Q270" s="3049"/>
      <c r="R270" s="3049"/>
      <c r="S270" s="3049"/>
      <c r="T270" s="3049"/>
      <c r="U270" s="3049"/>
      <c r="V270" s="3049"/>
      <c r="W270" s="3049"/>
      <c r="X270" s="3049"/>
      <c r="Y270" s="3049"/>
      <c r="Z270" s="3049"/>
      <c r="AA270" s="3049"/>
      <c r="AB270" s="3049"/>
      <c r="AC270" s="3049"/>
      <c r="AD270" s="3049"/>
      <c r="AE270" s="3049"/>
      <c r="AF270" s="3049"/>
      <c r="AG270" s="3049"/>
      <c r="AH270" s="3049"/>
      <c r="AI270" s="3049"/>
      <c r="AJ270" s="3049"/>
      <c r="AK270" s="3049"/>
      <c r="AL270" s="3049"/>
      <c r="AM270" s="3049"/>
      <c r="AN270" s="3049"/>
      <c r="AO270" s="3049"/>
      <c r="AP270" s="3049"/>
      <c r="AQ270" s="3049"/>
      <c r="AR270" s="3049"/>
      <c r="AS270" s="3049"/>
      <c r="AT270" s="3049"/>
      <c r="AU270" s="3049"/>
      <c r="AV270" s="3049"/>
      <c r="AW270" s="3049"/>
      <c r="AX270" s="3049"/>
      <c r="AY270" s="3049"/>
      <c r="AZ270" s="3049"/>
      <c r="BA270" s="3049"/>
      <c r="BB270" s="3049"/>
      <c r="BC270" s="3049"/>
      <c r="BD270" s="3049"/>
      <c r="BE270" s="3049"/>
      <c r="BF270" s="3049"/>
      <c r="BG270" s="3049"/>
      <c r="BH270" s="3049"/>
      <c r="BI270" s="3049"/>
      <c r="BJ270" s="3049"/>
      <c r="BK270" s="3049"/>
      <c r="BL270" s="3049"/>
      <c r="BM270" s="3049"/>
      <c r="BN270" s="3049"/>
      <c r="BO270" s="3049"/>
      <c r="BP270" s="3049"/>
      <c r="BQ270" s="3049"/>
      <c r="BR270" s="3049"/>
      <c r="BS270" s="3049"/>
      <c r="BT270" s="3049"/>
      <c r="BU270" s="3049"/>
      <c r="BV270" s="3049"/>
      <c r="BW270" s="3049"/>
      <c r="BX270" s="3049"/>
      <c r="BY270" s="3049"/>
      <c r="BZ270" s="3049"/>
      <c r="CA270" s="3049"/>
      <c r="CB270" s="3049"/>
      <c r="CC270" s="3049"/>
      <c r="CD270" s="3049"/>
      <c r="CE270" s="3049"/>
      <c r="CF270" s="3049"/>
      <c r="CG270" s="3049"/>
      <c r="CH270" s="3049"/>
      <c r="CI270" s="3049"/>
      <c r="CJ270" s="3049"/>
      <c r="CK270" s="3049"/>
      <c r="CL270" s="3049"/>
      <c r="CM270" s="3049"/>
      <c r="CN270" s="3049"/>
    </row>
    <row r="271" spans="1:92" x14ac:dyDescent="0.2">
      <c r="A271" s="3049"/>
      <c r="B271" s="3049"/>
      <c r="C271" s="3049"/>
      <c r="D271" s="3049"/>
      <c r="E271" s="3049"/>
      <c r="F271" s="3049"/>
      <c r="G271" s="3049"/>
      <c r="H271" s="3049"/>
      <c r="I271" s="3049"/>
      <c r="J271" s="3049"/>
      <c r="K271" s="3049"/>
      <c r="L271" s="3049"/>
      <c r="M271" s="3049"/>
      <c r="N271" s="3049"/>
      <c r="O271" s="3049"/>
      <c r="P271" s="3049"/>
      <c r="Q271" s="3049"/>
      <c r="R271" s="3049"/>
      <c r="S271" s="3049"/>
      <c r="T271" s="3049"/>
      <c r="U271" s="3049"/>
      <c r="V271" s="3049"/>
      <c r="W271" s="3049"/>
      <c r="X271" s="3049"/>
      <c r="Y271" s="3049"/>
      <c r="Z271" s="3049"/>
      <c r="AA271" s="3049"/>
      <c r="AB271" s="3049"/>
      <c r="AC271" s="3049"/>
      <c r="AD271" s="3049"/>
      <c r="AE271" s="3049"/>
      <c r="AF271" s="3049"/>
      <c r="AG271" s="3049"/>
      <c r="AH271" s="3049"/>
      <c r="AI271" s="3049"/>
      <c r="AJ271" s="3049"/>
      <c r="AK271" s="3049"/>
      <c r="AL271" s="3049"/>
      <c r="AM271" s="3049"/>
      <c r="AN271" s="3049"/>
      <c r="AO271" s="3049"/>
      <c r="AP271" s="3049"/>
      <c r="AQ271" s="3049"/>
      <c r="AR271" s="3049"/>
      <c r="AS271" s="3049"/>
      <c r="AT271" s="3049"/>
      <c r="AU271" s="3049"/>
      <c r="AV271" s="3049"/>
      <c r="AW271" s="3049"/>
      <c r="AX271" s="3049"/>
      <c r="AY271" s="3049"/>
      <c r="AZ271" s="3049"/>
      <c r="BA271" s="3049"/>
      <c r="BB271" s="3049"/>
      <c r="BC271" s="3049"/>
      <c r="BD271" s="3049"/>
      <c r="BE271" s="3049"/>
      <c r="BF271" s="3049"/>
      <c r="BG271" s="3049"/>
      <c r="BH271" s="3049"/>
      <c r="BI271" s="3049"/>
      <c r="BJ271" s="3049"/>
      <c r="BK271" s="3049"/>
      <c r="BL271" s="3049"/>
      <c r="BM271" s="3049"/>
      <c r="BN271" s="3049"/>
      <c r="BO271" s="3049"/>
      <c r="BP271" s="3049"/>
      <c r="BQ271" s="3049"/>
      <c r="BR271" s="3049"/>
      <c r="BS271" s="3049"/>
      <c r="BT271" s="3049"/>
      <c r="BU271" s="3049"/>
      <c r="BV271" s="3049"/>
      <c r="BW271" s="3049"/>
      <c r="BX271" s="3049"/>
      <c r="BY271" s="3049"/>
      <c r="BZ271" s="3049"/>
      <c r="CA271" s="3049"/>
      <c r="CB271" s="3049"/>
      <c r="CC271" s="3049"/>
      <c r="CD271" s="3049"/>
      <c r="CE271" s="3049"/>
      <c r="CF271" s="3049"/>
      <c r="CG271" s="3049"/>
      <c r="CH271" s="3049"/>
      <c r="CI271" s="3049"/>
      <c r="CJ271" s="3049"/>
      <c r="CK271" s="3049"/>
      <c r="CL271" s="3049"/>
      <c r="CM271" s="3049"/>
      <c r="CN271" s="3049"/>
    </row>
    <row r="272" spans="1:92" x14ac:dyDescent="0.2">
      <c r="A272" s="3049"/>
      <c r="B272" s="3049"/>
      <c r="C272" s="3049"/>
      <c r="D272" s="3049"/>
      <c r="E272" s="3049"/>
      <c r="F272" s="3049"/>
      <c r="G272" s="3049"/>
      <c r="H272" s="3049"/>
      <c r="I272" s="3049"/>
      <c r="J272" s="3049"/>
      <c r="K272" s="3049"/>
      <c r="L272" s="3049"/>
      <c r="M272" s="3049"/>
      <c r="N272" s="3049"/>
      <c r="O272" s="3049"/>
      <c r="P272" s="3049"/>
      <c r="Q272" s="3049"/>
      <c r="R272" s="3049"/>
      <c r="S272" s="3049"/>
      <c r="T272" s="3049"/>
      <c r="U272" s="3049"/>
      <c r="V272" s="3049"/>
      <c r="W272" s="3049"/>
      <c r="X272" s="3049"/>
      <c r="Y272" s="3049"/>
      <c r="Z272" s="3049"/>
      <c r="AA272" s="3049"/>
      <c r="AB272" s="3049"/>
      <c r="AC272" s="3049"/>
      <c r="AD272" s="3049"/>
      <c r="AE272" s="3049"/>
      <c r="AF272" s="3049"/>
      <c r="AG272" s="3049"/>
      <c r="AH272" s="3049"/>
      <c r="AI272" s="3049"/>
      <c r="AJ272" s="3049"/>
      <c r="AK272" s="3049"/>
      <c r="AL272" s="3049"/>
      <c r="AM272" s="3049"/>
      <c r="AN272" s="3049"/>
      <c r="AO272" s="3049"/>
      <c r="AP272" s="3049"/>
      <c r="AQ272" s="3049"/>
      <c r="AR272" s="3049"/>
      <c r="AS272" s="3049"/>
      <c r="AT272" s="3049"/>
      <c r="AU272" s="3049"/>
      <c r="AV272" s="3049"/>
      <c r="AW272" s="3049"/>
      <c r="AX272" s="3049"/>
      <c r="AY272" s="3049"/>
      <c r="AZ272" s="3049"/>
      <c r="BA272" s="3049"/>
      <c r="BB272" s="3049"/>
      <c r="BC272" s="3049"/>
      <c r="BD272" s="3049"/>
      <c r="BE272" s="3049"/>
      <c r="BF272" s="3049"/>
      <c r="BG272" s="3049"/>
      <c r="BH272" s="3049"/>
      <c r="BI272" s="3049"/>
      <c r="BJ272" s="3049"/>
      <c r="BK272" s="3049"/>
      <c r="BL272" s="3049"/>
      <c r="BM272" s="3049"/>
      <c r="BN272" s="3049"/>
      <c r="BO272" s="3049"/>
      <c r="BP272" s="3049"/>
      <c r="BQ272" s="3049"/>
      <c r="BR272" s="3049"/>
      <c r="BS272" s="3049"/>
      <c r="BT272" s="3049"/>
      <c r="BU272" s="3049"/>
      <c r="BV272" s="3049"/>
      <c r="BW272" s="3049"/>
      <c r="BX272" s="3049"/>
      <c r="BY272" s="3049"/>
      <c r="BZ272" s="3049"/>
      <c r="CA272" s="3049"/>
      <c r="CB272" s="3049"/>
      <c r="CC272" s="3049"/>
      <c r="CD272" s="3049"/>
      <c r="CE272" s="3049"/>
      <c r="CF272" s="3049"/>
      <c r="CG272" s="3049"/>
      <c r="CH272" s="3049"/>
      <c r="CI272" s="3049"/>
      <c r="CJ272" s="3049"/>
      <c r="CK272" s="3049"/>
      <c r="CL272" s="3049"/>
      <c r="CM272" s="3049"/>
      <c r="CN272" s="3049"/>
    </row>
    <row r="273" spans="1:92" x14ac:dyDescent="0.2">
      <c r="A273" s="3049"/>
      <c r="B273" s="3049"/>
      <c r="C273" s="3049"/>
      <c r="D273" s="3049"/>
      <c r="E273" s="3049"/>
      <c r="F273" s="3049"/>
      <c r="G273" s="3049"/>
      <c r="H273" s="3049"/>
      <c r="I273" s="3049"/>
      <c r="J273" s="3049"/>
      <c r="K273" s="3049"/>
      <c r="L273" s="3049"/>
      <c r="M273" s="3049"/>
      <c r="N273" s="3049"/>
      <c r="O273" s="3049"/>
      <c r="P273" s="3049"/>
      <c r="Q273" s="3049"/>
      <c r="R273" s="3049"/>
      <c r="S273" s="3049"/>
      <c r="T273" s="3049"/>
      <c r="U273" s="3049"/>
      <c r="V273" s="3049"/>
      <c r="W273" s="3049"/>
      <c r="X273" s="3049"/>
      <c r="Y273" s="3049"/>
      <c r="Z273" s="3049"/>
      <c r="AA273" s="3049"/>
      <c r="AB273" s="3049"/>
      <c r="AC273" s="3049"/>
      <c r="AD273" s="3049"/>
      <c r="AE273" s="3049"/>
      <c r="AF273" s="3049"/>
      <c r="AG273" s="3049"/>
      <c r="AH273" s="3049"/>
      <c r="AI273" s="3049"/>
      <c r="AJ273" s="3049"/>
      <c r="AK273" s="3049"/>
      <c r="AL273" s="3049"/>
      <c r="AM273" s="3049"/>
      <c r="AN273" s="3049"/>
      <c r="AO273" s="3049"/>
      <c r="AP273" s="3049"/>
      <c r="AQ273" s="3049"/>
      <c r="AR273" s="3049"/>
      <c r="AS273" s="3049"/>
      <c r="AT273" s="3049"/>
      <c r="AU273" s="3049"/>
      <c r="AV273" s="3049"/>
      <c r="AW273" s="3049"/>
      <c r="AX273" s="3049"/>
      <c r="AY273" s="3049"/>
      <c r="AZ273" s="3049"/>
      <c r="BA273" s="3049"/>
      <c r="BB273" s="3049"/>
      <c r="BC273" s="3049"/>
      <c r="BD273" s="3049"/>
      <c r="BE273" s="3049"/>
      <c r="BF273" s="3049"/>
      <c r="BG273" s="3049"/>
      <c r="BH273" s="3049"/>
      <c r="BI273" s="3049"/>
      <c r="BJ273" s="3049"/>
      <c r="BK273" s="3049"/>
      <c r="BL273" s="3049"/>
      <c r="BM273" s="3049"/>
      <c r="BN273" s="3049"/>
      <c r="BO273" s="3049"/>
      <c r="BP273" s="3049"/>
      <c r="BQ273" s="3049"/>
      <c r="BR273" s="3049"/>
      <c r="BS273" s="3049"/>
      <c r="BT273" s="3049"/>
      <c r="BU273" s="3049"/>
      <c r="BV273" s="3049"/>
      <c r="BW273" s="3049"/>
      <c r="BX273" s="3049"/>
      <c r="BY273" s="3049"/>
      <c r="BZ273" s="3049"/>
      <c r="CA273" s="3049"/>
      <c r="CB273" s="3049"/>
      <c r="CC273" s="3049"/>
      <c r="CD273" s="3049"/>
      <c r="CE273" s="3049"/>
      <c r="CF273" s="3049"/>
      <c r="CG273" s="3049"/>
      <c r="CH273" s="3049"/>
      <c r="CI273" s="3049"/>
      <c r="CJ273" s="3049"/>
      <c r="CK273" s="3049"/>
      <c r="CL273" s="3049"/>
      <c r="CM273" s="3049"/>
      <c r="CN273" s="3049"/>
    </row>
    <row r="274" spans="1:92" x14ac:dyDescent="0.2">
      <c r="A274" s="3049"/>
      <c r="B274" s="3049"/>
      <c r="C274" s="3049"/>
      <c r="D274" s="3049"/>
      <c r="E274" s="3049"/>
      <c r="F274" s="3049"/>
      <c r="G274" s="3049"/>
      <c r="H274" s="3049"/>
      <c r="I274" s="3049"/>
      <c r="J274" s="3049"/>
      <c r="K274" s="3049"/>
      <c r="L274" s="3049"/>
      <c r="M274" s="3049"/>
      <c r="N274" s="3049"/>
      <c r="O274" s="3049"/>
      <c r="P274" s="3049"/>
      <c r="Q274" s="3049"/>
      <c r="R274" s="3049"/>
      <c r="S274" s="3049"/>
      <c r="T274" s="3049"/>
      <c r="U274" s="3049"/>
      <c r="V274" s="3049"/>
      <c r="W274" s="3049"/>
      <c r="X274" s="3049"/>
      <c r="Y274" s="3049"/>
      <c r="Z274" s="3049"/>
      <c r="AA274" s="3049"/>
      <c r="AB274" s="3049"/>
      <c r="AC274" s="3049"/>
      <c r="AD274" s="3049"/>
      <c r="AE274" s="3049"/>
      <c r="AF274" s="3049"/>
      <c r="AG274" s="3049"/>
      <c r="AH274" s="3049"/>
      <c r="AI274" s="3049"/>
      <c r="AJ274" s="3049"/>
      <c r="AK274" s="3049"/>
      <c r="AL274" s="3049"/>
      <c r="AM274" s="3049"/>
      <c r="AN274" s="3049"/>
      <c r="AO274" s="3049"/>
      <c r="AP274" s="3049"/>
      <c r="AQ274" s="3049"/>
      <c r="AR274" s="3049"/>
      <c r="AS274" s="3049"/>
      <c r="AT274" s="3049"/>
      <c r="AU274" s="3049"/>
      <c r="AV274" s="3049"/>
      <c r="AW274" s="3049"/>
      <c r="AX274" s="3049"/>
      <c r="AY274" s="3049"/>
      <c r="AZ274" s="3049"/>
      <c r="BA274" s="3049"/>
      <c r="BB274" s="3049"/>
      <c r="BC274" s="3049"/>
      <c r="BD274" s="3049"/>
      <c r="BE274" s="3049"/>
      <c r="BF274" s="3049"/>
      <c r="BG274" s="3049"/>
      <c r="BH274" s="3049"/>
      <c r="BI274" s="3049"/>
      <c r="BJ274" s="3049"/>
      <c r="BK274" s="3049"/>
      <c r="BL274" s="3049"/>
      <c r="BM274" s="3049"/>
      <c r="BN274" s="3049"/>
      <c r="BO274" s="3049"/>
      <c r="BP274" s="3049"/>
      <c r="BQ274" s="3049"/>
      <c r="BR274" s="3049"/>
      <c r="BS274" s="3049"/>
      <c r="BT274" s="3049"/>
      <c r="BU274" s="3049"/>
      <c r="BV274" s="3049"/>
      <c r="BW274" s="3049"/>
      <c r="BX274" s="3049"/>
      <c r="BY274" s="3049"/>
      <c r="BZ274" s="3049"/>
      <c r="CA274" s="3049"/>
      <c r="CB274" s="3049"/>
      <c r="CC274" s="3049"/>
      <c r="CD274" s="3049"/>
      <c r="CE274" s="3049"/>
      <c r="CF274" s="3049"/>
      <c r="CG274" s="3049"/>
      <c r="CH274" s="3049"/>
      <c r="CI274" s="3049"/>
      <c r="CJ274" s="3049"/>
      <c r="CK274" s="3049"/>
      <c r="CL274" s="3049"/>
      <c r="CM274" s="3049"/>
      <c r="CN274" s="3049"/>
    </row>
    <row r="275" spans="1:92" x14ac:dyDescent="0.2">
      <c r="A275" s="3049"/>
      <c r="B275" s="3049"/>
      <c r="C275" s="3049"/>
      <c r="D275" s="3049"/>
      <c r="E275" s="3049"/>
      <c r="F275" s="3049"/>
      <c r="G275" s="3049"/>
      <c r="H275" s="3049"/>
      <c r="I275" s="3049"/>
      <c r="J275" s="3049"/>
      <c r="K275" s="3049"/>
      <c r="L275" s="3049"/>
      <c r="M275" s="3049"/>
      <c r="N275" s="3049"/>
      <c r="O275" s="3049"/>
      <c r="P275" s="3049"/>
      <c r="Q275" s="3049"/>
      <c r="R275" s="3049"/>
      <c r="S275" s="3049"/>
      <c r="T275" s="3049"/>
      <c r="U275" s="3049"/>
      <c r="V275" s="3049"/>
      <c r="W275" s="3049"/>
      <c r="X275" s="3049"/>
      <c r="Y275" s="3049"/>
      <c r="Z275" s="3049"/>
      <c r="AA275" s="3049"/>
      <c r="AB275" s="3049"/>
      <c r="AC275" s="3049"/>
      <c r="AD275" s="3049"/>
      <c r="AE275" s="3049"/>
      <c r="AF275" s="3049"/>
      <c r="AG275" s="3049"/>
      <c r="AH275" s="3049"/>
      <c r="AI275" s="3049"/>
      <c r="AJ275" s="3049"/>
      <c r="AK275" s="3049"/>
      <c r="AL275" s="3049"/>
      <c r="AM275" s="3049"/>
      <c r="AN275" s="3049"/>
      <c r="AO275" s="3049"/>
      <c r="AP275" s="3049"/>
      <c r="AQ275" s="3049"/>
      <c r="AR275" s="3049"/>
      <c r="AS275" s="3049"/>
      <c r="AT275" s="3049"/>
      <c r="AU275" s="3049"/>
      <c r="AV275" s="3049"/>
      <c r="AW275" s="3049"/>
      <c r="AX275" s="3049"/>
      <c r="AY275" s="3049"/>
      <c r="AZ275" s="3049"/>
      <c r="BA275" s="3049"/>
      <c r="BB275" s="3049"/>
      <c r="BC275" s="3049"/>
      <c r="BD275" s="3049"/>
      <c r="BE275" s="3049"/>
      <c r="BF275" s="3049"/>
      <c r="BG275" s="3049"/>
      <c r="BH275" s="3049"/>
      <c r="BI275" s="3049"/>
      <c r="BJ275" s="3049"/>
      <c r="BK275" s="3049"/>
      <c r="BL275" s="3049"/>
      <c r="BM275" s="3049"/>
      <c r="BN275" s="3049"/>
      <c r="BO275" s="3049"/>
      <c r="BP275" s="3049"/>
      <c r="BQ275" s="3049"/>
      <c r="BR275" s="3049"/>
      <c r="BS275" s="3049"/>
      <c r="BT275" s="3049"/>
      <c r="BU275" s="3049"/>
      <c r="BV275" s="3049"/>
      <c r="BW275" s="3049"/>
      <c r="BX275" s="3049"/>
      <c r="BY275" s="3049"/>
      <c r="BZ275" s="3049"/>
      <c r="CA275" s="3049"/>
      <c r="CB275" s="3049"/>
      <c r="CC275" s="3049"/>
      <c r="CD275" s="3049"/>
      <c r="CE275" s="3049"/>
      <c r="CF275" s="3049"/>
      <c r="CG275" s="3049"/>
      <c r="CH275" s="3049"/>
      <c r="CI275" s="3049"/>
      <c r="CJ275" s="3049"/>
      <c r="CK275" s="3049"/>
      <c r="CL275" s="3049"/>
      <c r="CM275" s="3049"/>
      <c r="CN275" s="3049"/>
    </row>
    <row r="276" spans="1:92" x14ac:dyDescent="0.2">
      <c r="A276" s="3049"/>
      <c r="B276" s="3049"/>
      <c r="C276" s="3049"/>
      <c r="D276" s="3049"/>
      <c r="E276" s="3049"/>
      <c r="F276" s="3049"/>
      <c r="G276" s="3049"/>
      <c r="H276" s="3049"/>
      <c r="I276" s="3049"/>
      <c r="J276" s="3049"/>
      <c r="K276" s="3049"/>
      <c r="L276" s="3049"/>
      <c r="M276" s="3049"/>
      <c r="N276" s="3049"/>
      <c r="O276" s="3049"/>
      <c r="P276" s="3049"/>
      <c r="Q276" s="3049"/>
      <c r="R276" s="3049"/>
      <c r="S276" s="3049"/>
      <c r="T276" s="3049"/>
      <c r="U276" s="3049"/>
      <c r="V276" s="3049"/>
      <c r="W276" s="3049"/>
      <c r="X276" s="3049"/>
      <c r="Y276" s="3049"/>
      <c r="Z276" s="3049"/>
      <c r="AA276" s="3049"/>
      <c r="AB276" s="3049"/>
      <c r="AC276" s="3049"/>
      <c r="AD276" s="3049"/>
      <c r="AE276" s="3049"/>
      <c r="AF276" s="3049"/>
      <c r="AG276" s="3049"/>
      <c r="AH276" s="3049"/>
      <c r="AI276" s="3049"/>
      <c r="AJ276" s="3049"/>
      <c r="AK276" s="3049"/>
      <c r="AL276" s="3049"/>
      <c r="AM276" s="3049"/>
      <c r="AN276" s="3049"/>
      <c r="AO276" s="3049"/>
      <c r="AP276" s="3049"/>
      <c r="AQ276" s="3049"/>
      <c r="AR276" s="3049"/>
      <c r="AS276" s="3049"/>
      <c r="AT276" s="3049"/>
      <c r="AU276" s="3049"/>
      <c r="AV276" s="3049"/>
      <c r="AW276" s="3049"/>
      <c r="AX276" s="3049"/>
      <c r="AY276" s="3049"/>
      <c r="AZ276" s="3049"/>
      <c r="BA276" s="3049"/>
      <c r="BB276" s="3049"/>
      <c r="BC276" s="3049"/>
      <c r="BD276" s="3049"/>
      <c r="BE276" s="3049"/>
      <c r="BF276" s="3049"/>
      <c r="BG276" s="3049"/>
      <c r="BH276" s="3049"/>
      <c r="BI276" s="3049"/>
      <c r="BJ276" s="3049"/>
      <c r="BK276" s="3049"/>
      <c r="BL276" s="3049"/>
      <c r="BM276" s="3049"/>
      <c r="BN276" s="3049"/>
      <c r="BO276" s="3049"/>
      <c r="BP276" s="3049"/>
      <c r="BQ276" s="3049"/>
      <c r="BR276" s="3049"/>
      <c r="BS276" s="3049"/>
      <c r="BT276" s="3049"/>
      <c r="BU276" s="3049"/>
      <c r="BV276" s="3049"/>
      <c r="BW276" s="3049"/>
      <c r="BX276" s="3049"/>
      <c r="BY276" s="3049"/>
      <c r="BZ276" s="3049"/>
      <c r="CA276" s="3049"/>
      <c r="CB276" s="3049"/>
      <c r="CC276" s="3049"/>
      <c r="CD276" s="3049"/>
      <c r="CE276" s="3049"/>
      <c r="CF276" s="3049"/>
      <c r="CG276" s="3049"/>
      <c r="CH276" s="3049"/>
      <c r="CI276" s="3049"/>
      <c r="CJ276" s="3049"/>
      <c r="CK276" s="3049"/>
      <c r="CL276" s="3049"/>
      <c r="CM276" s="3049"/>
      <c r="CN276" s="3049"/>
    </row>
    <row r="277" spans="1:92" x14ac:dyDescent="0.2">
      <c r="A277" s="3049"/>
      <c r="B277" s="3049"/>
      <c r="C277" s="3049"/>
      <c r="D277" s="3049"/>
      <c r="E277" s="3049"/>
      <c r="F277" s="3049"/>
      <c r="G277" s="3049"/>
      <c r="H277" s="3049"/>
      <c r="I277" s="3049"/>
      <c r="J277" s="3049"/>
      <c r="K277" s="3049"/>
      <c r="L277" s="3049"/>
      <c r="M277" s="3049"/>
      <c r="N277" s="3049"/>
      <c r="O277" s="3049"/>
      <c r="P277" s="3049"/>
      <c r="Q277" s="3049"/>
      <c r="R277" s="3049"/>
      <c r="S277" s="3049"/>
      <c r="T277" s="3049"/>
      <c r="U277" s="3049"/>
      <c r="V277" s="3049"/>
      <c r="W277" s="3049"/>
      <c r="X277" s="3049"/>
      <c r="Y277" s="3049"/>
      <c r="Z277" s="3049"/>
      <c r="AA277" s="3049"/>
      <c r="AB277" s="3049"/>
      <c r="AC277" s="3049"/>
      <c r="AD277" s="3049"/>
      <c r="AE277" s="3049"/>
      <c r="AF277" s="3049"/>
      <c r="AG277" s="3049"/>
      <c r="AH277" s="3049"/>
      <c r="AI277" s="3049"/>
      <c r="AJ277" s="3049"/>
      <c r="AK277" s="3049"/>
      <c r="AL277" s="3049"/>
      <c r="AM277" s="3049"/>
      <c r="AN277" s="3049"/>
      <c r="AO277" s="3049"/>
      <c r="AP277" s="3049"/>
      <c r="AQ277" s="3049"/>
      <c r="AR277" s="3049"/>
      <c r="AS277" s="3049"/>
      <c r="AT277" s="3049"/>
      <c r="AU277" s="3049"/>
      <c r="AV277" s="3049"/>
      <c r="AW277" s="3049"/>
      <c r="AX277" s="3049"/>
      <c r="AY277" s="3049"/>
      <c r="AZ277" s="3049"/>
      <c r="BA277" s="3049"/>
      <c r="BB277" s="3049"/>
      <c r="BC277" s="3049"/>
      <c r="BD277" s="3049"/>
      <c r="BE277" s="3049"/>
      <c r="BF277" s="3049"/>
      <c r="BG277" s="3049"/>
      <c r="BH277" s="3049"/>
      <c r="BI277" s="3049"/>
      <c r="BJ277" s="3049"/>
      <c r="BK277" s="3049"/>
      <c r="BL277" s="3049"/>
      <c r="BM277" s="3049"/>
      <c r="BN277" s="3049"/>
      <c r="BO277" s="3049"/>
      <c r="BP277" s="3049"/>
      <c r="BQ277" s="3049"/>
      <c r="BR277" s="3049"/>
      <c r="BS277" s="3049"/>
      <c r="BT277" s="3049"/>
      <c r="BU277" s="3049"/>
      <c r="BV277" s="3049"/>
      <c r="BW277" s="3049"/>
      <c r="BX277" s="3049"/>
      <c r="BY277" s="3049"/>
      <c r="BZ277" s="3049"/>
      <c r="CA277" s="3049"/>
      <c r="CB277" s="3049"/>
      <c r="CC277" s="3049"/>
      <c r="CD277" s="3049"/>
      <c r="CE277" s="3049"/>
      <c r="CF277" s="3049"/>
      <c r="CG277" s="3049"/>
      <c r="CH277" s="3049"/>
      <c r="CI277" s="3049"/>
      <c r="CJ277" s="3049"/>
      <c r="CK277" s="3049"/>
      <c r="CL277" s="3049"/>
      <c r="CM277" s="3049"/>
      <c r="CN277" s="3049"/>
    </row>
    <row r="278" spans="1:92" x14ac:dyDescent="0.2">
      <c r="A278" s="3049"/>
      <c r="B278" s="3049"/>
      <c r="C278" s="3049"/>
      <c r="D278" s="3049"/>
      <c r="E278" s="3049"/>
      <c r="F278" s="3049"/>
      <c r="G278" s="3049"/>
      <c r="H278" s="3049"/>
      <c r="I278" s="3049"/>
      <c r="J278" s="3049"/>
      <c r="K278" s="3049"/>
      <c r="L278" s="3049"/>
      <c r="M278" s="3049"/>
      <c r="N278" s="3049"/>
      <c r="O278" s="3049"/>
      <c r="P278" s="3049"/>
      <c r="Q278" s="3049"/>
      <c r="R278" s="3049"/>
      <c r="S278" s="3049"/>
      <c r="T278" s="3049"/>
      <c r="U278" s="3049"/>
      <c r="V278" s="3049"/>
      <c r="W278" s="3049"/>
      <c r="X278" s="3049"/>
      <c r="Y278" s="3049"/>
      <c r="Z278" s="3049"/>
      <c r="AA278" s="3049"/>
      <c r="AB278" s="3049"/>
      <c r="AC278" s="3049"/>
      <c r="AD278" s="3049"/>
      <c r="AE278" s="3049"/>
      <c r="AF278" s="3049"/>
      <c r="AG278" s="3049"/>
      <c r="AH278" s="3049"/>
      <c r="AI278" s="3049"/>
      <c r="AJ278" s="3049"/>
      <c r="AK278" s="3049"/>
      <c r="AL278" s="3049"/>
      <c r="AM278" s="3049"/>
      <c r="AN278" s="3049"/>
      <c r="AO278" s="3049"/>
      <c r="AP278" s="3049"/>
      <c r="AQ278" s="3049"/>
      <c r="AR278" s="3049"/>
      <c r="AS278" s="3049"/>
      <c r="AT278" s="3049"/>
      <c r="AU278" s="3049"/>
      <c r="AV278" s="3049"/>
      <c r="AW278" s="3049"/>
      <c r="AX278" s="3049"/>
      <c r="AY278" s="3049"/>
      <c r="AZ278" s="3049"/>
      <c r="BA278" s="3049"/>
      <c r="BB278" s="3049"/>
      <c r="BC278" s="3049"/>
      <c r="BD278" s="3049"/>
      <c r="BE278" s="3049"/>
      <c r="BF278" s="3049"/>
      <c r="BG278" s="3049"/>
      <c r="BH278" s="3049"/>
      <c r="BI278" s="3049"/>
      <c r="BJ278" s="3049"/>
      <c r="BK278" s="3049"/>
      <c r="BL278" s="3049"/>
      <c r="BM278" s="3049"/>
      <c r="BN278" s="3049"/>
      <c r="BO278" s="3049"/>
      <c r="BP278" s="3049"/>
      <c r="BQ278" s="3049"/>
      <c r="BR278" s="3049"/>
      <c r="BS278" s="3049"/>
      <c r="BT278" s="3049"/>
      <c r="BU278" s="3049"/>
      <c r="BV278" s="3049"/>
      <c r="BW278" s="3049"/>
      <c r="BX278" s="3049"/>
      <c r="BY278" s="3049"/>
      <c r="BZ278" s="3049"/>
      <c r="CA278" s="3049"/>
      <c r="CB278" s="3049"/>
      <c r="CC278" s="3049"/>
      <c r="CD278" s="3049"/>
      <c r="CE278" s="3049"/>
      <c r="CF278" s="3049"/>
      <c r="CG278" s="3049"/>
      <c r="CH278" s="3049"/>
      <c r="CI278" s="3049"/>
      <c r="CJ278" s="3049"/>
      <c r="CK278" s="3049"/>
      <c r="CL278" s="3049"/>
      <c r="CM278" s="3049"/>
      <c r="CN278" s="3049"/>
    </row>
    <row r="279" spans="1:92" x14ac:dyDescent="0.2">
      <c r="A279" s="3049"/>
      <c r="B279" s="3049"/>
      <c r="C279" s="3049"/>
      <c r="D279" s="3049"/>
      <c r="E279" s="3049"/>
      <c r="F279" s="3049"/>
      <c r="G279" s="3049"/>
      <c r="H279" s="3049"/>
      <c r="I279" s="3049"/>
      <c r="J279" s="3049"/>
      <c r="K279" s="3049"/>
      <c r="L279" s="3049"/>
      <c r="M279" s="3049"/>
      <c r="N279" s="3049"/>
      <c r="O279" s="3049"/>
      <c r="P279" s="3049"/>
      <c r="Q279" s="3049"/>
      <c r="R279" s="3049"/>
      <c r="S279" s="3049"/>
      <c r="T279" s="3049"/>
      <c r="U279" s="3049"/>
      <c r="V279" s="3049"/>
      <c r="W279" s="3049"/>
      <c r="X279" s="3049"/>
      <c r="Y279" s="3049"/>
      <c r="Z279" s="3049"/>
      <c r="AA279" s="3049"/>
      <c r="AB279" s="3049"/>
      <c r="AC279" s="3049"/>
      <c r="AD279" s="3049"/>
      <c r="AE279" s="3049"/>
      <c r="AF279" s="3049"/>
      <c r="AG279" s="3049"/>
      <c r="AH279" s="3049"/>
      <c r="AI279" s="3049"/>
      <c r="AJ279" s="3049"/>
      <c r="AK279" s="3049"/>
      <c r="AL279" s="3049"/>
      <c r="AM279" s="3049"/>
      <c r="AN279" s="3049"/>
      <c r="AO279" s="3049"/>
      <c r="AP279" s="3049"/>
      <c r="AQ279" s="3049"/>
      <c r="AR279" s="3049"/>
      <c r="AS279" s="3049"/>
      <c r="AT279" s="3049"/>
      <c r="AU279" s="3049"/>
      <c r="AV279" s="3049"/>
      <c r="AW279" s="3049"/>
      <c r="AX279" s="3049"/>
      <c r="AY279" s="3049"/>
      <c r="AZ279" s="3049"/>
      <c r="BA279" s="3049"/>
      <c r="BB279" s="3049"/>
      <c r="BC279" s="3049"/>
      <c r="BD279" s="3049"/>
      <c r="BE279" s="3049"/>
      <c r="BF279" s="3049"/>
      <c r="BG279" s="3049"/>
      <c r="BH279" s="3049"/>
      <c r="BI279" s="3049"/>
      <c r="BJ279" s="3049"/>
      <c r="BK279" s="3049"/>
      <c r="BL279" s="3049"/>
      <c r="BM279" s="3049"/>
      <c r="BN279" s="3049"/>
      <c r="BO279" s="3049"/>
      <c r="BP279" s="3049"/>
      <c r="BQ279" s="3049"/>
      <c r="BR279" s="3049"/>
      <c r="BS279" s="3049"/>
      <c r="BT279" s="3049"/>
      <c r="BU279" s="3049"/>
      <c r="BV279" s="3049"/>
      <c r="BW279" s="3049"/>
      <c r="BX279" s="3049"/>
      <c r="BY279" s="3049"/>
      <c r="BZ279" s="3049"/>
      <c r="CA279" s="3049"/>
      <c r="CB279" s="3049"/>
      <c r="CC279" s="3049"/>
      <c r="CD279" s="3049"/>
      <c r="CE279" s="3049"/>
      <c r="CF279" s="3049"/>
      <c r="CG279" s="3049"/>
      <c r="CH279" s="3049"/>
      <c r="CI279" s="3049"/>
      <c r="CJ279" s="3049"/>
      <c r="CK279" s="3049"/>
      <c r="CL279" s="3049"/>
      <c r="CM279" s="3049"/>
      <c r="CN279" s="3049"/>
    </row>
    <row r="280" spans="1:92" x14ac:dyDescent="0.2">
      <c r="A280" s="3049"/>
      <c r="B280" s="3049"/>
      <c r="C280" s="3049"/>
      <c r="D280" s="3049"/>
      <c r="E280" s="3049"/>
      <c r="F280" s="3049"/>
      <c r="G280" s="3049"/>
      <c r="H280" s="3049"/>
      <c r="I280" s="3049"/>
      <c r="J280" s="3049"/>
      <c r="K280" s="3049"/>
      <c r="L280" s="3049"/>
      <c r="M280" s="3049"/>
      <c r="N280" s="3049"/>
      <c r="O280" s="3049"/>
      <c r="P280" s="3049"/>
      <c r="Q280" s="3049"/>
      <c r="R280" s="3049"/>
      <c r="S280" s="3049"/>
      <c r="T280" s="3049"/>
      <c r="U280" s="3049"/>
      <c r="V280" s="3049"/>
      <c r="W280" s="3049"/>
      <c r="X280" s="3049"/>
      <c r="Y280" s="3049"/>
      <c r="Z280" s="3049"/>
      <c r="AA280" s="3049"/>
      <c r="AB280" s="3049"/>
      <c r="AC280" s="3049"/>
      <c r="AD280" s="3049"/>
      <c r="AE280" s="3049"/>
      <c r="AF280" s="3049"/>
      <c r="AG280" s="3049"/>
      <c r="AH280" s="3049"/>
      <c r="AI280" s="3049"/>
      <c r="AJ280" s="3049"/>
      <c r="AK280" s="3049"/>
      <c r="AL280" s="3049"/>
      <c r="AM280" s="3049"/>
      <c r="AN280" s="3049"/>
      <c r="AO280" s="3049"/>
      <c r="AP280" s="3049"/>
      <c r="AQ280" s="3049"/>
      <c r="AR280" s="3049"/>
      <c r="AS280" s="3049"/>
      <c r="AT280" s="3049"/>
      <c r="AU280" s="3049"/>
      <c r="AV280" s="3049"/>
      <c r="AW280" s="3049"/>
      <c r="AX280" s="3049"/>
      <c r="AY280" s="3049"/>
      <c r="AZ280" s="3049"/>
      <c r="BA280" s="3049"/>
      <c r="BB280" s="3049"/>
      <c r="BC280" s="3049"/>
      <c r="BD280" s="3049"/>
      <c r="BE280" s="3049"/>
      <c r="BF280" s="3049"/>
      <c r="BG280" s="3049"/>
      <c r="BH280" s="3049"/>
      <c r="BI280" s="3049"/>
      <c r="BJ280" s="3049"/>
      <c r="BK280" s="3049"/>
      <c r="BL280" s="3049"/>
      <c r="BM280" s="3049"/>
      <c r="BN280" s="3049"/>
      <c r="BO280" s="3049"/>
      <c r="BP280" s="3049"/>
      <c r="BQ280" s="3049"/>
      <c r="BR280" s="3049"/>
      <c r="BS280" s="3049"/>
      <c r="BT280" s="3049"/>
      <c r="BU280" s="3049"/>
      <c r="BV280" s="3049"/>
      <c r="BW280" s="3049"/>
      <c r="BX280" s="3049"/>
      <c r="BY280" s="3049"/>
      <c r="BZ280" s="3049"/>
      <c r="CA280" s="3049"/>
      <c r="CB280" s="3049"/>
      <c r="CC280" s="3049"/>
      <c r="CD280" s="3049"/>
      <c r="CE280" s="3049"/>
      <c r="CF280" s="3049"/>
      <c r="CG280" s="3049"/>
      <c r="CH280" s="3049"/>
      <c r="CI280" s="3049"/>
      <c r="CJ280" s="3049"/>
      <c r="CK280" s="3049"/>
      <c r="CL280" s="3049"/>
      <c r="CM280" s="3049"/>
      <c r="CN280" s="3049"/>
    </row>
    <row r="281" spans="1:92" x14ac:dyDescent="0.2">
      <c r="A281" s="3049"/>
      <c r="B281" s="3049"/>
      <c r="C281" s="3049"/>
      <c r="D281" s="3049"/>
      <c r="E281" s="3049"/>
      <c r="F281" s="3049"/>
      <c r="G281" s="3049"/>
      <c r="H281" s="3049"/>
      <c r="I281" s="3049"/>
      <c r="J281" s="3049"/>
      <c r="K281" s="3049"/>
      <c r="L281" s="3049"/>
      <c r="M281" s="3049"/>
      <c r="N281" s="3049"/>
      <c r="O281" s="3049"/>
      <c r="P281" s="3049"/>
      <c r="Q281" s="3049"/>
      <c r="R281" s="3049"/>
      <c r="S281" s="3049"/>
      <c r="T281" s="3049"/>
      <c r="U281" s="3049"/>
      <c r="V281" s="3049"/>
      <c r="W281" s="3049"/>
      <c r="X281" s="3049"/>
      <c r="Y281" s="3049"/>
      <c r="Z281" s="3049"/>
      <c r="AA281" s="3049"/>
      <c r="AB281" s="3049"/>
      <c r="AC281" s="3049"/>
      <c r="AD281" s="3049"/>
      <c r="AE281" s="3049"/>
      <c r="AF281" s="3049"/>
      <c r="AG281" s="3049"/>
      <c r="AH281" s="3049"/>
      <c r="AI281" s="3049"/>
      <c r="AJ281" s="3049"/>
      <c r="AK281" s="3049"/>
      <c r="AL281" s="3049"/>
      <c r="AM281" s="3049"/>
      <c r="AN281" s="3049"/>
      <c r="AO281" s="3049"/>
      <c r="AP281" s="3049"/>
      <c r="AQ281" s="3049"/>
      <c r="AR281" s="3049"/>
      <c r="AS281" s="3049"/>
      <c r="AT281" s="3049"/>
      <c r="AU281" s="3049"/>
      <c r="AV281" s="3049"/>
      <c r="AW281" s="3049"/>
      <c r="AX281" s="3049"/>
      <c r="AY281" s="3049"/>
      <c r="AZ281" s="3049"/>
      <c r="BA281" s="3049"/>
      <c r="BB281" s="3049"/>
      <c r="BC281" s="3049"/>
      <c r="BD281" s="3049"/>
      <c r="BE281" s="3049"/>
      <c r="BF281" s="3049"/>
      <c r="BG281" s="3049"/>
      <c r="BH281" s="3049"/>
      <c r="BI281" s="3049"/>
      <c r="BJ281" s="3049"/>
      <c r="BK281" s="3049"/>
      <c r="BL281" s="3049"/>
      <c r="BM281" s="3049"/>
      <c r="BN281" s="3049"/>
      <c r="BO281" s="3049"/>
      <c r="BP281" s="3049"/>
      <c r="BQ281" s="3049"/>
      <c r="BR281" s="3049"/>
      <c r="BS281" s="3049"/>
      <c r="BT281" s="3049"/>
      <c r="BU281" s="3049"/>
      <c r="BV281" s="3049"/>
      <c r="BW281" s="3049"/>
      <c r="BX281" s="3049"/>
      <c r="BY281" s="3049"/>
      <c r="BZ281" s="3049"/>
      <c r="CA281" s="3049"/>
      <c r="CB281" s="3049"/>
      <c r="CC281" s="3049"/>
      <c r="CD281" s="3049"/>
      <c r="CE281" s="3049"/>
      <c r="CF281" s="3049"/>
      <c r="CG281" s="3049"/>
      <c r="CH281" s="3049"/>
      <c r="CI281" s="3049"/>
      <c r="CJ281" s="3049"/>
      <c r="CK281" s="3049"/>
      <c r="CL281" s="3049"/>
      <c r="CM281" s="3049"/>
      <c r="CN281" s="3049"/>
    </row>
    <row r="282" spans="1:92" x14ac:dyDescent="0.2">
      <c r="A282" s="3049"/>
      <c r="B282" s="3049"/>
      <c r="C282" s="3049"/>
      <c r="D282" s="3049"/>
      <c r="E282" s="3049"/>
      <c r="F282" s="3049"/>
      <c r="G282" s="3049"/>
      <c r="H282" s="3049"/>
      <c r="I282" s="3049"/>
      <c r="J282" s="3049"/>
      <c r="K282" s="3049"/>
      <c r="L282" s="3049"/>
      <c r="M282" s="3049"/>
      <c r="N282" s="3049"/>
      <c r="O282" s="3049"/>
      <c r="P282" s="3049"/>
      <c r="Q282" s="3049"/>
      <c r="R282" s="3049"/>
      <c r="S282" s="3049"/>
      <c r="T282" s="3049"/>
      <c r="U282" s="3049"/>
      <c r="V282" s="3049"/>
      <c r="W282" s="3049"/>
      <c r="X282" s="3049"/>
      <c r="Y282" s="3049"/>
      <c r="Z282" s="3049"/>
      <c r="AA282" s="3049"/>
      <c r="AB282" s="3049"/>
      <c r="AC282" s="3049"/>
      <c r="AD282" s="3049"/>
      <c r="AE282" s="3049"/>
      <c r="AF282" s="3049"/>
      <c r="AG282" s="3049"/>
      <c r="AH282" s="3049"/>
      <c r="AI282" s="3049"/>
      <c r="AJ282" s="3049"/>
      <c r="AK282" s="3049"/>
      <c r="AL282" s="3049"/>
      <c r="AM282" s="3049"/>
      <c r="AN282" s="3049"/>
      <c r="AO282" s="3049"/>
      <c r="AP282" s="3049"/>
      <c r="AQ282" s="3049"/>
      <c r="AR282" s="3049"/>
      <c r="AS282" s="3049"/>
      <c r="AT282" s="3049"/>
      <c r="AU282" s="3049"/>
      <c r="AV282" s="3049"/>
      <c r="AW282" s="3049"/>
      <c r="AX282" s="3049"/>
      <c r="AY282" s="3049"/>
      <c r="AZ282" s="3049"/>
      <c r="BA282" s="3049"/>
      <c r="BB282" s="3049"/>
      <c r="BC282" s="3049"/>
      <c r="BD282" s="3049"/>
      <c r="BE282" s="3049"/>
      <c r="BF282" s="3049"/>
      <c r="BG282" s="3049"/>
      <c r="BH282" s="3049"/>
      <c r="BI282" s="3049"/>
      <c r="BJ282" s="3049"/>
      <c r="BK282" s="3049"/>
      <c r="BL282" s="3049"/>
      <c r="BM282" s="3049"/>
      <c r="BN282" s="3049"/>
      <c r="BO282" s="3049"/>
      <c r="BP282" s="3049"/>
      <c r="BQ282" s="3049"/>
      <c r="BR282" s="3049"/>
      <c r="BS282" s="3049"/>
      <c r="BT282" s="3049"/>
      <c r="BU282" s="3049"/>
      <c r="BV282" s="3049"/>
      <c r="BW282" s="3049"/>
      <c r="BX282" s="3049"/>
      <c r="BY282" s="3049"/>
      <c r="BZ282" s="3049"/>
      <c r="CA282" s="3049"/>
      <c r="CB282" s="3049"/>
      <c r="CC282" s="3049"/>
      <c r="CD282" s="3049"/>
      <c r="CE282" s="3049"/>
      <c r="CF282" s="3049"/>
      <c r="CG282" s="3049"/>
      <c r="CH282" s="3049"/>
      <c r="CI282" s="3049"/>
      <c r="CJ282" s="3049"/>
      <c r="CK282" s="3049"/>
      <c r="CL282" s="3049"/>
      <c r="CM282" s="3049"/>
      <c r="CN282" s="3049"/>
    </row>
    <row r="283" spans="1:92" x14ac:dyDescent="0.2">
      <c r="A283" s="3049"/>
      <c r="B283" s="3049"/>
      <c r="C283" s="3049"/>
      <c r="D283" s="3049"/>
      <c r="E283" s="3049"/>
      <c r="F283" s="3049"/>
      <c r="G283" s="3049"/>
      <c r="H283" s="3049"/>
      <c r="I283" s="3049"/>
      <c r="J283" s="3049"/>
      <c r="K283" s="3049"/>
      <c r="L283" s="3049"/>
      <c r="M283" s="3049"/>
      <c r="N283" s="3049"/>
      <c r="O283" s="3049"/>
      <c r="P283" s="3049"/>
      <c r="Q283" s="3049"/>
      <c r="R283" s="3049"/>
      <c r="S283" s="3049"/>
      <c r="T283" s="3049"/>
      <c r="U283" s="3049"/>
      <c r="V283" s="3049"/>
      <c r="W283" s="3049"/>
      <c r="X283" s="3049"/>
      <c r="Y283" s="3049"/>
      <c r="Z283" s="3049"/>
      <c r="AA283" s="3049"/>
      <c r="AB283" s="3049"/>
      <c r="AC283" s="3049"/>
      <c r="AD283" s="3049"/>
      <c r="AE283" s="3049"/>
      <c r="AF283" s="3049"/>
      <c r="AG283" s="3049"/>
      <c r="AH283" s="3049"/>
      <c r="AI283" s="3049"/>
      <c r="AJ283" s="3049"/>
      <c r="AK283" s="3049"/>
      <c r="AL283" s="3049"/>
      <c r="AM283" s="3049"/>
      <c r="AN283" s="3049"/>
      <c r="AO283" s="3049"/>
      <c r="AP283" s="3049"/>
      <c r="AQ283" s="3049"/>
      <c r="AR283" s="3049"/>
      <c r="AS283" s="3049"/>
      <c r="AT283" s="3049"/>
      <c r="AU283" s="3049"/>
      <c r="AV283" s="3049"/>
      <c r="AW283" s="3049"/>
      <c r="AX283" s="3049"/>
      <c r="AY283" s="3049"/>
      <c r="AZ283" s="3049"/>
      <c r="BA283" s="3049"/>
      <c r="BB283" s="3049"/>
      <c r="BC283" s="3049"/>
      <c r="BD283" s="3049"/>
      <c r="BE283" s="3049"/>
      <c r="BF283" s="3049"/>
      <c r="BG283" s="3049"/>
      <c r="BH283" s="3049"/>
      <c r="BI283" s="3049"/>
      <c r="BJ283" s="3049"/>
      <c r="BK283" s="3049"/>
      <c r="BL283" s="3049"/>
      <c r="BM283" s="3049"/>
      <c r="BN283" s="3049"/>
      <c r="BO283" s="3049"/>
      <c r="BP283" s="3049"/>
      <c r="BQ283" s="3049"/>
      <c r="BR283" s="3049"/>
      <c r="BS283" s="3049"/>
      <c r="BT283" s="3049"/>
      <c r="BU283" s="3049"/>
      <c r="BV283" s="3049"/>
      <c r="BW283" s="3049"/>
      <c r="BX283" s="3049"/>
      <c r="BY283" s="3049"/>
      <c r="BZ283" s="3049"/>
      <c r="CA283" s="3049"/>
      <c r="CB283" s="3049"/>
      <c r="CC283" s="3049"/>
      <c r="CD283" s="3049"/>
      <c r="CE283" s="3049"/>
      <c r="CF283" s="3049"/>
      <c r="CG283" s="3049"/>
      <c r="CH283" s="3049"/>
      <c r="CI283" s="3049"/>
      <c r="CJ283" s="3049"/>
      <c r="CK283" s="3049"/>
      <c r="CL283" s="3049"/>
      <c r="CM283" s="3049"/>
      <c r="CN283" s="3049"/>
    </row>
    <row r="284" spans="1:92" x14ac:dyDescent="0.2">
      <c r="A284" s="3049"/>
      <c r="B284" s="3049"/>
      <c r="C284" s="3049"/>
      <c r="D284" s="3049"/>
      <c r="E284" s="3049"/>
      <c r="F284" s="3049"/>
      <c r="G284" s="3049"/>
      <c r="H284" s="3049"/>
      <c r="I284" s="3049"/>
      <c r="J284" s="3049"/>
      <c r="K284" s="3049"/>
      <c r="L284" s="3049"/>
      <c r="M284" s="3049"/>
      <c r="N284" s="3049"/>
      <c r="O284" s="3049"/>
      <c r="P284" s="3049"/>
      <c r="Q284" s="3049"/>
      <c r="R284" s="3049"/>
      <c r="S284" s="3049"/>
      <c r="T284" s="3049"/>
      <c r="U284" s="3049"/>
      <c r="V284" s="3049"/>
      <c r="W284" s="3049"/>
      <c r="X284" s="3049"/>
      <c r="Y284" s="3049"/>
      <c r="Z284" s="3049"/>
      <c r="AA284" s="3049"/>
      <c r="AB284" s="3049"/>
      <c r="AC284" s="3049"/>
      <c r="AD284" s="3049"/>
      <c r="AE284" s="3049"/>
      <c r="AF284" s="3049"/>
      <c r="AG284" s="3049"/>
      <c r="AH284" s="3049"/>
      <c r="AI284" s="3049"/>
      <c r="AJ284" s="3049"/>
      <c r="AK284" s="3049"/>
      <c r="AL284" s="3049"/>
      <c r="AM284" s="3049"/>
      <c r="AN284" s="3049"/>
      <c r="AO284" s="3049"/>
      <c r="AP284" s="3049"/>
      <c r="AQ284" s="3049"/>
      <c r="AR284" s="3049"/>
      <c r="AS284" s="3049"/>
      <c r="AT284" s="3049"/>
      <c r="AU284" s="3049"/>
      <c r="AV284" s="3049"/>
      <c r="AW284" s="3049"/>
      <c r="AX284" s="3049"/>
      <c r="AY284" s="3049"/>
      <c r="AZ284" s="3049"/>
      <c r="BA284" s="3049"/>
      <c r="BB284" s="3049"/>
      <c r="BC284" s="3049"/>
      <c r="BD284" s="3049"/>
      <c r="BE284" s="3049"/>
      <c r="BF284" s="3049"/>
      <c r="BG284" s="3049"/>
      <c r="BH284" s="3049"/>
      <c r="BI284" s="3049"/>
      <c r="BJ284" s="3049"/>
      <c r="BK284" s="3049"/>
      <c r="BL284" s="3049"/>
      <c r="BM284" s="3049"/>
      <c r="BN284" s="3049"/>
      <c r="BO284" s="3049"/>
      <c r="BP284" s="3049"/>
      <c r="BQ284" s="3049"/>
      <c r="BR284" s="3049"/>
      <c r="BS284" s="3049"/>
      <c r="BT284" s="3049"/>
      <c r="BU284" s="3049"/>
      <c r="BV284" s="3049"/>
      <c r="BW284" s="3049"/>
      <c r="BX284" s="3049"/>
      <c r="BY284" s="3049"/>
      <c r="BZ284" s="3049"/>
      <c r="CA284" s="3049"/>
      <c r="CB284" s="3049"/>
      <c r="CC284" s="3049"/>
      <c r="CD284" s="3049"/>
      <c r="CE284" s="3049"/>
      <c r="CF284" s="3049"/>
      <c r="CG284" s="3049"/>
      <c r="CH284" s="3049"/>
      <c r="CI284" s="3049"/>
      <c r="CJ284" s="3049"/>
      <c r="CK284" s="3049"/>
      <c r="CL284" s="3049"/>
      <c r="CM284" s="3049"/>
      <c r="CN284" s="3049"/>
    </row>
    <row r="285" spans="1:92" x14ac:dyDescent="0.2">
      <c r="A285" s="3049"/>
      <c r="B285" s="3049"/>
      <c r="C285" s="3049"/>
      <c r="D285" s="3049"/>
      <c r="E285" s="3049"/>
      <c r="F285" s="3049"/>
      <c r="G285" s="3049"/>
      <c r="H285" s="3049"/>
      <c r="I285" s="3049"/>
      <c r="J285" s="3049"/>
      <c r="K285" s="3049"/>
      <c r="L285" s="3049"/>
      <c r="M285" s="3049"/>
      <c r="N285" s="3049"/>
      <c r="O285" s="3049"/>
      <c r="P285" s="3049"/>
      <c r="Q285" s="3049"/>
      <c r="R285" s="3049"/>
      <c r="S285" s="3049"/>
      <c r="T285" s="3049"/>
      <c r="U285" s="3049"/>
      <c r="V285" s="3049"/>
      <c r="W285" s="3049"/>
      <c r="X285" s="3049"/>
      <c r="Y285" s="3049"/>
      <c r="Z285" s="3049"/>
      <c r="AA285" s="3049"/>
      <c r="AB285" s="3049"/>
      <c r="AC285" s="3049"/>
      <c r="AD285" s="3049"/>
      <c r="AE285" s="3049"/>
      <c r="AF285" s="3049"/>
      <c r="AG285" s="3049"/>
      <c r="AH285" s="3049"/>
      <c r="AI285" s="3049"/>
      <c r="AJ285" s="3049"/>
      <c r="AK285" s="3049"/>
      <c r="AL285" s="3049"/>
      <c r="AM285" s="3049"/>
      <c r="AN285" s="3049"/>
      <c r="AO285" s="3049"/>
      <c r="AP285" s="3049"/>
      <c r="AQ285" s="3049"/>
      <c r="AR285" s="3049"/>
      <c r="AS285" s="3049"/>
      <c r="AT285" s="3049"/>
      <c r="AU285" s="3049"/>
      <c r="AV285" s="3049"/>
      <c r="AW285" s="3049"/>
      <c r="AX285" s="3049"/>
      <c r="AY285" s="3049"/>
      <c r="AZ285" s="3049"/>
      <c r="BA285" s="3049"/>
      <c r="BB285" s="3049"/>
      <c r="BC285" s="3049"/>
      <c r="BD285" s="3049"/>
      <c r="BE285" s="3049"/>
      <c r="BF285" s="3049"/>
      <c r="BG285" s="3049"/>
      <c r="BH285" s="3049"/>
      <c r="BI285" s="3049"/>
      <c r="BJ285" s="3049"/>
      <c r="BK285" s="3049"/>
      <c r="BL285" s="3049"/>
      <c r="BM285" s="3049"/>
      <c r="BN285" s="3049"/>
      <c r="BO285" s="3049"/>
      <c r="BP285" s="3049"/>
      <c r="BQ285" s="3049"/>
      <c r="BR285" s="3049"/>
      <c r="BS285" s="3049"/>
      <c r="BT285" s="3049"/>
      <c r="BU285" s="3049"/>
      <c r="BV285" s="3049"/>
      <c r="BW285" s="3049"/>
      <c r="BX285" s="3049"/>
      <c r="BY285" s="3049"/>
      <c r="BZ285" s="3049"/>
      <c r="CA285" s="3049"/>
      <c r="CB285" s="3049"/>
      <c r="CC285" s="3049"/>
      <c r="CD285" s="3049"/>
      <c r="CE285" s="3049"/>
      <c r="CF285" s="3049"/>
      <c r="CG285" s="3049"/>
      <c r="CH285" s="3049"/>
      <c r="CI285" s="3049"/>
      <c r="CJ285" s="3049"/>
      <c r="CK285" s="3049"/>
      <c r="CL285" s="3049"/>
      <c r="CM285" s="3049"/>
      <c r="CN285" s="3049"/>
    </row>
    <row r="286" spans="1:92" x14ac:dyDescent="0.2">
      <c r="A286" s="3049"/>
      <c r="B286" s="3049"/>
      <c r="C286" s="3049"/>
      <c r="D286" s="3049"/>
      <c r="E286" s="3049"/>
      <c r="F286" s="3049"/>
      <c r="G286" s="3049"/>
      <c r="H286" s="3049"/>
      <c r="I286" s="3049"/>
      <c r="J286" s="3049"/>
      <c r="K286" s="3049"/>
      <c r="L286" s="3049"/>
      <c r="M286" s="3049"/>
      <c r="N286" s="3049"/>
      <c r="O286" s="3049"/>
      <c r="P286" s="3049"/>
      <c r="Q286" s="3049"/>
      <c r="R286" s="3049"/>
      <c r="S286" s="3049"/>
      <c r="T286" s="3049"/>
      <c r="U286" s="3049"/>
      <c r="V286" s="3049"/>
      <c r="W286" s="3049"/>
      <c r="X286" s="3049"/>
      <c r="Y286" s="3049"/>
      <c r="Z286" s="3049"/>
      <c r="AA286" s="3049"/>
      <c r="AB286" s="3049"/>
      <c r="AC286" s="3049"/>
      <c r="AD286" s="3049"/>
      <c r="AE286" s="3049"/>
      <c r="AF286" s="3049"/>
      <c r="AG286" s="3049"/>
      <c r="AH286" s="3049"/>
      <c r="AI286" s="3049"/>
      <c r="AJ286" s="3049"/>
      <c r="AK286" s="3049"/>
      <c r="AL286" s="3049"/>
      <c r="AM286" s="3049"/>
      <c r="AN286" s="3049"/>
      <c r="AO286" s="3049"/>
      <c r="AP286" s="3049"/>
      <c r="AQ286" s="3049"/>
      <c r="AR286" s="3049"/>
      <c r="AS286" s="3049"/>
      <c r="AT286" s="3049"/>
      <c r="AU286" s="3049"/>
      <c r="AV286" s="3049"/>
      <c r="AW286" s="3049"/>
      <c r="AX286" s="3049"/>
      <c r="AY286" s="3049"/>
      <c r="AZ286" s="3049"/>
      <c r="BA286" s="3049"/>
      <c r="BB286" s="3049"/>
      <c r="BC286" s="3049"/>
      <c r="BD286" s="3049"/>
      <c r="BE286" s="3049"/>
      <c r="BF286" s="3049"/>
      <c r="BG286" s="3049"/>
      <c r="BH286" s="3049"/>
      <c r="BI286" s="3049"/>
      <c r="BJ286" s="3049"/>
      <c r="BK286" s="3049"/>
      <c r="BL286" s="3049"/>
      <c r="BM286" s="3049"/>
      <c r="BN286" s="3049"/>
      <c r="BO286" s="3049"/>
      <c r="BP286" s="3049"/>
      <c r="BQ286" s="3049"/>
      <c r="BR286" s="3049"/>
      <c r="BS286" s="3049"/>
      <c r="BT286" s="3049"/>
      <c r="BU286" s="3049"/>
      <c r="BV286" s="3049"/>
      <c r="BW286" s="3049"/>
      <c r="BX286" s="3049"/>
      <c r="BY286" s="3049"/>
      <c r="BZ286" s="3049"/>
      <c r="CA286" s="3049"/>
      <c r="CB286" s="3049"/>
      <c r="CC286" s="3049"/>
      <c r="CD286" s="3049"/>
      <c r="CE286" s="3049"/>
      <c r="CF286" s="3049"/>
      <c r="CG286" s="3049"/>
      <c r="CH286" s="3049"/>
      <c r="CI286" s="3049"/>
      <c r="CJ286" s="3049"/>
      <c r="CK286" s="3049"/>
      <c r="CL286" s="3049"/>
      <c r="CM286" s="3049"/>
      <c r="CN286" s="3049"/>
    </row>
    <row r="287" spans="1:92" x14ac:dyDescent="0.2">
      <c r="A287" s="3049"/>
      <c r="B287" s="3049"/>
      <c r="C287" s="3049"/>
      <c r="D287" s="3049"/>
      <c r="E287" s="3049"/>
      <c r="F287" s="3049"/>
      <c r="G287" s="3049"/>
      <c r="H287" s="3049"/>
      <c r="I287" s="3049"/>
      <c r="J287" s="3049"/>
      <c r="K287" s="3049"/>
      <c r="L287" s="3049"/>
      <c r="M287" s="3049"/>
      <c r="N287" s="3049"/>
      <c r="O287" s="3049"/>
      <c r="P287" s="3049"/>
      <c r="Q287" s="3049"/>
      <c r="R287" s="3049"/>
      <c r="S287" s="3049"/>
      <c r="T287" s="3049"/>
      <c r="U287" s="3049"/>
      <c r="V287" s="3049"/>
      <c r="W287" s="3049"/>
      <c r="X287" s="3049"/>
      <c r="Y287" s="3049"/>
      <c r="Z287" s="3049"/>
      <c r="AA287" s="3049"/>
      <c r="AB287" s="3049"/>
      <c r="AC287" s="3049"/>
      <c r="AD287" s="3049"/>
      <c r="AE287" s="3049"/>
      <c r="AF287" s="3049"/>
      <c r="AG287" s="3049"/>
      <c r="AH287" s="3049"/>
      <c r="AI287" s="3049"/>
      <c r="AJ287" s="3049"/>
      <c r="AK287" s="3049"/>
      <c r="AL287" s="3049"/>
      <c r="AM287" s="3049"/>
      <c r="AN287" s="3049"/>
      <c r="AO287" s="3049"/>
      <c r="AP287" s="3049"/>
      <c r="AQ287" s="3049"/>
      <c r="AR287" s="3049"/>
      <c r="AS287" s="3049"/>
      <c r="AT287" s="3049"/>
      <c r="AU287" s="3049"/>
      <c r="AV287" s="3049"/>
      <c r="AW287" s="3049"/>
      <c r="AX287" s="3049"/>
      <c r="AY287" s="3049"/>
      <c r="AZ287" s="3049"/>
      <c r="BA287" s="3049"/>
      <c r="BB287" s="3049"/>
      <c r="BC287" s="3049"/>
      <c r="BD287" s="3049"/>
      <c r="BE287" s="3049"/>
      <c r="BF287" s="3049"/>
      <c r="BG287" s="3049"/>
      <c r="BH287" s="3049"/>
      <c r="BI287" s="3049"/>
      <c r="BJ287" s="3049"/>
      <c r="BK287" s="3049"/>
      <c r="BL287" s="3049"/>
      <c r="BM287" s="3049"/>
      <c r="BN287" s="3049"/>
      <c r="BO287" s="3049"/>
      <c r="BP287" s="3049"/>
      <c r="BQ287" s="3049"/>
      <c r="BR287" s="3049"/>
      <c r="BS287" s="3049"/>
      <c r="BT287" s="3049"/>
      <c r="BU287" s="3049"/>
      <c r="BV287" s="3049"/>
      <c r="BW287" s="3049"/>
      <c r="BX287" s="3049"/>
      <c r="BY287" s="3049"/>
      <c r="BZ287" s="3049"/>
      <c r="CA287" s="3049"/>
      <c r="CB287" s="3049"/>
      <c r="CC287" s="3049"/>
      <c r="CD287" s="3049"/>
      <c r="CE287" s="3049"/>
      <c r="CF287" s="3049"/>
      <c r="CG287" s="3049"/>
      <c r="CH287" s="3049"/>
      <c r="CI287" s="3049"/>
      <c r="CJ287" s="3049"/>
      <c r="CK287" s="3049"/>
      <c r="CL287" s="3049"/>
      <c r="CM287" s="3049"/>
      <c r="CN287" s="3049"/>
    </row>
    <row r="288" spans="1:92" x14ac:dyDescent="0.2">
      <c r="A288" s="3049"/>
      <c r="B288" s="3049"/>
      <c r="C288" s="3049"/>
      <c r="D288" s="3049"/>
      <c r="E288" s="3049"/>
      <c r="F288" s="3049"/>
      <c r="G288" s="3049"/>
      <c r="H288" s="3049"/>
      <c r="I288" s="3049"/>
      <c r="J288" s="3049"/>
      <c r="K288" s="3049"/>
      <c r="L288" s="3049"/>
      <c r="M288" s="3049"/>
      <c r="N288" s="3049"/>
      <c r="O288" s="3049"/>
      <c r="P288" s="3049"/>
      <c r="Q288" s="3049"/>
      <c r="R288" s="3049"/>
      <c r="S288" s="3049"/>
      <c r="T288" s="3049"/>
      <c r="U288" s="3049"/>
      <c r="V288" s="3049"/>
      <c r="W288" s="3049"/>
      <c r="X288" s="3049"/>
      <c r="Y288" s="3049"/>
      <c r="Z288" s="3049"/>
      <c r="AA288" s="3049"/>
      <c r="AB288" s="3049"/>
      <c r="AC288" s="3049"/>
      <c r="AD288" s="3049"/>
      <c r="AE288" s="3049"/>
      <c r="AF288" s="3049"/>
      <c r="AG288" s="3049"/>
      <c r="AH288" s="3049"/>
      <c r="AI288" s="3049"/>
      <c r="AJ288" s="3049"/>
      <c r="AK288" s="3049"/>
      <c r="AL288" s="3049"/>
      <c r="AM288" s="3049"/>
      <c r="AN288" s="3049"/>
      <c r="AO288" s="3049"/>
      <c r="AP288" s="3049"/>
      <c r="AQ288" s="3049"/>
      <c r="AR288" s="3049"/>
      <c r="AS288" s="3049"/>
      <c r="AT288" s="3049"/>
      <c r="AU288" s="3049"/>
      <c r="AV288" s="3049"/>
      <c r="AW288" s="3049"/>
      <c r="AX288" s="3049"/>
      <c r="AY288" s="3049"/>
      <c r="AZ288" s="3049"/>
      <c r="BA288" s="3049"/>
      <c r="BB288" s="3049"/>
      <c r="BC288" s="3049"/>
      <c r="BD288" s="3049"/>
      <c r="BE288" s="3049"/>
      <c r="BF288" s="3049"/>
      <c r="BG288" s="3049"/>
      <c r="BH288" s="3049"/>
      <c r="BI288" s="3049"/>
      <c r="BJ288" s="3049"/>
      <c r="BK288" s="3049"/>
      <c r="BL288" s="3049"/>
      <c r="BM288" s="3049"/>
      <c r="BN288" s="3049"/>
      <c r="BO288" s="3049"/>
      <c r="BP288" s="3049"/>
      <c r="BQ288" s="3049"/>
      <c r="BR288" s="3049"/>
      <c r="BS288" s="3049"/>
      <c r="BT288" s="3049"/>
      <c r="BU288" s="3049"/>
      <c r="BV288" s="3049"/>
      <c r="BW288" s="3049"/>
      <c r="BX288" s="3049"/>
      <c r="BY288" s="3049"/>
      <c r="BZ288" s="3049"/>
      <c r="CA288" s="3049"/>
      <c r="CB288" s="3049"/>
      <c r="CC288" s="3049"/>
      <c r="CD288" s="3049"/>
      <c r="CE288" s="3049"/>
      <c r="CF288" s="3049"/>
      <c r="CG288" s="3049"/>
      <c r="CH288" s="3049"/>
      <c r="CI288" s="3049"/>
      <c r="CJ288" s="3049"/>
      <c r="CK288" s="3049"/>
      <c r="CL288" s="3049"/>
      <c r="CM288" s="3049"/>
      <c r="CN288" s="3049"/>
    </row>
    <row r="289" spans="1:92" x14ac:dyDescent="0.2">
      <c r="A289" s="3049"/>
      <c r="B289" s="3049"/>
      <c r="C289" s="3049"/>
      <c r="D289" s="3049"/>
      <c r="E289" s="3049"/>
      <c r="F289" s="3049"/>
      <c r="G289" s="3049"/>
      <c r="H289" s="3049"/>
      <c r="I289" s="3049"/>
      <c r="J289" s="3049"/>
      <c r="K289" s="3049"/>
      <c r="L289" s="3049"/>
      <c r="M289" s="3049"/>
      <c r="N289" s="3049"/>
      <c r="O289" s="3049"/>
      <c r="P289" s="3049"/>
      <c r="Q289" s="3049"/>
      <c r="R289" s="3049"/>
      <c r="S289" s="3049"/>
      <c r="T289" s="3049"/>
      <c r="U289" s="3049"/>
      <c r="V289" s="3049"/>
      <c r="W289" s="3049"/>
      <c r="X289" s="3049"/>
      <c r="Y289" s="3049"/>
      <c r="Z289" s="3049"/>
      <c r="AA289" s="3049"/>
      <c r="AB289" s="3049"/>
      <c r="AC289" s="3049"/>
      <c r="AD289" s="3049"/>
      <c r="AE289" s="3049"/>
      <c r="AF289" s="3049"/>
      <c r="AG289" s="3049"/>
      <c r="AH289" s="3049"/>
      <c r="AI289" s="3049"/>
      <c r="AJ289" s="3049"/>
      <c r="AK289" s="3049"/>
      <c r="AL289" s="3049"/>
      <c r="AM289" s="3049"/>
      <c r="AN289" s="3049"/>
      <c r="AO289" s="3049"/>
      <c r="AP289" s="3049"/>
      <c r="AQ289" s="3049"/>
      <c r="AR289" s="3049"/>
      <c r="AS289" s="3049"/>
      <c r="AT289" s="3049"/>
      <c r="AU289" s="3049"/>
      <c r="AV289" s="3049"/>
      <c r="AW289" s="3049"/>
      <c r="AX289" s="3049"/>
      <c r="AY289" s="3049"/>
      <c r="AZ289" s="3049"/>
      <c r="BA289" s="3049"/>
      <c r="BB289" s="3049"/>
      <c r="BC289" s="3049"/>
      <c r="BD289" s="3049"/>
      <c r="BE289" s="3049"/>
      <c r="BF289" s="3049"/>
      <c r="BG289" s="3049"/>
      <c r="BH289" s="3049"/>
      <c r="BI289" s="3049"/>
      <c r="BJ289" s="3049"/>
      <c r="BK289" s="3049"/>
      <c r="BL289" s="3049"/>
      <c r="BM289" s="3049"/>
      <c r="BN289" s="3049"/>
      <c r="BO289" s="3049"/>
      <c r="BP289" s="3049"/>
      <c r="BQ289" s="3049"/>
      <c r="BR289" s="3049"/>
      <c r="BS289" s="3049"/>
      <c r="BT289" s="3049"/>
      <c r="BU289" s="3049"/>
      <c r="BV289" s="3049"/>
      <c r="BW289" s="3049"/>
      <c r="BX289" s="3049"/>
      <c r="BY289" s="3049"/>
      <c r="BZ289" s="3049"/>
      <c r="CA289" s="3049"/>
      <c r="CB289" s="3049"/>
      <c r="CC289" s="3049"/>
      <c r="CD289" s="3049"/>
      <c r="CE289" s="3049"/>
      <c r="CF289" s="3049"/>
      <c r="CG289" s="3049"/>
      <c r="CH289" s="3049"/>
      <c r="CI289" s="3049"/>
      <c r="CJ289" s="3049"/>
      <c r="CK289" s="3049"/>
      <c r="CL289" s="3049"/>
      <c r="CM289" s="3049"/>
      <c r="CN289" s="3049"/>
    </row>
    <row r="290" spans="1:92" x14ac:dyDescent="0.2">
      <c r="A290" s="3049"/>
      <c r="B290" s="3049"/>
      <c r="C290" s="3049"/>
      <c r="D290" s="3049"/>
      <c r="E290" s="3049"/>
      <c r="F290" s="3049"/>
      <c r="G290" s="3049"/>
      <c r="H290" s="3049"/>
      <c r="I290" s="3049"/>
      <c r="J290" s="3049"/>
      <c r="K290" s="3049"/>
      <c r="L290" s="3049"/>
      <c r="M290" s="3049"/>
      <c r="N290" s="3049"/>
      <c r="O290" s="3049"/>
      <c r="P290" s="3049"/>
      <c r="Q290" s="3049"/>
      <c r="R290" s="3049"/>
      <c r="S290" s="3049"/>
      <c r="T290" s="3049"/>
      <c r="U290" s="3049"/>
      <c r="V290" s="3049"/>
      <c r="W290" s="3049"/>
      <c r="X290" s="3049"/>
      <c r="Y290" s="3049"/>
      <c r="Z290" s="3049"/>
      <c r="AA290" s="3049"/>
      <c r="AB290" s="3049"/>
      <c r="AC290" s="3049"/>
      <c r="AD290" s="3049"/>
      <c r="AE290" s="3049"/>
      <c r="AF290" s="3049"/>
      <c r="AG290" s="3049"/>
      <c r="AH290" s="3049"/>
      <c r="AI290" s="3049"/>
      <c r="AJ290" s="3049"/>
      <c r="AK290" s="3049"/>
      <c r="AL290" s="3049"/>
      <c r="AM290" s="3049"/>
      <c r="AN290" s="3049"/>
      <c r="AO290" s="3049"/>
      <c r="AP290" s="3049"/>
      <c r="AQ290" s="3049"/>
      <c r="AR290" s="3049"/>
      <c r="AS290" s="3049"/>
      <c r="AT290" s="3049"/>
      <c r="AU290" s="3049"/>
      <c r="AV290" s="3049"/>
      <c r="AW290" s="3049"/>
      <c r="AX290" s="3049"/>
      <c r="AY290" s="3049"/>
      <c r="AZ290" s="3049"/>
      <c r="BA290" s="3049"/>
      <c r="BB290" s="3049"/>
      <c r="BC290" s="3049"/>
      <c r="BD290" s="3049"/>
      <c r="BE290" s="3049"/>
      <c r="BF290" s="3049"/>
      <c r="BG290" s="3049"/>
      <c r="BH290" s="3049"/>
      <c r="BI290" s="3049"/>
      <c r="BJ290" s="3049"/>
      <c r="BK290" s="3049"/>
      <c r="BL290" s="3049"/>
      <c r="BM290" s="3049"/>
      <c r="BN290" s="3049"/>
      <c r="BO290" s="3049"/>
      <c r="BP290" s="3049"/>
      <c r="BQ290" s="3049"/>
      <c r="BR290" s="3049"/>
      <c r="BS290" s="3049"/>
      <c r="BT290" s="3049"/>
      <c r="BU290" s="3049"/>
      <c r="BV290" s="3049"/>
      <c r="BW290" s="3049"/>
      <c r="BX290" s="3049"/>
      <c r="BY290" s="3049"/>
      <c r="BZ290" s="3049"/>
      <c r="CA290" s="3049"/>
      <c r="CB290" s="3049"/>
      <c r="CC290" s="3049"/>
      <c r="CD290" s="3049"/>
      <c r="CE290" s="3049"/>
      <c r="CF290" s="3049"/>
      <c r="CG290" s="3049"/>
      <c r="CH290" s="3049"/>
      <c r="CI290" s="3049"/>
      <c r="CJ290" s="3049"/>
      <c r="CK290" s="3049"/>
      <c r="CL290" s="3049"/>
      <c r="CM290" s="3049"/>
      <c r="CN290" s="3049"/>
    </row>
    <row r="291" spans="1:92" x14ac:dyDescent="0.2">
      <c r="A291" s="3049"/>
      <c r="B291" s="3049"/>
      <c r="C291" s="3049"/>
      <c r="D291" s="3049"/>
      <c r="E291" s="3049"/>
      <c r="F291" s="3049"/>
      <c r="G291" s="3049"/>
      <c r="H291" s="3049"/>
      <c r="I291" s="3049"/>
      <c r="J291" s="3049"/>
      <c r="K291" s="3049"/>
      <c r="L291" s="3049"/>
      <c r="M291" s="3049"/>
      <c r="N291" s="3049"/>
      <c r="O291" s="3049"/>
      <c r="P291" s="3049"/>
      <c r="Q291" s="3049"/>
      <c r="R291" s="3049"/>
      <c r="S291" s="3049"/>
      <c r="T291" s="3049"/>
      <c r="U291" s="3049"/>
      <c r="V291" s="3049"/>
      <c r="W291" s="3049"/>
      <c r="X291" s="3049"/>
      <c r="Y291" s="3049"/>
      <c r="Z291" s="3049"/>
      <c r="AA291" s="3049"/>
      <c r="AB291" s="3049"/>
      <c r="AC291" s="3049"/>
      <c r="AD291" s="3049"/>
      <c r="AE291" s="3049"/>
      <c r="AF291" s="3049"/>
      <c r="AG291" s="3049"/>
      <c r="AH291" s="3049"/>
      <c r="AI291" s="3049"/>
      <c r="AJ291" s="3049"/>
      <c r="AK291" s="3049"/>
      <c r="AL291" s="3049"/>
      <c r="AM291" s="3049"/>
      <c r="AN291" s="3049"/>
      <c r="AO291" s="3049"/>
      <c r="AP291" s="3049"/>
      <c r="AQ291" s="3049"/>
      <c r="AR291" s="3049"/>
      <c r="AS291" s="3049"/>
      <c r="AT291" s="3049"/>
      <c r="AU291" s="3049"/>
      <c r="AV291" s="3049"/>
      <c r="AW291" s="3049"/>
      <c r="AX291" s="3049"/>
      <c r="AY291" s="3049"/>
      <c r="AZ291" s="3049"/>
      <c r="BA291" s="3049"/>
      <c r="BB291" s="3049"/>
      <c r="BC291" s="3049"/>
      <c r="BD291" s="3049"/>
      <c r="BE291" s="3049"/>
      <c r="BF291" s="3049"/>
      <c r="BG291" s="3049"/>
      <c r="BH291" s="3049"/>
      <c r="BI291" s="3049"/>
      <c r="BJ291" s="3049"/>
      <c r="BK291" s="3049"/>
      <c r="BL291" s="3049"/>
      <c r="BM291" s="3049"/>
      <c r="BN291" s="3049"/>
      <c r="BO291" s="3049"/>
      <c r="BP291" s="3049"/>
      <c r="BQ291" s="3049"/>
      <c r="BR291" s="3049"/>
      <c r="BS291" s="3049"/>
      <c r="BT291" s="3049"/>
      <c r="BU291" s="3049"/>
      <c r="BV291" s="3049"/>
      <c r="BW291" s="3049"/>
      <c r="BX291" s="3049"/>
      <c r="BY291" s="3049"/>
      <c r="BZ291" s="3049"/>
      <c r="CA291" s="3049"/>
      <c r="CB291" s="3049"/>
      <c r="CC291" s="3049"/>
      <c r="CD291" s="3049"/>
      <c r="CE291" s="3049"/>
      <c r="CF291" s="3049"/>
      <c r="CG291" s="3049"/>
      <c r="CH291" s="3049"/>
      <c r="CI291" s="3049"/>
      <c r="CJ291" s="3049"/>
      <c r="CK291" s="3049"/>
      <c r="CL291" s="3049"/>
      <c r="CM291" s="3049"/>
      <c r="CN291" s="3049"/>
    </row>
    <row r="292" spans="1:92" x14ac:dyDescent="0.2">
      <c r="A292" s="3049"/>
      <c r="B292" s="3049"/>
      <c r="C292" s="3049"/>
      <c r="D292" s="3049"/>
      <c r="E292" s="3049"/>
      <c r="F292" s="3049"/>
      <c r="G292" s="3049"/>
      <c r="H292" s="3049"/>
      <c r="I292" s="3049"/>
      <c r="J292" s="3049"/>
      <c r="K292" s="3049"/>
      <c r="L292" s="3049"/>
      <c r="M292" s="3049"/>
      <c r="N292" s="3049"/>
      <c r="O292" s="3049"/>
      <c r="P292" s="3049"/>
      <c r="Q292" s="3049"/>
      <c r="R292" s="3049"/>
      <c r="S292" s="3049"/>
      <c r="T292" s="3049"/>
      <c r="U292" s="3049"/>
      <c r="V292" s="3049"/>
      <c r="W292" s="3049"/>
      <c r="X292" s="3049"/>
      <c r="Y292" s="3049"/>
      <c r="Z292" s="3049"/>
      <c r="AA292" s="3049"/>
      <c r="AB292" s="3049"/>
      <c r="AC292" s="3049"/>
      <c r="AD292" s="3049"/>
      <c r="AE292" s="3049"/>
      <c r="AF292" s="3049"/>
      <c r="AG292" s="3049"/>
      <c r="AH292" s="3049"/>
      <c r="AI292" s="3049"/>
      <c r="AJ292" s="3049"/>
      <c r="AK292" s="3049"/>
      <c r="AL292" s="3049"/>
      <c r="AM292" s="3049"/>
      <c r="AN292" s="3049"/>
      <c r="AO292" s="3049"/>
      <c r="AP292" s="3049"/>
      <c r="AQ292" s="3049"/>
      <c r="AR292" s="3049"/>
      <c r="AS292" s="3049"/>
      <c r="AT292" s="3049"/>
      <c r="AU292" s="3049"/>
      <c r="AV292" s="3049"/>
      <c r="AW292" s="3049"/>
      <c r="AX292" s="3049"/>
      <c r="AY292" s="3049"/>
      <c r="AZ292" s="3049"/>
      <c r="BA292" s="3049"/>
      <c r="BB292" s="3049"/>
      <c r="BC292" s="3049"/>
      <c r="BD292" s="3049"/>
      <c r="BE292" s="3049"/>
      <c r="BF292" s="3049"/>
      <c r="BG292" s="3049"/>
      <c r="BH292" s="3049"/>
      <c r="BI292" s="3049"/>
      <c r="BJ292" s="3049"/>
      <c r="BK292" s="3049"/>
      <c r="BL292" s="3049"/>
      <c r="BM292" s="3049"/>
      <c r="BN292" s="3049"/>
      <c r="BO292" s="3049"/>
      <c r="BP292" s="3049"/>
      <c r="BQ292" s="3049"/>
      <c r="BR292" s="3049"/>
      <c r="BS292" s="3049"/>
      <c r="BT292" s="3049"/>
      <c r="BU292" s="3049"/>
      <c r="BV292" s="3049"/>
      <c r="BW292" s="3049"/>
      <c r="BX292" s="3049"/>
      <c r="BY292" s="3049"/>
      <c r="BZ292" s="3049"/>
      <c r="CA292" s="3049"/>
      <c r="CB292" s="3049"/>
      <c r="CC292" s="3049"/>
      <c r="CD292" s="3049"/>
      <c r="CE292" s="3049"/>
      <c r="CF292" s="3049"/>
      <c r="CG292" s="3049"/>
      <c r="CH292" s="3049"/>
      <c r="CI292" s="3049"/>
      <c r="CJ292" s="3049"/>
      <c r="CK292" s="3049"/>
      <c r="CL292" s="3049"/>
      <c r="CM292" s="3049"/>
      <c r="CN292" s="3049"/>
    </row>
    <row r="293" spans="1:92" x14ac:dyDescent="0.2">
      <c r="A293" s="3049"/>
      <c r="B293" s="3049"/>
      <c r="C293" s="3049"/>
      <c r="D293" s="3049"/>
      <c r="E293" s="3049"/>
      <c r="F293" s="3049"/>
      <c r="G293" s="3049"/>
      <c r="H293" s="3049"/>
      <c r="I293" s="3049"/>
      <c r="J293" s="3049"/>
      <c r="K293" s="3049"/>
      <c r="L293" s="3049"/>
      <c r="M293" s="3049"/>
      <c r="N293" s="3049"/>
      <c r="O293" s="3049"/>
      <c r="P293" s="3049"/>
      <c r="Q293" s="3049"/>
      <c r="R293" s="3049"/>
      <c r="S293" s="3049"/>
      <c r="T293" s="3049"/>
      <c r="U293" s="3049"/>
      <c r="V293" s="3049"/>
      <c r="W293" s="3049"/>
      <c r="X293" s="3049"/>
      <c r="Y293" s="3049"/>
      <c r="Z293" s="3049"/>
      <c r="AA293" s="3049"/>
      <c r="AB293" s="3049"/>
      <c r="AC293" s="3049"/>
      <c r="AD293" s="3049"/>
      <c r="AE293" s="3049"/>
      <c r="AF293" s="3049"/>
      <c r="AG293" s="3049"/>
      <c r="AH293" s="3049"/>
      <c r="AI293" s="3049"/>
      <c r="AJ293" s="3049"/>
      <c r="AK293" s="3049"/>
      <c r="AL293" s="3049"/>
      <c r="AM293" s="3049"/>
      <c r="AN293" s="3049"/>
      <c r="AO293" s="3049"/>
      <c r="AP293" s="3049"/>
      <c r="AQ293" s="3049"/>
      <c r="AR293" s="3049"/>
      <c r="AS293" s="3049"/>
      <c r="AT293" s="3049"/>
      <c r="AU293" s="3049"/>
      <c r="AV293" s="3049"/>
      <c r="AW293" s="3049"/>
      <c r="AX293" s="3049"/>
      <c r="AY293" s="3049"/>
      <c r="AZ293" s="3049"/>
      <c r="BA293" s="3049"/>
      <c r="BB293" s="3049"/>
      <c r="BC293" s="3049"/>
      <c r="BD293" s="3049"/>
      <c r="BE293" s="3049"/>
      <c r="BF293" s="3049"/>
      <c r="BG293" s="3049"/>
      <c r="BH293" s="3049"/>
      <c r="BI293" s="3049"/>
      <c r="BJ293" s="3049"/>
      <c r="BK293" s="3049"/>
      <c r="BL293" s="3049"/>
      <c r="BM293" s="3049"/>
      <c r="BN293" s="3049"/>
      <c r="BO293" s="3049"/>
      <c r="BP293" s="3049"/>
      <c r="BQ293" s="3049"/>
      <c r="BR293" s="3049"/>
      <c r="BS293" s="3049"/>
      <c r="BT293" s="3049"/>
      <c r="BU293" s="3049"/>
      <c r="BV293" s="3049"/>
      <c r="BW293" s="3049"/>
      <c r="BX293" s="3049"/>
      <c r="BY293" s="3049"/>
      <c r="BZ293" s="3049"/>
      <c r="CA293" s="3049"/>
      <c r="CB293" s="3049"/>
      <c r="CC293" s="3049"/>
      <c r="CD293" s="3049"/>
      <c r="CE293" s="3049"/>
      <c r="CF293" s="3049"/>
      <c r="CG293" s="3049"/>
      <c r="CH293" s="3049"/>
      <c r="CI293" s="3049"/>
      <c r="CJ293" s="3049"/>
      <c r="CK293" s="3049"/>
      <c r="CL293" s="3049"/>
      <c r="CM293" s="3049"/>
      <c r="CN293" s="3049"/>
    </row>
    <row r="294" spans="1:92" x14ac:dyDescent="0.2">
      <c r="A294" s="3049"/>
      <c r="B294" s="3049"/>
      <c r="C294" s="3049"/>
      <c r="D294" s="3049"/>
      <c r="E294" s="3049"/>
      <c r="F294" s="3049"/>
      <c r="G294" s="3049"/>
      <c r="H294" s="3049"/>
      <c r="I294" s="3049"/>
      <c r="J294" s="3049"/>
      <c r="K294" s="3049"/>
      <c r="L294" s="3049"/>
      <c r="M294" s="3049"/>
      <c r="N294" s="3049"/>
      <c r="O294" s="3049"/>
      <c r="P294" s="3049"/>
      <c r="Q294" s="3049"/>
      <c r="R294" s="3049"/>
      <c r="S294" s="3049"/>
      <c r="T294" s="3049"/>
      <c r="U294" s="3049"/>
      <c r="V294" s="3049"/>
      <c r="W294" s="3049"/>
      <c r="X294" s="3049"/>
      <c r="Y294" s="3049"/>
      <c r="Z294" s="3049"/>
      <c r="AA294" s="3049"/>
      <c r="AB294" s="3049"/>
      <c r="AC294" s="3049"/>
      <c r="AD294" s="3049"/>
      <c r="AE294" s="3049"/>
      <c r="AF294" s="3049"/>
      <c r="AG294" s="3049"/>
      <c r="AH294" s="3049"/>
      <c r="AI294" s="3049"/>
      <c r="AJ294" s="3049"/>
      <c r="AK294" s="3049"/>
      <c r="AL294" s="3049"/>
      <c r="AM294" s="3049"/>
      <c r="AN294" s="3049"/>
      <c r="AO294" s="3049"/>
      <c r="AP294" s="3049"/>
      <c r="AQ294" s="3049"/>
      <c r="AR294" s="3049"/>
      <c r="AS294" s="3049"/>
      <c r="AT294" s="3049"/>
      <c r="AU294" s="3049"/>
      <c r="AV294" s="3049"/>
      <c r="AW294" s="3049"/>
      <c r="AX294" s="3049"/>
      <c r="AY294" s="3049"/>
      <c r="AZ294" s="3049"/>
      <c r="BA294" s="3049"/>
      <c r="BB294" s="3049"/>
      <c r="BC294" s="3049"/>
      <c r="BD294" s="3049"/>
      <c r="BE294" s="3049"/>
      <c r="BF294" s="3049"/>
      <c r="BG294" s="3049"/>
      <c r="BH294" s="3049"/>
      <c r="BI294" s="3049"/>
      <c r="BJ294" s="3049"/>
      <c r="BK294" s="3049"/>
      <c r="BL294" s="3049"/>
      <c r="BM294" s="3049"/>
      <c r="BN294" s="3049"/>
      <c r="BO294" s="3049"/>
      <c r="BP294" s="3049"/>
      <c r="BQ294" s="3049"/>
      <c r="BR294" s="3049"/>
      <c r="BS294" s="3049"/>
      <c r="BT294" s="3049"/>
      <c r="BU294" s="3049"/>
      <c r="BV294" s="3049"/>
      <c r="BW294" s="3049"/>
      <c r="BX294" s="3049"/>
      <c r="BY294" s="3049"/>
      <c r="BZ294" s="3049"/>
      <c r="CA294" s="3049"/>
      <c r="CB294" s="3049"/>
      <c r="CC294" s="3049"/>
      <c r="CD294" s="3049"/>
      <c r="CE294" s="3049"/>
      <c r="CF294" s="3049"/>
      <c r="CG294" s="3049"/>
      <c r="CH294" s="3049"/>
      <c r="CI294" s="3049"/>
      <c r="CJ294" s="3049"/>
      <c r="CK294" s="3049"/>
      <c r="CL294" s="3049"/>
      <c r="CM294" s="3049"/>
      <c r="CN294" s="3049"/>
    </row>
    <row r="295" spans="1:92" x14ac:dyDescent="0.2">
      <c r="A295" s="3049"/>
      <c r="B295" s="3049"/>
      <c r="C295" s="3049"/>
      <c r="D295" s="3049"/>
      <c r="E295" s="3049"/>
      <c r="F295" s="3049"/>
      <c r="G295" s="3049"/>
      <c r="H295" s="3049"/>
      <c r="I295" s="3049"/>
      <c r="J295" s="3049"/>
      <c r="K295" s="3049"/>
      <c r="L295" s="3049"/>
      <c r="M295" s="3049"/>
      <c r="N295" s="3049"/>
      <c r="O295" s="3049"/>
      <c r="P295" s="3049"/>
      <c r="Q295" s="3049"/>
      <c r="R295" s="3049"/>
      <c r="S295" s="3049"/>
      <c r="T295" s="3049"/>
      <c r="U295" s="3049"/>
      <c r="V295" s="3049"/>
      <c r="W295" s="3049"/>
      <c r="X295" s="3049"/>
      <c r="Y295" s="3049"/>
      <c r="Z295" s="3049"/>
      <c r="AA295" s="3049"/>
      <c r="AB295" s="3049"/>
      <c r="AC295" s="3049"/>
      <c r="AD295" s="3049"/>
      <c r="AE295" s="3049"/>
      <c r="AF295" s="3049"/>
      <c r="AG295" s="3049"/>
      <c r="AH295" s="3049"/>
      <c r="AI295" s="3049"/>
      <c r="AJ295" s="3049"/>
      <c r="AK295" s="3049"/>
      <c r="AL295" s="3049"/>
      <c r="AM295" s="3049"/>
      <c r="AN295" s="3049"/>
      <c r="AO295" s="3049"/>
      <c r="AP295" s="3049"/>
      <c r="AQ295" s="3049"/>
      <c r="AR295" s="3049"/>
      <c r="AS295" s="3049"/>
      <c r="AT295" s="3049"/>
      <c r="AU295" s="3049"/>
      <c r="AV295" s="3049"/>
      <c r="AW295" s="3049"/>
      <c r="AX295" s="3049"/>
      <c r="AY295" s="3049"/>
      <c r="AZ295" s="3049"/>
      <c r="BA295" s="3049"/>
      <c r="BB295" s="3049"/>
      <c r="BC295" s="3049"/>
      <c r="BD295" s="3049"/>
      <c r="BE295" s="3049"/>
      <c r="BF295" s="3049"/>
      <c r="BG295" s="3049"/>
      <c r="BH295" s="3049"/>
      <c r="BI295" s="3049"/>
      <c r="BJ295" s="3049"/>
      <c r="BK295" s="3049"/>
      <c r="BL295" s="3049"/>
      <c r="BM295" s="3049"/>
      <c r="BN295" s="3049"/>
      <c r="BO295" s="3049"/>
      <c r="BP295" s="3049"/>
      <c r="BQ295" s="3049"/>
      <c r="BR295" s="3049"/>
      <c r="BS295" s="3049"/>
      <c r="BT295" s="3049"/>
      <c r="BU295" s="3049"/>
      <c r="BV295" s="3049"/>
      <c r="BW295" s="3049"/>
      <c r="BX295" s="3049"/>
      <c r="BY295" s="3049"/>
      <c r="BZ295" s="3049"/>
      <c r="CA295" s="3049"/>
      <c r="CB295" s="3049"/>
      <c r="CC295" s="3049"/>
      <c r="CD295" s="3049"/>
      <c r="CE295" s="3049"/>
      <c r="CF295" s="3049"/>
      <c r="CG295" s="3049"/>
      <c r="CH295" s="3049"/>
      <c r="CI295" s="3049"/>
      <c r="CJ295" s="3049"/>
      <c r="CK295" s="3049"/>
      <c r="CL295" s="3049"/>
      <c r="CM295" s="3049"/>
      <c r="CN295" s="3049"/>
    </row>
    <row r="296" spans="1:92" x14ac:dyDescent="0.2">
      <c r="A296" s="3049"/>
      <c r="B296" s="3049"/>
      <c r="C296" s="3049"/>
      <c r="D296" s="3049"/>
      <c r="E296" s="3049"/>
      <c r="F296" s="3049"/>
      <c r="G296" s="3049"/>
      <c r="H296" s="3049"/>
      <c r="I296" s="3049"/>
      <c r="J296" s="3049"/>
      <c r="K296" s="3049"/>
      <c r="L296" s="3049"/>
      <c r="M296" s="3049"/>
      <c r="N296" s="3049"/>
      <c r="O296" s="3049"/>
      <c r="P296" s="3049"/>
      <c r="Q296" s="3049"/>
      <c r="R296" s="3049"/>
      <c r="S296" s="3049"/>
      <c r="T296" s="3049"/>
      <c r="U296" s="3049"/>
      <c r="V296" s="3049"/>
      <c r="W296" s="3049"/>
      <c r="X296" s="3049"/>
      <c r="Y296" s="3049"/>
      <c r="Z296" s="3049"/>
      <c r="AA296" s="3049"/>
      <c r="AB296" s="3049"/>
      <c r="AC296" s="3049"/>
      <c r="AD296" s="3049"/>
      <c r="AE296" s="3049"/>
      <c r="AF296" s="3049"/>
      <c r="AG296" s="3049"/>
      <c r="AH296" s="3049"/>
      <c r="AI296" s="3049"/>
      <c r="AJ296" s="3049"/>
      <c r="AK296" s="3049"/>
      <c r="AL296" s="3049"/>
      <c r="AM296" s="3049"/>
      <c r="AN296" s="3049"/>
      <c r="AO296" s="3049"/>
      <c r="AP296" s="3049"/>
      <c r="AQ296" s="3049"/>
      <c r="AR296" s="3049"/>
      <c r="AS296" s="3049"/>
      <c r="AT296" s="3049"/>
      <c r="AU296" s="3049"/>
      <c r="AV296" s="3049"/>
      <c r="AW296" s="3049"/>
      <c r="AX296" s="3049"/>
      <c r="AY296" s="3049"/>
      <c r="AZ296" s="3049"/>
      <c r="BA296" s="3049"/>
      <c r="BB296" s="3049"/>
      <c r="BC296" s="3049"/>
      <c r="BD296" s="3049"/>
      <c r="BE296" s="3049"/>
      <c r="BF296" s="3049"/>
      <c r="BG296" s="3049"/>
      <c r="BH296" s="3049"/>
      <c r="BI296" s="3049"/>
      <c r="BJ296" s="3049"/>
      <c r="BK296" s="3049"/>
      <c r="BL296" s="3049"/>
      <c r="BM296" s="3049"/>
      <c r="BN296" s="3049"/>
      <c r="BO296" s="3049"/>
      <c r="BP296" s="3049"/>
      <c r="BQ296" s="3049"/>
      <c r="BR296" s="3049"/>
      <c r="BS296" s="3049"/>
      <c r="BT296" s="3049"/>
      <c r="BU296" s="3049"/>
      <c r="BV296" s="3049"/>
      <c r="BW296" s="3049"/>
      <c r="BX296" s="3049"/>
      <c r="BY296" s="3049"/>
      <c r="BZ296" s="3049"/>
      <c r="CA296" s="3049"/>
      <c r="CB296" s="3049"/>
      <c r="CC296" s="3049"/>
      <c r="CD296" s="3049"/>
      <c r="CE296" s="3049"/>
      <c r="CF296" s="3049"/>
      <c r="CG296" s="3049"/>
      <c r="CH296" s="3049"/>
      <c r="CI296" s="3049"/>
      <c r="CJ296" s="3049"/>
      <c r="CK296" s="3049"/>
      <c r="CL296" s="3049"/>
      <c r="CM296" s="3049"/>
      <c r="CN296" s="3049"/>
    </row>
    <row r="297" spans="1:92" x14ac:dyDescent="0.2">
      <c r="A297" s="3049"/>
      <c r="B297" s="3049"/>
      <c r="C297" s="3049"/>
      <c r="D297" s="3049"/>
      <c r="E297" s="3049"/>
      <c r="F297" s="3049"/>
      <c r="G297" s="3049"/>
      <c r="H297" s="3049"/>
      <c r="I297" s="3049"/>
      <c r="J297" s="3049"/>
      <c r="K297" s="3049"/>
      <c r="L297" s="3049"/>
      <c r="M297" s="3049"/>
      <c r="N297" s="3049"/>
      <c r="O297" s="3049"/>
      <c r="P297" s="3049"/>
      <c r="Q297" s="3049"/>
      <c r="R297" s="3049"/>
      <c r="S297" s="3049"/>
      <c r="T297" s="3049"/>
      <c r="U297" s="3049"/>
      <c r="V297" s="3049"/>
      <c r="W297" s="3049"/>
      <c r="X297" s="3049"/>
      <c r="Y297" s="3049"/>
      <c r="Z297" s="3049"/>
      <c r="AA297" s="3049"/>
      <c r="AB297" s="3049"/>
      <c r="AC297" s="3049"/>
      <c r="AD297" s="3049"/>
      <c r="AE297" s="3049"/>
      <c r="AF297" s="3049"/>
      <c r="AG297" s="3049"/>
      <c r="AH297" s="3049"/>
      <c r="AI297" s="3049"/>
      <c r="AJ297" s="3049"/>
      <c r="AK297" s="3049"/>
      <c r="AL297" s="3049"/>
      <c r="AM297" s="3049"/>
      <c r="AN297" s="3049"/>
      <c r="AO297" s="3049"/>
      <c r="AP297" s="3049"/>
      <c r="AQ297" s="3049"/>
      <c r="AR297" s="3049"/>
      <c r="AS297" s="3049"/>
      <c r="AT297" s="3049"/>
      <c r="AU297" s="3049"/>
      <c r="AV297" s="3049"/>
      <c r="AW297" s="3049"/>
      <c r="AX297" s="3049"/>
      <c r="AY297" s="3049"/>
      <c r="AZ297" s="3049"/>
      <c r="BA297" s="3049"/>
      <c r="BB297" s="3049"/>
      <c r="BC297" s="3049"/>
      <c r="BD297" s="3049"/>
      <c r="BE297" s="3049"/>
      <c r="BF297" s="3049"/>
      <c r="BG297" s="3049"/>
      <c r="BH297" s="3049"/>
      <c r="BI297" s="3049"/>
      <c r="BJ297" s="3049"/>
      <c r="BK297" s="3049"/>
      <c r="BL297" s="3049"/>
      <c r="BM297" s="3049"/>
      <c r="BN297" s="3049"/>
      <c r="BO297" s="3049"/>
      <c r="BP297" s="3049"/>
      <c r="BQ297" s="3049"/>
      <c r="BR297" s="3049"/>
      <c r="BS297" s="3049"/>
      <c r="BT297" s="3049"/>
      <c r="BU297" s="3049"/>
      <c r="BV297" s="3049"/>
      <c r="BW297" s="3049"/>
      <c r="BX297" s="3049"/>
      <c r="BY297" s="3049"/>
      <c r="BZ297" s="3049"/>
      <c r="CA297" s="3049"/>
      <c r="CB297" s="3049"/>
      <c r="CC297" s="3049"/>
      <c r="CD297" s="3049"/>
      <c r="CE297" s="3049"/>
      <c r="CF297" s="3049"/>
      <c r="CG297" s="3049"/>
      <c r="CH297" s="3049"/>
      <c r="CI297" s="3049"/>
      <c r="CJ297" s="3049"/>
      <c r="CK297" s="3049"/>
      <c r="CL297" s="3049"/>
      <c r="CM297" s="3049"/>
      <c r="CN297" s="3049"/>
    </row>
    <row r="298" spans="1:92" x14ac:dyDescent="0.2">
      <c r="A298" s="3049"/>
      <c r="B298" s="3049"/>
      <c r="C298" s="3049"/>
      <c r="D298" s="3049"/>
      <c r="E298" s="3049"/>
      <c r="F298" s="3049"/>
      <c r="G298" s="3049"/>
      <c r="H298" s="3049"/>
      <c r="I298" s="3049"/>
      <c r="J298" s="3049"/>
      <c r="K298" s="3049"/>
      <c r="L298" s="3049"/>
      <c r="M298" s="3049"/>
      <c r="N298" s="3049"/>
      <c r="O298" s="3049"/>
      <c r="P298" s="3049"/>
      <c r="Q298" s="3049"/>
      <c r="R298" s="3049"/>
      <c r="S298" s="3049"/>
      <c r="T298" s="3049"/>
      <c r="U298" s="3049"/>
      <c r="V298" s="3049"/>
      <c r="W298" s="3049"/>
      <c r="X298" s="3049"/>
      <c r="Y298" s="3049"/>
      <c r="Z298" s="3049"/>
      <c r="AA298" s="3049"/>
      <c r="AB298" s="3049"/>
      <c r="AC298" s="3049"/>
      <c r="AD298" s="3049"/>
      <c r="AE298" s="3049"/>
      <c r="AF298" s="3049"/>
      <c r="AG298" s="3049"/>
      <c r="AH298" s="3049"/>
      <c r="AI298" s="3049"/>
      <c r="AJ298" s="3049"/>
      <c r="AK298" s="3049"/>
      <c r="AL298" s="3049"/>
      <c r="AM298" s="3049"/>
      <c r="AN298" s="3049"/>
      <c r="AO298" s="3049"/>
      <c r="AP298" s="3049"/>
      <c r="AQ298" s="3049"/>
      <c r="AR298" s="3049"/>
      <c r="AS298" s="3049"/>
      <c r="AT298" s="3049"/>
      <c r="AU298" s="3049"/>
      <c r="AV298" s="3049"/>
      <c r="AW298" s="3049"/>
      <c r="AX298" s="3049"/>
      <c r="AY298" s="3049"/>
      <c r="AZ298" s="3049"/>
      <c r="BA298" s="3049"/>
      <c r="BB298" s="3049"/>
      <c r="BC298" s="3049"/>
      <c r="BD298" s="3049"/>
      <c r="BE298" s="3049"/>
      <c r="BF298" s="3049"/>
      <c r="BG298" s="3049"/>
      <c r="BH298" s="3049"/>
      <c r="BI298" s="3049"/>
      <c r="BJ298" s="3049"/>
      <c r="BK298" s="3049"/>
      <c r="BL298" s="3049"/>
      <c r="BM298" s="3049"/>
      <c r="BN298" s="3049"/>
      <c r="BO298" s="3049"/>
      <c r="BP298" s="3049"/>
      <c r="BQ298" s="3049"/>
      <c r="BR298" s="3049"/>
      <c r="BS298" s="3049"/>
      <c r="BT298" s="3049"/>
      <c r="BU298" s="3049"/>
      <c r="BV298" s="3049"/>
      <c r="BW298" s="3049"/>
      <c r="BX298" s="3049"/>
      <c r="BY298" s="3049"/>
      <c r="BZ298" s="3049"/>
      <c r="CA298" s="3049"/>
      <c r="CB298" s="3049"/>
      <c r="CC298" s="3049"/>
      <c r="CD298" s="3049"/>
      <c r="CE298" s="3049"/>
      <c r="CF298" s="3049"/>
      <c r="CG298" s="3049"/>
      <c r="CH298" s="3049"/>
      <c r="CI298" s="3049"/>
      <c r="CJ298" s="3049"/>
      <c r="CK298" s="3049"/>
      <c r="CL298" s="3049"/>
      <c r="CM298" s="3049"/>
      <c r="CN298" s="3049"/>
    </row>
    <row r="299" spans="1:92" x14ac:dyDescent="0.2">
      <c r="A299" s="3049"/>
      <c r="B299" s="3049"/>
      <c r="C299" s="3049"/>
      <c r="D299" s="3049"/>
      <c r="E299" s="3049"/>
      <c r="F299" s="3049"/>
      <c r="G299" s="3049"/>
      <c r="H299" s="3049"/>
      <c r="I299" s="3049"/>
      <c r="J299" s="3049"/>
      <c r="K299" s="3049"/>
      <c r="L299" s="3049"/>
      <c r="M299" s="3049"/>
      <c r="N299" s="3049"/>
      <c r="O299" s="3049"/>
      <c r="P299" s="3049"/>
      <c r="Q299" s="3049"/>
      <c r="R299" s="3049"/>
      <c r="S299" s="3049"/>
      <c r="T299" s="3049"/>
      <c r="U299" s="3049"/>
      <c r="V299" s="3049"/>
      <c r="W299" s="3049"/>
      <c r="X299" s="3049"/>
      <c r="Y299" s="3049"/>
      <c r="Z299" s="3049"/>
      <c r="AA299" s="3049"/>
      <c r="AB299" s="3049"/>
      <c r="AC299" s="3049"/>
      <c r="AD299" s="3049"/>
      <c r="AE299" s="3049"/>
      <c r="AF299" s="3049"/>
      <c r="AG299" s="3049"/>
      <c r="AH299" s="3049"/>
      <c r="AI299" s="3049"/>
      <c r="AJ299" s="3049"/>
      <c r="AK299" s="3049"/>
      <c r="AL299" s="3049"/>
      <c r="AM299" s="3049"/>
      <c r="AN299" s="3049"/>
      <c r="AO299" s="3049"/>
      <c r="AP299" s="3049"/>
      <c r="AQ299" s="3049"/>
      <c r="AR299" s="3049"/>
      <c r="AS299" s="3049"/>
      <c r="AT299" s="3049"/>
      <c r="AU299" s="3049"/>
      <c r="AV299" s="3049"/>
      <c r="AW299" s="3049"/>
      <c r="AX299" s="3049"/>
      <c r="AY299" s="3049"/>
      <c r="AZ299" s="3049"/>
      <c r="BA299" s="3049"/>
      <c r="BB299" s="3049"/>
      <c r="BC299" s="3049"/>
      <c r="BD299" s="3049"/>
      <c r="BE299" s="3049"/>
      <c r="BF299" s="3049"/>
      <c r="BG299" s="3049"/>
      <c r="BH299" s="3049"/>
      <c r="BI299" s="3049"/>
      <c r="BJ299" s="3049"/>
      <c r="BK299" s="3049"/>
      <c r="BL299" s="3049"/>
      <c r="BM299" s="3049"/>
      <c r="BN299" s="3049"/>
      <c r="BO299" s="3049"/>
      <c r="BP299" s="3049"/>
      <c r="BQ299" s="3049"/>
      <c r="BR299" s="3049"/>
      <c r="BS299" s="3049"/>
      <c r="BT299" s="3049"/>
      <c r="BU299" s="3049"/>
      <c r="BV299" s="3049"/>
      <c r="BW299" s="3049"/>
      <c r="BX299" s="3049"/>
      <c r="BY299" s="3049"/>
      <c r="BZ299" s="3049"/>
      <c r="CA299" s="3049"/>
      <c r="CB299" s="3049"/>
      <c r="CC299" s="3049"/>
      <c r="CD299" s="3049"/>
      <c r="CE299" s="3049"/>
      <c r="CF299" s="3049"/>
      <c r="CG299" s="3049"/>
      <c r="CH299" s="3049"/>
      <c r="CI299" s="3049"/>
      <c r="CJ299" s="3049"/>
      <c r="CK299" s="3049"/>
      <c r="CL299" s="3049"/>
      <c r="CM299" s="3049"/>
      <c r="CN299" s="3049"/>
    </row>
    <row r="300" spans="1:92" x14ac:dyDescent="0.2">
      <c r="A300" s="3049"/>
      <c r="B300" s="3049"/>
      <c r="C300" s="3049"/>
      <c r="D300" s="3049"/>
      <c r="E300" s="3049"/>
      <c r="F300" s="3049"/>
      <c r="G300" s="3049"/>
      <c r="H300" s="3049"/>
      <c r="I300" s="3049"/>
      <c r="J300" s="3049"/>
      <c r="K300" s="3049"/>
      <c r="L300" s="3049"/>
      <c r="M300" s="3049"/>
      <c r="N300" s="3049"/>
      <c r="O300" s="3049"/>
      <c r="P300" s="3049"/>
      <c r="Q300" s="3049"/>
      <c r="R300" s="3049"/>
      <c r="S300" s="3049"/>
      <c r="T300" s="3049"/>
      <c r="U300" s="3049"/>
      <c r="V300" s="3049"/>
      <c r="W300" s="3049"/>
      <c r="X300" s="3049"/>
      <c r="Y300" s="3049"/>
      <c r="Z300" s="3049"/>
      <c r="AA300" s="3049"/>
      <c r="AB300" s="3049"/>
      <c r="AC300" s="3049"/>
      <c r="AD300" s="3049"/>
      <c r="AE300" s="3049"/>
      <c r="AF300" s="3049"/>
      <c r="AG300" s="3049"/>
      <c r="AH300" s="3049"/>
      <c r="AI300" s="3049"/>
      <c r="AJ300" s="3049"/>
      <c r="AK300" s="3049"/>
      <c r="AL300" s="3049"/>
      <c r="AM300" s="3049"/>
      <c r="AN300" s="3049"/>
      <c r="AO300" s="3049"/>
      <c r="AP300" s="3049"/>
      <c r="AQ300" s="3049"/>
      <c r="AR300" s="3049"/>
      <c r="AS300" s="3049"/>
      <c r="AT300" s="3049"/>
      <c r="AU300" s="3049"/>
      <c r="AV300" s="3049"/>
      <c r="AW300" s="3049"/>
      <c r="AX300" s="3049"/>
      <c r="AY300" s="3049"/>
      <c r="AZ300" s="3049"/>
      <c r="BA300" s="3049"/>
      <c r="BB300" s="3049"/>
      <c r="BC300" s="3049"/>
      <c r="BD300" s="3049"/>
      <c r="BE300" s="3049"/>
      <c r="BF300" s="3049"/>
      <c r="BG300" s="3049"/>
      <c r="BH300" s="3049"/>
      <c r="BI300" s="3049"/>
      <c r="BJ300" s="3049"/>
      <c r="BK300" s="3049"/>
      <c r="BL300" s="3049"/>
      <c r="BM300" s="3049"/>
      <c r="BN300" s="3049"/>
      <c r="BO300" s="3049"/>
      <c r="BP300" s="3049"/>
      <c r="BQ300" s="3049"/>
      <c r="BR300" s="3049"/>
      <c r="BS300" s="3049"/>
      <c r="BT300" s="3049"/>
      <c r="BU300" s="3049"/>
      <c r="BV300" s="3049"/>
      <c r="BW300" s="3049"/>
      <c r="BX300" s="3049"/>
      <c r="BY300" s="3049"/>
      <c r="BZ300" s="3049"/>
      <c r="CA300" s="3049"/>
      <c r="CB300" s="3049"/>
      <c r="CC300" s="3049"/>
      <c r="CD300" s="3049"/>
      <c r="CE300" s="3049"/>
      <c r="CF300" s="3049"/>
      <c r="CG300" s="3049"/>
      <c r="CH300" s="3049"/>
      <c r="CI300" s="3049"/>
      <c r="CJ300" s="3049"/>
      <c r="CK300" s="3049"/>
      <c r="CL300" s="3049"/>
      <c r="CM300" s="3049"/>
      <c r="CN300" s="3049"/>
    </row>
    <row r="301" spans="1:92" x14ac:dyDescent="0.2">
      <c r="A301" s="3049"/>
      <c r="B301" s="3049"/>
      <c r="C301" s="3049"/>
      <c r="D301" s="3049"/>
      <c r="E301" s="3049"/>
      <c r="F301" s="3049"/>
      <c r="G301" s="3049"/>
      <c r="H301" s="3049"/>
      <c r="I301" s="3049"/>
      <c r="J301" s="3049"/>
      <c r="K301" s="3049"/>
      <c r="L301" s="3049"/>
      <c r="M301" s="3049"/>
      <c r="N301" s="3049"/>
      <c r="O301" s="3049"/>
      <c r="P301" s="3049"/>
      <c r="Q301" s="3049"/>
      <c r="R301" s="3049"/>
      <c r="S301" s="3049"/>
      <c r="T301" s="3049"/>
      <c r="U301" s="3049"/>
      <c r="V301" s="3049"/>
      <c r="W301" s="3049"/>
      <c r="X301" s="3049"/>
      <c r="Y301" s="3049"/>
      <c r="Z301" s="3049"/>
      <c r="AA301" s="3049"/>
      <c r="AB301" s="3049"/>
      <c r="AC301" s="3049"/>
      <c r="AD301" s="3049"/>
      <c r="AE301" s="3049"/>
      <c r="AF301" s="3049"/>
      <c r="AG301" s="3049"/>
      <c r="AH301" s="3049"/>
      <c r="AI301" s="3049"/>
      <c r="AJ301" s="3049"/>
      <c r="AK301" s="3049"/>
      <c r="AL301" s="3049"/>
      <c r="AM301" s="3049"/>
      <c r="AN301" s="3049"/>
      <c r="AO301" s="3049"/>
      <c r="AP301" s="3049"/>
      <c r="AQ301" s="3049"/>
      <c r="AR301" s="3049"/>
      <c r="AS301" s="3049"/>
      <c r="AT301" s="3049"/>
      <c r="AU301" s="3049"/>
      <c r="AV301" s="3049"/>
      <c r="AW301" s="3049"/>
      <c r="AX301" s="3049"/>
      <c r="AY301" s="3049"/>
      <c r="AZ301" s="3049"/>
      <c r="BA301" s="3049"/>
      <c r="BB301" s="3049"/>
      <c r="BC301" s="3049"/>
      <c r="BD301" s="3049"/>
      <c r="BE301" s="3049"/>
      <c r="BF301" s="3049"/>
      <c r="BG301" s="3049"/>
      <c r="BH301" s="3049"/>
      <c r="BI301" s="3049"/>
      <c r="BJ301" s="3049"/>
      <c r="BK301" s="3049"/>
      <c r="BL301" s="3049"/>
      <c r="BM301" s="3049"/>
      <c r="BN301" s="3049"/>
      <c r="BO301" s="3049"/>
      <c r="BP301" s="3049"/>
      <c r="BQ301" s="3049"/>
      <c r="BR301" s="3049"/>
      <c r="BS301" s="3049"/>
      <c r="BT301" s="3049"/>
      <c r="BU301" s="3049"/>
      <c r="BV301" s="3049"/>
      <c r="BW301" s="3049"/>
      <c r="BX301" s="3049"/>
      <c r="BY301" s="3049"/>
      <c r="BZ301" s="3049"/>
      <c r="CA301" s="3049"/>
      <c r="CB301" s="3049"/>
      <c r="CC301" s="3049"/>
      <c r="CD301" s="3049"/>
      <c r="CE301" s="3049"/>
      <c r="CF301" s="3049"/>
      <c r="CG301" s="3049"/>
      <c r="CH301" s="3049"/>
      <c r="CI301" s="3049"/>
      <c r="CJ301" s="3049"/>
      <c r="CK301" s="3049"/>
      <c r="CL301" s="3049"/>
      <c r="CM301" s="3049"/>
      <c r="CN301" s="3049"/>
    </row>
    <row r="302" spans="1:92" x14ac:dyDescent="0.2">
      <c r="A302" s="3049"/>
      <c r="B302" s="3049"/>
      <c r="C302" s="3049"/>
      <c r="D302" s="3049"/>
      <c r="E302" s="3049"/>
      <c r="F302" s="3049"/>
      <c r="G302" s="3049"/>
      <c r="H302" s="3049"/>
      <c r="I302" s="3049"/>
      <c r="J302" s="3049"/>
      <c r="K302" s="3049"/>
      <c r="L302" s="3049"/>
      <c r="M302" s="3049"/>
      <c r="N302" s="3049"/>
      <c r="O302" s="3049"/>
      <c r="P302" s="3049"/>
      <c r="Q302" s="3049"/>
      <c r="R302" s="3049"/>
      <c r="S302" s="3049"/>
      <c r="T302" s="3049"/>
      <c r="U302" s="3049"/>
      <c r="V302" s="3049"/>
      <c r="W302" s="3049"/>
      <c r="X302" s="3049"/>
      <c r="Y302" s="3049"/>
      <c r="Z302" s="3049"/>
      <c r="AA302" s="3049"/>
      <c r="AB302" s="3049"/>
      <c r="AC302" s="3049"/>
      <c r="AD302" s="3049"/>
      <c r="AE302" s="3049"/>
      <c r="AF302" s="3049"/>
      <c r="AG302" s="3049"/>
      <c r="AH302" s="3049"/>
      <c r="AI302" s="3049"/>
      <c r="AJ302" s="3049"/>
      <c r="AK302" s="3049"/>
      <c r="AL302" s="3049"/>
      <c r="AM302" s="3049"/>
      <c r="AN302" s="3049"/>
      <c r="AO302" s="3049"/>
      <c r="AP302" s="3049"/>
      <c r="AQ302" s="3049"/>
      <c r="AR302" s="3049"/>
      <c r="AS302" s="3049"/>
      <c r="AT302" s="3049"/>
      <c r="AU302" s="3049"/>
      <c r="AV302" s="3049"/>
      <c r="AW302" s="3049"/>
      <c r="AX302" s="3049"/>
      <c r="AY302" s="3049"/>
      <c r="AZ302" s="3049"/>
      <c r="BA302" s="3049"/>
      <c r="BB302" s="3049"/>
      <c r="BC302" s="3049"/>
      <c r="BD302" s="3049"/>
      <c r="BE302" s="3049"/>
      <c r="BF302" s="3049"/>
      <c r="BG302" s="3049"/>
      <c r="BH302" s="3049"/>
      <c r="BI302" s="3049"/>
      <c r="BJ302" s="3049"/>
      <c r="BK302" s="3049"/>
      <c r="BL302" s="3049"/>
      <c r="BM302" s="3049"/>
      <c r="BN302" s="3049"/>
      <c r="BO302" s="3049"/>
      <c r="BP302" s="3049"/>
      <c r="BQ302" s="3049"/>
      <c r="BR302" s="3049"/>
      <c r="BS302" s="3049"/>
      <c r="BT302" s="3049"/>
      <c r="BU302" s="3049"/>
      <c r="BV302" s="3049"/>
      <c r="BW302" s="3049"/>
      <c r="BX302" s="3049"/>
      <c r="BY302" s="3049"/>
      <c r="BZ302" s="3049"/>
      <c r="CA302" s="3049"/>
      <c r="CB302" s="3049"/>
      <c r="CC302" s="3049"/>
      <c r="CD302" s="3049"/>
      <c r="CE302" s="3049"/>
      <c r="CF302" s="3049"/>
      <c r="CG302" s="3049"/>
      <c r="CH302" s="3049"/>
      <c r="CI302" s="3049"/>
      <c r="CJ302" s="3049"/>
      <c r="CK302" s="3049"/>
      <c r="CL302" s="3049"/>
      <c r="CM302" s="3049"/>
      <c r="CN302" s="3049"/>
    </row>
    <row r="303" spans="1:92" x14ac:dyDescent="0.2">
      <c r="A303" s="3049"/>
      <c r="B303" s="3049"/>
      <c r="C303" s="3049"/>
      <c r="D303" s="3049"/>
      <c r="E303" s="3049"/>
      <c r="F303" s="3049"/>
      <c r="G303" s="3049"/>
      <c r="H303" s="3049"/>
      <c r="I303" s="3049"/>
      <c r="J303" s="3049"/>
      <c r="K303" s="3049"/>
      <c r="L303" s="3049"/>
      <c r="M303" s="3049"/>
      <c r="N303" s="3049"/>
      <c r="O303" s="3049"/>
      <c r="P303" s="3049"/>
      <c r="Q303" s="3049"/>
      <c r="R303" s="3049"/>
      <c r="S303" s="3049"/>
      <c r="T303" s="3049"/>
      <c r="U303" s="3049"/>
      <c r="V303" s="3049"/>
      <c r="W303" s="3049"/>
      <c r="X303" s="3049"/>
      <c r="Y303" s="3049"/>
      <c r="Z303" s="3049"/>
      <c r="AA303" s="3049"/>
      <c r="AB303" s="3049"/>
      <c r="AC303" s="3049"/>
      <c r="AD303" s="3049"/>
      <c r="AE303" s="3049"/>
      <c r="AF303" s="3049"/>
      <c r="AG303" s="3049"/>
      <c r="AH303" s="3049"/>
      <c r="AI303" s="3049"/>
      <c r="AJ303" s="3049"/>
      <c r="AK303" s="3049"/>
      <c r="AL303" s="3049"/>
      <c r="AM303" s="3049"/>
      <c r="AN303" s="3049"/>
      <c r="AO303" s="3049"/>
      <c r="AP303" s="3049"/>
      <c r="AQ303" s="3049"/>
      <c r="AR303" s="3049"/>
      <c r="AS303" s="3049"/>
      <c r="AT303" s="3049"/>
      <c r="AU303" s="3049"/>
      <c r="AV303" s="3049"/>
      <c r="AW303" s="3049"/>
      <c r="AX303" s="3049"/>
      <c r="AY303" s="3049"/>
      <c r="AZ303" s="3049"/>
      <c r="BA303" s="3049"/>
      <c r="BB303" s="3049"/>
      <c r="BC303" s="3049"/>
      <c r="BD303" s="3049"/>
      <c r="BE303" s="3049"/>
      <c r="BF303" s="3049"/>
      <c r="BG303" s="3049"/>
      <c r="BH303" s="3049"/>
      <c r="BI303" s="3049"/>
      <c r="BJ303" s="3049"/>
      <c r="BK303" s="3049"/>
      <c r="BL303" s="3049"/>
      <c r="BM303" s="3049"/>
      <c r="BN303" s="3049"/>
      <c r="BO303" s="3049"/>
      <c r="BP303" s="3049"/>
      <c r="BQ303" s="3049"/>
      <c r="BR303" s="3049"/>
      <c r="BS303" s="3049"/>
      <c r="BT303" s="3049"/>
      <c r="BU303" s="3049"/>
      <c r="BV303" s="3049"/>
      <c r="BW303" s="3049"/>
      <c r="BX303" s="3049"/>
      <c r="BY303" s="3049"/>
      <c r="BZ303" s="3049"/>
      <c r="CA303" s="3049"/>
      <c r="CB303" s="3049"/>
      <c r="CC303" s="3049"/>
      <c r="CD303" s="3049"/>
      <c r="CE303" s="3049"/>
      <c r="CF303" s="3049"/>
      <c r="CG303" s="3049"/>
      <c r="CH303" s="3049"/>
      <c r="CI303" s="3049"/>
      <c r="CJ303" s="3049"/>
      <c r="CK303" s="3049"/>
      <c r="CL303" s="3049"/>
      <c r="CM303" s="3049"/>
      <c r="CN303" s="3049"/>
    </row>
    <row r="304" spans="1:92" x14ac:dyDescent="0.2">
      <c r="A304" s="3049"/>
      <c r="B304" s="3049"/>
      <c r="C304" s="3049"/>
      <c r="D304" s="3049"/>
      <c r="E304" s="3049"/>
      <c r="F304" s="3049"/>
      <c r="G304" s="3049"/>
      <c r="H304" s="3049"/>
      <c r="I304" s="3049"/>
      <c r="J304" s="3049"/>
      <c r="K304" s="3049"/>
      <c r="L304" s="3049"/>
      <c r="M304" s="3049"/>
      <c r="N304" s="3049"/>
      <c r="O304" s="3049"/>
      <c r="P304" s="3049"/>
      <c r="Q304" s="3049"/>
      <c r="R304" s="3049"/>
      <c r="S304" s="3049"/>
      <c r="T304" s="3049"/>
      <c r="U304" s="3049"/>
      <c r="V304" s="3049"/>
      <c r="W304" s="3049"/>
      <c r="X304" s="3049"/>
      <c r="Y304" s="3049"/>
      <c r="Z304" s="3049"/>
      <c r="AA304" s="3049"/>
      <c r="AB304" s="3049"/>
      <c r="AC304" s="3049"/>
      <c r="AD304" s="3049"/>
      <c r="AE304" s="3049"/>
      <c r="AF304" s="3049"/>
      <c r="AG304" s="3049"/>
      <c r="AH304" s="3049"/>
      <c r="AI304" s="3049"/>
      <c r="AJ304" s="3049"/>
      <c r="AK304" s="3049"/>
      <c r="AL304" s="3049"/>
      <c r="AM304" s="3049"/>
      <c r="AN304" s="3049"/>
      <c r="AO304" s="3049"/>
      <c r="AP304" s="3049"/>
      <c r="AQ304" s="3049"/>
      <c r="AR304" s="3049"/>
      <c r="AS304" s="3049"/>
      <c r="AT304" s="3049"/>
      <c r="AU304" s="3049"/>
      <c r="AV304" s="3049"/>
      <c r="AW304" s="3049"/>
      <c r="AX304" s="3049"/>
      <c r="AY304" s="3049"/>
      <c r="AZ304" s="3049"/>
      <c r="BA304" s="3049"/>
      <c r="BB304" s="3049"/>
      <c r="BC304" s="3049"/>
      <c r="BD304" s="3049"/>
      <c r="BE304" s="3049"/>
      <c r="BF304" s="3049"/>
      <c r="BG304" s="3049"/>
      <c r="BH304" s="3049"/>
      <c r="BI304" s="3049"/>
      <c r="BJ304" s="3049"/>
      <c r="BK304" s="3049"/>
      <c r="BL304" s="3049"/>
      <c r="BM304" s="3049"/>
      <c r="BN304" s="3049"/>
      <c r="BO304" s="3049"/>
      <c r="BP304" s="3049"/>
      <c r="BQ304" s="3049"/>
      <c r="BR304" s="3049"/>
      <c r="BS304" s="3049"/>
      <c r="BT304" s="3049"/>
      <c r="BU304" s="3049"/>
      <c r="BV304" s="3049"/>
      <c r="BW304" s="3049"/>
      <c r="BX304" s="3049"/>
      <c r="BY304" s="3049"/>
      <c r="BZ304" s="3049"/>
      <c r="CA304" s="3049"/>
      <c r="CB304" s="3049"/>
      <c r="CC304" s="3049"/>
      <c r="CD304" s="3049"/>
      <c r="CE304" s="3049"/>
      <c r="CF304" s="3049"/>
      <c r="CG304" s="3049"/>
      <c r="CH304" s="3049"/>
      <c r="CI304" s="3049"/>
      <c r="CJ304" s="3049"/>
      <c r="CK304" s="3049"/>
      <c r="CL304" s="3049"/>
      <c r="CM304" s="3049"/>
      <c r="CN304" s="3049"/>
    </row>
    <row r="305" spans="1:92" x14ac:dyDescent="0.2">
      <c r="A305" s="3049"/>
      <c r="B305" s="3049"/>
      <c r="C305" s="3049"/>
      <c r="D305" s="3049"/>
      <c r="E305" s="3049"/>
      <c r="F305" s="3049"/>
      <c r="G305" s="3049"/>
      <c r="H305" s="3049"/>
      <c r="I305" s="3049"/>
      <c r="J305" s="3049"/>
      <c r="K305" s="3049"/>
      <c r="L305" s="3049"/>
      <c r="M305" s="3049"/>
      <c r="N305" s="3049"/>
      <c r="O305" s="3049"/>
      <c r="P305" s="3049"/>
      <c r="Q305" s="3049"/>
      <c r="R305" s="3049"/>
      <c r="S305" s="3049"/>
      <c r="T305" s="3049"/>
      <c r="U305" s="3049"/>
      <c r="V305" s="3049"/>
      <c r="W305" s="3049"/>
      <c r="X305" s="3049"/>
      <c r="Y305" s="3049"/>
      <c r="Z305" s="3049"/>
      <c r="AA305" s="3049"/>
      <c r="AB305" s="3049"/>
      <c r="AC305" s="3049"/>
      <c r="AD305" s="3049"/>
      <c r="AE305" s="3049"/>
      <c r="AF305" s="3049"/>
      <c r="AG305" s="3049"/>
      <c r="AH305" s="3049"/>
      <c r="AI305" s="3049"/>
      <c r="AJ305" s="3049"/>
      <c r="AK305" s="3049"/>
      <c r="AL305" s="3049"/>
      <c r="AM305" s="3049"/>
      <c r="AN305" s="3049"/>
      <c r="AO305" s="3049"/>
      <c r="AP305" s="3049"/>
      <c r="AQ305" s="3049"/>
      <c r="AR305" s="3049"/>
      <c r="AS305" s="3049"/>
      <c r="AT305" s="3049"/>
      <c r="AU305" s="3049"/>
      <c r="AV305" s="3049"/>
      <c r="AW305" s="3049"/>
      <c r="AX305" s="3049"/>
      <c r="AY305" s="3049"/>
      <c r="AZ305" s="3049"/>
      <c r="BA305" s="3049"/>
      <c r="BB305" s="3049"/>
      <c r="BC305" s="3049"/>
      <c r="BD305" s="3049"/>
      <c r="BE305" s="3049"/>
      <c r="BF305" s="3049"/>
      <c r="BG305" s="3049"/>
      <c r="BH305" s="3049"/>
      <c r="BI305" s="3049"/>
      <c r="BJ305" s="3049"/>
      <c r="BK305" s="3049"/>
      <c r="BL305" s="3049"/>
      <c r="BM305" s="3049"/>
      <c r="BN305" s="3049"/>
      <c r="BO305" s="3049"/>
      <c r="BP305" s="3049"/>
      <c r="BQ305" s="3049"/>
      <c r="BR305" s="3049"/>
      <c r="BS305" s="3049"/>
      <c r="BT305" s="3049"/>
      <c r="BU305" s="3049"/>
      <c r="BV305" s="3049"/>
      <c r="BW305" s="3049"/>
      <c r="BX305" s="3049"/>
      <c r="BY305" s="3049"/>
      <c r="BZ305" s="3049"/>
      <c r="CA305" s="3049"/>
      <c r="CB305" s="3049"/>
      <c r="CC305" s="3049"/>
      <c r="CD305" s="3049"/>
      <c r="CE305" s="3049"/>
      <c r="CF305" s="3049"/>
      <c r="CG305" s="3049"/>
      <c r="CH305" s="3049"/>
      <c r="CI305" s="3049"/>
      <c r="CJ305" s="3049"/>
      <c r="CK305" s="3049"/>
      <c r="CL305" s="3049"/>
      <c r="CM305" s="3049"/>
      <c r="CN305" s="3049"/>
    </row>
    <row r="306" spans="1:92" x14ac:dyDescent="0.2">
      <c r="A306" s="3049"/>
      <c r="B306" s="3049"/>
      <c r="C306" s="3049"/>
      <c r="D306" s="3049"/>
      <c r="E306" s="3049"/>
      <c r="F306" s="3049"/>
      <c r="G306" s="3049"/>
      <c r="H306" s="3049"/>
      <c r="I306" s="3049"/>
      <c r="J306" s="3049"/>
      <c r="K306" s="3049"/>
      <c r="L306" s="3049"/>
      <c r="M306" s="3049"/>
      <c r="N306" s="3049"/>
      <c r="O306" s="3049"/>
      <c r="P306" s="3049"/>
      <c r="Q306" s="3049"/>
      <c r="R306" s="3049"/>
      <c r="S306" s="3049"/>
      <c r="T306" s="3049"/>
      <c r="U306" s="3049"/>
      <c r="V306" s="3049"/>
      <c r="W306" s="3049"/>
      <c r="X306" s="3049"/>
      <c r="Y306" s="3049"/>
      <c r="Z306" s="3049"/>
      <c r="AA306" s="3049"/>
      <c r="AB306" s="3049"/>
      <c r="AC306" s="3049"/>
      <c r="AD306" s="3049"/>
      <c r="AE306" s="3049"/>
      <c r="AF306" s="3049"/>
      <c r="AG306" s="3049"/>
      <c r="AH306" s="3049"/>
      <c r="AI306" s="3049"/>
      <c r="AJ306" s="3049"/>
      <c r="AK306" s="3049"/>
      <c r="AL306" s="3049"/>
      <c r="AM306" s="3049"/>
      <c r="AN306" s="3049"/>
      <c r="AO306" s="3049"/>
      <c r="AP306" s="3049"/>
      <c r="AQ306" s="3049"/>
      <c r="AR306" s="3049"/>
      <c r="AS306" s="3049"/>
      <c r="AT306" s="3049"/>
      <c r="AU306" s="3049"/>
      <c r="AV306" s="3049"/>
      <c r="AW306" s="3049"/>
      <c r="AX306" s="3049"/>
      <c r="AY306" s="3049"/>
      <c r="AZ306" s="3049"/>
      <c r="BA306" s="3049"/>
      <c r="BB306" s="3049"/>
      <c r="BC306" s="3049"/>
      <c r="BD306" s="3049"/>
      <c r="BE306" s="3049"/>
      <c r="BF306" s="3049"/>
      <c r="BG306" s="3049"/>
      <c r="BH306" s="3049"/>
      <c r="BI306" s="3049"/>
      <c r="BJ306" s="3049"/>
      <c r="BK306" s="3049"/>
      <c r="BL306" s="3049"/>
      <c r="BM306" s="3049"/>
      <c r="BN306" s="3049"/>
      <c r="BO306" s="3049"/>
      <c r="BP306" s="3049"/>
      <c r="BQ306" s="3049"/>
      <c r="BR306" s="3049"/>
      <c r="BS306" s="3049"/>
      <c r="BT306" s="3049"/>
      <c r="BU306" s="3049"/>
      <c r="BV306" s="3049"/>
      <c r="BW306" s="3049"/>
      <c r="BX306" s="3049"/>
      <c r="BY306" s="3049"/>
      <c r="BZ306" s="3049"/>
      <c r="CA306" s="3049"/>
      <c r="CB306" s="3049"/>
      <c r="CC306" s="3049"/>
      <c r="CD306" s="3049"/>
      <c r="CE306" s="3049"/>
      <c r="CF306" s="3049"/>
      <c r="CG306" s="3049"/>
      <c r="CH306" s="3049"/>
      <c r="CI306" s="3049"/>
      <c r="CJ306" s="3049"/>
      <c r="CK306" s="3049"/>
      <c r="CL306" s="3049"/>
      <c r="CM306" s="3049"/>
      <c r="CN306" s="3049"/>
    </row>
    <row r="307" spans="1:92" x14ac:dyDescent="0.2">
      <c r="A307" s="3049"/>
      <c r="B307" s="3049"/>
      <c r="C307" s="3049"/>
      <c r="D307" s="3049"/>
      <c r="E307" s="3049"/>
      <c r="F307" s="3049"/>
      <c r="G307" s="3049"/>
      <c r="H307" s="3049"/>
      <c r="I307" s="3049"/>
      <c r="J307" s="3049"/>
      <c r="K307" s="3049"/>
      <c r="L307" s="3049"/>
      <c r="M307" s="3049"/>
      <c r="N307" s="3049"/>
      <c r="O307" s="3049"/>
      <c r="P307" s="3049"/>
      <c r="Q307" s="3049"/>
      <c r="R307" s="3049"/>
      <c r="S307" s="3049"/>
      <c r="T307" s="3049"/>
      <c r="U307" s="3049"/>
      <c r="V307" s="3049"/>
      <c r="W307" s="3049"/>
      <c r="X307" s="3049"/>
      <c r="Y307" s="3049"/>
      <c r="Z307" s="3049"/>
      <c r="AA307" s="3049"/>
      <c r="AB307" s="3049"/>
      <c r="AC307" s="3049"/>
      <c r="AD307" s="3049"/>
      <c r="AE307" s="3049"/>
      <c r="AF307" s="3049"/>
      <c r="AG307" s="3049"/>
      <c r="AH307" s="3049"/>
      <c r="AI307" s="3049"/>
      <c r="AJ307" s="3049"/>
      <c r="AK307" s="3049"/>
      <c r="AL307" s="3049"/>
      <c r="AM307" s="3049"/>
      <c r="AN307" s="3049"/>
      <c r="AO307" s="3049"/>
      <c r="AP307" s="3049"/>
      <c r="AQ307" s="3049"/>
      <c r="AR307" s="3049"/>
      <c r="AS307" s="3049"/>
      <c r="AT307" s="3049"/>
      <c r="AU307" s="3049"/>
      <c r="AV307" s="3049"/>
      <c r="AW307" s="3049"/>
      <c r="AX307" s="3049"/>
      <c r="AY307" s="3049"/>
      <c r="AZ307" s="3049"/>
      <c r="BA307" s="3049"/>
      <c r="BB307" s="3049"/>
      <c r="BC307" s="3049"/>
      <c r="BD307" s="3049"/>
      <c r="BE307" s="3049"/>
      <c r="BF307" s="3049"/>
      <c r="BG307" s="3049"/>
      <c r="BH307" s="3049"/>
      <c r="BI307" s="3049"/>
      <c r="BJ307" s="3049"/>
      <c r="BK307" s="3049"/>
      <c r="BL307" s="3049"/>
      <c r="BM307" s="3049"/>
      <c r="BN307" s="3049"/>
      <c r="BO307" s="3049"/>
      <c r="BP307" s="3049"/>
      <c r="BQ307" s="3049"/>
      <c r="BR307" s="3049"/>
      <c r="BS307" s="3049"/>
      <c r="BT307" s="3049"/>
      <c r="BU307" s="3049"/>
      <c r="BV307" s="3049"/>
      <c r="BW307" s="3049"/>
      <c r="BX307" s="3049"/>
      <c r="BY307" s="3049"/>
      <c r="BZ307" s="3049"/>
      <c r="CA307" s="3049"/>
      <c r="CB307" s="3049"/>
      <c r="CC307" s="3049"/>
      <c r="CD307" s="3049"/>
      <c r="CE307" s="3049"/>
      <c r="CF307" s="3049"/>
      <c r="CG307" s="3049"/>
      <c r="CH307" s="3049"/>
      <c r="CI307" s="3049"/>
      <c r="CJ307" s="3049"/>
      <c r="CK307" s="3049"/>
      <c r="CL307" s="3049"/>
      <c r="CM307" s="3049"/>
      <c r="CN307" s="3049"/>
    </row>
    <row r="308" spans="1:92" x14ac:dyDescent="0.2">
      <c r="A308" s="3049"/>
      <c r="B308" s="3049"/>
      <c r="C308" s="3049"/>
      <c r="D308" s="3049"/>
      <c r="E308" s="3049"/>
      <c r="F308" s="3049"/>
      <c r="G308" s="3049"/>
      <c r="H308" s="3049"/>
      <c r="I308" s="3049"/>
      <c r="J308" s="3049"/>
      <c r="K308" s="3049"/>
      <c r="L308" s="3049"/>
      <c r="M308" s="3049"/>
      <c r="N308" s="3049"/>
      <c r="O308" s="3049"/>
      <c r="P308" s="3049"/>
      <c r="Q308" s="3049"/>
      <c r="R308" s="3049"/>
      <c r="S308" s="3049"/>
      <c r="T308" s="3049"/>
      <c r="U308" s="3049"/>
      <c r="V308" s="3049"/>
      <c r="W308" s="3049"/>
      <c r="X308" s="3049"/>
      <c r="Y308" s="3049"/>
      <c r="Z308" s="3049"/>
      <c r="AA308" s="3049"/>
      <c r="AB308" s="3049"/>
      <c r="AC308" s="3049"/>
      <c r="AD308" s="3049"/>
      <c r="AE308" s="3049"/>
      <c r="AF308" s="3049"/>
      <c r="AG308" s="3049"/>
      <c r="AH308" s="3049"/>
      <c r="AI308" s="3049"/>
      <c r="AJ308" s="3049"/>
      <c r="AK308" s="3049"/>
      <c r="AL308" s="3049"/>
      <c r="AM308" s="3049"/>
      <c r="AN308" s="3049"/>
      <c r="AO308" s="3049"/>
      <c r="AP308" s="3049"/>
      <c r="AQ308" s="3049"/>
      <c r="AR308" s="3049"/>
      <c r="AS308" s="3049"/>
      <c r="AT308" s="3049"/>
      <c r="AU308" s="3049"/>
      <c r="AV308" s="3049"/>
      <c r="AW308" s="3049"/>
      <c r="AX308" s="3049"/>
      <c r="AY308" s="3049"/>
      <c r="AZ308" s="3049"/>
      <c r="BA308" s="3049"/>
      <c r="BB308" s="3049"/>
      <c r="BC308" s="3049"/>
      <c r="BD308" s="3049"/>
      <c r="BE308" s="3049"/>
      <c r="BF308" s="3049"/>
      <c r="BG308" s="3049"/>
      <c r="BH308" s="3049"/>
      <c r="BI308" s="3049"/>
      <c r="BJ308" s="3049"/>
      <c r="BK308" s="3049"/>
      <c r="BL308" s="3049"/>
      <c r="BM308" s="3049"/>
      <c r="BN308" s="3049"/>
      <c r="BO308" s="3049"/>
      <c r="BP308" s="3049"/>
      <c r="BQ308" s="3049"/>
      <c r="BR308" s="3049"/>
      <c r="BS308" s="3049"/>
      <c r="BT308" s="3049"/>
      <c r="BU308" s="3049"/>
      <c r="BV308" s="3049"/>
      <c r="BW308" s="3049"/>
      <c r="BX308" s="3049"/>
      <c r="BY308" s="3049"/>
      <c r="BZ308" s="3049"/>
      <c r="CA308" s="3049"/>
      <c r="CB308" s="3049"/>
      <c r="CC308" s="3049"/>
      <c r="CD308" s="3049"/>
      <c r="CE308" s="3049"/>
      <c r="CF308" s="3049"/>
      <c r="CG308" s="3049"/>
      <c r="CH308" s="3049"/>
      <c r="CI308" s="3049"/>
      <c r="CJ308" s="3049"/>
      <c r="CK308" s="3049"/>
      <c r="CL308" s="3049"/>
      <c r="CM308" s="3049"/>
      <c r="CN308" s="3049"/>
    </row>
    <row r="309" spans="1:92" x14ac:dyDescent="0.2">
      <c r="A309" s="3049"/>
      <c r="B309" s="3049"/>
      <c r="C309" s="3049"/>
      <c r="D309" s="3049"/>
      <c r="E309" s="3049"/>
      <c r="F309" s="3049"/>
      <c r="G309" s="3049"/>
      <c r="H309" s="3049"/>
      <c r="I309" s="3049"/>
      <c r="J309" s="3049"/>
      <c r="K309" s="3049"/>
      <c r="L309" s="3049"/>
      <c r="M309" s="3049"/>
      <c r="N309" s="3049"/>
      <c r="O309" s="3049"/>
      <c r="P309" s="3049"/>
      <c r="Q309" s="3049"/>
      <c r="R309" s="3049"/>
      <c r="S309" s="3049"/>
      <c r="T309" s="3049"/>
      <c r="U309" s="3049"/>
      <c r="V309" s="3049"/>
      <c r="W309" s="3049"/>
      <c r="X309" s="3049"/>
      <c r="Y309" s="3049"/>
      <c r="Z309" s="3049"/>
      <c r="AA309" s="3049"/>
      <c r="AB309" s="3049"/>
      <c r="AC309" s="3049"/>
      <c r="AD309" s="3049"/>
      <c r="AE309" s="3049"/>
      <c r="AF309" s="3049"/>
      <c r="AG309" s="3049"/>
      <c r="AH309" s="3049"/>
      <c r="AI309" s="3049"/>
      <c r="AJ309" s="3049"/>
      <c r="AK309" s="3049"/>
      <c r="AL309" s="3049"/>
      <c r="AM309" s="3049"/>
      <c r="AN309" s="3049"/>
      <c r="AO309" s="3049"/>
      <c r="AP309" s="3049"/>
      <c r="AQ309" s="3049"/>
      <c r="AR309" s="3049"/>
      <c r="AS309" s="3049"/>
      <c r="AT309" s="3049"/>
      <c r="AU309" s="3049"/>
      <c r="AV309" s="3049"/>
      <c r="AW309" s="3049"/>
      <c r="AX309" s="3049"/>
      <c r="AY309" s="3049"/>
      <c r="AZ309" s="3049"/>
      <c r="BA309" s="3049"/>
      <c r="BB309" s="3049"/>
      <c r="BC309" s="3049"/>
      <c r="BD309" s="3049"/>
      <c r="BE309" s="3049"/>
      <c r="BF309" s="3049"/>
      <c r="BG309" s="3049"/>
      <c r="BH309" s="3049"/>
      <c r="BI309" s="3049"/>
      <c r="BJ309" s="3049"/>
      <c r="BK309" s="3049"/>
      <c r="BL309" s="3049"/>
      <c r="BM309" s="3049"/>
      <c r="BN309" s="3049"/>
      <c r="BO309" s="3049"/>
      <c r="BP309" s="3049"/>
      <c r="BQ309" s="3049"/>
      <c r="BR309" s="3049"/>
      <c r="BS309" s="3049"/>
      <c r="BT309" s="3049"/>
      <c r="BU309" s="3049"/>
      <c r="BV309" s="3049"/>
      <c r="BW309" s="3049"/>
      <c r="BX309" s="3049"/>
      <c r="BY309" s="3049"/>
      <c r="BZ309" s="3049"/>
      <c r="CA309" s="3049"/>
      <c r="CB309" s="3049"/>
      <c r="CC309" s="3049"/>
      <c r="CD309" s="3049"/>
      <c r="CE309" s="3049"/>
      <c r="CF309" s="3049"/>
      <c r="CG309" s="3049"/>
      <c r="CH309" s="3049"/>
      <c r="CI309" s="3049"/>
      <c r="CJ309" s="3049"/>
      <c r="CK309" s="3049"/>
      <c r="CL309" s="3049"/>
      <c r="CM309" s="3049"/>
      <c r="CN309" s="3049"/>
    </row>
    <row r="310" spans="1:92" x14ac:dyDescent="0.2">
      <c r="A310" s="3049"/>
      <c r="B310" s="3049"/>
      <c r="C310" s="3049"/>
      <c r="D310" s="3049"/>
      <c r="E310" s="3049"/>
      <c r="F310" s="3049"/>
      <c r="G310" s="3049"/>
      <c r="H310" s="3049"/>
      <c r="I310" s="3049"/>
      <c r="J310" s="3049"/>
      <c r="K310" s="3049"/>
      <c r="L310" s="3049"/>
      <c r="M310" s="3049"/>
      <c r="N310" s="3049"/>
      <c r="O310" s="3049"/>
      <c r="P310" s="3049"/>
      <c r="Q310" s="3049"/>
      <c r="R310" s="3049"/>
      <c r="S310" s="3049"/>
      <c r="T310" s="3049"/>
      <c r="U310" s="3049"/>
      <c r="V310" s="3049"/>
      <c r="W310" s="3049"/>
      <c r="X310" s="3049"/>
      <c r="Y310" s="3049"/>
      <c r="Z310" s="3049"/>
      <c r="AA310" s="3049"/>
      <c r="AB310" s="3049"/>
      <c r="AC310" s="3049"/>
      <c r="AD310" s="3049"/>
      <c r="AE310" s="3049"/>
      <c r="AF310" s="3049"/>
      <c r="AG310" s="3049"/>
      <c r="AH310" s="3049"/>
      <c r="AI310" s="3049"/>
      <c r="AJ310" s="3049"/>
      <c r="AK310" s="3049"/>
      <c r="AL310" s="3049"/>
      <c r="AM310" s="3049"/>
      <c r="AN310" s="3049"/>
      <c r="AO310" s="3049"/>
      <c r="AP310" s="3049"/>
      <c r="AQ310" s="3049"/>
      <c r="AR310" s="3049"/>
      <c r="AS310" s="3049"/>
      <c r="AT310" s="3049"/>
      <c r="AU310" s="3049"/>
      <c r="AV310" s="3049"/>
      <c r="AW310" s="3049"/>
      <c r="AX310" s="3049"/>
      <c r="AY310" s="3049"/>
      <c r="AZ310" s="3049"/>
      <c r="BA310" s="3049"/>
      <c r="BB310" s="3049"/>
      <c r="BC310" s="3049"/>
      <c r="BD310" s="3049"/>
      <c r="BE310" s="3049"/>
      <c r="BF310" s="3049"/>
      <c r="BG310" s="3049"/>
      <c r="BH310" s="3049"/>
      <c r="BI310" s="3049"/>
      <c r="BJ310" s="3049"/>
      <c r="BK310" s="3049"/>
      <c r="BL310" s="3049"/>
      <c r="BM310" s="3049"/>
      <c r="BN310" s="3049"/>
      <c r="BO310" s="3049"/>
      <c r="BP310" s="3049"/>
      <c r="BQ310" s="3049"/>
      <c r="BR310" s="3049"/>
      <c r="BS310" s="3049"/>
      <c r="BT310" s="3049"/>
      <c r="BU310" s="3049"/>
      <c r="BV310" s="3049"/>
      <c r="BW310" s="3049"/>
      <c r="BX310" s="3049"/>
      <c r="BY310" s="3049"/>
      <c r="BZ310" s="3049"/>
      <c r="CA310" s="3049"/>
      <c r="CB310" s="3049"/>
      <c r="CC310" s="3049"/>
      <c r="CD310" s="3049"/>
      <c r="CE310" s="3049"/>
      <c r="CF310" s="3049"/>
      <c r="CG310" s="3049"/>
      <c r="CH310" s="3049"/>
      <c r="CI310" s="3049"/>
      <c r="CJ310" s="3049"/>
      <c r="CK310" s="3049"/>
      <c r="CL310" s="3049"/>
      <c r="CM310" s="3049"/>
      <c r="CN310" s="3049"/>
    </row>
    <row r="311" spans="1:92" x14ac:dyDescent="0.2">
      <c r="A311" s="3049"/>
      <c r="B311" s="3049"/>
      <c r="C311" s="3049"/>
      <c r="D311" s="3049"/>
      <c r="E311" s="3049"/>
      <c r="F311" s="3049"/>
      <c r="G311" s="3049"/>
      <c r="H311" s="3049"/>
      <c r="I311" s="3049"/>
      <c r="J311" s="3049"/>
      <c r="K311" s="3049"/>
      <c r="L311" s="3049"/>
      <c r="M311" s="3049"/>
      <c r="N311" s="3049"/>
      <c r="O311" s="3049"/>
      <c r="P311" s="3049"/>
      <c r="Q311" s="3049"/>
      <c r="R311" s="3049"/>
      <c r="S311" s="3049"/>
      <c r="T311" s="3049"/>
      <c r="U311" s="3049"/>
      <c r="V311" s="3049"/>
      <c r="W311" s="3049"/>
      <c r="X311" s="3049"/>
      <c r="Y311" s="3049"/>
      <c r="Z311" s="3049"/>
      <c r="AA311" s="3049"/>
      <c r="AB311" s="3049"/>
      <c r="AC311" s="3049"/>
      <c r="AD311" s="3049"/>
      <c r="AE311" s="3049"/>
      <c r="AF311" s="3049"/>
      <c r="AG311" s="3049"/>
      <c r="AH311" s="3049"/>
      <c r="AI311" s="3049"/>
      <c r="AJ311" s="3049"/>
      <c r="AK311" s="3049"/>
      <c r="AL311" s="3049"/>
      <c r="AM311" s="3049"/>
      <c r="AN311" s="3049"/>
      <c r="AO311" s="3049"/>
      <c r="AP311" s="3049"/>
      <c r="AQ311" s="3049"/>
      <c r="AR311" s="3049"/>
      <c r="AS311" s="3049"/>
      <c r="AT311" s="3049"/>
      <c r="AU311" s="3049"/>
      <c r="AV311" s="3049"/>
      <c r="AW311" s="3049"/>
      <c r="AX311" s="3049"/>
      <c r="AY311" s="3049"/>
      <c r="AZ311" s="3049"/>
      <c r="BA311" s="3049"/>
      <c r="BB311" s="3049"/>
      <c r="BC311" s="3049"/>
      <c r="BD311" s="3049"/>
      <c r="BE311" s="3049"/>
      <c r="BF311" s="3049"/>
      <c r="BG311" s="3049"/>
      <c r="BH311" s="3049"/>
      <c r="BI311" s="3049"/>
      <c r="BJ311" s="3049"/>
      <c r="BK311" s="3049"/>
      <c r="BL311" s="3049"/>
      <c r="BM311" s="3049"/>
      <c r="BN311" s="3049"/>
      <c r="BO311" s="3049"/>
      <c r="BP311" s="3049"/>
      <c r="BQ311" s="3049"/>
      <c r="BR311" s="3049"/>
      <c r="BS311" s="3049"/>
      <c r="BT311" s="3049"/>
      <c r="BU311" s="3049"/>
      <c r="BV311" s="3049"/>
      <c r="BW311" s="3049"/>
      <c r="BX311" s="3049"/>
      <c r="BY311" s="3049"/>
      <c r="BZ311" s="3049"/>
      <c r="CA311" s="3049"/>
      <c r="CB311" s="3049"/>
      <c r="CC311" s="3049"/>
      <c r="CD311" s="3049"/>
      <c r="CE311" s="3049"/>
      <c r="CF311" s="3049"/>
      <c r="CG311" s="3049"/>
      <c r="CH311" s="3049"/>
      <c r="CI311" s="3049"/>
      <c r="CJ311" s="3049"/>
      <c r="CK311" s="3049"/>
      <c r="CL311" s="3049"/>
      <c r="CM311" s="3049"/>
      <c r="CN311" s="3049"/>
    </row>
    <row r="312" spans="1:92" x14ac:dyDescent="0.2">
      <c r="A312" s="3049"/>
      <c r="B312" s="3049"/>
      <c r="C312" s="3049"/>
      <c r="D312" s="3049"/>
      <c r="E312" s="3049"/>
      <c r="F312" s="3049"/>
      <c r="G312" s="3049"/>
      <c r="H312" s="3049"/>
      <c r="I312" s="3049"/>
      <c r="J312" s="3049"/>
      <c r="K312" s="3049"/>
      <c r="L312" s="3049"/>
      <c r="M312" s="3049"/>
      <c r="N312" s="3049"/>
      <c r="O312" s="3049"/>
      <c r="P312" s="3049"/>
      <c r="Q312" s="3049"/>
      <c r="R312" s="3049"/>
      <c r="S312" s="3049"/>
      <c r="T312" s="3049"/>
      <c r="U312" s="3049"/>
      <c r="V312" s="3049"/>
      <c r="W312" s="3049"/>
      <c r="X312" s="3049"/>
      <c r="Y312" s="3049"/>
      <c r="Z312" s="3049"/>
      <c r="AA312" s="3049"/>
      <c r="AB312" s="3049"/>
      <c r="AC312" s="3049"/>
      <c r="AD312" s="3049"/>
      <c r="AE312" s="3049"/>
      <c r="AF312" s="3049"/>
      <c r="AG312" s="3049"/>
      <c r="AH312" s="3049"/>
      <c r="AI312" s="3049"/>
      <c r="AJ312" s="3049"/>
      <c r="AK312" s="3049"/>
      <c r="AL312" s="3049"/>
      <c r="AM312" s="3049"/>
      <c r="AN312" s="3049"/>
      <c r="AO312" s="3049"/>
      <c r="AP312" s="3049"/>
      <c r="AQ312" s="3049"/>
      <c r="AR312" s="3049"/>
      <c r="AS312" s="3049"/>
      <c r="AT312" s="3049"/>
      <c r="AU312" s="3049"/>
      <c r="AV312" s="3049"/>
      <c r="AW312" s="3049"/>
      <c r="AX312" s="3049"/>
      <c r="AY312" s="3049"/>
      <c r="AZ312" s="3049"/>
      <c r="BA312" s="3049"/>
      <c r="BB312" s="3049"/>
      <c r="BC312" s="3049"/>
      <c r="BD312" s="3049"/>
      <c r="BE312" s="3049"/>
      <c r="BF312" s="3049"/>
      <c r="BG312" s="3049"/>
      <c r="BH312" s="3049"/>
      <c r="BI312" s="3049"/>
      <c r="BJ312" s="3049"/>
      <c r="BK312" s="3049"/>
      <c r="BL312" s="3049"/>
      <c r="BM312" s="3049"/>
      <c r="BN312" s="3049"/>
      <c r="BO312" s="3049"/>
      <c r="BP312" s="3049"/>
      <c r="BQ312" s="3049"/>
      <c r="BR312" s="3049"/>
      <c r="BS312" s="3049"/>
      <c r="BT312" s="3049"/>
      <c r="BU312" s="3049"/>
      <c r="BV312" s="3049"/>
      <c r="BW312" s="3049"/>
      <c r="BX312" s="3049"/>
      <c r="BY312" s="3049"/>
      <c r="BZ312" s="3049"/>
      <c r="CA312" s="3049"/>
      <c r="CB312" s="3049"/>
      <c r="CC312" s="3049"/>
      <c r="CD312" s="3049"/>
      <c r="CE312" s="3049"/>
      <c r="CF312" s="3049"/>
      <c r="CG312" s="3049"/>
      <c r="CH312" s="3049"/>
      <c r="CI312" s="3049"/>
      <c r="CJ312" s="3049"/>
      <c r="CK312" s="3049"/>
      <c r="CL312" s="3049"/>
      <c r="CM312" s="3049"/>
      <c r="CN312" s="3049"/>
    </row>
    <row r="313" spans="1:92" x14ac:dyDescent="0.2">
      <c r="A313" s="3049"/>
      <c r="B313" s="3049"/>
      <c r="C313" s="3049"/>
      <c r="D313" s="3049"/>
      <c r="E313" s="3049"/>
      <c r="F313" s="3049"/>
      <c r="G313" s="3049"/>
      <c r="H313" s="3049"/>
      <c r="I313" s="3049"/>
      <c r="J313" s="3049"/>
      <c r="K313" s="3049"/>
      <c r="L313" s="3049"/>
      <c r="M313" s="3049"/>
      <c r="N313" s="3049"/>
      <c r="O313" s="3049"/>
      <c r="P313" s="3049"/>
      <c r="Q313" s="3049"/>
      <c r="R313" s="3049"/>
      <c r="S313" s="3049"/>
      <c r="T313" s="3049"/>
      <c r="U313" s="3049"/>
      <c r="V313" s="3049"/>
      <c r="W313" s="3049"/>
      <c r="X313" s="3049"/>
      <c r="Y313" s="3049"/>
      <c r="Z313" s="3049"/>
      <c r="AA313" s="3049"/>
      <c r="AB313" s="3049"/>
      <c r="AC313" s="3049"/>
      <c r="AD313" s="3049"/>
      <c r="AE313" s="3049"/>
      <c r="AF313" s="3049"/>
      <c r="AG313" s="3049"/>
      <c r="AH313" s="3049"/>
      <c r="AI313" s="3049"/>
      <c r="AJ313" s="3049"/>
      <c r="AK313" s="3049"/>
      <c r="AL313" s="3049"/>
      <c r="AM313" s="3049"/>
      <c r="AN313" s="3049"/>
      <c r="AO313" s="3049"/>
      <c r="AP313" s="3049"/>
      <c r="AQ313" s="3049"/>
      <c r="AR313" s="3049"/>
      <c r="AS313" s="3049"/>
      <c r="AT313" s="3049"/>
      <c r="AU313" s="3049"/>
      <c r="AV313" s="3049"/>
      <c r="AW313" s="3049"/>
      <c r="AX313" s="3049"/>
      <c r="AY313" s="3049"/>
      <c r="AZ313" s="3049"/>
      <c r="BA313" s="3049"/>
      <c r="BB313" s="3049"/>
      <c r="BC313" s="3049"/>
      <c r="BD313" s="3049"/>
      <c r="BE313" s="3049"/>
      <c r="BF313" s="3049"/>
      <c r="BG313" s="3049"/>
      <c r="BH313" s="3049"/>
      <c r="BI313" s="3049"/>
      <c r="BJ313" s="3049"/>
      <c r="BK313" s="3049"/>
      <c r="BL313" s="3049"/>
      <c r="BM313" s="3049"/>
      <c r="BN313" s="3049"/>
      <c r="BO313" s="3049"/>
      <c r="BP313" s="3049"/>
      <c r="BQ313" s="3049"/>
      <c r="BR313" s="3049"/>
      <c r="BS313" s="3049"/>
      <c r="BT313" s="3049"/>
      <c r="BU313" s="3049"/>
      <c r="BV313" s="3049"/>
      <c r="BW313" s="3049"/>
      <c r="BX313" s="3049"/>
      <c r="BY313" s="3049"/>
      <c r="BZ313" s="3049"/>
      <c r="CA313" s="3049"/>
      <c r="CB313" s="3049"/>
      <c r="CC313" s="3049"/>
      <c r="CD313" s="3049"/>
      <c r="CE313" s="3049"/>
      <c r="CF313" s="3049"/>
      <c r="CG313" s="3049"/>
      <c r="CH313" s="3049"/>
      <c r="CI313" s="3049"/>
      <c r="CJ313" s="3049"/>
      <c r="CK313" s="3049"/>
      <c r="CL313" s="3049"/>
      <c r="CM313" s="3049"/>
      <c r="CN313" s="3049"/>
    </row>
    <row r="314" spans="1:92" x14ac:dyDescent="0.2">
      <c r="A314" s="3049"/>
      <c r="B314" s="3049"/>
      <c r="C314" s="3049"/>
      <c r="D314" s="3049"/>
      <c r="E314" s="3049"/>
      <c r="F314" s="3049"/>
      <c r="G314" s="3049"/>
      <c r="H314" s="3049"/>
      <c r="I314" s="3049"/>
      <c r="J314" s="3049"/>
      <c r="K314" s="3049"/>
      <c r="L314" s="3049"/>
      <c r="M314" s="3049"/>
      <c r="N314" s="3049"/>
      <c r="O314" s="3049"/>
      <c r="P314" s="3049"/>
      <c r="Q314" s="3049"/>
      <c r="R314" s="3049"/>
      <c r="S314" s="3049"/>
      <c r="T314" s="3049"/>
      <c r="U314" s="3049"/>
      <c r="V314" s="3049"/>
      <c r="W314" s="3049"/>
      <c r="X314" s="3049"/>
      <c r="Y314" s="3049"/>
      <c r="Z314" s="3049"/>
      <c r="AA314" s="3049"/>
      <c r="AB314" s="3049"/>
      <c r="AC314" s="3049"/>
      <c r="AD314" s="3049"/>
      <c r="AE314" s="3049"/>
      <c r="AF314" s="3049"/>
      <c r="AG314" s="3049"/>
      <c r="AH314" s="3049"/>
      <c r="AI314" s="3049"/>
      <c r="AJ314" s="3049"/>
      <c r="AK314" s="3049"/>
      <c r="AL314" s="3049"/>
      <c r="AM314" s="3049"/>
      <c r="AN314" s="3049"/>
      <c r="AO314" s="3049"/>
      <c r="AP314" s="3049"/>
      <c r="AQ314" s="3049"/>
      <c r="AR314" s="3049"/>
      <c r="AS314" s="3049"/>
      <c r="AT314" s="3049"/>
      <c r="AU314" s="3049"/>
      <c r="AV314" s="3049"/>
      <c r="AW314" s="3049"/>
      <c r="AX314" s="3049"/>
      <c r="AY314" s="3049"/>
      <c r="AZ314" s="3049"/>
      <c r="BA314" s="3049"/>
      <c r="BB314" s="3049"/>
      <c r="BC314" s="3049"/>
      <c r="BD314" s="3049"/>
      <c r="BE314" s="3049"/>
      <c r="BF314" s="3049"/>
      <c r="BG314" s="3049"/>
      <c r="BH314" s="3049"/>
      <c r="BI314" s="3049"/>
      <c r="BJ314" s="3049"/>
      <c r="BK314" s="3049"/>
      <c r="BL314" s="3049"/>
      <c r="BM314" s="3049"/>
      <c r="BN314" s="3049"/>
      <c r="BO314" s="3049"/>
      <c r="BP314" s="3049"/>
      <c r="BQ314" s="3049"/>
      <c r="BR314" s="3049"/>
      <c r="BS314" s="3049"/>
      <c r="BT314" s="3049"/>
      <c r="BU314" s="3049"/>
      <c r="BV314" s="3049"/>
      <c r="BW314" s="3049"/>
      <c r="BX314" s="3049"/>
      <c r="BY314" s="3049"/>
      <c r="BZ314" s="3049"/>
      <c r="CA314" s="3049"/>
      <c r="CB314" s="3049"/>
      <c r="CC314" s="3049"/>
      <c r="CD314" s="3049"/>
      <c r="CE314" s="3049"/>
      <c r="CF314" s="3049"/>
      <c r="CG314" s="3049"/>
      <c r="CH314" s="3049"/>
      <c r="CI314" s="3049"/>
      <c r="CJ314" s="3049"/>
      <c r="CK314" s="3049"/>
      <c r="CL314" s="3049"/>
      <c r="CM314" s="3049"/>
      <c r="CN314" s="3049"/>
    </row>
    <row r="315" spans="1:92" x14ac:dyDescent="0.2">
      <c r="A315" s="3049"/>
      <c r="B315" s="3049"/>
      <c r="C315" s="3049"/>
      <c r="D315" s="3049"/>
      <c r="E315" s="3049"/>
      <c r="F315" s="3049"/>
      <c r="G315" s="3049"/>
      <c r="H315" s="3049"/>
      <c r="I315" s="3049"/>
      <c r="J315" s="3049"/>
      <c r="K315" s="3049"/>
      <c r="L315" s="3049"/>
      <c r="M315" s="3049"/>
      <c r="N315" s="3049"/>
      <c r="O315" s="3049"/>
      <c r="P315" s="3049"/>
      <c r="Q315" s="3049"/>
      <c r="R315" s="3049"/>
      <c r="S315" s="3049"/>
      <c r="T315" s="3049"/>
      <c r="U315" s="3049"/>
      <c r="V315" s="3049"/>
      <c r="W315" s="3049"/>
      <c r="X315" s="3049"/>
      <c r="Y315" s="3049"/>
      <c r="Z315" s="3049"/>
      <c r="AA315" s="3049"/>
      <c r="AB315" s="3049"/>
      <c r="AC315" s="3049"/>
      <c r="AD315" s="3049"/>
      <c r="AE315" s="3049"/>
      <c r="AF315" s="3049"/>
      <c r="AG315" s="3049"/>
      <c r="AH315" s="3049"/>
      <c r="AI315" s="3049"/>
      <c r="AJ315" s="3049"/>
      <c r="AK315" s="3049"/>
      <c r="AL315" s="3049"/>
      <c r="AM315" s="3049"/>
      <c r="AN315" s="3049"/>
      <c r="AO315" s="3049"/>
      <c r="AP315" s="3049"/>
      <c r="AQ315" s="3049"/>
      <c r="AR315" s="3049"/>
      <c r="AS315" s="3049"/>
      <c r="AT315" s="3049"/>
      <c r="AU315" s="3049"/>
      <c r="AV315" s="3049"/>
      <c r="AW315" s="3049"/>
      <c r="AX315" s="3049"/>
      <c r="AY315" s="3049"/>
      <c r="AZ315" s="3049"/>
      <c r="BA315" s="3049"/>
      <c r="BB315" s="3049"/>
      <c r="BC315" s="3049"/>
      <c r="BD315" s="3049"/>
      <c r="BE315" s="3049"/>
      <c r="BF315" s="3049"/>
      <c r="BG315" s="3049"/>
      <c r="BH315" s="3049"/>
      <c r="BI315" s="3049"/>
      <c r="BJ315" s="3049"/>
      <c r="BK315" s="3049"/>
      <c r="BL315" s="3049"/>
      <c r="BM315" s="3049"/>
      <c r="BN315" s="3049"/>
      <c r="BO315" s="3049"/>
      <c r="BP315" s="3049"/>
      <c r="BQ315" s="3049"/>
      <c r="BR315" s="3049"/>
      <c r="BS315" s="3049"/>
      <c r="BT315" s="3049"/>
      <c r="BU315" s="3049"/>
      <c r="BV315" s="3049"/>
      <c r="BW315" s="3049"/>
      <c r="BX315" s="3049"/>
      <c r="BY315" s="3049"/>
      <c r="BZ315" s="3049"/>
      <c r="CA315" s="3049"/>
      <c r="CB315" s="3049"/>
      <c r="CC315" s="3049"/>
      <c r="CD315" s="3049"/>
      <c r="CE315" s="3049"/>
      <c r="CF315" s="3049"/>
      <c r="CG315" s="3049"/>
      <c r="CH315" s="3049"/>
      <c r="CI315" s="3049"/>
      <c r="CJ315" s="3049"/>
      <c r="CK315" s="3049"/>
      <c r="CL315" s="3049"/>
      <c r="CM315" s="3049"/>
      <c r="CN315" s="3049"/>
    </row>
    <row r="316" spans="1:92" x14ac:dyDescent="0.2">
      <c r="A316" s="3049"/>
      <c r="B316" s="3049"/>
      <c r="C316" s="3049"/>
      <c r="D316" s="3049"/>
      <c r="E316" s="3049"/>
      <c r="F316" s="3049"/>
      <c r="G316" s="3049"/>
      <c r="H316" s="3049"/>
      <c r="I316" s="3049"/>
      <c r="J316" s="3049"/>
      <c r="K316" s="3049"/>
      <c r="L316" s="3049"/>
      <c r="M316" s="3049"/>
      <c r="N316" s="3049"/>
      <c r="O316" s="3049"/>
      <c r="P316" s="3049"/>
      <c r="Q316" s="3049"/>
      <c r="R316" s="3049"/>
      <c r="S316" s="3049"/>
      <c r="T316" s="3049"/>
      <c r="U316" s="3049"/>
      <c r="V316" s="3049"/>
      <c r="W316" s="3049"/>
      <c r="X316" s="3049"/>
      <c r="Y316" s="3049"/>
      <c r="Z316" s="3049"/>
      <c r="AA316" s="3049"/>
      <c r="AB316" s="3049"/>
      <c r="AC316" s="3049"/>
      <c r="AD316" s="3049"/>
      <c r="AE316" s="3049"/>
      <c r="AF316" s="3049"/>
      <c r="AG316" s="3049"/>
      <c r="AH316" s="3049"/>
      <c r="AI316" s="3049"/>
      <c r="AJ316" s="3049"/>
      <c r="AK316" s="3049"/>
      <c r="AL316" s="3049"/>
      <c r="AM316" s="3049"/>
      <c r="AN316" s="3049"/>
      <c r="AO316" s="3049"/>
      <c r="AP316" s="3049"/>
      <c r="AQ316" s="3049"/>
      <c r="AR316" s="3049"/>
      <c r="AS316" s="3049"/>
      <c r="AT316" s="3049"/>
      <c r="AU316" s="3049"/>
      <c r="AV316" s="3049"/>
      <c r="AW316" s="3049"/>
      <c r="AX316" s="3049"/>
      <c r="AY316" s="3049"/>
      <c r="AZ316" s="3049"/>
      <c r="BA316" s="3049"/>
      <c r="BB316" s="3049"/>
      <c r="BC316" s="3049"/>
      <c r="BD316" s="3049"/>
      <c r="BE316" s="3049"/>
      <c r="BF316" s="3049"/>
      <c r="BG316" s="3049"/>
      <c r="BH316" s="3049"/>
      <c r="BI316" s="3049"/>
      <c r="BJ316" s="3049"/>
      <c r="BK316" s="3049"/>
      <c r="BL316" s="3049"/>
      <c r="BM316" s="3049"/>
      <c r="BN316" s="3049"/>
      <c r="BO316" s="3049"/>
      <c r="BP316" s="3049"/>
      <c r="BQ316" s="3049"/>
      <c r="BR316" s="3049"/>
      <c r="BS316" s="3049"/>
      <c r="BT316" s="3049"/>
      <c r="BU316" s="3049"/>
      <c r="BV316" s="3049"/>
      <c r="BW316" s="3049"/>
      <c r="BX316" s="3049"/>
      <c r="BY316" s="3049"/>
      <c r="BZ316" s="3049"/>
      <c r="CA316" s="3049"/>
      <c r="CB316" s="3049"/>
      <c r="CC316" s="3049"/>
      <c r="CD316" s="3049"/>
      <c r="CE316" s="3049"/>
      <c r="CF316" s="3049"/>
      <c r="CG316" s="3049"/>
      <c r="CH316" s="3049"/>
      <c r="CI316" s="3049"/>
      <c r="CJ316" s="3049"/>
      <c r="CK316" s="3049"/>
      <c r="CL316" s="3049"/>
      <c r="CM316" s="3049"/>
      <c r="CN316" s="3049"/>
    </row>
    <row r="317" spans="1:92" x14ac:dyDescent="0.2">
      <c r="A317" s="3049"/>
      <c r="B317" s="3049"/>
      <c r="C317" s="3049"/>
      <c r="D317" s="3049"/>
      <c r="E317" s="3049"/>
      <c r="F317" s="3049"/>
      <c r="G317" s="3049"/>
      <c r="H317" s="3049"/>
      <c r="I317" s="3049"/>
      <c r="J317" s="3049"/>
      <c r="K317" s="3049"/>
      <c r="L317" s="3049"/>
      <c r="M317" s="3049"/>
      <c r="N317" s="3049"/>
      <c r="O317" s="3049"/>
      <c r="P317" s="3049"/>
      <c r="Q317" s="3049"/>
      <c r="R317" s="3049"/>
      <c r="S317" s="3049"/>
      <c r="T317" s="3049"/>
      <c r="U317" s="3049"/>
      <c r="V317" s="3049"/>
      <c r="W317" s="3049"/>
      <c r="X317" s="3049"/>
      <c r="Y317" s="3049"/>
      <c r="Z317" s="3049"/>
      <c r="AA317" s="3049"/>
      <c r="AB317" s="3049"/>
      <c r="AC317" s="3049"/>
      <c r="AD317" s="3049"/>
      <c r="AE317" s="3049"/>
      <c r="AF317" s="3049"/>
      <c r="AG317" s="3049"/>
      <c r="AH317" s="3049"/>
      <c r="AI317" s="3049"/>
      <c r="AJ317" s="3049"/>
      <c r="AK317" s="3049"/>
      <c r="AL317" s="3049"/>
      <c r="AM317" s="3049"/>
      <c r="AN317" s="3049"/>
      <c r="AO317" s="3049"/>
      <c r="AP317" s="3049"/>
      <c r="AQ317" s="3049"/>
      <c r="AR317" s="3049"/>
      <c r="AS317" s="3049"/>
      <c r="AT317" s="3049"/>
      <c r="AU317" s="3049"/>
      <c r="AV317" s="3049"/>
      <c r="AW317" s="3049"/>
      <c r="AX317" s="3049"/>
      <c r="AY317" s="3049"/>
      <c r="AZ317" s="3049"/>
      <c r="BA317" s="3049"/>
      <c r="BB317" s="3049"/>
      <c r="BC317" s="3049"/>
      <c r="BD317" s="3049"/>
      <c r="BE317" s="3049"/>
      <c r="BF317" s="3049"/>
      <c r="BG317" s="3049"/>
      <c r="BH317" s="3049"/>
      <c r="BI317" s="3049"/>
      <c r="BJ317" s="3049"/>
      <c r="BK317" s="3049"/>
      <c r="BL317" s="3049"/>
      <c r="BM317" s="3049"/>
      <c r="BN317" s="3049"/>
      <c r="BO317" s="3049"/>
      <c r="BP317" s="3049"/>
      <c r="BQ317" s="3049"/>
      <c r="BR317" s="3049"/>
      <c r="BS317" s="3049"/>
      <c r="BT317" s="3049"/>
      <c r="BU317" s="3049"/>
      <c r="BV317" s="3049"/>
      <c r="BW317" s="3049"/>
      <c r="BX317" s="3049"/>
      <c r="BY317" s="3049"/>
      <c r="BZ317" s="3049"/>
      <c r="CA317" s="3049"/>
      <c r="CB317" s="3049"/>
      <c r="CC317" s="3049"/>
      <c r="CD317" s="3049"/>
      <c r="CE317" s="3049"/>
      <c r="CF317" s="3049"/>
      <c r="CG317" s="3049"/>
      <c r="CH317" s="3049"/>
      <c r="CI317" s="3049"/>
      <c r="CJ317" s="3049"/>
      <c r="CK317" s="3049"/>
      <c r="CL317" s="3049"/>
      <c r="CM317" s="3049"/>
      <c r="CN317" s="3049"/>
    </row>
    <row r="318" spans="1:92" x14ac:dyDescent="0.2">
      <c r="A318" s="3049"/>
      <c r="B318" s="3049"/>
      <c r="C318" s="3049"/>
      <c r="D318" s="3049"/>
      <c r="E318" s="3049"/>
      <c r="F318" s="3049"/>
      <c r="G318" s="3049"/>
      <c r="H318" s="3049"/>
      <c r="I318" s="3049"/>
      <c r="J318" s="3049"/>
      <c r="K318" s="3049"/>
      <c r="L318" s="3049"/>
      <c r="M318" s="3049"/>
      <c r="N318" s="3049"/>
      <c r="O318" s="3049"/>
      <c r="P318" s="3049"/>
      <c r="Q318" s="3049"/>
      <c r="R318" s="3049"/>
      <c r="S318" s="3049"/>
      <c r="T318" s="3049"/>
      <c r="U318" s="3049"/>
      <c r="V318" s="3049"/>
      <c r="W318" s="3049"/>
      <c r="X318" s="3049"/>
      <c r="Y318" s="3049"/>
      <c r="Z318" s="3049"/>
      <c r="AA318" s="3049"/>
      <c r="AB318" s="3049"/>
      <c r="AC318" s="3049"/>
      <c r="AD318" s="3049"/>
      <c r="AE318" s="3049"/>
      <c r="AF318" s="3049"/>
      <c r="AG318" s="3049"/>
      <c r="AH318" s="3049"/>
      <c r="AI318" s="3049"/>
      <c r="AJ318" s="3049"/>
      <c r="AK318" s="3049"/>
      <c r="AL318" s="3049"/>
      <c r="AM318" s="3049"/>
      <c r="AN318" s="3049"/>
      <c r="AO318" s="3049"/>
      <c r="AP318" s="3049"/>
      <c r="AQ318" s="3049"/>
      <c r="AR318" s="3049"/>
      <c r="AS318" s="3049"/>
      <c r="AT318" s="3049"/>
      <c r="AU318" s="3049"/>
      <c r="AV318" s="3049"/>
      <c r="AW318" s="3049"/>
      <c r="AX318" s="3049"/>
      <c r="AY318" s="3049"/>
      <c r="AZ318" s="3049"/>
      <c r="BA318" s="3049"/>
      <c r="BB318" s="3049"/>
      <c r="BC318" s="3049"/>
      <c r="BD318" s="3049"/>
      <c r="BE318" s="3049"/>
      <c r="BF318" s="3049"/>
      <c r="BG318" s="3049"/>
      <c r="BH318" s="3049"/>
      <c r="BI318" s="3049"/>
      <c r="BJ318" s="3049"/>
      <c r="BK318" s="3049"/>
      <c r="BL318" s="3049"/>
      <c r="BM318" s="3049"/>
      <c r="BN318" s="3049"/>
      <c r="BO318" s="3049"/>
      <c r="BP318" s="3049"/>
      <c r="BQ318" s="3049"/>
      <c r="BR318" s="3049"/>
      <c r="BS318" s="3049"/>
      <c r="BT318" s="3049"/>
      <c r="BU318" s="3049"/>
      <c r="BV318" s="3049"/>
      <c r="BW318" s="3049"/>
      <c r="BX318" s="3049"/>
      <c r="BY318" s="3049"/>
      <c r="BZ318" s="3049"/>
      <c r="CA318" s="3049"/>
      <c r="CB318" s="3049"/>
      <c r="CC318" s="3049"/>
      <c r="CD318" s="3049"/>
      <c r="CE318" s="3049"/>
      <c r="CF318" s="3049"/>
      <c r="CG318" s="3049"/>
      <c r="CH318" s="3049"/>
      <c r="CI318" s="3049"/>
      <c r="CJ318" s="3049"/>
      <c r="CK318" s="3049"/>
      <c r="CL318" s="3049"/>
      <c r="CM318" s="3049"/>
      <c r="CN318" s="3049"/>
    </row>
    <row r="319" spans="1:92" x14ac:dyDescent="0.2">
      <c r="A319" s="3049"/>
      <c r="B319" s="3049"/>
      <c r="C319" s="3049"/>
      <c r="D319" s="3049"/>
      <c r="E319" s="3049"/>
      <c r="F319" s="3049"/>
      <c r="G319" s="3049"/>
      <c r="H319" s="3049"/>
      <c r="I319" s="3049"/>
      <c r="J319" s="3049"/>
      <c r="K319" s="3049"/>
      <c r="L319" s="3049"/>
      <c r="M319" s="3049"/>
      <c r="N319" s="3049"/>
      <c r="O319" s="3049"/>
      <c r="P319" s="3049"/>
      <c r="Q319" s="3049"/>
      <c r="R319" s="3049"/>
      <c r="S319" s="3049"/>
      <c r="T319" s="3049"/>
      <c r="U319" s="3049"/>
      <c r="V319" s="3049"/>
      <c r="W319" s="3049"/>
      <c r="X319" s="3049"/>
      <c r="Y319" s="3049"/>
      <c r="Z319" s="3049"/>
      <c r="AA319" s="3049"/>
      <c r="AB319" s="3049"/>
      <c r="AC319" s="3049"/>
      <c r="AD319" s="3049"/>
      <c r="AE319" s="3049"/>
      <c r="AF319" s="3049"/>
      <c r="AG319" s="3049"/>
      <c r="AH319" s="3049"/>
      <c r="AI319" s="3049"/>
      <c r="AJ319" s="3049"/>
      <c r="AK319" s="3049"/>
      <c r="AL319" s="3049"/>
      <c r="AM319" s="3049"/>
      <c r="AN319" s="3049"/>
      <c r="AO319" s="3049"/>
      <c r="AP319" s="3049"/>
      <c r="AQ319" s="3049"/>
      <c r="AR319" s="3049"/>
      <c r="AS319" s="3049"/>
      <c r="AT319" s="3049"/>
      <c r="AU319" s="3049"/>
      <c r="AV319" s="3049"/>
      <c r="AW319" s="3049"/>
      <c r="AX319" s="3049"/>
      <c r="AY319" s="3049"/>
      <c r="AZ319" s="3049"/>
      <c r="BA319" s="3049"/>
      <c r="BB319" s="3049"/>
      <c r="BC319" s="3049"/>
      <c r="BD319" s="3049"/>
      <c r="BE319" s="3049"/>
      <c r="BF319" s="3049"/>
      <c r="BG319" s="3049"/>
      <c r="BH319" s="3049"/>
      <c r="BI319" s="3049"/>
      <c r="BJ319" s="3049"/>
      <c r="BK319" s="3049"/>
      <c r="BL319" s="3049"/>
      <c r="BM319" s="3049"/>
      <c r="BN319" s="3049"/>
      <c r="BO319" s="3049"/>
      <c r="BP319" s="3049"/>
      <c r="BQ319" s="3049"/>
      <c r="BR319" s="3049"/>
      <c r="BS319" s="3049"/>
      <c r="BT319" s="3049"/>
      <c r="BU319" s="3049"/>
      <c r="BV319" s="3049"/>
      <c r="BW319" s="3049"/>
      <c r="BX319" s="3049"/>
      <c r="BY319" s="3049"/>
      <c r="BZ319" s="3049"/>
      <c r="CA319" s="3049"/>
      <c r="CB319" s="3049"/>
      <c r="CC319" s="3049"/>
      <c r="CD319" s="3049"/>
      <c r="CE319" s="3049"/>
      <c r="CF319" s="3049"/>
      <c r="CG319" s="3049"/>
      <c r="CH319" s="3049"/>
      <c r="CI319" s="3049"/>
      <c r="CJ319" s="3049"/>
      <c r="CK319" s="3049"/>
      <c r="CL319" s="3049"/>
      <c r="CM319" s="3049"/>
      <c r="CN319" s="3049"/>
    </row>
    <row r="320" spans="1:92" x14ac:dyDescent="0.2">
      <c r="A320" s="3049"/>
      <c r="B320" s="3049"/>
      <c r="C320" s="3049"/>
      <c r="D320" s="3049"/>
      <c r="E320" s="3049"/>
      <c r="F320" s="3049"/>
      <c r="G320" s="3049"/>
      <c r="H320" s="3049"/>
      <c r="I320" s="3049"/>
      <c r="J320" s="3049"/>
      <c r="K320" s="3049"/>
      <c r="L320" s="3049"/>
      <c r="M320" s="3049"/>
      <c r="N320" s="3049"/>
      <c r="O320" s="3049"/>
      <c r="P320" s="3049"/>
      <c r="Q320" s="3049"/>
      <c r="R320" s="3049"/>
      <c r="S320" s="3049"/>
      <c r="T320" s="3049"/>
      <c r="U320" s="3049"/>
      <c r="V320" s="3049"/>
      <c r="W320" s="3049"/>
      <c r="X320" s="3049"/>
      <c r="Y320" s="3049"/>
      <c r="Z320" s="3049"/>
      <c r="AA320" s="3049"/>
      <c r="AB320" s="3049"/>
      <c r="AC320" s="3049"/>
      <c r="AD320" s="3049"/>
      <c r="AE320" s="3049"/>
      <c r="AF320" s="3049"/>
      <c r="AG320" s="3049"/>
      <c r="AH320" s="3049"/>
      <c r="AI320" s="3049"/>
      <c r="AJ320" s="3049"/>
      <c r="AK320" s="3049"/>
      <c r="AL320" s="3049"/>
      <c r="AM320" s="3049"/>
      <c r="AN320" s="3049"/>
      <c r="AO320" s="3049"/>
      <c r="AP320" s="3049"/>
      <c r="AQ320" s="3049"/>
      <c r="AR320" s="3049"/>
      <c r="AS320" s="3049"/>
      <c r="AT320" s="3049"/>
      <c r="AU320" s="3049"/>
      <c r="AV320" s="3049"/>
      <c r="AW320" s="3049"/>
      <c r="AX320" s="3049"/>
      <c r="AY320" s="3049"/>
      <c r="AZ320" s="3049"/>
      <c r="BA320" s="3049"/>
      <c r="BB320" s="3049"/>
      <c r="BC320" s="3049"/>
      <c r="BD320" s="3049"/>
      <c r="BE320" s="3049"/>
      <c r="BF320" s="3049"/>
      <c r="BG320" s="3049"/>
      <c r="BH320" s="3049"/>
      <c r="BI320" s="3049"/>
      <c r="BJ320" s="3049"/>
      <c r="BK320" s="3049"/>
      <c r="BL320" s="3049"/>
      <c r="BM320" s="3049"/>
      <c r="BN320" s="3049"/>
      <c r="BO320" s="3049"/>
      <c r="BP320" s="3049"/>
      <c r="BQ320" s="3049"/>
      <c r="BR320" s="3049"/>
      <c r="BS320" s="3049"/>
      <c r="BT320" s="3049"/>
      <c r="BU320" s="3049"/>
      <c r="BV320" s="3049"/>
      <c r="BW320" s="3049"/>
      <c r="BX320" s="3049"/>
      <c r="BY320" s="3049"/>
      <c r="BZ320" s="3049"/>
      <c r="CA320" s="3049"/>
      <c r="CB320" s="3049"/>
      <c r="CC320" s="3049"/>
      <c r="CD320" s="3049"/>
      <c r="CE320" s="3049"/>
      <c r="CF320" s="3049"/>
      <c r="CG320" s="3049"/>
      <c r="CH320" s="3049"/>
      <c r="CI320" s="3049"/>
      <c r="CJ320" s="3049"/>
      <c r="CK320" s="3049"/>
      <c r="CL320" s="3049"/>
      <c r="CM320" s="3049"/>
      <c r="CN320" s="3049"/>
    </row>
    <row r="321" spans="1:92" x14ac:dyDescent="0.2">
      <c r="A321" s="3049"/>
      <c r="B321" s="3049"/>
      <c r="C321" s="3049"/>
      <c r="D321" s="3049"/>
      <c r="E321" s="3049"/>
      <c r="F321" s="3049"/>
      <c r="G321" s="3049"/>
      <c r="H321" s="3049"/>
      <c r="I321" s="3049"/>
      <c r="J321" s="3049"/>
      <c r="K321" s="3049"/>
      <c r="L321" s="3049"/>
      <c r="M321" s="3049"/>
      <c r="N321" s="3049"/>
      <c r="O321" s="3049"/>
      <c r="P321" s="3049"/>
      <c r="Q321" s="3049"/>
      <c r="R321" s="3049"/>
      <c r="S321" s="3049"/>
      <c r="T321" s="3049"/>
      <c r="U321" s="3049"/>
      <c r="V321" s="3049"/>
      <c r="W321" s="3049"/>
      <c r="X321" s="3049"/>
      <c r="Y321" s="3049"/>
      <c r="Z321" s="3049"/>
      <c r="AA321" s="3049"/>
      <c r="AB321" s="3049"/>
      <c r="AC321" s="3049"/>
      <c r="AD321" s="3049"/>
      <c r="AE321" s="3049"/>
      <c r="AF321" s="3049"/>
      <c r="AG321" s="3049"/>
      <c r="AH321" s="3049"/>
      <c r="AI321" s="3049"/>
      <c r="AJ321" s="3049"/>
      <c r="AK321" s="3049"/>
      <c r="AL321" s="3049"/>
      <c r="AM321" s="3049"/>
      <c r="AN321" s="3049"/>
      <c r="AO321" s="3049"/>
      <c r="AP321" s="3049"/>
      <c r="AQ321" s="3049"/>
      <c r="AR321" s="3049"/>
      <c r="AS321" s="3049"/>
      <c r="AT321" s="3049"/>
      <c r="AU321" s="3049"/>
      <c r="AV321" s="3049"/>
      <c r="AW321" s="3049"/>
      <c r="AX321" s="3049"/>
      <c r="AY321" s="3049"/>
      <c r="AZ321" s="3049"/>
      <c r="BA321" s="3049"/>
      <c r="BB321" s="3049"/>
      <c r="BC321" s="3049"/>
      <c r="BD321" s="3049"/>
      <c r="BE321" s="3049"/>
      <c r="BF321" s="3049"/>
      <c r="BG321" s="3049"/>
      <c r="BH321" s="3049"/>
      <c r="BI321" s="3049"/>
      <c r="BJ321" s="3049"/>
      <c r="BK321" s="3049"/>
      <c r="BL321" s="3049"/>
      <c r="BM321" s="3049"/>
      <c r="BN321" s="3049"/>
      <c r="BO321" s="3049"/>
      <c r="BP321" s="3049"/>
      <c r="BQ321" s="3049"/>
      <c r="BR321" s="3049"/>
      <c r="BS321" s="3049"/>
      <c r="BT321" s="3049"/>
      <c r="BU321" s="3049"/>
      <c r="BV321" s="3049"/>
      <c r="BW321" s="3049"/>
      <c r="BX321" s="3049"/>
      <c r="BY321" s="3049"/>
      <c r="BZ321" s="3049"/>
      <c r="CA321" s="3049"/>
      <c r="CB321" s="3049"/>
      <c r="CC321" s="3049"/>
      <c r="CD321" s="3049"/>
      <c r="CE321" s="3049"/>
      <c r="CF321" s="3049"/>
      <c r="CG321" s="3049"/>
      <c r="CH321" s="3049"/>
      <c r="CI321" s="3049"/>
      <c r="CJ321" s="3049"/>
      <c r="CK321" s="3049"/>
      <c r="CL321" s="3049"/>
      <c r="CM321" s="3049"/>
      <c r="CN321" s="3049"/>
    </row>
    <row r="322" spans="1:92" x14ac:dyDescent="0.2">
      <c r="A322" s="3049"/>
      <c r="B322" s="3049"/>
      <c r="C322" s="3049"/>
      <c r="D322" s="3049"/>
      <c r="E322" s="3049"/>
      <c r="F322" s="3049"/>
      <c r="G322" s="3049"/>
      <c r="H322" s="3049"/>
      <c r="I322" s="3049"/>
      <c r="J322" s="3049"/>
      <c r="K322" s="3049"/>
      <c r="L322" s="3049"/>
      <c r="M322" s="3049"/>
      <c r="N322" s="3049"/>
      <c r="O322" s="3049"/>
      <c r="P322" s="3049"/>
      <c r="Q322" s="3049"/>
      <c r="R322" s="3049"/>
      <c r="S322" s="3049"/>
      <c r="T322" s="3049"/>
      <c r="U322" s="3049"/>
      <c r="V322" s="3049"/>
      <c r="W322" s="3049"/>
      <c r="X322" s="3049"/>
      <c r="Y322" s="3049"/>
      <c r="Z322" s="3049"/>
      <c r="AA322" s="3049"/>
      <c r="AB322" s="3049"/>
      <c r="AC322" s="3049"/>
      <c r="AD322" s="3049"/>
      <c r="AE322" s="3049"/>
      <c r="AF322" s="3049"/>
      <c r="AG322" s="3049"/>
      <c r="AH322" s="3049"/>
      <c r="AI322" s="3049"/>
      <c r="AJ322" s="3049"/>
      <c r="AK322" s="3049"/>
      <c r="AL322" s="3049"/>
      <c r="AM322" s="3049"/>
      <c r="AN322" s="3049"/>
      <c r="AO322" s="3049"/>
      <c r="AP322" s="3049"/>
      <c r="AQ322" s="3049"/>
      <c r="AR322" s="3049"/>
      <c r="AS322" s="3049"/>
      <c r="AT322" s="3049"/>
      <c r="AU322" s="3049"/>
      <c r="AV322" s="3049"/>
      <c r="AW322" s="3049"/>
      <c r="AX322" s="3049"/>
      <c r="AY322" s="3049"/>
      <c r="AZ322" s="3049"/>
      <c r="BA322" s="3049"/>
      <c r="BB322" s="3049"/>
      <c r="BC322" s="3049"/>
      <c r="BD322" s="3049"/>
      <c r="BE322" s="3049"/>
      <c r="BF322" s="3049"/>
      <c r="BG322" s="3049"/>
      <c r="BH322" s="3049"/>
      <c r="BI322" s="3049"/>
      <c r="BJ322" s="3049"/>
      <c r="BK322" s="3049"/>
      <c r="BL322" s="3049"/>
      <c r="BM322" s="3049"/>
      <c r="BN322" s="3049"/>
      <c r="BO322" s="3049"/>
      <c r="BP322" s="3049"/>
      <c r="BQ322" s="3049"/>
      <c r="BR322" s="3049"/>
      <c r="BS322" s="3049"/>
      <c r="BT322" s="3049"/>
      <c r="BU322" s="3049"/>
      <c r="BV322" s="3049"/>
      <c r="BW322" s="3049"/>
      <c r="BX322" s="3049"/>
      <c r="BY322" s="3049"/>
      <c r="BZ322" s="3049"/>
      <c r="CA322" s="3049"/>
      <c r="CB322" s="3049"/>
      <c r="CC322" s="3049"/>
      <c r="CD322" s="3049"/>
      <c r="CE322" s="3049"/>
      <c r="CF322" s="3049"/>
      <c r="CG322" s="3049"/>
      <c r="CH322" s="3049"/>
      <c r="CI322" s="3049"/>
      <c r="CJ322" s="3049"/>
      <c r="CK322" s="3049"/>
      <c r="CL322" s="3049"/>
      <c r="CM322" s="3049"/>
      <c r="CN322" s="3049"/>
    </row>
    <row r="323" spans="1:92" x14ac:dyDescent="0.2">
      <c r="A323" s="3049"/>
      <c r="B323" s="3049"/>
      <c r="C323" s="3049"/>
      <c r="D323" s="3049"/>
      <c r="E323" s="3049"/>
      <c r="F323" s="3049"/>
      <c r="G323" s="3049"/>
      <c r="H323" s="3049"/>
      <c r="I323" s="3049"/>
      <c r="J323" s="3049"/>
      <c r="K323" s="3049"/>
      <c r="L323" s="3049"/>
      <c r="M323" s="3049"/>
      <c r="N323" s="3049"/>
      <c r="O323" s="3049"/>
      <c r="P323" s="3049"/>
      <c r="Q323" s="3049"/>
      <c r="R323" s="3049"/>
      <c r="S323" s="3049"/>
      <c r="T323" s="3049"/>
      <c r="U323" s="3049"/>
      <c r="V323" s="3049"/>
      <c r="W323" s="3049"/>
      <c r="X323" s="3049"/>
      <c r="Y323" s="3049"/>
      <c r="Z323" s="3049"/>
      <c r="AA323" s="3049"/>
      <c r="AB323" s="3049"/>
      <c r="AC323" s="3049"/>
      <c r="AD323" s="3049"/>
      <c r="AE323" s="3049"/>
      <c r="AF323" s="3049"/>
      <c r="AG323" s="3049"/>
      <c r="AH323" s="3049"/>
      <c r="AI323" s="3049"/>
      <c r="AJ323" s="3049"/>
      <c r="AK323" s="3049"/>
      <c r="AL323" s="3049"/>
      <c r="AM323" s="3049"/>
      <c r="AN323" s="3049"/>
      <c r="AO323" s="3049"/>
      <c r="AP323" s="3049"/>
      <c r="AQ323" s="3049"/>
      <c r="AR323" s="3049"/>
      <c r="AS323" s="3049"/>
      <c r="AT323" s="3049"/>
      <c r="AU323" s="3049"/>
      <c r="AV323" s="3049"/>
      <c r="AW323" s="3049"/>
      <c r="AX323" s="3049"/>
      <c r="AY323" s="3049"/>
      <c r="AZ323" s="3049"/>
      <c r="BA323" s="3049"/>
      <c r="BB323" s="3049"/>
      <c r="BC323" s="3049"/>
      <c r="BD323" s="3049"/>
      <c r="BE323" s="3049"/>
      <c r="BF323" s="3049"/>
      <c r="BG323" s="3049"/>
      <c r="BH323" s="3049"/>
      <c r="BI323" s="3049"/>
      <c r="BJ323" s="3049"/>
      <c r="BK323" s="3049"/>
      <c r="BL323" s="3049"/>
      <c r="BM323" s="3049"/>
      <c r="BN323" s="3049"/>
      <c r="BO323" s="3049"/>
      <c r="BP323" s="3049"/>
      <c r="BQ323" s="3049"/>
      <c r="BR323" s="3049"/>
      <c r="BS323" s="3049"/>
      <c r="BT323" s="3049"/>
      <c r="BU323" s="3049"/>
      <c r="BV323" s="3049"/>
      <c r="BW323" s="3049"/>
      <c r="BX323" s="3049"/>
      <c r="BY323" s="3049"/>
      <c r="BZ323" s="3049"/>
      <c r="CA323" s="3049"/>
      <c r="CB323" s="3049"/>
      <c r="CC323" s="3049"/>
      <c r="CD323" s="3049"/>
      <c r="CE323" s="3049"/>
      <c r="CF323" s="3049"/>
      <c r="CG323" s="3049"/>
      <c r="CH323" s="3049"/>
      <c r="CI323" s="3049"/>
      <c r="CJ323" s="3049"/>
      <c r="CK323" s="3049"/>
      <c r="CL323" s="3049"/>
      <c r="CM323" s="3049"/>
      <c r="CN323" s="3049"/>
    </row>
    <row r="324" spans="1:92" x14ac:dyDescent="0.2">
      <c r="A324" s="3049"/>
      <c r="B324" s="3049"/>
      <c r="C324" s="3049"/>
      <c r="D324" s="3049"/>
      <c r="E324" s="3049"/>
      <c r="F324" s="3049"/>
      <c r="G324" s="3049"/>
      <c r="H324" s="3049"/>
      <c r="I324" s="3049"/>
      <c r="J324" s="3049"/>
      <c r="K324" s="3049"/>
      <c r="L324" s="3049"/>
      <c r="M324" s="3049"/>
      <c r="N324" s="3049"/>
      <c r="O324" s="3049"/>
      <c r="P324" s="3049"/>
      <c r="Q324" s="3049"/>
      <c r="R324" s="3049"/>
      <c r="S324" s="3049"/>
      <c r="T324" s="3049"/>
      <c r="U324" s="3049"/>
      <c r="V324" s="3049"/>
      <c r="W324" s="3049"/>
      <c r="X324" s="3049"/>
      <c r="Y324" s="3049"/>
      <c r="Z324" s="3049"/>
      <c r="AA324" s="3049"/>
      <c r="AB324" s="3049"/>
      <c r="AC324" s="3049"/>
      <c r="AD324" s="3049"/>
      <c r="AE324" s="3049"/>
      <c r="AF324" s="3049"/>
      <c r="AG324" s="3049"/>
      <c r="AH324" s="3049"/>
      <c r="AI324" s="3049"/>
      <c r="AJ324" s="3049"/>
      <c r="AK324" s="3049"/>
      <c r="AL324" s="3049"/>
      <c r="AM324" s="3049"/>
      <c r="AN324" s="3049"/>
      <c r="AO324" s="3049"/>
      <c r="AP324" s="3049"/>
      <c r="AQ324" s="3049"/>
      <c r="AR324" s="3049"/>
      <c r="AS324" s="3049"/>
      <c r="AT324" s="3049"/>
      <c r="AU324" s="3049"/>
      <c r="AV324" s="3049"/>
      <c r="AW324" s="3049"/>
      <c r="AX324" s="3049"/>
      <c r="AY324" s="3049"/>
      <c r="AZ324" s="3049"/>
      <c r="BA324" s="3049"/>
      <c r="BB324" s="3049"/>
      <c r="BC324" s="3049"/>
      <c r="BD324" s="3049"/>
      <c r="BE324" s="3049"/>
      <c r="BF324" s="3049"/>
      <c r="BG324" s="3049"/>
      <c r="BH324" s="3049"/>
      <c r="BI324" s="3049"/>
      <c r="BJ324" s="3049"/>
      <c r="BK324" s="3049"/>
      <c r="BL324" s="3049"/>
      <c r="BM324" s="3049"/>
      <c r="BN324" s="3049"/>
      <c r="BO324" s="3049"/>
      <c r="BP324" s="3049"/>
      <c r="BQ324" s="3049"/>
      <c r="BR324" s="3049"/>
      <c r="BS324" s="3049"/>
      <c r="BT324" s="3049"/>
      <c r="BU324" s="3049"/>
      <c r="BV324" s="3049"/>
      <c r="BW324" s="3049"/>
      <c r="BX324" s="3049"/>
      <c r="BY324" s="3049"/>
      <c r="BZ324" s="3049"/>
      <c r="CA324" s="3049"/>
      <c r="CB324" s="3049"/>
      <c r="CC324" s="3049"/>
      <c r="CD324" s="3049"/>
      <c r="CE324" s="3049"/>
      <c r="CF324" s="3049"/>
      <c r="CG324" s="3049"/>
      <c r="CH324" s="3049"/>
      <c r="CI324" s="3049"/>
      <c r="CJ324" s="3049"/>
      <c r="CK324" s="3049"/>
      <c r="CL324" s="3049"/>
      <c r="CM324" s="3049"/>
      <c r="CN324" s="3049"/>
    </row>
    <row r="325" spans="1:92" x14ac:dyDescent="0.2">
      <c r="A325" s="3049"/>
      <c r="B325" s="3049"/>
      <c r="C325" s="3049"/>
      <c r="D325" s="3049"/>
      <c r="E325" s="3049"/>
      <c r="F325" s="3049"/>
      <c r="G325" s="3049"/>
      <c r="H325" s="3049"/>
      <c r="I325" s="3049"/>
      <c r="J325" s="3049"/>
      <c r="K325" s="3049"/>
      <c r="L325" s="3049"/>
      <c r="M325" s="3049"/>
      <c r="N325" s="3049"/>
      <c r="O325" s="3049"/>
      <c r="P325" s="3049"/>
      <c r="Q325" s="3049"/>
      <c r="R325" s="3049"/>
      <c r="S325" s="3049"/>
      <c r="T325" s="3049"/>
      <c r="U325" s="3049"/>
      <c r="V325" s="3049"/>
      <c r="W325" s="3049"/>
      <c r="X325" s="3049"/>
      <c r="Y325" s="3049"/>
      <c r="Z325" s="3049"/>
      <c r="AA325" s="3049"/>
      <c r="AB325" s="3049"/>
      <c r="AC325" s="3049"/>
      <c r="AD325" s="3049"/>
      <c r="AE325" s="3049"/>
      <c r="AF325" s="3049"/>
      <c r="AG325" s="3049"/>
      <c r="AH325" s="3049"/>
      <c r="AI325" s="3049"/>
      <c r="AJ325" s="3049"/>
      <c r="AK325" s="3049"/>
      <c r="AL325" s="3049"/>
      <c r="AM325" s="3049"/>
      <c r="AN325" s="3049"/>
      <c r="AO325" s="3049"/>
      <c r="AP325" s="3049"/>
      <c r="AQ325" s="3049"/>
      <c r="AR325" s="3049"/>
      <c r="AS325" s="3049"/>
      <c r="AT325" s="3049"/>
      <c r="AU325" s="3049"/>
      <c r="AV325" s="3049"/>
      <c r="AW325" s="3049"/>
      <c r="AX325" s="3049"/>
      <c r="AY325" s="3049"/>
      <c r="AZ325" s="3049"/>
      <c r="BA325" s="3049"/>
      <c r="BB325" s="3049"/>
      <c r="BC325" s="3049"/>
      <c r="BD325" s="3049"/>
      <c r="BE325" s="3049"/>
      <c r="BF325" s="3049"/>
      <c r="BG325" s="3049"/>
      <c r="BH325" s="3049"/>
      <c r="BI325" s="3049"/>
      <c r="BJ325" s="3049"/>
      <c r="BK325" s="3049"/>
      <c r="BL325" s="3049"/>
      <c r="BM325" s="3049"/>
      <c r="BN325" s="3049"/>
      <c r="BO325" s="3049"/>
      <c r="BP325" s="3049"/>
      <c r="BQ325" s="3049"/>
      <c r="BR325" s="3049"/>
      <c r="BS325" s="3049"/>
      <c r="BT325" s="3049"/>
      <c r="BU325" s="3049"/>
      <c r="BV325" s="3049"/>
      <c r="BW325" s="3049"/>
      <c r="BX325" s="3049"/>
      <c r="BY325" s="3049"/>
      <c r="BZ325" s="3049"/>
      <c r="CA325" s="3049"/>
      <c r="CB325" s="3049"/>
      <c r="CC325" s="3049"/>
      <c r="CD325" s="3049"/>
      <c r="CE325" s="3049"/>
      <c r="CF325" s="3049"/>
      <c r="CG325" s="3049"/>
      <c r="CH325" s="3049"/>
      <c r="CI325" s="3049"/>
      <c r="CJ325" s="3049"/>
      <c r="CK325" s="3049"/>
      <c r="CL325" s="3049"/>
      <c r="CM325" s="3049"/>
      <c r="CN325" s="3049"/>
    </row>
    <row r="326" spans="1:92" x14ac:dyDescent="0.2">
      <c r="A326" s="3049"/>
      <c r="B326" s="3049"/>
      <c r="C326" s="3049"/>
      <c r="D326" s="3049"/>
      <c r="E326" s="3049"/>
      <c r="F326" s="3049"/>
      <c r="G326" s="3049"/>
      <c r="H326" s="3049"/>
      <c r="I326" s="3049"/>
      <c r="J326" s="3049"/>
      <c r="K326" s="3049"/>
      <c r="L326" s="3049"/>
      <c r="M326" s="3049"/>
      <c r="N326" s="3049"/>
      <c r="O326" s="3049"/>
      <c r="P326" s="3049"/>
      <c r="Q326" s="3049"/>
      <c r="R326" s="3049"/>
      <c r="S326" s="3049"/>
      <c r="T326" s="3049"/>
      <c r="U326" s="3049"/>
      <c r="V326" s="3049"/>
      <c r="W326" s="3049"/>
      <c r="X326" s="3049"/>
      <c r="Y326" s="3049"/>
      <c r="Z326" s="3049"/>
      <c r="AA326" s="3049"/>
      <c r="AB326" s="3049"/>
      <c r="AC326" s="3049"/>
      <c r="AD326" s="3049"/>
      <c r="AE326" s="3049"/>
      <c r="AF326" s="3049"/>
      <c r="AG326" s="3049"/>
      <c r="AH326" s="3049"/>
      <c r="AI326" s="3049"/>
      <c r="AJ326" s="3049"/>
      <c r="AK326" s="3049"/>
      <c r="AL326" s="3049"/>
      <c r="AM326" s="3049"/>
      <c r="AN326" s="3049"/>
      <c r="AO326" s="3049"/>
      <c r="AP326" s="3049"/>
      <c r="AQ326" s="3049"/>
      <c r="AR326" s="3049"/>
      <c r="AS326" s="3049"/>
      <c r="AT326" s="3049"/>
      <c r="AU326" s="3049"/>
      <c r="AV326" s="3049"/>
      <c r="AW326" s="3049"/>
      <c r="AX326" s="3049"/>
      <c r="AY326" s="3049"/>
      <c r="AZ326" s="3049"/>
      <c r="BA326" s="3049"/>
      <c r="BB326" s="3049"/>
      <c r="BC326" s="3049"/>
      <c r="BD326" s="3049"/>
      <c r="BE326" s="3049"/>
      <c r="BF326" s="3049"/>
      <c r="BG326" s="3049"/>
      <c r="BH326" s="3049"/>
      <c r="BI326" s="3049"/>
      <c r="BJ326" s="3049"/>
      <c r="BK326" s="3049"/>
      <c r="BL326" s="3049"/>
      <c r="BM326" s="3049"/>
      <c r="BN326" s="3049"/>
      <c r="BO326" s="3049"/>
      <c r="BP326" s="3049"/>
      <c r="BQ326" s="3049"/>
      <c r="BR326" s="3049"/>
      <c r="BS326" s="3049"/>
      <c r="BT326" s="3049"/>
      <c r="BU326" s="3049"/>
      <c r="BV326" s="3049"/>
      <c r="BW326" s="3049"/>
      <c r="BX326" s="3049"/>
      <c r="BY326" s="3049"/>
      <c r="BZ326" s="3049"/>
      <c r="CA326" s="3049"/>
      <c r="CB326" s="3049"/>
      <c r="CC326" s="3049"/>
      <c r="CD326" s="3049"/>
      <c r="CE326" s="3049"/>
      <c r="CF326" s="3049"/>
      <c r="CG326" s="3049"/>
      <c r="CH326" s="3049"/>
      <c r="CI326" s="3049"/>
      <c r="CJ326" s="3049"/>
      <c r="CK326" s="3049"/>
      <c r="CL326" s="3049"/>
      <c r="CM326" s="3049"/>
      <c r="CN326" s="3049"/>
    </row>
    <row r="327" spans="1:92" x14ac:dyDescent="0.2">
      <c r="A327" s="3049"/>
      <c r="B327" s="3049"/>
      <c r="C327" s="3049"/>
      <c r="D327" s="3049"/>
      <c r="E327" s="3049"/>
      <c r="F327" s="3049"/>
      <c r="G327" s="3049"/>
      <c r="H327" s="3049"/>
      <c r="I327" s="3049"/>
      <c r="J327" s="3049"/>
      <c r="K327" s="3049"/>
      <c r="L327" s="3049"/>
      <c r="M327" s="3049"/>
      <c r="N327" s="3049"/>
      <c r="O327" s="3049"/>
      <c r="P327" s="3049"/>
      <c r="Q327" s="3049"/>
      <c r="R327" s="3049"/>
      <c r="S327" s="3049"/>
      <c r="T327" s="3049"/>
      <c r="U327" s="3049"/>
      <c r="V327" s="3049"/>
      <c r="W327" s="3049"/>
      <c r="X327" s="3049"/>
      <c r="Y327" s="3049"/>
      <c r="Z327" s="3049"/>
      <c r="AA327" s="3049"/>
      <c r="AB327" s="3049"/>
      <c r="AC327" s="3049"/>
      <c r="AD327" s="3049"/>
      <c r="AE327" s="3049"/>
      <c r="AF327" s="3049"/>
      <c r="AG327" s="3049"/>
      <c r="AH327" s="3049"/>
      <c r="AI327" s="3049"/>
      <c r="AJ327" s="3049"/>
      <c r="AK327" s="3049"/>
      <c r="AL327" s="3049"/>
      <c r="AM327" s="3049"/>
      <c r="AN327" s="3049"/>
      <c r="AO327" s="3049"/>
      <c r="AP327" s="3049"/>
      <c r="AQ327" s="3049"/>
      <c r="AR327" s="3049"/>
      <c r="AS327" s="3049"/>
      <c r="AT327" s="3049"/>
      <c r="AU327" s="3049"/>
      <c r="AV327" s="3049"/>
      <c r="AW327" s="3049"/>
      <c r="AX327" s="3049"/>
      <c r="AY327" s="3049"/>
      <c r="AZ327" s="3049"/>
      <c r="BA327" s="3049"/>
      <c r="BB327" s="3049"/>
      <c r="BC327" s="3049"/>
      <c r="BD327" s="3049"/>
      <c r="BE327" s="3049"/>
      <c r="BF327" s="3049"/>
      <c r="BG327" s="3049"/>
      <c r="BH327" s="3049"/>
      <c r="BI327" s="3049"/>
      <c r="BJ327" s="3049"/>
      <c r="BK327" s="3049"/>
      <c r="BL327" s="3049"/>
      <c r="BM327" s="3049"/>
      <c r="BN327" s="3049"/>
      <c r="BO327" s="3049"/>
      <c r="BP327" s="3049"/>
      <c r="BQ327" s="3049"/>
      <c r="BR327" s="3049"/>
      <c r="BS327" s="3049"/>
      <c r="BT327" s="3049"/>
      <c r="BU327" s="3049"/>
      <c r="BV327" s="3049"/>
      <c r="BW327" s="3049"/>
      <c r="BX327" s="3049"/>
      <c r="BY327" s="3049"/>
      <c r="BZ327" s="3049"/>
      <c r="CA327" s="3049"/>
      <c r="CB327" s="3049"/>
      <c r="CC327" s="3049"/>
      <c r="CD327" s="3049"/>
      <c r="CE327" s="3049"/>
      <c r="CF327" s="3049"/>
      <c r="CG327" s="3049"/>
      <c r="CH327" s="3049"/>
      <c r="CI327" s="3049"/>
      <c r="CJ327" s="3049"/>
      <c r="CK327" s="3049"/>
      <c r="CL327" s="3049"/>
      <c r="CM327" s="3049"/>
      <c r="CN327" s="3049"/>
    </row>
    <row r="328" spans="1:92" x14ac:dyDescent="0.2">
      <c r="A328" s="3049"/>
      <c r="B328" s="3049"/>
      <c r="C328" s="3049"/>
      <c r="D328" s="3049"/>
      <c r="E328" s="3049"/>
      <c r="F328" s="3049"/>
      <c r="G328" s="3049"/>
      <c r="H328" s="3049"/>
      <c r="I328" s="3049"/>
      <c r="J328" s="3049"/>
      <c r="K328" s="3049"/>
      <c r="L328" s="3049"/>
      <c r="M328" s="3049"/>
      <c r="N328" s="3049"/>
      <c r="O328" s="3049"/>
      <c r="P328" s="3049"/>
      <c r="Q328" s="3049"/>
      <c r="R328" s="3049"/>
      <c r="S328" s="3049"/>
      <c r="T328" s="3049"/>
      <c r="U328" s="3049"/>
      <c r="V328" s="3049"/>
      <c r="W328" s="3049"/>
      <c r="X328" s="3049"/>
      <c r="Y328" s="3049"/>
      <c r="Z328" s="3049"/>
      <c r="AA328" s="3049"/>
      <c r="AB328" s="3049"/>
      <c r="AC328" s="3049"/>
      <c r="AD328" s="3049"/>
      <c r="AE328" s="3049"/>
      <c r="AF328" s="3049"/>
      <c r="AG328" s="3049"/>
      <c r="AH328" s="3049"/>
      <c r="AI328" s="3049"/>
      <c r="AJ328" s="3049"/>
      <c r="AK328" s="3049"/>
      <c r="AL328" s="3049"/>
      <c r="AM328" s="3049"/>
      <c r="AN328" s="3049"/>
      <c r="AO328" s="3049"/>
      <c r="AP328" s="3049"/>
      <c r="AQ328" s="3049"/>
      <c r="AR328" s="3049"/>
      <c r="AS328" s="3049"/>
      <c r="AT328" s="3049"/>
      <c r="AU328" s="3049"/>
      <c r="AV328" s="3049"/>
      <c r="AW328" s="3049"/>
      <c r="AX328" s="3049"/>
      <c r="AY328" s="3049"/>
      <c r="AZ328" s="3049"/>
      <c r="BA328" s="3049"/>
      <c r="BB328" s="3049"/>
      <c r="BC328" s="3049"/>
      <c r="BD328" s="3049"/>
      <c r="BE328" s="3049"/>
      <c r="BF328" s="3049"/>
      <c r="BG328" s="3049"/>
      <c r="BH328" s="3049"/>
      <c r="BI328" s="3049"/>
      <c r="BJ328" s="3049"/>
      <c r="BK328" s="3049"/>
      <c r="BL328" s="3049"/>
      <c r="BM328" s="3049"/>
      <c r="BN328" s="3049"/>
      <c r="BO328" s="3049"/>
      <c r="BP328" s="3049"/>
      <c r="BQ328" s="3049"/>
      <c r="BR328" s="3049"/>
      <c r="BS328" s="3049"/>
      <c r="BT328" s="3049"/>
      <c r="BU328" s="3049"/>
      <c r="BV328" s="3049"/>
      <c r="BW328" s="3049"/>
      <c r="BX328" s="3049"/>
      <c r="BY328" s="3049"/>
      <c r="BZ328" s="3049"/>
      <c r="CA328" s="3049"/>
      <c r="CB328" s="3049"/>
      <c r="CC328" s="3049"/>
      <c r="CD328" s="3049"/>
      <c r="CE328" s="3049"/>
      <c r="CF328" s="3049"/>
      <c r="CG328" s="3049"/>
      <c r="CH328" s="3049"/>
      <c r="CI328" s="3049"/>
      <c r="CJ328" s="3049"/>
      <c r="CK328" s="3049"/>
      <c r="CL328" s="3049"/>
      <c r="CM328" s="3049"/>
      <c r="CN328" s="3049"/>
    </row>
    <row r="329" spans="1:92" x14ac:dyDescent="0.2">
      <c r="A329" s="3049"/>
      <c r="B329" s="3049"/>
      <c r="C329" s="3049"/>
      <c r="D329" s="3049"/>
      <c r="E329" s="3049"/>
      <c r="F329" s="3049"/>
      <c r="G329" s="3049"/>
      <c r="H329" s="3049"/>
      <c r="I329" s="3049"/>
      <c r="J329" s="3049"/>
      <c r="K329" s="3049"/>
      <c r="L329" s="3049"/>
      <c r="M329" s="3049"/>
      <c r="N329" s="3049"/>
      <c r="O329" s="3049"/>
      <c r="P329" s="3049"/>
      <c r="Q329" s="3049"/>
      <c r="R329" s="3049"/>
      <c r="S329" s="3049"/>
      <c r="T329" s="3049"/>
      <c r="U329" s="3049"/>
      <c r="V329" s="3049"/>
      <c r="W329" s="3049"/>
      <c r="X329" s="3049"/>
      <c r="Y329" s="3049"/>
      <c r="Z329" s="3049"/>
      <c r="AA329" s="3049"/>
      <c r="AB329" s="3049"/>
      <c r="AC329" s="3049"/>
      <c r="AD329" s="3049"/>
      <c r="AE329" s="3049"/>
      <c r="AF329" s="3049"/>
      <c r="AG329" s="3049"/>
      <c r="AH329" s="3049"/>
      <c r="AI329" s="3049"/>
      <c r="AJ329" s="3049"/>
      <c r="AK329" s="3049"/>
      <c r="AL329" s="3049"/>
      <c r="AM329" s="3049"/>
      <c r="AN329" s="3049"/>
      <c r="AO329" s="3049"/>
      <c r="AP329" s="3049"/>
      <c r="AQ329" s="3049"/>
      <c r="AR329" s="3049"/>
      <c r="AS329" s="3049"/>
      <c r="AT329" s="3049"/>
      <c r="AU329" s="3049"/>
      <c r="AV329" s="3049"/>
      <c r="AW329" s="3049"/>
      <c r="AX329" s="3049"/>
      <c r="AY329" s="3049"/>
      <c r="AZ329" s="3049"/>
      <c r="BA329" s="3049"/>
      <c r="BB329" s="3049"/>
      <c r="BC329" s="3049"/>
      <c r="BD329" s="3049"/>
      <c r="BE329" s="3049"/>
      <c r="BF329" s="3049"/>
      <c r="BG329" s="3049"/>
      <c r="BH329" s="3049"/>
      <c r="BI329" s="3049"/>
      <c r="BJ329" s="3049"/>
      <c r="BK329" s="3049"/>
      <c r="BL329" s="3049"/>
      <c r="BM329" s="3049"/>
      <c r="BN329" s="3049"/>
      <c r="BO329" s="3049"/>
      <c r="BP329" s="3049"/>
      <c r="BQ329" s="3049"/>
      <c r="BR329" s="3049"/>
      <c r="BS329" s="3049"/>
      <c r="BT329" s="3049"/>
      <c r="BU329" s="3049"/>
      <c r="BV329" s="3049"/>
      <c r="BW329" s="3049"/>
      <c r="BX329" s="3049"/>
      <c r="BY329" s="3049"/>
      <c r="BZ329" s="3049"/>
      <c r="CA329" s="3049"/>
      <c r="CB329" s="3049"/>
      <c r="CC329" s="3049"/>
      <c r="CD329" s="3049"/>
      <c r="CE329" s="3049"/>
      <c r="CF329" s="3049"/>
      <c r="CG329" s="3049"/>
      <c r="CH329" s="3049"/>
      <c r="CI329" s="3049"/>
      <c r="CJ329" s="3049"/>
      <c r="CK329" s="3049"/>
      <c r="CL329" s="3049"/>
      <c r="CM329" s="3049"/>
      <c r="CN329" s="3049"/>
    </row>
    <row r="330" spans="1:92" x14ac:dyDescent="0.2">
      <c r="A330" s="3049"/>
      <c r="B330" s="3049"/>
      <c r="C330" s="3049"/>
      <c r="D330" s="3049"/>
      <c r="E330" s="3049"/>
      <c r="F330" s="3049"/>
      <c r="G330" s="3049"/>
      <c r="H330" s="3049"/>
      <c r="I330" s="3049"/>
      <c r="J330" s="3049"/>
      <c r="K330" s="3049"/>
      <c r="L330" s="3049"/>
      <c r="M330" s="3049"/>
      <c r="N330" s="3049"/>
      <c r="O330" s="3049"/>
      <c r="P330" s="3049"/>
      <c r="Q330" s="3049"/>
      <c r="R330" s="3049"/>
      <c r="S330" s="3049"/>
      <c r="T330" s="3049"/>
      <c r="U330" s="3049"/>
      <c r="V330" s="3049"/>
      <c r="W330" s="3049"/>
      <c r="X330" s="3049"/>
      <c r="Y330" s="3049"/>
      <c r="Z330" s="3049"/>
      <c r="AA330" s="3049"/>
      <c r="AB330" s="3049"/>
      <c r="AC330" s="3049"/>
      <c r="AD330" s="3049"/>
      <c r="AE330" s="3049"/>
      <c r="AF330" s="3049"/>
      <c r="AG330" s="3049"/>
      <c r="AH330" s="3049"/>
      <c r="AI330" s="3049"/>
      <c r="AJ330" s="3049"/>
      <c r="AK330" s="3049"/>
      <c r="AL330" s="3049"/>
      <c r="AM330" s="3049"/>
      <c r="AN330" s="3049"/>
      <c r="AO330" s="3049"/>
      <c r="AP330" s="3049"/>
      <c r="AQ330" s="3049"/>
      <c r="AR330" s="3049"/>
      <c r="AS330" s="3049"/>
      <c r="AT330" s="3049"/>
      <c r="AU330" s="3049"/>
      <c r="AV330" s="3049"/>
      <c r="AW330" s="3049"/>
      <c r="AX330" s="3049"/>
      <c r="AY330" s="3049"/>
      <c r="AZ330" s="3049"/>
      <c r="BA330" s="3049"/>
      <c r="BB330" s="3049"/>
      <c r="BC330" s="3049"/>
      <c r="BD330" s="3049"/>
      <c r="BE330" s="3049"/>
      <c r="BF330" s="3049"/>
      <c r="BG330" s="3049"/>
      <c r="BH330" s="3049"/>
      <c r="BI330" s="3049"/>
      <c r="BJ330" s="3049"/>
      <c r="BK330" s="3049"/>
      <c r="BL330" s="3049"/>
      <c r="BM330" s="3049"/>
      <c r="BN330" s="3049"/>
      <c r="BO330" s="3049"/>
      <c r="BP330" s="3049"/>
      <c r="BQ330" s="3049"/>
      <c r="BR330" s="3049"/>
      <c r="BS330" s="3049"/>
      <c r="BT330" s="3049"/>
      <c r="BU330" s="3049"/>
      <c r="BV330" s="3049"/>
      <c r="BW330" s="3049"/>
      <c r="BX330" s="3049"/>
      <c r="BY330" s="3049"/>
      <c r="BZ330" s="3049"/>
      <c r="CA330" s="3049"/>
      <c r="CB330" s="3049"/>
      <c r="CC330" s="3049"/>
      <c r="CD330" s="3049"/>
      <c r="CE330" s="3049"/>
      <c r="CF330" s="3049"/>
      <c r="CG330" s="3049"/>
      <c r="CH330" s="3049"/>
      <c r="CI330" s="3049"/>
      <c r="CJ330" s="3049"/>
      <c r="CK330" s="3049"/>
      <c r="CL330" s="3049"/>
      <c r="CM330" s="3049"/>
      <c r="CN330" s="3049"/>
    </row>
    <row r="331" spans="1:92" x14ac:dyDescent="0.2">
      <c r="A331" s="3049"/>
      <c r="B331" s="3049"/>
      <c r="C331" s="3049"/>
      <c r="D331" s="3049"/>
      <c r="E331" s="3049"/>
      <c r="F331" s="3049"/>
      <c r="G331" s="3049"/>
      <c r="H331" s="3049"/>
      <c r="I331" s="3049"/>
      <c r="J331" s="3049"/>
      <c r="K331" s="3049"/>
      <c r="L331" s="3049"/>
      <c r="M331" s="3049"/>
      <c r="N331" s="3049"/>
      <c r="O331" s="3049"/>
      <c r="P331" s="3049"/>
      <c r="Q331" s="3049"/>
      <c r="R331" s="3049"/>
      <c r="S331" s="3049"/>
      <c r="T331" s="3049"/>
      <c r="U331" s="3049"/>
      <c r="V331" s="3049"/>
      <c r="W331" s="3049"/>
      <c r="X331" s="3049"/>
      <c r="Y331" s="3049"/>
      <c r="Z331" s="3049"/>
      <c r="AA331" s="3049"/>
      <c r="AB331" s="3049"/>
      <c r="AC331" s="3049"/>
      <c r="AD331" s="3049"/>
      <c r="AE331" s="3049"/>
      <c r="AF331" s="3049"/>
      <c r="AG331" s="3049"/>
      <c r="AH331" s="3049"/>
      <c r="AI331" s="3049"/>
      <c r="AJ331" s="3049"/>
      <c r="AK331" s="3049"/>
      <c r="AL331" s="3049"/>
      <c r="AM331" s="3049"/>
      <c r="AN331" s="3049"/>
      <c r="AO331" s="3049"/>
      <c r="AP331" s="3049"/>
      <c r="AQ331" s="3049"/>
      <c r="AR331" s="3049"/>
      <c r="AS331" s="3049"/>
      <c r="AT331" s="3049"/>
      <c r="AU331" s="3049"/>
      <c r="AV331" s="3049"/>
      <c r="AW331" s="3049"/>
      <c r="AX331" s="3049"/>
      <c r="AY331" s="3049"/>
      <c r="AZ331" s="3049"/>
      <c r="BA331" s="3049"/>
      <c r="BB331" s="3049"/>
      <c r="BC331" s="3049"/>
      <c r="BD331" s="3049"/>
      <c r="BE331" s="3049"/>
      <c r="BF331" s="3049"/>
      <c r="BG331" s="3049"/>
      <c r="BH331" s="3049"/>
      <c r="BI331" s="3049"/>
      <c r="BJ331" s="3049"/>
      <c r="BK331" s="3049"/>
      <c r="BL331" s="3049"/>
      <c r="BM331" s="3049"/>
      <c r="BN331" s="3049"/>
      <c r="BO331" s="3049"/>
      <c r="BP331" s="3049"/>
      <c r="BQ331" s="3049"/>
      <c r="BR331" s="3049"/>
      <c r="BS331" s="3049"/>
      <c r="BT331" s="3049"/>
      <c r="BU331" s="3049"/>
      <c r="BV331" s="3049"/>
      <c r="BW331" s="3049"/>
      <c r="BX331" s="3049"/>
      <c r="BY331" s="3049"/>
      <c r="BZ331" s="3049"/>
      <c r="CA331" s="3049"/>
      <c r="CB331" s="3049"/>
      <c r="CC331" s="3049"/>
      <c r="CD331" s="3049"/>
      <c r="CE331" s="3049"/>
      <c r="CF331" s="3049"/>
      <c r="CG331" s="3049"/>
      <c r="CH331" s="3049"/>
      <c r="CI331" s="3049"/>
      <c r="CJ331" s="3049"/>
      <c r="CK331" s="3049"/>
      <c r="CL331" s="3049"/>
      <c r="CM331" s="3049"/>
      <c r="CN331" s="3049"/>
    </row>
    <row r="332" spans="1:92" x14ac:dyDescent="0.2">
      <c r="A332" s="3049"/>
      <c r="B332" s="3049"/>
      <c r="C332" s="3049"/>
      <c r="D332" s="3049"/>
      <c r="E332" s="3049"/>
      <c r="F332" s="3049"/>
      <c r="G332" s="3049"/>
      <c r="H332" s="3049"/>
      <c r="I332" s="3049"/>
      <c r="J332" s="3049"/>
      <c r="K332" s="3049"/>
      <c r="L332" s="3049"/>
      <c r="M332" s="3049"/>
      <c r="N332" s="3049"/>
      <c r="O332" s="3049"/>
      <c r="P332" s="3049"/>
      <c r="Q332" s="3049"/>
      <c r="R332" s="3049"/>
      <c r="S332" s="3049"/>
      <c r="T332" s="3049"/>
      <c r="U332" s="3049"/>
      <c r="V332" s="3049"/>
      <c r="W332" s="3049"/>
      <c r="X332" s="3049"/>
      <c r="Y332" s="3049"/>
      <c r="Z332" s="3049"/>
      <c r="AA332" s="3049"/>
      <c r="AB332" s="3049"/>
      <c r="AC332" s="3049"/>
      <c r="AD332" s="3049"/>
      <c r="AE332" s="3049"/>
      <c r="AF332" s="3049"/>
      <c r="AG332" s="3049"/>
      <c r="AH332" s="3049"/>
      <c r="AI332" s="3049"/>
      <c r="AJ332" s="3049"/>
      <c r="AK332" s="3049"/>
      <c r="AL332" s="3049"/>
      <c r="AM332" s="3049"/>
      <c r="AN332" s="3049"/>
      <c r="AO332" s="3049"/>
      <c r="AP332" s="3049"/>
      <c r="AQ332" s="3049"/>
      <c r="AR332" s="3049"/>
      <c r="AS332" s="3049"/>
      <c r="AT332" s="3049"/>
      <c r="AU332" s="3049"/>
      <c r="AV332" s="3049"/>
      <c r="AW332" s="3049"/>
      <c r="AX332" s="3049"/>
      <c r="AY332" s="3049"/>
      <c r="AZ332" s="3049"/>
      <c r="BA332" s="3049"/>
      <c r="BB332" s="3049"/>
      <c r="BC332" s="3049"/>
      <c r="BD332" s="3049"/>
      <c r="BE332" s="3049"/>
      <c r="BF332" s="3049"/>
      <c r="BG332" s="3049"/>
      <c r="BH332" s="3049"/>
      <c r="BI332" s="3049"/>
      <c r="BJ332" s="3049"/>
      <c r="BK332" s="3049"/>
      <c r="BL332" s="3049"/>
      <c r="BM332" s="3049"/>
      <c r="BN332" s="3049"/>
      <c r="BO332" s="3049"/>
      <c r="BP332" s="3049"/>
      <c r="BQ332" s="3049"/>
      <c r="BR332" s="3049"/>
      <c r="BS332" s="3049"/>
      <c r="BT332" s="3049"/>
      <c r="BU332" s="3049"/>
      <c r="BV332" s="3049"/>
      <c r="BW332" s="3049"/>
      <c r="BX332" s="3049"/>
      <c r="BY332" s="3049"/>
      <c r="BZ332" s="3049"/>
      <c r="CA332" s="3049"/>
      <c r="CB332" s="3049"/>
      <c r="CC332" s="3049"/>
      <c r="CD332" s="3049"/>
      <c r="CE332" s="3049"/>
      <c r="CF332" s="3049"/>
      <c r="CG332" s="3049"/>
      <c r="CH332" s="3049"/>
      <c r="CI332" s="3049"/>
      <c r="CJ332" s="3049"/>
      <c r="CK332" s="3049"/>
      <c r="CL332" s="3049"/>
      <c r="CM332" s="3049"/>
      <c r="CN332" s="3049"/>
    </row>
    <row r="333" spans="1:92" x14ac:dyDescent="0.2">
      <c r="A333" s="3049"/>
      <c r="B333" s="3049"/>
      <c r="C333" s="3049"/>
      <c r="D333" s="3049"/>
      <c r="E333" s="3049"/>
      <c r="F333" s="3049"/>
      <c r="G333" s="3049"/>
      <c r="H333" s="3049"/>
      <c r="I333" s="3049"/>
      <c r="J333" s="3049"/>
      <c r="K333" s="3049"/>
      <c r="L333" s="3049"/>
      <c r="M333" s="3049"/>
      <c r="N333" s="3049"/>
      <c r="O333" s="3049"/>
      <c r="P333" s="3049"/>
      <c r="Q333" s="3049"/>
      <c r="R333" s="3049"/>
      <c r="S333" s="3049"/>
      <c r="T333" s="3049"/>
      <c r="U333" s="3049"/>
      <c r="V333" s="3049"/>
      <c r="W333" s="3049"/>
      <c r="X333" s="3049"/>
      <c r="Y333" s="3049"/>
      <c r="Z333" s="3049"/>
      <c r="AA333" s="3049"/>
      <c r="AB333" s="3049"/>
      <c r="AC333" s="3049"/>
      <c r="AD333" s="3049"/>
      <c r="AE333" s="3049"/>
      <c r="AF333" s="3049"/>
      <c r="AG333" s="3049"/>
      <c r="AH333" s="3049"/>
      <c r="AI333" s="3049"/>
      <c r="AJ333" s="3049"/>
      <c r="AK333" s="3049"/>
      <c r="AL333" s="3049"/>
      <c r="AM333" s="3049"/>
      <c r="AN333" s="3049"/>
      <c r="AO333" s="3049"/>
      <c r="AP333" s="3049"/>
      <c r="AQ333" s="3049"/>
      <c r="AR333" s="3049"/>
      <c r="AS333" s="3049"/>
      <c r="AT333" s="3049"/>
      <c r="AU333" s="3049"/>
      <c r="AV333" s="3049"/>
      <c r="AW333" s="3049"/>
      <c r="AX333" s="3049"/>
      <c r="AY333" s="3049"/>
      <c r="AZ333" s="3049"/>
      <c r="BA333" s="3049"/>
      <c r="BB333" s="3049"/>
      <c r="BC333" s="3049"/>
      <c r="BD333" s="3049"/>
      <c r="BE333" s="3049"/>
      <c r="BF333" s="3049"/>
      <c r="BG333" s="3049"/>
      <c r="BH333" s="3049"/>
      <c r="BI333" s="3049"/>
      <c r="BJ333" s="3049"/>
      <c r="BK333" s="3049"/>
      <c r="BL333" s="3049"/>
      <c r="BM333" s="3049"/>
      <c r="BN333" s="3049"/>
      <c r="BO333" s="3049"/>
      <c r="BP333" s="3049"/>
      <c r="BQ333" s="3049"/>
      <c r="BR333" s="3049"/>
      <c r="BS333" s="3049"/>
      <c r="BT333" s="3049"/>
      <c r="BU333" s="3049"/>
      <c r="BV333" s="3049"/>
      <c r="BW333" s="3049"/>
      <c r="BX333" s="3049"/>
      <c r="BY333" s="3049"/>
      <c r="BZ333" s="3049"/>
      <c r="CA333" s="3049"/>
      <c r="CB333" s="3049"/>
      <c r="CC333" s="3049"/>
      <c r="CD333" s="3049"/>
      <c r="CE333" s="3049"/>
      <c r="CF333" s="3049"/>
      <c r="CG333" s="3049"/>
      <c r="CH333" s="3049"/>
      <c r="CI333" s="3049"/>
      <c r="CJ333" s="3049"/>
      <c r="CK333" s="3049"/>
      <c r="CL333" s="3049"/>
      <c r="CM333" s="3049"/>
      <c r="CN333" s="3049"/>
    </row>
    <row r="334" spans="1:92" x14ac:dyDescent="0.2">
      <c r="A334" s="3049"/>
      <c r="B334" s="3049"/>
      <c r="C334" s="3049"/>
      <c r="D334" s="3049"/>
      <c r="E334" s="3049"/>
      <c r="F334" s="3049"/>
      <c r="G334" s="3049"/>
      <c r="H334" s="3049"/>
      <c r="I334" s="3049"/>
      <c r="J334" s="3049"/>
      <c r="K334" s="3049"/>
      <c r="L334" s="3049"/>
      <c r="M334" s="3049"/>
      <c r="N334" s="3049"/>
      <c r="O334" s="3049"/>
      <c r="P334" s="3049"/>
      <c r="Q334" s="3049"/>
      <c r="R334" s="3049"/>
      <c r="S334" s="3049"/>
      <c r="T334" s="3049"/>
      <c r="U334" s="3049"/>
      <c r="V334" s="3049"/>
      <c r="W334" s="3049"/>
      <c r="X334" s="3049"/>
      <c r="Y334" s="3049"/>
      <c r="Z334" s="3049"/>
      <c r="AA334" s="3049"/>
      <c r="AB334" s="3049"/>
      <c r="AC334" s="3049"/>
      <c r="AD334" s="3049"/>
      <c r="AE334" s="3049"/>
      <c r="AF334" s="3049"/>
      <c r="AG334" s="3049"/>
      <c r="AH334" s="3049"/>
      <c r="AI334" s="3049"/>
      <c r="AJ334" s="3049"/>
      <c r="AK334" s="3049"/>
      <c r="AL334" s="3049"/>
      <c r="AM334" s="3049"/>
      <c r="AN334" s="3049"/>
      <c r="AO334" s="3049"/>
      <c r="AP334" s="3049"/>
      <c r="AQ334" s="3049"/>
      <c r="AR334" s="3049"/>
      <c r="AS334" s="3049"/>
      <c r="AT334" s="3049"/>
      <c r="AU334" s="3049"/>
      <c r="AV334" s="3049"/>
      <c r="AW334" s="3049"/>
      <c r="AX334" s="3049"/>
      <c r="AY334" s="3049"/>
      <c r="AZ334" s="3049"/>
      <c r="BA334" s="3049"/>
      <c r="BB334" s="3049"/>
      <c r="BC334" s="3049"/>
      <c r="BD334" s="3049"/>
      <c r="BE334" s="3049"/>
      <c r="BF334" s="3049"/>
      <c r="BG334" s="3049"/>
      <c r="BH334" s="3049"/>
      <c r="BI334" s="3049"/>
      <c r="BJ334" s="3049"/>
      <c r="BK334" s="3049"/>
      <c r="BL334" s="3049"/>
      <c r="BM334" s="3049"/>
      <c r="BN334" s="3049"/>
      <c r="BO334" s="3049"/>
      <c r="BP334" s="3049"/>
      <c r="BQ334" s="3049"/>
      <c r="BR334" s="3049"/>
      <c r="BS334" s="3049"/>
      <c r="BT334" s="3049"/>
      <c r="BU334" s="3049"/>
      <c r="BV334" s="3049"/>
      <c r="BW334" s="3049"/>
      <c r="BX334" s="3049"/>
      <c r="BY334" s="3049"/>
      <c r="BZ334" s="3049"/>
      <c r="CA334" s="3049"/>
      <c r="CB334" s="3049"/>
      <c r="CC334" s="3049"/>
      <c r="CD334" s="3049"/>
      <c r="CE334" s="3049"/>
      <c r="CF334" s="3049"/>
      <c r="CG334" s="3049"/>
      <c r="CH334" s="3049"/>
      <c r="CI334" s="3049"/>
      <c r="CJ334" s="3049"/>
      <c r="CK334" s="3049"/>
      <c r="CL334" s="3049"/>
      <c r="CM334" s="3049"/>
      <c r="CN334" s="3049"/>
    </row>
    <row r="335" spans="1:92" x14ac:dyDescent="0.2">
      <c r="A335" s="3049"/>
      <c r="B335" s="3049"/>
      <c r="C335" s="3049"/>
      <c r="D335" s="3049"/>
      <c r="E335" s="3049"/>
      <c r="F335" s="3049"/>
      <c r="G335" s="3049"/>
      <c r="H335" s="3049"/>
      <c r="I335" s="3049"/>
      <c r="J335" s="3049"/>
      <c r="K335" s="3049"/>
      <c r="L335" s="3049"/>
      <c r="M335" s="3049"/>
      <c r="N335" s="3049"/>
      <c r="O335" s="3049"/>
      <c r="P335" s="3049"/>
      <c r="Q335" s="3049"/>
      <c r="R335" s="3049"/>
      <c r="S335" s="3049"/>
      <c r="T335" s="3049"/>
      <c r="U335" s="3049"/>
      <c r="V335" s="3049"/>
      <c r="W335" s="3049"/>
      <c r="X335" s="3049"/>
      <c r="Y335" s="3049"/>
      <c r="Z335" s="3049"/>
      <c r="AA335" s="3049"/>
      <c r="AB335" s="3049"/>
      <c r="AC335" s="3049"/>
      <c r="AD335" s="3049"/>
      <c r="AE335" s="3049"/>
      <c r="AF335" s="3049"/>
      <c r="AG335" s="3049"/>
      <c r="AH335" s="3049"/>
      <c r="AI335" s="3049"/>
      <c r="AJ335" s="3049"/>
      <c r="AK335" s="3049"/>
      <c r="AL335" s="3049"/>
      <c r="AM335" s="3049"/>
      <c r="AN335" s="3049"/>
      <c r="AO335" s="3049"/>
      <c r="AP335" s="3049"/>
      <c r="AQ335" s="3049"/>
      <c r="AR335" s="3049"/>
      <c r="AS335" s="3049"/>
      <c r="AT335" s="3049"/>
      <c r="AU335" s="3049"/>
      <c r="AV335" s="3049"/>
      <c r="AW335" s="3049"/>
      <c r="AX335" s="3049"/>
      <c r="AY335" s="3049"/>
      <c r="AZ335" s="3049"/>
      <c r="BA335" s="3049"/>
      <c r="BB335" s="3049"/>
      <c r="BC335" s="3049"/>
      <c r="BD335" s="3049"/>
      <c r="BE335" s="3049"/>
      <c r="BF335" s="3049"/>
      <c r="BG335" s="3049"/>
      <c r="BH335" s="3049"/>
      <c r="BI335" s="3049"/>
      <c r="BJ335" s="3049"/>
      <c r="BK335" s="3049"/>
      <c r="BL335" s="3049"/>
      <c r="BM335" s="3049"/>
      <c r="BN335" s="3049"/>
      <c r="BO335" s="3049"/>
      <c r="BP335" s="3049"/>
      <c r="BQ335" s="3049"/>
      <c r="BR335" s="3049"/>
      <c r="BS335" s="3049"/>
      <c r="BT335" s="3049"/>
      <c r="BU335" s="3049"/>
      <c r="BV335" s="3049"/>
      <c r="BW335" s="3049"/>
      <c r="BX335" s="3049"/>
      <c r="BY335" s="3049"/>
      <c r="BZ335" s="3049"/>
      <c r="CA335" s="3049"/>
      <c r="CB335" s="3049"/>
      <c r="CC335" s="3049"/>
      <c r="CD335" s="3049"/>
      <c r="CE335" s="3049"/>
      <c r="CF335" s="3049"/>
      <c r="CG335" s="3049"/>
      <c r="CH335" s="3049"/>
      <c r="CI335" s="3049"/>
      <c r="CJ335" s="3049"/>
      <c r="CK335" s="3049"/>
      <c r="CL335" s="3049"/>
      <c r="CM335" s="3049"/>
      <c r="CN335" s="3049"/>
    </row>
    <row r="336" spans="1:92" x14ac:dyDescent="0.2">
      <c r="A336" s="3049"/>
      <c r="B336" s="3049"/>
      <c r="C336" s="3049"/>
      <c r="D336" s="3049"/>
      <c r="E336" s="3049"/>
      <c r="F336" s="3049"/>
      <c r="G336" s="3049"/>
      <c r="H336" s="3049"/>
      <c r="I336" s="3049"/>
      <c r="J336" s="3049"/>
      <c r="K336" s="3049"/>
      <c r="L336" s="3049"/>
      <c r="M336" s="3049"/>
      <c r="N336" s="3049"/>
      <c r="O336" s="3049"/>
      <c r="P336" s="3049"/>
      <c r="Q336" s="3049"/>
      <c r="R336" s="3049"/>
      <c r="S336" s="3049"/>
      <c r="T336" s="3049"/>
      <c r="U336" s="3049"/>
      <c r="V336" s="3049"/>
      <c r="W336" s="3049"/>
      <c r="X336" s="3049"/>
      <c r="Y336" s="3049"/>
      <c r="Z336" s="3049"/>
      <c r="AA336" s="3049"/>
      <c r="AB336" s="3049"/>
      <c r="AC336" s="3049"/>
      <c r="AD336" s="3049"/>
      <c r="AE336" s="3049"/>
      <c r="AF336" s="3049"/>
      <c r="AG336" s="3049"/>
      <c r="AH336" s="3049"/>
      <c r="AI336" s="3049"/>
      <c r="AJ336" s="3049"/>
      <c r="AK336" s="3049"/>
      <c r="AL336" s="3049"/>
      <c r="AM336" s="3049"/>
      <c r="AN336" s="3049"/>
      <c r="AO336" s="3049"/>
      <c r="AP336" s="3049"/>
      <c r="AQ336" s="3049"/>
      <c r="AR336" s="3049"/>
      <c r="AS336" s="3049"/>
      <c r="AT336" s="3049"/>
      <c r="AU336" s="3049"/>
      <c r="AV336" s="3049"/>
      <c r="AW336" s="3049"/>
      <c r="AX336" s="3049"/>
      <c r="AY336" s="3049"/>
      <c r="AZ336" s="3049"/>
      <c r="BA336" s="3049"/>
      <c r="BB336" s="3049"/>
      <c r="BC336" s="3049"/>
      <c r="BD336" s="3049"/>
      <c r="BE336" s="3049"/>
      <c r="BF336" s="3049"/>
      <c r="BG336" s="3049"/>
      <c r="BH336" s="3049"/>
      <c r="BI336" s="3049"/>
      <c r="BJ336" s="3049"/>
      <c r="BK336" s="3049"/>
      <c r="BL336" s="3049"/>
      <c r="BM336" s="3049"/>
      <c r="BN336" s="3049"/>
      <c r="BO336" s="3049"/>
      <c r="BP336" s="3049"/>
      <c r="BQ336" s="3049"/>
      <c r="BR336" s="3049"/>
      <c r="BS336" s="3049"/>
      <c r="BT336" s="3049"/>
      <c r="BU336" s="3049"/>
      <c r="BV336" s="3049"/>
      <c r="BW336" s="3049"/>
      <c r="BX336" s="3049"/>
      <c r="BY336" s="3049"/>
      <c r="BZ336" s="3049"/>
      <c r="CA336" s="3049"/>
      <c r="CB336" s="3049"/>
      <c r="CC336" s="3049"/>
      <c r="CD336" s="3049"/>
      <c r="CE336" s="3049"/>
      <c r="CF336" s="3049"/>
      <c r="CG336" s="3049"/>
      <c r="CH336" s="3049"/>
      <c r="CI336" s="3049"/>
      <c r="CJ336" s="3049"/>
      <c r="CK336" s="3049"/>
      <c r="CL336" s="3049"/>
      <c r="CM336" s="3049"/>
      <c r="CN336" s="3049"/>
    </row>
    <row r="337" spans="1:92" x14ac:dyDescent="0.2">
      <c r="A337" s="3049"/>
      <c r="B337" s="3049"/>
      <c r="C337" s="3049"/>
      <c r="D337" s="3049"/>
      <c r="E337" s="3049"/>
      <c r="F337" s="3049"/>
      <c r="G337" s="3049"/>
      <c r="H337" s="3049"/>
      <c r="I337" s="3049"/>
      <c r="J337" s="3049"/>
      <c r="K337" s="3049"/>
      <c r="L337" s="3049"/>
      <c r="M337" s="3049"/>
      <c r="N337" s="3049"/>
      <c r="O337" s="3049"/>
      <c r="P337" s="3049"/>
      <c r="Q337" s="3049"/>
      <c r="R337" s="3049"/>
      <c r="S337" s="3049"/>
      <c r="T337" s="3049"/>
      <c r="U337" s="3049"/>
      <c r="V337" s="3049"/>
      <c r="W337" s="3049"/>
      <c r="X337" s="3049"/>
      <c r="Y337" s="3049"/>
      <c r="Z337" s="3049"/>
      <c r="AA337" s="3049"/>
      <c r="AB337" s="3049"/>
      <c r="AC337" s="3049"/>
      <c r="AD337" s="3049"/>
      <c r="AE337" s="3049"/>
      <c r="AF337" s="3049"/>
      <c r="AG337" s="3049"/>
      <c r="AH337" s="3049"/>
      <c r="AI337" s="3049"/>
      <c r="AJ337" s="3049"/>
      <c r="AK337" s="3049"/>
      <c r="AL337" s="3049"/>
      <c r="AM337" s="3049"/>
      <c r="AN337" s="3049"/>
      <c r="AO337" s="3049"/>
      <c r="AP337" s="3049"/>
      <c r="AQ337" s="3049"/>
      <c r="AR337" s="3049"/>
      <c r="AS337" s="3049"/>
      <c r="AT337" s="3049"/>
      <c r="AU337" s="3049"/>
      <c r="AV337" s="3049"/>
      <c r="AW337" s="3049"/>
      <c r="AX337" s="3049"/>
      <c r="AY337" s="3049"/>
      <c r="AZ337" s="3049"/>
      <c r="BA337" s="3049"/>
      <c r="BB337" s="3049"/>
      <c r="BC337" s="3049"/>
      <c r="BD337" s="3049"/>
      <c r="BE337" s="3049"/>
      <c r="BF337" s="3049"/>
      <c r="BG337" s="3049"/>
      <c r="BH337" s="3049"/>
      <c r="BI337" s="3049"/>
      <c r="BJ337" s="3049"/>
      <c r="BK337" s="3049"/>
      <c r="BL337" s="3049"/>
      <c r="BM337" s="3049"/>
      <c r="BN337" s="3049"/>
      <c r="BO337" s="3049"/>
      <c r="BP337" s="3049"/>
      <c r="BQ337" s="3049"/>
      <c r="BR337" s="3049"/>
      <c r="BS337" s="3049"/>
      <c r="BT337" s="3049"/>
      <c r="BU337" s="3049"/>
      <c r="BV337" s="3049"/>
      <c r="BW337" s="3049"/>
      <c r="BX337" s="3049"/>
      <c r="BY337" s="3049"/>
      <c r="BZ337" s="3049"/>
      <c r="CA337" s="3049"/>
      <c r="CB337" s="3049"/>
      <c r="CC337" s="3049"/>
      <c r="CD337" s="3049"/>
      <c r="CE337" s="3049"/>
      <c r="CF337" s="3049"/>
      <c r="CG337" s="3049"/>
      <c r="CH337" s="3049"/>
      <c r="CI337" s="3049"/>
      <c r="CJ337" s="3049"/>
      <c r="CK337" s="3049"/>
      <c r="CL337" s="3049"/>
      <c r="CM337" s="3049"/>
      <c r="CN337" s="3049"/>
    </row>
    <row r="338" spans="1:92" x14ac:dyDescent="0.2">
      <c r="A338" s="3049"/>
      <c r="B338" s="3049"/>
      <c r="C338" s="3049"/>
      <c r="D338" s="3049"/>
      <c r="E338" s="3049"/>
      <c r="F338" s="3049"/>
      <c r="G338" s="3049"/>
      <c r="H338" s="3049"/>
      <c r="I338" s="3049"/>
      <c r="J338" s="3049"/>
      <c r="K338" s="3049"/>
      <c r="L338" s="3049"/>
      <c r="M338" s="3049"/>
      <c r="N338" s="3049"/>
      <c r="O338" s="3049"/>
      <c r="P338" s="3049"/>
      <c r="Q338" s="3049"/>
      <c r="R338" s="3049"/>
      <c r="S338" s="3049"/>
      <c r="T338" s="3049"/>
      <c r="U338" s="3049"/>
      <c r="V338" s="3049"/>
      <c r="W338" s="3049"/>
      <c r="X338" s="3049"/>
      <c r="Y338" s="3049"/>
      <c r="Z338" s="3049"/>
      <c r="AA338" s="3049"/>
      <c r="AB338" s="3049"/>
      <c r="AC338" s="3049"/>
      <c r="AD338" s="3049"/>
      <c r="AE338" s="3049"/>
      <c r="AF338" s="3049"/>
      <c r="AG338" s="3049"/>
      <c r="AH338" s="3049"/>
      <c r="AI338" s="3049"/>
      <c r="AJ338" s="3049"/>
      <c r="AK338" s="3049"/>
      <c r="AL338" s="3049"/>
      <c r="AM338" s="3049"/>
      <c r="AN338" s="3049"/>
      <c r="AO338" s="3049"/>
      <c r="AP338" s="3049"/>
      <c r="AQ338" s="3049"/>
      <c r="AR338" s="3049"/>
      <c r="AS338" s="3049"/>
      <c r="AT338" s="3049"/>
      <c r="AU338" s="3049"/>
      <c r="AV338" s="3049"/>
      <c r="AW338" s="3049"/>
      <c r="AX338" s="3049"/>
      <c r="AY338" s="3049"/>
      <c r="AZ338" s="3049"/>
      <c r="BA338" s="3049"/>
      <c r="BB338" s="3049"/>
      <c r="BC338" s="3049"/>
      <c r="BD338" s="3049"/>
      <c r="BE338" s="3049"/>
      <c r="BF338" s="3049"/>
      <c r="BG338" s="3049"/>
      <c r="BH338" s="3049"/>
      <c r="BI338" s="3049"/>
      <c r="BJ338" s="3049"/>
      <c r="BK338" s="3049"/>
      <c r="BL338" s="3049"/>
      <c r="BM338" s="3049"/>
      <c r="BN338" s="3049"/>
      <c r="BO338" s="3049"/>
      <c r="BP338" s="3049"/>
      <c r="BQ338" s="3049"/>
      <c r="BR338" s="3049"/>
      <c r="BS338" s="3049"/>
      <c r="BT338" s="3049"/>
      <c r="BU338" s="3049"/>
      <c r="BV338" s="3049"/>
      <c r="BW338" s="3049"/>
      <c r="BX338" s="3049"/>
      <c r="BY338" s="3049"/>
      <c r="BZ338" s="3049"/>
      <c r="CA338" s="3049"/>
      <c r="CB338" s="3049"/>
      <c r="CC338" s="3049"/>
      <c r="CD338" s="3049"/>
      <c r="CE338" s="3049"/>
      <c r="CF338" s="3049"/>
      <c r="CG338" s="3049"/>
      <c r="CH338" s="3049"/>
      <c r="CI338" s="3049"/>
      <c r="CJ338" s="3049"/>
      <c r="CK338" s="3049"/>
      <c r="CL338" s="3049"/>
      <c r="CM338" s="3049"/>
      <c r="CN338" s="3049"/>
    </row>
    <row r="339" spans="1:92" x14ac:dyDescent="0.2">
      <c r="A339" s="3049"/>
      <c r="B339" s="3049"/>
      <c r="C339" s="3049"/>
      <c r="D339" s="3049"/>
      <c r="E339" s="3049"/>
      <c r="F339" s="3049"/>
      <c r="G339" s="3049"/>
      <c r="H339" s="3049"/>
      <c r="I339" s="3049"/>
      <c r="J339" s="3049"/>
      <c r="K339" s="3049"/>
      <c r="L339" s="3049"/>
      <c r="M339" s="3049"/>
      <c r="N339" s="3049"/>
      <c r="O339" s="3049"/>
      <c r="P339" s="3049"/>
      <c r="Q339" s="3049"/>
      <c r="R339" s="3049"/>
      <c r="S339" s="3049"/>
      <c r="T339" s="3049"/>
      <c r="U339" s="3049"/>
      <c r="V339" s="3049"/>
      <c r="W339" s="3049"/>
      <c r="X339" s="3049"/>
      <c r="Y339" s="3049"/>
      <c r="Z339" s="3049"/>
      <c r="AA339" s="3049"/>
      <c r="AB339" s="3049"/>
      <c r="AC339" s="3049"/>
      <c r="AD339" s="3049"/>
      <c r="AE339" s="3049"/>
      <c r="AF339" s="3049"/>
      <c r="AG339" s="3049"/>
      <c r="AH339" s="3049"/>
      <c r="AI339" s="3049"/>
      <c r="AJ339" s="3049"/>
      <c r="AK339" s="3049"/>
      <c r="AL339" s="3049"/>
      <c r="AM339" s="3049"/>
      <c r="AN339" s="3049"/>
      <c r="AO339" s="3049"/>
      <c r="AP339" s="3049"/>
      <c r="AQ339" s="3049"/>
      <c r="AR339" s="3049"/>
      <c r="AS339" s="3049"/>
      <c r="AT339" s="3049"/>
      <c r="AU339" s="3049"/>
      <c r="AV339" s="3049"/>
      <c r="AW339" s="3049"/>
      <c r="AX339" s="3049"/>
      <c r="AY339" s="3049"/>
      <c r="AZ339" s="3049"/>
      <c r="BA339" s="3049"/>
      <c r="BB339" s="3049"/>
      <c r="BC339" s="3049"/>
      <c r="BD339" s="3049"/>
      <c r="BE339" s="3049"/>
      <c r="BF339" s="3049"/>
      <c r="BG339" s="3049"/>
      <c r="BH339" s="3049"/>
      <c r="BI339" s="3049"/>
      <c r="BJ339" s="3049"/>
      <c r="BK339" s="3049"/>
      <c r="BL339" s="3049"/>
      <c r="BM339" s="3049"/>
      <c r="BN339" s="3049"/>
      <c r="BO339" s="3049"/>
      <c r="BP339" s="3049"/>
      <c r="BQ339" s="3049"/>
      <c r="BR339" s="3049"/>
      <c r="BS339" s="3049"/>
      <c r="BT339" s="3049"/>
      <c r="BU339" s="3049"/>
      <c r="BV339" s="3049"/>
      <c r="BW339" s="3049"/>
      <c r="BX339" s="3049"/>
      <c r="BY339" s="3049"/>
      <c r="BZ339" s="3049"/>
      <c r="CA339" s="3049"/>
      <c r="CB339" s="3049"/>
      <c r="CC339" s="3049"/>
      <c r="CD339" s="3049"/>
      <c r="CE339" s="3049"/>
      <c r="CF339" s="3049"/>
      <c r="CG339" s="3049"/>
      <c r="CH339" s="3049"/>
      <c r="CI339" s="3049"/>
      <c r="CJ339" s="3049"/>
      <c r="CK339" s="3049"/>
      <c r="CL339" s="3049"/>
      <c r="CM339" s="3049"/>
      <c r="CN339" s="3049"/>
    </row>
    <row r="340" spans="1:92" x14ac:dyDescent="0.2">
      <c r="A340" s="3049"/>
      <c r="B340" s="3049"/>
      <c r="C340" s="3049"/>
      <c r="D340" s="3049"/>
      <c r="E340" s="3049"/>
      <c r="F340" s="3049"/>
      <c r="G340" s="3049"/>
      <c r="H340" s="3049"/>
      <c r="I340" s="3049"/>
      <c r="J340" s="3049"/>
      <c r="K340" s="3049"/>
      <c r="L340" s="3049"/>
      <c r="M340" s="3049"/>
      <c r="N340" s="3049"/>
      <c r="O340" s="3049"/>
      <c r="P340" s="3049"/>
      <c r="Q340" s="3049"/>
      <c r="R340" s="3049"/>
      <c r="S340" s="3049"/>
      <c r="T340" s="3049"/>
      <c r="U340" s="3049"/>
      <c r="V340" s="3049"/>
      <c r="W340" s="3049"/>
      <c r="X340" s="3049"/>
      <c r="Y340" s="3049"/>
      <c r="Z340" s="3049"/>
      <c r="AA340" s="3049"/>
      <c r="AB340" s="3049"/>
      <c r="AC340" s="3049"/>
      <c r="AD340" s="3049"/>
      <c r="AE340" s="3049"/>
      <c r="AF340" s="3049"/>
      <c r="AG340" s="3049"/>
      <c r="AH340" s="3049"/>
      <c r="AI340" s="3049"/>
      <c r="AJ340" s="3049"/>
      <c r="AK340" s="3049"/>
      <c r="AL340" s="3049"/>
      <c r="AM340" s="3049"/>
      <c r="AN340" s="3049"/>
      <c r="AO340" s="3049"/>
      <c r="AP340" s="3049"/>
      <c r="AQ340" s="3049"/>
      <c r="AR340" s="3049"/>
      <c r="AS340" s="3049"/>
      <c r="AT340" s="3049"/>
      <c r="AU340" s="3049"/>
      <c r="AV340" s="3049"/>
      <c r="AW340" s="3049"/>
      <c r="AX340" s="3049"/>
      <c r="AY340" s="3049"/>
      <c r="AZ340" s="3049"/>
      <c r="BA340" s="3049"/>
      <c r="BB340" s="3049"/>
      <c r="BC340" s="3049"/>
      <c r="BD340" s="3049"/>
      <c r="BE340" s="3049"/>
      <c r="BF340" s="3049"/>
      <c r="BG340" s="3049"/>
      <c r="BH340" s="3049"/>
      <c r="BI340" s="3049"/>
      <c r="BJ340" s="3049"/>
      <c r="BK340" s="3049"/>
      <c r="BL340" s="3049"/>
      <c r="BM340" s="3049"/>
      <c r="BN340" s="3049"/>
      <c r="BO340" s="3049"/>
      <c r="BP340" s="3049"/>
      <c r="BQ340" s="3049"/>
      <c r="BR340" s="3049"/>
      <c r="BS340" s="3049"/>
      <c r="BT340" s="3049"/>
      <c r="BU340" s="3049"/>
      <c r="BV340" s="3049"/>
      <c r="BW340" s="3049"/>
      <c r="BX340" s="3049"/>
      <c r="BY340" s="3049"/>
      <c r="BZ340" s="3049"/>
      <c r="CA340" s="3049"/>
      <c r="CB340" s="3049"/>
      <c r="CC340" s="3049"/>
      <c r="CD340" s="3049"/>
      <c r="CE340" s="3049"/>
      <c r="CF340" s="3049"/>
      <c r="CG340" s="3049"/>
      <c r="CH340" s="3049"/>
      <c r="CI340" s="3049"/>
      <c r="CJ340" s="3049"/>
      <c r="CK340" s="3049"/>
      <c r="CL340" s="3049"/>
      <c r="CM340" s="3049"/>
      <c r="CN340" s="3049"/>
    </row>
    <row r="341" spans="1:92" x14ac:dyDescent="0.2">
      <c r="A341" s="3049"/>
      <c r="B341" s="3049"/>
      <c r="C341" s="3049"/>
      <c r="D341" s="3049"/>
      <c r="E341" s="3049"/>
      <c r="F341" s="3049"/>
      <c r="G341" s="3049"/>
      <c r="H341" s="3049"/>
      <c r="I341" s="3049"/>
      <c r="J341" s="3049"/>
      <c r="K341" s="3049"/>
      <c r="L341" s="3049"/>
      <c r="M341" s="3049"/>
      <c r="N341" s="3049"/>
      <c r="O341" s="3049"/>
      <c r="P341" s="3049"/>
      <c r="Q341" s="3049"/>
      <c r="R341" s="3049"/>
      <c r="S341" s="3049"/>
      <c r="T341" s="3049"/>
      <c r="U341" s="3049"/>
      <c r="V341" s="3049"/>
      <c r="W341" s="3049"/>
      <c r="X341" s="3049"/>
      <c r="Y341" s="3049"/>
      <c r="Z341" s="3049"/>
      <c r="AA341" s="3049"/>
      <c r="AB341" s="3049"/>
      <c r="AC341" s="3049"/>
      <c r="AD341" s="3049"/>
      <c r="AE341" s="3049"/>
      <c r="AF341" s="3049"/>
      <c r="AG341" s="3049"/>
      <c r="AH341" s="3049"/>
      <c r="AI341" s="3049"/>
      <c r="AJ341" s="3049"/>
      <c r="AK341" s="3049"/>
      <c r="AL341" s="3049"/>
      <c r="AM341" s="3049"/>
      <c r="AN341" s="3049"/>
      <c r="AO341" s="3049"/>
      <c r="AP341" s="3049"/>
      <c r="AQ341" s="3049"/>
      <c r="AR341" s="3049"/>
      <c r="AS341" s="3049"/>
      <c r="AT341" s="3049"/>
      <c r="AU341" s="3049"/>
      <c r="AV341" s="3049"/>
      <c r="AW341" s="3049"/>
      <c r="AX341" s="3049"/>
      <c r="AY341" s="3049"/>
      <c r="AZ341" s="3049"/>
      <c r="BA341" s="3049"/>
      <c r="BB341" s="3049"/>
      <c r="BC341" s="3049"/>
      <c r="BD341" s="3049"/>
      <c r="BE341" s="3049"/>
      <c r="BF341" s="3049"/>
      <c r="BG341" s="3049"/>
      <c r="BH341" s="3049"/>
      <c r="BI341" s="3049"/>
      <c r="BJ341" s="3049"/>
      <c r="BK341" s="3049"/>
      <c r="BL341" s="3049"/>
      <c r="BM341" s="3049"/>
      <c r="BN341" s="3049"/>
      <c r="BO341" s="3049"/>
      <c r="BP341" s="3049"/>
      <c r="BQ341" s="3049"/>
      <c r="BR341" s="3049"/>
      <c r="BS341" s="3049"/>
      <c r="BT341" s="3049"/>
      <c r="BU341" s="3049"/>
      <c r="BV341" s="3049"/>
      <c r="BW341" s="3049"/>
      <c r="BX341" s="3049"/>
      <c r="BY341" s="3049"/>
      <c r="BZ341" s="3049"/>
      <c r="CA341" s="3049"/>
      <c r="CB341" s="3049"/>
      <c r="CC341" s="3049"/>
      <c r="CD341" s="3049"/>
      <c r="CE341" s="3049"/>
      <c r="CF341" s="3049"/>
      <c r="CG341" s="3049"/>
      <c r="CH341" s="3049"/>
      <c r="CI341" s="3049"/>
      <c r="CJ341" s="3049"/>
      <c r="CK341" s="3049"/>
      <c r="CL341" s="3049"/>
      <c r="CM341" s="3049"/>
      <c r="CN341" s="3049"/>
    </row>
    <row r="342" spans="1:92" x14ac:dyDescent="0.2">
      <c r="A342" s="3049"/>
      <c r="B342" s="3049"/>
      <c r="C342" s="3049"/>
      <c r="D342" s="3049"/>
      <c r="E342" s="3049"/>
      <c r="F342" s="3049"/>
      <c r="G342" s="3049"/>
      <c r="H342" s="3049"/>
      <c r="I342" s="3049"/>
      <c r="J342" s="3049"/>
      <c r="K342" s="3049"/>
      <c r="L342" s="3049"/>
      <c r="M342" s="3049"/>
      <c r="N342" s="3049"/>
      <c r="O342" s="3049"/>
      <c r="P342" s="3049"/>
      <c r="Q342" s="3049"/>
      <c r="R342" s="3049"/>
      <c r="S342" s="3049"/>
      <c r="T342" s="3049"/>
      <c r="U342" s="3049"/>
      <c r="V342" s="3049"/>
      <c r="W342" s="3049"/>
      <c r="X342" s="3049"/>
      <c r="Y342" s="3049"/>
      <c r="Z342" s="3049"/>
      <c r="AA342" s="3049"/>
      <c r="AB342" s="3049"/>
      <c r="AC342" s="3049"/>
      <c r="AD342" s="3049"/>
      <c r="AE342" s="3049"/>
      <c r="AF342" s="3049"/>
      <c r="AG342" s="3049"/>
      <c r="AH342" s="3049"/>
      <c r="AI342" s="3049"/>
      <c r="AJ342" s="3049"/>
      <c r="AK342" s="3049"/>
      <c r="AL342" s="3049"/>
      <c r="AM342" s="3049"/>
      <c r="AN342" s="3049"/>
      <c r="AO342" s="3049"/>
      <c r="AP342" s="3049"/>
      <c r="AQ342" s="3049"/>
      <c r="AR342" s="3049"/>
      <c r="AS342" s="3049"/>
      <c r="AT342" s="3049"/>
      <c r="AU342" s="3049"/>
      <c r="AV342" s="3049"/>
      <c r="AW342" s="3049"/>
      <c r="AX342" s="3049"/>
      <c r="AY342" s="3049"/>
      <c r="AZ342" s="3049"/>
      <c r="BA342" s="3049"/>
      <c r="BB342" s="3049"/>
      <c r="BC342" s="3049"/>
      <c r="BD342" s="3049"/>
      <c r="BE342" s="3049"/>
      <c r="BF342" s="3049"/>
      <c r="BG342" s="3049"/>
      <c r="BH342" s="3049"/>
      <c r="BI342" s="3049"/>
      <c r="BJ342" s="3049"/>
      <c r="BK342" s="3049"/>
      <c r="BL342" s="3049"/>
      <c r="BM342" s="3049"/>
      <c r="BN342" s="3049"/>
      <c r="BO342" s="3049"/>
      <c r="BP342" s="3049"/>
      <c r="BQ342" s="3049"/>
      <c r="BR342" s="3049"/>
      <c r="BS342" s="3049"/>
      <c r="BT342" s="3049"/>
      <c r="BU342" s="3049"/>
      <c r="BV342" s="3049"/>
      <c r="BW342" s="3049"/>
      <c r="BX342" s="3049"/>
      <c r="BY342" s="3049"/>
      <c r="BZ342" s="3049"/>
      <c r="CA342" s="3049"/>
      <c r="CB342" s="3049"/>
      <c r="CC342" s="3049"/>
      <c r="CD342" s="3049"/>
      <c r="CE342" s="3049"/>
      <c r="CF342" s="3049"/>
      <c r="CG342" s="3049"/>
      <c r="CH342" s="3049"/>
      <c r="CI342" s="3049"/>
      <c r="CJ342" s="3049"/>
      <c r="CK342" s="3049"/>
      <c r="CL342" s="3049"/>
      <c r="CM342" s="3049"/>
      <c r="CN342" s="3049"/>
    </row>
    <row r="343" spans="1:92" x14ac:dyDescent="0.2">
      <c r="A343" s="3049"/>
      <c r="B343" s="3049"/>
      <c r="C343" s="3049"/>
      <c r="D343" s="3049"/>
      <c r="E343" s="3049"/>
      <c r="F343" s="3049"/>
      <c r="G343" s="3049"/>
      <c r="H343" s="3049"/>
      <c r="I343" s="3049"/>
      <c r="J343" s="3049"/>
      <c r="K343" s="3049"/>
      <c r="L343" s="3049"/>
      <c r="M343" s="3049"/>
      <c r="N343" s="3049"/>
      <c r="O343" s="3049"/>
      <c r="P343" s="3049"/>
      <c r="Q343" s="3049"/>
      <c r="R343" s="3049"/>
      <c r="S343" s="3049"/>
      <c r="T343" s="3049"/>
      <c r="U343" s="3049"/>
      <c r="V343" s="3049"/>
      <c r="W343" s="3049"/>
      <c r="X343" s="3049"/>
      <c r="Y343" s="3049"/>
      <c r="Z343" s="3049"/>
      <c r="AA343" s="3049"/>
      <c r="AB343" s="3049"/>
      <c r="AC343" s="3049"/>
      <c r="AD343" s="3049"/>
      <c r="AE343" s="3049"/>
      <c r="AF343" s="3049"/>
      <c r="AG343" s="3049"/>
      <c r="AH343" s="3049"/>
      <c r="AI343" s="3049"/>
      <c r="AJ343" s="3049"/>
      <c r="AK343" s="3049"/>
      <c r="AL343" s="3049"/>
      <c r="AM343" s="3049"/>
      <c r="AN343" s="3049"/>
      <c r="AO343" s="3049"/>
      <c r="AP343" s="3049"/>
      <c r="AQ343" s="3049"/>
      <c r="AR343" s="3049"/>
      <c r="AS343" s="3049"/>
      <c r="AT343" s="3049"/>
      <c r="AU343" s="3049"/>
      <c r="AV343" s="3049"/>
      <c r="AW343" s="3049"/>
      <c r="AX343" s="3049"/>
      <c r="AY343" s="3049"/>
      <c r="AZ343" s="3049"/>
      <c r="BA343" s="3049"/>
      <c r="BB343" s="3049"/>
      <c r="BC343" s="3049"/>
      <c r="BD343" s="3049"/>
      <c r="BE343" s="3049"/>
      <c r="BF343" s="3049"/>
      <c r="BG343" s="3049"/>
      <c r="BH343" s="3049"/>
      <c r="BI343" s="3049"/>
      <c r="BJ343" s="3049"/>
      <c r="BK343" s="3049"/>
      <c r="BL343" s="3049"/>
      <c r="BM343" s="3049"/>
      <c r="BN343" s="3049"/>
      <c r="BO343" s="3049"/>
      <c r="BP343" s="3049"/>
      <c r="BQ343" s="3049"/>
      <c r="BR343" s="3049"/>
      <c r="BS343" s="3049"/>
      <c r="BT343" s="3049"/>
      <c r="BU343" s="3049"/>
      <c r="BV343" s="3049"/>
      <c r="BW343" s="3049"/>
      <c r="BX343" s="3049"/>
      <c r="BY343" s="3049"/>
      <c r="BZ343" s="3049"/>
      <c r="CA343" s="3049"/>
      <c r="CB343" s="3049"/>
      <c r="CC343" s="3049"/>
      <c r="CD343" s="3049"/>
      <c r="CE343" s="3049"/>
      <c r="CF343" s="3049"/>
      <c r="CG343" s="3049"/>
      <c r="CH343" s="3049"/>
      <c r="CI343" s="3049"/>
      <c r="CJ343" s="3049"/>
      <c r="CK343" s="3049"/>
      <c r="CL343" s="3049"/>
      <c r="CM343" s="3049"/>
      <c r="CN343" s="3049"/>
    </row>
    <row r="344" spans="1:92" x14ac:dyDescent="0.2">
      <c r="A344" s="3049"/>
      <c r="B344" s="3049"/>
      <c r="C344" s="3049"/>
      <c r="D344" s="3049"/>
      <c r="E344" s="3049"/>
      <c r="F344" s="3049"/>
      <c r="G344" s="3049"/>
      <c r="H344" s="3049"/>
      <c r="I344" s="3049"/>
      <c r="J344" s="3049"/>
      <c r="K344" s="3049"/>
      <c r="L344" s="3049"/>
      <c r="M344" s="3049"/>
      <c r="N344" s="3049"/>
      <c r="O344" s="3049"/>
      <c r="P344" s="3049"/>
      <c r="Q344" s="3049"/>
      <c r="R344" s="3049"/>
      <c r="S344" s="3049"/>
      <c r="T344" s="3049"/>
      <c r="U344" s="3049"/>
      <c r="V344" s="3049"/>
      <c r="W344" s="3049"/>
      <c r="X344" s="3049"/>
      <c r="Y344" s="3049"/>
      <c r="Z344" s="3049"/>
      <c r="AA344" s="3049"/>
      <c r="AB344" s="3049"/>
      <c r="AC344" s="3049"/>
      <c r="AD344" s="3049"/>
      <c r="AE344" s="3049"/>
      <c r="AF344" s="3049"/>
      <c r="AG344" s="3049"/>
      <c r="AH344" s="3049"/>
      <c r="AI344" s="3049"/>
      <c r="AJ344" s="3049"/>
      <c r="AK344" s="3049"/>
      <c r="AL344" s="3049"/>
      <c r="AM344" s="3049"/>
      <c r="AN344" s="3049"/>
      <c r="AO344" s="3049"/>
      <c r="AP344" s="3049"/>
      <c r="AQ344" s="3049"/>
      <c r="AR344" s="3049"/>
      <c r="AS344" s="3049"/>
      <c r="AT344" s="3049"/>
      <c r="AU344" s="3049"/>
      <c r="AV344" s="3049"/>
      <c r="AW344" s="3049"/>
      <c r="AX344" s="3049"/>
      <c r="AY344" s="3049"/>
      <c r="AZ344" s="3049"/>
      <c r="BA344" s="3049"/>
      <c r="BB344" s="3049"/>
      <c r="BC344" s="3049"/>
      <c r="BD344" s="3049"/>
      <c r="BE344" s="3049"/>
      <c r="BF344" s="3049"/>
      <c r="BG344" s="3049"/>
      <c r="BH344" s="3049"/>
      <c r="BI344" s="3049"/>
      <c r="BJ344" s="3049"/>
      <c r="BK344" s="3049"/>
      <c r="BL344" s="3049"/>
      <c r="BM344" s="3049"/>
      <c r="BN344" s="3049"/>
      <c r="BO344" s="3049"/>
      <c r="BP344" s="3049"/>
      <c r="BQ344" s="3049"/>
      <c r="BR344" s="3049"/>
      <c r="BS344" s="3049"/>
      <c r="BT344" s="3049"/>
      <c r="BU344" s="3049"/>
      <c r="BV344" s="3049"/>
      <c r="BW344" s="3049"/>
      <c r="BX344" s="3049"/>
      <c r="BY344" s="3049"/>
      <c r="BZ344" s="3049"/>
      <c r="CA344" s="3049"/>
      <c r="CB344" s="3049"/>
      <c r="CC344" s="3049"/>
      <c r="CD344" s="3049"/>
      <c r="CE344" s="3049"/>
      <c r="CF344" s="3049"/>
      <c r="CG344" s="3049"/>
      <c r="CH344" s="3049"/>
      <c r="CI344" s="3049"/>
      <c r="CJ344" s="3049"/>
      <c r="CK344" s="3049"/>
      <c r="CL344" s="3049"/>
      <c r="CM344" s="3049"/>
      <c r="CN344" s="3049"/>
    </row>
    <row r="345" spans="1:92" x14ac:dyDescent="0.2">
      <c r="A345" s="3049"/>
      <c r="B345" s="3049"/>
      <c r="C345" s="3049"/>
      <c r="D345" s="3049"/>
      <c r="E345" s="3049"/>
      <c r="F345" s="3049"/>
      <c r="G345" s="3049"/>
      <c r="H345" s="3049"/>
      <c r="I345" s="3049"/>
      <c r="J345" s="3049"/>
      <c r="K345" s="3049"/>
      <c r="L345" s="3049"/>
      <c r="M345" s="3049"/>
      <c r="N345" s="3049"/>
      <c r="O345" s="3049"/>
      <c r="P345" s="3049"/>
      <c r="Q345" s="3049"/>
      <c r="R345" s="3049"/>
      <c r="S345" s="3049"/>
      <c r="T345" s="3049"/>
      <c r="U345" s="3049"/>
      <c r="V345" s="3049"/>
      <c r="W345" s="3049"/>
      <c r="X345" s="3049"/>
      <c r="Y345" s="3049"/>
      <c r="Z345" s="3049"/>
      <c r="AA345" s="3049"/>
      <c r="AB345" s="3049"/>
      <c r="AC345" s="3049"/>
      <c r="AD345" s="3049"/>
      <c r="AE345" s="3049"/>
      <c r="AF345" s="3049"/>
      <c r="AG345" s="3049"/>
      <c r="AH345" s="3049"/>
      <c r="AI345" s="3049"/>
      <c r="AJ345" s="3049"/>
      <c r="AK345" s="3049"/>
      <c r="AL345" s="3049"/>
      <c r="AM345" s="3049"/>
      <c r="AN345" s="3049"/>
      <c r="AO345" s="3049"/>
      <c r="AP345" s="3049"/>
      <c r="AQ345" s="3049"/>
      <c r="AR345" s="3049"/>
      <c r="AS345" s="3049"/>
      <c r="AT345" s="3049"/>
      <c r="AU345" s="3049"/>
      <c r="AV345" s="3049"/>
      <c r="AW345" s="3049"/>
      <c r="AX345" s="3049"/>
      <c r="AY345" s="3049"/>
      <c r="AZ345" s="3049"/>
      <c r="BA345" s="3049"/>
      <c r="BB345" s="3049"/>
      <c r="BC345" s="3049"/>
      <c r="BD345" s="3049"/>
      <c r="BE345" s="3049"/>
      <c r="BF345" s="3049"/>
      <c r="BG345" s="3049"/>
      <c r="BH345" s="3049"/>
      <c r="BI345" s="3049"/>
      <c r="BJ345" s="3049"/>
      <c r="BK345" s="3049"/>
      <c r="BL345" s="3049"/>
      <c r="BM345" s="3049"/>
      <c r="BN345" s="3049"/>
      <c r="BO345" s="3049"/>
      <c r="BP345" s="3049"/>
      <c r="BQ345" s="3049"/>
      <c r="BR345" s="3049"/>
      <c r="BS345" s="3049"/>
      <c r="BT345" s="3049"/>
      <c r="BU345" s="3049"/>
      <c r="BV345" s="3049"/>
      <c r="BW345" s="3049"/>
      <c r="BX345" s="3049"/>
      <c r="BY345" s="3049"/>
      <c r="BZ345" s="3049"/>
      <c r="CA345" s="3049"/>
      <c r="CB345" s="3049"/>
      <c r="CC345" s="3049"/>
      <c r="CD345" s="3049"/>
      <c r="CE345" s="3049"/>
      <c r="CF345" s="3049"/>
      <c r="CG345" s="3049"/>
      <c r="CH345" s="3049"/>
      <c r="CI345" s="3049"/>
      <c r="CJ345" s="3049"/>
      <c r="CK345" s="3049"/>
      <c r="CL345" s="3049"/>
      <c r="CM345" s="3049"/>
      <c r="CN345" s="3049"/>
    </row>
    <row r="346" spans="1:92" x14ac:dyDescent="0.2">
      <c r="A346" s="3049"/>
      <c r="B346" s="3049"/>
      <c r="C346" s="3049"/>
      <c r="D346" s="3049"/>
      <c r="E346" s="3049"/>
      <c r="F346" s="3049"/>
      <c r="G346" s="3049"/>
      <c r="H346" s="3049"/>
      <c r="I346" s="3049"/>
      <c r="J346" s="3049"/>
      <c r="K346" s="3049"/>
      <c r="L346" s="3049"/>
      <c r="M346" s="3049"/>
      <c r="N346" s="3049"/>
      <c r="O346" s="3049"/>
      <c r="P346" s="3049"/>
      <c r="Q346" s="3049"/>
      <c r="R346" s="3049"/>
      <c r="S346" s="3049"/>
      <c r="T346" s="3049"/>
      <c r="U346" s="3049"/>
      <c r="V346" s="3049"/>
      <c r="W346" s="3049"/>
      <c r="X346" s="3049"/>
      <c r="Y346" s="3049"/>
      <c r="Z346" s="3049"/>
      <c r="AA346" s="3049"/>
      <c r="AB346" s="3049"/>
      <c r="AC346" s="3049"/>
      <c r="AD346" s="3049"/>
      <c r="AE346" s="3049"/>
      <c r="AF346" s="3049"/>
      <c r="AG346" s="3049"/>
      <c r="AH346" s="3049"/>
      <c r="AI346" s="3049"/>
      <c r="AJ346" s="3049"/>
      <c r="AK346" s="3049"/>
      <c r="AL346" s="3049"/>
      <c r="AM346" s="3049"/>
      <c r="AN346" s="3049"/>
      <c r="AO346" s="3049"/>
      <c r="AP346" s="3049"/>
      <c r="AQ346" s="3049"/>
      <c r="AR346" s="3049"/>
      <c r="AS346" s="3049"/>
      <c r="AT346" s="3049"/>
      <c r="AU346" s="3049"/>
      <c r="AV346" s="3049"/>
      <c r="AW346" s="3049"/>
      <c r="AX346" s="3049"/>
      <c r="AY346" s="3049"/>
      <c r="AZ346" s="3049"/>
      <c r="BA346" s="3049"/>
      <c r="BB346" s="3049"/>
      <c r="BC346" s="3049"/>
      <c r="BD346" s="3049"/>
      <c r="BE346" s="3049"/>
      <c r="BF346" s="3049"/>
      <c r="BG346" s="3049"/>
      <c r="BH346" s="3049"/>
      <c r="BI346" s="3049"/>
      <c r="BJ346" s="3049"/>
      <c r="BK346" s="3049"/>
      <c r="BL346" s="3049"/>
      <c r="BM346" s="3049"/>
      <c r="BN346" s="3049"/>
      <c r="BO346" s="3049"/>
      <c r="BP346" s="3049"/>
      <c r="BQ346" s="3049"/>
      <c r="BR346" s="3049"/>
      <c r="BS346" s="3049"/>
      <c r="BT346" s="3049"/>
      <c r="BU346" s="3049"/>
      <c r="BV346" s="3049"/>
      <c r="BW346" s="3049"/>
      <c r="BX346" s="3049"/>
      <c r="BY346" s="3049"/>
      <c r="BZ346" s="3049"/>
      <c r="CA346" s="3049"/>
      <c r="CB346" s="3049"/>
      <c r="CC346" s="3049"/>
      <c r="CD346" s="3049"/>
      <c r="CE346" s="3049"/>
      <c r="CF346" s="3049"/>
      <c r="CG346" s="3049"/>
      <c r="CH346" s="3049"/>
      <c r="CI346" s="3049"/>
      <c r="CJ346" s="3049"/>
      <c r="CK346" s="3049"/>
      <c r="CL346" s="3049"/>
      <c r="CM346" s="3049"/>
      <c r="CN346" s="3049"/>
    </row>
    <row r="347" spans="1:92" x14ac:dyDescent="0.2">
      <c r="A347" s="3049"/>
      <c r="B347" s="3049"/>
      <c r="C347" s="3049"/>
      <c r="D347" s="3049"/>
      <c r="E347" s="3049"/>
      <c r="F347" s="3049"/>
      <c r="G347" s="3049"/>
      <c r="H347" s="3049"/>
      <c r="I347" s="3049"/>
      <c r="J347" s="3049"/>
      <c r="K347" s="3049"/>
      <c r="L347" s="3049"/>
      <c r="M347" s="3049"/>
      <c r="N347" s="3049"/>
      <c r="O347" s="3049"/>
      <c r="P347" s="3049"/>
      <c r="Q347" s="3049"/>
      <c r="R347" s="3049"/>
      <c r="S347" s="3049"/>
      <c r="T347" s="3049"/>
      <c r="U347" s="3049"/>
      <c r="V347" s="3049"/>
      <c r="W347" s="3049"/>
      <c r="X347" s="3049"/>
      <c r="Y347" s="3049"/>
      <c r="Z347" s="3049"/>
      <c r="AA347" s="3049"/>
      <c r="AB347" s="3049"/>
      <c r="AC347" s="3049"/>
      <c r="AD347" s="3049"/>
      <c r="AE347" s="3049"/>
      <c r="AF347" s="3049"/>
      <c r="AG347" s="3049"/>
      <c r="AH347" s="3049"/>
      <c r="AI347" s="3049"/>
      <c r="AJ347" s="3049"/>
      <c r="AK347" s="3049"/>
      <c r="AL347" s="3049"/>
      <c r="AM347" s="3049"/>
      <c r="AN347" s="3049"/>
      <c r="AO347" s="3049"/>
      <c r="AP347" s="3049"/>
      <c r="AQ347" s="3049"/>
      <c r="AR347" s="3049"/>
      <c r="AS347" s="3049"/>
      <c r="AT347" s="3049"/>
      <c r="AU347" s="3049"/>
      <c r="AV347" s="3049"/>
      <c r="AW347" s="3049"/>
      <c r="AX347" s="3049"/>
      <c r="AY347" s="3049"/>
      <c r="AZ347" s="3049"/>
      <c r="BA347" s="3049"/>
      <c r="BB347" s="3049"/>
      <c r="BC347" s="3049"/>
      <c r="BD347" s="3049"/>
      <c r="BE347" s="3049"/>
      <c r="BF347" s="3049"/>
      <c r="BG347" s="3049"/>
      <c r="BH347" s="3049"/>
      <c r="BI347" s="3049"/>
      <c r="BJ347" s="3049"/>
      <c r="BK347" s="3049"/>
      <c r="BL347" s="3049"/>
      <c r="BM347" s="3049"/>
      <c r="BN347" s="3049"/>
      <c r="BO347" s="3049"/>
      <c r="BP347" s="3049"/>
      <c r="BQ347" s="3049"/>
      <c r="BR347" s="3049"/>
      <c r="BS347" s="3049"/>
      <c r="BT347" s="3049"/>
      <c r="BU347" s="3049"/>
      <c r="BV347" s="3049"/>
      <c r="BW347" s="3049"/>
      <c r="BX347" s="3049"/>
      <c r="BY347" s="3049"/>
      <c r="BZ347" s="3049"/>
      <c r="CA347" s="3049"/>
      <c r="CB347" s="3049"/>
      <c r="CC347" s="3049"/>
      <c r="CD347" s="3049"/>
      <c r="CE347" s="3049"/>
      <c r="CF347" s="3049"/>
      <c r="CG347" s="3049"/>
      <c r="CH347" s="3049"/>
      <c r="CI347" s="3049"/>
      <c r="CJ347" s="3049"/>
      <c r="CK347" s="3049"/>
      <c r="CL347" s="3049"/>
      <c r="CM347" s="3049"/>
      <c r="CN347" s="3049"/>
    </row>
    <row r="348" spans="1:92" x14ac:dyDescent="0.2">
      <c r="A348" s="3049"/>
      <c r="B348" s="3049"/>
      <c r="C348" s="3049"/>
      <c r="D348" s="3049"/>
      <c r="E348" s="3049"/>
      <c r="F348" s="3049"/>
      <c r="G348" s="3049"/>
      <c r="H348" s="3049"/>
      <c r="I348" s="3049"/>
      <c r="J348" s="3049"/>
      <c r="K348" s="3049"/>
      <c r="L348" s="3049"/>
      <c r="M348" s="3049"/>
      <c r="N348" s="3049"/>
      <c r="O348" s="3049"/>
      <c r="P348" s="3049"/>
      <c r="Q348" s="3049"/>
      <c r="R348" s="3049"/>
      <c r="S348" s="3049"/>
      <c r="T348" s="3049"/>
      <c r="U348" s="3049"/>
      <c r="V348" s="3049"/>
      <c r="W348" s="3049"/>
      <c r="X348" s="3049"/>
      <c r="Y348" s="3049"/>
      <c r="Z348" s="3049"/>
      <c r="AA348" s="3049"/>
      <c r="AB348" s="3049"/>
      <c r="AC348" s="3049"/>
      <c r="AD348" s="3049"/>
      <c r="AE348" s="3049"/>
      <c r="AF348" s="3049"/>
      <c r="AG348" s="3049"/>
      <c r="AH348" s="3049"/>
      <c r="AI348" s="3049"/>
      <c r="AJ348" s="3049"/>
      <c r="AK348" s="3049"/>
      <c r="AL348" s="3049"/>
      <c r="AM348" s="3049"/>
      <c r="AN348" s="3049"/>
      <c r="AO348" s="3049"/>
      <c r="AP348" s="3049"/>
      <c r="AQ348" s="3049"/>
      <c r="AR348" s="3049"/>
      <c r="AS348" s="3049"/>
      <c r="AT348" s="3049"/>
      <c r="AU348" s="3049"/>
      <c r="AV348" s="3049"/>
      <c r="AW348" s="3049"/>
      <c r="AX348" s="3049"/>
      <c r="AY348" s="3049"/>
      <c r="AZ348" s="3049"/>
      <c r="BA348" s="3049"/>
      <c r="BB348" s="3049"/>
      <c r="BC348" s="3049"/>
      <c r="BD348" s="3049"/>
      <c r="BE348" s="3049"/>
      <c r="BF348" s="3049"/>
      <c r="BG348" s="3049"/>
      <c r="BH348" s="3049"/>
      <c r="BI348" s="3049"/>
      <c r="BJ348" s="3049"/>
      <c r="BK348" s="3049"/>
      <c r="BL348" s="3049"/>
      <c r="BM348" s="3049"/>
      <c r="BN348" s="3049"/>
      <c r="BO348" s="3049"/>
      <c r="BP348" s="3049"/>
      <c r="BQ348" s="3049"/>
      <c r="BR348" s="3049"/>
      <c r="BS348" s="3049"/>
      <c r="BT348" s="3049"/>
      <c r="BU348" s="3049"/>
      <c r="BV348" s="3049"/>
      <c r="BW348" s="3049"/>
      <c r="BX348" s="3049"/>
      <c r="BY348" s="3049"/>
      <c r="BZ348" s="3049"/>
      <c r="CA348" s="3049"/>
      <c r="CB348" s="3049"/>
      <c r="CC348" s="3049"/>
      <c r="CD348" s="3049"/>
      <c r="CE348" s="3049"/>
      <c r="CF348" s="3049"/>
      <c r="CG348" s="3049"/>
      <c r="CH348" s="3049"/>
      <c r="CI348" s="3049"/>
      <c r="CJ348" s="3049"/>
      <c r="CK348" s="3049"/>
      <c r="CL348" s="3049"/>
      <c r="CM348" s="3049"/>
      <c r="CN348" s="3049"/>
    </row>
    <row r="349" spans="1:92" x14ac:dyDescent="0.2">
      <c r="A349" s="3049"/>
      <c r="B349" s="3049"/>
      <c r="C349" s="3049"/>
      <c r="D349" s="3049"/>
      <c r="E349" s="3049"/>
      <c r="F349" s="3049"/>
      <c r="G349" s="3049"/>
      <c r="H349" s="3049"/>
      <c r="I349" s="3049"/>
      <c r="J349" s="3049"/>
      <c r="K349" s="3049"/>
      <c r="L349" s="3049"/>
      <c r="M349" s="3049"/>
      <c r="N349" s="3049"/>
      <c r="O349" s="3049"/>
      <c r="P349" s="3049"/>
      <c r="Q349" s="3049"/>
      <c r="R349" s="3049"/>
      <c r="S349" s="3049"/>
      <c r="T349" s="3049"/>
      <c r="U349" s="3049"/>
      <c r="V349" s="3049"/>
      <c r="W349" s="3049"/>
      <c r="X349" s="3049"/>
      <c r="Y349" s="3049"/>
      <c r="Z349" s="3049"/>
      <c r="AA349" s="3049"/>
      <c r="AB349" s="3049"/>
      <c r="AC349" s="3049"/>
      <c r="AD349" s="3049"/>
      <c r="AE349" s="3049"/>
      <c r="AF349" s="3049"/>
      <c r="AG349" s="3049"/>
      <c r="AH349" s="3049"/>
      <c r="AI349" s="3049"/>
      <c r="AJ349" s="3049"/>
      <c r="AK349" s="3049"/>
      <c r="AL349" s="3049"/>
      <c r="AM349" s="3049"/>
      <c r="AN349" s="3049"/>
      <c r="AO349" s="3049"/>
      <c r="AP349" s="3049"/>
      <c r="AQ349" s="3049"/>
      <c r="AR349" s="3049"/>
      <c r="AS349" s="3049"/>
      <c r="AT349" s="3049"/>
      <c r="AU349" s="3049"/>
      <c r="AV349" s="3049"/>
      <c r="AW349" s="3049"/>
      <c r="AX349" s="3049"/>
      <c r="AY349" s="3049"/>
      <c r="AZ349" s="3049"/>
      <c r="BA349" s="3049"/>
      <c r="BB349" s="3049"/>
      <c r="BC349" s="3049"/>
      <c r="BD349" s="3049"/>
      <c r="BE349" s="3049"/>
      <c r="BF349" s="3049"/>
      <c r="BG349" s="3049"/>
      <c r="BH349" s="3049"/>
      <c r="BI349" s="3049"/>
      <c r="BJ349" s="3049"/>
      <c r="BK349" s="3049"/>
      <c r="BL349" s="3049"/>
      <c r="BM349" s="3049"/>
      <c r="BN349" s="3049"/>
      <c r="BO349" s="3049"/>
      <c r="BP349" s="3049"/>
      <c r="BQ349" s="3049"/>
      <c r="BR349" s="3049"/>
      <c r="BS349" s="3049"/>
      <c r="BT349" s="3049"/>
      <c r="BU349" s="3049"/>
      <c r="BV349" s="3049"/>
      <c r="BW349" s="3049"/>
      <c r="BX349" s="3049"/>
      <c r="BY349" s="3049"/>
      <c r="BZ349" s="3049"/>
      <c r="CA349" s="3049"/>
      <c r="CB349" s="3049"/>
      <c r="CC349" s="3049"/>
      <c r="CD349" s="3049"/>
      <c r="CE349" s="3049"/>
      <c r="CF349" s="3049"/>
      <c r="CG349" s="3049"/>
      <c r="CH349" s="3049"/>
      <c r="CI349" s="3049"/>
      <c r="CJ349" s="3049"/>
      <c r="CK349" s="3049"/>
      <c r="CL349" s="3049"/>
      <c r="CM349" s="3049"/>
      <c r="CN349" s="3049"/>
    </row>
    <row r="350" spans="1:92" x14ac:dyDescent="0.2">
      <c r="A350" s="3049"/>
      <c r="B350" s="3049"/>
      <c r="C350" s="3049"/>
      <c r="D350" s="3049"/>
      <c r="E350" s="3049"/>
      <c r="F350" s="3049"/>
      <c r="G350" s="3049"/>
      <c r="H350" s="3049"/>
      <c r="I350" s="3049"/>
      <c r="J350" s="3049"/>
      <c r="K350" s="3049"/>
      <c r="L350" s="3049"/>
      <c r="M350" s="3049"/>
      <c r="N350" s="3049"/>
      <c r="O350" s="3049"/>
      <c r="P350" s="3049"/>
      <c r="Q350" s="3049"/>
      <c r="R350" s="3049"/>
      <c r="S350" s="3049"/>
      <c r="T350" s="3049"/>
      <c r="U350" s="3049"/>
      <c r="V350" s="3049"/>
      <c r="W350" s="3049"/>
      <c r="X350" s="3049"/>
      <c r="Y350" s="3049"/>
      <c r="Z350" s="3049"/>
      <c r="AA350" s="3049"/>
      <c r="AB350" s="3049"/>
      <c r="AC350" s="3049"/>
      <c r="AD350" s="3049"/>
      <c r="AE350" s="3049"/>
      <c r="AF350" s="3049"/>
      <c r="AG350" s="3049"/>
      <c r="AH350" s="3049"/>
      <c r="AI350" s="3049"/>
      <c r="AJ350" s="3049"/>
      <c r="AK350" s="3049"/>
      <c r="AL350" s="3049"/>
      <c r="AM350" s="3049"/>
      <c r="AN350" s="3049"/>
      <c r="AO350" s="3049"/>
      <c r="AP350" s="3049"/>
      <c r="AQ350" s="3049"/>
      <c r="AR350" s="3049"/>
      <c r="AS350" s="3049"/>
      <c r="AT350" s="3049"/>
      <c r="AU350" s="3049"/>
      <c r="AV350" s="3049"/>
      <c r="AW350" s="3049"/>
      <c r="AX350" s="3049"/>
      <c r="AY350" s="3049"/>
      <c r="AZ350" s="3049"/>
      <c r="BA350" s="3049"/>
      <c r="BB350" s="3049"/>
      <c r="BC350" s="3049"/>
      <c r="BD350" s="3049"/>
      <c r="BE350" s="3049"/>
      <c r="BF350" s="3049"/>
      <c r="BG350" s="3049"/>
      <c r="BH350" s="3049"/>
      <c r="BI350" s="3049"/>
      <c r="BJ350" s="3049"/>
      <c r="BK350" s="3049"/>
      <c r="BL350" s="3049"/>
      <c r="BM350" s="3049"/>
      <c r="BN350" s="3049"/>
      <c r="BO350" s="3049"/>
      <c r="BP350" s="3049"/>
      <c r="BQ350" s="3049"/>
      <c r="BR350" s="3049"/>
      <c r="BS350" s="3049"/>
      <c r="BT350" s="3049"/>
      <c r="BU350" s="3049"/>
      <c r="BV350" s="3049"/>
      <c r="BW350" s="3049"/>
      <c r="BX350" s="3049"/>
      <c r="BY350" s="3049"/>
      <c r="BZ350" s="3049"/>
      <c r="CA350" s="3049"/>
      <c r="CB350" s="3049"/>
      <c r="CC350" s="3049"/>
      <c r="CD350" s="3049"/>
      <c r="CE350" s="3049"/>
      <c r="CF350" s="3049"/>
      <c r="CG350" s="3049"/>
      <c r="CH350" s="3049"/>
      <c r="CI350" s="3049"/>
      <c r="CJ350" s="3049"/>
      <c r="CK350" s="3049"/>
      <c r="CL350" s="3049"/>
      <c r="CM350" s="3049"/>
      <c r="CN350" s="3049"/>
    </row>
    <row r="351" spans="1:92" x14ac:dyDescent="0.2">
      <c r="A351" s="3049"/>
      <c r="B351" s="3049"/>
      <c r="C351" s="3049"/>
      <c r="D351" s="3049"/>
      <c r="E351" s="3049"/>
      <c r="F351" s="3049"/>
      <c r="G351" s="3049"/>
      <c r="H351" s="3049"/>
      <c r="I351" s="3049"/>
      <c r="J351" s="3049"/>
      <c r="K351" s="3049"/>
      <c r="L351" s="3049"/>
      <c r="M351" s="3049"/>
      <c r="N351" s="3049"/>
      <c r="O351" s="3049"/>
      <c r="P351" s="3049"/>
      <c r="Q351" s="3049"/>
      <c r="R351" s="3049"/>
      <c r="S351" s="3049"/>
      <c r="T351" s="3049"/>
      <c r="U351" s="3049"/>
      <c r="V351" s="3049"/>
      <c r="W351" s="3049"/>
      <c r="X351" s="3049"/>
      <c r="Y351" s="3049"/>
      <c r="Z351" s="3049"/>
      <c r="AA351" s="3049"/>
      <c r="AB351" s="3049"/>
      <c r="AC351" s="3049"/>
      <c r="AD351" s="3049"/>
      <c r="AE351" s="3049"/>
      <c r="AF351" s="3049"/>
      <c r="AG351" s="3049"/>
      <c r="AH351" s="3049"/>
      <c r="AI351" s="3049"/>
      <c r="AJ351" s="3049"/>
      <c r="AK351" s="3049"/>
      <c r="AL351" s="3049"/>
      <c r="AM351" s="3049"/>
      <c r="AN351" s="3049"/>
      <c r="AO351" s="3049"/>
      <c r="AP351" s="3049"/>
      <c r="AQ351" s="3049"/>
      <c r="AR351" s="3049"/>
      <c r="AS351" s="3049"/>
      <c r="AT351" s="3049"/>
      <c r="AU351" s="3049"/>
      <c r="AV351" s="3049"/>
      <c r="AW351" s="3049"/>
      <c r="AX351" s="3049"/>
      <c r="AY351" s="3049"/>
      <c r="AZ351" s="3049"/>
      <c r="BA351" s="3049"/>
      <c r="BB351" s="3049"/>
      <c r="BC351" s="3049"/>
      <c r="BD351" s="3049"/>
      <c r="BE351" s="3049"/>
      <c r="BF351" s="3049"/>
      <c r="BG351" s="3049"/>
      <c r="BH351" s="3049"/>
      <c r="BI351" s="3049"/>
      <c r="BJ351" s="3049"/>
      <c r="BK351" s="3049"/>
      <c r="BL351" s="3049"/>
      <c r="BM351" s="3049"/>
      <c r="BN351" s="3049"/>
      <c r="BO351" s="3049"/>
      <c r="BP351" s="3049"/>
      <c r="BQ351" s="3049"/>
      <c r="BR351" s="3049"/>
      <c r="BS351" s="3049"/>
      <c r="BT351" s="3049"/>
      <c r="BU351" s="3049"/>
      <c r="BV351" s="3049"/>
      <c r="BW351" s="3049"/>
      <c r="BX351" s="3049"/>
      <c r="BY351" s="3049"/>
      <c r="BZ351" s="3049"/>
      <c r="CA351" s="3049"/>
      <c r="CB351" s="3049"/>
      <c r="CC351" s="3049"/>
      <c r="CD351" s="3049"/>
      <c r="CE351" s="3049"/>
      <c r="CF351" s="3049"/>
      <c r="CG351" s="3049"/>
      <c r="CH351" s="3049"/>
      <c r="CI351" s="3049"/>
      <c r="CJ351" s="3049"/>
      <c r="CK351" s="3049"/>
      <c r="CL351" s="3049"/>
      <c r="CM351" s="3049"/>
      <c r="CN351" s="3049"/>
    </row>
    <row r="352" spans="1:92" x14ac:dyDescent="0.2">
      <c r="A352" s="3049"/>
      <c r="B352" s="3049"/>
      <c r="C352" s="3049"/>
      <c r="D352" s="3049"/>
      <c r="E352" s="3049"/>
      <c r="F352" s="3049"/>
      <c r="G352" s="3049"/>
      <c r="H352" s="3049"/>
      <c r="I352" s="3049"/>
      <c r="J352" s="3049"/>
      <c r="K352" s="3049"/>
      <c r="L352" s="3049"/>
      <c r="M352" s="3049"/>
      <c r="N352" s="3049"/>
      <c r="O352" s="3049"/>
      <c r="P352" s="3049"/>
      <c r="Q352" s="3049"/>
      <c r="R352" s="3049"/>
      <c r="S352" s="3049"/>
      <c r="T352" s="3049"/>
      <c r="U352" s="3049"/>
      <c r="V352" s="3049"/>
      <c r="W352" s="3049"/>
      <c r="X352" s="3049"/>
      <c r="Y352" s="3049"/>
      <c r="Z352" s="3049"/>
      <c r="AA352" s="3049"/>
      <c r="AB352" s="3049"/>
      <c r="AC352" s="3049"/>
      <c r="AD352" s="3049"/>
      <c r="AE352" s="3049"/>
      <c r="AF352" s="3049"/>
      <c r="AG352" s="3049"/>
      <c r="AH352" s="3049"/>
      <c r="AI352" s="3049"/>
      <c r="AJ352" s="3049"/>
      <c r="AK352" s="3049"/>
      <c r="AL352" s="3049"/>
      <c r="AM352" s="3049"/>
      <c r="AN352" s="3049"/>
      <c r="AO352" s="3049"/>
      <c r="AP352" s="3049"/>
      <c r="AQ352" s="3049"/>
      <c r="AR352" s="3049"/>
      <c r="AS352" s="3049"/>
      <c r="AT352" s="3049"/>
      <c r="AU352" s="3049"/>
      <c r="AV352" s="3049"/>
      <c r="AW352" s="3049"/>
      <c r="AX352" s="3049"/>
      <c r="AY352" s="3049"/>
      <c r="AZ352" s="3049"/>
      <c r="BA352" s="3049"/>
      <c r="BB352" s="3049"/>
      <c r="BC352" s="3049"/>
      <c r="BD352" s="3049"/>
      <c r="BE352" s="3049"/>
      <c r="BF352" s="3049"/>
      <c r="BG352" s="3049"/>
      <c r="BH352" s="3049"/>
      <c r="BI352" s="3049"/>
      <c r="BJ352" s="3049"/>
      <c r="BK352" s="3049"/>
      <c r="BL352" s="3049"/>
      <c r="BM352" s="3049"/>
      <c r="BN352" s="3049"/>
      <c r="BO352" s="3049"/>
      <c r="BP352" s="3049"/>
      <c r="BQ352" s="3049"/>
      <c r="BR352" s="3049"/>
      <c r="BS352" s="3049"/>
      <c r="BT352" s="3049"/>
      <c r="BU352" s="3049"/>
      <c r="BV352" s="3049"/>
      <c r="BW352" s="3049"/>
      <c r="BX352" s="3049"/>
      <c r="BY352" s="3049"/>
      <c r="BZ352" s="3049"/>
      <c r="CA352" s="3049"/>
      <c r="CB352" s="3049"/>
      <c r="CC352" s="3049"/>
      <c r="CD352" s="3049"/>
      <c r="CE352" s="3049"/>
      <c r="CF352" s="3049"/>
      <c r="CG352" s="3049"/>
      <c r="CH352" s="3049"/>
      <c r="CI352" s="3049"/>
      <c r="CJ352" s="3049"/>
      <c r="CK352" s="3049"/>
      <c r="CL352" s="3049"/>
      <c r="CM352" s="3049"/>
      <c r="CN352" s="3049"/>
    </row>
    <row r="353" spans="1:92" x14ac:dyDescent="0.2">
      <c r="A353" s="3049"/>
      <c r="B353" s="3049"/>
      <c r="C353" s="3049"/>
      <c r="D353" s="3049"/>
      <c r="E353" s="3049"/>
      <c r="F353" s="3049"/>
      <c r="G353" s="3049"/>
      <c r="H353" s="3049"/>
      <c r="I353" s="3049"/>
      <c r="J353" s="3049"/>
      <c r="K353" s="3049"/>
      <c r="L353" s="3049"/>
      <c r="M353" s="3049"/>
      <c r="N353" s="3049"/>
      <c r="O353" s="3049"/>
      <c r="P353" s="3049"/>
      <c r="Q353" s="3049"/>
      <c r="R353" s="3049"/>
      <c r="S353" s="3049"/>
      <c r="T353" s="3049"/>
      <c r="U353" s="3049"/>
      <c r="V353" s="3049"/>
      <c r="W353" s="3049"/>
      <c r="X353" s="3049"/>
      <c r="Y353" s="3049"/>
      <c r="Z353" s="3049"/>
      <c r="AA353" s="3049"/>
      <c r="AB353" s="3049"/>
      <c r="AC353" s="3049"/>
      <c r="AD353" s="3049"/>
      <c r="AE353" s="3049"/>
      <c r="AF353" s="3049"/>
      <c r="AG353" s="3049"/>
      <c r="AH353" s="3049"/>
      <c r="AI353" s="3049"/>
      <c r="AJ353" s="3049"/>
      <c r="AK353" s="3049"/>
      <c r="AL353" s="3049"/>
      <c r="AM353" s="3049"/>
      <c r="AN353" s="3049"/>
      <c r="AO353" s="3049"/>
      <c r="AP353" s="3049"/>
      <c r="AQ353" s="3049"/>
      <c r="AR353" s="3049"/>
      <c r="AS353" s="3049"/>
      <c r="AT353" s="3049"/>
      <c r="AU353" s="3049"/>
      <c r="AV353" s="3049"/>
      <c r="AW353" s="3049"/>
      <c r="AX353" s="3049"/>
      <c r="AY353" s="3049"/>
      <c r="AZ353" s="3049"/>
      <c r="BA353" s="3049"/>
      <c r="BB353" s="3049"/>
      <c r="BC353" s="3049"/>
      <c r="BD353" s="3049"/>
      <c r="BE353" s="3049"/>
      <c r="BF353" s="3049"/>
      <c r="BG353" s="3049"/>
      <c r="BH353" s="3049"/>
      <c r="BI353" s="3049"/>
      <c r="BJ353" s="3049"/>
      <c r="BK353" s="3049"/>
      <c r="BL353" s="3049"/>
      <c r="BM353" s="3049"/>
      <c r="BN353" s="3049"/>
      <c r="BO353" s="3049"/>
      <c r="BP353" s="3049"/>
      <c r="BQ353" s="3049"/>
      <c r="BR353" s="3049"/>
      <c r="BS353" s="3049"/>
      <c r="BT353" s="3049"/>
      <c r="BU353" s="3049"/>
      <c r="BV353" s="3049"/>
      <c r="BW353" s="3049"/>
      <c r="BX353" s="3049"/>
      <c r="BY353" s="3049"/>
      <c r="BZ353" s="3049"/>
      <c r="CA353" s="3049"/>
      <c r="CB353" s="3049"/>
      <c r="CC353" s="3049"/>
      <c r="CD353" s="3049"/>
      <c r="CE353" s="3049"/>
      <c r="CF353" s="3049"/>
      <c r="CG353" s="3049"/>
      <c r="CH353" s="3049"/>
      <c r="CI353" s="3049"/>
      <c r="CJ353" s="3049"/>
      <c r="CK353" s="3049"/>
      <c r="CL353" s="3049"/>
      <c r="CM353" s="3049"/>
      <c r="CN353" s="3049"/>
    </row>
    <row r="354" spans="1:92" x14ac:dyDescent="0.2">
      <c r="A354" s="3049"/>
      <c r="B354" s="3049"/>
      <c r="C354" s="3049"/>
      <c r="D354" s="3049"/>
      <c r="E354" s="3049"/>
      <c r="F354" s="3049"/>
      <c r="G354" s="3049"/>
      <c r="H354" s="3049"/>
      <c r="I354" s="3049"/>
      <c r="J354" s="3049"/>
      <c r="K354" s="3049"/>
      <c r="L354" s="3049"/>
      <c r="M354" s="3049"/>
      <c r="N354" s="3049"/>
      <c r="O354" s="3049"/>
      <c r="P354" s="3049"/>
      <c r="Q354" s="3049"/>
      <c r="R354" s="3049"/>
      <c r="S354" s="3049"/>
      <c r="T354" s="3049"/>
      <c r="U354" s="3049"/>
      <c r="V354" s="3049"/>
      <c r="W354" s="3049"/>
      <c r="X354" s="3049"/>
      <c r="Y354" s="3049"/>
      <c r="Z354" s="3049"/>
      <c r="AA354" s="3049"/>
      <c r="AB354" s="3049"/>
      <c r="AC354" s="3049"/>
      <c r="AD354" s="3049"/>
      <c r="AE354" s="3049"/>
      <c r="AF354" s="3049"/>
      <c r="AG354" s="3049"/>
      <c r="AH354" s="3049"/>
      <c r="AI354" s="3049"/>
      <c r="AJ354" s="3049"/>
      <c r="AK354" s="3049"/>
      <c r="AL354" s="3049"/>
      <c r="AM354" s="3049"/>
      <c r="AN354" s="3049"/>
      <c r="AO354" s="3049"/>
      <c r="AP354" s="3049"/>
      <c r="AQ354" s="3049"/>
      <c r="AR354" s="3049"/>
      <c r="AS354" s="3049"/>
      <c r="AT354" s="3049"/>
      <c r="AU354" s="3049"/>
      <c r="AV354" s="3049"/>
      <c r="AW354" s="3049"/>
      <c r="AX354" s="3049"/>
      <c r="AY354" s="3049"/>
      <c r="AZ354" s="3049"/>
      <c r="BA354" s="3049"/>
      <c r="BB354" s="3049"/>
      <c r="BC354" s="3049"/>
      <c r="BD354" s="3049"/>
      <c r="BE354" s="3049"/>
      <c r="BF354" s="3049"/>
      <c r="BG354" s="3049"/>
      <c r="BH354" s="3049"/>
      <c r="BI354" s="3049"/>
      <c r="BJ354" s="3049"/>
      <c r="BK354" s="3049"/>
      <c r="BL354" s="3049"/>
      <c r="BM354" s="3049"/>
      <c r="BN354" s="3049"/>
      <c r="BO354" s="3049"/>
      <c r="BP354" s="3049"/>
      <c r="BQ354" s="3049"/>
      <c r="BR354" s="3049"/>
      <c r="BS354" s="3049"/>
      <c r="BT354" s="3049"/>
      <c r="BU354" s="3049"/>
      <c r="BV354" s="3049"/>
      <c r="BW354" s="3049"/>
      <c r="BX354" s="3049"/>
      <c r="BY354" s="3049"/>
      <c r="BZ354" s="3049"/>
      <c r="CA354" s="3049"/>
      <c r="CB354" s="3049"/>
      <c r="CC354" s="3049"/>
      <c r="CD354" s="3049"/>
      <c r="CE354" s="3049"/>
      <c r="CF354" s="3049"/>
      <c r="CG354" s="3049"/>
      <c r="CH354" s="3049"/>
      <c r="CI354" s="3049"/>
      <c r="CJ354" s="3049"/>
      <c r="CK354" s="3049"/>
      <c r="CL354" s="3049"/>
      <c r="CM354" s="3049"/>
      <c r="CN354" s="3049"/>
    </row>
    <row r="355" spans="1:92" x14ac:dyDescent="0.2">
      <c r="A355" s="3049"/>
      <c r="B355" s="3049"/>
      <c r="C355" s="3049"/>
      <c r="D355" s="3049"/>
      <c r="E355" s="3049"/>
      <c r="F355" s="3049"/>
      <c r="G355" s="3049"/>
      <c r="H355" s="3049"/>
      <c r="I355" s="3049"/>
      <c r="J355" s="3049"/>
      <c r="K355" s="3049"/>
      <c r="L355" s="3049"/>
      <c r="M355" s="3049"/>
      <c r="N355" s="3049"/>
      <c r="O355" s="3049"/>
      <c r="P355" s="3049"/>
      <c r="Q355" s="3049"/>
      <c r="R355" s="3049"/>
      <c r="S355" s="3049"/>
      <c r="T355" s="3049"/>
      <c r="U355" s="3049"/>
      <c r="V355" s="3049"/>
      <c r="W355" s="3049"/>
      <c r="X355" s="3049"/>
      <c r="Y355" s="3049"/>
      <c r="Z355" s="3049"/>
      <c r="AA355" s="3049"/>
      <c r="AB355" s="3049"/>
      <c r="AC355" s="3049"/>
      <c r="AD355" s="3049"/>
      <c r="AE355" s="3049"/>
      <c r="AF355" s="3049"/>
      <c r="AG355" s="3049"/>
      <c r="AH355" s="3049"/>
      <c r="AI355" s="3049"/>
      <c r="AJ355" s="3049"/>
      <c r="AK355" s="3049"/>
      <c r="AL355" s="3049"/>
      <c r="AM355" s="3049"/>
      <c r="AN355" s="3049"/>
      <c r="AO355" s="3049"/>
      <c r="AP355" s="3049"/>
      <c r="AQ355" s="3049"/>
      <c r="AR355" s="3049"/>
      <c r="AS355" s="3049"/>
      <c r="AT355" s="3049"/>
      <c r="AU355" s="3049"/>
      <c r="AV355" s="3049"/>
      <c r="AW355" s="3049"/>
      <c r="AX355" s="3049"/>
      <c r="AY355" s="3049"/>
      <c r="AZ355" s="3049"/>
      <c r="BA355" s="3049"/>
      <c r="BB355" s="3049"/>
      <c r="BC355" s="3049"/>
      <c r="BD355" s="3049"/>
      <c r="BE355" s="3049"/>
      <c r="BF355" s="3049"/>
      <c r="BG355" s="3049"/>
      <c r="BH355" s="3049"/>
      <c r="BI355" s="3049"/>
      <c r="BJ355" s="3049"/>
      <c r="BK355" s="3049"/>
      <c r="BL355" s="3049"/>
      <c r="BM355" s="3049"/>
      <c r="BN355" s="3049"/>
      <c r="BO355" s="3049"/>
      <c r="BP355" s="3049"/>
      <c r="BQ355" s="3049"/>
      <c r="BR355" s="3049"/>
      <c r="BS355" s="3049"/>
      <c r="BT355" s="3049"/>
      <c r="BU355" s="3049"/>
      <c r="BV355" s="3049"/>
      <c r="BW355" s="3049"/>
      <c r="BX355" s="3049"/>
      <c r="BY355" s="3049"/>
      <c r="BZ355" s="3049"/>
      <c r="CA355" s="3049"/>
      <c r="CB355" s="3049"/>
      <c r="CC355" s="3049"/>
      <c r="CD355" s="3049"/>
      <c r="CE355" s="3049"/>
      <c r="CF355" s="3049"/>
      <c r="CG355" s="3049"/>
      <c r="CH355" s="3049"/>
      <c r="CI355" s="3049"/>
      <c r="CJ355" s="3049"/>
      <c r="CK355" s="3049"/>
      <c r="CL355" s="3049"/>
      <c r="CM355" s="3049"/>
      <c r="CN355" s="3049"/>
    </row>
    <row r="356" spans="1:92" x14ac:dyDescent="0.2">
      <c r="A356" s="3049"/>
      <c r="B356" s="3049"/>
      <c r="C356" s="3049"/>
      <c r="D356" s="3049"/>
      <c r="E356" s="3049"/>
      <c r="F356" s="3049"/>
      <c r="G356" s="3049"/>
      <c r="H356" s="3049"/>
      <c r="I356" s="3049"/>
      <c r="J356" s="3049"/>
      <c r="K356" s="3049"/>
      <c r="L356" s="3049"/>
      <c r="M356" s="3049"/>
      <c r="N356" s="3049"/>
      <c r="O356" s="3049"/>
      <c r="P356" s="3049"/>
      <c r="Q356" s="3049"/>
      <c r="R356" s="3049"/>
      <c r="S356" s="3049"/>
      <c r="T356" s="3049"/>
      <c r="U356" s="3049"/>
      <c r="V356" s="3049"/>
      <c r="W356" s="3049"/>
      <c r="X356" s="3049"/>
      <c r="Y356" s="3049"/>
      <c r="Z356" s="3049"/>
      <c r="AA356" s="3049"/>
      <c r="AB356" s="3049"/>
      <c r="AC356" s="3049"/>
      <c r="AD356" s="3049"/>
      <c r="AE356" s="3049"/>
      <c r="AF356" s="3049"/>
      <c r="AG356" s="3049"/>
      <c r="AH356" s="3049"/>
      <c r="AI356" s="3049"/>
      <c r="AJ356" s="3049"/>
      <c r="AK356" s="3049"/>
      <c r="AL356" s="3049"/>
      <c r="AM356" s="3049"/>
      <c r="AN356" s="3049"/>
      <c r="AO356" s="3049"/>
      <c r="AP356" s="3049"/>
      <c r="AQ356" s="3049"/>
      <c r="AR356" s="3049"/>
      <c r="AS356" s="3049"/>
      <c r="AT356" s="3049"/>
      <c r="AU356" s="3049"/>
      <c r="AV356" s="3049"/>
      <c r="AW356" s="3049"/>
      <c r="AX356" s="3049"/>
      <c r="AY356" s="3049"/>
      <c r="AZ356" s="3049"/>
      <c r="BA356" s="3049"/>
      <c r="BB356" s="3049"/>
      <c r="BC356" s="3049"/>
      <c r="BD356" s="3049"/>
      <c r="BE356" s="3049"/>
      <c r="BF356" s="3049"/>
      <c r="BG356" s="3049"/>
      <c r="BH356" s="3049"/>
      <c r="BI356" s="3049"/>
      <c r="BJ356" s="3049"/>
      <c r="BK356" s="3049"/>
      <c r="BL356" s="3049"/>
      <c r="BM356" s="3049"/>
      <c r="BN356" s="3049"/>
      <c r="BO356" s="3049"/>
      <c r="BP356" s="3049"/>
      <c r="BQ356" s="3049"/>
      <c r="BR356" s="3049"/>
      <c r="BS356" s="3049"/>
      <c r="BT356" s="3049"/>
      <c r="BU356" s="3049"/>
      <c r="BV356" s="3049"/>
      <c r="BW356" s="3049"/>
      <c r="BX356" s="3049"/>
      <c r="BY356" s="3049"/>
      <c r="BZ356" s="3049"/>
      <c r="CA356" s="3049"/>
      <c r="CB356" s="3049"/>
      <c r="CC356" s="3049"/>
      <c r="CD356" s="3049"/>
      <c r="CE356" s="3049"/>
      <c r="CF356" s="3049"/>
      <c r="CG356" s="3049"/>
      <c r="CH356" s="3049"/>
      <c r="CI356" s="3049"/>
      <c r="CJ356" s="3049"/>
      <c r="CK356" s="3049"/>
      <c r="CL356" s="3049"/>
      <c r="CM356" s="3049"/>
      <c r="CN356" s="3049"/>
    </row>
    <row r="357" spans="1:92" x14ac:dyDescent="0.2">
      <c r="A357" s="3049"/>
      <c r="B357" s="3049"/>
      <c r="C357" s="3049"/>
      <c r="D357" s="3049"/>
      <c r="E357" s="3049"/>
      <c r="F357" s="3049"/>
      <c r="G357" s="3049"/>
      <c r="H357" s="3049"/>
      <c r="I357" s="3049"/>
      <c r="J357" s="3049"/>
      <c r="K357" s="3049"/>
      <c r="L357" s="3049"/>
      <c r="M357" s="3049"/>
      <c r="N357" s="3049"/>
      <c r="O357" s="3049"/>
      <c r="P357" s="3049"/>
      <c r="Q357" s="3049"/>
      <c r="R357" s="3049"/>
      <c r="S357" s="3049"/>
      <c r="T357" s="3049"/>
      <c r="U357" s="3049"/>
      <c r="V357" s="3049"/>
      <c r="W357" s="3049"/>
      <c r="X357" s="3049"/>
      <c r="Y357" s="3049"/>
      <c r="Z357" s="3049"/>
      <c r="AA357" s="3049"/>
      <c r="AB357" s="3049"/>
      <c r="AC357" s="3049"/>
      <c r="AD357" s="3049"/>
      <c r="AE357" s="3049"/>
      <c r="AF357" s="3049"/>
      <c r="AG357" s="3049"/>
      <c r="AH357" s="3049"/>
      <c r="AI357" s="3049"/>
      <c r="AJ357" s="3049"/>
      <c r="AK357" s="3049"/>
      <c r="AL357" s="3049"/>
      <c r="AM357" s="3049"/>
      <c r="AN357" s="3049"/>
      <c r="AO357" s="3049"/>
      <c r="AP357" s="3049"/>
      <c r="AQ357" s="3049"/>
      <c r="AR357" s="3049"/>
      <c r="AS357" s="3049"/>
      <c r="AT357" s="3049"/>
      <c r="AU357" s="3049"/>
      <c r="AV357" s="3049"/>
      <c r="AW357" s="3049"/>
      <c r="AX357" s="3049"/>
      <c r="AY357" s="3049"/>
      <c r="AZ357" s="3049"/>
      <c r="BA357" s="3049"/>
      <c r="BB357" s="3049"/>
      <c r="BC357" s="3049"/>
      <c r="BD357" s="3049"/>
      <c r="BE357" s="3049"/>
      <c r="BF357" s="3049"/>
      <c r="BG357" s="3049"/>
      <c r="BH357" s="3049"/>
      <c r="BI357" s="3049"/>
      <c r="BJ357" s="3049"/>
      <c r="BK357" s="3049"/>
      <c r="BL357" s="3049"/>
      <c r="BM357" s="3049"/>
      <c r="BN357" s="3049"/>
      <c r="BO357" s="3049"/>
      <c r="BP357" s="3049"/>
      <c r="BQ357" s="3049"/>
      <c r="BR357" s="3049"/>
      <c r="BS357" s="3049"/>
      <c r="BT357" s="3049"/>
      <c r="BU357" s="3049"/>
      <c r="BV357" s="3049"/>
      <c r="BW357" s="3049"/>
      <c r="BX357" s="3049"/>
      <c r="BY357" s="3049"/>
      <c r="BZ357" s="3049"/>
      <c r="CA357" s="3049"/>
      <c r="CB357" s="3049"/>
      <c r="CC357" s="3049"/>
      <c r="CD357" s="3049"/>
      <c r="CE357" s="3049"/>
      <c r="CF357" s="3049"/>
      <c r="CG357" s="3049"/>
      <c r="CH357" s="3049"/>
      <c r="CI357" s="3049"/>
      <c r="CJ357" s="3049"/>
      <c r="CK357" s="3049"/>
      <c r="CL357" s="3049"/>
      <c r="CM357" s="3049"/>
      <c r="CN357" s="3049"/>
    </row>
    <row r="358" spans="1:92" x14ac:dyDescent="0.2">
      <c r="A358" s="3049"/>
      <c r="B358" s="3049"/>
      <c r="C358" s="3049"/>
      <c r="D358" s="3049"/>
      <c r="E358" s="3049"/>
      <c r="F358" s="3049"/>
      <c r="G358" s="3049"/>
      <c r="H358" s="3049"/>
      <c r="I358" s="3049"/>
      <c r="J358" s="3049"/>
      <c r="K358" s="3049"/>
      <c r="L358" s="3049"/>
      <c r="M358" s="3049"/>
      <c r="N358" s="3049"/>
      <c r="O358" s="3049"/>
      <c r="P358" s="3049"/>
      <c r="Q358" s="3049"/>
      <c r="R358" s="3049"/>
      <c r="S358" s="3049"/>
      <c r="T358" s="3049"/>
      <c r="U358" s="3049"/>
      <c r="V358" s="3049"/>
      <c r="W358" s="3049"/>
      <c r="X358" s="3049"/>
      <c r="Y358" s="3049"/>
      <c r="Z358" s="3049"/>
      <c r="AA358" s="3049"/>
      <c r="AB358" s="3049"/>
      <c r="AC358" s="3049"/>
      <c r="AD358" s="3049"/>
      <c r="AE358" s="3049"/>
      <c r="AF358" s="3049"/>
      <c r="AG358" s="3049"/>
      <c r="AH358" s="3049"/>
      <c r="AI358" s="3049"/>
      <c r="AJ358" s="3049"/>
      <c r="AK358" s="3049"/>
      <c r="AL358" s="3049"/>
      <c r="AM358" s="3049"/>
      <c r="AN358" s="3049"/>
      <c r="AO358" s="3049"/>
      <c r="AP358" s="3049"/>
      <c r="AQ358" s="3049"/>
      <c r="AR358" s="3049"/>
      <c r="AS358" s="3049"/>
      <c r="AT358" s="3049"/>
      <c r="AU358" s="3049"/>
      <c r="AV358" s="3049"/>
      <c r="AW358" s="3049"/>
      <c r="AX358" s="3049"/>
      <c r="AY358" s="3049"/>
      <c r="AZ358" s="3049"/>
      <c r="BA358" s="3049"/>
      <c r="BB358" s="3049"/>
      <c r="BC358" s="3049"/>
      <c r="BD358" s="3049"/>
      <c r="BE358" s="3049"/>
      <c r="BF358" s="3049"/>
      <c r="BG358" s="3049"/>
      <c r="BH358" s="3049"/>
      <c r="BI358" s="3049"/>
      <c r="BJ358" s="3049"/>
      <c r="BK358" s="3049"/>
      <c r="BL358" s="3049"/>
      <c r="BM358" s="3049"/>
      <c r="BN358" s="3049"/>
      <c r="BO358" s="3049"/>
      <c r="BP358" s="3049"/>
      <c r="BQ358" s="3049"/>
      <c r="BR358" s="3049"/>
      <c r="BS358" s="3049"/>
      <c r="BT358" s="3049"/>
      <c r="BU358" s="3049"/>
      <c r="BV358" s="3049"/>
      <c r="BW358" s="3049"/>
      <c r="BX358" s="3049"/>
      <c r="BY358" s="3049"/>
      <c r="BZ358" s="3049"/>
      <c r="CA358" s="3049"/>
      <c r="CB358" s="3049"/>
      <c r="CC358" s="3049"/>
      <c r="CD358" s="3049"/>
      <c r="CE358" s="3049"/>
      <c r="CF358" s="3049"/>
      <c r="CG358" s="3049"/>
      <c r="CH358" s="3049"/>
      <c r="CI358" s="3049"/>
      <c r="CJ358" s="3049"/>
      <c r="CK358" s="3049"/>
      <c r="CL358" s="3049"/>
      <c r="CM358" s="3049"/>
      <c r="CN358" s="3049"/>
    </row>
    <row r="359" spans="1:92" x14ac:dyDescent="0.2">
      <c r="A359" s="3049"/>
      <c r="B359" s="3049"/>
      <c r="C359" s="3049"/>
      <c r="D359" s="3049"/>
      <c r="E359" s="3049"/>
      <c r="F359" s="3049"/>
      <c r="G359" s="3049"/>
      <c r="H359" s="3049"/>
      <c r="I359" s="3049"/>
      <c r="J359" s="3049"/>
      <c r="K359" s="3049"/>
      <c r="L359" s="3049"/>
      <c r="M359" s="3049"/>
      <c r="N359" s="3049"/>
      <c r="O359" s="3049"/>
      <c r="P359" s="3049"/>
      <c r="Q359" s="3049"/>
      <c r="R359" s="3049"/>
      <c r="S359" s="3049"/>
      <c r="T359" s="3049"/>
      <c r="U359" s="3049"/>
      <c r="V359" s="3049"/>
      <c r="W359" s="3049"/>
      <c r="X359" s="3049"/>
      <c r="Y359" s="3049"/>
      <c r="Z359" s="3049"/>
      <c r="AA359" s="3049"/>
      <c r="AB359" s="3049"/>
      <c r="AC359" s="3049"/>
      <c r="AD359" s="3049"/>
      <c r="AE359" s="3049"/>
      <c r="AF359" s="3049"/>
      <c r="AG359" s="3049"/>
      <c r="AH359" s="3049"/>
      <c r="AI359" s="3049"/>
      <c r="AJ359" s="3049"/>
      <c r="AK359" s="3049"/>
      <c r="AL359" s="3049"/>
      <c r="AM359" s="3049"/>
      <c r="AN359" s="3049"/>
      <c r="AO359" s="3049"/>
      <c r="AP359" s="3049"/>
      <c r="AQ359" s="3049"/>
      <c r="AR359" s="3049"/>
      <c r="AS359" s="3049"/>
      <c r="AT359" s="3049"/>
      <c r="AU359" s="3049"/>
      <c r="AV359" s="3049"/>
      <c r="AW359" s="3049"/>
      <c r="AX359" s="3049"/>
      <c r="AY359" s="3049"/>
      <c r="AZ359" s="3049"/>
      <c r="BA359" s="3049"/>
      <c r="BB359" s="3049"/>
      <c r="BC359" s="3049"/>
      <c r="BD359" s="3049"/>
      <c r="BE359" s="3049"/>
      <c r="BF359" s="3049"/>
      <c r="BG359" s="3049"/>
      <c r="BH359" s="3049"/>
      <c r="BI359" s="3049"/>
      <c r="BJ359" s="3049"/>
      <c r="BK359" s="3049"/>
      <c r="BL359" s="3049"/>
      <c r="BM359" s="3049"/>
      <c r="BN359" s="3049"/>
      <c r="BO359" s="3049"/>
      <c r="BP359" s="3049"/>
      <c r="BQ359" s="3049"/>
      <c r="BR359" s="3049"/>
      <c r="BS359" s="3049"/>
      <c r="BT359" s="3049"/>
      <c r="BU359" s="3049"/>
      <c r="BV359" s="3049"/>
      <c r="BW359" s="3049"/>
      <c r="BX359" s="3049"/>
      <c r="BY359" s="3049"/>
      <c r="BZ359" s="3049"/>
      <c r="CA359" s="3049"/>
      <c r="CB359" s="3049"/>
      <c r="CC359" s="3049"/>
      <c r="CD359" s="3049"/>
      <c r="CE359" s="3049"/>
      <c r="CF359" s="3049"/>
      <c r="CG359" s="3049"/>
      <c r="CH359" s="3049"/>
      <c r="CI359" s="3049"/>
      <c r="CJ359" s="3049"/>
      <c r="CK359" s="3049"/>
      <c r="CL359" s="3049"/>
      <c r="CM359" s="3049"/>
      <c r="CN359" s="3049"/>
    </row>
    <row r="360" spans="1:92" x14ac:dyDescent="0.2">
      <c r="A360" s="3049"/>
      <c r="B360" s="3049"/>
      <c r="C360" s="3049"/>
      <c r="D360" s="3049"/>
      <c r="E360" s="3049"/>
      <c r="F360" s="3049"/>
      <c r="G360" s="3049"/>
      <c r="H360" s="3049"/>
      <c r="I360" s="3049"/>
      <c r="J360" s="3049"/>
      <c r="K360" s="3049"/>
      <c r="L360" s="3049"/>
      <c r="M360" s="3049"/>
      <c r="N360" s="3049"/>
      <c r="O360" s="3049"/>
      <c r="P360" s="3049"/>
      <c r="Q360" s="3049"/>
      <c r="R360" s="3049"/>
      <c r="S360" s="3049"/>
      <c r="T360" s="3049"/>
      <c r="U360" s="3049"/>
      <c r="V360" s="3049"/>
      <c r="W360" s="3049"/>
      <c r="X360" s="3049"/>
      <c r="Y360" s="3049"/>
      <c r="Z360" s="3049"/>
      <c r="AA360" s="3049"/>
      <c r="AB360" s="3049"/>
      <c r="AC360" s="3049"/>
      <c r="AD360" s="3049"/>
      <c r="AE360" s="3049"/>
      <c r="AF360" s="3049"/>
      <c r="AG360" s="3049"/>
      <c r="AH360" s="3049"/>
      <c r="AI360" s="3049"/>
      <c r="AJ360" s="3049"/>
      <c r="AK360" s="3049"/>
      <c r="AL360" s="3049"/>
      <c r="AM360" s="3049"/>
      <c r="AN360" s="3049"/>
      <c r="AO360" s="3049"/>
      <c r="AP360" s="3049"/>
      <c r="AQ360" s="3049"/>
      <c r="AR360" s="3049"/>
      <c r="AS360" s="3049"/>
      <c r="AT360" s="3049"/>
      <c r="AU360" s="3049"/>
      <c r="AV360" s="3049"/>
      <c r="AW360" s="3049"/>
      <c r="AX360" s="3049"/>
      <c r="AY360" s="3049"/>
      <c r="AZ360" s="3049"/>
      <c r="BA360" s="3049"/>
      <c r="BB360" s="3049"/>
      <c r="BC360" s="3049"/>
      <c r="BD360" s="3049"/>
      <c r="BE360" s="3049"/>
      <c r="BF360" s="3049"/>
      <c r="BG360" s="3049"/>
      <c r="BH360" s="3049"/>
      <c r="BI360" s="3049"/>
      <c r="BJ360" s="3049"/>
      <c r="BK360" s="3049"/>
      <c r="BL360" s="3049"/>
      <c r="BM360" s="3049"/>
      <c r="BN360" s="3049"/>
      <c r="BO360" s="3049"/>
      <c r="BP360" s="3049"/>
      <c r="BQ360" s="3049"/>
      <c r="BR360" s="3049"/>
      <c r="BS360" s="3049"/>
      <c r="BT360" s="3049"/>
      <c r="BU360" s="3049"/>
      <c r="BV360" s="3049"/>
      <c r="BW360" s="3049"/>
      <c r="BX360" s="3049"/>
      <c r="BY360" s="3049"/>
      <c r="BZ360" s="3049"/>
      <c r="CA360" s="3049"/>
      <c r="CB360" s="3049"/>
      <c r="CC360" s="3049"/>
      <c r="CD360" s="3049"/>
      <c r="CE360" s="3049"/>
      <c r="CF360" s="3049"/>
      <c r="CG360" s="3049"/>
      <c r="CH360" s="3049"/>
      <c r="CI360" s="3049"/>
      <c r="CJ360" s="3049"/>
      <c r="CK360" s="3049"/>
      <c r="CL360" s="3049"/>
      <c r="CM360" s="3049"/>
      <c r="CN360" s="3049"/>
    </row>
    <row r="361" spans="1:92" x14ac:dyDescent="0.2">
      <c r="A361" s="3049"/>
      <c r="B361" s="3049"/>
      <c r="C361" s="3049"/>
      <c r="D361" s="3049"/>
      <c r="E361" s="3049"/>
      <c r="F361" s="3049"/>
      <c r="G361" s="3049"/>
      <c r="H361" s="3049"/>
      <c r="I361" s="3049"/>
      <c r="J361" s="3049"/>
      <c r="K361" s="3049"/>
      <c r="L361" s="3049"/>
      <c r="M361" s="3049"/>
      <c r="N361" s="3049"/>
      <c r="O361" s="3049"/>
      <c r="P361" s="3049"/>
      <c r="Q361" s="3049"/>
      <c r="R361" s="3049"/>
      <c r="S361" s="3049"/>
      <c r="T361" s="3049"/>
      <c r="U361" s="3049"/>
      <c r="V361" s="3049"/>
      <c r="W361" s="3049"/>
      <c r="X361" s="3049"/>
      <c r="Y361" s="3049"/>
      <c r="Z361" s="3049"/>
      <c r="AA361" s="3049"/>
      <c r="AB361" s="3049"/>
      <c r="AC361" s="3049"/>
      <c r="AD361" s="3049"/>
      <c r="AE361" s="3049"/>
      <c r="AF361" s="3049"/>
      <c r="AG361" s="3049"/>
      <c r="AH361" s="3049"/>
      <c r="AI361" s="3049"/>
      <c r="AJ361" s="3049"/>
      <c r="AK361" s="3049"/>
      <c r="AL361" s="3049"/>
      <c r="AM361" s="3049"/>
      <c r="AN361" s="3049"/>
      <c r="AO361" s="3049"/>
      <c r="AP361" s="3049"/>
      <c r="AQ361" s="3049"/>
      <c r="AR361" s="3049"/>
      <c r="AS361" s="3049"/>
      <c r="AT361" s="3049"/>
      <c r="AU361" s="3049"/>
      <c r="AV361" s="3049"/>
      <c r="AW361" s="3049"/>
      <c r="AX361" s="3049"/>
      <c r="AY361" s="3049"/>
      <c r="AZ361" s="3049"/>
      <c r="BA361" s="3049"/>
      <c r="BB361" s="3049"/>
      <c r="BC361" s="3049"/>
      <c r="BD361" s="3049"/>
      <c r="BE361" s="3049"/>
      <c r="BF361" s="3049"/>
      <c r="BG361" s="3049"/>
      <c r="BH361" s="3049"/>
      <c r="BI361" s="3049"/>
      <c r="BJ361" s="3049"/>
      <c r="BK361" s="3049"/>
      <c r="BL361" s="3049"/>
      <c r="BM361" s="3049"/>
      <c r="BN361" s="3049"/>
      <c r="BO361" s="3049"/>
      <c r="BP361" s="3049"/>
      <c r="BQ361" s="3049"/>
      <c r="BR361" s="3049"/>
      <c r="BS361" s="3049"/>
      <c r="BT361" s="3049"/>
      <c r="BU361" s="3049"/>
      <c r="BV361" s="3049"/>
      <c r="BW361" s="3049"/>
      <c r="BX361" s="3049"/>
      <c r="BY361" s="3049"/>
      <c r="BZ361" s="3049"/>
      <c r="CA361" s="3049"/>
      <c r="CB361" s="3049"/>
      <c r="CC361" s="3049"/>
      <c r="CD361" s="3049"/>
      <c r="CE361" s="3049"/>
      <c r="CF361" s="3049"/>
      <c r="CG361" s="3049"/>
      <c r="CH361" s="3049"/>
      <c r="CI361" s="3049"/>
      <c r="CJ361" s="3049"/>
      <c r="CK361" s="3049"/>
      <c r="CL361" s="3049"/>
      <c r="CM361" s="3049"/>
      <c r="CN361" s="3049"/>
    </row>
    <row r="362" spans="1:92" x14ac:dyDescent="0.2">
      <c r="A362" s="3049"/>
      <c r="B362" s="3049"/>
      <c r="C362" s="3049"/>
      <c r="D362" s="3049"/>
      <c r="E362" s="3049"/>
      <c r="F362" s="3049"/>
      <c r="G362" s="3049"/>
      <c r="H362" s="3049"/>
      <c r="I362" s="3049"/>
      <c r="J362" s="3049"/>
      <c r="K362" s="3049"/>
      <c r="L362" s="3049"/>
      <c r="M362" s="3049"/>
      <c r="N362" s="3049"/>
      <c r="O362" s="3049"/>
      <c r="P362" s="3049"/>
      <c r="Q362" s="3049"/>
      <c r="R362" s="3049"/>
      <c r="S362" s="3049"/>
      <c r="T362" s="3049"/>
      <c r="U362" s="3049"/>
      <c r="V362" s="3049"/>
      <c r="W362" s="3049"/>
      <c r="X362" s="3049"/>
      <c r="Y362" s="3049"/>
      <c r="Z362" s="3049"/>
      <c r="AA362" s="3049"/>
      <c r="AB362" s="3049"/>
      <c r="AC362" s="3049"/>
      <c r="AD362" s="3049"/>
      <c r="AE362" s="3049"/>
      <c r="AF362" s="3049"/>
      <c r="AG362" s="3049"/>
      <c r="AH362" s="3049"/>
      <c r="AI362" s="3049"/>
      <c r="AJ362" s="3049"/>
      <c r="AK362" s="3049"/>
      <c r="AL362" s="3049"/>
      <c r="AM362" s="3049"/>
      <c r="AN362" s="3049"/>
      <c r="AO362" s="3049"/>
      <c r="AP362" s="3049"/>
      <c r="AQ362" s="3049"/>
      <c r="AR362" s="3049"/>
      <c r="AS362" s="3049"/>
      <c r="AT362" s="3049"/>
      <c r="AU362" s="3049"/>
      <c r="AV362" s="3049"/>
      <c r="AW362" s="3049"/>
      <c r="AX362" s="3049"/>
      <c r="AY362" s="3049"/>
      <c r="AZ362" s="3049"/>
      <c r="BA362" s="3049"/>
      <c r="BB362" s="3049"/>
      <c r="BC362" s="3049"/>
      <c r="BD362" s="3049"/>
      <c r="BE362" s="3049"/>
      <c r="BF362" s="3049"/>
      <c r="BG362" s="3049"/>
      <c r="BH362" s="3049"/>
      <c r="BI362" s="3049"/>
      <c r="BJ362" s="3049"/>
      <c r="BK362" s="3049"/>
      <c r="BL362" s="3049"/>
      <c r="BM362" s="3049"/>
      <c r="BN362" s="3049"/>
      <c r="BO362" s="3049"/>
      <c r="BP362" s="3049"/>
      <c r="BQ362" s="3049"/>
      <c r="BR362" s="3049"/>
      <c r="BS362" s="3049"/>
      <c r="BT362" s="3049"/>
      <c r="BU362" s="3049"/>
      <c r="BV362" s="3049"/>
      <c r="BW362" s="3049"/>
      <c r="BX362" s="3049"/>
      <c r="BY362" s="3049"/>
      <c r="BZ362" s="3049"/>
      <c r="CA362" s="3049"/>
      <c r="CB362" s="3049"/>
      <c r="CC362" s="3049"/>
      <c r="CD362" s="3049"/>
      <c r="CE362" s="3049"/>
      <c r="CF362" s="3049"/>
      <c r="CG362" s="3049"/>
      <c r="CH362" s="3049"/>
      <c r="CI362" s="3049"/>
      <c r="CJ362" s="3049"/>
      <c r="CK362" s="3049"/>
      <c r="CL362" s="3049"/>
      <c r="CM362" s="3049"/>
      <c r="CN362" s="3049"/>
    </row>
    <row r="363" spans="1:92" x14ac:dyDescent="0.2">
      <c r="A363" s="3049"/>
      <c r="B363" s="3049"/>
      <c r="C363" s="3049"/>
      <c r="D363" s="3049"/>
      <c r="E363" s="3049"/>
      <c r="F363" s="3049"/>
      <c r="G363" s="3049"/>
      <c r="H363" s="3049"/>
      <c r="I363" s="3049"/>
      <c r="J363" s="3049"/>
      <c r="K363" s="3049"/>
      <c r="L363" s="3049"/>
      <c r="M363" s="3049"/>
      <c r="N363" s="3049"/>
      <c r="O363" s="3049"/>
      <c r="P363" s="3049"/>
      <c r="Q363" s="3049"/>
      <c r="R363" s="3049"/>
      <c r="S363" s="3049"/>
      <c r="T363" s="3049"/>
      <c r="U363" s="3049"/>
      <c r="V363" s="3049"/>
      <c r="W363" s="3049"/>
      <c r="X363" s="3049"/>
      <c r="Y363" s="3049"/>
      <c r="Z363" s="3049"/>
      <c r="AA363" s="3049"/>
      <c r="AB363" s="3049"/>
      <c r="AC363" s="3049"/>
      <c r="AD363" s="3049"/>
      <c r="AE363" s="3049"/>
      <c r="AF363" s="3049"/>
      <c r="AG363" s="3049"/>
      <c r="AH363" s="3049"/>
      <c r="AI363" s="3049"/>
      <c r="AJ363" s="3049"/>
      <c r="AK363" s="3049"/>
      <c r="AL363" s="3049"/>
      <c r="AM363" s="3049"/>
      <c r="AN363" s="3049"/>
      <c r="AO363" s="3049"/>
      <c r="AP363" s="3049"/>
      <c r="AQ363" s="3049"/>
      <c r="AR363" s="3049"/>
      <c r="AS363" s="3049"/>
      <c r="AT363" s="3049"/>
      <c r="AU363" s="3049"/>
      <c r="AV363" s="3049"/>
      <c r="AW363" s="3049"/>
      <c r="AX363" s="3049"/>
      <c r="AY363" s="3049"/>
      <c r="AZ363" s="3049"/>
      <c r="BA363" s="3049"/>
      <c r="BB363" s="3049"/>
      <c r="BC363" s="3049"/>
      <c r="BD363" s="3049"/>
      <c r="BE363" s="3049"/>
      <c r="BF363" s="3049"/>
      <c r="BG363" s="3049"/>
      <c r="BH363" s="3049"/>
      <c r="BI363" s="3049"/>
      <c r="BJ363" s="3049"/>
      <c r="BK363" s="3049"/>
      <c r="BL363" s="3049"/>
      <c r="BM363" s="3049"/>
      <c r="BN363" s="3049"/>
      <c r="BO363" s="3049"/>
      <c r="BP363" s="3049"/>
      <c r="BQ363" s="3049"/>
      <c r="BR363" s="3049"/>
      <c r="BS363" s="3049"/>
      <c r="BT363" s="3049"/>
      <c r="BU363" s="3049"/>
      <c r="BV363" s="3049"/>
      <c r="BW363" s="3049"/>
      <c r="BX363" s="3049"/>
      <c r="BY363" s="3049"/>
      <c r="BZ363" s="3049"/>
      <c r="CA363" s="3049"/>
      <c r="CB363" s="3049"/>
      <c r="CC363" s="3049"/>
      <c r="CD363" s="3049"/>
      <c r="CE363" s="3049"/>
      <c r="CF363" s="3049"/>
      <c r="CG363" s="3049"/>
      <c r="CH363" s="3049"/>
      <c r="CI363" s="3049"/>
      <c r="CJ363" s="3049"/>
      <c r="CK363" s="3049"/>
      <c r="CL363" s="3049"/>
      <c r="CM363" s="3049"/>
      <c r="CN363" s="3049"/>
    </row>
    <row r="364" spans="1:92" x14ac:dyDescent="0.2">
      <c r="A364" s="3049"/>
      <c r="B364" s="3049"/>
      <c r="C364" s="3049"/>
      <c r="D364" s="3049"/>
      <c r="E364" s="3049"/>
      <c r="F364" s="3049"/>
      <c r="G364" s="3049"/>
      <c r="H364" s="3049"/>
      <c r="I364" s="3049"/>
      <c r="J364" s="3049"/>
      <c r="K364" s="3049"/>
      <c r="L364" s="3049"/>
      <c r="M364" s="3049"/>
      <c r="N364" s="3049"/>
      <c r="O364" s="3049"/>
      <c r="P364" s="3049"/>
      <c r="Q364" s="3049"/>
      <c r="R364" s="3049"/>
      <c r="S364" s="3049"/>
      <c r="T364" s="3049"/>
      <c r="U364" s="3049"/>
      <c r="V364" s="3049"/>
      <c r="W364" s="3049"/>
      <c r="X364" s="3049"/>
      <c r="Y364" s="3049"/>
      <c r="Z364" s="3049"/>
      <c r="AA364" s="3049"/>
      <c r="AB364" s="3049"/>
      <c r="AC364" s="3049"/>
      <c r="AD364" s="3049"/>
      <c r="AE364" s="3049"/>
      <c r="AF364" s="3049"/>
      <c r="AG364" s="3049"/>
      <c r="AH364" s="3049"/>
      <c r="AI364" s="3049"/>
      <c r="AJ364" s="3049"/>
      <c r="AK364" s="3049"/>
      <c r="AL364" s="3049"/>
      <c r="AM364" s="3049"/>
      <c r="AN364" s="3049"/>
      <c r="AO364" s="3049"/>
      <c r="AP364" s="3049"/>
      <c r="AQ364" s="3049"/>
      <c r="AR364" s="3049"/>
      <c r="AS364" s="3049"/>
      <c r="AT364" s="3049"/>
      <c r="AU364" s="3049"/>
      <c r="AV364" s="3049"/>
      <c r="AW364" s="3049"/>
      <c r="AX364" s="3049"/>
      <c r="AY364" s="3049"/>
      <c r="AZ364" s="3049"/>
      <c r="BA364" s="3049"/>
      <c r="BB364" s="3049"/>
      <c r="BC364" s="3049"/>
      <c r="BD364" s="3049"/>
      <c r="BE364" s="3049"/>
      <c r="BF364" s="3049"/>
      <c r="BG364" s="3049"/>
      <c r="BH364" s="3049"/>
      <c r="BI364" s="3049"/>
      <c r="BJ364" s="3049"/>
      <c r="BK364" s="3049"/>
      <c r="BL364" s="3049"/>
      <c r="BM364" s="3049"/>
      <c r="BN364" s="3049"/>
      <c r="BO364" s="3049"/>
      <c r="BP364" s="3049"/>
      <c r="BQ364" s="3049"/>
      <c r="BR364" s="3049"/>
      <c r="BS364" s="3049"/>
      <c r="BT364" s="3049"/>
      <c r="BU364" s="3049"/>
      <c r="BV364" s="3049"/>
      <c r="BW364" s="3049"/>
      <c r="BX364" s="3049"/>
      <c r="BY364" s="3049"/>
      <c r="BZ364" s="3049"/>
      <c r="CA364" s="3049"/>
      <c r="CB364" s="3049"/>
      <c r="CC364" s="3049"/>
      <c r="CD364" s="3049"/>
      <c r="CE364" s="3049"/>
      <c r="CF364" s="3049"/>
      <c r="CG364" s="3049"/>
      <c r="CH364" s="3049"/>
      <c r="CI364" s="3049"/>
      <c r="CJ364" s="3049"/>
      <c r="CK364" s="3049"/>
      <c r="CL364" s="3049"/>
      <c r="CM364" s="3049"/>
      <c r="CN364" s="3049"/>
    </row>
    <row r="365" spans="1:92" x14ac:dyDescent="0.2">
      <c r="A365" s="3049"/>
      <c r="B365" s="3049"/>
      <c r="C365" s="3049"/>
      <c r="D365" s="3049"/>
      <c r="E365" s="3049"/>
      <c r="F365" s="3049"/>
      <c r="G365" s="3049"/>
      <c r="H365" s="3049"/>
      <c r="I365" s="3049"/>
      <c r="J365" s="3049"/>
      <c r="K365" s="3049"/>
      <c r="L365" s="3049"/>
      <c r="M365" s="3049"/>
      <c r="N365" s="3049"/>
      <c r="O365" s="3049"/>
      <c r="P365" s="3049"/>
      <c r="Q365" s="3049"/>
      <c r="R365" s="3049"/>
      <c r="S365" s="3049"/>
      <c r="T365" s="3049"/>
      <c r="U365" s="3049"/>
      <c r="V365" s="3049"/>
      <c r="W365" s="3049"/>
      <c r="X365" s="3049"/>
      <c r="Y365" s="3049"/>
      <c r="Z365" s="3049"/>
      <c r="AA365" s="3049"/>
      <c r="AB365" s="3049"/>
      <c r="AC365" s="3049"/>
      <c r="AD365" s="3049"/>
      <c r="AE365" s="3049"/>
      <c r="AF365" s="3049"/>
      <c r="AG365" s="3049"/>
      <c r="AH365" s="3049"/>
      <c r="AI365" s="3049"/>
      <c r="AJ365" s="3049"/>
      <c r="AK365" s="3049"/>
      <c r="AL365" s="3049"/>
      <c r="AM365" s="3049"/>
      <c r="AN365" s="3049"/>
      <c r="AO365" s="3049"/>
      <c r="AP365" s="3049"/>
      <c r="AQ365" s="3049"/>
      <c r="AR365" s="3049"/>
      <c r="AS365" s="3049"/>
      <c r="AT365" s="3049"/>
      <c r="AU365" s="3049"/>
      <c r="AV365" s="3049"/>
      <c r="AW365" s="3049"/>
      <c r="AX365" s="3049"/>
      <c r="AY365" s="3049"/>
      <c r="AZ365" s="3049"/>
      <c r="BA365" s="3049"/>
      <c r="BB365" s="3049"/>
      <c r="BC365" s="3049"/>
      <c r="BD365" s="3049"/>
      <c r="BE365" s="3049"/>
      <c r="BF365" s="3049"/>
      <c r="BG365" s="3049"/>
      <c r="BH365" s="3049"/>
      <c r="BI365" s="3049"/>
      <c r="BJ365" s="3049"/>
      <c r="BK365" s="3049"/>
      <c r="BL365" s="3049"/>
      <c r="BM365" s="3049"/>
      <c r="BN365" s="3049"/>
      <c r="BO365" s="3049"/>
      <c r="BP365" s="3049"/>
      <c r="BQ365" s="3049"/>
      <c r="BR365" s="3049"/>
      <c r="BS365" s="3049"/>
      <c r="BT365" s="3049"/>
      <c r="BU365" s="3049"/>
      <c r="BV365" s="3049"/>
      <c r="BW365" s="3049"/>
      <c r="BX365" s="3049"/>
      <c r="BY365" s="3049"/>
      <c r="BZ365" s="3049"/>
      <c r="CA365" s="3049"/>
      <c r="CB365" s="3049"/>
      <c r="CC365" s="3049"/>
      <c r="CD365" s="3049"/>
      <c r="CE365" s="3049"/>
      <c r="CF365" s="3049"/>
      <c r="CG365" s="3049"/>
      <c r="CH365" s="3049"/>
      <c r="CI365" s="3049"/>
      <c r="CJ365" s="3049"/>
      <c r="CK365" s="3049"/>
      <c r="CL365" s="3049"/>
      <c r="CM365" s="3049"/>
      <c r="CN365" s="3049"/>
    </row>
    <row r="366" spans="1:92" x14ac:dyDescent="0.2">
      <c r="A366" s="3049"/>
      <c r="B366" s="3049"/>
      <c r="C366" s="3049"/>
      <c r="D366" s="3049"/>
      <c r="E366" s="3049"/>
      <c r="F366" s="3049"/>
      <c r="G366" s="3049"/>
      <c r="H366" s="3049"/>
      <c r="I366" s="3049"/>
      <c r="J366" s="3049"/>
      <c r="K366" s="3049"/>
      <c r="L366" s="3049"/>
      <c r="M366" s="3049"/>
      <c r="N366" s="3049"/>
      <c r="O366" s="3049"/>
      <c r="P366" s="3049"/>
      <c r="Q366" s="3049"/>
      <c r="R366" s="3049"/>
      <c r="S366" s="3049"/>
      <c r="T366" s="3049"/>
      <c r="U366" s="3049"/>
      <c r="V366" s="3049"/>
      <c r="W366" s="3049"/>
      <c r="X366" s="3049"/>
      <c r="Y366" s="3049"/>
      <c r="Z366" s="3049"/>
      <c r="AA366" s="3049"/>
      <c r="AB366" s="3049"/>
      <c r="AC366" s="3049"/>
      <c r="AD366" s="3049"/>
      <c r="AE366" s="3049"/>
      <c r="AF366" s="3049"/>
      <c r="AG366" s="3049"/>
      <c r="AH366" s="3049"/>
      <c r="AI366" s="3049"/>
      <c r="AJ366" s="3049"/>
      <c r="AK366" s="3049"/>
      <c r="AL366" s="3049"/>
      <c r="AM366" s="3049"/>
      <c r="AN366" s="3049"/>
      <c r="AO366" s="3049"/>
      <c r="AP366" s="3049"/>
      <c r="AQ366" s="3049"/>
      <c r="AR366" s="3049"/>
      <c r="AS366" s="3049"/>
      <c r="AT366" s="3049"/>
      <c r="AU366" s="3049"/>
      <c r="AV366" s="3049"/>
      <c r="AW366" s="3049"/>
      <c r="AX366" s="3049"/>
      <c r="AY366" s="3049"/>
      <c r="AZ366" s="3049"/>
      <c r="BA366" s="3049"/>
      <c r="BB366" s="3049"/>
      <c r="BC366" s="3049"/>
      <c r="BD366" s="3049"/>
      <c r="BE366" s="3049"/>
      <c r="BF366" s="3049"/>
      <c r="BG366" s="3049"/>
      <c r="BH366" s="3049"/>
      <c r="BI366" s="3049"/>
      <c r="BJ366" s="3049"/>
      <c r="BK366" s="3049"/>
      <c r="BL366" s="3049"/>
      <c r="BM366" s="3049"/>
      <c r="BN366" s="3049"/>
      <c r="BO366" s="3049"/>
      <c r="BP366" s="3049"/>
      <c r="BQ366" s="3049"/>
      <c r="BR366" s="3049"/>
      <c r="BS366" s="3049"/>
      <c r="BT366" s="3049"/>
      <c r="BU366" s="3049"/>
      <c r="BV366" s="3049"/>
      <c r="BW366" s="3049"/>
      <c r="BX366" s="3049"/>
      <c r="BY366" s="3049"/>
      <c r="BZ366" s="3049"/>
      <c r="CA366" s="3049"/>
      <c r="CB366" s="3049"/>
      <c r="CC366" s="3049"/>
      <c r="CD366" s="3049"/>
      <c r="CE366" s="3049"/>
      <c r="CF366" s="3049"/>
      <c r="CG366" s="3049"/>
      <c r="CH366" s="3049"/>
      <c r="CI366" s="3049"/>
      <c r="CJ366" s="3049"/>
      <c r="CK366" s="3049"/>
      <c r="CL366" s="3049"/>
      <c r="CM366" s="3049"/>
      <c r="CN366" s="3049"/>
    </row>
    <row r="367" spans="1:92" x14ac:dyDescent="0.2">
      <c r="A367" s="3049"/>
      <c r="B367" s="3049"/>
      <c r="C367" s="3049"/>
      <c r="D367" s="3049"/>
      <c r="E367" s="3049"/>
      <c r="F367" s="3049"/>
      <c r="G367" s="3049"/>
      <c r="H367" s="3049"/>
      <c r="I367" s="3049"/>
      <c r="J367" s="3049"/>
      <c r="K367" s="3049"/>
      <c r="L367" s="3049"/>
      <c r="M367" s="3049"/>
      <c r="N367" s="3049"/>
      <c r="O367" s="3049"/>
      <c r="P367" s="3049"/>
      <c r="Q367" s="3049"/>
      <c r="R367" s="3049"/>
      <c r="S367" s="3049"/>
      <c r="T367" s="3049"/>
      <c r="U367" s="3049"/>
      <c r="V367" s="3049"/>
      <c r="W367" s="3049"/>
      <c r="X367" s="3049"/>
      <c r="Y367" s="3049"/>
      <c r="Z367" s="3049"/>
      <c r="AA367" s="3049"/>
      <c r="AB367" s="3049"/>
      <c r="AC367" s="3049"/>
      <c r="AD367" s="3049"/>
      <c r="AE367" s="3049"/>
      <c r="AF367" s="3049"/>
      <c r="AG367" s="3049"/>
      <c r="AH367" s="3049"/>
      <c r="AI367" s="3049"/>
      <c r="AJ367" s="3049"/>
      <c r="AK367" s="3049"/>
      <c r="AL367" s="3049"/>
      <c r="AM367" s="3049"/>
      <c r="AN367" s="3049"/>
      <c r="AO367" s="3049"/>
      <c r="AP367" s="3049"/>
      <c r="AQ367" s="3049"/>
      <c r="AR367" s="3049"/>
      <c r="AS367" s="3049"/>
      <c r="AT367" s="3049"/>
      <c r="AU367" s="3049"/>
      <c r="AV367" s="3049"/>
      <c r="AW367" s="3049"/>
      <c r="AX367" s="3049"/>
      <c r="AY367" s="3049"/>
      <c r="AZ367" s="3049"/>
      <c r="BA367" s="3049"/>
      <c r="BB367" s="3049"/>
      <c r="BC367" s="3049"/>
      <c r="BD367" s="3049"/>
      <c r="BE367" s="3049"/>
      <c r="BF367" s="3049"/>
      <c r="BG367" s="3049"/>
      <c r="BH367" s="3049"/>
      <c r="BI367" s="3049"/>
      <c r="BJ367" s="3049"/>
      <c r="BK367" s="3049"/>
      <c r="BL367" s="3049"/>
      <c r="BM367" s="3049"/>
      <c r="BN367" s="3049"/>
      <c r="BO367" s="3049"/>
      <c r="BP367" s="3049"/>
      <c r="BQ367" s="3049"/>
      <c r="BR367" s="3049"/>
      <c r="BS367" s="3049"/>
      <c r="BT367" s="3049"/>
      <c r="BU367" s="3049"/>
      <c r="BV367" s="3049"/>
      <c r="BW367" s="3049"/>
      <c r="BX367" s="3049"/>
      <c r="BY367" s="3049"/>
      <c r="BZ367" s="3049"/>
      <c r="CA367" s="3049"/>
      <c r="CB367" s="3049"/>
      <c r="CC367" s="3049"/>
      <c r="CD367" s="3049"/>
      <c r="CE367" s="3049"/>
      <c r="CF367" s="3049"/>
      <c r="CG367" s="3049"/>
      <c r="CH367" s="3049"/>
      <c r="CI367" s="3049"/>
      <c r="CJ367" s="3049"/>
      <c r="CK367" s="3049"/>
      <c r="CL367" s="3049"/>
      <c r="CM367" s="3049"/>
      <c r="CN367" s="3049"/>
    </row>
    <row r="368" spans="1:92" x14ac:dyDescent="0.2">
      <c r="A368" s="3049"/>
      <c r="B368" s="3049"/>
      <c r="C368" s="3049"/>
      <c r="D368" s="3049"/>
      <c r="E368" s="3049"/>
      <c r="F368" s="3049"/>
      <c r="G368" s="3049"/>
      <c r="H368" s="3049"/>
      <c r="I368" s="3049"/>
      <c r="J368" s="3049"/>
      <c r="K368" s="3049"/>
      <c r="L368" s="3049"/>
      <c r="M368" s="3049"/>
      <c r="N368" s="3049"/>
      <c r="O368" s="3049"/>
      <c r="P368" s="3049"/>
      <c r="Q368" s="3049"/>
      <c r="R368" s="3049"/>
      <c r="S368" s="3049"/>
      <c r="T368" s="3049"/>
      <c r="U368" s="3049"/>
      <c r="V368" s="3049"/>
      <c r="W368" s="3049"/>
      <c r="X368" s="3049"/>
      <c r="Y368" s="3049"/>
      <c r="Z368" s="3049"/>
      <c r="AA368" s="3049"/>
      <c r="AB368" s="3049"/>
      <c r="AC368" s="3049"/>
      <c r="AD368" s="3049"/>
      <c r="AE368" s="3049"/>
      <c r="AF368" s="3049"/>
      <c r="AG368" s="3049"/>
      <c r="AH368" s="3049"/>
      <c r="AI368" s="3049"/>
      <c r="AJ368" s="3049"/>
      <c r="AK368" s="3049"/>
      <c r="AL368" s="3049"/>
      <c r="AM368" s="3049"/>
      <c r="AN368" s="3049"/>
      <c r="AO368" s="3049"/>
      <c r="AP368" s="3049"/>
      <c r="AQ368" s="3049"/>
      <c r="AR368" s="3049"/>
      <c r="AS368" s="3049"/>
      <c r="AT368" s="3049"/>
      <c r="AU368" s="3049"/>
      <c r="AV368" s="3049"/>
      <c r="AW368" s="3049"/>
      <c r="AX368" s="3049"/>
      <c r="AY368" s="3049"/>
      <c r="AZ368" s="3049"/>
      <c r="BA368" s="3049"/>
      <c r="BB368" s="3049"/>
      <c r="BC368" s="3049"/>
      <c r="BD368" s="3049"/>
      <c r="BE368" s="3049"/>
      <c r="BF368" s="3049"/>
      <c r="BG368" s="3049"/>
      <c r="BH368" s="3049"/>
      <c r="BI368" s="3049"/>
      <c r="BJ368" s="3049"/>
      <c r="BK368" s="3049"/>
      <c r="BL368" s="3049"/>
      <c r="BM368" s="3049"/>
      <c r="BN368" s="3049"/>
      <c r="BO368" s="3049"/>
      <c r="BP368" s="3049"/>
      <c r="BQ368" s="3049"/>
      <c r="BR368" s="3049"/>
      <c r="BS368" s="3049"/>
      <c r="BT368" s="3049"/>
      <c r="BU368" s="3049"/>
      <c r="BV368" s="3049"/>
      <c r="BW368" s="3049"/>
      <c r="BX368" s="3049"/>
      <c r="BY368" s="3049"/>
      <c r="BZ368" s="3049"/>
      <c r="CA368" s="3049"/>
      <c r="CB368" s="3049"/>
      <c r="CC368" s="3049"/>
      <c r="CD368" s="3049"/>
      <c r="CE368" s="3049"/>
      <c r="CF368" s="3049"/>
      <c r="CG368" s="3049"/>
      <c r="CH368" s="3049"/>
      <c r="CI368" s="3049"/>
      <c r="CJ368" s="3049"/>
      <c r="CK368" s="3049"/>
      <c r="CL368" s="3049"/>
      <c r="CM368" s="3049"/>
      <c r="CN368" s="3049"/>
    </row>
    <row r="369" spans="1:92" x14ac:dyDescent="0.2">
      <c r="A369" s="3049"/>
      <c r="B369" s="3049"/>
      <c r="C369" s="3049"/>
      <c r="D369" s="3049"/>
      <c r="E369" s="3049"/>
      <c r="F369" s="3049"/>
      <c r="G369" s="3049"/>
      <c r="H369" s="3049"/>
      <c r="I369" s="3049"/>
      <c r="J369" s="3049"/>
      <c r="K369" s="3049"/>
      <c r="L369" s="3049"/>
      <c r="M369" s="3049"/>
      <c r="N369" s="3049"/>
      <c r="O369" s="3049"/>
      <c r="P369" s="3049"/>
      <c r="Q369" s="3049"/>
      <c r="R369" s="3049"/>
      <c r="S369" s="3049"/>
      <c r="T369" s="3049"/>
      <c r="U369" s="3049"/>
      <c r="V369" s="3049"/>
      <c r="W369" s="3049"/>
      <c r="X369" s="3049"/>
      <c r="Y369" s="3049"/>
      <c r="Z369" s="3049"/>
      <c r="AA369" s="3049"/>
      <c r="AB369" s="3049"/>
      <c r="AC369" s="3049"/>
      <c r="AD369" s="3049"/>
      <c r="AE369" s="3049"/>
      <c r="AF369" s="3049"/>
      <c r="AG369" s="3049"/>
      <c r="AH369" s="3049"/>
      <c r="AI369" s="3049"/>
      <c r="AJ369" s="3049"/>
      <c r="AK369" s="3049"/>
      <c r="AL369" s="3049"/>
      <c r="AM369" s="3049"/>
      <c r="AN369" s="3049"/>
      <c r="AO369" s="3049"/>
      <c r="AP369" s="3049"/>
      <c r="AQ369" s="3049"/>
      <c r="AR369" s="3049"/>
      <c r="AS369" s="3049"/>
      <c r="AT369" s="3049"/>
      <c r="AU369" s="3049"/>
      <c r="AV369" s="3049"/>
      <c r="AW369" s="3049"/>
      <c r="AX369" s="3049"/>
      <c r="AY369" s="3049"/>
      <c r="AZ369" s="3049"/>
      <c r="BA369" s="3049"/>
      <c r="BB369" s="3049"/>
      <c r="BC369" s="3049"/>
      <c r="BD369" s="3049"/>
      <c r="BE369" s="3049"/>
      <c r="BF369" s="3049"/>
      <c r="BG369" s="3049"/>
      <c r="BH369" s="3049"/>
      <c r="BI369" s="3049"/>
      <c r="BJ369" s="3049"/>
      <c r="BK369" s="3049"/>
      <c r="BL369" s="3049"/>
      <c r="BM369" s="3049"/>
      <c r="BN369" s="3049"/>
      <c r="BO369" s="3049"/>
      <c r="BP369" s="3049"/>
      <c r="BQ369" s="3049"/>
      <c r="BR369" s="3049"/>
      <c r="BS369" s="3049"/>
      <c r="BT369" s="3049"/>
      <c r="BU369" s="3049"/>
      <c r="BV369" s="3049"/>
      <c r="BW369" s="3049"/>
      <c r="BX369" s="3049"/>
      <c r="BY369" s="3049"/>
      <c r="BZ369" s="3049"/>
      <c r="CA369" s="3049"/>
      <c r="CB369" s="3049"/>
      <c r="CC369" s="3049"/>
      <c r="CD369" s="3049"/>
      <c r="CE369" s="3049"/>
      <c r="CF369" s="3049"/>
      <c r="CG369" s="3049"/>
      <c r="CH369" s="3049"/>
      <c r="CI369" s="3049"/>
      <c r="CJ369" s="3049"/>
      <c r="CK369" s="3049"/>
      <c r="CL369" s="3049"/>
      <c r="CM369" s="3049"/>
      <c r="CN369" s="3049"/>
    </row>
    <row r="370" spans="1:92" x14ac:dyDescent="0.2">
      <c r="A370" s="3049"/>
      <c r="B370" s="3049"/>
      <c r="C370" s="3049"/>
      <c r="D370" s="3049"/>
      <c r="E370" s="3049"/>
      <c r="F370" s="3049"/>
      <c r="G370" s="3049"/>
      <c r="H370" s="3049"/>
      <c r="I370" s="3049"/>
      <c r="J370" s="3049"/>
      <c r="K370" s="3049"/>
      <c r="L370" s="3049"/>
      <c r="M370" s="3049"/>
      <c r="N370" s="3049"/>
      <c r="O370" s="3049"/>
      <c r="P370" s="3049"/>
      <c r="Q370" s="3049"/>
      <c r="R370" s="3049"/>
      <c r="S370" s="3049"/>
      <c r="T370" s="3049"/>
      <c r="U370" s="3049"/>
      <c r="V370" s="3049"/>
      <c r="W370" s="3049"/>
      <c r="X370" s="3049"/>
      <c r="Y370" s="3049"/>
      <c r="Z370" s="3049"/>
      <c r="AA370" s="3049"/>
      <c r="AB370" s="3049"/>
      <c r="AC370" s="3049"/>
      <c r="AD370" s="3049"/>
      <c r="AE370" s="3049"/>
      <c r="AF370" s="3049"/>
      <c r="AG370" s="3049"/>
      <c r="AH370" s="3049"/>
      <c r="AI370" s="3049"/>
      <c r="AJ370" s="3049"/>
      <c r="AK370" s="3049"/>
      <c r="AL370" s="3049"/>
      <c r="AM370" s="3049"/>
      <c r="AN370" s="3049"/>
      <c r="AO370" s="3049"/>
      <c r="AP370" s="3049"/>
      <c r="AQ370" s="3049"/>
      <c r="AR370" s="3049"/>
      <c r="AS370" s="3049"/>
      <c r="AT370" s="3049"/>
      <c r="AU370" s="3049"/>
      <c r="AV370" s="3049"/>
      <c r="AW370" s="3049"/>
      <c r="AX370" s="3049"/>
      <c r="AY370" s="3049"/>
      <c r="AZ370" s="3049"/>
      <c r="BA370" s="3049"/>
      <c r="BB370" s="3049"/>
      <c r="BC370" s="3049"/>
      <c r="BD370" s="3049"/>
      <c r="BE370" s="3049"/>
      <c r="BF370" s="3049"/>
      <c r="BG370" s="3049"/>
      <c r="BH370" s="3049"/>
      <c r="BI370" s="3049"/>
      <c r="BJ370" s="3049"/>
      <c r="BK370" s="3049"/>
      <c r="BL370" s="3049"/>
      <c r="BM370" s="3049"/>
      <c r="BN370" s="3049"/>
      <c r="BO370" s="3049"/>
      <c r="BP370" s="3049"/>
      <c r="BQ370" s="3049"/>
      <c r="BR370" s="3049"/>
      <c r="BS370" s="3049"/>
      <c r="BT370" s="3049"/>
      <c r="BU370" s="3049"/>
      <c r="BV370" s="3049"/>
      <c r="BW370" s="3049"/>
      <c r="BX370" s="3049"/>
      <c r="BY370" s="3049"/>
      <c r="BZ370" s="3049"/>
      <c r="CA370" s="3049"/>
      <c r="CB370" s="3049"/>
      <c r="CC370" s="3049"/>
      <c r="CD370" s="3049"/>
      <c r="CE370" s="3049"/>
      <c r="CF370" s="3049"/>
      <c r="CG370" s="3049"/>
      <c r="CH370" s="3049"/>
      <c r="CI370" s="3049"/>
      <c r="CJ370" s="3049"/>
      <c r="CK370" s="3049"/>
      <c r="CL370" s="3049"/>
      <c r="CM370" s="3049"/>
      <c r="CN370" s="3049"/>
    </row>
    <row r="371" spans="1:92" x14ac:dyDescent="0.2">
      <c r="A371" s="3049"/>
      <c r="B371" s="3049"/>
      <c r="C371" s="3049"/>
      <c r="D371" s="3049"/>
      <c r="E371" s="3049"/>
      <c r="F371" s="3049"/>
      <c r="G371" s="3049"/>
      <c r="H371" s="3049"/>
      <c r="I371" s="3049"/>
      <c r="J371" s="3049"/>
      <c r="K371" s="3049"/>
      <c r="L371" s="3049"/>
      <c r="M371" s="3049"/>
      <c r="N371" s="3049"/>
      <c r="O371" s="3049"/>
      <c r="P371" s="3049"/>
      <c r="Q371" s="3049"/>
      <c r="R371" s="3049"/>
      <c r="S371" s="3049"/>
      <c r="T371" s="3049"/>
      <c r="U371" s="3049"/>
      <c r="V371" s="3049"/>
      <c r="W371" s="3049"/>
      <c r="X371" s="3049"/>
      <c r="Y371" s="3049"/>
      <c r="Z371" s="3049"/>
      <c r="AA371" s="3049"/>
      <c r="AB371" s="3049"/>
      <c r="AC371" s="3049"/>
      <c r="AD371" s="3049"/>
      <c r="AE371" s="3049"/>
      <c r="AF371" s="3049"/>
      <c r="AG371" s="3049"/>
      <c r="AH371" s="3049"/>
      <c r="AI371" s="3049"/>
      <c r="AJ371" s="3049"/>
      <c r="AK371" s="3049"/>
      <c r="AL371" s="3049"/>
      <c r="AM371" s="3049"/>
      <c r="AN371" s="3049"/>
      <c r="AO371" s="3049"/>
      <c r="AP371" s="3049"/>
      <c r="AQ371" s="3049"/>
      <c r="AR371" s="3049"/>
      <c r="AS371" s="3049"/>
      <c r="AT371" s="3049"/>
      <c r="AU371" s="3049"/>
      <c r="AV371" s="3049"/>
      <c r="AW371" s="3049"/>
      <c r="AX371" s="3049"/>
      <c r="AY371" s="3049"/>
      <c r="AZ371" s="3049"/>
      <c r="BA371" s="3049"/>
      <c r="BB371" s="3049"/>
      <c r="BC371" s="3049"/>
      <c r="BD371" s="3049"/>
      <c r="BE371" s="3049"/>
      <c r="BF371" s="3049"/>
      <c r="BG371" s="3049"/>
      <c r="BH371" s="3049"/>
      <c r="BI371" s="3049"/>
      <c r="BJ371" s="3049"/>
      <c r="BK371" s="3049"/>
      <c r="BL371" s="3049"/>
      <c r="BM371" s="3049"/>
      <c r="BN371" s="3049"/>
      <c r="BO371" s="3049"/>
      <c r="BP371" s="3049"/>
      <c r="BQ371" s="3049"/>
      <c r="BR371" s="3049"/>
      <c r="BS371" s="3049"/>
      <c r="BT371" s="3049"/>
      <c r="BU371" s="3049"/>
      <c r="BV371" s="3049"/>
      <c r="BW371" s="3049"/>
      <c r="BX371" s="3049"/>
      <c r="BY371" s="3049"/>
      <c r="BZ371" s="3049"/>
      <c r="CA371" s="3049"/>
      <c r="CB371" s="3049"/>
      <c r="CC371" s="3049"/>
      <c r="CD371" s="3049"/>
      <c r="CE371" s="3049"/>
      <c r="CF371" s="3049"/>
      <c r="CG371" s="3049"/>
      <c r="CH371" s="3049"/>
      <c r="CI371" s="3049"/>
      <c r="CJ371" s="3049"/>
      <c r="CK371" s="3049"/>
      <c r="CL371" s="3049"/>
      <c r="CM371" s="3049"/>
      <c r="CN371" s="3049"/>
    </row>
    <row r="372" spans="1:92" x14ac:dyDescent="0.2">
      <c r="A372" s="3049"/>
      <c r="B372" s="3049"/>
      <c r="C372" s="3049"/>
      <c r="D372" s="3049"/>
      <c r="E372" s="3049"/>
      <c r="F372" s="3049"/>
      <c r="G372" s="3049"/>
      <c r="H372" s="3049"/>
      <c r="I372" s="3049"/>
      <c r="J372" s="3049"/>
      <c r="K372" s="3049"/>
      <c r="L372" s="3049"/>
      <c r="M372" s="3049"/>
      <c r="N372" s="3049"/>
      <c r="O372" s="3049"/>
      <c r="P372" s="3049"/>
      <c r="Q372" s="3049"/>
      <c r="R372" s="3049"/>
      <c r="S372" s="3049"/>
      <c r="T372" s="3049"/>
      <c r="U372" s="3049"/>
      <c r="V372" s="3049"/>
      <c r="W372" s="3049"/>
      <c r="X372" s="3049"/>
      <c r="Y372" s="3049"/>
      <c r="Z372" s="3049"/>
      <c r="AA372" s="3049"/>
      <c r="AB372" s="3049"/>
      <c r="AC372" s="3049"/>
      <c r="AD372" s="3049"/>
      <c r="AE372" s="3049"/>
      <c r="AF372" s="3049"/>
      <c r="AG372" s="3049"/>
      <c r="AH372" s="3049"/>
      <c r="AI372" s="3049"/>
      <c r="AJ372" s="3049"/>
      <c r="AK372" s="3049"/>
      <c r="AL372" s="3049"/>
      <c r="AM372" s="3049"/>
      <c r="AN372" s="3049"/>
      <c r="AO372" s="3049"/>
      <c r="AP372" s="3049"/>
      <c r="AQ372" s="3049"/>
      <c r="AR372" s="3049"/>
      <c r="AS372" s="3049"/>
      <c r="AT372" s="3049"/>
      <c r="AU372" s="3049"/>
      <c r="AV372" s="3049"/>
      <c r="AW372" s="3049"/>
      <c r="AX372" s="3049"/>
      <c r="AY372" s="3049"/>
      <c r="AZ372" s="3049"/>
      <c r="BA372" s="3049"/>
      <c r="BB372" s="3049"/>
      <c r="BC372" s="3049"/>
      <c r="BD372" s="3049"/>
      <c r="BE372" s="3049"/>
      <c r="BF372" s="3049"/>
      <c r="BG372" s="3049"/>
      <c r="BH372" s="3049"/>
      <c r="BI372" s="3049"/>
      <c r="BJ372" s="3049"/>
      <c r="BK372" s="3049"/>
      <c r="BL372" s="3049"/>
      <c r="BM372" s="3049"/>
      <c r="BN372" s="3049"/>
      <c r="BO372" s="3049"/>
      <c r="BP372" s="3049"/>
      <c r="BQ372" s="3049"/>
      <c r="BR372" s="3049"/>
      <c r="BS372" s="3049"/>
      <c r="BT372" s="3049"/>
      <c r="BU372" s="3049"/>
      <c r="BV372" s="3049"/>
      <c r="BW372" s="3049"/>
      <c r="BX372" s="3049"/>
      <c r="BY372" s="3049"/>
      <c r="BZ372" s="3049"/>
      <c r="CA372" s="3049"/>
      <c r="CB372" s="3049"/>
      <c r="CC372" s="3049"/>
      <c r="CD372" s="3049"/>
      <c r="CE372" s="3049"/>
      <c r="CF372" s="3049"/>
      <c r="CG372" s="3049"/>
      <c r="CH372" s="3049"/>
      <c r="CI372" s="3049"/>
      <c r="CJ372" s="3049"/>
      <c r="CK372" s="3049"/>
      <c r="CL372" s="3049"/>
      <c r="CM372" s="3049"/>
      <c r="CN372" s="3049"/>
    </row>
    <row r="373" spans="1:92" x14ac:dyDescent="0.2">
      <c r="A373" s="3049"/>
      <c r="B373" s="3049"/>
      <c r="C373" s="3049"/>
      <c r="D373" s="3049"/>
      <c r="E373" s="3049"/>
      <c r="F373" s="3049"/>
      <c r="G373" s="3049"/>
      <c r="H373" s="3049"/>
      <c r="I373" s="3049"/>
      <c r="J373" s="3049"/>
      <c r="K373" s="3049"/>
      <c r="L373" s="3049"/>
      <c r="M373" s="3049"/>
      <c r="N373" s="3049"/>
      <c r="O373" s="3049"/>
      <c r="P373" s="3049"/>
      <c r="Q373" s="3049"/>
      <c r="R373" s="3049"/>
      <c r="S373" s="3049"/>
      <c r="T373" s="3049"/>
      <c r="U373" s="3049"/>
      <c r="V373" s="3049"/>
      <c r="W373" s="3049"/>
      <c r="X373" s="3049"/>
      <c r="Y373" s="3049"/>
      <c r="Z373" s="3049"/>
      <c r="AA373" s="3049"/>
      <c r="AB373" s="3049"/>
      <c r="AC373" s="3049"/>
      <c r="AD373" s="3049"/>
      <c r="AE373" s="3049"/>
      <c r="AF373" s="3049"/>
      <c r="AG373" s="3049"/>
      <c r="AH373" s="3049"/>
      <c r="AI373" s="3049"/>
      <c r="AJ373" s="3049"/>
      <c r="AK373" s="3049"/>
      <c r="AL373" s="3049"/>
      <c r="AM373" s="3049"/>
      <c r="AN373" s="3049"/>
      <c r="AO373" s="3049"/>
      <c r="AP373" s="3049"/>
      <c r="AQ373" s="3049"/>
      <c r="AR373" s="3049"/>
      <c r="AS373" s="3049"/>
      <c r="AT373" s="3049"/>
      <c r="AU373" s="3049"/>
      <c r="AV373" s="3049"/>
      <c r="AW373" s="3049"/>
      <c r="AX373" s="3049"/>
      <c r="AY373" s="3049"/>
      <c r="AZ373" s="3049"/>
      <c r="BA373" s="3049"/>
      <c r="BB373" s="3049"/>
      <c r="BC373" s="3049"/>
      <c r="BD373" s="3049"/>
      <c r="BE373" s="3049"/>
      <c r="BF373" s="3049"/>
      <c r="BG373" s="3049"/>
      <c r="BH373" s="3049"/>
      <c r="BI373" s="3049"/>
      <c r="BJ373" s="3049"/>
      <c r="BK373" s="3049"/>
      <c r="BL373" s="3049"/>
      <c r="BM373" s="3049"/>
      <c r="BN373" s="3049"/>
      <c r="BO373" s="3049"/>
      <c r="BP373" s="3049"/>
      <c r="BQ373" s="3049"/>
      <c r="BR373" s="3049"/>
      <c r="BS373" s="3049"/>
      <c r="BT373" s="3049"/>
      <c r="BU373" s="3049"/>
      <c r="BV373" s="3049"/>
      <c r="BW373" s="3049"/>
      <c r="BX373" s="3049"/>
      <c r="BY373" s="3049"/>
      <c r="BZ373" s="3049"/>
      <c r="CA373" s="3049"/>
      <c r="CB373" s="3049"/>
      <c r="CC373" s="3049"/>
      <c r="CD373" s="3049"/>
      <c r="CE373" s="3049"/>
      <c r="CF373" s="3049"/>
      <c r="CG373" s="3049"/>
      <c r="CH373" s="3049"/>
      <c r="CI373" s="3049"/>
      <c r="CJ373" s="3049"/>
      <c r="CK373" s="3049"/>
      <c r="CL373" s="3049"/>
      <c r="CM373" s="3049"/>
      <c r="CN373" s="3049"/>
    </row>
    <row r="374" spans="1:92" x14ac:dyDescent="0.2">
      <c r="A374" s="3049"/>
      <c r="B374" s="3049"/>
      <c r="C374" s="3049"/>
      <c r="D374" s="3049"/>
      <c r="E374" s="3049"/>
      <c r="F374" s="3049"/>
      <c r="G374" s="3049"/>
      <c r="H374" s="3049"/>
      <c r="I374" s="3049"/>
      <c r="J374" s="3049"/>
      <c r="K374" s="3049"/>
      <c r="L374" s="3049"/>
      <c r="M374" s="3049"/>
      <c r="N374" s="3049"/>
      <c r="O374" s="3049"/>
      <c r="P374" s="3049"/>
      <c r="Q374" s="3049"/>
      <c r="R374" s="3049"/>
      <c r="S374" s="3049"/>
      <c r="T374" s="3049"/>
      <c r="U374" s="3049"/>
      <c r="V374" s="3049"/>
      <c r="W374" s="3049"/>
      <c r="X374" s="3049"/>
      <c r="Y374" s="3049"/>
      <c r="Z374" s="3049"/>
      <c r="AA374" s="3049"/>
      <c r="AB374" s="3049"/>
      <c r="AC374" s="3049"/>
      <c r="AD374" s="3049"/>
      <c r="AE374" s="3049"/>
      <c r="AF374" s="3049"/>
      <c r="AG374" s="3049"/>
      <c r="AH374" s="3049"/>
      <c r="AI374" s="3049"/>
      <c r="AJ374" s="3049"/>
      <c r="AK374" s="3049"/>
      <c r="AL374" s="3049"/>
      <c r="AM374" s="3049"/>
      <c r="AN374" s="3049"/>
      <c r="AO374" s="3049"/>
      <c r="AP374" s="3049"/>
      <c r="AQ374" s="3049"/>
      <c r="AR374" s="3049"/>
      <c r="AS374" s="3049"/>
      <c r="AT374" s="3049"/>
      <c r="AU374" s="3049"/>
      <c r="AV374" s="3049"/>
      <c r="AW374" s="3049"/>
      <c r="AX374" s="3049"/>
      <c r="AY374" s="3049"/>
      <c r="AZ374" s="3049"/>
      <c r="BA374" s="3049"/>
      <c r="BB374" s="3049"/>
      <c r="BC374" s="3049"/>
      <c r="BD374" s="3049"/>
      <c r="BE374" s="3049"/>
      <c r="BF374" s="3049"/>
      <c r="BG374" s="3049"/>
      <c r="BH374" s="3049"/>
      <c r="BI374" s="3049"/>
      <c r="BJ374" s="3049"/>
      <c r="BK374" s="3049"/>
      <c r="BL374" s="3049"/>
      <c r="BM374" s="3049"/>
      <c r="BN374" s="3049"/>
      <c r="BO374" s="3049"/>
      <c r="BP374" s="3049"/>
      <c r="BQ374" s="3049"/>
      <c r="BR374" s="3049"/>
      <c r="BS374" s="3049"/>
      <c r="BT374" s="3049"/>
      <c r="BU374" s="3049"/>
      <c r="BV374" s="3049"/>
      <c r="BW374" s="3049"/>
      <c r="BX374" s="3049"/>
      <c r="BY374" s="3049"/>
      <c r="BZ374" s="3049"/>
      <c r="CA374" s="3049"/>
      <c r="CB374" s="3049"/>
      <c r="CC374" s="3049"/>
      <c r="CD374" s="3049"/>
      <c r="CE374" s="3049"/>
      <c r="CF374" s="3049"/>
      <c r="CG374" s="3049"/>
      <c r="CH374" s="3049"/>
      <c r="CI374" s="3049"/>
      <c r="CJ374" s="3049"/>
      <c r="CK374" s="3049"/>
      <c r="CL374" s="3049"/>
      <c r="CM374" s="3049"/>
      <c r="CN374" s="3049"/>
    </row>
    <row r="375" spans="1:92" x14ac:dyDescent="0.2">
      <c r="A375" s="3049"/>
      <c r="B375" s="3049"/>
      <c r="C375" s="3049"/>
      <c r="D375" s="3049"/>
      <c r="E375" s="3049"/>
      <c r="F375" s="3049"/>
      <c r="G375" s="3049"/>
      <c r="H375" s="3049"/>
      <c r="I375" s="3049"/>
      <c r="J375" s="3049"/>
      <c r="K375" s="3049"/>
      <c r="L375" s="3049"/>
      <c r="M375" s="3049"/>
      <c r="N375" s="3049"/>
      <c r="O375" s="3049"/>
      <c r="P375" s="3049"/>
      <c r="Q375" s="3049"/>
      <c r="R375" s="3049"/>
      <c r="S375" s="3049"/>
      <c r="T375" s="3049"/>
      <c r="U375" s="3049"/>
      <c r="V375" s="3049"/>
      <c r="W375" s="3049"/>
      <c r="X375" s="3049"/>
      <c r="Y375" s="3049"/>
      <c r="Z375" s="3049"/>
      <c r="AA375" s="3049"/>
      <c r="AB375" s="3049"/>
      <c r="AC375" s="3049"/>
      <c r="AD375" s="3049"/>
      <c r="AE375" s="3049"/>
      <c r="AF375" s="3049"/>
      <c r="AG375" s="3049"/>
      <c r="AH375" s="3049"/>
      <c r="AI375" s="3049"/>
      <c r="AJ375" s="3049"/>
      <c r="AK375" s="3049"/>
      <c r="AL375" s="3049"/>
      <c r="AM375" s="3049"/>
      <c r="AN375" s="3049"/>
      <c r="AO375" s="3049"/>
      <c r="AP375" s="3049"/>
      <c r="AQ375" s="3049"/>
      <c r="AR375" s="3049"/>
      <c r="AS375" s="3049"/>
      <c r="AT375" s="3049"/>
      <c r="AU375" s="3049"/>
      <c r="AV375" s="3049"/>
      <c r="AW375" s="3049"/>
      <c r="AX375" s="3049"/>
      <c r="AY375" s="3049"/>
      <c r="AZ375" s="3049"/>
      <c r="BA375" s="3049"/>
      <c r="BB375" s="3049"/>
      <c r="BC375" s="3049"/>
      <c r="BD375" s="3049"/>
      <c r="BE375" s="3049"/>
      <c r="BF375" s="3049"/>
      <c r="BG375" s="3049"/>
      <c r="BH375" s="3049"/>
      <c r="BI375" s="3049"/>
      <c r="BJ375" s="3049"/>
      <c r="BK375" s="3049"/>
      <c r="BL375" s="3049"/>
      <c r="BM375" s="3049"/>
      <c r="BN375" s="3049"/>
      <c r="BO375" s="3049"/>
      <c r="BP375" s="3049"/>
      <c r="BQ375" s="3049"/>
      <c r="BR375" s="3049"/>
      <c r="BS375" s="3049"/>
      <c r="BT375" s="3049"/>
      <c r="BU375" s="3049"/>
      <c r="BV375" s="3049"/>
      <c r="BW375" s="3049"/>
      <c r="BX375" s="3049"/>
      <c r="BY375" s="3049"/>
      <c r="BZ375" s="3049"/>
      <c r="CA375" s="3049"/>
      <c r="CB375" s="3049"/>
      <c r="CC375" s="3049"/>
      <c r="CD375" s="3049"/>
      <c r="CE375" s="3049"/>
      <c r="CF375" s="3049"/>
      <c r="CG375" s="3049"/>
      <c r="CH375" s="3049"/>
      <c r="CI375" s="3049"/>
      <c r="CJ375" s="3049"/>
      <c r="CK375" s="3049"/>
      <c r="CL375" s="3049"/>
      <c r="CM375" s="3049"/>
      <c r="CN375" s="3049"/>
    </row>
    <row r="376" spans="1:92" x14ac:dyDescent="0.2">
      <c r="A376" s="3049"/>
      <c r="B376" s="3049"/>
      <c r="C376" s="3049"/>
      <c r="D376" s="3049"/>
      <c r="E376" s="3049"/>
      <c r="F376" s="3049"/>
      <c r="G376" s="3049"/>
      <c r="H376" s="3049"/>
      <c r="I376" s="3049"/>
      <c r="J376" s="3049"/>
      <c r="K376" s="3049"/>
      <c r="L376" s="3049"/>
      <c r="M376" s="3049"/>
      <c r="N376" s="3049"/>
      <c r="O376" s="3049"/>
      <c r="P376" s="3049"/>
      <c r="Q376" s="3049"/>
      <c r="R376" s="3049"/>
      <c r="S376" s="3049"/>
      <c r="T376" s="3049"/>
      <c r="U376" s="3049"/>
      <c r="V376" s="3049"/>
      <c r="W376" s="3049"/>
      <c r="X376" s="3049"/>
      <c r="Y376" s="3049"/>
      <c r="Z376" s="3049"/>
      <c r="AA376" s="3049"/>
      <c r="AB376" s="3049"/>
      <c r="AC376" s="3049"/>
      <c r="AD376" s="3049"/>
      <c r="AE376" s="3049"/>
      <c r="AF376" s="3049"/>
      <c r="AG376" s="3049"/>
      <c r="AH376" s="3049"/>
      <c r="AI376" s="3049"/>
      <c r="AJ376" s="3049"/>
      <c r="AK376" s="3049"/>
      <c r="AL376" s="3049"/>
      <c r="AM376" s="3049"/>
      <c r="AN376" s="3049"/>
      <c r="AO376" s="3049"/>
      <c r="AP376" s="3049"/>
      <c r="AQ376" s="3049"/>
      <c r="AR376" s="3049"/>
      <c r="AS376" s="3049"/>
      <c r="AT376" s="3049"/>
      <c r="AU376" s="3049"/>
      <c r="AV376" s="3049"/>
      <c r="AW376" s="3049"/>
      <c r="AX376" s="3049"/>
      <c r="AY376" s="3049"/>
      <c r="AZ376" s="3049"/>
      <c r="BA376" s="3049"/>
      <c r="BB376" s="3049"/>
      <c r="BC376" s="3049"/>
      <c r="BD376" s="3049"/>
      <c r="BE376" s="3049"/>
      <c r="BF376" s="3049"/>
      <c r="BG376" s="3049"/>
      <c r="BH376" s="3049"/>
      <c r="BI376" s="3049"/>
      <c r="BJ376" s="3049"/>
      <c r="BK376" s="3049"/>
      <c r="BL376" s="3049"/>
      <c r="BM376" s="3049"/>
      <c r="BN376" s="3049"/>
      <c r="BO376" s="3049"/>
      <c r="BP376" s="3049"/>
      <c r="BQ376" s="3049"/>
      <c r="BR376" s="3049"/>
      <c r="BS376" s="3049"/>
      <c r="BT376" s="3049"/>
      <c r="BU376" s="3049"/>
      <c r="BV376" s="3049"/>
      <c r="BW376" s="3049"/>
      <c r="BX376" s="3049"/>
      <c r="BY376" s="3049"/>
      <c r="BZ376" s="3049"/>
      <c r="CA376" s="3049"/>
      <c r="CB376" s="3049"/>
      <c r="CC376" s="3049"/>
      <c r="CD376" s="3049"/>
      <c r="CE376" s="3049"/>
      <c r="CF376" s="3049"/>
      <c r="CG376" s="3049"/>
      <c r="CH376" s="3049"/>
      <c r="CI376" s="3049"/>
      <c r="CJ376" s="3049"/>
      <c r="CK376" s="3049"/>
      <c r="CL376" s="3049"/>
      <c r="CM376" s="3049"/>
      <c r="CN376" s="3049"/>
    </row>
    <row r="377" spans="1:92" x14ac:dyDescent="0.2">
      <c r="A377" s="3049"/>
      <c r="B377" s="3049"/>
      <c r="C377" s="3049"/>
      <c r="D377" s="3049"/>
      <c r="E377" s="3049"/>
      <c r="F377" s="3049"/>
      <c r="G377" s="3049"/>
      <c r="H377" s="3049"/>
      <c r="I377" s="3049"/>
      <c r="J377" s="3049"/>
      <c r="K377" s="3049"/>
      <c r="L377" s="3049"/>
      <c r="M377" s="3049"/>
      <c r="N377" s="3049"/>
      <c r="O377" s="3049"/>
      <c r="P377" s="3049"/>
      <c r="Q377" s="3049"/>
      <c r="R377" s="3049"/>
      <c r="S377" s="3049"/>
      <c r="T377" s="3049"/>
      <c r="U377" s="3049"/>
      <c r="V377" s="3049"/>
      <c r="W377" s="3049"/>
      <c r="X377" s="3049"/>
      <c r="Y377" s="3049"/>
      <c r="Z377" s="3049"/>
      <c r="AA377" s="3049"/>
      <c r="AB377" s="3049"/>
      <c r="AC377" s="3049"/>
      <c r="AD377" s="3049"/>
      <c r="AE377" s="3049"/>
      <c r="AF377" s="3049"/>
      <c r="AG377" s="3049"/>
      <c r="AH377" s="3049"/>
      <c r="AI377" s="3049"/>
      <c r="AJ377" s="3049"/>
      <c r="AK377" s="3049"/>
      <c r="AL377" s="3049"/>
      <c r="AM377" s="3049"/>
      <c r="AN377" s="3049"/>
      <c r="AO377" s="3049"/>
      <c r="AP377" s="3049"/>
      <c r="AQ377" s="3049"/>
      <c r="AR377" s="3049"/>
      <c r="AS377" s="3049"/>
      <c r="AT377" s="3049"/>
      <c r="AU377" s="3049"/>
      <c r="AV377" s="3049"/>
      <c r="AW377" s="3049"/>
      <c r="AX377" s="3049"/>
      <c r="AY377" s="3049"/>
      <c r="AZ377" s="3049"/>
      <c r="BA377" s="3049"/>
      <c r="BB377" s="3049"/>
      <c r="BC377" s="3049"/>
      <c r="BD377" s="3049"/>
      <c r="BE377" s="3049"/>
      <c r="BF377" s="3049"/>
      <c r="BG377" s="3049"/>
      <c r="BH377" s="3049"/>
      <c r="BI377" s="3049"/>
      <c r="BJ377" s="3049"/>
      <c r="BK377" s="3049"/>
      <c r="BL377" s="3049"/>
      <c r="BM377" s="3049"/>
      <c r="BN377" s="3049"/>
      <c r="BO377" s="3049"/>
      <c r="BP377" s="3049"/>
      <c r="BQ377" s="3049"/>
      <c r="BR377" s="3049"/>
      <c r="BS377" s="3049"/>
      <c r="BT377" s="3049"/>
      <c r="BU377" s="3049"/>
      <c r="BV377" s="3049"/>
      <c r="BW377" s="3049"/>
      <c r="BX377" s="3049"/>
      <c r="BY377" s="3049"/>
      <c r="BZ377" s="3049"/>
      <c r="CA377" s="3049"/>
      <c r="CB377" s="3049"/>
      <c r="CC377" s="3049"/>
      <c r="CD377" s="3049"/>
      <c r="CE377" s="3049"/>
      <c r="CF377" s="3049"/>
      <c r="CG377" s="3049"/>
      <c r="CH377" s="3049"/>
      <c r="CI377" s="3049"/>
      <c r="CJ377" s="3049"/>
      <c r="CK377" s="3049"/>
      <c r="CL377" s="3049"/>
      <c r="CM377" s="3049"/>
      <c r="CN377" s="3049"/>
    </row>
    <row r="378" spans="1:92" x14ac:dyDescent="0.2">
      <c r="A378" s="3049"/>
      <c r="B378" s="3049"/>
      <c r="C378" s="3049"/>
      <c r="D378" s="3049"/>
      <c r="E378" s="3049"/>
      <c r="F378" s="3049"/>
      <c r="G378" s="3049"/>
      <c r="H378" s="3049"/>
      <c r="I378" s="3049"/>
      <c r="J378" s="3049"/>
      <c r="K378" s="3049"/>
      <c r="L378" s="3049"/>
      <c r="M378" s="3049"/>
      <c r="N378" s="3049"/>
      <c r="O378" s="3049"/>
      <c r="P378" s="3049"/>
      <c r="Q378" s="3049"/>
      <c r="R378" s="3049"/>
      <c r="S378" s="3049"/>
      <c r="T378" s="3049"/>
      <c r="U378" s="3049"/>
      <c r="V378" s="3049"/>
      <c r="W378" s="3049"/>
      <c r="X378" s="3049"/>
      <c r="Y378" s="3049"/>
      <c r="Z378" s="3049"/>
      <c r="AA378" s="3049"/>
      <c r="AB378" s="3049"/>
      <c r="AC378" s="3049"/>
      <c r="AD378" s="3049"/>
      <c r="AE378" s="3049"/>
      <c r="AF378" s="3049"/>
      <c r="AG378" s="3049"/>
      <c r="AH378" s="3049"/>
      <c r="AI378" s="3049"/>
      <c r="AJ378" s="3049"/>
      <c r="AK378" s="3049"/>
      <c r="AL378" s="3049"/>
      <c r="AM378" s="3049"/>
      <c r="AN378" s="3049"/>
      <c r="AO378" s="3049"/>
      <c r="AP378" s="3049"/>
      <c r="AQ378" s="3049"/>
      <c r="AR378" s="3049"/>
      <c r="AS378" s="3049"/>
      <c r="AT378" s="3049"/>
      <c r="AU378" s="3049"/>
      <c r="AV378" s="3049"/>
      <c r="AW378" s="3049"/>
      <c r="AX378" s="3049"/>
      <c r="AY378" s="3049"/>
      <c r="AZ378" s="3049"/>
      <c r="BA378" s="3049"/>
      <c r="BB378" s="3049"/>
      <c r="BC378" s="3049"/>
      <c r="BD378" s="3049"/>
      <c r="BE378" s="3049"/>
      <c r="BF378" s="3049"/>
      <c r="BG378" s="3049"/>
      <c r="BH378" s="3049"/>
      <c r="BI378" s="3049"/>
      <c r="BJ378" s="3049"/>
      <c r="BK378" s="3049"/>
      <c r="BL378" s="3049"/>
      <c r="BM378" s="3049"/>
      <c r="BN378" s="3049"/>
      <c r="BO378" s="3049"/>
      <c r="BP378" s="3049"/>
      <c r="BQ378" s="3049"/>
      <c r="BR378" s="3049"/>
      <c r="BS378" s="3049"/>
      <c r="BT378" s="3049"/>
      <c r="BU378" s="3049"/>
      <c r="BV378" s="3049"/>
      <c r="BW378" s="3049"/>
      <c r="BX378" s="3049"/>
      <c r="BY378" s="3049"/>
      <c r="BZ378" s="3049"/>
      <c r="CA378" s="3049"/>
      <c r="CB378" s="3049"/>
      <c r="CC378" s="3049"/>
      <c r="CD378" s="3049"/>
      <c r="CE378" s="3049"/>
      <c r="CF378" s="3049"/>
      <c r="CG378" s="3049"/>
      <c r="CH378" s="3049"/>
      <c r="CI378" s="3049"/>
      <c r="CJ378" s="3049"/>
      <c r="CK378" s="3049"/>
      <c r="CL378" s="3049"/>
      <c r="CM378" s="3049"/>
      <c r="CN378" s="3049"/>
    </row>
    <row r="379" spans="1:92" x14ac:dyDescent="0.2">
      <c r="A379" s="3049"/>
      <c r="B379" s="3049"/>
      <c r="C379" s="3049"/>
      <c r="D379" s="3049"/>
      <c r="E379" s="3049"/>
      <c r="F379" s="3049"/>
      <c r="G379" s="3049"/>
      <c r="H379" s="3049"/>
      <c r="I379" s="3049"/>
      <c r="J379" s="3049"/>
      <c r="K379" s="3049"/>
      <c r="L379" s="3049"/>
      <c r="M379" s="3049"/>
      <c r="N379" s="3049"/>
      <c r="O379" s="3049"/>
      <c r="P379" s="3049"/>
      <c r="Q379" s="3049"/>
      <c r="R379" s="3049"/>
      <c r="S379" s="3049"/>
      <c r="T379" s="3049"/>
      <c r="U379" s="3049"/>
      <c r="V379" s="3049"/>
      <c r="W379" s="3049"/>
      <c r="X379" s="3049"/>
      <c r="Y379" s="3049"/>
      <c r="Z379" s="3049"/>
      <c r="AA379" s="3049"/>
      <c r="AB379" s="3049"/>
      <c r="AC379" s="3049"/>
      <c r="AD379" s="3049"/>
      <c r="AE379" s="3049"/>
      <c r="AF379" s="3049"/>
      <c r="AG379" s="3049"/>
      <c r="AH379" s="3049"/>
      <c r="AI379" s="3049"/>
      <c r="AJ379" s="3049"/>
      <c r="AK379" s="3049"/>
      <c r="AL379" s="3049"/>
      <c r="AM379" s="3049"/>
      <c r="AN379" s="3049"/>
      <c r="AO379" s="3049"/>
      <c r="AP379" s="3049"/>
      <c r="AQ379" s="3049"/>
      <c r="AR379" s="3049"/>
      <c r="AS379" s="3049"/>
      <c r="AT379" s="3049"/>
      <c r="AU379" s="3049"/>
      <c r="AV379" s="3049"/>
      <c r="AW379" s="3049"/>
      <c r="AX379" s="3049"/>
      <c r="AY379" s="3049"/>
      <c r="AZ379" s="3049"/>
      <c r="BA379" s="3049"/>
      <c r="BB379" s="3049"/>
      <c r="BC379" s="3049"/>
      <c r="BD379" s="3049"/>
      <c r="BE379" s="3049"/>
      <c r="BF379" s="3049"/>
      <c r="BG379" s="3049"/>
      <c r="BH379" s="3049"/>
      <c r="BI379" s="3049"/>
      <c r="BJ379" s="3049"/>
      <c r="BK379" s="3049"/>
      <c r="BL379" s="3049"/>
      <c r="BM379" s="3049"/>
      <c r="BN379" s="3049"/>
      <c r="BO379" s="3049"/>
      <c r="BP379" s="3049"/>
      <c r="BQ379" s="3049"/>
      <c r="BR379" s="3049"/>
      <c r="BS379" s="3049"/>
      <c r="BT379" s="3049"/>
      <c r="BU379" s="3049"/>
      <c r="BV379" s="3049"/>
      <c r="BW379" s="3049"/>
      <c r="BX379" s="3049"/>
      <c r="BY379" s="3049"/>
      <c r="BZ379" s="3049"/>
      <c r="CA379" s="3049"/>
      <c r="CB379" s="3049"/>
      <c r="CC379" s="3049"/>
      <c r="CD379" s="3049"/>
      <c r="CE379" s="3049"/>
      <c r="CF379" s="3049"/>
      <c r="CG379" s="3049"/>
      <c r="CH379" s="3049"/>
      <c r="CI379" s="3049"/>
      <c r="CJ379" s="3049"/>
      <c r="CK379" s="3049"/>
      <c r="CL379" s="3049"/>
      <c r="CM379" s="3049"/>
      <c r="CN379" s="3049"/>
    </row>
    <row r="380" spans="1:92" x14ac:dyDescent="0.2">
      <c r="A380" s="3049"/>
      <c r="B380" s="3049"/>
      <c r="C380" s="3049"/>
      <c r="D380" s="3049"/>
      <c r="E380" s="3049"/>
      <c r="F380" s="3049"/>
      <c r="G380" s="3049"/>
      <c r="H380" s="3049"/>
      <c r="I380" s="3049"/>
      <c r="J380" s="3049"/>
      <c r="K380" s="3049"/>
      <c r="L380" s="3049"/>
      <c r="M380" s="3049"/>
      <c r="N380" s="3049"/>
      <c r="O380" s="3049"/>
      <c r="P380" s="3049"/>
      <c r="Q380" s="3049"/>
      <c r="R380" s="3049"/>
      <c r="S380" s="3049"/>
      <c r="T380" s="3049"/>
      <c r="U380" s="3049"/>
      <c r="V380" s="3049"/>
      <c r="W380" s="3049"/>
      <c r="X380" s="3049"/>
      <c r="Y380" s="3049"/>
      <c r="Z380" s="3049"/>
      <c r="AA380" s="3049"/>
      <c r="AB380" s="3049"/>
      <c r="AC380" s="3049"/>
      <c r="AD380" s="3049"/>
      <c r="AE380" s="3049"/>
      <c r="AF380" s="3049"/>
      <c r="AG380" s="3049"/>
      <c r="AH380" s="3049"/>
      <c r="AI380" s="3049"/>
      <c r="AJ380" s="3049"/>
      <c r="AK380" s="3049"/>
      <c r="AL380" s="3049"/>
      <c r="AM380" s="3049"/>
      <c r="AN380" s="3049"/>
      <c r="AO380" s="3049"/>
      <c r="AP380" s="3049"/>
      <c r="AQ380" s="3049"/>
      <c r="AR380" s="3049"/>
      <c r="AS380" s="3049"/>
      <c r="AT380" s="3049"/>
      <c r="AU380" s="3049"/>
      <c r="AV380" s="3049"/>
      <c r="AW380" s="3049"/>
      <c r="AX380" s="3049"/>
      <c r="AY380" s="3049"/>
      <c r="AZ380" s="3049"/>
      <c r="BA380" s="3049"/>
      <c r="BB380" s="3049"/>
      <c r="BC380" s="3049"/>
      <c r="BD380" s="3049"/>
      <c r="BE380" s="3049"/>
      <c r="BF380" s="3049"/>
      <c r="BG380" s="3049"/>
      <c r="BH380" s="3049"/>
      <c r="BI380" s="3049"/>
      <c r="BJ380" s="3049"/>
      <c r="BK380" s="3049"/>
      <c r="BL380" s="3049"/>
      <c r="BM380" s="3049"/>
      <c r="BN380" s="3049"/>
      <c r="BO380" s="3049"/>
      <c r="BP380" s="3049"/>
      <c r="BQ380" s="3049"/>
      <c r="BR380" s="3049"/>
      <c r="BS380" s="3049"/>
      <c r="BT380" s="3049"/>
      <c r="BU380" s="3049"/>
      <c r="BV380" s="3049"/>
      <c r="BW380" s="3049"/>
      <c r="BX380" s="3049"/>
      <c r="BY380" s="3049"/>
      <c r="BZ380" s="3049"/>
      <c r="CA380" s="3049"/>
      <c r="CB380" s="3049"/>
      <c r="CC380" s="3049"/>
      <c r="CD380" s="3049"/>
      <c r="CE380" s="3049"/>
      <c r="CF380" s="3049"/>
      <c r="CG380" s="3049"/>
      <c r="CH380" s="3049"/>
      <c r="CI380" s="3049"/>
      <c r="CJ380" s="3049"/>
      <c r="CK380" s="3049"/>
      <c r="CL380" s="3049"/>
      <c r="CM380" s="3049"/>
      <c r="CN380" s="3049"/>
    </row>
    <row r="381" spans="1:92" x14ac:dyDescent="0.2">
      <c r="A381" s="3049"/>
      <c r="B381" s="3049"/>
      <c r="C381" s="3049"/>
      <c r="D381" s="3049"/>
      <c r="E381" s="3049"/>
      <c r="F381" s="3049"/>
      <c r="G381" s="3049"/>
      <c r="H381" s="3049"/>
      <c r="I381" s="3049"/>
      <c r="J381" s="3049"/>
      <c r="K381" s="3049"/>
      <c r="L381" s="3049"/>
      <c r="M381" s="3049"/>
      <c r="N381" s="3049"/>
      <c r="O381" s="3049"/>
      <c r="P381" s="3049"/>
      <c r="Q381" s="3049"/>
      <c r="R381" s="3049"/>
      <c r="S381" s="3049"/>
      <c r="T381" s="3049"/>
      <c r="U381" s="3049"/>
      <c r="V381" s="3049"/>
      <c r="W381" s="3049"/>
      <c r="X381" s="3049"/>
      <c r="Y381" s="3049"/>
      <c r="Z381" s="3049"/>
      <c r="AA381" s="3049"/>
      <c r="AB381" s="3049"/>
      <c r="AC381" s="3049"/>
      <c r="AD381" s="3049"/>
      <c r="AE381" s="3049"/>
      <c r="AF381" s="3049"/>
      <c r="AG381" s="3049"/>
      <c r="AH381" s="3049"/>
      <c r="AI381" s="3049"/>
      <c r="AJ381" s="3049"/>
      <c r="AK381" s="3049"/>
      <c r="AL381" s="3049"/>
      <c r="AM381" s="3049"/>
      <c r="AN381" s="3049"/>
      <c r="AO381" s="3049"/>
      <c r="AP381" s="3049"/>
      <c r="AQ381" s="3049"/>
      <c r="AR381" s="3049"/>
      <c r="AS381" s="3049"/>
      <c r="AT381" s="3049"/>
      <c r="AU381" s="3049"/>
      <c r="AV381" s="3049"/>
      <c r="AW381" s="3049"/>
      <c r="AX381" s="3049"/>
      <c r="AY381" s="3049"/>
      <c r="AZ381" s="3049"/>
      <c r="BA381" s="3049"/>
      <c r="BB381" s="3049"/>
      <c r="BC381" s="3049"/>
      <c r="BD381" s="3049"/>
      <c r="BE381" s="3049"/>
      <c r="BF381" s="3049"/>
      <c r="BG381" s="3049"/>
      <c r="BH381" s="3049"/>
      <c r="BI381" s="3049"/>
      <c r="BJ381" s="3049"/>
      <c r="BK381" s="3049"/>
      <c r="BL381" s="3049"/>
      <c r="BM381" s="3049"/>
      <c r="BN381" s="3049"/>
      <c r="BO381" s="3049"/>
      <c r="BP381" s="3049"/>
      <c r="BQ381" s="3049"/>
      <c r="BR381" s="3049"/>
      <c r="BS381" s="3049"/>
      <c r="BT381" s="3049"/>
      <c r="BU381" s="3049"/>
      <c r="BV381" s="3049"/>
      <c r="BW381" s="3049"/>
      <c r="BX381" s="3049"/>
      <c r="BY381" s="3049"/>
      <c r="BZ381" s="3049"/>
      <c r="CA381" s="3049"/>
      <c r="CB381" s="3049"/>
      <c r="CC381" s="3049"/>
      <c r="CD381" s="3049"/>
      <c r="CE381" s="3049"/>
      <c r="CF381" s="3049"/>
      <c r="CG381" s="3049"/>
      <c r="CH381" s="3049"/>
      <c r="CI381" s="3049"/>
      <c r="CJ381" s="3049"/>
      <c r="CK381" s="3049"/>
      <c r="CL381" s="3049"/>
      <c r="CM381" s="3049"/>
      <c r="CN381" s="3049"/>
    </row>
    <row r="382" spans="1:92" x14ac:dyDescent="0.2">
      <c r="A382" s="3049"/>
      <c r="B382" s="3049"/>
      <c r="C382" s="3049"/>
      <c r="D382" s="3049"/>
      <c r="E382" s="3049"/>
      <c r="F382" s="3049"/>
      <c r="G382" s="3049"/>
      <c r="H382" s="3049"/>
      <c r="I382" s="3049"/>
      <c r="J382" s="3049"/>
      <c r="K382" s="3049"/>
      <c r="L382" s="3049"/>
      <c r="M382" s="3049"/>
      <c r="N382" s="3049"/>
      <c r="O382" s="3049"/>
      <c r="P382" s="3049"/>
      <c r="Q382" s="3049"/>
      <c r="R382" s="3049"/>
      <c r="S382" s="3049"/>
      <c r="T382" s="3049"/>
      <c r="U382" s="3049"/>
      <c r="V382" s="3049"/>
      <c r="W382" s="3049"/>
      <c r="X382" s="3049"/>
      <c r="Y382" s="3049"/>
      <c r="Z382" s="3049"/>
      <c r="AA382" s="3049"/>
      <c r="AB382" s="3049"/>
      <c r="AC382" s="3049"/>
      <c r="AD382" s="3049"/>
      <c r="AE382" s="3049"/>
      <c r="AF382" s="3049"/>
      <c r="AG382" s="3049"/>
      <c r="AH382" s="3049"/>
      <c r="AI382" s="3049"/>
      <c r="AJ382" s="3049"/>
      <c r="AK382" s="3049"/>
      <c r="AL382" s="3049"/>
      <c r="AM382" s="3049"/>
      <c r="AN382" s="3049"/>
      <c r="AO382" s="3049"/>
      <c r="AP382" s="3049"/>
      <c r="AQ382" s="3049"/>
      <c r="AR382" s="3049"/>
      <c r="AS382" s="3049"/>
      <c r="AT382" s="3049"/>
      <c r="AU382" s="3049"/>
      <c r="AV382" s="3049"/>
      <c r="AW382" s="3049"/>
      <c r="AX382" s="3049"/>
      <c r="AY382" s="3049"/>
      <c r="AZ382" s="3049"/>
      <c r="BA382" s="3049"/>
      <c r="BB382" s="3049"/>
      <c r="BC382" s="3049"/>
      <c r="BD382" s="3049"/>
      <c r="BE382" s="3049"/>
      <c r="BF382" s="3049"/>
      <c r="BG382" s="3049"/>
      <c r="BH382" s="3049"/>
      <c r="BI382" s="3049"/>
      <c r="BJ382" s="3049"/>
      <c r="BK382" s="3049"/>
      <c r="BL382" s="3049"/>
      <c r="BM382" s="3049"/>
      <c r="BN382" s="3049"/>
      <c r="BO382" s="3049"/>
      <c r="BP382" s="3049"/>
      <c r="BQ382" s="3049"/>
      <c r="BR382" s="3049"/>
      <c r="BS382" s="3049"/>
      <c r="BT382" s="3049"/>
      <c r="BU382" s="3049"/>
      <c r="BV382" s="3049"/>
      <c r="BW382" s="3049"/>
      <c r="BX382" s="3049"/>
      <c r="BY382" s="3049"/>
      <c r="BZ382" s="3049"/>
      <c r="CA382" s="3049"/>
      <c r="CB382" s="3049"/>
      <c r="CC382" s="3049"/>
      <c r="CD382" s="3049"/>
      <c r="CE382" s="3049"/>
      <c r="CF382" s="3049"/>
      <c r="CG382" s="3049"/>
      <c r="CH382" s="3049"/>
      <c r="CI382" s="3049"/>
      <c r="CJ382" s="3049"/>
      <c r="CK382" s="3049"/>
      <c r="CL382" s="3049"/>
      <c r="CM382" s="3049"/>
      <c r="CN382" s="3049"/>
    </row>
    <row r="383" spans="1:92" x14ac:dyDescent="0.2">
      <c r="A383" s="3049"/>
      <c r="B383" s="3049"/>
      <c r="C383" s="3049"/>
      <c r="D383" s="3049"/>
      <c r="E383" s="3049"/>
      <c r="F383" s="3049"/>
      <c r="G383" s="3049"/>
      <c r="H383" s="3049"/>
      <c r="I383" s="3049"/>
      <c r="J383" s="3049"/>
      <c r="K383" s="3049"/>
      <c r="L383" s="3049"/>
      <c r="M383" s="3049"/>
      <c r="N383" s="3049"/>
      <c r="O383" s="3049"/>
      <c r="P383" s="3049"/>
      <c r="Q383" s="3049"/>
      <c r="R383" s="3049"/>
      <c r="S383" s="3049"/>
      <c r="T383" s="3049"/>
      <c r="U383" s="3049"/>
      <c r="V383" s="3049"/>
      <c r="W383" s="3049"/>
      <c r="X383" s="3049"/>
      <c r="Y383" s="3049"/>
      <c r="Z383" s="3049"/>
      <c r="AA383" s="3049"/>
      <c r="AB383" s="3049"/>
      <c r="AC383" s="3049"/>
      <c r="AD383" s="3049"/>
      <c r="AE383" s="3049"/>
      <c r="AF383" s="3049"/>
      <c r="AG383" s="3049"/>
      <c r="AH383" s="3049"/>
      <c r="AI383" s="3049"/>
      <c r="AJ383" s="3049"/>
      <c r="AK383" s="3049"/>
      <c r="AL383" s="3049"/>
      <c r="AM383" s="3049"/>
      <c r="AN383" s="3049"/>
      <c r="AO383" s="3049"/>
      <c r="AP383" s="3049"/>
      <c r="AQ383" s="3049"/>
      <c r="AR383" s="3049"/>
      <c r="AS383" s="3049"/>
      <c r="AT383" s="3049"/>
      <c r="AU383" s="3049"/>
      <c r="AV383" s="3049"/>
      <c r="AW383" s="3049"/>
      <c r="AX383" s="3049"/>
      <c r="AY383" s="3049"/>
      <c r="AZ383" s="3049"/>
      <c r="BA383" s="3049"/>
      <c r="BB383" s="3049"/>
      <c r="BC383" s="3049"/>
      <c r="BD383" s="3049"/>
      <c r="BE383" s="3049"/>
      <c r="BF383" s="3049"/>
      <c r="BG383" s="3049"/>
      <c r="BH383" s="3049"/>
      <c r="BI383" s="3049"/>
      <c r="BJ383" s="3049"/>
      <c r="BK383" s="3049"/>
      <c r="BL383" s="3049"/>
      <c r="BM383" s="3049"/>
      <c r="BN383" s="3049"/>
      <c r="BO383" s="3049"/>
      <c r="BP383" s="3049"/>
      <c r="BQ383" s="3049"/>
      <c r="BR383" s="3049"/>
      <c r="BS383" s="3049"/>
      <c r="BT383" s="3049"/>
      <c r="BU383" s="3049"/>
      <c r="BV383" s="3049"/>
      <c r="BW383" s="3049"/>
      <c r="BX383" s="3049"/>
      <c r="BY383" s="3049"/>
      <c r="BZ383" s="3049"/>
      <c r="CA383" s="3049"/>
      <c r="CB383" s="3049"/>
      <c r="CC383" s="3049"/>
      <c r="CD383" s="3049"/>
      <c r="CE383" s="3049"/>
      <c r="CF383" s="3049"/>
      <c r="CG383" s="3049"/>
      <c r="CH383" s="3049"/>
      <c r="CI383" s="3049"/>
      <c r="CJ383" s="3049"/>
      <c r="CK383" s="3049"/>
      <c r="CL383" s="3049"/>
      <c r="CM383" s="3049"/>
      <c r="CN383" s="3049"/>
    </row>
    <row r="384" spans="1:92" x14ac:dyDescent="0.2">
      <c r="A384" s="3049"/>
      <c r="B384" s="3049"/>
      <c r="C384" s="3049"/>
      <c r="D384" s="3049"/>
      <c r="E384" s="3049"/>
      <c r="F384" s="3049"/>
      <c r="G384" s="3049"/>
      <c r="H384" s="3049"/>
      <c r="I384" s="3049"/>
      <c r="J384" s="3049"/>
      <c r="K384" s="3049"/>
      <c r="L384" s="3049"/>
      <c r="M384" s="3049"/>
      <c r="N384" s="3049"/>
      <c r="O384" s="3049"/>
      <c r="P384" s="3049"/>
      <c r="Q384" s="3049"/>
      <c r="R384" s="3049"/>
      <c r="S384" s="3049"/>
      <c r="T384" s="3049"/>
      <c r="U384" s="3049"/>
      <c r="V384" s="3049"/>
      <c r="W384" s="3049"/>
      <c r="X384" s="3049"/>
      <c r="Y384" s="3049"/>
      <c r="Z384" s="3049"/>
      <c r="AA384" s="3049"/>
      <c r="AB384" s="3049"/>
      <c r="AC384" s="3049"/>
      <c r="AD384" s="3049"/>
      <c r="AE384" s="3049"/>
      <c r="AF384" s="3049"/>
      <c r="AG384" s="3049"/>
      <c r="AH384" s="3049"/>
      <c r="AI384" s="3049"/>
      <c r="AJ384" s="3049"/>
      <c r="AK384" s="3049"/>
      <c r="AL384" s="3049"/>
      <c r="AM384" s="3049"/>
      <c r="AN384" s="3049"/>
      <c r="AO384" s="3049"/>
      <c r="AP384" s="3049"/>
      <c r="AQ384" s="3049"/>
      <c r="AR384" s="3049"/>
      <c r="AS384" s="3049"/>
      <c r="AT384" s="3049"/>
      <c r="AU384" s="3049"/>
      <c r="AV384" s="3049"/>
      <c r="AW384" s="3049"/>
      <c r="AX384" s="3049"/>
      <c r="AY384" s="3049"/>
      <c r="AZ384" s="3049"/>
      <c r="BA384" s="3049"/>
      <c r="BB384" s="3049"/>
      <c r="BC384" s="3049"/>
      <c r="BD384" s="3049"/>
      <c r="BE384" s="3049"/>
      <c r="BF384" s="3049"/>
      <c r="BG384" s="3049"/>
      <c r="BH384" s="3049"/>
      <c r="BI384" s="3049"/>
      <c r="BJ384" s="3049"/>
      <c r="BK384" s="3049"/>
      <c r="BL384" s="3049"/>
      <c r="BM384" s="3049"/>
      <c r="BN384" s="3049"/>
      <c r="BO384" s="3049"/>
      <c r="BP384" s="3049"/>
      <c r="BQ384" s="3049"/>
      <c r="BR384" s="3049"/>
      <c r="BS384" s="3049"/>
      <c r="BT384" s="3049"/>
      <c r="BU384" s="3049"/>
      <c r="BV384" s="3049"/>
      <c r="BW384" s="3049"/>
      <c r="BX384" s="3049"/>
      <c r="BY384" s="3049"/>
      <c r="BZ384" s="3049"/>
      <c r="CA384" s="3049"/>
      <c r="CB384" s="3049"/>
      <c r="CC384" s="3049"/>
      <c r="CD384" s="3049"/>
      <c r="CE384" s="3049"/>
      <c r="CF384" s="3049"/>
      <c r="CG384" s="3049"/>
      <c r="CH384" s="3049"/>
      <c r="CI384" s="3049"/>
      <c r="CJ384" s="3049"/>
      <c r="CK384" s="3049"/>
      <c r="CL384" s="3049"/>
      <c r="CM384" s="3049"/>
      <c r="CN384" s="3049"/>
    </row>
    <row r="385" spans="1:92" x14ac:dyDescent="0.2">
      <c r="A385" s="3049"/>
      <c r="B385" s="3049"/>
      <c r="C385" s="3049"/>
      <c r="D385" s="3049"/>
      <c r="E385" s="3049"/>
      <c r="F385" s="3049"/>
      <c r="G385" s="3049"/>
      <c r="H385" s="3049"/>
      <c r="I385" s="3049"/>
      <c r="J385" s="3049"/>
      <c r="K385" s="3049"/>
      <c r="L385" s="3049"/>
      <c r="M385" s="3049"/>
      <c r="N385" s="3049"/>
      <c r="O385" s="3049"/>
      <c r="P385" s="3049"/>
      <c r="Q385" s="3049"/>
      <c r="R385" s="3049"/>
      <c r="S385" s="3049"/>
      <c r="T385" s="3049"/>
      <c r="U385" s="3049"/>
      <c r="V385" s="3049"/>
      <c r="W385" s="3049"/>
      <c r="X385" s="3049"/>
      <c r="Y385" s="3049"/>
      <c r="Z385" s="3049"/>
      <c r="AA385" s="3049"/>
      <c r="AB385" s="3049"/>
      <c r="AC385" s="3049"/>
      <c r="AD385" s="3049"/>
      <c r="AE385" s="3049"/>
      <c r="AF385" s="3049"/>
      <c r="AG385" s="3049"/>
      <c r="AH385" s="3049"/>
      <c r="AI385" s="3049"/>
      <c r="AJ385" s="3049"/>
      <c r="AK385" s="3049"/>
      <c r="AL385" s="3049"/>
      <c r="AM385" s="3049"/>
      <c r="AN385" s="3049"/>
      <c r="AO385" s="3049"/>
      <c r="AP385" s="3049"/>
      <c r="AQ385" s="3049"/>
      <c r="AR385" s="3049"/>
      <c r="AS385" s="3049"/>
      <c r="AT385" s="3049"/>
      <c r="AU385" s="3049"/>
      <c r="AV385" s="3049"/>
      <c r="AW385" s="3049"/>
      <c r="AX385" s="3049"/>
      <c r="AY385" s="3049"/>
      <c r="AZ385" s="3049"/>
      <c r="BA385" s="3049"/>
      <c r="BB385" s="3049"/>
      <c r="BC385" s="3049"/>
      <c r="BD385" s="3049"/>
      <c r="BE385" s="3049"/>
      <c r="BF385" s="3049"/>
      <c r="BG385" s="3049"/>
      <c r="BH385" s="3049"/>
      <c r="BI385" s="3049"/>
      <c r="BJ385" s="3049"/>
      <c r="BK385" s="3049"/>
      <c r="BL385" s="3049"/>
      <c r="BM385" s="3049"/>
      <c r="BN385" s="3049"/>
      <c r="BO385" s="3049"/>
      <c r="BP385" s="3049"/>
      <c r="BQ385" s="3049"/>
      <c r="BR385" s="3049"/>
      <c r="BS385" s="3049"/>
      <c r="BT385" s="3049"/>
      <c r="BU385" s="3049"/>
      <c r="BV385" s="3049"/>
      <c r="BW385" s="3049"/>
      <c r="BX385" s="3049"/>
      <c r="BY385" s="3049"/>
      <c r="BZ385" s="3049"/>
      <c r="CA385" s="3049"/>
      <c r="CB385" s="3049"/>
      <c r="CC385" s="3049"/>
      <c r="CD385" s="3049"/>
      <c r="CE385" s="3049"/>
      <c r="CF385" s="3049"/>
      <c r="CG385" s="3049"/>
      <c r="CH385" s="3049"/>
      <c r="CI385" s="3049"/>
      <c r="CJ385" s="3049"/>
      <c r="CK385" s="3049"/>
      <c r="CL385" s="3049"/>
      <c r="CM385" s="3049"/>
      <c r="CN385" s="3049"/>
    </row>
    <row r="386" spans="1:92" x14ac:dyDescent="0.2">
      <c r="A386" s="3049"/>
      <c r="B386" s="3049"/>
      <c r="C386" s="3049"/>
      <c r="D386" s="3049"/>
      <c r="E386" s="3049"/>
      <c r="F386" s="3049"/>
      <c r="G386" s="3049"/>
      <c r="H386" s="3049"/>
      <c r="I386" s="3049"/>
      <c r="J386" s="3049"/>
      <c r="K386" s="3049"/>
      <c r="L386" s="3049"/>
      <c r="M386" s="3049"/>
      <c r="N386" s="3049"/>
      <c r="O386" s="3049"/>
      <c r="P386" s="3049"/>
      <c r="Q386" s="3049"/>
      <c r="R386" s="3049"/>
      <c r="S386" s="3049"/>
      <c r="T386" s="3049"/>
      <c r="U386" s="3049"/>
      <c r="V386" s="3049"/>
      <c r="W386" s="3049"/>
      <c r="X386" s="3049"/>
      <c r="Y386" s="3049"/>
      <c r="Z386" s="3049"/>
      <c r="AA386" s="3049"/>
      <c r="AB386" s="3049"/>
      <c r="AC386" s="3049"/>
      <c r="AD386" s="3049"/>
      <c r="AE386" s="3049"/>
      <c r="AF386" s="3049"/>
      <c r="AG386" s="3049"/>
      <c r="AH386" s="3049"/>
      <c r="AI386" s="3049"/>
      <c r="AJ386" s="3049"/>
      <c r="AK386" s="3049"/>
      <c r="AL386" s="3049"/>
      <c r="AM386" s="3049"/>
      <c r="AN386" s="3049"/>
      <c r="AO386" s="3049"/>
      <c r="AP386" s="3049"/>
      <c r="AQ386" s="3049"/>
      <c r="AR386" s="3049"/>
      <c r="AS386" s="3049"/>
      <c r="AT386" s="3049"/>
      <c r="AU386" s="3049"/>
      <c r="AV386" s="3049"/>
      <c r="AW386" s="3049"/>
      <c r="AX386" s="3049"/>
      <c r="AY386" s="3049"/>
      <c r="AZ386" s="3049"/>
      <c r="BA386" s="3049"/>
      <c r="BB386" s="3049"/>
      <c r="BC386" s="3049"/>
      <c r="BD386" s="3049"/>
      <c r="BE386" s="3049"/>
      <c r="BF386" s="3049"/>
      <c r="BG386" s="3049"/>
      <c r="BH386" s="3049"/>
      <c r="BI386" s="3049"/>
      <c r="BJ386" s="3049"/>
      <c r="BK386" s="3049"/>
      <c r="BL386" s="3049"/>
      <c r="BM386" s="3049"/>
      <c r="BN386" s="3049"/>
      <c r="BO386" s="3049"/>
      <c r="BP386" s="3049"/>
      <c r="BQ386" s="3049"/>
      <c r="BR386" s="3049"/>
      <c r="BS386" s="3049"/>
      <c r="BT386" s="3049"/>
      <c r="BU386" s="3049"/>
      <c r="BV386" s="3049"/>
      <c r="BW386" s="3049"/>
      <c r="BX386" s="3049"/>
      <c r="BY386" s="3049"/>
      <c r="BZ386" s="3049"/>
      <c r="CA386" s="3049"/>
      <c r="CB386" s="3049"/>
      <c r="CC386" s="3049"/>
      <c r="CD386" s="3049"/>
      <c r="CE386" s="3049"/>
      <c r="CF386" s="3049"/>
      <c r="CG386" s="3049"/>
      <c r="CH386" s="3049"/>
      <c r="CI386" s="3049"/>
      <c r="CJ386" s="3049"/>
      <c r="CK386" s="3049"/>
      <c r="CL386" s="3049"/>
      <c r="CM386" s="3049"/>
      <c r="CN386" s="3049"/>
    </row>
    <row r="387" spans="1:92" x14ac:dyDescent="0.2">
      <c r="A387" s="3049"/>
      <c r="B387" s="3049"/>
      <c r="C387" s="3049"/>
      <c r="D387" s="3049"/>
      <c r="E387" s="3049"/>
      <c r="F387" s="3049"/>
      <c r="G387" s="3049"/>
      <c r="H387" s="3049"/>
      <c r="I387" s="3049"/>
      <c r="J387" s="3049"/>
      <c r="K387" s="3049"/>
      <c r="L387" s="3049"/>
      <c r="M387" s="3049"/>
      <c r="N387" s="3049"/>
      <c r="O387" s="3049"/>
      <c r="P387" s="3049"/>
      <c r="Q387" s="3049"/>
      <c r="R387" s="3049"/>
      <c r="S387" s="3049"/>
      <c r="T387" s="3049"/>
      <c r="U387" s="3049"/>
      <c r="V387" s="3049"/>
      <c r="W387" s="3049"/>
      <c r="X387" s="3049"/>
      <c r="Y387" s="3049"/>
      <c r="Z387" s="3049"/>
      <c r="AA387" s="3049"/>
      <c r="AB387" s="3049"/>
      <c r="AC387" s="3049"/>
      <c r="AD387" s="3049"/>
      <c r="AE387" s="3049"/>
      <c r="AF387" s="3049"/>
      <c r="AG387" s="3049"/>
      <c r="AH387" s="3049"/>
      <c r="AI387" s="3049"/>
      <c r="AJ387" s="3049"/>
      <c r="AK387" s="3049"/>
      <c r="AL387" s="3049"/>
      <c r="AM387" s="3049"/>
      <c r="AN387" s="3049"/>
      <c r="AO387" s="3049"/>
      <c r="AP387" s="3049"/>
      <c r="AQ387" s="3049"/>
      <c r="AR387" s="3049"/>
      <c r="AS387" s="3049"/>
      <c r="AT387" s="3049"/>
      <c r="AU387" s="3049"/>
      <c r="AV387" s="3049"/>
      <c r="AW387" s="3049"/>
      <c r="AX387" s="3049"/>
      <c r="AY387" s="3049"/>
      <c r="AZ387" s="3049"/>
      <c r="BA387" s="3049"/>
      <c r="BB387" s="3049"/>
      <c r="BC387" s="3049"/>
      <c r="BD387" s="3049"/>
      <c r="BE387" s="3049"/>
      <c r="BF387" s="3049"/>
      <c r="BG387" s="3049"/>
      <c r="BH387" s="3049"/>
      <c r="BI387" s="3049"/>
      <c r="BJ387" s="3049"/>
      <c r="BK387" s="3049"/>
      <c r="BL387" s="3049"/>
      <c r="BM387" s="3049"/>
      <c r="BN387" s="3049"/>
      <c r="BO387" s="3049"/>
      <c r="BP387" s="3049"/>
      <c r="BQ387" s="3049"/>
      <c r="BR387" s="3049"/>
      <c r="BS387" s="3049"/>
      <c r="BT387" s="3049"/>
      <c r="BU387" s="3049"/>
      <c r="BV387" s="3049"/>
      <c r="BW387" s="3049"/>
      <c r="BX387" s="3049"/>
      <c r="BY387" s="3049"/>
      <c r="BZ387" s="3049"/>
      <c r="CA387" s="3049"/>
      <c r="CB387" s="3049"/>
      <c r="CC387" s="3049"/>
      <c r="CD387" s="3049"/>
      <c r="CE387" s="3049"/>
      <c r="CF387" s="3049"/>
      <c r="CG387" s="3049"/>
      <c r="CH387" s="3049"/>
      <c r="CI387" s="3049"/>
      <c r="CJ387" s="3049"/>
      <c r="CK387" s="3049"/>
      <c r="CL387" s="3049"/>
      <c r="CM387" s="3049"/>
      <c r="CN387" s="3049"/>
    </row>
    <row r="388" spans="1:92" x14ac:dyDescent="0.2">
      <c r="A388" s="3049"/>
      <c r="B388" s="3049"/>
      <c r="C388" s="3049"/>
      <c r="D388" s="3049"/>
      <c r="E388" s="3049"/>
      <c r="F388" s="3049"/>
      <c r="G388" s="3049"/>
      <c r="H388" s="3049"/>
      <c r="I388" s="3049"/>
      <c r="J388" s="3049"/>
      <c r="K388" s="3049"/>
      <c r="L388" s="3049"/>
      <c r="M388" s="3049"/>
      <c r="N388" s="3049"/>
      <c r="O388" s="3049"/>
      <c r="P388" s="3049"/>
      <c r="Q388" s="3049"/>
      <c r="R388" s="3049"/>
      <c r="S388" s="3049"/>
      <c r="T388" s="3049"/>
      <c r="U388" s="3049"/>
      <c r="V388" s="3049"/>
      <c r="W388" s="3049"/>
      <c r="X388" s="3049"/>
      <c r="Y388" s="3049"/>
      <c r="Z388" s="3049"/>
      <c r="AA388" s="3049"/>
      <c r="AB388" s="3049"/>
      <c r="AC388" s="3049"/>
      <c r="AD388" s="3049"/>
      <c r="AE388" s="3049"/>
      <c r="AF388" s="3049"/>
      <c r="AG388" s="3049"/>
      <c r="AH388" s="3049"/>
      <c r="AI388" s="3049"/>
      <c r="AJ388" s="3049"/>
      <c r="AK388" s="3049"/>
      <c r="AL388" s="3049"/>
      <c r="AM388" s="3049"/>
      <c r="AN388" s="3049"/>
      <c r="AO388" s="3049"/>
      <c r="AP388" s="3049"/>
      <c r="AQ388" s="3049"/>
      <c r="AR388" s="3049"/>
      <c r="AS388" s="3049"/>
      <c r="AT388" s="3049"/>
      <c r="AU388" s="3049"/>
      <c r="AV388" s="3049"/>
      <c r="AW388" s="3049"/>
      <c r="AX388" s="3049"/>
      <c r="AY388" s="3049"/>
      <c r="AZ388" s="3049"/>
      <c r="BA388" s="3049"/>
      <c r="BB388" s="3049"/>
      <c r="BC388" s="3049"/>
      <c r="BD388" s="3049"/>
      <c r="BE388" s="3049"/>
      <c r="BF388" s="3049"/>
      <c r="BG388" s="3049"/>
      <c r="BH388" s="3049"/>
      <c r="BI388" s="3049"/>
      <c r="BJ388" s="3049"/>
      <c r="BK388" s="3049"/>
      <c r="BL388" s="3049"/>
      <c r="BM388" s="3049"/>
      <c r="BN388" s="3049"/>
      <c r="BO388" s="3049"/>
      <c r="BP388" s="3049"/>
      <c r="BQ388" s="3049"/>
      <c r="BR388" s="3049"/>
      <c r="BS388" s="3049"/>
      <c r="BT388" s="3049"/>
      <c r="BU388" s="3049"/>
      <c r="BV388" s="3049"/>
      <c r="BW388" s="3049"/>
      <c r="BX388" s="3049"/>
      <c r="BY388" s="3049"/>
      <c r="BZ388" s="3049"/>
      <c r="CA388" s="3049"/>
      <c r="CB388" s="3049"/>
      <c r="CC388" s="3049"/>
      <c r="CD388" s="3049"/>
      <c r="CE388" s="3049"/>
      <c r="CF388" s="3049"/>
      <c r="CG388" s="3049"/>
      <c r="CH388" s="3049"/>
      <c r="CI388" s="3049"/>
      <c r="CJ388" s="3049"/>
      <c r="CK388" s="3049"/>
      <c r="CL388" s="3049"/>
      <c r="CM388" s="3049"/>
      <c r="CN388" s="3049"/>
    </row>
    <row r="389" spans="1:92" x14ac:dyDescent="0.2">
      <c r="A389" s="3049"/>
      <c r="B389" s="3049"/>
      <c r="C389" s="3049"/>
      <c r="D389" s="3049"/>
      <c r="E389" s="3049"/>
      <c r="F389" s="3049"/>
      <c r="G389" s="3049"/>
      <c r="H389" s="3049"/>
      <c r="I389" s="3049"/>
      <c r="J389" s="3049"/>
      <c r="K389" s="3049"/>
      <c r="L389" s="3049"/>
      <c r="M389" s="3049"/>
      <c r="N389" s="3049"/>
      <c r="O389" s="3049"/>
      <c r="P389" s="3049"/>
      <c r="Q389" s="3049"/>
      <c r="R389" s="3049"/>
      <c r="S389" s="3049"/>
      <c r="T389" s="3049"/>
      <c r="U389" s="3049"/>
      <c r="V389" s="3049"/>
      <c r="W389" s="3049"/>
      <c r="X389" s="3049"/>
      <c r="Y389" s="3049"/>
      <c r="Z389" s="3049"/>
      <c r="AA389" s="3049"/>
      <c r="AB389" s="3049"/>
      <c r="AC389" s="3049"/>
      <c r="AD389" s="3049"/>
      <c r="AE389" s="3049"/>
      <c r="AF389" s="3049"/>
      <c r="AG389" s="3049"/>
      <c r="AH389" s="3049"/>
      <c r="AI389" s="3049"/>
      <c r="AJ389" s="3049"/>
      <c r="AK389" s="3049"/>
      <c r="AL389" s="3049"/>
      <c r="AM389" s="3049"/>
      <c r="AN389" s="3049"/>
      <c r="AO389" s="3049"/>
      <c r="AP389" s="3049"/>
      <c r="AQ389" s="3049"/>
      <c r="AR389" s="3049"/>
      <c r="AS389" s="3049"/>
      <c r="AT389" s="3049"/>
      <c r="AU389" s="3049"/>
      <c r="AV389" s="3049"/>
      <c r="AW389" s="3049"/>
      <c r="AX389" s="3049"/>
      <c r="AY389" s="3049"/>
      <c r="AZ389" s="3049"/>
      <c r="BA389" s="3049"/>
      <c r="BB389" s="3049"/>
      <c r="BC389" s="3049"/>
      <c r="BD389" s="3049"/>
      <c r="BE389" s="3049"/>
      <c r="BF389" s="3049"/>
      <c r="BG389" s="3049"/>
      <c r="BH389" s="3049"/>
      <c r="BI389" s="3049"/>
      <c r="BJ389" s="3049"/>
      <c r="BK389" s="3049"/>
      <c r="BL389" s="3049"/>
      <c r="BM389" s="3049"/>
      <c r="BN389" s="3049"/>
      <c r="BO389" s="3049"/>
      <c r="BP389" s="3049"/>
      <c r="BQ389" s="3049"/>
      <c r="BR389" s="3049"/>
      <c r="BS389" s="3049"/>
      <c r="BT389" s="3049"/>
      <c r="BU389" s="3049"/>
      <c r="BV389" s="3049"/>
      <c r="BW389" s="3049"/>
      <c r="BX389" s="3049"/>
      <c r="BY389" s="3049"/>
      <c r="BZ389" s="3049"/>
      <c r="CA389" s="3049"/>
      <c r="CB389" s="3049"/>
      <c r="CC389" s="3049"/>
      <c r="CD389" s="3049"/>
      <c r="CE389" s="3049"/>
      <c r="CF389" s="3049"/>
      <c r="CG389" s="3049"/>
      <c r="CH389" s="3049"/>
      <c r="CI389" s="3049"/>
      <c r="CJ389" s="3049"/>
      <c r="CK389" s="3049"/>
      <c r="CL389" s="3049"/>
      <c r="CM389" s="3049"/>
      <c r="CN389" s="3049"/>
    </row>
    <row r="390" spans="1:92" x14ac:dyDescent="0.2">
      <c r="A390" s="3049"/>
      <c r="B390" s="3049"/>
      <c r="C390" s="3049"/>
      <c r="D390" s="3049"/>
      <c r="E390" s="3049"/>
      <c r="F390" s="3049"/>
      <c r="G390" s="3049"/>
      <c r="H390" s="3049"/>
      <c r="I390" s="3049"/>
      <c r="J390" s="3049"/>
      <c r="K390" s="3049"/>
      <c r="L390" s="3049"/>
      <c r="M390" s="3049"/>
      <c r="N390" s="3049"/>
      <c r="O390" s="3049"/>
      <c r="P390" s="3049"/>
      <c r="Q390" s="3049"/>
      <c r="R390" s="3049"/>
      <c r="S390" s="3049"/>
      <c r="T390" s="3049"/>
      <c r="U390" s="3049"/>
      <c r="V390" s="3049"/>
      <c r="W390" s="3049"/>
      <c r="X390" s="3049"/>
      <c r="Y390" s="3049"/>
      <c r="Z390" s="3049"/>
      <c r="AA390" s="3049"/>
      <c r="AB390" s="3049"/>
      <c r="AC390" s="3049"/>
      <c r="AD390" s="3049"/>
      <c r="AE390" s="3049"/>
      <c r="AF390" s="3049"/>
      <c r="AG390" s="3049"/>
      <c r="AH390" s="3049"/>
      <c r="AI390" s="3049"/>
      <c r="AJ390" s="3049"/>
      <c r="AK390" s="3049"/>
      <c r="AL390" s="3049"/>
      <c r="AM390" s="3049"/>
      <c r="AN390" s="3049"/>
      <c r="AO390" s="3049"/>
      <c r="AP390" s="3049"/>
      <c r="AQ390" s="3049"/>
      <c r="AR390" s="3049"/>
      <c r="AS390" s="3049"/>
      <c r="AT390" s="3049"/>
      <c r="AU390" s="3049"/>
      <c r="AV390" s="3049"/>
      <c r="AW390" s="3049"/>
      <c r="AX390" s="3049"/>
      <c r="AY390" s="3049"/>
      <c r="AZ390" s="3049"/>
      <c r="BA390" s="3049"/>
      <c r="BB390" s="3049"/>
      <c r="BC390" s="3049"/>
      <c r="BD390" s="3049"/>
      <c r="BE390" s="3049"/>
      <c r="BF390" s="3049"/>
      <c r="BG390" s="3049"/>
      <c r="BH390" s="3049"/>
      <c r="BI390" s="3049"/>
      <c r="BJ390" s="3049"/>
      <c r="BK390" s="3049"/>
      <c r="BL390" s="3049"/>
      <c r="BM390" s="3049"/>
      <c r="BN390" s="3049"/>
      <c r="BO390" s="3049"/>
      <c r="BP390" s="3049"/>
      <c r="BQ390" s="3049"/>
      <c r="BR390" s="3049"/>
      <c r="BS390" s="3049"/>
      <c r="BT390" s="3049"/>
      <c r="BU390" s="3049"/>
      <c r="BV390" s="3049"/>
      <c r="BW390" s="3049"/>
      <c r="BX390" s="3049"/>
      <c r="BY390" s="3049"/>
      <c r="BZ390" s="3049"/>
      <c r="CA390" s="3049"/>
      <c r="CB390" s="3049"/>
      <c r="CC390" s="3049"/>
      <c r="CD390" s="3049"/>
      <c r="CE390" s="3049"/>
      <c r="CF390" s="3049"/>
      <c r="CG390" s="3049"/>
      <c r="CH390" s="3049"/>
      <c r="CI390" s="3049"/>
      <c r="CJ390" s="3049"/>
      <c r="CK390" s="3049"/>
      <c r="CL390" s="3049"/>
      <c r="CM390" s="3049"/>
      <c r="CN390" s="3049"/>
    </row>
    <row r="391" spans="1:92" x14ac:dyDescent="0.2">
      <c r="A391" s="3049"/>
      <c r="B391" s="3049"/>
      <c r="C391" s="3049"/>
      <c r="D391" s="3049"/>
      <c r="E391" s="3049"/>
      <c r="F391" s="3049"/>
      <c r="G391" s="3049"/>
      <c r="H391" s="3049"/>
      <c r="I391" s="3049"/>
      <c r="J391" s="3049"/>
      <c r="K391" s="3049"/>
      <c r="L391" s="3049"/>
      <c r="M391" s="3049"/>
      <c r="N391" s="3049"/>
      <c r="O391" s="3049"/>
      <c r="P391" s="3049"/>
      <c r="Q391" s="3049"/>
      <c r="R391" s="3049"/>
      <c r="S391" s="3049"/>
      <c r="T391" s="3049"/>
      <c r="U391" s="3049"/>
      <c r="V391" s="3049"/>
      <c r="W391" s="3049"/>
      <c r="X391" s="3049"/>
      <c r="Y391" s="3049"/>
      <c r="Z391" s="3049"/>
      <c r="AA391" s="3049"/>
      <c r="AB391" s="3049"/>
      <c r="AC391" s="3049"/>
      <c r="AD391" s="3049"/>
      <c r="AE391" s="3049"/>
      <c r="AF391" s="3049"/>
      <c r="AG391" s="3049"/>
      <c r="AH391" s="3049"/>
      <c r="AI391" s="3049"/>
      <c r="AJ391" s="3049"/>
      <c r="AK391" s="3049"/>
      <c r="AL391" s="3049"/>
      <c r="AM391" s="3049"/>
      <c r="AN391" s="3049"/>
      <c r="AO391" s="3049"/>
      <c r="AP391" s="3049"/>
      <c r="AQ391" s="3049"/>
      <c r="AR391" s="3049"/>
      <c r="AS391" s="3049"/>
      <c r="AT391" s="3049"/>
      <c r="AU391" s="3049"/>
      <c r="AV391" s="3049"/>
      <c r="AW391" s="3049"/>
      <c r="AX391" s="3049"/>
      <c r="AY391" s="3049"/>
      <c r="AZ391" s="3049"/>
      <c r="BA391" s="3049"/>
      <c r="BB391" s="3049"/>
      <c r="BC391" s="3049"/>
      <c r="BD391" s="3049"/>
      <c r="BE391" s="3049"/>
      <c r="BF391" s="3049"/>
      <c r="BG391" s="3049"/>
      <c r="BH391" s="3049"/>
      <c r="BI391" s="3049"/>
      <c r="BJ391" s="3049"/>
      <c r="BK391" s="3049"/>
      <c r="BL391" s="3049"/>
      <c r="BM391" s="3049"/>
      <c r="BN391" s="3049"/>
      <c r="BO391" s="3049"/>
      <c r="BP391" s="3049"/>
      <c r="BQ391" s="3049"/>
      <c r="BR391" s="3049"/>
      <c r="BS391" s="3049"/>
      <c r="BT391" s="3049"/>
      <c r="BU391" s="3049"/>
      <c r="BV391" s="3049"/>
      <c r="BW391" s="3049"/>
      <c r="BX391" s="3049"/>
      <c r="BY391" s="3049"/>
      <c r="BZ391" s="3049"/>
      <c r="CA391" s="3049"/>
      <c r="CB391" s="3049"/>
      <c r="CC391" s="3049"/>
      <c r="CD391" s="3049"/>
      <c r="CE391" s="3049"/>
      <c r="CF391" s="3049"/>
      <c r="CG391" s="3049"/>
      <c r="CH391" s="3049"/>
      <c r="CI391" s="3049"/>
      <c r="CJ391" s="3049"/>
      <c r="CK391" s="3049"/>
      <c r="CL391" s="3049"/>
      <c r="CM391" s="3049"/>
      <c r="CN391" s="3049"/>
    </row>
    <row r="392" spans="1:92" x14ac:dyDescent="0.2">
      <c r="A392" s="3049"/>
      <c r="B392" s="3049"/>
      <c r="C392" s="3049"/>
      <c r="D392" s="3049"/>
      <c r="E392" s="3049"/>
      <c r="F392" s="3049"/>
      <c r="G392" s="3049"/>
      <c r="H392" s="3049"/>
      <c r="I392" s="3049"/>
      <c r="J392" s="3049"/>
      <c r="K392" s="3049"/>
      <c r="L392" s="3049"/>
      <c r="M392" s="3049"/>
      <c r="N392" s="3049"/>
      <c r="O392" s="3049"/>
      <c r="P392" s="3049"/>
      <c r="Q392" s="3049"/>
      <c r="R392" s="3049"/>
      <c r="S392" s="3049"/>
      <c r="T392" s="3049"/>
      <c r="U392" s="3049"/>
      <c r="V392" s="3049"/>
      <c r="W392" s="3049"/>
      <c r="X392" s="3049"/>
      <c r="Y392" s="3049"/>
      <c r="Z392" s="3049"/>
      <c r="AA392" s="3049"/>
      <c r="AB392" s="3049"/>
      <c r="AC392" s="3049"/>
      <c r="AD392" s="3049"/>
      <c r="AE392" s="3049"/>
      <c r="AF392" s="3049"/>
      <c r="AG392" s="3049"/>
      <c r="AH392" s="3049"/>
      <c r="AI392" s="3049"/>
      <c r="AJ392" s="3049"/>
      <c r="AK392" s="3049"/>
      <c r="AL392" s="3049"/>
      <c r="AM392" s="3049"/>
      <c r="AN392" s="3049"/>
      <c r="AO392" s="3049"/>
      <c r="AP392" s="3049"/>
      <c r="AQ392" s="3049"/>
      <c r="AR392" s="3049"/>
      <c r="AS392" s="3049"/>
      <c r="AT392" s="3049"/>
      <c r="AU392" s="3049"/>
      <c r="AV392" s="3049"/>
      <c r="AW392" s="3049"/>
      <c r="AX392" s="3049"/>
      <c r="AY392" s="3049"/>
      <c r="AZ392" s="3049"/>
      <c r="BA392" s="3049"/>
      <c r="BB392" s="3049"/>
      <c r="BC392" s="3049"/>
      <c r="BD392" s="3049"/>
      <c r="BE392" s="3049"/>
      <c r="BF392" s="3049"/>
      <c r="BG392" s="3049"/>
      <c r="BH392" s="3049"/>
      <c r="BI392" s="3049"/>
      <c r="BJ392" s="3049"/>
      <c r="BK392" s="3049"/>
      <c r="BL392" s="3049"/>
      <c r="BM392" s="3049"/>
      <c r="BN392" s="3049"/>
      <c r="BO392" s="3049"/>
      <c r="BP392" s="3049"/>
      <c r="BQ392" s="3049"/>
      <c r="BR392" s="3049"/>
      <c r="BS392" s="3049"/>
      <c r="BT392" s="3049"/>
      <c r="BU392" s="3049"/>
      <c r="BV392" s="3049"/>
      <c r="BW392" s="3049"/>
      <c r="BX392" s="3049"/>
      <c r="BY392" s="3049"/>
      <c r="BZ392" s="3049"/>
      <c r="CA392" s="3049"/>
      <c r="CB392" s="3049"/>
      <c r="CC392" s="3049"/>
      <c r="CD392" s="3049"/>
      <c r="CE392" s="3049"/>
      <c r="CF392" s="3049"/>
      <c r="CG392" s="3049"/>
      <c r="CH392" s="3049"/>
      <c r="CI392" s="3049"/>
      <c r="CJ392" s="3049"/>
      <c r="CK392" s="3049"/>
      <c r="CL392" s="3049"/>
      <c r="CM392" s="3049"/>
      <c r="CN392" s="3049"/>
    </row>
    <row r="393" spans="1:92" x14ac:dyDescent="0.2">
      <c r="A393" s="3049"/>
      <c r="B393" s="3049"/>
      <c r="C393" s="3049"/>
      <c r="D393" s="3049"/>
      <c r="E393" s="3049"/>
      <c r="F393" s="3049"/>
      <c r="G393" s="3049"/>
      <c r="H393" s="3049"/>
      <c r="I393" s="3049"/>
      <c r="J393" s="3049"/>
      <c r="K393" s="3049"/>
      <c r="L393" s="3049"/>
      <c r="M393" s="3049"/>
      <c r="N393" s="3049"/>
      <c r="O393" s="3049"/>
      <c r="P393" s="3049"/>
      <c r="Q393" s="3049"/>
      <c r="R393" s="3049"/>
      <c r="S393" s="3049"/>
      <c r="T393" s="3049"/>
      <c r="U393" s="3049"/>
      <c r="V393" s="3049"/>
      <c r="W393" s="3049"/>
      <c r="X393" s="3049"/>
      <c r="Y393" s="3049"/>
      <c r="Z393" s="3049"/>
      <c r="AA393" s="3049"/>
      <c r="AB393" s="3049"/>
      <c r="AC393" s="3049"/>
      <c r="AD393" s="3049"/>
      <c r="AE393" s="3049"/>
      <c r="AF393" s="3049"/>
      <c r="AG393" s="3049"/>
      <c r="AH393" s="3049"/>
      <c r="AI393" s="3049"/>
      <c r="AJ393" s="3049"/>
      <c r="AK393" s="3049"/>
      <c r="AL393" s="3049"/>
      <c r="AM393" s="3049"/>
      <c r="AN393" s="3049"/>
      <c r="AO393" s="3049"/>
      <c r="AP393" s="3049"/>
      <c r="AQ393" s="3049"/>
      <c r="AR393" s="3049"/>
      <c r="AS393" s="3049"/>
      <c r="AT393" s="3049"/>
      <c r="AU393" s="3049"/>
      <c r="AV393" s="3049"/>
      <c r="AW393" s="3049"/>
      <c r="AX393" s="3049"/>
      <c r="AY393" s="3049"/>
      <c r="AZ393" s="3049"/>
      <c r="BA393" s="3049"/>
      <c r="BB393" s="3049"/>
      <c r="BC393" s="3049"/>
      <c r="BD393" s="3049"/>
      <c r="BE393" s="3049"/>
      <c r="BF393" s="3049"/>
      <c r="BG393" s="3049"/>
      <c r="BH393" s="3049"/>
      <c r="BI393" s="3049"/>
      <c r="BJ393" s="3049"/>
      <c r="BK393" s="3049"/>
      <c r="BL393" s="3049"/>
      <c r="BM393" s="3049"/>
      <c r="BN393" s="3049"/>
      <c r="BO393" s="3049"/>
      <c r="BP393" s="3049"/>
      <c r="BQ393" s="3049"/>
      <c r="BR393" s="3049"/>
      <c r="BS393" s="3049"/>
      <c r="BT393" s="3049"/>
      <c r="BU393" s="3049"/>
      <c r="BV393" s="3049"/>
      <c r="BW393" s="3049"/>
      <c r="BX393" s="3049"/>
      <c r="BY393" s="3049"/>
      <c r="BZ393" s="3049"/>
      <c r="CA393" s="3049"/>
      <c r="CB393" s="3049"/>
      <c r="CC393" s="3049"/>
      <c r="CD393" s="3049"/>
      <c r="CE393" s="3049"/>
      <c r="CF393" s="3049"/>
      <c r="CG393" s="3049"/>
      <c r="CH393" s="3049"/>
      <c r="CI393" s="3049"/>
      <c r="CJ393" s="3049"/>
      <c r="CK393" s="3049"/>
      <c r="CL393" s="3049"/>
      <c r="CM393" s="3049"/>
      <c r="CN393" s="3049"/>
    </row>
    <row r="394" spans="1:92" x14ac:dyDescent="0.2">
      <c r="A394" s="3049"/>
      <c r="B394" s="3049"/>
      <c r="C394" s="3049"/>
      <c r="D394" s="3049"/>
      <c r="E394" s="3049"/>
      <c r="F394" s="3049"/>
      <c r="G394" s="3049"/>
      <c r="H394" s="3049"/>
      <c r="I394" s="3049"/>
      <c r="J394" s="3049"/>
      <c r="K394" s="3049"/>
      <c r="L394" s="3049"/>
      <c r="M394" s="3049"/>
      <c r="N394" s="3049"/>
      <c r="O394" s="3049"/>
      <c r="P394" s="3049"/>
      <c r="Q394" s="3049"/>
      <c r="R394" s="3049"/>
      <c r="S394" s="3049"/>
      <c r="T394" s="3049"/>
      <c r="U394" s="3049"/>
      <c r="V394" s="3049"/>
      <c r="W394" s="3049"/>
      <c r="X394" s="3049"/>
      <c r="Y394" s="3049"/>
      <c r="Z394" s="3049"/>
      <c r="AA394" s="3049"/>
      <c r="AB394" s="3049"/>
      <c r="AC394" s="3049"/>
      <c r="AD394" s="3049"/>
      <c r="AE394" s="3049"/>
      <c r="AF394" s="3049"/>
      <c r="AG394" s="3049"/>
      <c r="AH394" s="3049"/>
      <c r="AI394" s="3049"/>
      <c r="AJ394" s="3049"/>
      <c r="AK394" s="3049"/>
      <c r="AL394" s="3049"/>
      <c r="AM394" s="3049"/>
      <c r="AN394" s="3049"/>
      <c r="AO394" s="3049"/>
      <c r="AP394" s="3049"/>
      <c r="AQ394" s="3049"/>
      <c r="AR394" s="3049"/>
      <c r="AS394" s="3049"/>
      <c r="AT394" s="3049"/>
      <c r="AU394" s="3049"/>
      <c r="AV394" s="3049"/>
      <c r="AW394" s="3049"/>
      <c r="AX394" s="3049"/>
      <c r="AY394" s="3049"/>
      <c r="AZ394" s="3049"/>
      <c r="BA394" s="3049"/>
      <c r="BB394" s="3049"/>
      <c r="BC394" s="3049"/>
      <c r="BD394" s="3049"/>
      <c r="BE394" s="3049"/>
      <c r="BF394" s="3049"/>
      <c r="BG394" s="3049"/>
      <c r="BH394" s="3049"/>
      <c r="BI394" s="3049"/>
      <c r="BJ394" s="3049"/>
      <c r="BK394" s="3049"/>
      <c r="BL394" s="3049"/>
      <c r="BM394" s="3049"/>
      <c r="BN394" s="3049"/>
      <c r="BO394" s="3049"/>
      <c r="BP394" s="3049"/>
      <c r="BQ394" s="3049"/>
      <c r="BR394" s="3049"/>
      <c r="BS394" s="3049"/>
      <c r="BT394" s="3049"/>
      <c r="BU394" s="3049"/>
      <c r="BV394" s="3049"/>
      <c r="BW394" s="3049"/>
      <c r="BX394" s="3049"/>
      <c r="BY394" s="3049"/>
      <c r="BZ394" s="3049"/>
      <c r="CA394" s="3049"/>
      <c r="CB394" s="3049"/>
      <c r="CC394" s="3049"/>
      <c r="CD394" s="3049"/>
      <c r="CE394" s="3049"/>
      <c r="CF394" s="3049"/>
      <c r="CG394" s="3049"/>
      <c r="CH394" s="3049"/>
      <c r="CI394" s="3049"/>
      <c r="CJ394" s="3049"/>
      <c r="CK394" s="3049"/>
      <c r="CL394" s="3049"/>
      <c r="CM394" s="3049"/>
      <c r="CN394" s="3049"/>
    </row>
    <row r="395" spans="1:92" x14ac:dyDescent="0.2">
      <c r="A395" s="3049"/>
      <c r="B395" s="3049"/>
      <c r="C395" s="3049"/>
      <c r="D395" s="3049"/>
      <c r="E395" s="3049"/>
      <c r="F395" s="3049"/>
      <c r="G395" s="3049"/>
      <c r="H395" s="3049"/>
      <c r="I395" s="3049"/>
      <c r="J395" s="3049"/>
      <c r="K395" s="3049"/>
      <c r="L395" s="3049"/>
      <c r="M395" s="3049"/>
      <c r="N395" s="3049"/>
      <c r="O395" s="3049"/>
      <c r="P395" s="3049"/>
      <c r="Q395" s="3049"/>
      <c r="R395" s="3049"/>
      <c r="S395" s="3049"/>
      <c r="T395" s="3049"/>
      <c r="U395" s="3049"/>
      <c r="V395" s="3049"/>
      <c r="W395" s="3049"/>
      <c r="X395" s="3049"/>
      <c r="Y395" s="3049"/>
      <c r="Z395" s="3049"/>
      <c r="AA395" s="3049"/>
      <c r="AB395" s="3049"/>
      <c r="AC395" s="3049"/>
      <c r="AD395" s="3049"/>
      <c r="AE395" s="3049"/>
      <c r="AF395" s="3049"/>
      <c r="AG395" s="3049"/>
      <c r="AH395" s="3049"/>
      <c r="AI395" s="3049"/>
      <c r="AJ395" s="3049"/>
      <c r="AK395" s="3049"/>
      <c r="AL395" s="3049"/>
      <c r="AM395" s="3049"/>
      <c r="AN395" s="3049"/>
      <c r="AO395" s="3049"/>
      <c r="AP395" s="3049"/>
      <c r="AQ395" s="3049"/>
      <c r="AR395" s="3049"/>
      <c r="AS395" s="3049"/>
      <c r="AT395" s="3049"/>
      <c r="AU395" s="3049"/>
      <c r="AV395" s="3049"/>
      <c r="AW395" s="3049"/>
      <c r="AX395" s="3049"/>
      <c r="AY395" s="3049"/>
      <c r="AZ395" s="3049"/>
      <c r="BA395" s="3049"/>
      <c r="BB395" s="3049"/>
      <c r="BC395" s="3049"/>
      <c r="BD395" s="3049"/>
      <c r="BE395" s="3049"/>
      <c r="BF395" s="3049"/>
      <c r="BG395" s="3049"/>
      <c r="BH395" s="3049"/>
      <c r="BI395" s="3049"/>
      <c r="BJ395" s="3049"/>
      <c r="BK395" s="3049"/>
      <c r="BL395" s="3049"/>
      <c r="BM395" s="3049"/>
      <c r="BN395" s="3049"/>
      <c r="BO395" s="3049"/>
      <c r="BP395" s="3049"/>
      <c r="BQ395" s="3049"/>
      <c r="BR395" s="3049"/>
      <c r="BS395" s="3049"/>
      <c r="BT395" s="3049"/>
      <c r="BU395" s="3049"/>
      <c r="BV395" s="3049"/>
      <c r="BW395" s="3049"/>
      <c r="BX395" s="3049"/>
      <c r="BY395" s="3049"/>
      <c r="BZ395" s="3049"/>
      <c r="CA395" s="3049"/>
      <c r="CB395" s="3049"/>
      <c r="CC395" s="3049"/>
      <c r="CD395" s="3049"/>
      <c r="CE395" s="3049"/>
      <c r="CF395" s="3049"/>
      <c r="CG395" s="3049"/>
      <c r="CH395" s="3049"/>
      <c r="CI395" s="3049"/>
      <c r="CJ395" s="3049"/>
      <c r="CK395" s="3049"/>
      <c r="CL395" s="3049"/>
      <c r="CM395" s="3049"/>
      <c r="CN395" s="3049"/>
    </row>
    <row r="396" spans="1:92" x14ac:dyDescent="0.2">
      <c r="A396" s="3049"/>
      <c r="B396" s="3049"/>
      <c r="C396" s="3049"/>
      <c r="D396" s="3049"/>
      <c r="E396" s="3049"/>
      <c r="F396" s="3049"/>
      <c r="G396" s="3049"/>
      <c r="H396" s="3049"/>
      <c r="I396" s="3049"/>
      <c r="J396" s="3049"/>
      <c r="K396" s="3049"/>
      <c r="L396" s="3049"/>
      <c r="M396" s="3049"/>
      <c r="N396" s="3049"/>
      <c r="O396" s="3049"/>
      <c r="P396" s="3049"/>
      <c r="Q396" s="3049"/>
      <c r="R396" s="3049"/>
      <c r="S396" s="3049"/>
      <c r="T396" s="3049"/>
      <c r="U396" s="3049"/>
      <c r="V396" s="3049"/>
      <c r="W396" s="3049"/>
      <c r="X396" s="3049"/>
      <c r="Y396" s="3049"/>
      <c r="Z396" s="3049"/>
      <c r="AA396" s="3049"/>
      <c r="AB396" s="3049"/>
      <c r="AC396" s="3049"/>
      <c r="AD396" s="3049"/>
      <c r="AE396" s="3049"/>
      <c r="AF396" s="3049"/>
      <c r="AG396" s="3049"/>
      <c r="AH396" s="3049"/>
      <c r="AI396" s="3049"/>
      <c r="AJ396" s="3049"/>
      <c r="AK396" s="3049"/>
      <c r="AL396" s="3049"/>
      <c r="AM396" s="3049"/>
      <c r="AN396" s="3049"/>
      <c r="AO396" s="3049"/>
      <c r="AP396" s="3049"/>
      <c r="AQ396" s="3049"/>
      <c r="AR396" s="3049"/>
      <c r="AS396" s="3049"/>
      <c r="AT396" s="3049"/>
      <c r="AU396" s="3049"/>
      <c r="AV396" s="3049"/>
      <c r="AW396" s="3049"/>
      <c r="AX396" s="3049"/>
      <c r="AY396" s="3049"/>
      <c r="AZ396" s="3049"/>
      <c r="BA396" s="3049"/>
      <c r="BB396" s="3049"/>
      <c r="BC396" s="3049"/>
      <c r="BD396" s="3049"/>
      <c r="BE396" s="3049"/>
      <c r="BF396" s="3049"/>
      <c r="BG396" s="3049"/>
      <c r="BH396" s="3049"/>
      <c r="BI396" s="3049"/>
      <c r="BJ396" s="3049"/>
      <c r="BK396" s="3049"/>
      <c r="BL396" s="3049"/>
      <c r="BM396" s="3049"/>
      <c r="BN396" s="3049"/>
      <c r="BO396" s="3049"/>
      <c r="BP396" s="3049"/>
      <c r="BQ396" s="3049"/>
      <c r="BR396" s="3049"/>
      <c r="BS396" s="3049"/>
      <c r="BT396" s="3049"/>
      <c r="BU396" s="3049"/>
      <c r="BV396" s="3049"/>
      <c r="BW396" s="3049"/>
      <c r="BX396" s="3049"/>
      <c r="BY396" s="3049"/>
      <c r="BZ396" s="3049"/>
      <c r="CA396" s="3049"/>
      <c r="CB396" s="3049"/>
      <c r="CC396" s="3049"/>
      <c r="CD396" s="3049"/>
      <c r="CE396" s="3049"/>
      <c r="CF396" s="3049"/>
      <c r="CG396" s="3049"/>
      <c r="CH396" s="3049"/>
      <c r="CI396" s="3049"/>
      <c r="CJ396" s="3049"/>
      <c r="CK396" s="3049"/>
      <c r="CL396" s="3049"/>
      <c r="CM396" s="3049"/>
      <c r="CN396" s="3049"/>
    </row>
    <row r="397" spans="1:92" x14ac:dyDescent="0.2">
      <c r="A397" s="3049"/>
      <c r="B397" s="3049"/>
      <c r="C397" s="3049"/>
      <c r="D397" s="3049"/>
      <c r="E397" s="3049"/>
      <c r="F397" s="3049"/>
      <c r="G397" s="3049"/>
      <c r="H397" s="3049"/>
      <c r="I397" s="3049"/>
      <c r="J397" s="3049"/>
      <c r="K397" s="3049"/>
      <c r="L397" s="3049"/>
      <c r="M397" s="3049"/>
      <c r="N397" s="3049"/>
      <c r="O397" s="3049"/>
      <c r="P397" s="3049"/>
      <c r="Q397" s="3049"/>
      <c r="R397" s="3049"/>
      <c r="S397" s="3049"/>
      <c r="T397" s="3049"/>
      <c r="U397" s="3049"/>
      <c r="V397" s="3049"/>
      <c r="W397" s="3049"/>
      <c r="X397" s="3049"/>
      <c r="Y397" s="3049"/>
      <c r="Z397" s="3049"/>
      <c r="AA397" s="3049"/>
      <c r="AB397" s="3049"/>
      <c r="AC397" s="3049"/>
      <c r="AD397" s="3049"/>
      <c r="AE397" s="3049"/>
      <c r="AF397" s="3049"/>
      <c r="AG397" s="3049"/>
      <c r="AH397" s="3049"/>
      <c r="AI397" s="3049"/>
      <c r="AJ397" s="3049"/>
      <c r="AK397" s="3049"/>
      <c r="AL397" s="3049"/>
      <c r="AM397" s="3049"/>
      <c r="AN397" s="3049"/>
      <c r="AO397" s="3049"/>
      <c r="AP397" s="3049"/>
      <c r="AQ397" s="3049"/>
      <c r="AR397" s="3049"/>
      <c r="AS397" s="3049"/>
      <c r="AT397" s="3049"/>
      <c r="AU397" s="3049"/>
      <c r="AV397" s="3049"/>
      <c r="AW397" s="3049"/>
      <c r="AX397" s="3049"/>
      <c r="AY397" s="3049"/>
      <c r="AZ397" s="3049"/>
      <c r="BA397" s="3049"/>
      <c r="BB397" s="3049"/>
      <c r="BC397" s="3049"/>
      <c r="BD397" s="3049"/>
      <c r="BE397" s="3049"/>
      <c r="BF397" s="3049"/>
      <c r="BG397" s="3049"/>
      <c r="BH397" s="3049"/>
      <c r="BI397" s="3049"/>
      <c r="BJ397" s="3049"/>
      <c r="BK397" s="3049"/>
      <c r="BL397" s="3049"/>
      <c r="BM397" s="3049"/>
      <c r="BN397" s="3049"/>
      <c r="BO397" s="3049"/>
      <c r="BP397" s="3049"/>
      <c r="BQ397" s="3049"/>
      <c r="BR397" s="3049"/>
      <c r="BS397" s="3049"/>
      <c r="BT397" s="3049"/>
      <c r="BU397" s="3049"/>
      <c r="BV397" s="3049"/>
      <c r="BW397" s="3049"/>
      <c r="BX397" s="3049"/>
      <c r="BY397" s="3049"/>
      <c r="BZ397" s="3049"/>
      <c r="CA397" s="3049"/>
      <c r="CB397" s="3049"/>
      <c r="CC397" s="3049"/>
      <c r="CD397" s="3049"/>
      <c r="CE397" s="3049"/>
      <c r="CF397" s="3049"/>
      <c r="CG397" s="3049"/>
      <c r="CH397" s="3049"/>
      <c r="CI397" s="3049"/>
      <c r="CJ397" s="3049"/>
      <c r="CK397" s="3049"/>
      <c r="CL397" s="3049"/>
      <c r="CM397" s="3049"/>
      <c r="CN397" s="3049"/>
    </row>
    <row r="398" spans="1:92" x14ac:dyDescent="0.2">
      <c r="A398" s="3049"/>
      <c r="B398" s="3049"/>
      <c r="C398" s="3049"/>
      <c r="D398" s="3049"/>
      <c r="E398" s="3049"/>
      <c r="F398" s="3049"/>
      <c r="G398" s="3049"/>
      <c r="H398" s="3049"/>
      <c r="I398" s="3049"/>
      <c r="J398" s="3049"/>
      <c r="K398" s="3049"/>
      <c r="L398" s="3049"/>
      <c r="M398" s="3049"/>
      <c r="N398" s="3049"/>
      <c r="O398" s="3049"/>
      <c r="P398" s="3049"/>
      <c r="Q398" s="3049"/>
      <c r="R398" s="3049"/>
      <c r="S398" s="3049"/>
      <c r="T398" s="3049"/>
      <c r="U398" s="3049"/>
      <c r="V398" s="3049"/>
      <c r="W398" s="3049"/>
      <c r="X398" s="3049"/>
      <c r="Y398" s="3049"/>
      <c r="Z398" s="3049"/>
      <c r="AA398" s="3049"/>
      <c r="AB398" s="3049"/>
      <c r="AC398" s="3049"/>
      <c r="AD398" s="3049"/>
      <c r="AE398" s="3049"/>
      <c r="AF398" s="3049"/>
      <c r="AG398" s="3049"/>
      <c r="AH398" s="3049"/>
      <c r="AI398" s="3049"/>
      <c r="AJ398" s="3049"/>
      <c r="AK398" s="3049"/>
      <c r="AL398" s="3049"/>
      <c r="AM398" s="3049"/>
      <c r="AN398" s="3049"/>
      <c r="AO398" s="3049"/>
      <c r="AP398" s="3049"/>
      <c r="AQ398" s="3049"/>
      <c r="AR398" s="3049"/>
      <c r="AS398" s="3049"/>
      <c r="AT398" s="3049"/>
      <c r="AU398" s="3049"/>
      <c r="AV398" s="3049"/>
      <c r="AW398" s="3049"/>
      <c r="AX398" s="3049"/>
      <c r="AY398" s="3049"/>
      <c r="AZ398" s="3049"/>
      <c r="BA398" s="3049"/>
      <c r="BB398" s="3049"/>
      <c r="BC398" s="3049"/>
      <c r="BD398" s="3049"/>
      <c r="BE398" s="3049"/>
      <c r="BF398" s="3049"/>
      <c r="BG398" s="3049"/>
      <c r="BH398" s="3049"/>
      <c r="BI398" s="3049"/>
      <c r="BJ398" s="3049"/>
      <c r="BK398" s="3049"/>
      <c r="BL398" s="3049"/>
      <c r="BM398" s="3049"/>
      <c r="BN398" s="3049"/>
      <c r="BO398" s="3049"/>
      <c r="BP398" s="3049"/>
      <c r="BQ398" s="3049"/>
      <c r="BR398" s="3049"/>
      <c r="BS398" s="3049"/>
      <c r="BT398" s="3049"/>
      <c r="BU398" s="3049"/>
      <c r="BV398" s="3049"/>
      <c r="BW398" s="3049"/>
      <c r="BX398" s="3049"/>
      <c r="BY398" s="3049"/>
      <c r="BZ398" s="3049"/>
      <c r="CA398" s="3049"/>
      <c r="CB398" s="3049"/>
      <c r="CC398" s="3049"/>
      <c r="CD398" s="3049"/>
      <c r="CE398" s="3049"/>
      <c r="CF398" s="3049"/>
      <c r="CG398" s="3049"/>
      <c r="CH398" s="3049"/>
      <c r="CI398" s="3049"/>
      <c r="CJ398" s="3049"/>
      <c r="CK398" s="3049"/>
      <c r="CL398" s="3049"/>
      <c r="CM398" s="3049"/>
      <c r="CN398" s="3049"/>
    </row>
    <row r="399" spans="1:92" x14ac:dyDescent="0.2">
      <c r="A399" s="3049"/>
      <c r="B399" s="3049"/>
      <c r="C399" s="3049"/>
      <c r="D399" s="3049"/>
      <c r="E399" s="3049"/>
      <c r="F399" s="3049"/>
      <c r="G399" s="3049"/>
      <c r="H399" s="3049"/>
      <c r="I399" s="3049"/>
      <c r="J399" s="3049"/>
      <c r="K399" s="3049"/>
      <c r="L399" s="3049"/>
      <c r="M399" s="3049"/>
      <c r="N399" s="3049"/>
      <c r="O399" s="3049"/>
      <c r="P399" s="3049"/>
      <c r="Q399" s="3049"/>
      <c r="R399" s="3049"/>
      <c r="S399" s="3049"/>
      <c r="T399" s="3049"/>
      <c r="U399" s="3049"/>
      <c r="V399" s="3049"/>
      <c r="W399" s="3049"/>
      <c r="X399" s="3049"/>
      <c r="Y399" s="3049"/>
      <c r="Z399" s="3049"/>
      <c r="AA399" s="3049"/>
      <c r="AB399" s="3049"/>
      <c r="AC399" s="3049"/>
      <c r="AD399" s="3049"/>
      <c r="AE399" s="3049"/>
      <c r="AF399" s="3049"/>
      <c r="AG399" s="3049"/>
      <c r="AH399" s="3049"/>
      <c r="AI399" s="3049"/>
      <c r="AJ399" s="3049"/>
      <c r="AK399" s="3049"/>
      <c r="AL399" s="3049"/>
      <c r="AM399" s="3049"/>
      <c r="AN399" s="3049"/>
      <c r="AO399" s="3049"/>
      <c r="AP399" s="3049"/>
      <c r="AQ399" s="3049"/>
      <c r="AR399" s="3049"/>
      <c r="AS399" s="3049"/>
      <c r="AT399" s="3049"/>
      <c r="AU399" s="3049"/>
      <c r="AV399" s="3049"/>
      <c r="AW399" s="3049"/>
      <c r="AX399" s="3049"/>
      <c r="AY399" s="3049"/>
      <c r="AZ399" s="3049"/>
      <c r="BA399" s="3049"/>
      <c r="BB399" s="3049"/>
      <c r="BC399" s="3049"/>
      <c r="BD399" s="3049"/>
      <c r="BE399" s="3049"/>
      <c r="BF399" s="3049"/>
      <c r="BG399" s="3049"/>
      <c r="BH399" s="3049"/>
      <c r="BI399" s="3049"/>
      <c r="BJ399" s="3049"/>
      <c r="BK399" s="3049"/>
      <c r="BL399" s="3049"/>
      <c r="BM399" s="3049"/>
      <c r="BN399" s="3049"/>
      <c r="BO399" s="3049"/>
      <c r="BP399" s="3049"/>
      <c r="BQ399" s="3049"/>
      <c r="BR399" s="3049"/>
      <c r="BS399" s="3049"/>
      <c r="BT399" s="3049"/>
      <c r="BU399" s="3049"/>
      <c r="BV399" s="3049"/>
      <c r="BW399" s="3049"/>
      <c r="BX399" s="3049"/>
      <c r="BY399" s="3049"/>
      <c r="BZ399" s="3049"/>
      <c r="CA399" s="3049"/>
      <c r="CB399" s="3049"/>
      <c r="CC399" s="3049"/>
      <c r="CD399" s="3049"/>
      <c r="CE399" s="3049"/>
      <c r="CF399" s="3049"/>
      <c r="CG399" s="3049"/>
      <c r="CH399" s="3049"/>
      <c r="CI399" s="3049"/>
      <c r="CJ399" s="3049"/>
      <c r="CK399" s="3049"/>
      <c r="CL399" s="3049"/>
      <c r="CM399" s="3049"/>
      <c r="CN399" s="3049"/>
    </row>
    <row r="400" spans="1:92" x14ac:dyDescent="0.2">
      <c r="A400" s="3049"/>
      <c r="B400" s="3049"/>
      <c r="C400" s="3049"/>
      <c r="D400" s="3049"/>
      <c r="E400" s="3049"/>
      <c r="F400" s="3049"/>
      <c r="G400" s="3049"/>
      <c r="H400" s="3049"/>
      <c r="I400" s="3049"/>
      <c r="J400" s="3049"/>
      <c r="K400" s="3049"/>
      <c r="L400" s="3049"/>
      <c r="M400" s="3049"/>
      <c r="N400" s="3049"/>
      <c r="O400" s="3049"/>
      <c r="P400" s="3049"/>
      <c r="Q400" s="3049"/>
      <c r="R400" s="3049"/>
      <c r="S400" s="3049"/>
      <c r="T400" s="3049"/>
      <c r="U400" s="3049"/>
      <c r="V400" s="3049"/>
      <c r="W400" s="3049"/>
      <c r="X400" s="3049"/>
      <c r="Y400" s="3049"/>
      <c r="Z400" s="3049"/>
      <c r="AA400" s="3049"/>
      <c r="AB400" s="3049"/>
      <c r="AC400" s="3049"/>
      <c r="AD400" s="3049"/>
      <c r="AE400" s="3049"/>
      <c r="AF400" s="3049"/>
      <c r="AG400" s="3049"/>
      <c r="AH400" s="3049"/>
      <c r="AI400" s="3049"/>
      <c r="AJ400" s="3049"/>
      <c r="AK400" s="3049"/>
      <c r="AL400" s="3049"/>
      <c r="AM400" s="3049"/>
      <c r="AN400" s="3049"/>
      <c r="AO400" s="3049"/>
      <c r="AP400" s="3049"/>
      <c r="AQ400" s="3049"/>
      <c r="AR400" s="3049"/>
      <c r="AS400" s="3049"/>
      <c r="AT400" s="3049"/>
      <c r="AU400" s="3049"/>
      <c r="AV400" s="3049"/>
      <c r="AW400" s="3049"/>
      <c r="AX400" s="3049"/>
      <c r="AY400" s="3049"/>
      <c r="AZ400" s="3049"/>
      <c r="BA400" s="3049"/>
      <c r="BB400" s="3049"/>
      <c r="BC400" s="3049"/>
      <c r="BD400" s="3049"/>
      <c r="BE400" s="3049"/>
      <c r="BF400" s="3049"/>
      <c r="BG400" s="3049"/>
      <c r="BH400" s="3049"/>
      <c r="BI400" s="3049"/>
      <c r="BJ400" s="3049"/>
      <c r="BK400" s="3049"/>
      <c r="BL400" s="3049"/>
      <c r="BM400" s="3049"/>
      <c r="BN400" s="3049"/>
      <c r="BO400" s="3049"/>
      <c r="BP400" s="3049"/>
      <c r="BQ400" s="3049"/>
      <c r="BR400" s="3049"/>
      <c r="BS400" s="3049"/>
      <c r="BT400" s="3049"/>
      <c r="BU400" s="3049"/>
      <c r="BV400" s="3049"/>
      <c r="BW400" s="3049"/>
      <c r="BX400" s="3049"/>
      <c r="BY400" s="3049"/>
      <c r="BZ400" s="3049"/>
      <c r="CA400" s="3049"/>
      <c r="CB400" s="3049"/>
      <c r="CC400" s="3049"/>
      <c r="CD400" s="3049"/>
      <c r="CE400" s="3049"/>
      <c r="CF400" s="3049"/>
      <c r="CG400" s="3049"/>
      <c r="CH400" s="3049"/>
      <c r="CI400" s="3049"/>
      <c r="CJ400" s="3049"/>
      <c r="CK400" s="3049"/>
      <c r="CL400" s="3049"/>
      <c r="CM400" s="3049"/>
      <c r="CN400" s="3049"/>
    </row>
    <row r="401" spans="1:92" x14ac:dyDescent="0.2">
      <c r="A401" s="3049"/>
      <c r="B401" s="3049"/>
      <c r="C401" s="3049"/>
      <c r="D401" s="3049"/>
      <c r="E401" s="3049"/>
      <c r="F401" s="3049"/>
      <c r="G401" s="3049"/>
      <c r="H401" s="3049"/>
      <c r="I401" s="3049"/>
      <c r="J401" s="3049"/>
      <c r="K401" s="3049"/>
      <c r="L401" s="3049"/>
      <c r="M401" s="3049"/>
      <c r="N401" s="3049"/>
      <c r="O401" s="3049"/>
      <c r="P401" s="3049"/>
      <c r="Q401" s="3049"/>
      <c r="R401" s="3049"/>
      <c r="S401" s="3049"/>
      <c r="T401" s="3049"/>
      <c r="U401" s="3049"/>
      <c r="V401" s="3049"/>
      <c r="W401" s="3049"/>
      <c r="X401" s="3049"/>
      <c r="Y401" s="3049"/>
      <c r="Z401" s="3049"/>
      <c r="AA401" s="3049"/>
      <c r="AB401" s="3049"/>
      <c r="AC401" s="3049"/>
      <c r="AD401" s="3049"/>
      <c r="AE401" s="3049"/>
      <c r="AF401" s="3049"/>
      <c r="AG401" s="3049"/>
      <c r="AH401" s="3049"/>
      <c r="AI401" s="3049"/>
      <c r="AJ401" s="3049"/>
      <c r="AK401" s="3049"/>
      <c r="AL401" s="3049"/>
      <c r="AM401" s="3049"/>
      <c r="AN401" s="3049"/>
      <c r="AO401" s="3049"/>
      <c r="AP401" s="3049"/>
      <c r="AQ401" s="3049"/>
      <c r="AR401" s="3049"/>
      <c r="AS401" s="3049"/>
      <c r="AT401" s="3049"/>
      <c r="AU401" s="3049"/>
      <c r="AV401" s="3049"/>
      <c r="AW401" s="3049"/>
      <c r="AX401" s="3049"/>
      <c r="AY401" s="3049"/>
      <c r="AZ401" s="3049"/>
      <c r="BA401" s="3049"/>
      <c r="BB401" s="3049"/>
      <c r="BC401" s="3049"/>
      <c r="BD401" s="3049"/>
      <c r="BE401" s="3049"/>
      <c r="BF401" s="3049"/>
      <c r="BG401" s="3049"/>
      <c r="BH401" s="3049"/>
      <c r="BI401" s="3049"/>
      <c r="BJ401" s="3049"/>
      <c r="BK401" s="3049"/>
      <c r="BL401" s="3049"/>
      <c r="BM401" s="3049"/>
      <c r="BN401" s="3049"/>
      <c r="BO401" s="3049"/>
      <c r="BP401" s="3049"/>
      <c r="BQ401" s="3049"/>
      <c r="BR401" s="3049"/>
      <c r="BS401" s="3049"/>
      <c r="BT401" s="3049"/>
      <c r="BU401" s="3049"/>
      <c r="BV401" s="3049"/>
      <c r="BW401" s="3049"/>
      <c r="BX401" s="3049"/>
      <c r="BY401" s="3049"/>
      <c r="BZ401" s="3049"/>
      <c r="CA401" s="3049"/>
      <c r="CB401" s="3049"/>
      <c r="CC401" s="3049"/>
      <c r="CD401" s="3049"/>
      <c r="CE401" s="3049"/>
      <c r="CF401" s="3049"/>
      <c r="CG401" s="3049"/>
      <c r="CH401" s="3049"/>
      <c r="CI401" s="3049"/>
      <c r="CJ401" s="3049"/>
      <c r="CK401" s="3049"/>
      <c r="CL401" s="3049"/>
      <c r="CM401" s="3049"/>
      <c r="CN401" s="3049"/>
    </row>
    <row r="402" spans="1:92" x14ac:dyDescent="0.2">
      <c r="A402" s="3049"/>
      <c r="B402" s="3049"/>
      <c r="C402" s="3049"/>
      <c r="D402" s="3049"/>
      <c r="E402" s="3049"/>
      <c r="F402" s="3049"/>
      <c r="G402" s="3049"/>
      <c r="H402" s="3049"/>
      <c r="I402" s="3049"/>
      <c r="J402" s="3049"/>
      <c r="K402" s="3049"/>
      <c r="L402" s="3049"/>
      <c r="M402" s="3049"/>
      <c r="N402" s="3049"/>
      <c r="O402" s="3049"/>
      <c r="P402" s="3049"/>
      <c r="Q402" s="3049"/>
      <c r="R402" s="3049"/>
      <c r="S402" s="3049"/>
      <c r="T402" s="3049"/>
      <c r="U402" s="3049"/>
      <c r="V402" s="3049"/>
      <c r="W402" s="3049"/>
      <c r="X402" s="3049"/>
      <c r="Y402" s="3049"/>
      <c r="Z402" s="3049"/>
      <c r="AA402" s="3049"/>
      <c r="AB402" s="3049"/>
      <c r="AC402" s="3049"/>
      <c r="AD402" s="3049"/>
      <c r="AE402" s="3049"/>
      <c r="AF402" s="3049"/>
      <c r="AG402" s="3049"/>
      <c r="AH402" s="3049"/>
      <c r="AI402" s="3049"/>
      <c r="AJ402" s="3049"/>
      <c r="AK402" s="3049"/>
      <c r="AL402" s="3049"/>
      <c r="AM402" s="3049"/>
      <c r="AN402" s="3049"/>
      <c r="AO402" s="3049"/>
      <c r="AP402" s="3049"/>
      <c r="AQ402" s="3049"/>
      <c r="AR402" s="3049"/>
      <c r="AS402" s="3049"/>
      <c r="AT402" s="3049"/>
      <c r="AU402" s="3049"/>
      <c r="AV402" s="3049"/>
      <c r="AW402" s="3049"/>
      <c r="AX402" s="3049"/>
      <c r="AY402" s="3049"/>
      <c r="AZ402" s="3049"/>
      <c r="BA402" s="3049"/>
      <c r="BB402" s="3049"/>
      <c r="BC402" s="3049"/>
      <c r="BD402" s="3049"/>
      <c r="BE402" s="3049"/>
      <c r="BF402" s="3049"/>
      <c r="BG402" s="3049"/>
      <c r="BH402" s="3049"/>
      <c r="BI402" s="3049"/>
      <c r="BJ402" s="3049"/>
      <c r="BK402" s="3049"/>
      <c r="BL402" s="3049"/>
      <c r="BM402" s="3049"/>
      <c r="BN402" s="3049"/>
      <c r="BO402" s="3049"/>
      <c r="BP402" s="3049"/>
      <c r="BQ402" s="3049"/>
      <c r="BR402" s="3049"/>
      <c r="BS402" s="3049"/>
      <c r="BT402" s="3049"/>
      <c r="BU402" s="3049"/>
      <c r="BV402" s="3049"/>
      <c r="BW402" s="3049"/>
      <c r="BX402" s="3049"/>
      <c r="BY402" s="3049"/>
      <c r="BZ402" s="3049"/>
      <c r="CA402" s="3049"/>
      <c r="CB402" s="3049"/>
      <c r="CC402" s="3049"/>
      <c r="CD402" s="3049"/>
      <c r="CE402" s="3049"/>
      <c r="CF402" s="3049"/>
      <c r="CG402" s="3049"/>
      <c r="CH402" s="3049"/>
      <c r="CI402" s="3049"/>
      <c r="CJ402" s="3049"/>
      <c r="CK402" s="3049"/>
      <c r="CL402" s="3049"/>
      <c r="CM402" s="3049"/>
      <c r="CN402" s="3049"/>
    </row>
    <row r="403" spans="1:92" x14ac:dyDescent="0.2">
      <c r="A403" s="3049"/>
      <c r="B403" s="3049"/>
      <c r="C403" s="3049"/>
      <c r="D403" s="3049"/>
      <c r="E403" s="3049"/>
      <c r="F403" s="3049"/>
      <c r="G403" s="3049"/>
      <c r="H403" s="3049"/>
      <c r="I403" s="3049"/>
      <c r="J403" s="3049"/>
      <c r="K403" s="3049"/>
      <c r="L403" s="3049"/>
      <c r="M403" s="3049"/>
      <c r="N403" s="3049"/>
      <c r="O403" s="3049"/>
      <c r="P403" s="3049"/>
      <c r="Q403" s="3049"/>
      <c r="R403" s="3049"/>
      <c r="S403" s="3049"/>
      <c r="T403" s="3049"/>
      <c r="U403" s="3049"/>
      <c r="V403" s="3049"/>
      <c r="W403" s="3049"/>
      <c r="X403" s="3049"/>
      <c r="Y403" s="3049"/>
      <c r="Z403" s="3049"/>
      <c r="AA403" s="3049"/>
      <c r="AB403" s="3049"/>
      <c r="AC403" s="3049"/>
      <c r="AD403" s="3049"/>
      <c r="AE403" s="3049"/>
      <c r="AF403" s="3049"/>
      <c r="AG403" s="3049"/>
      <c r="AH403" s="3049"/>
      <c r="AI403" s="3049"/>
      <c r="AJ403" s="3049"/>
      <c r="AK403" s="3049"/>
      <c r="AL403" s="3049"/>
      <c r="AM403" s="3049"/>
      <c r="AN403" s="3049"/>
      <c r="AO403" s="3049"/>
      <c r="AP403" s="3049"/>
      <c r="AQ403" s="3049"/>
      <c r="AR403" s="3049"/>
      <c r="AS403" s="3049"/>
      <c r="AT403" s="3049"/>
      <c r="AU403" s="3049"/>
      <c r="AV403" s="3049"/>
      <c r="AW403" s="3049"/>
      <c r="AX403" s="3049"/>
      <c r="AY403" s="3049"/>
      <c r="AZ403" s="3049"/>
      <c r="BA403" s="3049"/>
      <c r="BB403" s="3049"/>
      <c r="BC403" s="3049"/>
      <c r="BD403" s="3049"/>
      <c r="BE403" s="3049"/>
      <c r="BF403" s="3049"/>
      <c r="BG403" s="3049"/>
      <c r="BH403" s="3049"/>
      <c r="BI403" s="3049"/>
      <c r="BJ403" s="3049"/>
      <c r="BK403" s="3049"/>
      <c r="BL403" s="3049"/>
      <c r="BM403" s="3049"/>
      <c r="BN403" s="3049"/>
      <c r="BO403" s="3049"/>
      <c r="BP403" s="3049"/>
      <c r="BQ403" s="3049"/>
      <c r="BR403" s="3049"/>
      <c r="BS403" s="3049"/>
      <c r="BT403" s="3049"/>
      <c r="BU403" s="3049"/>
      <c r="BV403" s="3049"/>
      <c r="BW403" s="3049"/>
      <c r="BX403" s="3049"/>
      <c r="BY403" s="3049"/>
      <c r="BZ403" s="3049"/>
      <c r="CA403" s="3049"/>
      <c r="CB403" s="3049"/>
      <c r="CC403" s="3049"/>
      <c r="CD403" s="3049"/>
      <c r="CE403" s="3049"/>
      <c r="CF403" s="3049"/>
      <c r="CG403" s="3049"/>
      <c r="CH403" s="3049"/>
      <c r="CI403" s="3049"/>
      <c r="CJ403" s="3049"/>
      <c r="CK403" s="3049"/>
      <c r="CL403" s="3049"/>
      <c r="CM403" s="3049"/>
      <c r="CN403" s="3049"/>
    </row>
    <row r="404" spans="1:92" x14ac:dyDescent="0.2">
      <c r="A404" s="3049"/>
      <c r="B404" s="3049"/>
      <c r="C404" s="3049"/>
      <c r="D404" s="3049"/>
      <c r="E404" s="3049"/>
      <c r="F404" s="3049"/>
      <c r="G404" s="3049"/>
      <c r="H404" s="3049"/>
      <c r="I404" s="3049"/>
      <c r="J404" s="3049"/>
      <c r="K404" s="3049"/>
      <c r="L404" s="3049"/>
      <c r="M404" s="3049"/>
      <c r="N404" s="3049"/>
      <c r="O404" s="3049"/>
      <c r="P404" s="3049"/>
      <c r="Q404" s="3049"/>
      <c r="R404" s="3049"/>
      <c r="S404" s="3049"/>
      <c r="T404" s="3049"/>
      <c r="U404" s="3049"/>
      <c r="V404" s="3049"/>
      <c r="W404" s="3049"/>
      <c r="X404" s="3049"/>
      <c r="Y404" s="3049"/>
      <c r="Z404" s="3049"/>
      <c r="AA404" s="3049"/>
      <c r="AB404" s="3049"/>
      <c r="AC404" s="3049"/>
      <c r="AD404" s="3049"/>
      <c r="AE404" s="3049"/>
      <c r="AF404" s="3049"/>
      <c r="AG404" s="3049"/>
      <c r="AH404" s="3049"/>
      <c r="AI404" s="3049"/>
      <c r="AJ404" s="3049"/>
      <c r="AK404" s="3049"/>
      <c r="AL404" s="3049"/>
      <c r="AM404" s="3049"/>
      <c r="AN404" s="3049"/>
      <c r="AO404" s="3049"/>
      <c r="AP404" s="3049"/>
      <c r="AQ404" s="3049"/>
      <c r="AR404" s="3049"/>
      <c r="AS404" s="3049"/>
      <c r="AT404" s="3049"/>
      <c r="AU404" s="3049"/>
      <c r="AV404" s="3049"/>
      <c r="AW404" s="3049"/>
      <c r="AX404" s="3049"/>
      <c r="AY404" s="3049"/>
      <c r="AZ404" s="3049"/>
      <c r="BA404" s="3049"/>
      <c r="BB404" s="3049"/>
      <c r="BC404" s="3049"/>
      <c r="BD404" s="3049"/>
      <c r="BE404" s="3049"/>
      <c r="BF404" s="3049"/>
      <c r="BG404" s="3049"/>
      <c r="BH404" s="3049"/>
      <c r="BI404" s="3049"/>
      <c r="BJ404" s="3049"/>
      <c r="BK404" s="3049"/>
      <c r="BL404" s="3049"/>
      <c r="BM404" s="3049"/>
      <c r="BN404" s="3049"/>
      <c r="BO404" s="3049"/>
      <c r="BP404" s="3049"/>
      <c r="BQ404" s="3049"/>
      <c r="BR404" s="3049"/>
      <c r="BS404" s="3049"/>
      <c r="BT404" s="3049"/>
      <c r="BU404" s="3049"/>
      <c r="BV404" s="3049"/>
      <c r="BW404" s="3049"/>
      <c r="BX404" s="3049"/>
      <c r="BY404" s="3049"/>
      <c r="BZ404" s="3049"/>
      <c r="CA404" s="3049"/>
      <c r="CB404" s="3049"/>
      <c r="CC404" s="3049"/>
      <c r="CD404" s="3049"/>
      <c r="CE404" s="3049"/>
      <c r="CF404" s="3049"/>
      <c r="CG404" s="3049"/>
      <c r="CH404" s="3049"/>
      <c r="CI404" s="3049"/>
      <c r="CJ404" s="3049"/>
      <c r="CK404" s="3049"/>
      <c r="CL404" s="3049"/>
      <c r="CM404" s="3049"/>
      <c r="CN404" s="3049"/>
    </row>
    <row r="405" spans="1:92" x14ac:dyDescent="0.2">
      <c r="A405" s="3049"/>
      <c r="B405" s="3049"/>
      <c r="C405" s="3049"/>
      <c r="D405" s="3049"/>
      <c r="E405" s="3049"/>
      <c r="F405" s="3049"/>
      <c r="G405" s="3049"/>
      <c r="H405" s="3049"/>
      <c r="I405" s="3049"/>
      <c r="J405" s="3049"/>
      <c r="K405" s="3049"/>
      <c r="L405" s="3049"/>
      <c r="M405" s="3049"/>
      <c r="N405" s="3049"/>
      <c r="O405" s="3049"/>
      <c r="P405" s="3049"/>
      <c r="Q405" s="3049"/>
      <c r="R405" s="3049"/>
      <c r="S405" s="3049"/>
      <c r="T405" s="3049"/>
      <c r="U405" s="3049"/>
      <c r="V405" s="3049"/>
      <c r="W405" s="3049"/>
      <c r="X405" s="3049"/>
      <c r="Y405" s="3049"/>
      <c r="Z405" s="3049"/>
      <c r="AA405" s="3049"/>
      <c r="AB405" s="3049"/>
      <c r="AC405" s="3049"/>
      <c r="AD405" s="3049"/>
      <c r="AE405" s="3049"/>
      <c r="AF405" s="3049"/>
      <c r="AG405" s="3049"/>
      <c r="AH405" s="3049"/>
      <c r="AI405" s="3049"/>
      <c r="AJ405" s="3049"/>
      <c r="AK405" s="3049"/>
      <c r="AL405" s="3049"/>
      <c r="AM405" s="3049"/>
      <c r="AN405" s="3049"/>
      <c r="AO405" s="3049"/>
      <c r="AP405" s="3049"/>
      <c r="AQ405" s="3049"/>
      <c r="AR405" s="3049"/>
      <c r="AS405" s="3049"/>
      <c r="AT405" s="3049"/>
      <c r="AU405" s="3049"/>
      <c r="AV405" s="3049"/>
      <c r="AW405" s="3049"/>
      <c r="AX405" s="3049"/>
      <c r="AY405" s="3049"/>
      <c r="AZ405" s="3049"/>
      <c r="BA405" s="3049"/>
      <c r="BB405" s="3049"/>
      <c r="BC405" s="3049"/>
      <c r="BD405" s="3049"/>
      <c r="BE405" s="3049"/>
      <c r="BF405" s="3049"/>
      <c r="BG405" s="3049"/>
      <c r="BH405" s="3049"/>
      <c r="BI405" s="3049"/>
      <c r="BJ405" s="3049"/>
      <c r="BK405" s="3049"/>
      <c r="BL405" s="3049"/>
      <c r="BM405" s="3049"/>
      <c r="BN405" s="3049"/>
      <c r="BO405" s="3049"/>
      <c r="BP405" s="3049"/>
      <c r="BQ405" s="3049"/>
      <c r="BR405" s="3049"/>
      <c r="BS405" s="3049"/>
      <c r="BT405" s="3049"/>
      <c r="BU405" s="3049"/>
      <c r="BV405" s="3049"/>
      <c r="BW405" s="3049"/>
      <c r="BX405" s="3049"/>
      <c r="BY405" s="3049"/>
      <c r="BZ405" s="3049"/>
      <c r="CA405" s="3049"/>
      <c r="CB405" s="3049"/>
      <c r="CC405" s="3049"/>
      <c r="CD405" s="3049"/>
      <c r="CE405" s="3049"/>
      <c r="CF405" s="3049"/>
      <c r="CG405" s="3049"/>
      <c r="CH405" s="3049"/>
      <c r="CI405" s="3049"/>
      <c r="CJ405" s="3049"/>
      <c r="CK405" s="3049"/>
      <c r="CL405" s="3049"/>
      <c r="CM405" s="3049"/>
      <c r="CN405" s="3049"/>
    </row>
    <row r="406" spans="1:92" x14ac:dyDescent="0.2">
      <c r="A406" s="3049"/>
      <c r="B406" s="3049"/>
      <c r="C406" s="3049"/>
      <c r="D406" s="3049"/>
      <c r="E406" s="3049"/>
      <c r="F406" s="3049"/>
      <c r="G406" s="3049"/>
      <c r="H406" s="3049"/>
      <c r="I406" s="3049"/>
      <c r="J406" s="3049"/>
      <c r="K406" s="3049"/>
      <c r="L406" s="3049"/>
      <c r="M406" s="3049"/>
      <c r="N406" s="3049"/>
      <c r="O406" s="3049"/>
      <c r="P406" s="3049"/>
      <c r="Q406" s="3049"/>
      <c r="R406" s="3049"/>
      <c r="S406" s="3049"/>
      <c r="T406" s="3049"/>
      <c r="U406" s="3049"/>
      <c r="V406" s="3049"/>
      <c r="W406" s="3049"/>
      <c r="X406" s="3049"/>
      <c r="Y406" s="3049"/>
      <c r="Z406" s="3049"/>
      <c r="AA406" s="3049"/>
      <c r="AB406" s="3049"/>
      <c r="AC406" s="3049"/>
      <c r="AD406" s="3049"/>
      <c r="AE406" s="3049"/>
      <c r="AF406" s="3049"/>
      <c r="AG406" s="3049"/>
      <c r="AH406" s="3049"/>
      <c r="AI406" s="3049"/>
      <c r="AJ406" s="3049"/>
      <c r="AK406" s="3049"/>
      <c r="AL406" s="3049"/>
      <c r="AM406" s="3049"/>
      <c r="AN406" s="3049"/>
      <c r="AO406" s="3049"/>
      <c r="AP406" s="3049"/>
      <c r="AQ406" s="3049"/>
      <c r="AR406" s="3049"/>
      <c r="AS406" s="3049"/>
      <c r="AT406" s="3049"/>
      <c r="AU406" s="3049"/>
      <c r="AV406" s="3049"/>
      <c r="AW406" s="3049"/>
      <c r="AX406" s="3049"/>
      <c r="AY406" s="3049"/>
      <c r="AZ406" s="3049"/>
      <c r="BA406" s="3049"/>
      <c r="BB406" s="3049"/>
      <c r="BC406" s="3049"/>
      <c r="BD406" s="3049"/>
      <c r="BE406" s="3049"/>
      <c r="BF406" s="3049"/>
      <c r="BG406" s="3049"/>
      <c r="BH406" s="3049"/>
      <c r="BI406" s="3049"/>
      <c r="BJ406" s="3049"/>
      <c r="BK406" s="3049"/>
      <c r="BL406" s="3049"/>
      <c r="BM406" s="3049"/>
      <c r="BN406" s="3049"/>
      <c r="BO406" s="3049"/>
      <c r="BP406" s="3049"/>
      <c r="BQ406" s="3049"/>
      <c r="BR406" s="3049"/>
      <c r="BS406" s="3049"/>
      <c r="BT406" s="3049"/>
      <c r="BU406" s="3049"/>
      <c r="BV406" s="3049"/>
      <c r="BW406" s="3049"/>
      <c r="BX406" s="3049"/>
      <c r="BY406" s="3049"/>
      <c r="BZ406" s="3049"/>
      <c r="CA406" s="3049"/>
      <c r="CB406" s="3049"/>
      <c r="CC406" s="3049"/>
      <c r="CD406" s="3049"/>
      <c r="CE406" s="3049"/>
      <c r="CF406" s="3049"/>
      <c r="CG406" s="3049"/>
      <c r="CH406" s="3049"/>
      <c r="CI406" s="3049"/>
      <c r="CJ406" s="3049"/>
      <c r="CK406" s="3049"/>
      <c r="CL406" s="3049"/>
      <c r="CM406" s="3049"/>
      <c r="CN406" s="3049"/>
    </row>
    <row r="407" spans="1:92" x14ac:dyDescent="0.2">
      <c r="A407" s="3049"/>
      <c r="B407" s="3049"/>
      <c r="C407" s="3049"/>
      <c r="D407" s="3049"/>
      <c r="E407" s="3049"/>
      <c r="F407" s="3049"/>
      <c r="G407" s="3049"/>
      <c r="H407" s="3049"/>
      <c r="I407" s="3049"/>
      <c r="J407" s="3049"/>
      <c r="K407" s="3049"/>
      <c r="L407" s="3049"/>
      <c r="M407" s="3049"/>
      <c r="N407" s="3049"/>
      <c r="O407" s="3049"/>
      <c r="P407" s="3049"/>
      <c r="Q407" s="3049"/>
      <c r="R407" s="3049"/>
      <c r="S407" s="3049"/>
      <c r="T407" s="3049"/>
      <c r="U407" s="3049"/>
      <c r="V407" s="3049"/>
      <c r="W407" s="3049"/>
      <c r="X407" s="3049"/>
      <c r="Y407" s="3049"/>
      <c r="Z407" s="3049"/>
      <c r="AA407" s="3049"/>
      <c r="AB407" s="3049"/>
      <c r="AC407" s="3049"/>
      <c r="AD407" s="3049"/>
      <c r="AE407" s="3049"/>
      <c r="AF407" s="3049"/>
      <c r="AG407" s="3049"/>
      <c r="AH407" s="3049"/>
      <c r="AI407" s="3049"/>
      <c r="AJ407" s="3049"/>
      <c r="AK407" s="3049"/>
      <c r="AL407" s="3049"/>
      <c r="AM407" s="3049"/>
      <c r="AN407" s="3049"/>
      <c r="AO407" s="3049"/>
      <c r="AP407" s="3049"/>
      <c r="AQ407" s="3049"/>
      <c r="AR407" s="3049"/>
      <c r="AS407" s="3049"/>
      <c r="AT407" s="3049"/>
      <c r="AU407" s="3049"/>
      <c r="AV407" s="3049"/>
      <c r="AW407" s="3049"/>
      <c r="AX407" s="3049"/>
      <c r="AY407" s="3049"/>
      <c r="AZ407" s="3049"/>
      <c r="BA407" s="3049"/>
      <c r="BB407" s="3049"/>
      <c r="BC407" s="3049"/>
      <c r="BD407" s="3049"/>
      <c r="BE407" s="3049"/>
      <c r="BF407" s="3049"/>
      <c r="BG407" s="3049"/>
      <c r="BH407" s="3049"/>
      <c r="BI407" s="3049"/>
      <c r="BJ407" s="3049"/>
      <c r="BK407" s="3049"/>
      <c r="BL407" s="3049"/>
      <c r="BM407" s="3049"/>
      <c r="BN407" s="3049"/>
      <c r="BO407" s="3049"/>
      <c r="BP407" s="3049"/>
      <c r="BQ407" s="3049"/>
      <c r="BR407" s="3049"/>
      <c r="BS407" s="3049"/>
      <c r="BT407" s="3049"/>
      <c r="BU407" s="3049"/>
      <c r="BV407" s="3049"/>
      <c r="BW407" s="3049"/>
      <c r="BX407" s="3049"/>
      <c r="BY407" s="3049"/>
      <c r="BZ407" s="3049"/>
      <c r="CA407" s="3049"/>
      <c r="CB407" s="3049"/>
      <c r="CC407" s="3049"/>
      <c r="CD407" s="3049"/>
      <c r="CE407" s="3049"/>
      <c r="CF407" s="3049"/>
      <c r="CG407" s="3049"/>
      <c r="CH407" s="3049"/>
      <c r="CI407" s="3049"/>
      <c r="CJ407" s="3049"/>
      <c r="CK407" s="3049"/>
      <c r="CL407" s="3049"/>
      <c r="CM407" s="3049"/>
      <c r="CN407" s="3049"/>
    </row>
    <row r="408" spans="1:92" x14ac:dyDescent="0.2">
      <c r="A408" s="3049"/>
      <c r="B408" s="3049"/>
      <c r="C408" s="3049"/>
      <c r="D408" s="3049"/>
      <c r="E408" s="3049"/>
      <c r="F408" s="3049"/>
      <c r="G408" s="3049"/>
      <c r="H408" s="3049"/>
      <c r="I408" s="3049"/>
      <c r="J408" s="3049"/>
      <c r="K408" s="3049"/>
      <c r="L408" s="3049"/>
      <c r="M408" s="3049"/>
      <c r="N408" s="3049"/>
      <c r="O408" s="3049"/>
      <c r="P408" s="3049"/>
      <c r="Q408" s="3049"/>
      <c r="R408" s="3049"/>
      <c r="S408" s="3049"/>
      <c r="T408" s="3049"/>
      <c r="U408" s="3049"/>
      <c r="V408" s="3049"/>
      <c r="W408" s="3049"/>
      <c r="X408" s="3049"/>
      <c r="Y408" s="3049"/>
      <c r="Z408" s="3049"/>
      <c r="AA408" s="3049"/>
      <c r="AB408" s="3049"/>
      <c r="AC408" s="3049"/>
      <c r="AD408" s="3049"/>
      <c r="AE408" s="3049"/>
      <c r="AF408" s="3049"/>
      <c r="AG408" s="3049"/>
      <c r="AH408" s="3049"/>
      <c r="AI408" s="3049"/>
      <c r="AJ408" s="3049"/>
      <c r="AK408" s="3049"/>
      <c r="AL408" s="3049"/>
      <c r="AM408" s="3049"/>
      <c r="AN408" s="3049"/>
      <c r="AO408" s="3049"/>
      <c r="AP408" s="3049"/>
      <c r="AQ408" s="3049"/>
      <c r="AR408" s="3049"/>
      <c r="AS408" s="3049"/>
      <c r="AT408" s="3049"/>
      <c r="AU408" s="3049"/>
      <c r="AV408" s="3049"/>
      <c r="AW408" s="3049"/>
      <c r="AX408" s="3049"/>
      <c r="AY408" s="3049"/>
      <c r="AZ408" s="3049"/>
      <c r="BA408" s="3049"/>
      <c r="BB408" s="3049"/>
      <c r="BC408" s="3049"/>
      <c r="BD408" s="3049"/>
      <c r="BE408" s="3049"/>
      <c r="BF408" s="3049"/>
      <c r="BG408" s="3049"/>
      <c r="BH408" s="3049"/>
      <c r="BI408" s="3049"/>
      <c r="BJ408" s="3049"/>
      <c r="BK408" s="3049"/>
      <c r="BL408" s="3049"/>
      <c r="BM408" s="3049"/>
      <c r="BN408" s="3049"/>
      <c r="BO408" s="3049"/>
      <c r="BP408" s="3049"/>
      <c r="BQ408" s="3049"/>
      <c r="BR408" s="3049"/>
      <c r="BS408" s="3049"/>
      <c r="BT408" s="3049"/>
      <c r="BU408" s="3049"/>
      <c r="BV408" s="3049"/>
      <c r="BW408" s="3049"/>
      <c r="BX408" s="3049"/>
      <c r="BY408" s="3049"/>
      <c r="BZ408" s="3049"/>
      <c r="CA408" s="3049"/>
      <c r="CB408" s="3049"/>
      <c r="CC408" s="3049"/>
      <c r="CD408" s="3049"/>
      <c r="CE408" s="3049"/>
      <c r="CF408" s="3049"/>
      <c r="CG408" s="3049"/>
      <c r="CH408" s="3049"/>
      <c r="CI408" s="3049"/>
      <c r="CJ408" s="3049"/>
      <c r="CK408" s="3049"/>
      <c r="CL408" s="3049"/>
      <c r="CM408" s="3049"/>
      <c r="CN408" s="3049"/>
    </row>
    <row r="409" spans="1:92" x14ac:dyDescent="0.2">
      <c r="A409" s="3049"/>
      <c r="B409" s="3049"/>
      <c r="C409" s="3049"/>
      <c r="D409" s="3049"/>
      <c r="E409" s="3049"/>
      <c r="F409" s="3049"/>
      <c r="G409" s="3049"/>
      <c r="H409" s="3049"/>
      <c r="I409" s="3049"/>
      <c r="J409" s="3049"/>
      <c r="K409" s="3049"/>
      <c r="L409" s="3049"/>
      <c r="M409" s="3049"/>
      <c r="N409" s="3049"/>
      <c r="O409" s="3049"/>
      <c r="P409" s="3049"/>
      <c r="Q409" s="3049"/>
      <c r="R409" s="3049"/>
      <c r="S409" s="3049"/>
      <c r="T409" s="3049"/>
      <c r="U409" s="3049"/>
      <c r="V409" s="3049"/>
      <c r="W409" s="3049"/>
      <c r="X409" s="3049"/>
      <c r="Y409" s="3049"/>
      <c r="Z409" s="3049"/>
      <c r="AA409" s="3049"/>
      <c r="AB409" s="3049"/>
      <c r="AC409" s="3049"/>
      <c r="AD409" s="3049"/>
      <c r="AE409" s="3049"/>
      <c r="AF409" s="3049"/>
      <c r="AG409" s="3049"/>
      <c r="AH409" s="3049"/>
      <c r="AI409" s="3049"/>
      <c r="AJ409" s="3049"/>
      <c r="AK409" s="3049"/>
      <c r="AL409" s="3049"/>
      <c r="AM409" s="3049"/>
      <c r="AN409" s="3049"/>
      <c r="AO409" s="3049"/>
      <c r="AP409" s="3049"/>
      <c r="AQ409" s="3049"/>
      <c r="AR409" s="3049"/>
      <c r="AS409" s="3049"/>
      <c r="AT409" s="3049"/>
      <c r="AU409" s="3049"/>
      <c r="AV409" s="3049"/>
      <c r="AW409" s="3049"/>
      <c r="AX409" s="3049"/>
      <c r="AY409" s="3049"/>
      <c r="AZ409" s="3049"/>
      <c r="BA409" s="3049"/>
      <c r="BB409" s="3049"/>
      <c r="BC409" s="3049"/>
      <c r="BD409" s="3049"/>
      <c r="BE409" s="3049"/>
      <c r="BF409" s="3049"/>
      <c r="BG409" s="3049"/>
      <c r="BH409" s="3049"/>
      <c r="BI409" s="3049"/>
      <c r="BJ409" s="3049"/>
      <c r="BK409" s="3049"/>
      <c r="BL409" s="3049"/>
      <c r="BM409" s="3049"/>
      <c r="BN409" s="3049"/>
      <c r="BO409" s="3049"/>
      <c r="BP409" s="3049"/>
      <c r="BQ409" s="3049"/>
      <c r="BR409" s="3049"/>
      <c r="BS409" s="3049"/>
      <c r="BT409" s="3049"/>
      <c r="BU409" s="3049"/>
      <c r="BV409" s="3049"/>
      <c r="BW409" s="3049"/>
      <c r="BX409" s="3049"/>
      <c r="BY409" s="3049"/>
      <c r="BZ409" s="3049"/>
      <c r="CA409" s="3049"/>
      <c r="CB409" s="3049"/>
      <c r="CC409" s="3049"/>
      <c r="CD409" s="3049"/>
      <c r="CE409" s="3049"/>
      <c r="CF409" s="3049"/>
      <c r="CG409" s="3049"/>
      <c r="CH409" s="3049"/>
      <c r="CI409" s="3049"/>
      <c r="CJ409" s="3049"/>
      <c r="CK409" s="3049"/>
      <c r="CL409" s="3049"/>
      <c r="CM409" s="3049"/>
      <c r="CN409" s="3049"/>
    </row>
    <row r="410" spans="1:92" x14ac:dyDescent="0.2">
      <c r="A410" s="3049"/>
      <c r="B410" s="3049"/>
      <c r="C410" s="3049"/>
      <c r="D410" s="3049"/>
      <c r="E410" s="3049"/>
      <c r="F410" s="3049"/>
      <c r="G410" s="3049"/>
      <c r="H410" s="3049"/>
      <c r="I410" s="3049"/>
      <c r="J410" s="3049"/>
      <c r="K410" s="3049"/>
      <c r="L410" s="3049"/>
      <c r="M410" s="3049"/>
      <c r="N410" s="3049"/>
      <c r="O410" s="3049"/>
      <c r="P410" s="3049"/>
      <c r="Q410" s="3049"/>
      <c r="R410" s="3049"/>
      <c r="S410" s="3049"/>
      <c r="T410" s="3049"/>
      <c r="U410" s="3049"/>
      <c r="V410" s="3049"/>
      <c r="W410" s="3049"/>
      <c r="X410" s="3049"/>
      <c r="Y410" s="3049"/>
      <c r="Z410" s="3049"/>
      <c r="AA410" s="3049"/>
      <c r="AB410" s="3049"/>
      <c r="AC410" s="3049"/>
      <c r="AD410" s="3049"/>
      <c r="AE410" s="3049"/>
      <c r="AF410" s="3049"/>
      <c r="AG410" s="3049"/>
      <c r="AH410" s="3049"/>
      <c r="AI410" s="3049"/>
      <c r="AJ410" s="3049"/>
      <c r="AK410" s="3049"/>
      <c r="AL410" s="3049"/>
      <c r="AM410" s="3049"/>
      <c r="AN410" s="3049"/>
      <c r="AO410" s="3049"/>
      <c r="AP410" s="3049"/>
      <c r="AQ410" s="3049"/>
      <c r="AR410" s="3049"/>
      <c r="AS410" s="3049"/>
      <c r="AT410" s="3049"/>
      <c r="AU410" s="3049"/>
      <c r="AV410" s="3049"/>
      <c r="AW410" s="3049"/>
      <c r="AX410" s="3049"/>
      <c r="AY410" s="3049"/>
      <c r="AZ410" s="3049"/>
      <c r="BA410" s="3049"/>
      <c r="BB410" s="3049"/>
      <c r="BC410" s="3049"/>
      <c r="BD410" s="3049"/>
      <c r="BE410" s="3049"/>
      <c r="BF410" s="3049"/>
      <c r="BG410" s="3049"/>
      <c r="BH410" s="3049"/>
      <c r="BI410" s="3049"/>
      <c r="BJ410" s="3049"/>
      <c r="BK410" s="3049"/>
      <c r="BL410" s="3049"/>
      <c r="BM410" s="3049"/>
      <c r="BN410" s="3049"/>
      <c r="BO410" s="3049"/>
      <c r="BP410" s="3049"/>
      <c r="BQ410" s="3049"/>
      <c r="BR410" s="3049"/>
      <c r="BS410" s="3049"/>
      <c r="BT410" s="3049"/>
      <c r="BU410" s="3049"/>
      <c r="BV410" s="3049"/>
      <c r="BW410" s="3049"/>
      <c r="BX410" s="3049"/>
      <c r="BY410" s="3049"/>
      <c r="BZ410" s="3049"/>
      <c r="CA410" s="3049"/>
      <c r="CB410" s="3049"/>
      <c r="CC410" s="3049"/>
      <c r="CD410" s="3049"/>
      <c r="CE410" s="3049"/>
      <c r="CF410" s="3049"/>
      <c r="CG410" s="3049"/>
      <c r="CH410" s="3049"/>
      <c r="CI410" s="3049"/>
      <c r="CJ410" s="3049"/>
      <c r="CK410" s="3049"/>
      <c r="CL410" s="3049"/>
      <c r="CM410" s="3049"/>
      <c r="CN410" s="3049"/>
    </row>
    <row r="411" spans="1:92" x14ac:dyDescent="0.2">
      <c r="A411" s="3049"/>
      <c r="B411" s="3049"/>
      <c r="C411" s="3049"/>
      <c r="D411" s="3049"/>
      <c r="E411" s="3049"/>
      <c r="F411" s="3049"/>
      <c r="G411" s="3049"/>
      <c r="H411" s="3049"/>
      <c r="I411" s="3049"/>
      <c r="J411" s="3049"/>
      <c r="K411" s="3049"/>
      <c r="L411" s="3049"/>
      <c r="M411" s="3049"/>
      <c r="N411" s="3049"/>
      <c r="O411" s="3049"/>
      <c r="P411" s="3049"/>
      <c r="Q411" s="3049"/>
      <c r="R411" s="3049"/>
      <c r="S411" s="3049"/>
      <c r="T411" s="3049"/>
      <c r="U411" s="3049"/>
      <c r="V411" s="3049"/>
      <c r="W411" s="3049"/>
      <c r="X411" s="3049"/>
      <c r="Y411" s="3049"/>
      <c r="Z411" s="3049"/>
      <c r="AA411" s="3049"/>
      <c r="AB411" s="3049"/>
      <c r="AC411" s="3049"/>
      <c r="AD411" s="3049"/>
      <c r="AE411" s="3049"/>
      <c r="AF411" s="3049"/>
      <c r="AG411" s="3049"/>
      <c r="AH411" s="3049"/>
      <c r="AI411" s="3049"/>
      <c r="AJ411" s="3049"/>
      <c r="AK411" s="3049"/>
      <c r="AL411" s="3049"/>
      <c r="AM411" s="3049"/>
      <c r="AN411" s="3049"/>
      <c r="AO411" s="3049"/>
      <c r="AP411" s="3049"/>
      <c r="AQ411" s="3049"/>
      <c r="AR411" s="3049"/>
      <c r="AS411" s="3049"/>
      <c r="AT411" s="3049"/>
      <c r="AU411" s="3049"/>
      <c r="AV411" s="3049"/>
      <c r="AW411" s="3049"/>
      <c r="AX411" s="3049"/>
      <c r="AY411" s="3049"/>
      <c r="AZ411" s="3049"/>
      <c r="BA411" s="3049"/>
      <c r="BB411" s="3049"/>
      <c r="BC411" s="3049"/>
      <c r="BD411" s="3049"/>
      <c r="BE411" s="3049"/>
      <c r="BF411" s="3049"/>
      <c r="BG411" s="3049"/>
      <c r="BH411" s="3049"/>
      <c r="BI411" s="3049"/>
      <c r="BJ411" s="3049"/>
      <c r="BK411" s="3049"/>
      <c r="BL411" s="3049"/>
      <c r="BM411" s="3049"/>
      <c r="BN411" s="3049"/>
      <c r="BO411" s="3049"/>
      <c r="BP411" s="3049"/>
      <c r="BQ411" s="3049"/>
      <c r="BR411" s="3049"/>
      <c r="BS411" s="3049"/>
      <c r="BT411" s="3049"/>
      <c r="BU411" s="3049"/>
      <c r="BV411" s="3049"/>
      <c r="BW411" s="3049"/>
      <c r="BX411" s="3049"/>
      <c r="BY411" s="3049"/>
      <c r="BZ411" s="3049"/>
      <c r="CA411" s="3049"/>
      <c r="CB411" s="3049"/>
      <c r="CC411" s="3049"/>
      <c r="CD411" s="3049"/>
      <c r="CE411" s="3049"/>
      <c r="CF411" s="3049"/>
      <c r="CG411" s="3049"/>
      <c r="CH411" s="3049"/>
      <c r="CI411" s="3049"/>
      <c r="CJ411" s="3049"/>
      <c r="CK411" s="3049"/>
      <c r="CL411" s="3049"/>
      <c r="CM411" s="3049"/>
      <c r="CN411" s="3049"/>
    </row>
    <row r="412" spans="1:92" x14ac:dyDescent="0.2">
      <c r="A412" s="3049"/>
      <c r="B412" s="3049"/>
      <c r="C412" s="3049"/>
      <c r="D412" s="3049"/>
      <c r="E412" s="3049"/>
      <c r="F412" s="3049"/>
      <c r="G412" s="3049"/>
      <c r="H412" s="3049"/>
      <c r="I412" s="3049"/>
      <c r="J412" s="3049"/>
      <c r="K412" s="3049"/>
      <c r="L412" s="3049"/>
      <c r="M412" s="3049"/>
      <c r="N412" s="3049"/>
      <c r="O412" s="3049"/>
      <c r="P412" s="3049"/>
      <c r="Q412" s="3049"/>
      <c r="R412" s="3049"/>
      <c r="S412" s="3049"/>
      <c r="T412" s="3049"/>
      <c r="U412" s="3049"/>
      <c r="V412" s="3049"/>
      <c r="W412" s="3049"/>
      <c r="X412" s="3049"/>
      <c r="Y412" s="3049"/>
      <c r="Z412" s="3049"/>
      <c r="AA412" s="3049"/>
      <c r="AB412" s="3049"/>
      <c r="AC412" s="3049"/>
      <c r="AD412" s="3049"/>
      <c r="AE412" s="3049"/>
      <c r="AF412" s="3049"/>
      <c r="AG412" s="3049"/>
      <c r="AH412" s="3049"/>
      <c r="AI412" s="3049"/>
      <c r="AJ412" s="3049"/>
      <c r="AK412" s="3049"/>
      <c r="AL412" s="3049"/>
      <c r="AM412" s="3049"/>
      <c r="AN412" s="3049"/>
      <c r="AO412" s="3049"/>
      <c r="AP412" s="3049"/>
      <c r="AQ412" s="3049"/>
      <c r="AR412" s="3049"/>
      <c r="AS412" s="3049"/>
      <c r="AT412" s="3049"/>
      <c r="AU412" s="3049"/>
      <c r="AV412" s="3049"/>
      <c r="AW412" s="3049"/>
      <c r="AX412" s="3049"/>
      <c r="AY412" s="3049"/>
      <c r="AZ412" s="3049"/>
      <c r="BA412" s="3049"/>
      <c r="BB412" s="3049"/>
      <c r="BC412" s="3049"/>
      <c r="BD412" s="3049"/>
      <c r="BE412" s="3049"/>
      <c r="BF412" s="3049"/>
      <c r="BG412" s="3049"/>
      <c r="BH412" s="3049"/>
      <c r="BI412" s="3049"/>
      <c r="BJ412" s="3049"/>
      <c r="BK412" s="3049"/>
      <c r="BL412" s="3049"/>
      <c r="BM412" s="3049"/>
      <c r="BN412" s="3049"/>
      <c r="BO412" s="3049"/>
      <c r="BP412" s="3049"/>
      <c r="BQ412" s="3049"/>
      <c r="BR412" s="3049"/>
      <c r="BS412" s="3049"/>
      <c r="BT412" s="3049"/>
      <c r="BU412" s="3049"/>
      <c r="BV412" s="3049"/>
      <c r="BW412" s="3049"/>
      <c r="BX412" s="3049"/>
      <c r="BY412" s="3049"/>
      <c r="BZ412" s="3049"/>
      <c r="CA412" s="3049"/>
      <c r="CB412" s="3049"/>
      <c r="CC412" s="3049"/>
      <c r="CD412" s="3049"/>
      <c r="CE412" s="3049"/>
      <c r="CF412" s="3049"/>
      <c r="CG412" s="3049"/>
      <c r="CH412" s="3049"/>
      <c r="CI412" s="3049"/>
      <c r="CJ412" s="3049"/>
      <c r="CK412" s="3049"/>
      <c r="CL412" s="3049"/>
      <c r="CM412" s="3049"/>
      <c r="CN412" s="3049"/>
    </row>
    <row r="413" spans="1:92" x14ac:dyDescent="0.2">
      <c r="A413" s="3049"/>
      <c r="B413" s="3049"/>
      <c r="C413" s="3049"/>
      <c r="D413" s="3049"/>
      <c r="E413" s="3049"/>
      <c r="F413" s="3049"/>
      <c r="G413" s="3049"/>
      <c r="H413" s="3049"/>
      <c r="I413" s="3049"/>
      <c r="J413" s="3049"/>
      <c r="K413" s="3049"/>
      <c r="L413" s="3049"/>
      <c r="M413" s="3049"/>
      <c r="N413" s="3049"/>
      <c r="O413" s="3049"/>
      <c r="P413" s="3049"/>
      <c r="Q413" s="3049"/>
      <c r="R413" s="3049"/>
      <c r="S413" s="3049"/>
      <c r="T413" s="3049"/>
      <c r="U413" s="3049"/>
      <c r="V413" s="3049"/>
      <c r="W413" s="3049"/>
      <c r="X413" s="3049"/>
      <c r="Y413" s="3049"/>
      <c r="Z413" s="3049"/>
      <c r="AA413" s="3049"/>
      <c r="AB413" s="3049"/>
      <c r="AC413" s="3049"/>
      <c r="AD413" s="3049"/>
      <c r="AE413" s="3049"/>
      <c r="AF413" s="3049"/>
      <c r="AG413" s="3049"/>
      <c r="AH413" s="3049"/>
      <c r="AI413" s="3049"/>
      <c r="AJ413" s="3049"/>
      <c r="AK413" s="3049"/>
      <c r="AL413" s="3049"/>
      <c r="AM413" s="3049"/>
      <c r="AN413" s="3049"/>
      <c r="AO413" s="3049"/>
      <c r="AP413" s="3049"/>
      <c r="AQ413" s="3049"/>
      <c r="AR413" s="3049"/>
      <c r="AS413" s="3049"/>
      <c r="AT413" s="3049"/>
      <c r="AU413" s="3049"/>
      <c r="AV413" s="3049"/>
      <c r="AW413" s="3049"/>
      <c r="AX413" s="3049"/>
      <c r="AY413" s="3049"/>
      <c r="AZ413" s="3049"/>
      <c r="BA413" s="3049"/>
      <c r="BB413" s="3049"/>
      <c r="BC413" s="3049"/>
      <c r="BD413" s="3049"/>
      <c r="BE413" s="3049"/>
      <c r="BF413" s="3049"/>
      <c r="BG413" s="3049"/>
      <c r="BH413" s="3049"/>
      <c r="BI413" s="3049"/>
      <c r="BJ413" s="3049"/>
      <c r="BK413" s="3049"/>
      <c r="BL413" s="3049"/>
      <c r="BM413" s="3049"/>
      <c r="BN413" s="3049"/>
      <c r="BO413" s="3049"/>
      <c r="BP413" s="3049"/>
      <c r="BQ413" s="3049"/>
      <c r="BR413" s="3049"/>
      <c r="BS413" s="3049"/>
      <c r="BT413" s="3049"/>
      <c r="BU413" s="3049"/>
      <c r="BV413" s="3049"/>
      <c r="BW413" s="3049"/>
      <c r="BX413" s="3049"/>
      <c r="BY413" s="3049"/>
      <c r="BZ413" s="3049"/>
      <c r="CA413" s="3049"/>
      <c r="CB413" s="3049"/>
      <c r="CC413" s="3049"/>
      <c r="CD413" s="3049"/>
      <c r="CE413" s="3049"/>
      <c r="CF413" s="3049"/>
      <c r="CG413" s="3049"/>
      <c r="CH413" s="3049"/>
      <c r="CI413" s="3049"/>
      <c r="CJ413" s="3049"/>
      <c r="CK413" s="3049"/>
      <c r="CL413" s="3049"/>
      <c r="CM413" s="3049"/>
      <c r="CN413" s="3049"/>
    </row>
    <row r="414" spans="1:92" x14ac:dyDescent="0.2">
      <c r="A414" s="3049"/>
      <c r="B414" s="3049"/>
      <c r="C414" s="3049"/>
      <c r="D414" s="3049"/>
      <c r="E414" s="3049"/>
      <c r="F414" s="3049"/>
      <c r="G414" s="3049"/>
      <c r="H414" s="3049"/>
      <c r="I414" s="3049"/>
      <c r="J414" s="3049"/>
      <c r="K414" s="3049"/>
      <c r="L414" s="3049"/>
      <c r="M414" s="3049"/>
      <c r="N414" s="3049"/>
      <c r="O414" s="3049"/>
      <c r="P414" s="3049"/>
      <c r="Q414" s="3049"/>
      <c r="R414" s="3049"/>
      <c r="S414" s="3049"/>
      <c r="T414" s="3049"/>
      <c r="U414" s="3049"/>
      <c r="V414" s="3049"/>
      <c r="W414" s="3049"/>
      <c r="X414" s="3049"/>
      <c r="Y414" s="3049"/>
      <c r="Z414" s="3049"/>
      <c r="AA414" s="3049"/>
      <c r="AB414" s="3049"/>
      <c r="AC414" s="3049"/>
      <c r="AD414" s="3049"/>
      <c r="AE414" s="3049"/>
      <c r="AF414" s="3049"/>
      <c r="AG414" s="3049"/>
      <c r="AH414" s="3049"/>
      <c r="AI414" s="3049"/>
      <c r="AJ414" s="3049"/>
      <c r="AK414" s="3049"/>
      <c r="AL414" s="3049"/>
      <c r="AM414" s="3049"/>
      <c r="AN414" s="3049"/>
      <c r="AO414" s="3049"/>
      <c r="AP414" s="3049"/>
      <c r="AQ414" s="3049"/>
      <c r="AR414" s="3049"/>
      <c r="AS414" s="3049"/>
      <c r="AT414" s="3049"/>
      <c r="AU414" s="3049"/>
      <c r="AV414" s="3049"/>
      <c r="AW414" s="3049"/>
      <c r="AX414" s="3049"/>
      <c r="AY414" s="3049"/>
      <c r="AZ414" s="3049"/>
      <c r="BA414" s="3049"/>
      <c r="BB414" s="3049"/>
      <c r="BC414" s="3049"/>
      <c r="BD414" s="3049"/>
      <c r="BE414" s="3049"/>
      <c r="BF414" s="3049"/>
      <c r="BG414" s="3049"/>
      <c r="BH414" s="3049"/>
      <c r="BI414" s="3049"/>
      <c r="BJ414" s="3049"/>
      <c r="BK414" s="3049"/>
      <c r="BL414" s="3049"/>
      <c r="BM414" s="3049"/>
      <c r="BN414" s="3049"/>
      <c r="BO414" s="3049"/>
      <c r="BP414" s="3049"/>
      <c r="BQ414" s="3049"/>
      <c r="BR414" s="3049"/>
      <c r="BS414" s="3049"/>
      <c r="BT414" s="3049"/>
      <c r="BU414" s="3049"/>
      <c r="BV414" s="3049"/>
      <c r="BW414" s="3049"/>
      <c r="BX414" s="3049"/>
      <c r="BY414" s="3049"/>
      <c r="BZ414" s="3049"/>
      <c r="CA414" s="3049"/>
      <c r="CB414" s="3049"/>
      <c r="CC414" s="3049"/>
      <c r="CD414" s="3049"/>
      <c r="CE414" s="3049"/>
      <c r="CF414" s="3049"/>
      <c r="CG414" s="3049"/>
      <c r="CH414" s="3049"/>
      <c r="CI414" s="3049"/>
      <c r="CJ414" s="3049"/>
      <c r="CK414" s="3049"/>
      <c r="CL414" s="3049"/>
      <c r="CM414" s="3049"/>
      <c r="CN414" s="3049"/>
    </row>
    <row r="415" spans="1:92" x14ac:dyDescent="0.2">
      <c r="A415" s="3049"/>
      <c r="B415" s="3049"/>
      <c r="C415" s="3049"/>
      <c r="D415" s="3049"/>
      <c r="E415" s="3049"/>
      <c r="F415" s="3049"/>
      <c r="G415" s="3049"/>
      <c r="H415" s="3049"/>
      <c r="I415" s="3049"/>
      <c r="J415" s="3049"/>
      <c r="K415" s="3049"/>
      <c r="L415" s="3049"/>
      <c r="M415" s="3049"/>
      <c r="N415" s="3049"/>
      <c r="O415" s="3049"/>
      <c r="P415" s="3049"/>
      <c r="Q415" s="3049"/>
      <c r="R415" s="3049"/>
      <c r="S415" s="3049"/>
      <c r="T415" s="3049"/>
      <c r="U415" s="3049"/>
      <c r="V415" s="3049"/>
      <c r="W415" s="3049"/>
      <c r="X415" s="3049"/>
      <c r="Y415" s="3049"/>
      <c r="Z415" s="3049"/>
      <c r="AA415" s="3049"/>
      <c r="AB415" s="3049"/>
      <c r="AC415" s="3049"/>
      <c r="AD415" s="3049"/>
      <c r="AE415" s="3049"/>
      <c r="AF415" s="3049"/>
      <c r="AG415" s="3049"/>
      <c r="AH415" s="3049"/>
      <c r="AI415" s="3049"/>
      <c r="AJ415" s="3049"/>
      <c r="AK415" s="3049"/>
      <c r="AL415" s="3049"/>
      <c r="AM415" s="3049"/>
      <c r="AN415" s="3049"/>
      <c r="AO415" s="3049"/>
      <c r="AP415" s="3049"/>
      <c r="AQ415" s="3049"/>
      <c r="AR415" s="3049"/>
      <c r="AS415" s="3049"/>
      <c r="AT415" s="3049"/>
      <c r="AU415" s="3049"/>
      <c r="AV415" s="3049"/>
      <c r="AW415" s="3049"/>
      <c r="AX415" s="3049"/>
      <c r="AY415" s="3049"/>
      <c r="AZ415" s="3049"/>
      <c r="BA415" s="3049"/>
      <c r="BB415" s="3049"/>
      <c r="BC415" s="3049"/>
      <c r="BD415" s="3049"/>
      <c r="BE415" s="3049"/>
      <c r="BF415" s="3049"/>
      <c r="BG415" s="3049"/>
      <c r="BH415" s="3049"/>
      <c r="BI415" s="3049"/>
      <c r="BJ415" s="3049"/>
      <c r="BK415" s="3049"/>
      <c r="BL415" s="3049"/>
      <c r="BM415" s="3049"/>
      <c r="BN415" s="3049"/>
      <c r="BO415" s="3049"/>
      <c r="BP415" s="3049"/>
      <c r="BQ415" s="3049"/>
      <c r="BR415" s="3049"/>
      <c r="BS415" s="3049"/>
      <c r="BT415" s="3049"/>
      <c r="BU415" s="3049"/>
      <c r="BV415" s="3049"/>
      <c r="BW415" s="3049"/>
      <c r="BX415" s="3049"/>
      <c r="BY415" s="3049"/>
      <c r="BZ415" s="3049"/>
      <c r="CA415" s="3049"/>
      <c r="CB415" s="3049"/>
      <c r="CC415" s="3049"/>
      <c r="CD415" s="3049"/>
      <c r="CE415" s="3049"/>
      <c r="CF415" s="3049"/>
      <c r="CG415" s="3049"/>
      <c r="CH415" s="3049"/>
      <c r="CI415" s="3049"/>
      <c r="CJ415" s="3049"/>
      <c r="CK415" s="3049"/>
      <c r="CL415" s="3049"/>
      <c r="CM415" s="3049"/>
      <c r="CN415" s="3049"/>
    </row>
    <row r="416" spans="1:92" x14ac:dyDescent="0.2">
      <c r="A416" s="3049"/>
      <c r="B416" s="3049"/>
      <c r="C416" s="3049"/>
      <c r="D416" s="3049"/>
      <c r="E416" s="3049"/>
      <c r="F416" s="3049"/>
      <c r="G416" s="3049"/>
      <c r="H416" s="3049"/>
      <c r="I416" s="3049"/>
      <c r="J416" s="3049"/>
      <c r="K416" s="3049"/>
      <c r="L416" s="3049"/>
      <c r="M416" s="3049"/>
      <c r="N416" s="3049"/>
      <c r="O416" s="3049"/>
      <c r="P416" s="3049"/>
      <c r="Q416" s="3049"/>
      <c r="R416" s="3049"/>
      <c r="S416" s="3049"/>
      <c r="T416" s="3049"/>
      <c r="U416" s="3049"/>
      <c r="V416" s="3049"/>
      <c r="W416" s="3049"/>
      <c r="X416" s="3049"/>
      <c r="Y416" s="3049"/>
      <c r="Z416" s="3049"/>
      <c r="AA416" s="3049"/>
      <c r="AB416" s="3049"/>
      <c r="AC416" s="3049"/>
      <c r="AD416" s="3049"/>
      <c r="AE416" s="3049"/>
      <c r="AF416" s="3049"/>
      <c r="AG416" s="3049"/>
      <c r="AH416" s="3049"/>
      <c r="AI416" s="3049"/>
      <c r="AJ416" s="3049"/>
      <c r="AK416" s="3049"/>
      <c r="AL416" s="3049"/>
      <c r="AM416" s="3049"/>
      <c r="AN416" s="3049"/>
      <c r="AO416" s="3049"/>
      <c r="AP416" s="3049"/>
      <c r="AQ416" s="3049"/>
      <c r="AR416" s="3049"/>
      <c r="AS416" s="3049"/>
      <c r="AT416" s="3049"/>
      <c r="AU416" s="3049"/>
      <c r="AV416" s="3049"/>
      <c r="AW416" s="3049"/>
      <c r="AX416" s="3049"/>
      <c r="AY416" s="3049"/>
      <c r="AZ416" s="3049"/>
      <c r="BA416" s="3049"/>
      <c r="BB416" s="3049"/>
      <c r="BC416" s="3049"/>
      <c r="BD416" s="3049"/>
      <c r="BE416" s="3049"/>
      <c r="BF416" s="3049"/>
      <c r="BG416" s="3049"/>
      <c r="BH416" s="3049"/>
      <c r="BI416" s="3049"/>
      <c r="BJ416" s="3049"/>
      <c r="BK416" s="3049"/>
      <c r="BL416" s="3049"/>
      <c r="BM416" s="3049"/>
      <c r="BN416" s="3049"/>
      <c r="BO416" s="3049"/>
      <c r="BP416" s="3049"/>
      <c r="BQ416" s="3049"/>
      <c r="BR416" s="3049"/>
      <c r="BS416" s="3049"/>
      <c r="BT416" s="3049"/>
      <c r="BU416" s="3049"/>
      <c r="BV416" s="3049"/>
      <c r="BW416" s="3049"/>
      <c r="BX416" s="3049"/>
      <c r="BY416" s="3049"/>
      <c r="BZ416" s="3049"/>
      <c r="CA416" s="3049"/>
      <c r="CB416" s="3049"/>
      <c r="CC416" s="3049"/>
      <c r="CD416" s="3049"/>
      <c r="CE416" s="3049"/>
      <c r="CF416" s="3049"/>
      <c r="CG416" s="3049"/>
      <c r="CH416" s="3049"/>
      <c r="CI416" s="3049"/>
      <c r="CJ416" s="3049"/>
      <c r="CK416" s="3049"/>
      <c r="CL416" s="3049"/>
      <c r="CM416" s="3049"/>
      <c r="CN416" s="3049"/>
    </row>
    <row r="417" spans="1:92" x14ac:dyDescent="0.2">
      <c r="A417" s="3049"/>
      <c r="B417" s="3049"/>
      <c r="C417" s="3049"/>
      <c r="D417" s="3049"/>
      <c r="E417" s="3049"/>
      <c r="F417" s="3049"/>
      <c r="G417" s="3049"/>
      <c r="H417" s="3049"/>
      <c r="I417" s="3049"/>
      <c r="J417" s="3049"/>
      <c r="K417" s="3049"/>
      <c r="L417" s="3049"/>
      <c r="M417" s="3049"/>
      <c r="N417" s="3049"/>
      <c r="O417" s="3049"/>
      <c r="P417" s="3049"/>
      <c r="Q417" s="3049"/>
      <c r="R417" s="3049"/>
      <c r="S417" s="3049"/>
      <c r="T417" s="3049"/>
      <c r="U417" s="3049"/>
      <c r="V417" s="3049"/>
      <c r="W417" s="3049"/>
      <c r="X417" s="3049"/>
      <c r="Y417" s="3049"/>
      <c r="Z417" s="3049"/>
      <c r="AA417" s="3049"/>
      <c r="AB417" s="3049"/>
      <c r="AC417" s="3049"/>
      <c r="AD417" s="3049"/>
      <c r="AE417" s="3049"/>
      <c r="AF417" s="3049"/>
      <c r="AG417" s="3049"/>
      <c r="AH417" s="3049"/>
      <c r="AI417" s="3049"/>
      <c r="AJ417" s="3049"/>
      <c r="AK417" s="3049"/>
      <c r="AL417" s="3049"/>
      <c r="AM417" s="3049"/>
      <c r="AN417" s="3049"/>
      <c r="AO417" s="3049"/>
      <c r="AP417" s="3049"/>
      <c r="AQ417" s="3049"/>
      <c r="AR417" s="3049"/>
      <c r="AS417" s="3049"/>
      <c r="AT417" s="3049"/>
      <c r="AU417" s="3049"/>
      <c r="AV417" s="3049"/>
      <c r="AW417" s="3049"/>
      <c r="AX417" s="3049"/>
      <c r="AY417" s="3049"/>
      <c r="AZ417" s="3049"/>
      <c r="BA417" s="3049"/>
      <c r="BB417" s="3049"/>
      <c r="BC417" s="3049"/>
      <c r="BD417" s="3049"/>
      <c r="BE417" s="3049"/>
      <c r="BF417" s="3049"/>
      <c r="BG417" s="3049"/>
      <c r="BH417" s="3049"/>
      <c r="BI417" s="3049"/>
      <c r="BJ417" s="3049"/>
      <c r="BK417" s="3049"/>
      <c r="BL417" s="3049"/>
      <c r="BM417" s="3049"/>
      <c r="BN417" s="3049"/>
      <c r="BO417" s="3049"/>
      <c r="BP417" s="3049"/>
      <c r="BQ417" s="3049"/>
      <c r="BR417" s="3049"/>
      <c r="BS417" s="3049"/>
      <c r="BT417" s="3049"/>
      <c r="BU417" s="3049"/>
      <c r="BV417" s="3049"/>
      <c r="BW417" s="3049"/>
      <c r="BX417" s="3049"/>
      <c r="BY417" s="3049"/>
      <c r="BZ417" s="3049"/>
      <c r="CA417" s="3049"/>
      <c r="CB417" s="3049"/>
      <c r="CC417" s="3049"/>
      <c r="CD417" s="3049"/>
      <c r="CE417" s="3049"/>
      <c r="CF417" s="3049"/>
      <c r="CG417" s="3049"/>
      <c r="CH417" s="3049"/>
      <c r="CI417" s="3049"/>
      <c r="CJ417" s="3049"/>
      <c r="CK417" s="3049"/>
      <c r="CL417" s="3049"/>
      <c r="CM417" s="3049"/>
      <c r="CN417" s="3049"/>
    </row>
    <row r="418" spans="1:92" x14ac:dyDescent="0.2">
      <c r="A418" s="3049"/>
      <c r="B418" s="3049"/>
      <c r="C418" s="3049"/>
      <c r="D418" s="3049"/>
      <c r="E418" s="3049"/>
      <c r="F418" s="3049"/>
      <c r="G418" s="3049"/>
      <c r="H418" s="3049"/>
      <c r="I418" s="3049"/>
      <c r="J418" s="3049"/>
      <c r="K418" s="3049"/>
      <c r="L418" s="3049"/>
      <c r="M418" s="3049"/>
      <c r="N418" s="3049"/>
      <c r="O418" s="3049"/>
      <c r="P418" s="3049"/>
      <c r="Q418" s="3049"/>
      <c r="R418" s="3049"/>
      <c r="S418" s="3049"/>
      <c r="T418" s="3049"/>
      <c r="U418" s="3049"/>
      <c r="V418" s="3049"/>
      <c r="W418" s="3049"/>
      <c r="X418" s="3049"/>
      <c r="Y418" s="3049"/>
      <c r="Z418" s="3049"/>
      <c r="AA418" s="3049"/>
      <c r="AB418" s="3049"/>
      <c r="AC418" s="3049"/>
      <c r="AD418" s="3049"/>
      <c r="AE418" s="3049"/>
      <c r="AF418" s="3049"/>
      <c r="AG418" s="3049"/>
      <c r="AH418" s="3049"/>
      <c r="AI418" s="3049"/>
      <c r="AJ418" s="3049"/>
      <c r="AK418" s="3049"/>
      <c r="AL418" s="3049"/>
      <c r="AM418" s="3049"/>
      <c r="AN418" s="3049"/>
      <c r="AO418" s="3049"/>
      <c r="AP418" s="3049"/>
      <c r="AQ418" s="3049"/>
      <c r="AR418" s="3049"/>
      <c r="AS418" s="3049"/>
      <c r="AT418" s="3049"/>
      <c r="AU418" s="3049"/>
      <c r="AV418" s="3049"/>
      <c r="AW418" s="3049"/>
      <c r="AX418" s="3049"/>
      <c r="AY418" s="3049"/>
      <c r="AZ418" s="3049"/>
      <c r="BA418" s="3049"/>
      <c r="BB418" s="3049"/>
      <c r="BC418" s="3049"/>
      <c r="BD418" s="3049"/>
      <c r="BE418" s="3049"/>
      <c r="BF418" s="3049"/>
      <c r="BG418" s="3049"/>
      <c r="BH418" s="3049"/>
      <c r="BI418" s="3049"/>
      <c r="BJ418" s="3049"/>
      <c r="BK418" s="3049"/>
      <c r="BL418" s="3049"/>
      <c r="BM418" s="3049"/>
      <c r="BN418" s="3049"/>
      <c r="BO418" s="3049"/>
      <c r="BP418" s="3049"/>
      <c r="BQ418" s="3049"/>
      <c r="BR418" s="3049"/>
      <c r="BS418" s="3049"/>
      <c r="BT418" s="3049"/>
      <c r="BU418" s="3049"/>
      <c r="BV418" s="3049"/>
      <c r="BW418" s="3049"/>
      <c r="BX418" s="3049"/>
      <c r="BY418" s="3049"/>
      <c r="BZ418" s="3049"/>
      <c r="CA418" s="3049"/>
      <c r="CB418" s="3049"/>
      <c r="CC418" s="3049"/>
      <c r="CD418" s="3049"/>
      <c r="CE418" s="3049"/>
      <c r="CF418" s="3049"/>
      <c r="CG418" s="3049"/>
      <c r="CH418" s="3049"/>
      <c r="CI418" s="3049"/>
      <c r="CJ418" s="3049"/>
      <c r="CK418" s="3049"/>
      <c r="CL418" s="3049"/>
      <c r="CM418" s="3049"/>
      <c r="CN418" s="3049"/>
    </row>
    <row r="419" spans="1:92" x14ac:dyDescent="0.2">
      <c r="A419" s="3049"/>
      <c r="B419" s="3049"/>
      <c r="C419" s="3049"/>
      <c r="D419" s="3049"/>
      <c r="E419" s="3049"/>
      <c r="F419" s="3049"/>
      <c r="G419" s="3049"/>
      <c r="H419" s="3049"/>
      <c r="I419" s="3049"/>
      <c r="J419" s="3049"/>
      <c r="K419" s="3049"/>
      <c r="L419" s="3049"/>
      <c r="M419" s="3049"/>
      <c r="N419" s="3049"/>
      <c r="O419" s="3049"/>
      <c r="P419" s="3049"/>
      <c r="Q419" s="3049"/>
      <c r="R419" s="3049"/>
      <c r="S419" s="3049"/>
      <c r="T419" s="3049"/>
      <c r="U419" s="3049"/>
      <c r="V419" s="3049"/>
      <c r="W419" s="3049"/>
      <c r="X419" s="3049"/>
      <c r="Y419" s="3049"/>
      <c r="Z419" s="3049"/>
      <c r="AA419" s="3049"/>
      <c r="AB419" s="3049"/>
      <c r="AC419" s="3049"/>
      <c r="AD419" s="3049"/>
      <c r="AE419" s="3049"/>
      <c r="AF419" s="3049"/>
      <c r="AG419" s="3049"/>
      <c r="AH419" s="3049"/>
      <c r="AI419" s="3049"/>
      <c r="AJ419" s="3049"/>
      <c r="AK419" s="3049"/>
      <c r="AL419" s="3049"/>
      <c r="AM419" s="3049"/>
      <c r="AN419" s="3049"/>
      <c r="AO419" s="3049"/>
      <c r="AP419" s="3049"/>
      <c r="AQ419" s="3049"/>
      <c r="AR419" s="3049"/>
      <c r="AS419" s="3049"/>
      <c r="AT419" s="3049"/>
      <c r="AU419" s="3049"/>
      <c r="AV419" s="3049"/>
      <c r="AW419" s="3049"/>
      <c r="AX419" s="3049"/>
      <c r="AY419" s="3049"/>
      <c r="AZ419" s="3049"/>
      <c r="BA419" s="3049"/>
      <c r="BB419" s="3049"/>
      <c r="BC419" s="3049"/>
      <c r="BD419" s="3049"/>
      <c r="BE419" s="3049"/>
      <c r="BF419" s="3049"/>
      <c r="BG419" s="3049"/>
      <c r="BH419" s="3049"/>
      <c r="BI419" s="3049"/>
      <c r="BJ419" s="3049"/>
      <c r="BK419" s="3049"/>
      <c r="BL419" s="3049"/>
      <c r="BM419" s="3049"/>
      <c r="BN419" s="3049"/>
      <c r="BO419" s="3049"/>
      <c r="BP419" s="3049"/>
      <c r="BQ419" s="3049"/>
      <c r="BR419" s="3049"/>
      <c r="BS419" s="3049"/>
      <c r="BT419" s="3049"/>
      <c r="BU419" s="3049"/>
      <c r="BV419" s="3049"/>
      <c r="BW419" s="3049"/>
      <c r="BX419" s="3049"/>
      <c r="BY419" s="3049"/>
      <c r="BZ419" s="3049"/>
      <c r="CA419" s="3049"/>
      <c r="CB419" s="3049"/>
      <c r="CC419" s="3049"/>
      <c r="CD419" s="3049"/>
      <c r="CE419" s="3049"/>
      <c r="CF419" s="3049"/>
      <c r="CG419" s="3049"/>
      <c r="CH419" s="3049"/>
      <c r="CI419" s="3049"/>
      <c r="CJ419" s="3049"/>
      <c r="CK419" s="3049"/>
      <c r="CL419" s="3049"/>
      <c r="CM419" s="3049"/>
      <c r="CN419" s="3049"/>
    </row>
    <row r="420" spans="1:92" x14ac:dyDescent="0.2">
      <c r="A420" s="3049"/>
      <c r="B420" s="3049"/>
      <c r="C420" s="3049"/>
      <c r="D420" s="3049"/>
      <c r="E420" s="3049"/>
      <c r="F420" s="3049"/>
      <c r="G420" s="3049"/>
      <c r="H420" s="3049"/>
      <c r="I420" s="3049"/>
      <c r="J420" s="3049"/>
      <c r="K420" s="3049"/>
      <c r="L420" s="3049"/>
      <c r="M420" s="3049"/>
      <c r="N420" s="3049"/>
      <c r="O420" s="3049"/>
      <c r="P420" s="3049"/>
      <c r="Q420" s="3049"/>
      <c r="R420" s="3049"/>
      <c r="S420" s="3049"/>
      <c r="T420" s="3049"/>
      <c r="U420" s="3049"/>
      <c r="V420" s="3049"/>
      <c r="W420" s="3049"/>
      <c r="X420" s="3049"/>
      <c r="Y420" s="3049"/>
      <c r="Z420" s="3049"/>
      <c r="AA420" s="3049"/>
      <c r="AB420" s="3049"/>
      <c r="AC420" s="3049"/>
      <c r="AD420" s="3049"/>
      <c r="AE420" s="3049"/>
      <c r="AF420" s="3049"/>
      <c r="AG420" s="3049"/>
      <c r="AH420" s="3049"/>
      <c r="AI420" s="3049"/>
      <c r="AJ420" s="3049"/>
      <c r="AK420" s="3049"/>
      <c r="AL420" s="3049"/>
      <c r="AM420" s="3049"/>
      <c r="AN420" s="3049"/>
      <c r="AO420" s="3049"/>
      <c r="AP420" s="3049"/>
      <c r="AQ420" s="3049"/>
      <c r="AR420" s="3049"/>
      <c r="AS420" s="3049"/>
      <c r="AT420" s="3049"/>
      <c r="AU420" s="3049"/>
      <c r="AV420" s="3049"/>
      <c r="AW420" s="3049"/>
      <c r="AX420" s="3049"/>
      <c r="AY420" s="3049"/>
      <c r="AZ420" s="3049"/>
      <c r="BA420" s="3049"/>
      <c r="BB420" s="3049"/>
      <c r="BC420" s="3049"/>
      <c r="BD420" s="3049"/>
      <c r="BE420" s="3049"/>
      <c r="BF420" s="3049"/>
      <c r="BG420" s="3049"/>
      <c r="BH420" s="3049"/>
      <c r="BI420" s="3049"/>
      <c r="BJ420" s="3049"/>
      <c r="BK420" s="3049"/>
      <c r="BL420" s="3049"/>
      <c r="BM420" s="3049"/>
      <c r="BN420" s="3049"/>
      <c r="BO420" s="3049"/>
      <c r="BP420" s="3049"/>
      <c r="BQ420" s="3049"/>
      <c r="BR420" s="3049"/>
      <c r="BS420" s="3049"/>
      <c r="BT420" s="3049"/>
      <c r="BU420" s="3049"/>
      <c r="BV420" s="3049"/>
      <c r="BW420" s="3049"/>
      <c r="BX420" s="3049"/>
      <c r="BY420" s="3049"/>
      <c r="BZ420" s="3049"/>
      <c r="CA420" s="3049"/>
      <c r="CB420" s="3049"/>
      <c r="CC420" s="3049"/>
      <c r="CD420" s="3049"/>
      <c r="CE420" s="3049"/>
      <c r="CF420" s="3049"/>
      <c r="CG420" s="3049"/>
      <c r="CH420" s="3049"/>
      <c r="CI420" s="3049"/>
      <c r="CJ420" s="3049"/>
      <c r="CK420" s="3049"/>
      <c r="CL420" s="3049"/>
      <c r="CM420" s="3049"/>
      <c r="CN420" s="3049"/>
    </row>
    <row r="421" spans="1:92" x14ac:dyDescent="0.2">
      <c r="A421" s="3049"/>
      <c r="B421" s="3049"/>
      <c r="C421" s="3049"/>
      <c r="D421" s="3049"/>
      <c r="E421" s="3049"/>
      <c r="F421" s="3049"/>
      <c r="G421" s="3049"/>
      <c r="H421" s="3049"/>
      <c r="I421" s="3049"/>
      <c r="J421" s="3049"/>
      <c r="K421" s="3049"/>
      <c r="L421" s="3049"/>
      <c r="M421" s="3049"/>
      <c r="N421" s="3049"/>
      <c r="O421" s="3049"/>
      <c r="P421" s="3049"/>
      <c r="Q421" s="3049"/>
      <c r="R421" s="3049"/>
      <c r="S421" s="3049"/>
      <c r="T421" s="3049"/>
      <c r="U421" s="3049"/>
      <c r="V421" s="3049"/>
      <c r="W421" s="3049"/>
      <c r="X421" s="3049"/>
      <c r="Y421" s="3049"/>
      <c r="Z421" s="3049"/>
      <c r="AA421" s="3049"/>
      <c r="AB421" s="3049"/>
      <c r="AC421" s="3049"/>
      <c r="AD421" s="3049"/>
      <c r="AE421" s="3049"/>
      <c r="AF421" s="3049"/>
      <c r="AG421" s="3049"/>
      <c r="AH421" s="3049"/>
      <c r="AI421" s="3049"/>
      <c r="AJ421" s="3049"/>
      <c r="AK421" s="3049"/>
      <c r="AL421" s="3049"/>
      <c r="AM421" s="3049"/>
      <c r="AN421" s="3049"/>
      <c r="AO421" s="3049"/>
      <c r="AP421" s="3049"/>
      <c r="AQ421" s="3049"/>
      <c r="AR421" s="3049"/>
      <c r="AS421" s="3049"/>
      <c r="AT421" s="3049"/>
      <c r="AU421" s="3049"/>
      <c r="AV421" s="3049"/>
      <c r="AW421" s="3049"/>
      <c r="AX421" s="3049"/>
      <c r="AY421" s="3049"/>
      <c r="AZ421" s="3049"/>
      <c r="BA421" s="3049"/>
      <c r="BB421" s="3049"/>
      <c r="BC421" s="3049"/>
      <c r="BD421" s="3049"/>
      <c r="BE421" s="3049"/>
      <c r="BF421" s="3049"/>
      <c r="BG421" s="3049"/>
      <c r="BH421" s="3049"/>
      <c r="BI421" s="3049"/>
      <c r="BJ421" s="3049"/>
      <c r="BK421" s="3049"/>
      <c r="BL421" s="3049"/>
      <c r="BM421" s="3049"/>
      <c r="BN421" s="3049"/>
      <c r="BO421" s="3049"/>
      <c r="BP421" s="3049"/>
      <c r="BQ421" s="3049"/>
      <c r="BR421" s="3049"/>
      <c r="BS421" s="3049"/>
      <c r="BT421" s="3049"/>
      <c r="BU421" s="3049"/>
      <c r="BV421" s="3049"/>
      <c r="BW421" s="3049"/>
      <c r="BX421" s="3049"/>
      <c r="BY421" s="3049"/>
      <c r="BZ421" s="3049"/>
      <c r="CA421" s="3049"/>
      <c r="CB421" s="3049"/>
      <c r="CC421" s="3049"/>
      <c r="CD421" s="3049"/>
      <c r="CE421" s="3049"/>
      <c r="CF421" s="3049"/>
      <c r="CG421" s="3049"/>
      <c r="CH421" s="3049"/>
      <c r="CI421" s="3049"/>
      <c r="CJ421" s="3049"/>
      <c r="CK421" s="3049"/>
      <c r="CL421" s="3049"/>
      <c r="CM421" s="3049"/>
      <c r="CN421" s="3049"/>
    </row>
    <row r="422" spans="1:92" x14ac:dyDescent="0.2">
      <c r="A422" s="3049"/>
      <c r="B422" s="3049"/>
      <c r="C422" s="3049"/>
      <c r="D422" s="3049"/>
      <c r="E422" s="3049"/>
      <c r="F422" s="3049"/>
      <c r="G422" s="3049"/>
      <c r="H422" s="3049"/>
      <c r="I422" s="3049"/>
      <c r="J422" s="3049"/>
      <c r="K422" s="3049"/>
      <c r="L422" s="3049"/>
      <c r="M422" s="3049"/>
      <c r="N422" s="3049"/>
      <c r="O422" s="3049"/>
      <c r="P422" s="3049"/>
      <c r="Q422" s="3049"/>
      <c r="R422" s="3049"/>
      <c r="S422" s="3049"/>
      <c r="T422" s="3049"/>
      <c r="U422" s="3049"/>
      <c r="V422" s="3049"/>
      <c r="W422" s="3049"/>
      <c r="X422" s="3049"/>
      <c r="Y422" s="3049"/>
      <c r="Z422" s="3049"/>
      <c r="AA422" s="3049"/>
      <c r="AB422" s="3049"/>
      <c r="AC422" s="3049"/>
      <c r="AD422" s="3049"/>
      <c r="AE422" s="3049"/>
      <c r="AF422" s="3049"/>
      <c r="AG422" s="3049"/>
      <c r="AH422" s="3049"/>
      <c r="AI422" s="3049"/>
      <c r="AJ422" s="3049"/>
      <c r="AK422" s="3049"/>
      <c r="AL422" s="3049"/>
      <c r="AM422" s="3049"/>
      <c r="AN422" s="3049"/>
      <c r="AO422" s="3049"/>
      <c r="AP422" s="3049"/>
      <c r="AQ422" s="3049"/>
      <c r="AR422" s="3049"/>
      <c r="AS422" s="3049"/>
      <c r="AT422" s="3049"/>
      <c r="AU422" s="3049"/>
      <c r="AV422" s="3049"/>
      <c r="AW422" s="3049"/>
      <c r="AX422" s="3049"/>
      <c r="AY422" s="3049"/>
      <c r="AZ422" s="3049"/>
      <c r="BA422" s="3049"/>
      <c r="BB422" s="3049"/>
      <c r="BC422" s="3049"/>
      <c r="BD422" s="3049"/>
      <c r="BE422" s="3049"/>
      <c r="BF422" s="3049"/>
      <c r="BG422" s="3049"/>
      <c r="BH422" s="3049"/>
      <c r="BI422" s="3049"/>
      <c r="BJ422" s="3049"/>
      <c r="BK422" s="3049"/>
      <c r="BL422" s="3049"/>
      <c r="BM422" s="3049"/>
      <c r="BN422" s="3049"/>
      <c r="BO422" s="3049"/>
      <c r="BP422" s="3049"/>
      <c r="BQ422" s="3049"/>
      <c r="BR422" s="3049"/>
      <c r="BS422" s="3049"/>
      <c r="BT422" s="3049"/>
      <c r="BU422" s="3049"/>
      <c r="BV422" s="3049"/>
      <c r="BW422" s="3049"/>
      <c r="BX422" s="3049"/>
      <c r="BY422" s="3049"/>
      <c r="BZ422" s="3049"/>
      <c r="CA422" s="3049"/>
      <c r="CB422" s="3049"/>
      <c r="CC422" s="3049"/>
      <c r="CD422" s="3049"/>
      <c r="CE422" s="3049"/>
      <c r="CF422" s="3049"/>
      <c r="CG422" s="3049"/>
      <c r="CH422" s="3049"/>
      <c r="CI422" s="3049"/>
      <c r="CJ422" s="3049"/>
      <c r="CK422" s="3049"/>
      <c r="CL422" s="3049"/>
      <c r="CM422" s="3049"/>
      <c r="CN422" s="3049"/>
    </row>
  </sheetData>
  <sheetProtection formatCells="0" formatColumns="0" formatRows="0" insertColumns="0" insertRows="0" insertHyperlinks="0" deleteColumns="0" deleteRows="0" sort="0" autoFilter="0" pivotTables="0"/>
  <mergeCells count="475">
    <mergeCell ref="BY219:CA219"/>
    <mergeCell ref="CB219:CD219"/>
    <mergeCell ref="CE219:CG219"/>
    <mergeCell ref="CE217:CG217"/>
    <mergeCell ref="BG217:BI217"/>
    <mergeCell ref="BJ217:BL217"/>
    <mergeCell ref="BM217:BO217"/>
    <mergeCell ref="BV221:BX221"/>
    <mergeCell ref="BY221:CA221"/>
    <mergeCell ref="CB221:CD221"/>
    <mergeCell ref="CE221:CG221"/>
    <mergeCell ref="BM220:BO220"/>
    <mergeCell ref="BP220:BR220"/>
    <mergeCell ref="BS220:BU220"/>
    <mergeCell ref="BV220:BX220"/>
    <mergeCell ref="BY220:CA220"/>
    <mergeCell ref="BG219:BI219"/>
    <mergeCell ref="BJ219:BL219"/>
    <mergeCell ref="BM219:BO219"/>
    <mergeCell ref="BP217:BR217"/>
    <mergeCell ref="BS217:BU217"/>
    <mergeCell ref="BV217:BX217"/>
    <mergeCell ref="BY217:CA217"/>
    <mergeCell ref="CB217:CD217"/>
    <mergeCell ref="B221:D221"/>
    <mergeCell ref="E221:G221"/>
    <mergeCell ref="H221:J221"/>
    <mergeCell ref="K221:M221"/>
    <mergeCell ref="AX217:AZ217"/>
    <mergeCell ref="BA217:BC217"/>
    <mergeCell ref="BM221:BO221"/>
    <mergeCell ref="BP221:BR221"/>
    <mergeCell ref="BS221:BU221"/>
    <mergeCell ref="BP219:BR219"/>
    <mergeCell ref="BS219:BU219"/>
    <mergeCell ref="Z221:AB221"/>
    <mergeCell ref="AC221:AE221"/>
    <mergeCell ref="AF221:AH221"/>
    <mergeCell ref="AI221:AK221"/>
    <mergeCell ref="AL221:AN221"/>
    <mergeCell ref="BD221:BF221"/>
    <mergeCell ref="BG221:BI221"/>
    <mergeCell ref="BJ221:BL221"/>
    <mergeCell ref="BA220:BC220"/>
    <mergeCell ref="BD220:BF220"/>
    <mergeCell ref="BG220:BI220"/>
    <mergeCell ref="BJ220:BL220"/>
    <mergeCell ref="BD219:BF219"/>
    <mergeCell ref="CH221:CJ221"/>
    <mergeCell ref="B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AC217:AE217"/>
    <mergeCell ref="AF217:AH217"/>
    <mergeCell ref="AI217:AK217"/>
    <mergeCell ref="AL217:AN217"/>
    <mergeCell ref="AO217:AQ217"/>
    <mergeCell ref="AR217:AT217"/>
    <mergeCell ref="AU217:AW217"/>
    <mergeCell ref="CB220:CD220"/>
    <mergeCell ref="CE220:CG220"/>
    <mergeCell ref="AO221:AQ221"/>
    <mergeCell ref="AR221:AT221"/>
    <mergeCell ref="AU221:AW221"/>
    <mergeCell ref="AX221:AZ221"/>
    <mergeCell ref="BA221:BC221"/>
    <mergeCell ref="CH219:CJ219"/>
    <mergeCell ref="B220:D220"/>
    <mergeCell ref="E220:G220"/>
    <mergeCell ref="H220:J220"/>
    <mergeCell ref="K220:M220"/>
    <mergeCell ref="N220:P220"/>
    <mergeCell ref="Q220:S220"/>
    <mergeCell ref="T220:V220"/>
    <mergeCell ref="W220:Y220"/>
    <mergeCell ref="Z220:AB220"/>
    <mergeCell ref="AC220:AE220"/>
    <mergeCell ref="AF220:AH220"/>
    <mergeCell ref="AI220:AK220"/>
    <mergeCell ref="AL220:AN220"/>
    <mergeCell ref="AO220:AQ220"/>
    <mergeCell ref="AR220:AT220"/>
    <mergeCell ref="AU220:AW220"/>
    <mergeCell ref="AX220:AZ220"/>
    <mergeCell ref="CH220:CJ220"/>
    <mergeCell ref="AC219:AE219"/>
    <mergeCell ref="AF219:AH219"/>
    <mergeCell ref="AI219:AK219"/>
    <mergeCell ref="AL219:AN219"/>
    <mergeCell ref="BV219:BX219"/>
    <mergeCell ref="AO219:AQ219"/>
    <mergeCell ref="AR219:AT219"/>
    <mergeCell ref="AU219:AW219"/>
    <mergeCell ref="AX219:AZ219"/>
    <mergeCell ref="BA219:BC219"/>
    <mergeCell ref="B219:D219"/>
    <mergeCell ref="E219:G219"/>
    <mergeCell ref="H219:J219"/>
    <mergeCell ref="K219:M219"/>
    <mergeCell ref="N219:P219"/>
    <mergeCell ref="Q219:S219"/>
    <mergeCell ref="T219:V219"/>
    <mergeCell ref="W219:Y219"/>
    <mergeCell ref="Z219:AB219"/>
    <mergeCell ref="CB168:CD168"/>
    <mergeCell ref="CB167:CJ167"/>
    <mergeCell ref="CH217:CJ217"/>
    <mergeCell ref="CE160:CG160"/>
    <mergeCell ref="CH160:CJ160"/>
    <mergeCell ref="CE168:CG168"/>
    <mergeCell ref="CH168:CJ168"/>
    <mergeCell ref="BM183:CA183"/>
    <mergeCell ref="CB183:CJ183"/>
    <mergeCell ref="AR159:AT159"/>
    <mergeCell ref="AU159:AW159"/>
    <mergeCell ref="AX159:AZ159"/>
    <mergeCell ref="BA159:BC159"/>
    <mergeCell ref="BD159:BF159"/>
    <mergeCell ref="BS160:BU160"/>
    <mergeCell ref="BV160:BX160"/>
    <mergeCell ref="BY160:CA160"/>
    <mergeCell ref="CB160:CD160"/>
    <mergeCell ref="AR160:AT160"/>
    <mergeCell ref="AU160:AW160"/>
    <mergeCell ref="AX160:AZ160"/>
    <mergeCell ref="BA160:BC160"/>
    <mergeCell ref="BD160:BF160"/>
    <mergeCell ref="BG160:BI160"/>
    <mergeCell ref="BJ160:BL160"/>
    <mergeCell ref="BM160:BO160"/>
    <mergeCell ref="BP160:BR160"/>
    <mergeCell ref="Q160:S160"/>
    <mergeCell ref="T160:V160"/>
    <mergeCell ref="W160:Y160"/>
    <mergeCell ref="Z160:AB160"/>
    <mergeCell ref="AC160:AE160"/>
    <mergeCell ref="AF160:AH160"/>
    <mergeCell ref="AI160:AK160"/>
    <mergeCell ref="AL160:AN160"/>
    <mergeCell ref="AO160:AQ160"/>
    <mergeCell ref="Q159:S159"/>
    <mergeCell ref="T159:V159"/>
    <mergeCell ref="W159:Y159"/>
    <mergeCell ref="Z159:AB159"/>
    <mergeCell ref="AC159:AE159"/>
    <mergeCell ref="AF159:AH159"/>
    <mergeCell ref="AI159:AK159"/>
    <mergeCell ref="AL159:AN159"/>
    <mergeCell ref="AO159:AQ159"/>
    <mergeCell ref="BS156:BU156"/>
    <mergeCell ref="BV156:BX156"/>
    <mergeCell ref="BY156:CA156"/>
    <mergeCell ref="CB156:CD156"/>
    <mergeCell ref="CE156:CG156"/>
    <mergeCell ref="CH156:CJ156"/>
    <mergeCell ref="Q158:S158"/>
    <mergeCell ref="T158:V158"/>
    <mergeCell ref="W158:Y158"/>
    <mergeCell ref="Z158:AB158"/>
    <mergeCell ref="AC158:AE158"/>
    <mergeCell ref="AF158:AH158"/>
    <mergeCell ref="AI158:AK158"/>
    <mergeCell ref="AL158:AN158"/>
    <mergeCell ref="AO158:AQ158"/>
    <mergeCell ref="AR158:AT158"/>
    <mergeCell ref="AU158:AW158"/>
    <mergeCell ref="AX158:AZ158"/>
    <mergeCell ref="BA158:BC158"/>
    <mergeCell ref="BD158:BF158"/>
    <mergeCell ref="BG158:BI158"/>
    <mergeCell ref="BJ158:BL158"/>
    <mergeCell ref="BM158:BO158"/>
    <mergeCell ref="BP158:BR158"/>
    <mergeCell ref="AR156:AT156"/>
    <mergeCell ref="AU156:AW156"/>
    <mergeCell ref="AX156:AZ156"/>
    <mergeCell ref="BA156:BC156"/>
    <mergeCell ref="BD156:BF156"/>
    <mergeCell ref="BG156:BI156"/>
    <mergeCell ref="BJ156:BL156"/>
    <mergeCell ref="BM156:BO156"/>
    <mergeCell ref="BP156:BR156"/>
    <mergeCell ref="Q156:S156"/>
    <mergeCell ref="T156:V156"/>
    <mergeCell ref="W156:Y156"/>
    <mergeCell ref="Z156:AB156"/>
    <mergeCell ref="AC156:AE156"/>
    <mergeCell ref="AF156:AH156"/>
    <mergeCell ref="AI156:AK156"/>
    <mergeCell ref="AL156:AN156"/>
    <mergeCell ref="AO156:AQ156"/>
    <mergeCell ref="CH226:CJ226"/>
    <mergeCell ref="AX226:AZ226"/>
    <mergeCell ref="BA226:BC226"/>
    <mergeCell ref="BD226:BF226"/>
    <mergeCell ref="BG226:BI226"/>
    <mergeCell ref="BJ226:BL226"/>
    <mergeCell ref="BM226:BO226"/>
    <mergeCell ref="BP226:BR226"/>
    <mergeCell ref="BS226:BU226"/>
    <mergeCell ref="Z226:AB226"/>
    <mergeCell ref="AC226:AE226"/>
    <mergeCell ref="CE184:CG184"/>
    <mergeCell ref="CH184:CJ184"/>
    <mergeCell ref="B225:P225"/>
    <mergeCell ref="Q225:AE225"/>
    <mergeCell ref="AF225:AN225"/>
    <mergeCell ref="AO225:BC225"/>
    <mergeCell ref="BD225:BL225"/>
    <mergeCell ref="BM225:CA225"/>
    <mergeCell ref="CB225:CJ225"/>
    <mergeCell ref="BG184:BI184"/>
    <mergeCell ref="BJ184:BL184"/>
    <mergeCell ref="BM184:BO184"/>
    <mergeCell ref="BP184:BR184"/>
    <mergeCell ref="BS184:BU184"/>
    <mergeCell ref="BV184:BX184"/>
    <mergeCell ref="Z184:AB184"/>
    <mergeCell ref="AC184:AE184"/>
    <mergeCell ref="AF184:AH184"/>
    <mergeCell ref="BV226:BX226"/>
    <mergeCell ref="BY226:CA226"/>
    <mergeCell ref="CB226:CD226"/>
    <mergeCell ref="CE226:CG226"/>
    <mergeCell ref="H184:J184"/>
    <mergeCell ref="K184:M184"/>
    <mergeCell ref="N184:P184"/>
    <mergeCell ref="Q184:S184"/>
    <mergeCell ref="T184:V184"/>
    <mergeCell ref="W184:Y184"/>
    <mergeCell ref="N226:P226"/>
    <mergeCell ref="Q226:S226"/>
    <mergeCell ref="T226:V226"/>
    <mergeCell ref="W226:Y226"/>
    <mergeCell ref="N221:P221"/>
    <mergeCell ref="Q221:S221"/>
    <mergeCell ref="T221:V221"/>
    <mergeCell ref="W221:Y221"/>
    <mergeCell ref="B183:P183"/>
    <mergeCell ref="Q183:AE183"/>
    <mergeCell ref="AF183:AN183"/>
    <mergeCell ref="AO183:BC183"/>
    <mergeCell ref="BD183:BL183"/>
    <mergeCell ref="AO168:AQ168"/>
    <mergeCell ref="AR168:AT168"/>
    <mergeCell ref="AU168:AW168"/>
    <mergeCell ref="AX168:AZ168"/>
    <mergeCell ref="BA168:BC168"/>
    <mergeCell ref="BD168:BF168"/>
    <mergeCell ref="AL168:AN168"/>
    <mergeCell ref="B168:D168"/>
    <mergeCell ref="E168:G168"/>
    <mergeCell ref="H168:J168"/>
    <mergeCell ref="K168:M168"/>
    <mergeCell ref="N168:P168"/>
    <mergeCell ref="Q168:S168"/>
    <mergeCell ref="T168:V168"/>
    <mergeCell ref="W168:Y168"/>
    <mergeCell ref="Z168:AB168"/>
    <mergeCell ref="B167:P167"/>
    <mergeCell ref="Q167:AE167"/>
    <mergeCell ref="AF167:AN167"/>
    <mergeCell ref="AO167:BC167"/>
    <mergeCell ref="BD167:BL167"/>
    <mergeCell ref="BM167:CA167"/>
    <mergeCell ref="BJ168:BL168"/>
    <mergeCell ref="BM168:BO168"/>
    <mergeCell ref="BP168:BR168"/>
    <mergeCell ref="BS168:BU168"/>
    <mergeCell ref="BG168:BI168"/>
    <mergeCell ref="AC168:AE168"/>
    <mergeCell ref="AF168:AH168"/>
    <mergeCell ref="AI168:AK168"/>
    <mergeCell ref="CB21:CJ21"/>
    <mergeCell ref="B22:D22"/>
    <mergeCell ref="E22:G22"/>
    <mergeCell ref="H22:J22"/>
    <mergeCell ref="K22:M22"/>
    <mergeCell ref="N22:P22"/>
    <mergeCell ref="Q22:S22"/>
    <mergeCell ref="T22:V22"/>
    <mergeCell ref="W22:Y22"/>
    <mergeCell ref="BS22:BU22"/>
    <mergeCell ref="BV22:BX22"/>
    <mergeCell ref="BY22:CA22"/>
    <mergeCell ref="CB22:CD22"/>
    <mergeCell ref="CE22:CG22"/>
    <mergeCell ref="CH22:CJ22"/>
    <mergeCell ref="AL22:AN22"/>
    <mergeCell ref="AO22:AQ22"/>
    <mergeCell ref="AR22:AT22"/>
    <mergeCell ref="AU22:AW22"/>
    <mergeCell ref="AX22:AZ22"/>
    <mergeCell ref="BA22:BC22"/>
    <mergeCell ref="CB6:CD6"/>
    <mergeCell ref="CE6:CG6"/>
    <mergeCell ref="CH6:CJ6"/>
    <mergeCell ref="CB5:CJ5"/>
    <mergeCell ref="B21:P21"/>
    <mergeCell ref="Q21:AE21"/>
    <mergeCell ref="AF21:AN21"/>
    <mergeCell ref="AO21:BC21"/>
    <mergeCell ref="BD21:BL21"/>
    <mergeCell ref="BD5:BL5"/>
    <mergeCell ref="BD6:BF6"/>
    <mergeCell ref="BG6:BI6"/>
    <mergeCell ref="BJ6:BL6"/>
    <mergeCell ref="BM5:CA5"/>
    <mergeCell ref="BM6:BO6"/>
    <mergeCell ref="BP6:BR6"/>
    <mergeCell ref="BS6:BU6"/>
    <mergeCell ref="BV6:BX6"/>
    <mergeCell ref="BY6:CA6"/>
    <mergeCell ref="AF5:AN5"/>
    <mergeCell ref="AL6:AN6"/>
    <mergeCell ref="AI6:AK6"/>
    <mergeCell ref="AF6:AH6"/>
    <mergeCell ref="AO5:BC5"/>
    <mergeCell ref="AO6:AQ6"/>
    <mergeCell ref="AR6:AT6"/>
    <mergeCell ref="AU6:AW6"/>
    <mergeCell ref="AX6:AZ6"/>
    <mergeCell ref="BA6:BC6"/>
    <mergeCell ref="A5:A7"/>
    <mergeCell ref="Q6:S6"/>
    <mergeCell ref="T6:V6"/>
    <mergeCell ref="W6:Y6"/>
    <mergeCell ref="Z6:AB6"/>
    <mergeCell ref="AC6:AE6"/>
    <mergeCell ref="Q5:AE5"/>
    <mergeCell ref="B5:P5"/>
    <mergeCell ref="N6:P6"/>
    <mergeCell ref="K6:M6"/>
    <mergeCell ref="H6:J6"/>
    <mergeCell ref="E6:G6"/>
    <mergeCell ref="B6:D6"/>
    <mergeCell ref="A225:A227"/>
    <mergeCell ref="BY184:CA184"/>
    <mergeCell ref="CB184:CD184"/>
    <mergeCell ref="AU184:AW184"/>
    <mergeCell ref="AX184:AZ184"/>
    <mergeCell ref="BA184:BC184"/>
    <mergeCell ref="BD184:BF184"/>
    <mergeCell ref="AR184:AT184"/>
    <mergeCell ref="A183:A185"/>
    <mergeCell ref="AL226:AN226"/>
    <mergeCell ref="AO226:AQ226"/>
    <mergeCell ref="AR226:AT226"/>
    <mergeCell ref="AU226:AW226"/>
    <mergeCell ref="AF226:AH226"/>
    <mergeCell ref="AI226:AK226"/>
    <mergeCell ref="B226:D226"/>
    <mergeCell ref="E226:G226"/>
    <mergeCell ref="H226:J226"/>
    <mergeCell ref="K226:M226"/>
    <mergeCell ref="AI184:AK184"/>
    <mergeCell ref="AL184:AN184"/>
    <mergeCell ref="AO184:AQ184"/>
    <mergeCell ref="B184:D184"/>
    <mergeCell ref="E184:G184"/>
    <mergeCell ref="A167:A169"/>
    <mergeCell ref="BG22:BI22"/>
    <mergeCell ref="BJ22:BL22"/>
    <mergeCell ref="BM22:BO22"/>
    <mergeCell ref="BP22:BR22"/>
    <mergeCell ref="BD22:BF22"/>
    <mergeCell ref="Z22:AB22"/>
    <mergeCell ref="AC22:AE22"/>
    <mergeCell ref="AF22:AH22"/>
    <mergeCell ref="AI22:AK22"/>
    <mergeCell ref="A21:A23"/>
    <mergeCell ref="BM21:CA21"/>
    <mergeCell ref="BV168:BX168"/>
    <mergeCell ref="BY168:CA168"/>
    <mergeCell ref="B156:D156"/>
    <mergeCell ref="B158:D158"/>
    <mergeCell ref="B159:D159"/>
    <mergeCell ref="B160:D160"/>
    <mergeCell ref="E156:G156"/>
    <mergeCell ref="E158:G158"/>
    <mergeCell ref="E159:G159"/>
    <mergeCell ref="E160:G160"/>
    <mergeCell ref="H156:J156"/>
    <mergeCell ref="H158:J158"/>
    <mergeCell ref="H159:J159"/>
    <mergeCell ref="H160:J160"/>
    <mergeCell ref="K156:M156"/>
    <mergeCell ref="K158:M158"/>
    <mergeCell ref="K159:M159"/>
    <mergeCell ref="K160:M160"/>
    <mergeCell ref="N156:P156"/>
    <mergeCell ref="N158:P158"/>
    <mergeCell ref="N159:P159"/>
    <mergeCell ref="N160:P160"/>
    <mergeCell ref="B218:D218"/>
    <mergeCell ref="E218:G218"/>
    <mergeCell ref="H218:J218"/>
    <mergeCell ref="K218:M218"/>
    <mergeCell ref="N218:P218"/>
    <mergeCell ref="Q218:S218"/>
    <mergeCell ref="T218:V218"/>
    <mergeCell ref="W218:Y218"/>
    <mergeCell ref="Z218:AB218"/>
    <mergeCell ref="AC218:AE218"/>
    <mergeCell ref="AF218:AH218"/>
    <mergeCell ref="AI218:AK218"/>
    <mergeCell ref="AL218:AN218"/>
    <mergeCell ref="AO218:AQ218"/>
    <mergeCell ref="AR218:AT218"/>
    <mergeCell ref="AU218:AW218"/>
    <mergeCell ref="AX218:AZ218"/>
    <mergeCell ref="BA218:BC218"/>
    <mergeCell ref="BD157:BF157"/>
    <mergeCell ref="BG157:BI157"/>
    <mergeCell ref="BJ157:BL157"/>
    <mergeCell ref="BM157:BO157"/>
    <mergeCell ref="BD218:BF218"/>
    <mergeCell ref="BG218:BI218"/>
    <mergeCell ref="BJ218:BL218"/>
    <mergeCell ref="BM218:BO218"/>
    <mergeCell ref="BP218:BR218"/>
    <mergeCell ref="BD217:BF217"/>
    <mergeCell ref="BP157:BR157"/>
    <mergeCell ref="BG159:BI159"/>
    <mergeCell ref="BJ159:BL159"/>
    <mergeCell ref="BM159:BO159"/>
    <mergeCell ref="BP159:BR159"/>
    <mergeCell ref="AC157:AE157"/>
    <mergeCell ref="AF157:AH157"/>
    <mergeCell ref="AI157:AK157"/>
    <mergeCell ref="AL157:AN157"/>
    <mergeCell ref="AO157:AQ157"/>
    <mergeCell ref="AR157:AT157"/>
    <mergeCell ref="AU157:AW157"/>
    <mergeCell ref="AX157:AZ157"/>
    <mergeCell ref="BA157:BC157"/>
    <mergeCell ref="B157:D157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BS157:BU157"/>
    <mergeCell ref="BV157:BX157"/>
    <mergeCell ref="BY157:CA157"/>
    <mergeCell ref="CB157:CD157"/>
    <mergeCell ref="CE157:CG157"/>
    <mergeCell ref="CH157:CJ157"/>
    <mergeCell ref="CE218:CG218"/>
    <mergeCell ref="CH218:CJ218"/>
    <mergeCell ref="BS218:BU218"/>
    <mergeCell ref="BV218:BX218"/>
    <mergeCell ref="BY218:CA218"/>
    <mergeCell ref="CB218:CD218"/>
    <mergeCell ref="BS158:BU158"/>
    <mergeCell ref="BV158:BX158"/>
    <mergeCell ref="BY158:CA158"/>
    <mergeCell ref="CB158:CD158"/>
    <mergeCell ref="CE158:CG158"/>
    <mergeCell ref="CH158:CJ158"/>
    <mergeCell ref="BS159:BU159"/>
    <mergeCell ref="BV159:BX159"/>
    <mergeCell ref="BY159:CA159"/>
    <mergeCell ref="CB159:CD159"/>
    <mergeCell ref="CE159:CG159"/>
    <mergeCell ref="CH159:CJ159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H80"/>
  <sheetViews>
    <sheetView topLeftCell="A52" zoomScale="73" zoomScaleNormal="73" zoomScalePageLayoutView="90" workbookViewId="0">
      <pane xSplit="22" topLeftCell="AR1" activePane="topRight" state="frozen"/>
      <selection pane="topRight" activeCell="AX58" sqref="AX58:AY58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2" width="15.85546875" hidden="1" customWidth="1"/>
    <col min="23" max="26" width="15.85546875" customWidth="1"/>
    <col min="27" max="27" width="18.85546875" customWidth="1"/>
    <col min="28" max="28" width="15.7109375" customWidth="1"/>
    <col min="29" max="30" width="12.5703125" hidden="1" customWidth="1"/>
    <col min="31" max="31" width="16.85546875" customWidth="1"/>
    <col min="32" max="32" width="17.42578125" customWidth="1"/>
    <col min="33" max="33" width="14.7109375" hidden="1" customWidth="1"/>
    <col min="34" max="34" width="16" hidden="1" customWidth="1"/>
    <col min="35" max="35" width="14.7109375" hidden="1" customWidth="1"/>
    <col min="36" max="36" width="18.140625" customWidth="1"/>
    <col min="37" max="37" width="20" customWidth="1"/>
    <col min="38" max="39" width="20" hidden="1" customWidth="1"/>
    <col min="40" max="51" width="20" customWidth="1"/>
    <col min="52" max="52" width="13.140625" customWidth="1"/>
    <col min="53" max="53" width="31.28515625" customWidth="1"/>
    <col min="54" max="54" width="13.28515625" customWidth="1"/>
    <col min="55" max="55" width="0" hidden="1" customWidth="1"/>
    <col min="60" max="60" width="46" hidden="1" customWidth="1"/>
  </cols>
  <sheetData>
    <row r="1" spans="1:54" x14ac:dyDescent="0.2">
      <c r="AC1" t="s">
        <v>1507</v>
      </c>
      <c r="BA1" t="s">
        <v>1507</v>
      </c>
    </row>
    <row r="2" spans="1:54" ht="18.75" x14ac:dyDescent="0.3">
      <c r="A2" s="3782" t="s">
        <v>57</v>
      </c>
      <c r="B2" s="3782"/>
      <c r="C2" s="3782"/>
      <c r="D2" s="3782"/>
      <c r="E2" s="3782"/>
      <c r="F2" s="3782"/>
      <c r="G2" s="3782"/>
      <c r="H2" s="3782"/>
      <c r="I2" s="3782"/>
      <c r="J2" s="3782"/>
      <c r="K2" s="3782"/>
      <c r="L2" s="3782"/>
      <c r="M2" s="3782"/>
      <c r="N2" s="3782"/>
      <c r="O2" s="3782"/>
      <c r="P2" s="3782"/>
      <c r="Q2" s="3782"/>
      <c r="R2" s="3782"/>
      <c r="S2" s="3782"/>
      <c r="T2" s="3782"/>
      <c r="U2" s="3782"/>
      <c r="V2" s="3782"/>
      <c r="W2" s="3782"/>
      <c r="X2" s="3782"/>
      <c r="Y2" s="3782"/>
      <c r="Z2" s="3782"/>
      <c r="AA2" s="3782"/>
      <c r="AB2" s="3782"/>
      <c r="AC2" s="3782"/>
      <c r="AD2" s="3782"/>
      <c r="AE2" s="3782"/>
      <c r="AF2" s="3782"/>
      <c r="AG2" s="3782"/>
      <c r="AH2" s="3782"/>
      <c r="AI2" s="3782"/>
      <c r="AJ2" s="3782"/>
      <c r="AK2" s="3782"/>
      <c r="AL2" s="3782"/>
      <c r="AM2" s="3782"/>
      <c r="AN2" s="3782"/>
      <c r="AO2" s="3782"/>
      <c r="AP2" s="3782"/>
      <c r="AQ2" s="3782"/>
      <c r="AR2" s="3782"/>
      <c r="AS2" s="3782"/>
      <c r="AT2" s="3782"/>
      <c r="AU2" s="3782"/>
      <c r="AV2" s="3782"/>
      <c r="AW2" s="3782"/>
      <c r="AX2" s="3782"/>
      <c r="AY2" s="3782"/>
      <c r="AZ2" s="3782"/>
      <c r="BA2" s="3782"/>
    </row>
    <row r="3" spans="1:54" x14ac:dyDescent="0.2">
      <c r="A3" s="3783" t="s">
        <v>19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  <c r="X3" s="3784"/>
      <c r="Y3" s="3784"/>
      <c r="Z3" s="3784"/>
      <c r="AA3" s="3784"/>
      <c r="AB3" s="3784"/>
      <c r="AC3" s="3784"/>
      <c r="AD3" s="3784"/>
      <c r="AE3" s="3784"/>
      <c r="AF3" s="3784"/>
      <c r="AG3" s="3784"/>
      <c r="AH3" s="3784"/>
      <c r="AI3" s="3784"/>
      <c r="AJ3" s="3784"/>
      <c r="AK3" s="3784"/>
      <c r="AL3" s="3784"/>
      <c r="AM3" s="3784"/>
      <c r="AN3" s="3784"/>
      <c r="AO3" s="3784"/>
      <c r="AP3" s="3784"/>
      <c r="AQ3" s="3784"/>
      <c r="AR3" s="3784"/>
      <c r="AS3" s="3784"/>
      <c r="AT3" s="3784"/>
      <c r="AU3" s="3784"/>
      <c r="AV3" s="3784"/>
      <c r="AW3" s="3784"/>
      <c r="AX3" s="3784"/>
      <c r="AY3" s="3784"/>
      <c r="AZ3" s="3784"/>
      <c r="BA3" s="3784"/>
    </row>
    <row r="4" spans="1:54" ht="12.75" hidden="1" customHeight="1" x14ac:dyDescent="0.2">
      <c r="A4" s="3797"/>
      <c r="B4" s="3809" t="s">
        <v>58</v>
      </c>
      <c r="C4" s="3786" t="s">
        <v>59</v>
      </c>
      <c r="D4" s="3787"/>
      <c r="E4" s="3786" t="s">
        <v>67</v>
      </c>
      <c r="F4" s="3787"/>
      <c r="G4" s="3786" t="s">
        <v>95</v>
      </c>
      <c r="H4" s="3787"/>
      <c r="I4" s="3786" t="s">
        <v>120</v>
      </c>
      <c r="J4" s="3808"/>
      <c r="K4" s="3808"/>
      <c r="L4" s="3808"/>
      <c r="M4" s="3802" t="s">
        <v>158</v>
      </c>
      <c r="N4" s="3803"/>
      <c r="O4" s="3803"/>
      <c r="P4" s="3803"/>
      <c r="Q4" s="3803"/>
      <c r="R4" s="3803"/>
      <c r="S4" s="3803"/>
      <c r="T4" s="3803"/>
      <c r="U4" s="3803"/>
      <c r="V4" s="3803"/>
      <c r="W4" s="3803"/>
      <c r="X4" s="3803"/>
      <c r="Y4" s="3803"/>
      <c r="Z4" s="3803"/>
      <c r="AA4" s="3803"/>
      <c r="AB4" s="3803"/>
      <c r="AC4" s="3803"/>
      <c r="AD4" s="3803"/>
      <c r="AE4" s="3803"/>
      <c r="AF4" s="3803"/>
      <c r="AG4" s="3803"/>
      <c r="AH4" s="3803"/>
      <c r="AI4" s="3803"/>
      <c r="AJ4" s="3803"/>
      <c r="AK4" s="3803"/>
      <c r="AL4" s="3803"/>
      <c r="AM4" s="3803"/>
      <c r="AN4" s="3803"/>
      <c r="AO4" s="3803"/>
      <c r="AP4" s="3803"/>
      <c r="AQ4" s="3803"/>
      <c r="AR4" s="3803"/>
      <c r="AS4" s="3803"/>
      <c r="AT4" s="3803"/>
      <c r="AU4" s="3803"/>
      <c r="AV4" s="3803"/>
      <c r="AW4" s="3803"/>
      <c r="AX4" s="3803"/>
      <c r="AY4" s="3803"/>
      <c r="AZ4" s="3803"/>
      <c r="BA4" s="3803"/>
      <c r="BB4" s="3804"/>
    </row>
    <row r="5" spans="1:54" ht="12.75" hidden="1" customHeight="1" x14ac:dyDescent="0.2">
      <c r="A5" s="3797"/>
      <c r="B5" s="3809"/>
      <c r="C5" s="3790" t="s">
        <v>61</v>
      </c>
      <c r="D5" s="3788" t="s">
        <v>62</v>
      </c>
      <c r="E5" s="3790" t="s">
        <v>61</v>
      </c>
      <c r="F5" s="3788" t="s">
        <v>66</v>
      </c>
      <c r="G5" s="3790" t="s">
        <v>61</v>
      </c>
      <c r="H5" s="3788" t="s">
        <v>112</v>
      </c>
      <c r="I5" s="3790" t="s">
        <v>60</v>
      </c>
      <c r="J5" s="3799" t="s">
        <v>63</v>
      </c>
      <c r="K5" s="659"/>
      <c r="L5" s="3799" t="s">
        <v>110</v>
      </c>
      <c r="M5" s="3790" t="s">
        <v>96</v>
      </c>
      <c r="N5" s="1046"/>
      <c r="O5" s="361"/>
      <c r="P5" s="659"/>
      <c r="Q5" s="1253"/>
      <c r="R5" s="1328"/>
      <c r="S5" s="659"/>
      <c r="T5" s="659"/>
      <c r="U5" s="1935"/>
      <c r="V5" s="1935"/>
      <c r="W5" s="1935"/>
      <c r="X5" s="1935"/>
      <c r="Y5" s="1935"/>
      <c r="Z5" s="1935"/>
      <c r="AA5" s="659"/>
      <c r="AB5" s="1039"/>
      <c r="AC5" s="659"/>
      <c r="AD5" s="1642"/>
      <c r="AE5" s="1642"/>
      <c r="AF5" s="1642"/>
      <c r="AG5" s="1642"/>
      <c r="AH5" s="1707"/>
      <c r="AI5" s="1707"/>
      <c r="AJ5" s="1707"/>
      <c r="AK5" s="1707"/>
      <c r="AL5" s="1935"/>
      <c r="AM5" s="1935"/>
      <c r="AN5" s="2451"/>
      <c r="AO5" s="2451"/>
      <c r="AP5" s="2451"/>
      <c r="AQ5" s="2451"/>
      <c r="AR5" s="1935"/>
      <c r="AS5" s="1935"/>
      <c r="AT5" s="2451"/>
      <c r="AU5" s="2451"/>
      <c r="AV5" s="2451"/>
      <c r="AW5" s="2451"/>
      <c r="AX5" s="2451"/>
      <c r="AY5" s="2451"/>
      <c r="AZ5" s="3799" t="s">
        <v>124</v>
      </c>
      <c r="BA5" s="3799" t="s">
        <v>97</v>
      </c>
      <c r="BB5" s="3788" t="s">
        <v>61</v>
      </c>
    </row>
    <row r="6" spans="1:54" ht="12.75" hidden="1" customHeight="1" x14ac:dyDescent="0.2">
      <c r="A6" s="3797"/>
      <c r="B6" s="3809"/>
      <c r="C6" s="3791"/>
      <c r="D6" s="3789"/>
      <c r="E6" s="3791"/>
      <c r="F6" s="3789"/>
      <c r="G6" s="3791"/>
      <c r="H6" s="3789"/>
      <c r="I6" s="3791"/>
      <c r="J6" s="3800"/>
      <c r="K6" s="644"/>
      <c r="L6" s="3800"/>
      <c r="M6" s="3791"/>
      <c r="N6" s="1047"/>
      <c r="O6" s="362"/>
      <c r="P6" s="644"/>
      <c r="Q6" s="1246"/>
      <c r="R6" s="1326"/>
      <c r="S6" s="644"/>
      <c r="T6" s="644"/>
      <c r="U6" s="1653"/>
      <c r="V6" s="1653"/>
      <c r="W6" s="2110"/>
      <c r="X6" s="2110"/>
      <c r="Y6" s="2110"/>
      <c r="Z6" s="2110"/>
      <c r="AA6" s="644"/>
      <c r="AB6" s="1013"/>
      <c r="AC6" s="644"/>
      <c r="AD6" s="1448"/>
      <c r="AE6" s="1448"/>
      <c r="AF6" s="1448"/>
      <c r="AG6" s="1448"/>
      <c r="AH6" s="1649"/>
      <c r="AI6" s="1649"/>
      <c r="AJ6" s="1649"/>
      <c r="AK6" s="1649"/>
      <c r="AL6" s="2110"/>
      <c r="AM6" s="2110"/>
      <c r="AN6" s="2414"/>
      <c r="AO6" s="2414"/>
      <c r="AP6" s="2414"/>
      <c r="AQ6" s="2414"/>
      <c r="AR6" s="2110"/>
      <c r="AS6" s="2110"/>
      <c r="AT6" s="2760"/>
      <c r="AU6" s="2760"/>
      <c r="AV6" s="2414"/>
      <c r="AW6" s="2414"/>
      <c r="AX6" s="2414"/>
      <c r="AY6" s="2414"/>
      <c r="AZ6" s="3800"/>
      <c r="BA6" s="3800"/>
      <c r="BB6" s="3789"/>
    </row>
    <row r="7" spans="1:54" ht="13.5" hidden="1" customHeight="1" thickBot="1" x14ac:dyDescent="0.25">
      <c r="A7" s="3798"/>
      <c r="B7" s="3810"/>
      <c r="C7" s="3792"/>
      <c r="D7" s="3528"/>
      <c r="E7" s="3792"/>
      <c r="F7" s="3528"/>
      <c r="G7" s="3792"/>
      <c r="H7" s="3528"/>
      <c r="I7" s="3792"/>
      <c r="J7" s="3801"/>
      <c r="K7" s="645"/>
      <c r="L7" s="3801"/>
      <c r="M7" s="3792"/>
      <c r="N7" s="1048"/>
      <c r="O7" s="266"/>
      <c r="P7" s="645"/>
      <c r="Q7" s="1247"/>
      <c r="R7" s="1327"/>
      <c r="S7" s="645"/>
      <c r="T7" s="645"/>
      <c r="U7" s="1654"/>
      <c r="V7" s="1654"/>
      <c r="W7" s="2111"/>
      <c r="X7" s="2111"/>
      <c r="Y7" s="2111"/>
      <c r="Z7" s="2111"/>
      <c r="AA7" s="645"/>
      <c r="AB7" s="1014"/>
      <c r="AC7" s="645"/>
      <c r="AD7" s="1449"/>
      <c r="AE7" s="1449"/>
      <c r="AF7" s="1449"/>
      <c r="AG7" s="1449"/>
      <c r="AH7" s="1650"/>
      <c r="AI7" s="1650"/>
      <c r="AJ7" s="1650"/>
      <c r="AK7" s="1650"/>
      <c r="AL7" s="2111"/>
      <c r="AM7" s="2111"/>
      <c r="AN7" s="2415"/>
      <c r="AO7" s="2415"/>
      <c r="AP7" s="2415"/>
      <c r="AQ7" s="2415"/>
      <c r="AR7" s="2111"/>
      <c r="AS7" s="2111"/>
      <c r="AT7" s="2761"/>
      <c r="AU7" s="2761"/>
      <c r="AV7" s="2415"/>
      <c r="AW7" s="2415"/>
      <c r="AX7" s="2415"/>
      <c r="AY7" s="2415"/>
      <c r="AZ7" s="3801"/>
      <c r="BA7" s="3801"/>
      <c r="BB7" s="3528"/>
    </row>
    <row r="8" spans="1:54" ht="13.5" hidden="1" thickBot="1" x14ac:dyDescent="0.25">
      <c r="A8" s="3793" t="s">
        <v>46</v>
      </c>
      <c r="B8" s="3794"/>
      <c r="C8" s="3794"/>
      <c r="D8" s="3794"/>
      <c r="E8" s="3794"/>
      <c r="F8" s="3794"/>
      <c r="G8" s="3794"/>
      <c r="H8" s="3794"/>
      <c r="I8" s="3794"/>
      <c r="J8" s="3794"/>
      <c r="K8" s="3794"/>
      <c r="L8" s="3794"/>
      <c r="M8" s="3794"/>
      <c r="N8" s="3794"/>
      <c r="O8" s="3794"/>
      <c r="P8" s="3794"/>
      <c r="Q8" s="3794"/>
      <c r="R8" s="3794"/>
      <c r="S8" s="3794"/>
      <c r="T8" s="3794"/>
      <c r="U8" s="3794"/>
      <c r="V8" s="3794"/>
      <c r="W8" s="3794"/>
      <c r="X8" s="3794"/>
      <c r="Y8" s="3794"/>
      <c r="Z8" s="3794"/>
      <c r="AA8" s="3794"/>
      <c r="AB8" s="3794"/>
      <c r="AC8" s="3794"/>
      <c r="AD8" s="3794"/>
      <c r="AE8" s="3794"/>
      <c r="AF8" s="3794"/>
      <c r="AG8" s="3794"/>
      <c r="AH8" s="3794"/>
      <c r="AI8" s="3794"/>
      <c r="AJ8" s="3794"/>
      <c r="AK8" s="3794"/>
      <c r="AL8" s="3794"/>
      <c r="AM8" s="3794"/>
      <c r="AN8" s="3794"/>
      <c r="AO8" s="3794"/>
      <c r="AP8" s="3794"/>
      <c r="AQ8" s="3794"/>
      <c r="AR8" s="3794"/>
      <c r="AS8" s="3794"/>
      <c r="AT8" s="3794"/>
      <c r="AU8" s="3794"/>
      <c r="AV8" s="3794"/>
      <c r="AW8" s="3794"/>
      <c r="AX8" s="3794"/>
      <c r="AY8" s="3794"/>
      <c r="AZ8" s="3794"/>
      <c r="BA8" s="3794"/>
      <c r="BB8" s="3795"/>
    </row>
    <row r="9" spans="1:54" hidden="1" x14ac:dyDescent="0.2">
      <c r="A9" s="33" t="s">
        <v>18</v>
      </c>
      <c r="B9" s="37">
        <f>B10+B12</f>
        <v>10513.699999999999</v>
      </c>
      <c r="C9" s="42">
        <f>C10+C12</f>
        <v>8838.9000000000015</v>
      </c>
      <c r="D9" s="43">
        <f>C9/B9*100</f>
        <v>84.07030826445498</v>
      </c>
      <c r="E9" s="42">
        <f>E10+E11+E12</f>
        <v>8862.9</v>
      </c>
      <c r="F9" s="107">
        <f>E9/C9*100</f>
        <v>100.27152699996604</v>
      </c>
      <c r="G9" s="41">
        <f>G10+G11+G12</f>
        <v>8372.9</v>
      </c>
      <c r="H9" s="43">
        <f>G9/E9*100</f>
        <v>94.471335567365088</v>
      </c>
      <c r="I9" s="115">
        <f>SUM(I10:I12)</f>
        <v>6659.1</v>
      </c>
      <c r="J9" s="42">
        <f>J10+J11+J12</f>
        <v>0</v>
      </c>
      <c r="K9" s="42"/>
      <c r="L9" s="42">
        <f>L10+L11+L12</f>
        <v>6666.9000000000005</v>
      </c>
      <c r="M9" s="41">
        <f>M10+M12</f>
        <v>6659.1</v>
      </c>
      <c r="N9" s="115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42">
        <f>SUM(AZ10:AZ12)</f>
        <v>6381</v>
      </c>
      <c r="BA9" s="54">
        <f t="shared" ref="BA9:BA15" si="0">AZ9/I9*100</f>
        <v>95.823759967563177</v>
      </c>
      <c r="BB9" s="174">
        <f>BB10+BB12</f>
        <v>7835.7</v>
      </c>
    </row>
    <row r="10" spans="1:54" hidden="1" x14ac:dyDescent="0.2">
      <c r="A10" s="34" t="s">
        <v>20</v>
      </c>
      <c r="B10" s="38">
        <v>744.9</v>
      </c>
      <c r="C10" s="4">
        <v>643.70000000000005</v>
      </c>
      <c r="D10" s="45">
        <f>C10/B10*100</f>
        <v>86.414283796482763</v>
      </c>
      <c r="E10" s="4">
        <v>811.9</v>
      </c>
      <c r="F10" s="108">
        <f>E10/C10*100</f>
        <v>126.13018486872764</v>
      </c>
      <c r="G10" s="44">
        <v>876.4</v>
      </c>
      <c r="H10" s="45">
        <f t="shared" ref="H10:H19" si="1">G10/E10*100</f>
        <v>107.9443281192265</v>
      </c>
      <c r="I10" s="113">
        <v>841.6</v>
      </c>
      <c r="J10" s="11"/>
      <c r="K10" s="660"/>
      <c r="L10" s="11">
        <v>580.70000000000005</v>
      </c>
      <c r="M10" s="44">
        <v>876</v>
      </c>
      <c r="N10" s="1049"/>
      <c r="O10" s="6"/>
      <c r="P10" s="664"/>
      <c r="Q10" s="1254"/>
      <c r="R10" s="1329"/>
      <c r="S10" s="664"/>
      <c r="T10" s="664"/>
      <c r="U10" s="1936"/>
      <c r="V10" s="1936"/>
      <c r="W10" s="1936"/>
      <c r="X10" s="1936"/>
      <c r="Y10" s="1936"/>
      <c r="Z10" s="1936"/>
      <c r="AA10" s="664"/>
      <c r="AB10" s="1040"/>
      <c r="AC10" s="664"/>
      <c r="AD10" s="1640"/>
      <c r="AE10" s="1640"/>
      <c r="AF10" s="1640"/>
      <c r="AG10" s="1640"/>
      <c r="AH10" s="1708"/>
      <c r="AI10" s="1708"/>
      <c r="AJ10" s="1708"/>
      <c r="AK10" s="1708"/>
      <c r="AL10" s="1936"/>
      <c r="AM10" s="1936"/>
      <c r="AN10" s="2452"/>
      <c r="AO10" s="2452"/>
      <c r="AP10" s="2452"/>
      <c r="AQ10" s="2452"/>
      <c r="AR10" s="1936"/>
      <c r="AS10" s="1936"/>
      <c r="AT10" s="2452"/>
      <c r="AU10" s="2452"/>
      <c r="AV10" s="2452"/>
      <c r="AW10" s="2452"/>
      <c r="AX10" s="2452"/>
      <c r="AY10" s="2452"/>
      <c r="AZ10" s="4">
        <v>876</v>
      </c>
      <c r="BA10" s="6">
        <f t="shared" si="0"/>
        <v>104.08745247148288</v>
      </c>
      <c r="BB10" s="269">
        <f>7835.7-4227.7-2796.3</f>
        <v>811.69999999999982</v>
      </c>
    </row>
    <row r="11" spans="1:54" hidden="1" x14ac:dyDescent="0.2">
      <c r="A11" s="55" t="s">
        <v>113</v>
      </c>
      <c r="B11" s="32"/>
      <c r="C11" s="2"/>
      <c r="D11" s="47"/>
      <c r="E11" s="2">
        <v>54.2</v>
      </c>
      <c r="F11" s="109"/>
      <c r="G11" s="56">
        <v>0</v>
      </c>
      <c r="H11" s="45">
        <f t="shared" si="1"/>
        <v>0</v>
      </c>
      <c r="I11" s="112">
        <v>22.5</v>
      </c>
      <c r="J11" s="17"/>
      <c r="K11" s="661"/>
      <c r="L11" s="31"/>
      <c r="M11" s="56"/>
      <c r="N11" s="1050"/>
      <c r="O11" s="6"/>
      <c r="P11" s="664"/>
      <c r="Q11" s="1254"/>
      <c r="R11" s="1329"/>
      <c r="S11" s="664"/>
      <c r="T11" s="664"/>
      <c r="U11" s="1936"/>
      <c r="V11" s="1936"/>
      <c r="W11" s="1936"/>
      <c r="X11" s="1936"/>
      <c r="Y11" s="1936"/>
      <c r="Z11" s="1936"/>
      <c r="AA11" s="664"/>
      <c r="AB11" s="1040"/>
      <c r="AC11" s="664"/>
      <c r="AD11" s="1640"/>
      <c r="AE11" s="1640"/>
      <c r="AF11" s="1640"/>
      <c r="AG11" s="1640"/>
      <c r="AH11" s="1708"/>
      <c r="AI11" s="1708"/>
      <c r="AJ11" s="1708"/>
      <c r="AK11" s="1708"/>
      <c r="AL11" s="1936"/>
      <c r="AM11" s="1936"/>
      <c r="AN11" s="2452"/>
      <c r="AO11" s="2452"/>
      <c r="AP11" s="2452"/>
      <c r="AQ11" s="2452"/>
      <c r="AR11" s="1936"/>
      <c r="AS11" s="1936"/>
      <c r="AT11" s="2452"/>
      <c r="AU11" s="2452"/>
      <c r="AV11" s="2452"/>
      <c r="AW11" s="2452"/>
      <c r="AX11" s="2452"/>
      <c r="AY11" s="2452"/>
      <c r="AZ11" s="2"/>
      <c r="BA11" s="31">
        <f t="shared" si="0"/>
        <v>0</v>
      </c>
      <c r="BB11" s="175"/>
    </row>
    <row r="12" spans="1:54" hidden="1" x14ac:dyDescent="0.2">
      <c r="A12" s="34" t="s">
        <v>21</v>
      </c>
      <c r="B12" s="38">
        <f>B13+B15</f>
        <v>9768.7999999999993</v>
      </c>
      <c r="C12" s="4">
        <f>C13+C15</f>
        <v>8195.2000000000007</v>
      </c>
      <c r="D12" s="45">
        <f>C12/B12*100</f>
        <v>83.891573171730414</v>
      </c>
      <c r="E12" s="4">
        <f>E13+E15</f>
        <v>7996.7999999999993</v>
      </c>
      <c r="F12" s="108">
        <f>E12/C12*100</f>
        <v>97.579070675517357</v>
      </c>
      <c r="G12" s="44">
        <f>G13+G15</f>
        <v>7496.5</v>
      </c>
      <c r="H12" s="45">
        <f t="shared" si="1"/>
        <v>93.74374749899961</v>
      </c>
      <c r="I12" s="113">
        <f>I13+I15</f>
        <v>5795</v>
      </c>
      <c r="J12" s="4">
        <f>J13+J15</f>
        <v>0</v>
      </c>
      <c r="K12" s="662"/>
      <c r="L12" s="4">
        <f>L13+L15</f>
        <v>6086.2000000000007</v>
      </c>
      <c r="M12" s="44">
        <f>M13+M15</f>
        <v>5783.1</v>
      </c>
      <c r="N12" s="1049"/>
      <c r="O12" s="6"/>
      <c r="P12" s="664"/>
      <c r="Q12" s="1254"/>
      <c r="R12" s="1329"/>
      <c r="S12" s="664"/>
      <c r="T12" s="664"/>
      <c r="U12" s="1936"/>
      <c r="V12" s="1936"/>
      <c r="W12" s="1936"/>
      <c r="X12" s="1936"/>
      <c r="Y12" s="1936"/>
      <c r="Z12" s="1936"/>
      <c r="AA12" s="664"/>
      <c r="AB12" s="1040"/>
      <c r="AC12" s="664"/>
      <c r="AD12" s="1640"/>
      <c r="AE12" s="1640"/>
      <c r="AF12" s="1640"/>
      <c r="AG12" s="1640"/>
      <c r="AH12" s="1708"/>
      <c r="AI12" s="1708"/>
      <c r="AJ12" s="1708"/>
      <c r="AK12" s="1708"/>
      <c r="AL12" s="1936"/>
      <c r="AM12" s="1936"/>
      <c r="AN12" s="2452"/>
      <c r="AO12" s="2452"/>
      <c r="AP12" s="2452"/>
      <c r="AQ12" s="2452"/>
      <c r="AR12" s="1936"/>
      <c r="AS12" s="1936"/>
      <c r="AT12" s="2452"/>
      <c r="AU12" s="2452"/>
      <c r="AV12" s="2452"/>
      <c r="AW12" s="2452"/>
      <c r="AX12" s="2452"/>
      <c r="AY12" s="2452"/>
      <c r="AZ12" s="4">
        <f>AZ13+AZ15</f>
        <v>5505</v>
      </c>
      <c r="BA12" s="6">
        <f t="shared" si="0"/>
        <v>94.995685936151858</v>
      </c>
      <c r="BB12" s="247">
        <f>BB13+BB15</f>
        <v>7024</v>
      </c>
    </row>
    <row r="13" spans="1:54" hidden="1" x14ac:dyDescent="0.2">
      <c r="A13" s="34" t="s">
        <v>51</v>
      </c>
      <c r="B13" s="38">
        <v>4444.8999999999996</v>
      </c>
      <c r="C13" s="4">
        <v>3172</v>
      </c>
      <c r="D13" s="45">
        <f>C13/B13*100</f>
        <v>71.36268532475421</v>
      </c>
      <c r="E13" s="4">
        <v>3094</v>
      </c>
      <c r="F13" s="108">
        <f>E13/C13*100</f>
        <v>97.540983606557376</v>
      </c>
      <c r="G13" s="44">
        <v>2972.2</v>
      </c>
      <c r="H13" s="45">
        <f t="shared" si="1"/>
        <v>96.063348416289585</v>
      </c>
      <c r="I13" s="113">
        <v>1150</v>
      </c>
      <c r="J13" s="11"/>
      <c r="K13" s="660"/>
      <c r="L13" s="11">
        <v>2822.4</v>
      </c>
      <c r="M13" s="44">
        <v>1683.1</v>
      </c>
      <c r="N13" s="1049"/>
      <c r="O13" s="6"/>
      <c r="P13" s="664"/>
      <c r="Q13" s="1254"/>
      <c r="R13" s="1329"/>
      <c r="S13" s="664"/>
      <c r="T13" s="664"/>
      <c r="U13" s="1936"/>
      <c r="V13" s="1936"/>
      <c r="W13" s="1936"/>
      <c r="X13" s="1936"/>
      <c r="Y13" s="1936"/>
      <c r="Z13" s="1936"/>
      <c r="AA13" s="664"/>
      <c r="AB13" s="1040"/>
      <c r="AC13" s="664"/>
      <c r="AD13" s="1640"/>
      <c r="AE13" s="1640"/>
      <c r="AF13" s="1640"/>
      <c r="AG13" s="1640"/>
      <c r="AH13" s="1708"/>
      <c r="AI13" s="1708"/>
      <c r="AJ13" s="1708"/>
      <c r="AK13" s="1708"/>
      <c r="AL13" s="1936"/>
      <c r="AM13" s="1936"/>
      <c r="AN13" s="2452"/>
      <c r="AO13" s="2452"/>
      <c r="AP13" s="2452"/>
      <c r="AQ13" s="2452"/>
      <c r="AR13" s="1936"/>
      <c r="AS13" s="1936"/>
      <c r="AT13" s="2452"/>
      <c r="AU13" s="2452"/>
      <c r="AV13" s="2452"/>
      <c r="AW13" s="2452"/>
      <c r="AX13" s="2452"/>
      <c r="AY13" s="2452"/>
      <c r="AZ13" s="4">
        <v>1100</v>
      </c>
      <c r="BA13" s="6">
        <f t="shared" si="0"/>
        <v>95.652173913043484</v>
      </c>
      <c r="BB13" s="175">
        <v>2796.3</v>
      </c>
    </row>
    <row r="14" spans="1:54" ht="27.75" hidden="1" customHeight="1" x14ac:dyDescent="0.2">
      <c r="A14" s="35" t="s">
        <v>114</v>
      </c>
      <c r="B14" s="39">
        <f>B13/B12*100</f>
        <v>45.500982720497909</v>
      </c>
      <c r="C14" s="30">
        <f>C13/C12*100</f>
        <v>38.705583756345177</v>
      </c>
      <c r="D14" s="47">
        <f>C14/B14*100</f>
        <v>85.065379783343786</v>
      </c>
      <c r="E14" s="30">
        <f>E13/E12*100</f>
        <v>38.69047619047619</v>
      </c>
      <c r="F14" s="109">
        <f>E14/C14*100</f>
        <v>99.960967993754878</v>
      </c>
      <c r="G14" s="46">
        <f>G13/G12*100</f>
        <v>39.647835656639764</v>
      </c>
      <c r="H14" s="45"/>
      <c r="I14" s="118">
        <f>I13/I12*100</f>
        <v>19.844693701466781</v>
      </c>
      <c r="J14" s="17" t="e">
        <f>J13/J12*100</f>
        <v>#DIV/0!</v>
      </c>
      <c r="K14" s="661"/>
      <c r="L14" s="31">
        <f>L13/L12*100</f>
        <v>46.373763596332687</v>
      </c>
      <c r="M14" s="46">
        <f>M13/M12*100</f>
        <v>29.103767875360965</v>
      </c>
      <c r="N14" s="1051"/>
      <c r="O14" s="6"/>
      <c r="P14" s="664"/>
      <c r="Q14" s="1254"/>
      <c r="R14" s="1329"/>
      <c r="S14" s="664"/>
      <c r="T14" s="664"/>
      <c r="U14" s="1936"/>
      <c r="V14" s="1936"/>
      <c r="W14" s="1936"/>
      <c r="X14" s="1936"/>
      <c r="Y14" s="1936"/>
      <c r="Z14" s="1936"/>
      <c r="AA14" s="664"/>
      <c r="AB14" s="1040"/>
      <c r="AC14" s="664"/>
      <c r="AD14" s="1640"/>
      <c r="AE14" s="1640"/>
      <c r="AF14" s="1640"/>
      <c r="AG14" s="1640"/>
      <c r="AH14" s="1708"/>
      <c r="AI14" s="1708"/>
      <c r="AJ14" s="1708"/>
      <c r="AK14" s="1708"/>
      <c r="AL14" s="1936"/>
      <c r="AM14" s="1936"/>
      <c r="AN14" s="2452"/>
      <c r="AO14" s="2452"/>
      <c r="AP14" s="2452"/>
      <c r="AQ14" s="2452"/>
      <c r="AR14" s="1936"/>
      <c r="AS14" s="1936"/>
      <c r="AT14" s="2452"/>
      <c r="AU14" s="2452"/>
      <c r="AV14" s="2452"/>
      <c r="AW14" s="2452"/>
      <c r="AX14" s="2452"/>
      <c r="AY14" s="2452"/>
      <c r="AZ14" s="94">
        <f>AZ13/AZ12*100</f>
        <v>19.981834695731155</v>
      </c>
      <c r="BA14" s="31">
        <f t="shared" si="0"/>
        <v>100.69107135805395</v>
      </c>
      <c r="BB14" s="248">
        <f>BB13/BB12*100</f>
        <v>39.810649202733487</v>
      </c>
    </row>
    <row r="15" spans="1:54" hidden="1" x14ac:dyDescent="0.2">
      <c r="A15" s="34" t="s">
        <v>22</v>
      </c>
      <c r="B15" s="38">
        <f>SUM(B17:B19)</f>
        <v>5323.9</v>
      </c>
      <c r="C15" s="4">
        <f>SUM(C17:C19)</f>
        <v>5023.2000000000007</v>
      </c>
      <c r="D15" s="45">
        <f>C15/B15*100</f>
        <v>94.351884896410539</v>
      </c>
      <c r="E15" s="4">
        <f>SUM(E17:E19)</f>
        <v>4902.7999999999993</v>
      </c>
      <c r="F15" s="108">
        <f>E15/C15*100</f>
        <v>97.603121516164975</v>
      </c>
      <c r="G15" s="44">
        <f>SUM(G17:G19)</f>
        <v>4524.3</v>
      </c>
      <c r="H15" s="45">
        <f t="shared" si="1"/>
        <v>92.279921677408851</v>
      </c>
      <c r="I15" s="113">
        <f>SUM(I17:I19)</f>
        <v>4645</v>
      </c>
      <c r="J15" s="4">
        <f>SUM(J17:J19)</f>
        <v>0</v>
      </c>
      <c r="K15" s="662"/>
      <c r="L15" s="4">
        <f>SUM(L17:L19)</f>
        <v>3263.8</v>
      </c>
      <c r="M15" s="44">
        <f>SUM(M17:M19)</f>
        <v>4100</v>
      </c>
      <c r="N15" s="1049"/>
      <c r="O15" s="6"/>
      <c r="P15" s="664"/>
      <c r="Q15" s="1254"/>
      <c r="R15" s="1329"/>
      <c r="S15" s="664"/>
      <c r="T15" s="664"/>
      <c r="U15" s="1936"/>
      <c r="V15" s="1936"/>
      <c r="W15" s="1936"/>
      <c r="X15" s="1936"/>
      <c r="Y15" s="1936"/>
      <c r="Z15" s="1936"/>
      <c r="AA15" s="664"/>
      <c r="AB15" s="1040"/>
      <c r="AC15" s="664"/>
      <c r="AD15" s="1640"/>
      <c r="AE15" s="1640"/>
      <c r="AF15" s="1640"/>
      <c r="AG15" s="1640"/>
      <c r="AH15" s="1708"/>
      <c r="AI15" s="1708"/>
      <c r="AJ15" s="1708"/>
      <c r="AK15" s="1708"/>
      <c r="AL15" s="1936"/>
      <c r="AM15" s="1936"/>
      <c r="AN15" s="2452"/>
      <c r="AO15" s="2452"/>
      <c r="AP15" s="2452"/>
      <c r="AQ15" s="2452"/>
      <c r="AR15" s="1936"/>
      <c r="AS15" s="1936"/>
      <c r="AT15" s="2452"/>
      <c r="AU15" s="2452"/>
      <c r="AV15" s="2452"/>
      <c r="AW15" s="2452"/>
      <c r="AX15" s="2452"/>
      <c r="AY15" s="2452"/>
      <c r="AZ15" s="4">
        <f>SUM(AZ17:AZ19)</f>
        <v>4405</v>
      </c>
      <c r="BA15" s="6">
        <f t="shared" si="0"/>
        <v>94.833153928955866</v>
      </c>
      <c r="BB15" s="247">
        <f>SUM(BB17:BB19)</f>
        <v>4227.7</v>
      </c>
    </row>
    <row r="16" spans="1:54" hidden="1" x14ac:dyDescent="0.2">
      <c r="A16" s="34" t="s">
        <v>50</v>
      </c>
      <c r="B16" s="38"/>
      <c r="C16" s="4"/>
      <c r="D16" s="45"/>
      <c r="E16" s="4"/>
      <c r="F16" s="108"/>
      <c r="G16" s="44"/>
      <c r="H16" s="45"/>
      <c r="I16" s="113"/>
      <c r="J16" s="11"/>
      <c r="K16" s="660"/>
      <c r="L16" s="6"/>
      <c r="M16" s="44"/>
      <c r="N16" s="1049"/>
      <c r="O16" s="6"/>
      <c r="P16" s="664"/>
      <c r="Q16" s="1254"/>
      <c r="R16" s="1329"/>
      <c r="S16" s="664"/>
      <c r="T16" s="664"/>
      <c r="U16" s="1936"/>
      <c r="V16" s="1936"/>
      <c r="W16" s="1936"/>
      <c r="X16" s="1936"/>
      <c r="Y16" s="1936"/>
      <c r="Z16" s="1936"/>
      <c r="AA16" s="664"/>
      <c r="AB16" s="1040"/>
      <c r="AC16" s="664"/>
      <c r="AD16" s="1640"/>
      <c r="AE16" s="1640"/>
      <c r="AF16" s="1640"/>
      <c r="AG16" s="1640"/>
      <c r="AH16" s="1708"/>
      <c r="AI16" s="1708"/>
      <c r="AJ16" s="1708"/>
      <c r="AK16" s="1708"/>
      <c r="AL16" s="1936"/>
      <c r="AM16" s="1936"/>
      <c r="AN16" s="2452"/>
      <c r="AO16" s="2452"/>
      <c r="AP16" s="2452"/>
      <c r="AQ16" s="2452"/>
      <c r="AR16" s="1936"/>
      <c r="AS16" s="1936"/>
      <c r="AT16" s="2452"/>
      <c r="AU16" s="2452"/>
      <c r="AV16" s="2452"/>
      <c r="AW16" s="2452"/>
      <c r="AX16" s="2452"/>
      <c r="AY16" s="2452"/>
      <c r="AZ16" s="4"/>
      <c r="BA16" s="6"/>
      <c r="BB16" s="175"/>
    </row>
    <row r="17" spans="1:54" hidden="1" x14ac:dyDescent="0.2">
      <c r="A17" s="34" t="s">
        <v>24</v>
      </c>
      <c r="B17" s="38">
        <v>3682.8</v>
      </c>
      <c r="C17" s="4">
        <v>3570.3</v>
      </c>
      <c r="D17" s="45">
        <f>C17/B17*100</f>
        <v>96.945259042033243</v>
      </c>
      <c r="E17" s="4">
        <v>3407.1</v>
      </c>
      <c r="F17" s="108">
        <f>E17/C17*100</f>
        <v>95.42895554995377</v>
      </c>
      <c r="G17" s="44">
        <v>3159.6</v>
      </c>
      <c r="H17" s="45">
        <f t="shared" si="1"/>
        <v>92.735757682486579</v>
      </c>
      <c r="I17" s="113">
        <v>3192</v>
      </c>
      <c r="J17" s="11"/>
      <c r="K17" s="660"/>
      <c r="L17" s="11">
        <v>2288.1</v>
      </c>
      <c r="M17" s="44">
        <v>2860</v>
      </c>
      <c r="N17" s="1049"/>
      <c r="O17" s="6"/>
      <c r="P17" s="664"/>
      <c r="Q17" s="1254"/>
      <c r="R17" s="1329"/>
      <c r="S17" s="664"/>
      <c r="T17" s="664"/>
      <c r="U17" s="1936"/>
      <c r="V17" s="1936"/>
      <c r="W17" s="1936"/>
      <c r="X17" s="1936"/>
      <c r="Y17" s="1936"/>
      <c r="Z17" s="1936"/>
      <c r="AA17" s="664"/>
      <c r="AB17" s="1040"/>
      <c r="AC17" s="664"/>
      <c r="AD17" s="1640"/>
      <c r="AE17" s="1640"/>
      <c r="AF17" s="1640"/>
      <c r="AG17" s="1640"/>
      <c r="AH17" s="1708"/>
      <c r="AI17" s="1708"/>
      <c r="AJ17" s="1708"/>
      <c r="AK17" s="1708"/>
      <c r="AL17" s="1936"/>
      <c r="AM17" s="1936"/>
      <c r="AN17" s="2452"/>
      <c r="AO17" s="2452"/>
      <c r="AP17" s="2452"/>
      <c r="AQ17" s="2452"/>
      <c r="AR17" s="1936"/>
      <c r="AS17" s="1936"/>
      <c r="AT17" s="2452"/>
      <c r="AU17" s="2452"/>
      <c r="AV17" s="2452"/>
      <c r="AW17" s="2452"/>
      <c r="AX17" s="2452"/>
      <c r="AY17" s="2452"/>
      <c r="AZ17" s="4">
        <v>3100</v>
      </c>
      <c r="BA17" s="6">
        <f>AZ17/I17*100</f>
        <v>97.11779448621553</v>
      </c>
      <c r="BB17" s="175">
        <v>2975.5</v>
      </c>
    </row>
    <row r="18" spans="1:54" hidden="1" x14ac:dyDescent="0.2">
      <c r="A18" s="34" t="s">
        <v>25</v>
      </c>
      <c r="B18" s="38">
        <v>129.69999999999999</v>
      </c>
      <c r="C18" s="4">
        <v>59.4</v>
      </c>
      <c r="D18" s="45">
        <f>C18/B18*100</f>
        <v>45.797995373939862</v>
      </c>
      <c r="E18" s="4">
        <v>46.1</v>
      </c>
      <c r="F18" s="108">
        <f>E18/C18*100</f>
        <v>77.609427609427613</v>
      </c>
      <c r="G18" s="44">
        <v>54.9</v>
      </c>
      <c r="H18" s="45">
        <f t="shared" si="1"/>
        <v>119.08893709327548</v>
      </c>
      <c r="I18" s="113">
        <v>59</v>
      </c>
      <c r="J18" s="11"/>
      <c r="K18" s="660"/>
      <c r="L18" s="11">
        <v>36.799999999999997</v>
      </c>
      <c r="M18" s="44">
        <v>55</v>
      </c>
      <c r="N18" s="1049"/>
      <c r="O18" s="6"/>
      <c r="P18" s="664"/>
      <c r="Q18" s="1254"/>
      <c r="R18" s="1329"/>
      <c r="S18" s="664"/>
      <c r="T18" s="664"/>
      <c r="U18" s="1936"/>
      <c r="V18" s="1936"/>
      <c r="W18" s="1936"/>
      <c r="X18" s="1936"/>
      <c r="Y18" s="1936"/>
      <c r="Z18" s="1936"/>
      <c r="AA18" s="664"/>
      <c r="AB18" s="1040"/>
      <c r="AC18" s="664"/>
      <c r="AD18" s="1640"/>
      <c r="AE18" s="1640"/>
      <c r="AF18" s="1640"/>
      <c r="AG18" s="1640"/>
      <c r="AH18" s="1708"/>
      <c r="AI18" s="1708"/>
      <c r="AJ18" s="1708"/>
      <c r="AK18" s="1708"/>
      <c r="AL18" s="1936"/>
      <c r="AM18" s="1936"/>
      <c r="AN18" s="2452"/>
      <c r="AO18" s="2452"/>
      <c r="AP18" s="2452"/>
      <c r="AQ18" s="2452"/>
      <c r="AR18" s="1936"/>
      <c r="AS18" s="1936"/>
      <c r="AT18" s="2452"/>
      <c r="AU18" s="2452"/>
      <c r="AV18" s="2452"/>
      <c r="AW18" s="2452"/>
      <c r="AX18" s="2452"/>
      <c r="AY18" s="2452"/>
      <c r="AZ18" s="4">
        <v>55</v>
      </c>
      <c r="BA18" s="6">
        <f>AZ18/I18*100</f>
        <v>93.220338983050837</v>
      </c>
      <c r="BB18" s="175">
        <v>46</v>
      </c>
    </row>
    <row r="19" spans="1:54" ht="13.5" hidden="1" thickBot="1" x14ac:dyDescent="0.25">
      <c r="A19" s="36" t="s">
        <v>26</v>
      </c>
      <c r="B19" s="40">
        <v>1511.4</v>
      </c>
      <c r="C19" s="49">
        <v>1393.5</v>
      </c>
      <c r="D19" s="50">
        <f>C19/B19*100</f>
        <v>92.199285430726476</v>
      </c>
      <c r="E19" s="49">
        <v>1449.6</v>
      </c>
      <c r="F19" s="114">
        <f>E19/C19*100</f>
        <v>104.0258342303552</v>
      </c>
      <c r="G19" s="52">
        <v>1309.8</v>
      </c>
      <c r="H19" s="119">
        <f t="shared" si="1"/>
        <v>90.355960264900673</v>
      </c>
      <c r="I19" s="117">
        <v>1394</v>
      </c>
      <c r="J19" s="51"/>
      <c r="K19" s="51"/>
      <c r="L19" s="51">
        <v>938.9</v>
      </c>
      <c r="M19" s="48">
        <v>1185</v>
      </c>
      <c r="N19" s="1052"/>
      <c r="O19" s="53"/>
      <c r="P19" s="53"/>
      <c r="Q19" s="1041"/>
      <c r="R19" s="1330"/>
      <c r="S19" s="53"/>
      <c r="T19" s="53"/>
      <c r="U19" s="1709"/>
      <c r="V19" s="1709"/>
      <c r="W19" s="1709"/>
      <c r="X19" s="1709"/>
      <c r="Y19" s="1709"/>
      <c r="Z19" s="1709"/>
      <c r="AA19" s="53"/>
      <c r="AB19" s="1041"/>
      <c r="AC19" s="53"/>
      <c r="AD19" s="1330"/>
      <c r="AE19" s="1330"/>
      <c r="AF19" s="1330"/>
      <c r="AG19" s="1330"/>
      <c r="AH19" s="1709"/>
      <c r="AI19" s="1709"/>
      <c r="AJ19" s="1709"/>
      <c r="AK19" s="1709"/>
      <c r="AL19" s="1709"/>
      <c r="AM19" s="1709"/>
      <c r="AN19" s="2453"/>
      <c r="AO19" s="2453"/>
      <c r="AP19" s="2453"/>
      <c r="AQ19" s="2453"/>
      <c r="AR19" s="1709"/>
      <c r="AS19" s="1709"/>
      <c r="AT19" s="2453"/>
      <c r="AU19" s="2453"/>
      <c r="AV19" s="2453"/>
      <c r="AW19" s="2453"/>
      <c r="AX19" s="2453"/>
      <c r="AY19" s="2453"/>
      <c r="AZ19" s="49">
        <v>1250</v>
      </c>
      <c r="BA19" s="53">
        <f>AZ19/I19*100</f>
        <v>89.670014347202297</v>
      </c>
      <c r="BB19" s="176">
        <v>1206.2</v>
      </c>
    </row>
    <row r="20" spans="1:54" ht="13.5" hidden="1" thickBot="1" x14ac:dyDescent="0.25">
      <c r="A20" s="3805" t="s">
        <v>47</v>
      </c>
      <c r="B20" s="3806"/>
      <c r="C20" s="3806"/>
      <c r="D20" s="3806"/>
      <c r="E20" s="3806"/>
      <c r="F20" s="3806"/>
      <c r="G20" s="3806"/>
      <c r="H20" s="3806"/>
      <c r="I20" s="3806"/>
      <c r="J20" s="3806"/>
      <c r="K20" s="3806"/>
      <c r="L20" s="3806"/>
      <c r="M20" s="3806"/>
      <c r="N20" s="3806"/>
      <c r="O20" s="3806"/>
      <c r="P20" s="3806"/>
      <c r="Q20" s="3806"/>
      <c r="R20" s="3806"/>
      <c r="S20" s="3806"/>
      <c r="T20" s="3806"/>
      <c r="U20" s="3806"/>
      <c r="V20" s="3806"/>
      <c r="W20" s="3806"/>
      <c r="X20" s="3806"/>
      <c r="Y20" s="3806"/>
      <c r="Z20" s="3806"/>
      <c r="AA20" s="3806"/>
      <c r="AB20" s="3806"/>
      <c r="AC20" s="3806"/>
      <c r="AD20" s="3806"/>
      <c r="AE20" s="3806"/>
      <c r="AF20" s="3806"/>
      <c r="AG20" s="3806"/>
      <c r="AH20" s="3806"/>
      <c r="AI20" s="3806"/>
      <c r="AJ20" s="3806"/>
      <c r="AK20" s="3806"/>
      <c r="AL20" s="3806"/>
      <c r="AM20" s="3806"/>
      <c r="AN20" s="3806"/>
      <c r="AO20" s="3806"/>
      <c r="AP20" s="3806"/>
      <c r="AQ20" s="3806"/>
      <c r="AR20" s="3806"/>
      <c r="AS20" s="3806"/>
      <c r="AT20" s="3806"/>
      <c r="AU20" s="3806"/>
      <c r="AV20" s="3806"/>
      <c r="AW20" s="3806"/>
      <c r="AX20" s="3806"/>
      <c r="AY20" s="3806"/>
      <c r="AZ20" s="3806"/>
      <c r="BA20" s="3806"/>
      <c r="BB20" s="3807"/>
    </row>
    <row r="21" spans="1:54" hidden="1" x14ac:dyDescent="0.2">
      <c r="A21" s="149" t="s">
        <v>118</v>
      </c>
      <c r="B21" s="150">
        <f>SUM(B23:B26)</f>
        <v>4738.2</v>
      </c>
      <c r="C21" s="146">
        <f>SUM(C23:C26)</f>
        <v>4585.8</v>
      </c>
      <c r="D21" s="151">
        <f>C21/B21*100</f>
        <v>96.783588704571372</v>
      </c>
      <c r="E21" s="150">
        <f>SUM(E23:E26)</f>
        <v>4415.2</v>
      </c>
      <c r="F21" s="152">
        <f>SUM(F23:F26)</f>
        <v>389.68342743817789</v>
      </c>
      <c r="G21" s="153">
        <f>SUM(G23:G26)</f>
        <v>4093.2000000000003</v>
      </c>
      <c r="H21" s="154">
        <f>G21/E21*100</f>
        <v>92.707012139880419</v>
      </c>
      <c r="I21" s="116">
        <f>SUM(I23:I26)</f>
        <v>4224.5</v>
      </c>
      <c r="J21" s="146">
        <f>SUM(J23:J26)</f>
        <v>0</v>
      </c>
      <c r="K21" s="146"/>
      <c r="L21" s="146">
        <f>SUM(L23:L26)</f>
        <v>2958.3</v>
      </c>
      <c r="M21" s="41">
        <f>SUM(M23:M26)</f>
        <v>3695</v>
      </c>
      <c r="N21" s="115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42">
        <f>SUM(AZ23:AZ26)</f>
        <v>4018</v>
      </c>
      <c r="BA21" s="54">
        <f>AZ21/I21*100</f>
        <v>95.111847555923774</v>
      </c>
      <c r="BB21" s="249">
        <f>SUM(BB23:BB26)</f>
        <v>3805.3</v>
      </c>
    </row>
    <row r="22" spans="1:54" hidden="1" x14ac:dyDescent="0.2">
      <c r="A22" s="34" t="s">
        <v>23</v>
      </c>
      <c r="B22" s="38"/>
      <c r="C22" s="4"/>
      <c r="D22" s="108"/>
      <c r="E22" s="38"/>
      <c r="F22" s="106"/>
      <c r="G22" s="120"/>
      <c r="H22" s="45"/>
      <c r="I22" s="113"/>
      <c r="J22" s="11"/>
      <c r="K22" s="660"/>
      <c r="L22" s="6"/>
      <c r="M22" s="44"/>
      <c r="N22" s="1049"/>
      <c r="O22" s="6"/>
      <c r="P22" s="664"/>
      <c r="Q22" s="1254"/>
      <c r="R22" s="1329"/>
      <c r="S22" s="664"/>
      <c r="T22" s="664"/>
      <c r="U22" s="1936"/>
      <c r="V22" s="1936"/>
      <c r="W22" s="1936"/>
      <c r="X22" s="1936"/>
      <c r="Y22" s="1936"/>
      <c r="Z22" s="1936"/>
      <c r="AA22" s="664"/>
      <c r="AB22" s="1040"/>
      <c r="AC22" s="664"/>
      <c r="AD22" s="1640"/>
      <c r="AE22" s="1640"/>
      <c r="AF22" s="1640"/>
      <c r="AG22" s="1640"/>
      <c r="AH22" s="1708"/>
      <c r="AI22" s="1708"/>
      <c r="AJ22" s="1708"/>
      <c r="AK22" s="1708"/>
      <c r="AL22" s="1936"/>
      <c r="AM22" s="1936"/>
      <c r="AN22" s="2452"/>
      <c r="AO22" s="2452"/>
      <c r="AP22" s="2452"/>
      <c r="AQ22" s="2452"/>
      <c r="AR22" s="1936"/>
      <c r="AS22" s="1936"/>
      <c r="AT22" s="2452"/>
      <c r="AU22" s="2452"/>
      <c r="AV22" s="2452"/>
      <c r="AW22" s="2452"/>
      <c r="AX22" s="2452"/>
      <c r="AY22" s="2452"/>
      <c r="AZ22" s="4"/>
      <c r="BA22" s="6"/>
      <c r="BB22" s="250"/>
    </row>
    <row r="23" spans="1:54" hidden="1" x14ac:dyDescent="0.2">
      <c r="A23" s="34" t="s">
        <v>27</v>
      </c>
      <c r="B23" s="38">
        <v>3483.6</v>
      </c>
      <c r="C23" s="4">
        <v>3439.8</v>
      </c>
      <c r="D23" s="108">
        <f>C23/B23*100</f>
        <v>98.742679986221162</v>
      </c>
      <c r="E23" s="38">
        <v>3278.3</v>
      </c>
      <c r="F23" s="106">
        <f>E23/C23*100</f>
        <v>95.304959590673874</v>
      </c>
      <c r="G23" s="121">
        <v>3032.3</v>
      </c>
      <c r="H23" s="45">
        <f>G23/E23*100</f>
        <v>92.496110789128522</v>
      </c>
      <c r="I23" s="113">
        <v>3064.5</v>
      </c>
      <c r="J23" s="11"/>
      <c r="K23" s="660"/>
      <c r="L23" s="11">
        <v>2188.8000000000002</v>
      </c>
      <c r="M23" s="44">
        <v>2632</v>
      </c>
      <c r="N23" s="1049"/>
      <c r="O23" s="6"/>
      <c r="P23" s="664"/>
      <c r="Q23" s="1254"/>
      <c r="R23" s="1329"/>
      <c r="S23" s="664"/>
      <c r="T23" s="664"/>
      <c r="U23" s="1936"/>
      <c r="V23" s="1936"/>
      <c r="W23" s="1936"/>
      <c r="X23" s="1936"/>
      <c r="Y23" s="1936"/>
      <c r="Z23" s="1936"/>
      <c r="AA23" s="664"/>
      <c r="AB23" s="1040"/>
      <c r="AC23" s="664"/>
      <c r="AD23" s="1640"/>
      <c r="AE23" s="1640"/>
      <c r="AF23" s="1640"/>
      <c r="AG23" s="1640"/>
      <c r="AH23" s="1708"/>
      <c r="AI23" s="1708"/>
      <c r="AJ23" s="1708"/>
      <c r="AK23" s="1708"/>
      <c r="AL23" s="1936"/>
      <c r="AM23" s="1936"/>
      <c r="AN23" s="2452"/>
      <c r="AO23" s="2452"/>
      <c r="AP23" s="2452"/>
      <c r="AQ23" s="2452"/>
      <c r="AR23" s="1936"/>
      <c r="AS23" s="1936"/>
      <c r="AT23" s="2452"/>
      <c r="AU23" s="2452"/>
      <c r="AV23" s="2452"/>
      <c r="AW23" s="2452"/>
      <c r="AX23" s="2452"/>
      <c r="AY23" s="2452"/>
      <c r="AZ23" s="4">
        <v>2955</v>
      </c>
      <c r="BA23" s="6">
        <f>AZ23/I23*100</f>
        <v>96.426823299069994</v>
      </c>
      <c r="BB23" s="250">
        <v>2735</v>
      </c>
    </row>
    <row r="24" spans="1:54" hidden="1" x14ac:dyDescent="0.2">
      <c r="A24" s="34" t="s">
        <v>28</v>
      </c>
      <c r="B24" s="38">
        <v>293.89999999999998</v>
      </c>
      <c r="C24" s="4">
        <v>272.2</v>
      </c>
      <c r="D24" s="108">
        <f>C24/B24*100</f>
        <v>92.61653623681525</v>
      </c>
      <c r="E24" s="38">
        <v>252.6</v>
      </c>
      <c r="F24" s="106">
        <f>E24/C24*100</f>
        <v>92.799412196914034</v>
      </c>
      <c r="G24" s="121"/>
      <c r="H24" s="45">
        <f>G24/E24*100</f>
        <v>0</v>
      </c>
      <c r="I24" s="113"/>
      <c r="J24" s="11"/>
      <c r="K24" s="660"/>
      <c r="L24" s="11"/>
      <c r="M24" s="44"/>
      <c r="N24" s="1049"/>
      <c r="O24" s="6"/>
      <c r="P24" s="664"/>
      <c r="Q24" s="1254"/>
      <c r="R24" s="1329"/>
      <c r="S24" s="664"/>
      <c r="T24" s="664"/>
      <c r="U24" s="1936"/>
      <c r="V24" s="1936"/>
      <c r="W24" s="1936"/>
      <c r="X24" s="1936"/>
      <c r="Y24" s="1936"/>
      <c r="Z24" s="1936"/>
      <c r="AA24" s="664"/>
      <c r="AB24" s="1040"/>
      <c r="AC24" s="664"/>
      <c r="AD24" s="1640"/>
      <c r="AE24" s="1640"/>
      <c r="AF24" s="1640"/>
      <c r="AG24" s="1640"/>
      <c r="AH24" s="1708"/>
      <c r="AI24" s="1708"/>
      <c r="AJ24" s="1708"/>
      <c r="AK24" s="1708"/>
      <c r="AL24" s="1936"/>
      <c r="AM24" s="1936"/>
      <c r="AN24" s="2452"/>
      <c r="AO24" s="2452"/>
      <c r="AP24" s="2452"/>
      <c r="AQ24" s="2452"/>
      <c r="AR24" s="1936"/>
      <c r="AS24" s="1936"/>
      <c r="AT24" s="2452"/>
      <c r="AU24" s="2452"/>
      <c r="AV24" s="2452"/>
      <c r="AW24" s="2452"/>
      <c r="AX24" s="2452"/>
      <c r="AY24" s="2452"/>
      <c r="AZ24" s="4"/>
      <c r="BA24" s="6"/>
      <c r="BB24" s="250"/>
    </row>
    <row r="25" spans="1:54" hidden="1" x14ac:dyDescent="0.2">
      <c r="A25" s="34" t="s">
        <v>29</v>
      </c>
      <c r="B25" s="38">
        <v>932.3</v>
      </c>
      <c r="C25" s="4">
        <v>845.1</v>
      </c>
      <c r="D25" s="108">
        <f>C25/B25*100</f>
        <v>90.646787514748482</v>
      </c>
      <c r="E25" s="38">
        <v>855.5</v>
      </c>
      <c r="F25" s="106">
        <f>E25/C25*100</f>
        <v>101.23062359484085</v>
      </c>
      <c r="G25" s="121">
        <v>1034.5</v>
      </c>
      <c r="H25" s="45">
        <f>G25/E25*100</f>
        <v>120.92343658679134</v>
      </c>
      <c r="I25" s="116">
        <v>1132</v>
      </c>
      <c r="J25" s="11"/>
      <c r="K25" s="660"/>
      <c r="L25" s="11">
        <v>755.4</v>
      </c>
      <c r="M25" s="44">
        <v>1035</v>
      </c>
      <c r="N25" s="1049"/>
      <c r="O25" s="6"/>
      <c r="P25" s="664"/>
      <c r="Q25" s="1254"/>
      <c r="R25" s="1329"/>
      <c r="S25" s="664"/>
      <c r="T25" s="664"/>
      <c r="U25" s="1936"/>
      <c r="V25" s="1936"/>
      <c r="W25" s="1936"/>
      <c r="X25" s="1936"/>
      <c r="Y25" s="1936"/>
      <c r="Z25" s="1936"/>
      <c r="AA25" s="664"/>
      <c r="AB25" s="1040"/>
      <c r="AC25" s="664"/>
      <c r="AD25" s="1640"/>
      <c r="AE25" s="1640"/>
      <c r="AF25" s="1640"/>
      <c r="AG25" s="1640"/>
      <c r="AH25" s="1708"/>
      <c r="AI25" s="1708"/>
      <c r="AJ25" s="1708"/>
      <c r="AK25" s="1708"/>
      <c r="AL25" s="1936"/>
      <c r="AM25" s="1936"/>
      <c r="AN25" s="2452"/>
      <c r="AO25" s="2452"/>
      <c r="AP25" s="2452"/>
      <c r="AQ25" s="2452"/>
      <c r="AR25" s="1936"/>
      <c r="AS25" s="1936"/>
      <c r="AT25" s="2452"/>
      <c r="AU25" s="2452"/>
      <c r="AV25" s="2452"/>
      <c r="AW25" s="2452"/>
      <c r="AX25" s="2452"/>
      <c r="AY25" s="2452"/>
      <c r="AZ25" s="4">
        <v>1035</v>
      </c>
      <c r="BA25" s="6">
        <f>AZ25/I25*100</f>
        <v>91.431095406360413</v>
      </c>
      <c r="BB25" s="250">
        <f>449.5+407.8+92.5+92.5</f>
        <v>1042.3</v>
      </c>
    </row>
    <row r="26" spans="1:54" ht="13.5" hidden="1" thickBot="1" x14ac:dyDescent="0.25">
      <c r="A26" s="36" t="s">
        <v>68</v>
      </c>
      <c r="B26" s="40">
        <v>28.4</v>
      </c>
      <c r="C26" s="49">
        <v>28.7</v>
      </c>
      <c r="D26" s="114">
        <f>C26/B26*100</f>
        <v>101.05633802816902</v>
      </c>
      <c r="E26" s="40">
        <v>28.8</v>
      </c>
      <c r="F26" s="106">
        <f>E26/C26*100</f>
        <v>100.34843205574913</v>
      </c>
      <c r="G26" s="122">
        <v>26.4</v>
      </c>
      <c r="H26" s="50">
        <f>G26/E26*100</f>
        <v>91.666666666666657</v>
      </c>
      <c r="I26" s="117">
        <v>28</v>
      </c>
      <c r="J26" s="51"/>
      <c r="K26" s="51"/>
      <c r="L26" s="51">
        <v>14.1</v>
      </c>
      <c r="M26" s="48">
        <v>28</v>
      </c>
      <c r="N26" s="1052"/>
      <c r="O26" s="53"/>
      <c r="P26" s="53"/>
      <c r="Q26" s="1041"/>
      <c r="R26" s="1330"/>
      <c r="S26" s="53"/>
      <c r="T26" s="53"/>
      <c r="U26" s="1709"/>
      <c r="V26" s="1709"/>
      <c r="W26" s="1709"/>
      <c r="X26" s="1709"/>
      <c r="Y26" s="1709"/>
      <c r="Z26" s="1709"/>
      <c r="AA26" s="53"/>
      <c r="AB26" s="1041"/>
      <c r="AC26" s="53"/>
      <c r="AD26" s="1330"/>
      <c r="AE26" s="1330"/>
      <c r="AF26" s="1330"/>
      <c r="AG26" s="1330"/>
      <c r="AH26" s="1709"/>
      <c r="AI26" s="1709"/>
      <c r="AJ26" s="1709"/>
      <c r="AK26" s="1709"/>
      <c r="AL26" s="1709"/>
      <c r="AM26" s="1709"/>
      <c r="AN26" s="2453"/>
      <c r="AO26" s="2453"/>
      <c r="AP26" s="2453"/>
      <c r="AQ26" s="2453"/>
      <c r="AR26" s="1709"/>
      <c r="AS26" s="1709"/>
      <c r="AT26" s="2453"/>
      <c r="AU26" s="2453"/>
      <c r="AV26" s="2453"/>
      <c r="AW26" s="2453"/>
      <c r="AX26" s="2453"/>
      <c r="AY26" s="2453"/>
      <c r="AZ26" s="49">
        <v>28</v>
      </c>
      <c r="BA26" s="53">
        <f>AZ26/I26*100</f>
        <v>100</v>
      </c>
      <c r="BB26" s="251">
        <v>28</v>
      </c>
    </row>
    <row r="27" spans="1:54" hidden="1" x14ac:dyDescent="0.2">
      <c r="A27" s="232" t="s">
        <v>362</v>
      </c>
      <c r="E27" s="160">
        <f>E10/E9</f>
        <v>9.1606584752169151E-2</v>
      </c>
      <c r="F27" s="160">
        <f t="shared" ref="F27:AZ27" si="2">F10/F9</f>
        <v>1.257886347624589</v>
      </c>
      <c r="G27" s="160">
        <f t="shared" si="2"/>
        <v>0.10467102198760286</v>
      </c>
      <c r="I27" s="160">
        <f t="shared" si="2"/>
        <v>0.12638344521031369</v>
      </c>
      <c r="J27" s="160" t="e">
        <f t="shared" si="2"/>
        <v>#DIV/0!</v>
      </c>
      <c r="K27" s="160"/>
      <c r="L27" s="160">
        <f t="shared" si="2"/>
        <v>8.7101951431699895E-2</v>
      </c>
      <c r="M27" s="160">
        <f t="shared" si="2"/>
        <v>0.1315493084651079</v>
      </c>
      <c r="N27" s="160"/>
      <c r="AZ27" s="160">
        <f t="shared" si="2"/>
        <v>0.13728255759285379</v>
      </c>
      <c r="BB27" s="160">
        <f>BB10/BB9</f>
        <v>0.10358997919777427</v>
      </c>
    </row>
    <row r="28" spans="1:54" hidden="1" x14ac:dyDescent="0.2">
      <c r="A28" s="105" t="s">
        <v>247</v>
      </c>
    </row>
    <row r="29" spans="1:54" hidden="1" x14ac:dyDescent="0.2">
      <c r="A29" s="105"/>
    </row>
    <row r="30" spans="1:54" hidden="1" x14ac:dyDescent="0.2">
      <c r="A30" s="105"/>
    </row>
    <row r="31" spans="1:54" ht="34.5" hidden="1" customHeight="1" x14ac:dyDescent="0.25">
      <c r="A31" s="3796" t="s">
        <v>239</v>
      </c>
      <c r="B31" s="3796"/>
      <c r="C31" s="3796"/>
      <c r="D31" s="3796"/>
      <c r="E31" s="3796"/>
      <c r="F31" s="3796"/>
      <c r="G31" s="3796"/>
      <c r="H31" s="3796"/>
      <c r="I31" s="3796"/>
      <c r="J31" s="3796"/>
      <c r="K31" s="3796"/>
      <c r="L31" s="3796"/>
    </row>
    <row r="32" spans="1:54" ht="9.75" customHeight="1" x14ac:dyDescent="0.2">
      <c r="A32" s="136"/>
      <c r="B32" s="136"/>
      <c r="C32" s="136"/>
      <c r="D32" s="136"/>
      <c r="E32" s="136"/>
      <c r="F32" s="136"/>
      <c r="G32" s="136"/>
      <c r="H32" s="136"/>
      <c r="I32" s="136"/>
    </row>
    <row r="33" spans="1:60" ht="34.5" customHeight="1" x14ac:dyDescent="0.3">
      <c r="A33" s="3785" t="s">
        <v>536</v>
      </c>
      <c r="B33" s="1670"/>
      <c r="C33" s="1670"/>
      <c r="D33" s="1670"/>
      <c r="E33" s="3771" t="s">
        <v>238</v>
      </c>
      <c r="F33" s="3772"/>
      <c r="G33" s="3772"/>
      <c r="H33" s="3772"/>
      <c r="I33" s="3772"/>
      <c r="J33" s="3772"/>
      <c r="K33" s="3773"/>
      <c r="L33" s="3771" t="s">
        <v>371</v>
      </c>
      <c r="M33" s="3772"/>
      <c r="N33" s="3772"/>
      <c r="O33" s="3772"/>
      <c r="P33" s="3772"/>
      <c r="Q33" s="3772"/>
      <c r="R33" s="3772"/>
      <c r="S33" s="3773"/>
      <c r="T33" s="1939" t="s">
        <v>1528</v>
      </c>
      <c r="U33" s="3778" t="s">
        <v>829</v>
      </c>
      <c r="V33" s="3778"/>
      <c r="W33" s="3769" t="s">
        <v>1815</v>
      </c>
      <c r="X33" s="3778"/>
      <c r="Y33" s="3778"/>
      <c r="Z33" s="3778"/>
      <c r="AA33" s="3778"/>
      <c r="AB33" s="3778"/>
      <c r="AC33" s="3778"/>
      <c r="AD33" s="3778"/>
      <c r="AE33" s="3778"/>
      <c r="AF33" s="3778"/>
      <c r="AG33" s="3778"/>
      <c r="AH33" s="3778"/>
      <c r="AI33" s="3778"/>
      <c r="AJ33" s="3778"/>
      <c r="AK33" s="3778"/>
      <c r="AL33" s="3778"/>
      <c r="AM33" s="3778"/>
      <c r="AN33" s="3778"/>
      <c r="AO33" s="3778"/>
      <c r="AP33" s="3778"/>
      <c r="AQ33" s="3778"/>
      <c r="AR33" s="3778"/>
      <c r="AS33" s="3778"/>
      <c r="AT33" s="3778"/>
      <c r="AU33" s="3770"/>
      <c r="AV33" s="3769" t="s">
        <v>1817</v>
      </c>
      <c r="AW33" s="3778"/>
      <c r="AX33" s="3778"/>
      <c r="AY33" s="3770"/>
      <c r="AZ33" s="3824" t="s">
        <v>243</v>
      </c>
      <c r="BA33" s="3785"/>
    </row>
    <row r="34" spans="1:60" ht="34.5" customHeight="1" x14ac:dyDescent="0.3">
      <c r="A34" s="3785"/>
      <c r="B34" s="1670"/>
      <c r="C34" s="1670"/>
      <c r="D34" s="1670"/>
      <c r="E34" s="3774"/>
      <c r="F34" s="3775"/>
      <c r="G34" s="3775"/>
      <c r="H34" s="3775"/>
      <c r="I34" s="3775"/>
      <c r="J34" s="3775"/>
      <c r="K34" s="3776"/>
      <c r="L34" s="3774"/>
      <c r="M34" s="3775"/>
      <c r="N34" s="3775"/>
      <c r="O34" s="3775"/>
      <c r="P34" s="3775"/>
      <c r="Q34" s="3775"/>
      <c r="R34" s="3775"/>
      <c r="S34" s="3776"/>
      <c r="T34" s="1939"/>
      <c r="U34" s="2411"/>
      <c r="V34" s="2412"/>
      <c r="W34" s="3774" t="s">
        <v>829</v>
      </c>
      <c r="X34" s="3775"/>
      <c r="Y34" s="3775"/>
      <c r="Z34" s="3776"/>
      <c r="AA34" s="3774" t="s">
        <v>1816</v>
      </c>
      <c r="AB34" s="3775"/>
      <c r="AC34" s="3775"/>
      <c r="AD34" s="3775"/>
      <c r="AE34" s="3775"/>
      <c r="AF34" s="3775"/>
      <c r="AG34" s="2450"/>
      <c r="AH34" s="2448"/>
      <c r="AI34" s="2449"/>
      <c r="AJ34" s="3777" t="s">
        <v>1530</v>
      </c>
      <c r="AK34" s="3777"/>
      <c r="AL34" s="1939"/>
      <c r="AM34" s="2447"/>
      <c r="AN34" s="3778" t="s">
        <v>908</v>
      </c>
      <c r="AO34" s="3778"/>
      <c r="AP34" s="3778"/>
      <c r="AQ34" s="3770"/>
      <c r="AR34" s="3777" t="s">
        <v>1691</v>
      </c>
      <c r="AS34" s="3777"/>
      <c r="AT34" s="3769" t="s">
        <v>909</v>
      </c>
      <c r="AU34" s="3770"/>
      <c r="AV34" s="3769" t="s">
        <v>1818</v>
      </c>
      <c r="AW34" s="3770"/>
      <c r="AX34" s="3769" t="s">
        <v>1537</v>
      </c>
      <c r="AY34" s="3770"/>
      <c r="AZ34" s="3785"/>
      <c r="BA34" s="3785"/>
    </row>
    <row r="35" spans="1:60" ht="35.25" customHeight="1" x14ac:dyDescent="0.3">
      <c r="A35" s="3785"/>
      <c r="B35" s="1670"/>
      <c r="C35" s="1670"/>
      <c r="D35" s="1670"/>
      <c r="E35" s="3768" t="s">
        <v>521</v>
      </c>
      <c r="F35" s="3768" t="s">
        <v>157</v>
      </c>
      <c r="G35" s="3768" t="s">
        <v>522</v>
      </c>
      <c r="H35" s="3768" t="s">
        <v>523</v>
      </c>
      <c r="I35" s="3768" t="s">
        <v>524</v>
      </c>
      <c r="J35" s="1671"/>
      <c r="K35" s="3768" t="s">
        <v>654</v>
      </c>
      <c r="L35" s="3768" t="s">
        <v>521</v>
      </c>
      <c r="M35" s="3768" t="s">
        <v>522</v>
      </c>
      <c r="N35" s="3768"/>
      <c r="O35" s="3768" t="s">
        <v>525</v>
      </c>
      <c r="P35" s="3768" t="s">
        <v>523</v>
      </c>
      <c r="Q35" s="3768"/>
      <c r="R35" s="3768" t="s">
        <v>890</v>
      </c>
      <c r="S35" s="3768"/>
      <c r="T35" s="3768" t="s">
        <v>521</v>
      </c>
      <c r="U35" s="3780" t="s">
        <v>245</v>
      </c>
      <c r="V35" s="3781"/>
      <c r="W35" s="3780" t="s">
        <v>1532</v>
      </c>
      <c r="X35" s="3781"/>
      <c r="Y35" s="3780" t="s">
        <v>1693</v>
      </c>
      <c r="Z35" s="3781"/>
      <c r="AA35" s="3768" t="s">
        <v>829</v>
      </c>
      <c r="AB35" s="3768"/>
      <c r="AC35" s="3768" t="s">
        <v>525</v>
      </c>
      <c r="AD35" s="3768" t="s">
        <v>521</v>
      </c>
      <c r="AE35" s="3768" t="s">
        <v>1529</v>
      </c>
      <c r="AF35" s="3768"/>
      <c r="AG35" s="3768" t="s">
        <v>525</v>
      </c>
      <c r="AH35" s="3780" t="s">
        <v>122</v>
      </c>
      <c r="AI35" s="3781"/>
      <c r="AJ35" s="3780" t="s">
        <v>123</v>
      </c>
      <c r="AK35" s="3781"/>
      <c r="AL35" s="3780" t="s">
        <v>122</v>
      </c>
      <c r="AM35" s="3781"/>
      <c r="AN35" s="3780" t="s">
        <v>1532</v>
      </c>
      <c r="AO35" s="3781"/>
      <c r="AP35" s="3780" t="s">
        <v>1693</v>
      </c>
      <c r="AQ35" s="3781"/>
      <c r="AR35" s="3780" t="s">
        <v>123</v>
      </c>
      <c r="AS35" s="3781"/>
      <c r="AT35" s="3780" t="s">
        <v>245</v>
      </c>
      <c r="AU35" s="3781"/>
      <c r="AV35" s="3780"/>
      <c r="AW35" s="3781"/>
      <c r="AX35" s="3780"/>
      <c r="AY35" s="3781"/>
      <c r="AZ35" s="3785"/>
      <c r="BA35" s="3785"/>
    </row>
    <row r="36" spans="1:60" ht="37.5" x14ac:dyDescent="0.25">
      <c r="A36" s="3785"/>
      <c r="B36" s="1671"/>
      <c r="C36" s="1671"/>
      <c r="D36" s="1671"/>
      <c r="E36" s="3768"/>
      <c r="F36" s="3768"/>
      <c r="G36" s="3768"/>
      <c r="H36" s="3768"/>
      <c r="I36" s="3768"/>
      <c r="J36" s="1671"/>
      <c r="K36" s="3768"/>
      <c r="L36" s="3768"/>
      <c r="M36" s="1672" t="s">
        <v>377</v>
      </c>
      <c r="N36" s="1672" t="s">
        <v>25</v>
      </c>
      <c r="O36" s="3779"/>
      <c r="P36" s="1672" t="s">
        <v>377</v>
      </c>
      <c r="Q36" s="1672" t="s">
        <v>25</v>
      </c>
      <c r="R36" s="1672" t="s">
        <v>377</v>
      </c>
      <c r="S36" s="1672" t="s">
        <v>25</v>
      </c>
      <c r="T36" s="3768"/>
      <c r="U36" s="1672" t="s">
        <v>377</v>
      </c>
      <c r="V36" s="1672" t="s">
        <v>25</v>
      </c>
      <c r="W36" s="2109" t="s">
        <v>377</v>
      </c>
      <c r="X36" s="2109" t="s">
        <v>25</v>
      </c>
      <c r="Y36" s="2109" t="s">
        <v>377</v>
      </c>
      <c r="Z36" s="2109" t="s">
        <v>25</v>
      </c>
      <c r="AA36" s="1672" t="s">
        <v>377</v>
      </c>
      <c r="AB36" s="1672" t="s">
        <v>25</v>
      </c>
      <c r="AC36" s="3779"/>
      <c r="AD36" s="3768"/>
      <c r="AE36" s="1672" t="s">
        <v>377</v>
      </c>
      <c r="AF36" s="1672" t="s">
        <v>25</v>
      </c>
      <c r="AG36" s="3779"/>
      <c r="AH36" s="1672" t="s">
        <v>377</v>
      </c>
      <c r="AI36" s="1672" t="s">
        <v>25</v>
      </c>
      <c r="AJ36" s="1672" t="s">
        <v>377</v>
      </c>
      <c r="AK36" s="1672" t="s">
        <v>25</v>
      </c>
      <c r="AL36" s="2109" t="s">
        <v>377</v>
      </c>
      <c r="AM36" s="2109" t="s">
        <v>25</v>
      </c>
      <c r="AN36" s="2413" t="s">
        <v>377</v>
      </c>
      <c r="AO36" s="2413" t="s">
        <v>25</v>
      </c>
      <c r="AP36" s="2413" t="s">
        <v>377</v>
      </c>
      <c r="AQ36" s="2413" t="s">
        <v>25</v>
      </c>
      <c r="AR36" s="2109" t="s">
        <v>377</v>
      </c>
      <c r="AS36" s="2109" t="s">
        <v>25</v>
      </c>
      <c r="AT36" s="2759" t="s">
        <v>377</v>
      </c>
      <c r="AU36" s="2759" t="s">
        <v>25</v>
      </c>
      <c r="AV36" s="2413" t="s">
        <v>377</v>
      </c>
      <c r="AW36" s="2413" t="s">
        <v>25</v>
      </c>
      <c r="AX36" s="2413" t="s">
        <v>377</v>
      </c>
      <c r="AY36" s="2413" t="s">
        <v>25</v>
      </c>
      <c r="AZ36" s="3785"/>
      <c r="BA36" s="3785"/>
    </row>
    <row r="37" spans="1:60" ht="20.100000000000001" customHeight="1" x14ac:dyDescent="0.25">
      <c r="A37" s="3811" t="s">
        <v>519</v>
      </c>
      <c r="B37" s="3812"/>
      <c r="C37" s="3812"/>
      <c r="D37" s="3812"/>
      <c r="E37" s="3812"/>
      <c r="F37" s="3812"/>
      <c r="G37" s="3812"/>
      <c r="H37" s="3812"/>
      <c r="I37" s="3812"/>
      <c r="J37" s="3812"/>
      <c r="K37" s="3812"/>
      <c r="L37" s="3812"/>
      <c r="M37" s="3812"/>
      <c r="N37" s="3812"/>
      <c r="O37" s="3812"/>
      <c r="P37" s="3812"/>
      <c r="Q37" s="3812"/>
      <c r="R37" s="3812"/>
      <c r="S37" s="3812"/>
      <c r="T37" s="3812"/>
      <c r="U37" s="3812"/>
      <c r="V37" s="3812"/>
      <c r="W37" s="3812"/>
      <c r="X37" s="3812"/>
      <c r="Y37" s="3812"/>
      <c r="Z37" s="3812"/>
      <c r="AA37" s="3812"/>
      <c r="AB37" s="3812"/>
      <c r="AC37" s="3812"/>
      <c r="AD37" s="3812"/>
      <c r="AE37" s="3812"/>
      <c r="AF37" s="3812"/>
      <c r="AG37" s="3812"/>
      <c r="AH37" s="3812"/>
      <c r="AI37" s="3812"/>
      <c r="AJ37" s="3812"/>
      <c r="AK37" s="3812"/>
      <c r="AL37" s="3812"/>
      <c r="AM37" s="3812"/>
      <c r="AN37" s="3812"/>
      <c r="AO37" s="3812"/>
      <c r="AP37" s="3812"/>
      <c r="AQ37" s="3812"/>
      <c r="AR37" s="3812"/>
      <c r="AS37" s="3812"/>
      <c r="AT37" s="3812"/>
      <c r="AU37" s="3812"/>
      <c r="AV37" s="3812"/>
      <c r="AW37" s="3812"/>
      <c r="AX37" s="3812"/>
      <c r="AY37" s="3812"/>
      <c r="AZ37" s="3812"/>
      <c r="BA37" s="3812"/>
    </row>
    <row r="38" spans="1:60" ht="36" customHeight="1" x14ac:dyDescent="0.2">
      <c r="A38" s="1673" t="s">
        <v>530</v>
      </c>
      <c r="B38" s="1655"/>
      <c r="C38" s="1655"/>
      <c r="D38" s="1655"/>
      <c r="E38" s="1656">
        <f>E41+E43</f>
        <v>5875</v>
      </c>
      <c r="F38" s="1657" t="e">
        <f>E38/C38*100</f>
        <v>#DIV/0!</v>
      </c>
      <c r="G38" s="1656">
        <f>SUM(G41:G43)</f>
        <v>5558.2912165809075</v>
      </c>
      <c r="H38" s="1656">
        <f>SUM(H41:H43)-H42</f>
        <v>3493.3</v>
      </c>
      <c r="I38" s="1656">
        <f>SUM(I41:I43)-I42</f>
        <v>5158</v>
      </c>
      <c r="J38" s="1656">
        <f>SUM(J41:J43)-J42</f>
        <v>0</v>
      </c>
      <c r="K38" s="1687">
        <f>SUM(K39:K40)</f>
        <v>6977.9000000000005</v>
      </c>
      <c r="L38" s="1687">
        <f>SUM(L39:L40)</f>
        <v>5800.03</v>
      </c>
      <c r="M38" s="1687">
        <f>SUM(M39:M40)</f>
        <v>5561.39</v>
      </c>
      <c r="N38" s="1687">
        <f>N40</f>
        <v>46.13</v>
      </c>
      <c r="O38" s="1687">
        <f>SUM(M38/G38*100)</f>
        <v>100.05575064886575</v>
      </c>
      <c r="P38" s="1687">
        <f t="shared" ref="P38:Q38" si="3">SUM(P39:P40)</f>
        <v>3367.79</v>
      </c>
      <c r="Q38" s="1687">
        <f t="shared" si="3"/>
        <v>13.7</v>
      </c>
      <c r="R38" s="1687">
        <f>SUM(R39:R40)</f>
        <v>6697.91</v>
      </c>
      <c r="S38" s="1687">
        <f>SUM(S39:S40)</f>
        <v>18.22</v>
      </c>
      <c r="T38" s="1687">
        <f t="shared" ref="T38:V38" si="4">SUM(T39:T40)</f>
        <v>5779.357</v>
      </c>
      <c r="U38" s="1687">
        <f t="shared" si="4"/>
        <v>4681.12</v>
      </c>
      <c r="V38" s="1687">
        <f t="shared" si="4"/>
        <v>1.95</v>
      </c>
      <c r="W38" s="1687">
        <f t="shared" ref="W38:X38" si="5">SUM(W39:W40)</f>
        <v>6329.630000000001</v>
      </c>
      <c r="X38" s="1687">
        <f t="shared" si="5"/>
        <v>2.4</v>
      </c>
      <c r="Y38" s="1687">
        <f t="shared" ref="Y38:Z38" si="6">SUM(Y39:Y40)</f>
        <v>5627.2590286425911</v>
      </c>
      <c r="Z38" s="1687">
        <f t="shared" si="6"/>
        <v>2.4</v>
      </c>
      <c r="AA38" s="1688">
        <f>SUM(AA39:AA40)</f>
        <v>5654.317</v>
      </c>
      <c r="AB38" s="1688">
        <f>SUM(AB39:AB40)</f>
        <v>21.42</v>
      </c>
      <c r="AC38" s="1687">
        <f>SUM(AA38/M38*100)</f>
        <v>101.67093118806629</v>
      </c>
      <c r="AD38" s="1688">
        <f>SUM(AD39:AD40)</f>
        <v>5782.63</v>
      </c>
      <c r="AE38" s="1688">
        <f>SUM(AE39:AE40)</f>
        <v>5538.98</v>
      </c>
      <c r="AF38" s="1688">
        <f>SUM(AF39:AF40)</f>
        <v>21.42</v>
      </c>
      <c r="AG38" s="1680">
        <f>SUM(AE38/Q38*100)</f>
        <v>40430.510948905103</v>
      </c>
      <c r="AH38" s="1688">
        <f t="shared" ref="AH38:AY38" si="7">SUM(AH39:AH40)</f>
        <v>5618.25</v>
      </c>
      <c r="AI38" s="1688">
        <f t="shared" si="7"/>
        <v>18</v>
      </c>
      <c r="AJ38" s="1688">
        <f t="shared" si="7"/>
        <v>5550.3362214411945</v>
      </c>
      <c r="AK38" s="1688">
        <f t="shared" si="7"/>
        <v>20.349</v>
      </c>
      <c r="AL38" s="1688">
        <f t="shared" si="7"/>
        <v>1850</v>
      </c>
      <c r="AM38" s="1688">
        <f t="shared" si="7"/>
        <v>20</v>
      </c>
      <c r="AN38" s="1688">
        <f t="shared" si="7"/>
        <v>6766</v>
      </c>
      <c r="AO38" s="1688">
        <f t="shared" si="7"/>
        <v>1.77</v>
      </c>
      <c r="AP38" s="1688">
        <f t="shared" si="7"/>
        <v>5955.747459526774</v>
      </c>
      <c r="AQ38" s="1688">
        <f t="shared" si="7"/>
        <v>1.77</v>
      </c>
      <c r="AR38" s="1688">
        <f t="shared" si="7"/>
        <v>5304.8611437166173</v>
      </c>
      <c r="AS38" s="1688">
        <f t="shared" si="7"/>
        <v>21.42</v>
      </c>
      <c r="AT38" s="1688">
        <f t="shared" ref="AT38:AU38" si="8">SUM(AT39:AT40)</f>
        <v>5254.5210000000006</v>
      </c>
      <c r="AU38" s="1688">
        <f t="shared" si="8"/>
        <v>1.171</v>
      </c>
      <c r="AV38" s="1688">
        <f t="shared" si="7"/>
        <v>6145</v>
      </c>
      <c r="AW38" s="1688">
        <f t="shared" si="7"/>
        <v>5</v>
      </c>
      <c r="AX38" s="1688">
        <f t="shared" si="7"/>
        <v>6253.3816796622659</v>
      </c>
      <c r="AY38" s="1688">
        <f t="shared" si="7"/>
        <v>1.77</v>
      </c>
      <c r="AZ38" s="3823"/>
      <c r="BA38" s="3823"/>
    </row>
    <row r="39" spans="1:60" ht="36" customHeight="1" x14ac:dyDescent="0.2">
      <c r="A39" s="1674" t="s">
        <v>529</v>
      </c>
      <c r="B39" s="1655"/>
      <c r="C39" s="1655"/>
      <c r="D39" s="1655"/>
      <c r="E39" s="1658">
        <f>SUM(E38-E40)</f>
        <v>5850</v>
      </c>
      <c r="F39" s="1659"/>
      <c r="G39" s="1658">
        <f>SUM(G38-G40)</f>
        <v>5512.2912165809075</v>
      </c>
      <c r="H39" s="1658">
        <f>SUM(H38-H40)</f>
        <v>3465.3</v>
      </c>
      <c r="I39" s="1658">
        <f>SUM(I38-I40)</f>
        <v>5119.5</v>
      </c>
      <c r="J39" s="1656"/>
      <c r="K39" s="1689">
        <v>6928.1</v>
      </c>
      <c r="L39" s="1689">
        <v>5753.9</v>
      </c>
      <c r="M39" s="1692">
        <f>M41+M43</f>
        <v>5561.39</v>
      </c>
      <c r="N39" s="1689"/>
      <c r="O39" s="1689">
        <f t="shared" ref="O39:O61" si="9">SUM(M39/G39*100)</f>
        <v>100.89071461375995</v>
      </c>
      <c r="P39" s="1690">
        <v>3367.79</v>
      </c>
      <c r="Q39" s="1690"/>
      <c r="R39" s="1692">
        <f>R41+R43</f>
        <v>6697.91</v>
      </c>
      <c r="S39" s="1692">
        <v>0</v>
      </c>
      <c r="T39" s="1692">
        <f t="shared" ref="T39:U39" si="10">T41+T43</f>
        <v>5757.9369999999999</v>
      </c>
      <c r="U39" s="1692">
        <f t="shared" si="10"/>
        <v>4681.12</v>
      </c>
      <c r="V39" s="1692"/>
      <c r="W39" s="1692">
        <f t="shared" ref="W39" si="11">W41+W43</f>
        <v>6329.630000000001</v>
      </c>
      <c r="X39" s="1692"/>
      <c r="Y39" s="1692">
        <f t="shared" ref="Y39" si="12">Y41+Y43</f>
        <v>5627.2590286425911</v>
      </c>
      <c r="Z39" s="1692"/>
      <c r="AA39" s="1692">
        <f>AA41+AA43</f>
        <v>5654.317</v>
      </c>
      <c r="AB39" s="1692"/>
      <c r="AC39" s="1689">
        <f>SUM(AA39/M39*100)</f>
        <v>101.67093118806629</v>
      </c>
      <c r="AD39" s="1691">
        <v>5736.5</v>
      </c>
      <c r="AE39" s="1692">
        <f>AE41+AE43</f>
        <v>5538.98</v>
      </c>
      <c r="AF39" s="1692"/>
      <c r="AG39" s="1677" t="e">
        <f>SUM(AE39/Q39*100)</f>
        <v>#DIV/0!</v>
      </c>
      <c r="AH39" s="1692">
        <f>AH41+AH43</f>
        <v>5618.25</v>
      </c>
      <c r="AI39" s="1692"/>
      <c r="AJ39" s="1692">
        <f>AJ41+AJ43</f>
        <v>5550.3362214411945</v>
      </c>
      <c r="AK39" s="1692"/>
      <c r="AL39" s="1692">
        <f>AL41+AL43</f>
        <v>1850</v>
      </c>
      <c r="AM39" s="1692"/>
      <c r="AN39" s="1692">
        <f>AN41+AN43</f>
        <v>6766</v>
      </c>
      <c r="AO39" s="1692">
        <v>0</v>
      </c>
      <c r="AP39" s="1692">
        <f t="shared" ref="AP39" si="13">AP41+AP43</f>
        <v>5955.747459526774</v>
      </c>
      <c r="AQ39" s="1692">
        <v>0</v>
      </c>
      <c r="AR39" s="1692">
        <f>AR41+AR43</f>
        <v>5304.8611437166173</v>
      </c>
      <c r="AS39" s="1692"/>
      <c r="AT39" s="1692">
        <f>AT41+AT43</f>
        <v>5254.5210000000006</v>
      </c>
      <c r="AU39" s="1692"/>
      <c r="AV39" s="1692">
        <f>AV41+AV43</f>
        <v>6145</v>
      </c>
      <c r="AW39" s="1692"/>
      <c r="AX39" s="1692">
        <f>AX41+AX43</f>
        <v>6253.3816796622659</v>
      </c>
      <c r="AY39" s="1692"/>
      <c r="AZ39" s="3819"/>
      <c r="BA39" s="3821"/>
    </row>
    <row r="40" spans="1:60" ht="36" customHeight="1" x14ac:dyDescent="0.2">
      <c r="A40" s="1674" t="s">
        <v>528</v>
      </c>
      <c r="B40" s="1655"/>
      <c r="C40" s="1655"/>
      <c r="D40" s="1655"/>
      <c r="E40" s="1658">
        <v>25</v>
      </c>
      <c r="F40" s="1659"/>
      <c r="G40" s="1658">
        <v>46</v>
      </c>
      <c r="H40" s="1658">
        <v>28</v>
      </c>
      <c r="I40" s="1658">
        <v>38.5</v>
      </c>
      <c r="J40" s="1656"/>
      <c r="K40" s="1689">
        <v>49.8</v>
      </c>
      <c r="L40" s="1689">
        <v>46.13</v>
      </c>
      <c r="M40" s="1689">
        <v>0</v>
      </c>
      <c r="N40" s="1689">
        <v>46.13</v>
      </c>
      <c r="O40" s="1689">
        <f t="shared" si="9"/>
        <v>0</v>
      </c>
      <c r="P40" s="1690"/>
      <c r="Q40" s="1690">
        <v>13.7</v>
      </c>
      <c r="R40" s="1689">
        <v>0</v>
      </c>
      <c r="S40" s="1689">
        <v>18.22</v>
      </c>
      <c r="T40" s="1691">
        <v>21.42</v>
      </c>
      <c r="U40" s="1691"/>
      <c r="V40" s="1691">
        <v>1.95</v>
      </c>
      <c r="W40" s="1691"/>
      <c r="X40" s="1691">
        <v>2.4</v>
      </c>
      <c r="Y40" s="1691"/>
      <c r="Z40" s="1691">
        <v>2.4</v>
      </c>
      <c r="AA40" s="1692"/>
      <c r="AB40" s="1692">
        <f>AB48</f>
        <v>21.42</v>
      </c>
      <c r="AC40" s="1689">
        <f>SUM(AA40/40*100)</f>
        <v>0</v>
      </c>
      <c r="AD40" s="1691">
        <v>46.13</v>
      </c>
      <c r="AE40" s="1692"/>
      <c r="AF40" s="1692">
        <f>AF48</f>
        <v>21.42</v>
      </c>
      <c r="AG40" s="1677">
        <f>SUM(AE40/40*100)</f>
        <v>0</v>
      </c>
      <c r="AH40" s="1692"/>
      <c r="AI40" s="1692">
        <f>AI48</f>
        <v>18</v>
      </c>
      <c r="AJ40" s="1692"/>
      <c r="AK40" s="1692">
        <f>AK43</f>
        <v>20.349</v>
      </c>
      <c r="AL40" s="1692"/>
      <c r="AM40" s="1692">
        <f>AM48</f>
        <v>20</v>
      </c>
      <c r="AN40" s="1692"/>
      <c r="AO40" s="1692">
        <f>AO45</f>
        <v>1.77</v>
      </c>
      <c r="AP40" s="1692">
        <f t="shared" ref="AP40:AQ40" si="14">AP45</f>
        <v>0</v>
      </c>
      <c r="AQ40" s="1692">
        <f t="shared" si="14"/>
        <v>1.77</v>
      </c>
      <c r="AR40" s="1692"/>
      <c r="AS40" s="1692">
        <f>AS43</f>
        <v>21.42</v>
      </c>
      <c r="AT40" s="1692"/>
      <c r="AU40" s="1692">
        <f>AU43</f>
        <v>1.171</v>
      </c>
      <c r="AV40" s="1692"/>
      <c r="AW40" s="1692">
        <f>AW41+AW43</f>
        <v>5</v>
      </c>
      <c r="AX40" s="1692"/>
      <c r="AY40" s="1692">
        <f>AY43</f>
        <v>1.77</v>
      </c>
      <c r="AZ40" s="3819"/>
      <c r="BA40" s="3821"/>
    </row>
    <row r="41" spans="1:60" ht="36" customHeight="1" x14ac:dyDescent="0.2">
      <c r="A41" s="1674" t="s">
        <v>20</v>
      </c>
      <c r="B41" s="1660"/>
      <c r="C41" s="1660"/>
      <c r="D41" s="1660"/>
      <c r="E41" s="1658">
        <v>876</v>
      </c>
      <c r="F41" s="1658" t="e">
        <f>E41/C41*100</f>
        <v>#DIV/0!</v>
      </c>
      <c r="G41" s="1658">
        <v>507</v>
      </c>
      <c r="H41" s="1658">
        <f>3493.3-3054.18</f>
        <v>439.12000000000035</v>
      </c>
      <c r="I41" s="1658">
        <v>648.79999999999995</v>
      </c>
      <c r="J41" s="1661"/>
      <c r="K41" s="1693">
        <v>841</v>
      </c>
      <c r="L41" s="1694">
        <v>754</v>
      </c>
      <c r="M41" s="1694">
        <v>557.12</v>
      </c>
      <c r="N41" s="1694"/>
      <c r="O41" s="1694">
        <f t="shared" si="9"/>
        <v>109.88560157790927</v>
      </c>
      <c r="P41" s="1693">
        <v>479.3</v>
      </c>
      <c r="Q41" s="1693">
        <v>0</v>
      </c>
      <c r="R41" s="1694">
        <v>1030.98</v>
      </c>
      <c r="S41" s="1694"/>
      <c r="T41" s="1695">
        <v>750</v>
      </c>
      <c r="U41" s="1695">
        <v>877.4</v>
      </c>
      <c r="V41" s="1695"/>
      <c r="W41" s="1695">
        <v>1185.4000000000001</v>
      </c>
      <c r="X41" s="1695"/>
      <c r="Y41" s="1695">
        <v>1185.4000000000001</v>
      </c>
      <c r="Z41" s="1695"/>
      <c r="AA41" s="1695">
        <v>686.4</v>
      </c>
      <c r="AB41" s="1695"/>
      <c r="AC41" s="1694">
        <f>SUM(AA41/41*100)</f>
        <v>1674.1463414634147</v>
      </c>
      <c r="AD41" s="1695">
        <v>750</v>
      </c>
      <c r="AE41" s="1695">
        <v>686.4</v>
      </c>
      <c r="AF41" s="1695"/>
      <c r="AG41" s="1677">
        <f>SUM(AE41/41*100)</f>
        <v>1674.1463414634147</v>
      </c>
      <c r="AH41" s="1695">
        <v>900</v>
      </c>
      <c r="AI41" s="1695"/>
      <c r="AJ41" s="1695">
        <f>AJ43*15.39/84.61</f>
        <v>854.19674447979992</v>
      </c>
      <c r="AK41" s="1695"/>
      <c r="AL41" s="1695">
        <v>920</v>
      </c>
      <c r="AM41" s="1695"/>
      <c r="AN41" s="1695">
        <v>1403.07</v>
      </c>
      <c r="AO41" s="1695"/>
      <c r="AP41" s="1695">
        <f>AN41</f>
        <v>1403.07</v>
      </c>
      <c r="AQ41" s="1695"/>
      <c r="AR41" s="1695">
        <f>AR43*15.39/84.61</f>
        <v>816.41813001798744</v>
      </c>
      <c r="AS41" s="1695"/>
      <c r="AT41" s="2456">
        <v>895.72299999999996</v>
      </c>
      <c r="AU41" s="2456"/>
      <c r="AV41" s="2456">
        <v>1000</v>
      </c>
      <c r="AW41" s="2456"/>
      <c r="AX41" s="2456">
        <f>AT41/9*12</f>
        <v>1194.2973333333332</v>
      </c>
      <c r="AY41" s="2456"/>
      <c r="AZ41" s="3813" t="s">
        <v>3530</v>
      </c>
      <c r="BA41" s="3814"/>
    </row>
    <row r="42" spans="1:60" s="182" customFormat="1" ht="31.5" customHeight="1" x14ac:dyDescent="0.2">
      <c r="A42" s="1675" t="s">
        <v>382</v>
      </c>
      <c r="B42" s="1663"/>
      <c r="C42" s="1663"/>
      <c r="D42" s="1663"/>
      <c r="E42" s="1664">
        <f>E41/E38</f>
        <v>0.14910638297872342</v>
      </c>
      <c r="F42" s="1659"/>
      <c r="G42" s="1664">
        <f>507/5558.2</f>
        <v>9.1216580907488035E-2</v>
      </c>
      <c r="H42" s="1664">
        <f>439.12/3493</f>
        <v>0.12571428571428572</v>
      </c>
      <c r="I42" s="1664">
        <f>SUM(648.8/5158)</f>
        <v>0.12578518805738659</v>
      </c>
      <c r="J42" s="1665"/>
      <c r="K42" s="1696">
        <f>SUM(K41/K38)</f>
        <v>0.12052336662892847</v>
      </c>
      <c r="L42" s="1696">
        <f>SUM(L41/L38)</f>
        <v>0.12999932758968488</v>
      </c>
      <c r="M42" s="1696">
        <f>SUM(M41/M38)</f>
        <v>0.10017639475023329</v>
      </c>
      <c r="N42" s="1696"/>
      <c r="O42" s="1689">
        <f t="shared" si="9"/>
        <v>109.82257145971334</v>
      </c>
      <c r="P42" s="1696">
        <f t="shared" ref="P42:Q42" si="15">SUM(P41/P38)</f>
        <v>0.14231885004706352</v>
      </c>
      <c r="Q42" s="1696">
        <f t="shared" si="15"/>
        <v>0</v>
      </c>
      <c r="R42" s="1696">
        <f>SUM(R41/R38)</f>
        <v>0.15392562754650332</v>
      </c>
      <c r="S42" s="1696"/>
      <c r="T42" s="1696">
        <f>SUM(T41/T38)</f>
        <v>0.12977222206553429</v>
      </c>
      <c r="U42" s="1696"/>
      <c r="V42" s="1696"/>
      <c r="W42" s="1696">
        <f>SUM(W41/W38)</f>
        <v>0.18727792935764015</v>
      </c>
      <c r="X42" s="1696"/>
      <c r="Y42" s="1696">
        <f>SUM(Y41/Y38)</f>
        <v>0.2106531783886875</v>
      </c>
      <c r="Z42" s="1696"/>
      <c r="AA42" s="1696">
        <f>SUM(AA41/AA38)</f>
        <v>0.12139397207478816</v>
      </c>
      <c r="AB42" s="1697"/>
      <c r="AC42" s="1689">
        <f>SUM(AA42/M42*100)</f>
        <v>121.18021653449998</v>
      </c>
      <c r="AD42" s="1696">
        <f>SUM(AD41/AD38)</f>
        <v>0.12969877028272603</v>
      </c>
      <c r="AE42" s="1696">
        <f>SUM(AE41/AE38)</f>
        <v>0.12392173288222742</v>
      </c>
      <c r="AF42" s="1697"/>
      <c r="AG42" s="1677" t="e">
        <f>SUM(AE42/Q42*100)</f>
        <v>#DIV/0!</v>
      </c>
      <c r="AH42" s="1696">
        <f>SUM(AH41/AH38)</f>
        <v>0.16019223067681218</v>
      </c>
      <c r="AI42" s="1697"/>
      <c r="AJ42" s="1696">
        <f>SUM(AJ41/AJ38)</f>
        <v>0.15390000000000001</v>
      </c>
      <c r="AK42" s="1697"/>
      <c r="AL42" s="1696">
        <f>SUM(AL41/AL38)</f>
        <v>0.49729729729729732</v>
      </c>
      <c r="AM42" s="1697"/>
      <c r="AN42" s="1696">
        <f>SUM(AN41/AN38)</f>
        <v>0.20737067691398167</v>
      </c>
      <c r="AO42" s="1696">
        <f t="shared" ref="AO42:AQ42" si="16">SUM(AO41/AO38)</f>
        <v>0</v>
      </c>
      <c r="AP42" s="1696">
        <f t="shared" si="16"/>
        <v>0.23558252083970729</v>
      </c>
      <c r="AQ42" s="1696">
        <f t="shared" si="16"/>
        <v>0</v>
      </c>
      <c r="AR42" s="1696">
        <f>SUM(AR41/AR38)</f>
        <v>0.15390000000000001</v>
      </c>
      <c r="AS42" s="1697"/>
      <c r="AT42" s="1696">
        <f>SUM(AT41/AT38)</f>
        <v>0.1704671082292753</v>
      </c>
      <c r="AU42" s="1697"/>
      <c r="AV42" s="2648">
        <f>AV41/AV39</f>
        <v>0.16273393002441008</v>
      </c>
      <c r="AW42" s="1697"/>
      <c r="AX42" s="2648">
        <f>AX41/AX39</f>
        <v>0.19098423773132542</v>
      </c>
      <c r="AY42" s="1697"/>
      <c r="AZ42" s="3822" t="s">
        <v>2095</v>
      </c>
      <c r="BA42" s="3822"/>
      <c r="BC42" s="1336">
        <f>K41/(K38-K40)</f>
        <v>0.12138970280452072</v>
      </c>
    </row>
    <row r="43" spans="1:60" ht="36" customHeight="1" x14ac:dyDescent="0.2">
      <c r="A43" s="1673" t="s">
        <v>531</v>
      </c>
      <c r="B43" s="1666"/>
      <c r="C43" s="1666"/>
      <c r="D43" s="1666"/>
      <c r="E43" s="1656">
        <f>E46+E48</f>
        <v>4999</v>
      </c>
      <c r="F43" s="1657" t="e">
        <f>E43/C43*100</f>
        <v>#DIV/0!</v>
      </c>
      <c r="G43" s="1656">
        <f>G46+G48</f>
        <v>5051.2</v>
      </c>
      <c r="H43" s="1656">
        <f>H46+H48</f>
        <v>3054.18</v>
      </c>
      <c r="I43" s="1656">
        <f>I46+I48</f>
        <v>4509.2</v>
      </c>
      <c r="J43" s="1667"/>
      <c r="K43" s="1687">
        <f>SUM(K44:K45)</f>
        <v>6136.9000000000005</v>
      </c>
      <c r="L43" s="1687">
        <f>L46+L48</f>
        <v>5046.03</v>
      </c>
      <c r="M43" s="1687">
        <f>M46+M48</f>
        <v>5004.2700000000004</v>
      </c>
      <c r="N43" s="1687">
        <f>N46+N48</f>
        <v>46.13</v>
      </c>
      <c r="O43" s="1687">
        <f t="shared" si="9"/>
        <v>99.070913842255308</v>
      </c>
      <c r="P43" s="1687">
        <f t="shared" ref="P43:Q43" si="17">SUM(P44:P45)</f>
        <v>2888.49</v>
      </c>
      <c r="Q43" s="1687">
        <f t="shared" si="17"/>
        <v>13.7</v>
      </c>
      <c r="R43" s="1687">
        <f>R46+R48</f>
        <v>5666.93</v>
      </c>
      <c r="S43" s="1687">
        <f t="shared" ref="S43:V43" si="18">S46+S48</f>
        <v>18.22</v>
      </c>
      <c r="T43" s="1687">
        <f t="shared" si="18"/>
        <v>5007.9369999999999</v>
      </c>
      <c r="U43" s="1687">
        <f t="shared" si="18"/>
        <v>3803.72</v>
      </c>
      <c r="V43" s="1687">
        <f t="shared" si="18"/>
        <v>1.95</v>
      </c>
      <c r="W43" s="1687">
        <f t="shared" ref="W43:X43" si="19">W46+W48</f>
        <v>5144.2300000000005</v>
      </c>
      <c r="X43" s="1687">
        <f t="shared" si="19"/>
        <v>2.4</v>
      </c>
      <c r="Y43" s="1687">
        <f t="shared" ref="Y43:Z43" si="20">Y46+Y48</f>
        <v>4441.8590286425906</v>
      </c>
      <c r="Z43" s="1687">
        <f t="shared" si="20"/>
        <v>2.4</v>
      </c>
      <c r="AA43" s="1688">
        <f>SUM(AA44:AA45)</f>
        <v>4967.9170000000004</v>
      </c>
      <c r="AB43" s="1688">
        <f>SUM(AB44:AB45)</f>
        <v>21.42</v>
      </c>
      <c r="AC43" s="1687">
        <f>SUM(AA43/M43*100)</f>
        <v>99.273560379435963</v>
      </c>
      <c r="AD43" s="1688">
        <f>SUM(AD44:AD45)</f>
        <v>5032.63</v>
      </c>
      <c r="AE43" s="1688">
        <f>SUM(AE44:AE45)</f>
        <v>4852.58</v>
      </c>
      <c r="AF43" s="1688">
        <f>SUM(AF44:AF45)</f>
        <v>21.42</v>
      </c>
      <c r="AG43" s="1676">
        <f>SUM(AE43/Q43*100)</f>
        <v>35420.291970802922</v>
      </c>
      <c r="AH43" s="1688">
        <f>SUM(AH44:AH45)</f>
        <v>4718.25</v>
      </c>
      <c r="AI43" s="1688">
        <f>SUM(AI44:AI45)</f>
        <v>18</v>
      </c>
      <c r="AJ43" s="1688">
        <f>SUM(AJ44:AJ45)</f>
        <v>4696.1394769613944</v>
      </c>
      <c r="AK43" s="1688">
        <f>AK45+AK46</f>
        <v>20.349</v>
      </c>
      <c r="AL43" s="1688">
        <f t="shared" ref="AL43:AM43" si="21">AL45+AL46</f>
        <v>930</v>
      </c>
      <c r="AM43" s="1688">
        <f t="shared" si="21"/>
        <v>20</v>
      </c>
      <c r="AN43" s="1688">
        <f>SUM(AN44:AN45)</f>
        <v>5362.93</v>
      </c>
      <c r="AO43" s="1688">
        <f t="shared" ref="AO43:AQ43" si="22">SUM(AO44:AO45)</f>
        <v>1.77</v>
      </c>
      <c r="AP43" s="1688">
        <f t="shared" si="22"/>
        <v>4552.6774595267743</v>
      </c>
      <c r="AQ43" s="1688">
        <f t="shared" si="22"/>
        <v>1.77</v>
      </c>
      <c r="AR43" s="1688">
        <f>SUM(AR44:AR45)</f>
        <v>4488.4430136986302</v>
      </c>
      <c r="AS43" s="1688">
        <f>AS45+AS46</f>
        <v>21.42</v>
      </c>
      <c r="AT43" s="1688">
        <f>AT44</f>
        <v>4358.7980000000007</v>
      </c>
      <c r="AU43" s="1688">
        <f t="shared" ref="AU43" si="23">AU45+AU46</f>
        <v>1.171</v>
      </c>
      <c r="AV43" s="1688">
        <f>AV44</f>
        <v>5145</v>
      </c>
      <c r="AW43" s="1688">
        <f t="shared" ref="AW43:AY43" si="24">AW45+AW46</f>
        <v>5</v>
      </c>
      <c r="AX43" s="1688">
        <f>AX44</f>
        <v>5059.084346328933</v>
      </c>
      <c r="AY43" s="1688">
        <f t="shared" si="24"/>
        <v>1.77</v>
      </c>
      <c r="AZ43" s="3819"/>
      <c r="BA43" s="3819"/>
    </row>
    <row r="44" spans="1:60" ht="36" customHeight="1" x14ac:dyDescent="0.2">
      <c r="A44" s="1674" t="s">
        <v>529</v>
      </c>
      <c r="B44" s="1666"/>
      <c r="C44" s="1666"/>
      <c r="D44" s="1666"/>
      <c r="E44" s="1658">
        <f>SUM(E43-E45)</f>
        <v>4974</v>
      </c>
      <c r="F44" s="1659"/>
      <c r="G44" s="1658">
        <f>SUM(G43-G45)</f>
        <v>5005.2</v>
      </c>
      <c r="H44" s="1658">
        <f>SUM(H43-H45)</f>
        <v>3026.18</v>
      </c>
      <c r="I44" s="1658">
        <f>SUM(I43-I45)</f>
        <v>4470.7</v>
      </c>
      <c r="J44" s="1667"/>
      <c r="K44" s="1689">
        <f>SUM(K39-K41)</f>
        <v>6087.1</v>
      </c>
      <c r="L44" s="1689">
        <f>SUM(L43-L45)</f>
        <v>4999.8999999999996</v>
      </c>
      <c r="M44" s="1691">
        <f>M48+M46</f>
        <v>5004.2700000000004</v>
      </c>
      <c r="N44" s="1689"/>
      <c r="O44" s="1689">
        <f t="shared" si="9"/>
        <v>99.981419323903154</v>
      </c>
      <c r="P44" s="1689">
        <f t="shared" ref="P44" si="25">SUM(P39-P41)</f>
        <v>2888.49</v>
      </c>
      <c r="Q44" s="1689"/>
      <c r="R44" s="1691">
        <f>R48+R46</f>
        <v>5666.93</v>
      </c>
      <c r="S44" s="1689"/>
      <c r="T44" s="1691">
        <f>SUM(T39-T41)</f>
        <v>5007.9369999999999</v>
      </c>
      <c r="U44" s="1691"/>
      <c r="V44" s="1691"/>
      <c r="W44" s="1691"/>
      <c r="X44" s="1691"/>
      <c r="Y44" s="1691"/>
      <c r="Z44" s="1691"/>
      <c r="AA44" s="1691">
        <f>AA48+AA46</f>
        <v>4967.9170000000004</v>
      </c>
      <c r="AB44" s="1691"/>
      <c r="AC44" s="1689">
        <f>SUM(AA44/45*100)</f>
        <v>11039.815555555557</v>
      </c>
      <c r="AD44" s="1691">
        <f>SUM(AD39-AD41)</f>
        <v>4986.5</v>
      </c>
      <c r="AE44" s="1691">
        <f>AE48+AE46</f>
        <v>4852.58</v>
      </c>
      <c r="AF44" s="1691"/>
      <c r="AG44" s="1677">
        <f>SUM(AE44/45*100)</f>
        <v>10783.511111111111</v>
      </c>
      <c r="AH44" s="1691">
        <f>AH48+AH46</f>
        <v>4718.25</v>
      </c>
      <c r="AI44" s="1691"/>
      <c r="AJ44" s="1691">
        <f>AJ48+AJ46</f>
        <v>4696.1394769613944</v>
      </c>
      <c r="AK44" s="1691">
        <v>0</v>
      </c>
      <c r="AL44" s="1691">
        <f>AL48+AL46</f>
        <v>4530</v>
      </c>
      <c r="AM44" s="1691"/>
      <c r="AN44" s="1691">
        <f>AN48+AN46</f>
        <v>5362.93</v>
      </c>
      <c r="AO44" s="1691"/>
      <c r="AP44" s="1691">
        <f>AP48+AP46</f>
        <v>4552.6774595267743</v>
      </c>
      <c r="AQ44" s="1691">
        <v>0</v>
      </c>
      <c r="AR44" s="1691">
        <f>AR48+AR46</f>
        <v>4488.4430136986302</v>
      </c>
      <c r="AS44" s="1691">
        <v>0</v>
      </c>
      <c r="AT44" s="1691">
        <f>AT46+AT48</f>
        <v>4358.7980000000007</v>
      </c>
      <c r="AU44" s="1691"/>
      <c r="AV44" s="1691">
        <f>AV48+AV46</f>
        <v>5145</v>
      </c>
      <c r="AW44" s="1691"/>
      <c r="AX44" s="1691">
        <f>AX48+AX46</f>
        <v>5059.084346328933</v>
      </c>
      <c r="AY44" s="1691"/>
      <c r="AZ44" s="3819"/>
      <c r="BA44" s="3819"/>
      <c r="BH44" s="156">
        <f>S43-Q43</f>
        <v>4.5199999999999996</v>
      </c>
    </row>
    <row r="45" spans="1:60" ht="36" customHeight="1" x14ac:dyDescent="0.2">
      <c r="A45" s="1674" t="s">
        <v>528</v>
      </c>
      <c r="B45" s="1666"/>
      <c r="C45" s="1666"/>
      <c r="D45" s="1666"/>
      <c r="E45" s="1658">
        <v>25</v>
      </c>
      <c r="F45" s="1659"/>
      <c r="G45" s="1658">
        <v>46</v>
      </c>
      <c r="H45" s="1658">
        <v>28</v>
      </c>
      <c r="I45" s="1658">
        <v>38.5</v>
      </c>
      <c r="J45" s="1667"/>
      <c r="K45" s="1689">
        <f>SUM(K40)</f>
        <v>49.8</v>
      </c>
      <c r="L45" s="1689">
        <v>46.13</v>
      </c>
      <c r="M45" s="1689">
        <v>46.13</v>
      </c>
      <c r="N45" s="1689">
        <v>0</v>
      </c>
      <c r="O45" s="1689">
        <f t="shared" si="9"/>
        <v>100.28260869565217</v>
      </c>
      <c r="P45" s="1689">
        <f t="shared" ref="P45" si="26">SUM(P40)</f>
        <v>0</v>
      </c>
      <c r="Q45" s="1689">
        <f>Q38-Q41</f>
        <v>13.7</v>
      </c>
      <c r="R45" s="1689">
        <v>0</v>
      </c>
      <c r="S45" s="1689">
        <v>18.22</v>
      </c>
      <c r="T45" s="1691">
        <f>SUM(T40)</f>
        <v>21.42</v>
      </c>
      <c r="U45" s="1691"/>
      <c r="V45" s="1691"/>
      <c r="W45" s="1691"/>
      <c r="X45" s="1691"/>
      <c r="Y45" s="1691"/>
      <c r="Z45" s="1691"/>
      <c r="AA45" s="1691">
        <f>SUM(AA40)</f>
        <v>0</v>
      </c>
      <c r="AB45" s="1691">
        <f>AB48</f>
        <v>21.42</v>
      </c>
      <c r="AC45" s="1689">
        <f>SUM(AA45/46*100)</f>
        <v>0</v>
      </c>
      <c r="AD45" s="1691">
        <f>SUM(AD40)</f>
        <v>46.13</v>
      </c>
      <c r="AE45" s="1691">
        <f>SUM(AE40)</f>
        <v>0</v>
      </c>
      <c r="AF45" s="1691">
        <f>AF48</f>
        <v>21.42</v>
      </c>
      <c r="AG45" s="1677">
        <f>SUM(AE45/46*100)</f>
        <v>0</v>
      </c>
      <c r="AH45" s="1691">
        <f>SUM(AH40)</f>
        <v>0</v>
      </c>
      <c r="AI45" s="1691">
        <f>AI48</f>
        <v>18</v>
      </c>
      <c r="AJ45" s="1691">
        <f>SUM(AJ40)</f>
        <v>0</v>
      </c>
      <c r="AK45" s="1691">
        <f>AK48</f>
        <v>20.349</v>
      </c>
      <c r="AL45" s="1691">
        <f>SUM(AL40)</f>
        <v>0</v>
      </c>
      <c r="AM45" s="1691">
        <f>AM48</f>
        <v>20</v>
      </c>
      <c r="AN45" s="1691">
        <v>0</v>
      </c>
      <c r="AO45" s="1691">
        <f>AO48</f>
        <v>1.77</v>
      </c>
      <c r="AP45" s="1691">
        <v>0</v>
      </c>
      <c r="AQ45" s="1691">
        <f>AQ48</f>
        <v>1.77</v>
      </c>
      <c r="AR45" s="1691">
        <f>SUM(AR40)</f>
        <v>0</v>
      </c>
      <c r="AS45" s="1691">
        <f>AS48</f>
        <v>21.42</v>
      </c>
      <c r="AT45" s="1691"/>
      <c r="AU45" s="1691">
        <v>1.171</v>
      </c>
      <c r="AV45" s="1691"/>
      <c r="AW45" s="1691">
        <f>AW48+AW46</f>
        <v>5</v>
      </c>
      <c r="AX45" s="1691"/>
      <c r="AY45" s="1691">
        <f>AY48</f>
        <v>1.77</v>
      </c>
      <c r="AZ45" s="3819" t="s">
        <v>1916</v>
      </c>
      <c r="BA45" s="3819"/>
    </row>
    <row r="46" spans="1:60" ht="36" customHeight="1" x14ac:dyDescent="0.2">
      <c r="A46" s="1674" t="s">
        <v>51</v>
      </c>
      <c r="B46" s="1660"/>
      <c r="C46" s="1660"/>
      <c r="D46" s="1660"/>
      <c r="E46" s="1658">
        <v>999</v>
      </c>
      <c r="F46" s="1658" t="e">
        <f>E46/C46*100</f>
        <v>#DIV/0!</v>
      </c>
      <c r="G46" s="1658">
        <f>E46</f>
        <v>999</v>
      </c>
      <c r="H46" s="1658">
        <v>981.98</v>
      </c>
      <c r="I46" s="1658">
        <v>1481.3</v>
      </c>
      <c r="J46" s="1661"/>
      <c r="K46" s="1689">
        <v>2097.9</v>
      </c>
      <c r="L46" s="1689">
        <v>1007.9</v>
      </c>
      <c r="M46" s="1689">
        <v>998</v>
      </c>
      <c r="N46" s="1689"/>
      <c r="O46" s="1689">
        <f t="shared" si="9"/>
        <v>99.899899899899907</v>
      </c>
      <c r="P46" s="1689">
        <v>911.71</v>
      </c>
      <c r="Q46" s="1689">
        <v>0</v>
      </c>
      <c r="R46" s="1689">
        <v>1904.73</v>
      </c>
      <c r="S46" s="1689"/>
      <c r="T46" s="1691">
        <v>997.3</v>
      </c>
      <c r="U46" s="1691">
        <v>1134.54</v>
      </c>
      <c r="V46" s="1691"/>
      <c r="W46" s="1691">
        <v>1577.89</v>
      </c>
      <c r="X46" s="1691"/>
      <c r="Y46" s="1691">
        <f>(Y48+Z48)/80.3*19.7</f>
        <v>875.51902864259023</v>
      </c>
      <c r="Z46" s="1691"/>
      <c r="AA46" s="1691">
        <v>978.7</v>
      </c>
      <c r="AB46" s="1691"/>
      <c r="AC46" s="1689">
        <f t="shared" ref="AC46:AC54" si="27">SUM(AA46/M46*100)</f>
        <v>98.06613226452906</v>
      </c>
      <c r="AD46" s="1691">
        <v>997.3</v>
      </c>
      <c r="AE46" s="1691">
        <v>956</v>
      </c>
      <c r="AF46" s="1691"/>
      <c r="AG46" s="1677" t="e">
        <f t="shared" ref="AG46:AG54" si="28">SUM(AE46/Q46*100)</f>
        <v>#DIV/0!</v>
      </c>
      <c r="AH46" s="1691">
        <v>947.25</v>
      </c>
      <c r="AI46" s="1691"/>
      <c r="AJ46" s="1691">
        <f>(AJ48)*19.7/80.3</f>
        <v>925.13947696139473</v>
      </c>
      <c r="AK46" s="1691"/>
      <c r="AL46" s="1691">
        <v>930</v>
      </c>
      <c r="AM46" s="1691"/>
      <c r="AN46" s="1691">
        <v>1707.13</v>
      </c>
      <c r="AO46" s="1691">
        <v>0</v>
      </c>
      <c r="AP46" s="1691">
        <f>(AP48)*19.7/80.3</f>
        <v>896.8774595267746</v>
      </c>
      <c r="AQ46" s="1691"/>
      <c r="AR46" s="1691">
        <f>(AR48+AS48)*19.7/80.3</f>
        <v>888.44301369863024</v>
      </c>
      <c r="AS46" s="1691"/>
      <c r="AT46" s="1691">
        <v>1590.7380000000001</v>
      </c>
      <c r="AU46" s="1691"/>
      <c r="AV46" s="1691">
        <v>1545</v>
      </c>
      <c r="AW46" s="1691">
        <v>0</v>
      </c>
      <c r="AX46" s="1691">
        <f>потери!H122/1000</f>
        <v>1398.4594229955999</v>
      </c>
      <c r="AY46" s="1691"/>
      <c r="AZ46" s="3831" t="s">
        <v>2224</v>
      </c>
      <c r="BA46" s="3832"/>
    </row>
    <row r="47" spans="1:60" s="182" customFormat="1" ht="36" customHeight="1" x14ac:dyDescent="0.2">
      <c r="A47" s="1675" t="s">
        <v>114</v>
      </c>
      <c r="B47" s="1663"/>
      <c r="C47" s="1663"/>
      <c r="D47" s="1663"/>
      <c r="E47" s="1668">
        <f>E46/E43*100</f>
        <v>19.983996799359872</v>
      </c>
      <c r="F47" s="1659"/>
      <c r="G47" s="1659">
        <f>G46/G43*100</f>
        <v>19.777478618942034</v>
      </c>
      <c r="H47" s="1659">
        <f>H46/H43*100</f>
        <v>32.152001519229387</v>
      </c>
      <c r="I47" s="1659">
        <f>I46/I43*100</f>
        <v>32.850616517342324</v>
      </c>
      <c r="J47" s="1665"/>
      <c r="K47" s="1698">
        <f>K46/K43*100</f>
        <v>34.18501197673092</v>
      </c>
      <c r="L47" s="1699">
        <f>L46/L43*100</f>
        <v>19.974118267231862</v>
      </c>
      <c r="M47" s="1699">
        <f>M46/(M43+N43)*100</f>
        <v>19.760811024869316</v>
      </c>
      <c r="N47" s="1699"/>
      <c r="O47" s="1689">
        <f t="shared" si="9"/>
        <v>99.915724373193086</v>
      </c>
      <c r="P47" s="1698">
        <f t="shared" ref="P47:Q47" si="29">P46/P43*100</f>
        <v>31.563550505627514</v>
      </c>
      <c r="Q47" s="1698">
        <f t="shared" si="29"/>
        <v>0</v>
      </c>
      <c r="R47" s="1699">
        <f>R46/R43*100</f>
        <v>33.611320415110121</v>
      </c>
      <c r="S47" s="1699"/>
      <c r="T47" s="1700">
        <f>T46/T43*100</f>
        <v>19.914387900646513</v>
      </c>
      <c r="U47" s="1940">
        <f>U46/U43</f>
        <v>0.29827116612158622</v>
      </c>
      <c r="V47" s="1700"/>
      <c r="W47" s="1940">
        <f>W46/W43</f>
        <v>0.30673006455776664</v>
      </c>
      <c r="X47" s="1700"/>
      <c r="Y47" s="1940">
        <f>Y46/Y43</f>
        <v>0.19710644191923946</v>
      </c>
      <c r="Z47" s="1700"/>
      <c r="AA47" s="1700">
        <f>AA46/AA43*100</f>
        <v>19.700409648550892</v>
      </c>
      <c r="AB47" s="1700"/>
      <c r="AC47" s="1689">
        <f t="shared" si="27"/>
        <v>99.694337564169771</v>
      </c>
      <c r="AD47" s="1700">
        <f>AD46/AD43*100</f>
        <v>19.816676370009318</v>
      </c>
      <c r="AE47" s="1700">
        <f>AE46/AE43*100</f>
        <v>19.700860160986526</v>
      </c>
      <c r="AF47" s="1700"/>
      <c r="AG47" s="1677" t="e">
        <f t="shared" si="28"/>
        <v>#DIV/0!</v>
      </c>
      <c r="AH47" s="1700">
        <f>AH46/AH43*100</f>
        <v>20.076299475441107</v>
      </c>
      <c r="AI47" s="1700"/>
      <c r="AJ47" s="1698">
        <f>AJ46/(AJ43+AK43)*100</f>
        <v>19.615005559335476</v>
      </c>
      <c r="AK47" s="1698">
        <f t="shared" ref="AK47:AQ47" si="30">AK46/(AK43+AL43)*100</f>
        <v>0</v>
      </c>
      <c r="AL47" s="1698">
        <f t="shared" si="30"/>
        <v>97.894736842105274</v>
      </c>
      <c r="AM47" s="1698">
        <f t="shared" si="30"/>
        <v>0</v>
      </c>
      <c r="AN47" s="1698">
        <f t="shared" si="30"/>
        <v>31.821537085018729</v>
      </c>
      <c r="AO47" s="1698">
        <f t="shared" si="30"/>
        <v>0</v>
      </c>
      <c r="AP47" s="1698">
        <f>AP46/(AP43+AQ43)*100</f>
        <v>19.692343967010299</v>
      </c>
      <c r="AQ47" s="1698">
        <f t="shared" si="30"/>
        <v>0</v>
      </c>
      <c r="AR47" s="1698">
        <f>AR46/(AR43+AS43)*100</f>
        <v>19.7</v>
      </c>
      <c r="AS47" s="1700"/>
      <c r="AT47" s="1698">
        <f>AT46/(AT43+AU43)*100</f>
        <v>36.485075925998551</v>
      </c>
      <c r="AU47" s="1700"/>
      <c r="AV47" s="1700">
        <f>AV46/AV43*100</f>
        <v>30.029154518950435</v>
      </c>
      <c r="AW47" s="1700">
        <f t="shared" ref="AW47:AX47" si="31">AW46/AW43*100</f>
        <v>0</v>
      </c>
      <c r="AX47" s="3030">
        <f t="shared" si="31"/>
        <v>27.642540176472369</v>
      </c>
      <c r="AY47" s="1700">
        <v>0</v>
      </c>
      <c r="AZ47" s="3833"/>
      <c r="BA47" s="3834"/>
    </row>
    <row r="48" spans="1:60" ht="36" customHeight="1" x14ac:dyDescent="0.2">
      <c r="A48" s="1673" t="s">
        <v>526</v>
      </c>
      <c r="B48" s="1666"/>
      <c r="C48" s="1666"/>
      <c r="D48" s="1666"/>
      <c r="E48" s="1656">
        <f>SUM(E49:E51)</f>
        <v>4000</v>
      </c>
      <c r="F48" s="1657" t="e">
        <f>E48/C48*100</f>
        <v>#DIV/0!</v>
      </c>
      <c r="G48" s="1656">
        <f>SUM(G49:G51)</f>
        <v>4052.2</v>
      </c>
      <c r="H48" s="1656">
        <f>SUM(H49:H51)</f>
        <v>2072.1999999999998</v>
      </c>
      <c r="I48" s="1656">
        <f>SUM(I49:I51)</f>
        <v>3027.8999999999996</v>
      </c>
      <c r="J48" s="1667"/>
      <c r="K48" s="1701">
        <f>SUM(K49:K51)</f>
        <v>4039</v>
      </c>
      <c r="L48" s="1687">
        <f>SUM(L49:L51)</f>
        <v>4038.13</v>
      </c>
      <c r="M48" s="1687">
        <f>SUM(M49:M52)</f>
        <v>4006.27</v>
      </c>
      <c r="N48" s="1687">
        <f>SUM(N49:N52)</f>
        <v>46.13</v>
      </c>
      <c r="O48" s="1687">
        <f t="shared" si="9"/>
        <v>98.866541631706241</v>
      </c>
      <c r="P48" s="1701">
        <f>SUM(P49:P52)</f>
        <v>1976.78</v>
      </c>
      <c r="Q48" s="1701">
        <f t="shared" ref="Q48" si="32">SUM(Q49:Q51)</f>
        <v>13.7</v>
      </c>
      <c r="R48" s="1687">
        <f>SUM(R49:R52)</f>
        <v>3762.2000000000003</v>
      </c>
      <c r="S48" s="1687">
        <f t="shared" ref="S48:V48" si="33">SUM(S49:S52)</f>
        <v>18.22</v>
      </c>
      <c r="T48" s="1687">
        <f t="shared" si="33"/>
        <v>4010.6369999999997</v>
      </c>
      <c r="U48" s="1687">
        <f>SUM(U49:U52)</f>
        <v>2669.18</v>
      </c>
      <c r="V48" s="1687">
        <f t="shared" si="33"/>
        <v>1.95</v>
      </c>
      <c r="W48" s="1687">
        <f>SUM(W49:W52)</f>
        <v>3566.34</v>
      </c>
      <c r="X48" s="1687">
        <f t="shared" ref="X48:Z48" si="34">SUM(X49:X52)</f>
        <v>2.4</v>
      </c>
      <c r="Y48" s="1687">
        <f>SUM(Y49:Y52)</f>
        <v>3566.34</v>
      </c>
      <c r="Z48" s="1687">
        <f t="shared" si="34"/>
        <v>2.4</v>
      </c>
      <c r="AA48" s="1688">
        <f>SUM(AA49:AA52)</f>
        <v>3989.2170000000001</v>
      </c>
      <c r="AB48" s="1688">
        <f>SUM(AB49:AB52)</f>
        <v>21.42</v>
      </c>
      <c r="AC48" s="1702">
        <f t="shared" si="27"/>
        <v>99.574342218572383</v>
      </c>
      <c r="AD48" s="1688">
        <f>SUM(AD49:AD52)</f>
        <v>4039.0169999999998</v>
      </c>
      <c r="AE48" s="1688">
        <f>SUM(AE49:AE52)</f>
        <v>3896.5800000000004</v>
      </c>
      <c r="AF48" s="1688">
        <f>SUM(AF49:AF52)</f>
        <v>21.42</v>
      </c>
      <c r="AG48" s="1678">
        <f t="shared" si="28"/>
        <v>28442.189781021905</v>
      </c>
      <c r="AH48" s="1688">
        <f t="shared" ref="AH48:AW48" si="35">SUM(AH49:AH52)</f>
        <v>3771</v>
      </c>
      <c r="AI48" s="1688">
        <f t="shared" si="35"/>
        <v>18</v>
      </c>
      <c r="AJ48" s="1688">
        <f t="shared" si="35"/>
        <v>3771</v>
      </c>
      <c r="AK48" s="1688">
        <f t="shared" si="35"/>
        <v>20.349</v>
      </c>
      <c r="AL48" s="1688">
        <f t="shared" si="35"/>
        <v>3600</v>
      </c>
      <c r="AM48" s="1688">
        <f t="shared" si="35"/>
        <v>20</v>
      </c>
      <c r="AN48" s="1688">
        <f t="shared" si="35"/>
        <v>3655.8</v>
      </c>
      <c r="AO48" s="1688">
        <f t="shared" si="35"/>
        <v>1.77</v>
      </c>
      <c r="AP48" s="1688">
        <f t="shared" si="35"/>
        <v>3655.8</v>
      </c>
      <c r="AQ48" s="1688">
        <f t="shared" si="35"/>
        <v>1.77</v>
      </c>
      <c r="AR48" s="1688">
        <f t="shared" si="35"/>
        <v>3600</v>
      </c>
      <c r="AS48" s="1688">
        <f t="shared" si="35"/>
        <v>21.42</v>
      </c>
      <c r="AT48" s="1688">
        <f t="shared" si="35"/>
        <v>2768.0600000000004</v>
      </c>
      <c r="AU48" s="1688">
        <f t="shared" si="35"/>
        <v>1.171</v>
      </c>
      <c r="AV48" s="1688">
        <f t="shared" si="35"/>
        <v>3600</v>
      </c>
      <c r="AW48" s="1688">
        <f t="shared" si="35"/>
        <v>5</v>
      </c>
      <c r="AX48" s="1688">
        <f>AX49+AX51+AX52</f>
        <v>3660.6249233333333</v>
      </c>
      <c r="AY48" s="1688">
        <f>AY49+AY50+AY51+AY52</f>
        <v>1.77</v>
      </c>
      <c r="AZ48" s="3817" t="s">
        <v>2217</v>
      </c>
      <c r="BA48" s="3817"/>
      <c r="BC48">
        <f>R48/3*4</f>
        <v>5016.2666666666673</v>
      </c>
    </row>
    <row r="49" spans="1:57" ht="30" customHeight="1" x14ac:dyDescent="0.2">
      <c r="A49" s="1674" t="s">
        <v>24</v>
      </c>
      <c r="B49" s="1660"/>
      <c r="C49" s="1660"/>
      <c r="D49" s="1660"/>
      <c r="E49" s="1658">
        <v>2800</v>
      </c>
      <c r="F49" s="1658" t="e">
        <f>E49/C49*100</f>
        <v>#DIV/0!</v>
      </c>
      <c r="G49" s="1658">
        <f>E49</f>
        <v>2800</v>
      </c>
      <c r="H49" s="1658">
        <f>1426.4</f>
        <v>1426.4</v>
      </c>
      <c r="I49" s="1658">
        <v>2084.6999999999998</v>
      </c>
      <c r="J49" s="1661"/>
      <c r="K49" s="1703">
        <v>2780.7</v>
      </c>
      <c r="L49" s="1689">
        <v>2800</v>
      </c>
      <c r="M49" s="1689">
        <v>2445.42</v>
      </c>
      <c r="N49" s="1689"/>
      <c r="O49" s="1689">
        <f t="shared" si="9"/>
        <v>87.33642857142857</v>
      </c>
      <c r="P49" s="1703">
        <v>1238.5999999999999</v>
      </c>
      <c r="Q49" s="1703"/>
      <c r="R49" s="1689">
        <v>2377.86</v>
      </c>
      <c r="S49" s="1689"/>
      <c r="T49" s="1691">
        <v>2428.56</v>
      </c>
      <c r="U49" s="1691">
        <v>1744.17</v>
      </c>
      <c r="V49" s="1691"/>
      <c r="W49" s="1691">
        <v>2311.15</v>
      </c>
      <c r="X49" s="1691"/>
      <c r="Y49" s="1691">
        <v>2311.15</v>
      </c>
      <c r="Z49" s="1691"/>
      <c r="AA49" s="1691">
        <f>T49</f>
        <v>2428.56</v>
      </c>
      <c r="AB49" s="1691">
        <v>0</v>
      </c>
      <c r="AC49" s="1689">
        <f t="shared" si="27"/>
        <v>99.310547881345528</v>
      </c>
      <c r="AD49" s="1691">
        <v>2428.56</v>
      </c>
      <c r="AE49" s="1691">
        <v>2388.7330000000002</v>
      </c>
      <c r="AF49" s="1691">
        <v>0</v>
      </c>
      <c r="AG49" s="1677" t="e">
        <f t="shared" si="28"/>
        <v>#DIV/0!</v>
      </c>
      <c r="AH49" s="1691">
        <v>2380</v>
      </c>
      <c r="AI49" s="1691">
        <v>0</v>
      </c>
      <c r="AJ49" s="1691">
        <v>2380</v>
      </c>
      <c r="AK49" s="1691">
        <v>0</v>
      </c>
      <c r="AL49" s="1691">
        <v>2360</v>
      </c>
      <c r="AM49" s="1691">
        <v>0</v>
      </c>
      <c r="AN49" s="1691">
        <v>2447.77</v>
      </c>
      <c r="AO49" s="1691">
        <v>0</v>
      </c>
      <c r="AP49" s="1691">
        <v>2447.77</v>
      </c>
      <c r="AQ49" s="1691"/>
      <c r="AR49" s="1691">
        <v>2360</v>
      </c>
      <c r="AS49" s="1691">
        <v>0</v>
      </c>
      <c r="AT49" s="1691">
        <v>1845.43</v>
      </c>
      <c r="AU49" s="1691"/>
      <c r="AV49" s="1691">
        <v>2360</v>
      </c>
      <c r="AW49" s="1691"/>
      <c r="AX49" s="1691">
        <f>AT49/9*12</f>
        <v>2460.5733333333333</v>
      </c>
      <c r="AY49" s="1691"/>
      <c r="AZ49" s="3818"/>
      <c r="BA49" s="3818"/>
      <c r="BC49">
        <f>R49/3*4</f>
        <v>3170.48</v>
      </c>
    </row>
    <row r="50" spans="1:57" ht="28.5" customHeight="1" x14ac:dyDescent="0.2">
      <c r="A50" s="1674" t="s">
        <v>25</v>
      </c>
      <c r="B50" s="1660"/>
      <c r="C50" s="1660"/>
      <c r="D50" s="1660"/>
      <c r="E50" s="1658">
        <v>25</v>
      </c>
      <c r="F50" s="1658" t="e">
        <f>E50/C50*100</f>
        <v>#DIV/0!</v>
      </c>
      <c r="G50" s="1658">
        <f>BB18</f>
        <v>46</v>
      </c>
      <c r="H50" s="1658">
        <v>28</v>
      </c>
      <c r="I50" s="1658">
        <v>38.5</v>
      </c>
      <c r="J50" s="1661"/>
      <c r="K50" s="1703">
        <v>49.8</v>
      </c>
      <c r="L50" s="1689">
        <v>46.13</v>
      </c>
      <c r="M50" s="1689">
        <v>0</v>
      </c>
      <c r="N50" s="1689">
        <v>46.13</v>
      </c>
      <c r="O50" s="1689">
        <f t="shared" si="9"/>
        <v>0</v>
      </c>
      <c r="P50" s="1703"/>
      <c r="Q50" s="1703">
        <v>13.7</v>
      </c>
      <c r="R50" s="1689">
        <v>0</v>
      </c>
      <c r="S50" s="1689">
        <v>18.22</v>
      </c>
      <c r="T50" s="1691">
        <v>21.42</v>
      </c>
      <c r="U50" s="1691"/>
      <c r="V50" s="1691">
        <v>1.95</v>
      </c>
      <c r="W50" s="1691"/>
      <c r="X50" s="1691">
        <v>2.4</v>
      </c>
      <c r="Y50" s="1691"/>
      <c r="Z50" s="1691">
        <v>2.4</v>
      </c>
      <c r="AA50" s="1691"/>
      <c r="AB50" s="1691">
        <v>21.42</v>
      </c>
      <c r="AC50" s="1689" t="e">
        <f t="shared" si="27"/>
        <v>#DIV/0!</v>
      </c>
      <c r="AD50" s="1691">
        <v>49.8</v>
      </c>
      <c r="AE50" s="1691"/>
      <c r="AF50" s="1691">
        <f>AB50</f>
        <v>21.42</v>
      </c>
      <c r="AG50" s="1677">
        <f t="shared" si="28"/>
        <v>0</v>
      </c>
      <c r="AH50" s="1691"/>
      <c r="AI50" s="1691">
        <v>18</v>
      </c>
      <c r="AJ50" s="1691"/>
      <c r="AK50" s="1691">
        <f>AB50*(1-0.05)</f>
        <v>20.349</v>
      </c>
      <c r="AL50" s="1691"/>
      <c r="AM50" s="1691">
        <v>20</v>
      </c>
      <c r="AN50" s="1691">
        <v>0</v>
      </c>
      <c r="AO50" s="1691">
        <v>1.77</v>
      </c>
      <c r="AP50" s="1691">
        <v>0</v>
      </c>
      <c r="AQ50" s="1691">
        <v>1.77</v>
      </c>
      <c r="AR50" s="1691"/>
      <c r="AS50" s="1691">
        <f>AF50</f>
        <v>21.42</v>
      </c>
      <c r="AT50" s="1691"/>
      <c r="AU50" s="1691">
        <v>1.171</v>
      </c>
      <c r="AV50" s="1691"/>
      <c r="AW50" s="1691">
        <v>5</v>
      </c>
      <c r="AX50" s="1691"/>
      <c r="AY50" s="1691">
        <f>AQ50</f>
        <v>1.77</v>
      </c>
      <c r="AZ50" s="3819" t="s">
        <v>1916</v>
      </c>
      <c r="BA50" s="3819"/>
      <c r="BC50">
        <f t="shared" ref="BC50:BC54" si="36">R50/3*4</f>
        <v>0</v>
      </c>
    </row>
    <row r="51" spans="1:57" ht="27.75" customHeight="1" x14ac:dyDescent="0.2">
      <c r="A51" s="1674" t="s">
        <v>26</v>
      </c>
      <c r="B51" s="1660"/>
      <c r="C51" s="1660"/>
      <c r="D51" s="1660"/>
      <c r="E51" s="1658">
        <v>1175</v>
      </c>
      <c r="F51" s="1658" t="e">
        <f>E51/C51*100</f>
        <v>#DIV/0!</v>
      </c>
      <c r="G51" s="1658">
        <f>BB19</f>
        <v>1206.2</v>
      </c>
      <c r="H51" s="1658">
        <v>617.79999999999995</v>
      </c>
      <c r="I51" s="1658">
        <v>904.7</v>
      </c>
      <c r="J51" s="1661"/>
      <c r="K51" s="1703">
        <v>1208.5</v>
      </c>
      <c r="L51" s="1689">
        <v>1192</v>
      </c>
      <c r="M51" s="1689">
        <v>1003.29</v>
      </c>
      <c r="N51" s="1689"/>
      <c r="O51" s="1689">
        <f t="shared" si="9"/>
        <v>83.177748300447689</v>
      </c>
      <c r="P51" s="1703">
        <v>539.03</v>
      </c>
      <c r="Q51" s="1703"/>
      <c r="R51" s="1689">
        <v>995.48</v>
      </c>
      <c r="S51" s="1689"/>
      <c r="T51" s="1691">
        <v>1003.1</v>
      </c>
      <c r="U51" s="1691">
        <f>671.02-1.95</f>
        <v>669.06999999999994</v>
      </c>
      <c r="V51" s="1691"/>
      <c r="W51" s="1691">
        <v>914.56</v>
      </c>
      <c r="X51" s="1691"/>
      <c r="Y51" s="1691">
        <v>914.56</v>
      </c>
      <c r="Z51" s="1691"/>
      <c r="AA51" s="1704">
        <f>T51+13.577</f>
        <v>1016.677</v>
      </c>
      <c r="AB51" s="1691">
        <v>0</v>
      </c>
      <c r="AC51" s="1689">
        <f t="shared" si="27"/>
        <v>101.33431011970617</v>
      </c>
      <c r="AD51" s="1691">
        <v>1003.1</v>
      </c>
      <c r="AE51" s="1704">
        <v>977.11300000000006</v>
      </c>
      <c r="AF51" s="1691">
        <v>0</v>
      </c>
      <c r="AG51" s="1677" t="e">
        <f t="shared" si="28"/>
        <v>#DIV/0!</v>
      </c>
      <c r="AH51" s="1716">
        <v>996</v>
      </c>
      <c r="AI51" s="1691">
        <v>0</v>
      </c>
      <c r="AJ51" s="1716">
        <v>996</v>
      </c>
      <c r="AK51" s="1691">
        <v>0</v>
      </c>
      <c r="AL51" s="1716">
        <v>920</v>
      </c>
      <c r="AM51" s="1691">
        <v>0</v>
      </c>
      <c r="AN51" s="1691">
        <v>895.28</v>
      </c>
      <c r="AO51" s="1691">
        <v>0</v>
      </c>
      <c r="AP51" s="1691">
        <v>895.28</v>
      </c>
      <c r="AQ51" s="1691"/>
      <c r="AR51" s="1716">
        <v>920</v>
      </c>
      <c r="AS51" s="1691">
        <v>0</v>
      </c>
      <c r="AT51" s="1691">
        <v>693.83</v>
      </c>
      <c r="AU51" s="1691"/>
      <c r="AV51" s="1691">
        <v>920</v>
      </c>
      <c r="AW51" s="1691"/>
      <c r="AX51" s="1691">
        <f>AN51</f>
        <v>895.28</v>
      </c>
      <c r="AY51" s="1691"/>
      <c r="AZ51" s="3818" t="s">
        <v>247</v>
      </c>
      <c r="BA51" s="3818"/>
      <c r="BC51">
        <f t="shared" si="36"/>
        <v>1327.3066666666666</v>
      </c>
    </row>
    <row r="52" spans="1:57" ht="36" customHeight="1" x14ac:dyDescent="0.2">
      <c r="A52" s="1674" t="s">
        <v>839</v>
      </c>
      <c r="B52" s="1660"/>
      <c r="C52" s="1660"/>
      <c r="D52" s="1660"/>
      <c r="E52" s="1658"/>
      <c r="F52" s="1658"/>
      <c r="G52" s="1658"/>
      <c r="H52" s="1658"/>
      <c r="I52" s="1658"/>
      <c r="J52" s="1661"/>
      <c r="K52" s="1693"/>
      <c r="L52" s="1694"/>
      <c r="M52" s="1694">
        <f>SUM(M53:M54)</f>
        <v>557.56000000000006</v>
      </c>
      <c r="N52" s="1694"/>
      <c r="O52" s="1694"/>
      <c r="P52" s="1693">
        <v>199.15</v>
      </c>
      <c r="Q52" s="1693"/>
      <c r="R52" s="1694">
        <f>SUM(R53:R54)</f>
        <v>388.86</v>
      </c>
      <c r="S52" s="1694"/>
      <c r="T52" s="1694">
        <f t="shared" ref="T52:U52" si="37">SUM(T53:T54)</f>
        <v>557.55700000000002</v>
      </c>
      <c r="U52" s="1694">
        <f t="shared" si="37"/>
        <v>255.94</v>
      </c>
      <c r="V52" s="1695"/>
      <c r="W52" s="1694">
        <f t="shared" ref="W52" si="38">SUM(W53:W54)</f>
        <v>340.63</v>
      </c>
      <c r="X52" s="1695"/>
      <c r="Y52" s="1694">
        <f t="shared" ref="Y52" si="39">SUM(Y53:Y54)</f>
        <v>340.63</v>
      </c>
      <c r="Z52" s="1695"/>
      <c r="AA52" s="1695">
        <f>SUM(AA53:AA54)</f>
        <v>543.98</v>
      </c>
      <c r="AB52" s="1695"/>
      <c r="AC52" s="1694">
        <f t="shared" si="27"/>
        <v>97.564387689217298</v>
      </c>
      <c r="AD52" s="1695">
        <f>SUM(AD53:AD54)</f>
        <v>557.55700000000002</v>
      </c>
      <c r="AE52" s="1695">
        <v>530.73400000000004</v>
      </c>
      <c r="AF52" s="1695"/>
      <c r="AG52" s="1677" t="e">
        <f t="shared" si="28"/>
        <v>#DIV/0!</v>
      </c>
      <c r="AH52" s="1695">
        <v>395</v>
      </c>
      <c r="AI52" s="1695"/>
      <c r="AJ52" s="1695">
        <f>AJ53+AJ54</f>
        <v>395</v>
      </c>
      <c r="AK52" s="1695"/>
      <c r="AL52" s="1695">
        <v>320</v>
      </c>
      <c r="AM52" s="1695"/>
      <c r="AN52" s="1695">
        <f>AN53+AN54</f>
        <v>312.75</v>
      </c>
      <c r="AO52" s="1695">
        <f t="shared" ref="AO52:AQ52" si="40">AO53+AO54</f>
        <v>0</v>
      </c>
      <c r="AP52" s="1695">
        <f t="shared" si="40"/>
        <v>312.75</v>
      </c>
      <c r="AQ52" s="1695">
        <f t="shared" si="40"/>
        <v>0</v>
      </c>
      <c r="AR52" s="1695">
        <v>320</v>
      </c>
      <c r="AS52" s="1695"/>
      <c r="AT52" s="1695">
        <f>AT53+AT54</f>
        <v>228.8</v>
      </c>
      <c r="AU52" s="1695"/>
      <c r="AV52" s="1695">
        <v>320</v>
      </c>
      <c r="AW52" s="1695"/>
      <c r="AX52" s="1695">
        <f>AX53+AX54</f>
        <v>304.77159</v>
      </c>
      <c r="AY52" s="1695"/>
      <c r="AZ52" s="3818"/>
      <c r="BA52" s="3821"/>
      <c r="BC52">
        <f t="shared" si="36"/>
        <v>518.48</v>
      </c>
      <c r="BE52" s="1324"/>
    </row>
    <row r="53" spans="1:57" ht="24.75" customHeight="1" x14ac:dyDescent="0.2">
      <c r="A53" s="1675" t="s">
        <v>650</v>
      </c>
      <c r="B53" s="1660"/>
      <c r="C53" s="1660"/>
      <c r="D53" s="1660"/>
      <c r="E53" s="1658"/>
      <c r="F53" s="1658"/>
      <c r="G53" s="1658"/>
      <c r="H53" s="1658"/>
      <c r="I53" s="1658"/>
      <c r="J53" s="1661"/>
      <c r="K53" s="1703"/>
      <c r="L53" s="1689"/>
      <c r="M53" s="1689">
        <v>509.79</v>
      </c>
      <c r="N53" s="1689"/>
      <c r="O53" s="1689"/>
      <c r="P53" s="1703">
        <v>177.62</v>
      </c>
      <c r="Q53" s="1703"/>
      <c r="R53" s="1689">
        <v>347.5</v>
      </c>
      <c r="S53" s="1689"/>
      <c r="T53" s="1691">
        <v>509.79</v>
      </c>
      <c r="U53" s="1691">
        <v>234.95</v>
      </c>
      <c r="V53" s="1691"/>
      <c r="W53" s="1691">
        <v>319.64</v>
      </c>
      <c r="X53" s="1691"/>
      <c r="Y53" s="1691">
        <v>319.64</v>
      </c>
      <c r="Z53" s="1691"/>
      <c r="AA53" s="1691">
        <v>494.28</v>
      </c>
      <c r="AB53" s="1691">
        <v>0</v>
      </c>
      <c r="AC53" s="1689">
        <f t="shared" si="27"/>
        <v>96.957570764432404</v>
      </c>
      <c r="AD53" s="1691">
        <v>509.79</v>
      </c>
      <c r="AE53" s="1691"/>
      <c r="AF53" s="1691"/>
      <c r="AG53" s="1677" t="e">
        <f t="shared" si="28"/>
        <v>#DIV/0!</v>
      </c>
      <c r="AH53" s="1691">
        <v>350</v>
      </c>
      <c r="AI53" s="1691"/>
      <c r="AJ53" s="1691">
        <v>350</v>
      </c>
      <c r="AK53" s="1691"/>
      <c r="AL53" s="1691"/>
      <c r="AM53" s="1691"/>
      <c r="AN53" s="1691">
        <v>312.75</v>
      </c>
      <c r="AO53" s="1691"/>
      <c r="AP53" s="1691">
        <v>312.75</v>
      </c>
      <c r="AQ53" s="1691"/>
      <c r="AR53" s="1691">
        <v>284.24099999999999</v>
      </c>
      <c r="AS53" s="1691"/>
      <c r="AT53" s="1691">
        <v>228.8</v>
      </c>
      <c r="AU53" s="1691"/>
      <c r="AV53" s="1691">
        <v>320</v>
      </c>
      <c r="AW53" s="1691"/>
      <c r="AX53" s="1691">
        <v>266.33958999999999</v>
      </c>
      <c r="AY53" s="1691"/>
      <c r="AZ53" s="3818" t="s">
        <v>1926</v>
      </c>
      <c r="BA53" s="3821"/>
      <c r="BC53">
        <f t="shared" si="36"/>
        <v>463.33333333333331</v>
      </c>
    </row>
    <row r="54" spans="1:57" ht="30" customHeight="1" x14ac:dyDescent="0.2">
      <c r="A54" s="1675" t="s">
        <v>651</v>
      </c>
      <c r="B54" s="1660"/>
      <c r="C54" s="1660"/>
      <c r="D54" s="1660"/>
      <c r="E54" s="1658"/>
      <c r="F54" s="1658"/>
      <c r="G54" s="1658"/>
      <c r="H54" s="1658"/>
      <c r="I54" s="1658"/>
      <c r="J54" s="1661"/>
      <c r="K54" s="1703"/>
      <c r="L54" s="1689"/>
      <c r="M54" s="1689">
        <v>47.77</v>
      </c>
      <c r="N54" s="1689"/>
      <c r="O54" s="1689"/>
      <c r="P54" s="1703">
        <v>21.53</v>
      </c>
      <c r="Q54" s="1703"/>
      <c r="R54" s="1689">
        <v>41.36</v>
      </c>
      <c r="S54" s="1689"/>
      <c r="T54" s="1691">
        <v>47.767000000000003</v>
      </c>
      <c r="U54" s="1691">
        <v>20.99</v>
      </c>
      <c r="V54" s="1691"/>
      <c r="W54" s="1691">
        <v>20.99</v>
      </c>
      <c r="X54" s="1691"/>
      <c r="Y54" s="1691">
        <v>20.99</v>
      </c>
      <c r="Z54" s="1691"/>
      <c r="AA54" s="1691">
        <v>49.7</v>
      </c>
      <c r="AB54" s="1691">
        <v>0</v>
      </c>
      <c r="AC54" s="1689">
        <f t="shared" si="27"/>
        <v>104.04019258949131</v>
      </c>
      <c r="AD54" s="1691">
        <v>47.767000000000003</v>
      </c>
      <c r="AE54" s="1691"/>
      <c r="AF54" s="1691"/>
      <c r="AG54" s="1677" t="e">
        <f t="shared" si="28"/>
        <v>#DIV/0!</v>
      </c>
      <c r="AH54" s="1691">
        <v>45</v>
      </c>
      <c r="AI54" s="1691"/>
      <c r="AJ54" s="1691">
        <v>45</v>
      </c>
      <c r="AK54" s="1691"/>
      <c r="AL54" s="1691"/>
      <c r="AM54" s="1691"/>
      <c r="AN54" s="1691"/>
      <c r="AO54" s="1691"/>
      <c r="AP54" s="1691"/>
      <c r="AQ54" s="1691"/>
      <c r="AR54" s="1691">
        <v>46.085000000000001</v>
      </c>
      <c r="AS54" s="1691"/>
      <c r="AT54" s="1691">
        <v>0</v>
      </c>
      <c r="AU54" s="1691"/>
      <c r="AV54" s="1691">
        <v>0</v>
      </c>
      <c r="AW54" s="1691"/>
      <c r="AX54" s="1691">
        <v>38.432000000000002</v>
      </c>
      <c r="AY54" s="1691"/>
      <c r="AZ54" s="3818" t="s">
        <v>1927</v>
      </c>
      <c r="BA54" s="3821"/>
      <c r="BC54">
        <f t="shared" si="36"/>
        <v>55.146666666666668</v>
      </c>
    </row>
    <row r="55" spans="1:57" ht="20.100000000000001" customHeight="1" x14ac:dyDescent="0.2">
      <c r="A55" s="3820" t="s">
        <v>520</v>
      </c>
      <c r="B55" s="3820"/>
      <c r="C55" s="3820"/>
      <c r="D55" s="3820"/>
      <c r="E55" s="3820"/>
      <c r="F55" s="3820"/>
      <c r="G55" s="3820"/>
      <c r="H55" s="3820"/>
      <c r="I55" s="3820"/>
      <c r="J55" s="3820"/>
      <c r="K55" s="3820"/>
      <c r="L55" s="3820"/>
      <c r="M55" s="3820"/>
      <c r="N55" s="3820"/>
      <c r="O55" s="3820"/>
      <c r="P55" s="3820"/>
      <c r="Q55" s="3820"/>
      <c r="R55" s="3820"/>
      <c r="S55" s="3820"/>
      <c r="T55" s="3820"/>
      <c r="U55" s="3820"/>
      <c r="V55" s="3820"/>
      <c r="W55" s="3820"/>
      <c r="X55" s="3820"/>
      <c r="Y55" s="3820"/>
      <c r="Z55" s="3820"/>
      <c r="AA55" s="3820"/>
      <c r="AB55" s="3820"/>
      <c r="AC55" s="3820"/>
      <c r="AD55" s="3820"/>
      <c r="AE55" s="3820"/>
      <c r="AF55" s="3820"/>
      <c r="AG55" s="3820"/>
      <c r="AH55" s="3820"/>
      <c r="AI55" s="3820"/>
      <c r="AJ55" s="3820"/>
      <c r="AK55" s="3820"/>
      <c r="AL55" s="3820"/>
      <c r="AM55" s="3820"/>
      <c r="AN55" s="3820"/>
      <c r="AO55" s="3820"/>
      <c r="AP55" s="3820"/>
      <c r="AQ55" s="3820"/>
      <c r="AR55" s="3820"/>
      <c r="AS55" s="3820"/>
      <c r="AT55" s="3820"/>
      <c r="AU55" s="3820"/>
      <c r="AV55" s="3820"/>
      <c r="AW55" s="3820"/>
      <c r="AX55" s="3820"/>
      <c r="AY55" s="3820"/>
      <c r="AZ55" s="3820"/>
      <c r="BA55" s="3820"/>
    </row>
    <row r="56" spans="1:57" s="1713" customFormat="1" ht="45" customHeight="1" x14ac:dyDescent="1.8">
      <c r="A56" s="1714"/>
      <c r="B56" s="1714"/>
      <c r="C56" s="1714"/>
      <c r="D56" s="1714"/>
      <c r="E56" s="1714"/>
      <c r="F56" s="1714"/>
      <c r="G56" s="1714"/>
      <c r="H56" s="1714"/>
      <c r="I56" s="1714"/>
      <c r="J56" s="1714"/>
      <c r="K56" s="1715"/>
      <c r="L56" s="1715"/>
      <c r="M56" s="1715" t="s">
        <v>47</v>
      </c>
      <c r="N56" s="1715" t="s">
        <v>1531</v>
      </c>
      <c r="O56" s="1714"/>
      <c r="P56" s="1714"/>
      <c r="Q56" s="1714"/>
      <c r="R56" s="1715" t="s">
        <v>47</v>
      </c>
      <c r="S56" s="1715" t="s">
        <v>1531</v>
      </c>
      <c r="T56" s="1714"/>
      <c r="U56" s="1715" t="s">
        <v>47</v>
      </c>
      <c r="V56" s="1715" t="s">
        <v>1531</v>
      </c>
      <c r="W56" s="1715" t="s">
        <v>47</v>
      </c>
      <c r="X56" s="1715" t="s">
        <v>1531</v>
      </c>
      <c r="Y56" s="1715" t="s">
        <v>47</v>
      </c>
      <c r="Z56" s="1715" t="s">
        <v>1531</v>
      </c>
      <c r="AA56" s="1715" t="s">
        <v>47</v>
      </c>
      <c r="AB56" s="1715" t="s">
        <v>1531</v>
      </c>
      <c r="AC56" s="1714"/>
      <c r="AD56" s="1714"/>
      <c r="AE56" s="1715" t="s">
        <v>47</v>
      </c>
      <c r="AF56" s="1715" t="s">
        <v>1531</v>
      </c>
      <c r="AG56" s="1714"/>
      <c r="AH56" s="1715" t="s">
        <v>47</v>
      </c>
      <c r="AI56" s="1715" t="s">
        <v>1531</v>
      </c>
      <c r="AJ56" s="1715" t="s">
        <v>47</v>
      </c>
      <c r="AK56" s="1715" t="s">
        <v>1531</v>
      </c>
      <c r="AL56" s="1715" t="s">
        <v>47</v>
      </c>
      <c r="AM56" s="1715" t="s">
        <v>1531</v>
      </c>
      <c r="AN56" s="1715" t="s">
        <v>47</v>
      </c>
      <c r="AO56" s="1715" t="s">
        <v>1531</v>
      </c>
      <c r="AP56" s="1715" t="s">
        <v>47</v>
      </c>
      <c r="AQ56" s="1715" t="s">
        <v>1531</v>
      </c>
      <c r="AR56" s="1715" t="s">
        <v>47</v>
      </c>
      <c r="AS56" s="1715" t="s">
        <v>1531</v>
      </c>
      <c r="AT56" s="1715" t="s">
        <v>47</v>
      </c>
      <c r="AU56" s="1715" t="s">
        <v>1531</v>
      </c>
      <c r="AV56" s="1715" t="s">
        <v>47</v>
      </c>
      <c r="AW56" s="1715" t="s">
        <v>1531</v>
      </c>
      <c r="AX56" s="1715" t="s">
        <v>47</v>
      </c>
      <c r="AY56" s="1715" t="s">
        <v>1531</v>
      </c>
      <c r="AZ56" s="3815"/>
      <c r="BA56" s="3816"/>
    </row>
    <row r="57" spans="1:57" ht="20.100000000000001" customHeight="1" x14ac:dyDescent="0.2">
      <c r="A57" s="1673" t="s">
        <v>896</v>
      </c>
      <c r="B57" s="1681"/>
      <c r="C57" s="1681"/>
      <c r="D57" s="1681"/>
      <c r="E57" s="1679"/>
      <c r="F57" s="1682"/>
      <c r="G57" s="1679">
        <v>3672.7</v>
      </c>
      <c r="H57" s="1679">
        <v>2386.9</v>
      </c>
      <c r="I57" s="1679">
        <v>3499.5</v>
      </c>
      <c r="J57" s="1683"/>
      <c r="K57" s="1705">
        <v>4393.3999999999996</v>
      </c>
      <c r="L57" s="1705"/>
      <c r="M57" s="1705">
        <f>M58</f>
        <v>3644.7</v>
      </c>
      <c r="N57" s="1705">
        <f>N58</f>
        <v>28</v>
      </c>
      <c r="O57" s="1705"/>
      <c r="P57" s="1705">
        <v>2027.43</v>
      </c>
      <c r="Q57" s="1705"/>
      <c r="R57" s="1705">
        <v>3840.95</v>
      </c>
      <c r="S57" s="1705"/>
      <c r="T57" s="1705">
        <v>4618.88</v>
      </c>
      <c r="U57" s="1705">
        <f>U58+V58+U62</f>
        <v>3278.7200000000003</v>
      </c>
      <c r="V57" s="1705"/>
      <c r="W57" s="1705">
        <f>W58+X58</f>
        <v>4217.37</v>
      </c>
      <c r="X57" s="1705"/>
      <c r="Y57" s="1705">
        <f>Y58+Z58</f>
        <v>3061.4900000000002</v>
      </c>
      <c r="Z57" s="1705"/>
      <c r="AA57" s="1705">
        <v>3445</v>
      </c>
      <c r="AB57" s="1705">
        <f>AB58</f>
        <v>18.93</v>
      </c>
      <c r="AC57" s="1705">
        <v>3445</v>
      </c>
      <c r="AD57" s="1705">
        <v>3445</v>
      </c>
      <c r="AE57" s="1705">
        <v>3445</v>
      </c>
      <c r="AF57" s="1705">
        <f>AF58</f>
        <v>18.93</v>
      </c>
      <c r="AG57" s="1705">
        <v>3445</v>
      </c>
      <c r="AH57" s="1705">
        <f>AH58</f>
        <v>3200</v>
      </c>
      <c r="AI57" s="1705">
        <f>AI58</f>
        <v>23</v>
      </c>
      <c r="AJ57" s="1705">
        <f t="shared" ref="AJ57:AQ57" si="41">AJ58</f>
        <v>3272.75</v>
      </c>
      <c r="AK57" s="1705">
        <f t="shared" si="41"/>
        <v>23</v>
      </c>
      <c r="AL57" s="1705">
        <f t="shared" si="41"/>
        <v>3230</v>
      </c>
      <c r="AM57" s="1705">
        <f t="shared" si="41"/>
        <v>23</v>
      </c>
      <c r="AN57" s="1705">
        <f>AN58+AO58+AN62</f>
        <v>4359.4799999999996</v>
      </c>
      <c r="AO57" s="1705">
        <v>0</v>
      </c>
      <c r="AP57" s="1705">
        <f t="shared" si="41"/>
        <v>3178.1</v>
      </c>
      <c r="AQ57" s="1705">
        <f t="shared" si="41"/>
        <v>19.22</v>
      </c>
      <c r="AR57" s="1705">
        <f>AR58+AS58</f>
        <v>3248.93</v>
      </c>
      <c r="AS57" s="1705"/>
      <c r="AT57" s="1705"/>
      <c r="AU57" s="1705"/>
      <c r="AV57" s="1705">
        <f>AV58+AW58+AV62</f>
        <v>4217.37</v>
      </c>
      <c r="AW57" s="1705"/>
      <c r="AX57" s="1705">
        <f>AX58+AY58</f>
        <v>3020.0036431580988</v>
      </c>
      <c r="AY57" s="1705"/>
      <c r="AZ57" s="3830"/>
      <c r="BA57" s="3830"/>
    </row>
    <row r="58" spans="1:57" ht="36" customHeight="1" x14ac:dyDescent="0.2">
      <c r="A58" s="1673" t="s">
        <v>897</v>
      </c>
      <c r="B58" s="1681"/>
      <c r="C58" s="1681"/>
      <c r="D58" s="1681"/>
      <c r="E58" s="1679">
        <v>3600</v>
      </c>
      <c r="F58" s="1682" t="e">
        <f>E58/#REF!*100</f>
        <v>#REF!</v>
      </c>
      <c r="G58" s="1679">
        <f>SUM(G59:G61)</f>
        <v>3672.7</v>
      </c>
      <c r="H58" s="1679">
        <f>SUM(H59:H61)</f>
        <v>1773.7999999999997</v>
      </c>
      <c r="I58" s="1679">
        <f>SUM(I59:I61)</f>
        <v>2603.1999999999998</v>
      </c>
      <c r="J58" s="1683"/>
      <c r="K58" s="1705">
        <f>SUM(K59:K61)</f>
        <v>3476.2</v>
      </c>
      <c r="L58" s="1705">
        <f>SUM(L59:L61)</f>
        <v>3672.7</v>
      </c>
      <c r="M58" s="1705">
        <f>SUM(M59:M61)</f>
        <v>3644.7</v>
      </c>
      <c r="N58" s="1705">
        <f>SUM(N59:N61)</f>
        <v>28</v>
      </c>
      <c r="O58" s="1705">
        <f t="shared" si="9"/>
        <v>99.237618101124511</v>
      </c>
      <c r="P58" s="1705">
        <f t="shared" ref="P58:V58" si="42">SUM(P59:P61)</f>
        <v>1670.74</v>
      </c>
      <c r="Q58" s="1705">
        <f t="shared" si="42"/>
        <v>0</v>
      </c>
      <c r="R58" s="1705">
        <f>R59+R60</f>
        <v>3186.5699999999997</v>
      </c>
      <c r="S58" s="1705">
        <f t="shared" si="42"/>
        <v>23.38</v>
      </c>
      <c r="T58" s="1705">
        <f t="shared" si="42"/>
        <v>3473</v>
      </c>
      <c r="U58" s="1705">
        <f t="shared" si="42"/>
        <v>2289.52</v>
      </c>
      <c r="V58" s="1705">
        <f t="shared" si="42"/>
        <v>15.34</v>
      </c>
      <c r="W58" s="1705">
        <f>W59+W60+W62</f>
        <v>4196.72</v>
      </c>
      <c r="X58" s="1705">
        <f>X59+X60+X61</f>
        <v>20.65</v>
      </c>
      <c r="Y58" s="1705">
        <f>Y59+Y60+Y62</f>
        <v>3040.84</v>
      </c>
      <c r="Z58" s="1705">
        <f>Z59+Z60+Z61</f>
        <v>20.65</v>
      </c>
      <c r="AA58" s="1705">
        <f>SUM(AA59:AA61)</f>
        <v>3445</v>
      </c>
      <c r="AB58" s="1705">
        <f>SUM(AB59:AB61)</f>
        <v>18.93</v>
      </c>
      <c r="AC58" s="1706">
        <f>SUM(AA58/M58*100)</f>
        <v>94.520811040689225</v>
      </c>
      <c r="AD58" s="1705">
        <f>SUM(AD59:AD61)</f>
        <v>3473</v>
      </c>
      <c r="AE58" s="1705">
        <f>SUM(AE59:AE61)</f>
        <v>3445</v>
      </c>
      <c r="AF58" s="1705">
        <f>SUM(AF59:AF61)</f>
        <v>18.93</v>
      </c>
      <c r="AG58" s="1684" t="e">
        <f>SUM(AE58/Q58*100)</f>
        <v>#DIV/0!</v>
      </c>
      <c r="AH58" s="1705">
        <f>SUM(AH59:AH61)</f>
        <v>3200</v>
      </c>
      <c r="AI58" s="1705">
        <f>SUM(AI59:AI61)</f>
        <v>23</v>
      </c>
      <c r="AJ58" s="1705">
        <f>AE58*(1-0.05)</f>
        <v>3272.75</v>
      </c>
      <c r="AK58" s="1705">
        <f t="shared" ref="AK58" si="43">SUM(AK59:AK61)</f>
        <v>23</v>
      </c>
      <c r="AL58" s="1705">
        <f t="shared" ref="AL58:AQ58" si="44">SUM(AL59:AL61)</f>
        <v>3230</v>
      </c>
      <c r="AM58" s="1705">
        <f t="shared" si="44"/>
        <v>23</v>
      </c>
      <c r="AN58" s="1705">
        <f t="shared" si="44"/>
        <v>3178.1</v>
      </c>
      <c r="AO58" s="1705">
        <f t="shared" si="44"/>
        <v>19.22</v>
      </c>
      <c r="AP58" s="1705">
        <f t="shared" si="44"/>
        <v>3178.1</v>
      </c>
      <c r="AQ58" s="1705">
        <f t="shared" si="44"/>
        <v>19.22</v>
      </c>
      <c r="AR58" s="1705">
        <f>AR59+AR60</f>
        <v>3230</v>
      </c>
      <c r="AS58" s="1705">
        <f t="shared" ref="AS58:AY58" si="45">SUM(AS59:AS61)</f>
        <v>18.93</v>
      </c>
      <c r="AT58" s="1705">
        <f>AT59+AT60</f>
        <v>2357.9</v>
      </c>
      <c r="AU58" s="1705">
        <f t="shared" si="45"/>
        <v>13.25</v>
      </c>
      <c r="AV58" s="1705">
        <f t="shared" si="45"/>
        <v>3230</v>
      </c>
      <c r="AW58" s="1705">
        <f t="shared" si="45"/>
        <v>18.93</v>
      </c>
      <c r="AX58" s="1705">
        <f>'ф1.1. п5 МУ'!J33</f>
        <v>3002.3369764914323</v>
      </c>
      <c r="AY58" s="1705">
        <f t="shared" si="45"/>
        <v>17.666666666666668</v>
      </c>
      <c r="AZ58" s="3829"/>
      <c r="BA58" s="3829"/>
    </row>
    <row r="59" spans="1:57" ht="36" customHeight="1" x14ac:dyDescent="0.2">
      <c r="A59" s="1674" t="s">
        <v>27</v>
      </c>
      <c r="B59" s="1681"/>
      <c r="C59" s="1681"/>
      <c r="D59" s="1681"/>
      <c r="E59" s="1684">
        <v>2600</v>
      </c>
      <c r="F59" s="1685" t="e">
        <f>E59/#REF!*100</f>
        <v>#REF!</v>
      </c>
      <c r="G59" s="1684">
        <f>E59</f>
        <v>2600</v>
      </c>
      <c r="H59" s="1684">
        <v>1250.8</v>
      </c>
      <c r="I59" s="1686">
        <v>1837.1</v>
      </c>
      <c r="J59" s="1686"/>
      <c r="K59" s="1703">
        <v>2448.6999999999998</v>
      </c>
      <c r="L59" s="1689">
        <v>2600</v>
      </c>
      <c r="M59" s="1689">
        <v>2600</v>
      </c>
      <c r="N59" s="1689"/>
      <c r="O59" s="1689">
        <f t="shared" si="9"/>
        <v>100</v>
      </c>
      <c r="P59" s="1703">
        <v>1186.01</v>
      </c>
      <c r="Q59" s="1703"/>
      <c r="R59" s="1703">
        <v>2289.52</v>
      </c>
      <c r="S59" s="1703"/>
      <c r="T59" s="1689">
        <v>2448</v>
      </c>
      <c r="U59" s="1689">
        <v>1686.35</v>
      </c>
      <c r="V59" s="1689"/>
      <c r="W59" s="1689">
        <v>2239.89</v>
      </c>
      <c r="X59" s="1689"/>
      <c r="Y59" s="1689">
        <v>2239.89</v>
      </c>
      <c r="Z59" s="1689"/>
      <c r="AA59" s="1689">
        <f>T59</f>
        <v>2448</v>
      </c>
      <c r="AB59" s="1689"/>
      <c r="AC59" s="1689">
        <f>SUM(AA59/M59*100)</f>
        <v>94.15384615384616</v>
      </c>
      <c r="AD59" s="1689">
        <v>2448</v>
      </c>
      <c r="AE59" s="1689">
        <f>AD59</f>
        <v>2448</v>
      </c>
      <c r="AF59" s="1689"/>
      <c r="AG59" s="1677" t="e">
        <f>SUM(AE59/Q59*100)</f>
        <v>#DIV/0!</v>
      </c>
      <c r="AH59" s="1691">
        <v>2300</v>
      </c>
      <c r="AI59" s="1691"/>
      <c r="AJ59" s="1950">
        <f>AH59</f>
        <v>2300</v>
      </c>
      <c r="AK59" s="1950"/>
      <c r="AL59" s="1950">
        <v>2280</v>
      </c>
      <c r="AM59" s="1950"/>
      <c r="AN59" s="1950">
        <v>2420.66</v>
      </c>
      <c r="AO59" s="1950"/>
      <c r="AP59" s="1950">
        <v>2420.66</v>
      </c>
      <c r="AQ59" s="1950"/>
      <c r="AR59" s="1950">
        <v>2280</v>
      </c>
      <c r="AS59" s="1950"/>
      <c r="AT59" s="1950">
        <v>1805.9</v>
      </c>
      <c r="AU59" s="1950"/>
      <c r="AV59" s="1950">
        <v>2280</v>
      </c>
      <c r="AW59" s="1950"/>
      <c r="AX59" s="1950">
        <f>AV59</f>
        <v>2280</v>
      </c>
      <c r="AY59" s="1950"/>
      <c r="AZ59" s="3818" t="s">
        <v>247</v>
      </c>
      <c r="BA59" s="3818"/>
      <c r="BC59">
        <f>R59/3*4</f>
        <v>3052.6933333333332</v>
      </c>
    </row>
    <row r="60" spans="1:57" ht="36" customHeight="1" x14ac:dyDescent="0.2">
      <c r="A60" s="1674" t="s">
        <v>29</v>
      </c>
      <c r="B60" s="1681"/>
      <c r="C60" s="1681"/>
      <c r="D60" s="1681"/>
      <c r="E60" s="1684">
        <v>972</v>
      </c>
      <c r="F60" s="1685" t="e">
        <f>E60/#REF!*100</f>
        <v>#REF!</v>
      </c>
      <c r="G60" s="1684">
        <f>BB25+2.4</f>
        <v>1044.7</v>
      </c>
      <c r="H60" s="1684">
        <v>513.4</v>
      </c>
      <c r="I60" s="1686">
        <v>751.9</v>
      </c>
      <c r="J60" s="1686"/>
      <c r="K60" s="1703">
        <v>997.3</v>
      </c>
      <c r="L60" s="1689">
        <v>1044.7</v>
      </c>
      <c r="M60" s="1689">
        <v>1044.7</v>
      </c>
      <c r="N60" s="1689"/>
      <c r="O60" s="1689">
        <f t="shared" si="9"/>
        <v>100</v>
      </c>
      <c r="P60" s="1703">
        <v>475.06</v>
      </c>
      <c r="Q60" s="1703"/>
      <c r="R60" s="1703">
        <v>897.05</v>
      </c>
      <c r="S60" s="1703"/>
      <c r="T60" s="1689">
        <v>997</v>
      </c>
      <c r="U60" s="1689">
        <v>603.16999999999996</v>
      </c>
      <c r="V60" s="1689"/>
      <c r="W60" s="1689">
        <v>800.95</v>
      </c>
      <c r="X60" s="1689"/>
      <c r="Y60" s="1689">
        <v>800.95</v>
      </c>
      <c r="Z60" s="1689"/>
      <c r="AA60" s="1689">
        <f>T60</f>
        <v>997</v>
      </c>
      <c r="AB60" s="1689"/>
      <c r="AC60" s="1689">
        <f>SUM(AA60/M60*100)</f>
        <v>95.434095912702205</v>
      </c>
      <c r="AD60" s="1689">
        <v>997</v>
      </c>
      <c r="AE60" s="1689">
        <f>AD60</f>
        <v>997</v>
      </c>
      <c r="AF60" s="1689"/>
      <c r="AG60" s="1677" t="e">
        <f>SUM(AE60/Q60*100)</f>
        <v>#DIV/0!</v>
      </c>
      <c r="AH60" s="1691">
        <v>900</v>
      </c>
      <c r="AI60" s="1691"/>
      <c r="AJ60" s="1950">
        <f>AJ58-AJ59</f>
        <v>972.75</v>
      </c>
      <c r="AK60" s="1950"/>
      <c r="AL60" s="1950">
        <v>950</v>
      </c>
      <c r="AM60" s="1950"/>
      <c r="AN60" s="1950">
        <v>757.44</v>
      </c>
      <c r="AO60" s="1950"/>
      <c r="AP60" s="1950">
        <v>757.44</v>
      </c>
      <c r="AQ60" s="1950"/>
      <c r="AR60" s="1950">
        <v>950</v>
      </c>
      <c r="AS60" s="1950"/>
      <c r="AT60" s="1950">
        <v>552</v>
      </c>
      <c r="AU60" s="1950"/>
      <c r="AV60" s="1950">
        <v>950</v>
      </c>
      <c r="AW60" s="1950"/>
      <c r="AX60" s="1950">
        <f>AX58-AX59</f>
        <v>722.33697649143232</v>
      </c>
      <c r="AY60" s="1950"/>
      <c r="AZ60" s="3818" t="s">
        <v>247</v>
      </c>
      <c r="BA60" s="3818"/>
      <c r="BC60">
        <f>R60/3*4</f>
        <v>1196.0666666666666</v>
      </c>
    </row>
    <row r="61" spans="1:57" ht="36" customHeight="1" x14ac:dyDescent="0.2">
      <c r="A61" s="1941" t="s">
        <v>68</v>
      </c>
      <c r="B61" s="1942"/>
      <c r="C61" s="1942"/>
      <c r="D61" s="1942"/>
      <c r="E61" s="1943">
        <v>28</v>
      </c>
      <c r="F61" s="1944" t="e">
        <f>E61/#REF!*100</f>
        <v>#REF!</v>
      </c>
      <c r="G61" s="1943">
        <v>28</v>
      </c>
      <c r="H61" s="1943">
        <v>9.6</v>
      </c>
      <c r="I61" s="1945">
        <v>14.2</v>
      </c>
      <c r="J61" s="1945"/>
      <c r="K61" s="1946">
        <v>30.2</v>
      </c>
      <c r="L61" s="1947">
        <v>28</v>
      </c>
      <c r="M61" s="1947"/>
      <c r="N61" s="1947">
        <v>28</v>
      </c>
      <c r="O61" s="1947">
        <f t="shared" si="9"/>
        <v>0</v>
      </c>
      <c r="P61" s="1946">
        <v>9.67</v>
      </c>
      <c r="Q61" s="1946"/>
      <c r="R61" s="1946"/>
      <c r="S61" s="1946">
        <v>23.38</v>
      </c>
      <c r="T61" s="1947">
        <v>28</v>
      </c>
      <c r="U61" s="1947"/>
      <c r="V61" s="1947">
        <v>15.34</v>
      </c>
      <c r="W61" s="1947"/>
      <c r="X61" s="1947">
        <v>20.65</v>
      </c>
      <c r="Y61" s="1947"/>
      <c r="Z61" s="1947">
        <v>20.65</v>
      </c>
      <c r="AA61" s="1947"/>
      <c r="AB61" s="1947">
        <v>18.93</v>
      </c>
      <c r="AC61" s="1947" t="e">
        <f>SUM(AA61/M61*100)</f>
        <v>#DIV/0!</v>
      </c>
      <c r="AD61" s="1947">
        <v>28</v>
      </c>
      <c r="AE61" s="1947"/>
      <c r="AF61" s="1947">
        <f>AB61</f>
        <v>18.93</v>
      </c>
      <c r="AG61" s="1948" t="e">
        <f>SUM(AE61/Q61*100)</f>
        <v>#DIV/0!</v>
      </c>
      <c r="AH61" s="1949"/>
      <c r="AI61" s="1949">
        <v>23</v>
      </c>
      <c r="AJ61" s="1951"/>
      <c r="AK61" s="1951">
        <v>23</v>
      </c>
      <c r="AL61" s="1951"/>
      <c r="AM61" s="1951">
        <v>23</v>
      </c>
      <c r="AN61" s="1951"/>
      <c r="AO61" s="1951">
        <v>19.22</v>
      </c>
      <c r="AP61" s="1951"/>
      <c r="AQ61" s="1951">
        <v>19.22</v>
      </c>
      <c r="AR61" s="1951"/>
      <c r="AS61" s="1951">
        <f>AF61</f>
        <v>18.93</v>
      </c>
      <c r="AT61" s="1951"/>
      <c r="AU61" s="1951">
        <v>13.25</v>
      </c>
      <c r="AV61" s="1951"/>
      <c r="AW61" s="1951">
        <v>18.93</v>
      </c>
      <c r="AX61" s="1951"/>
      <c r="AY61" s="1951">
        <f>AU61/9*12</f>
        <v>17.666666666666668</v>
      </c>
      <c r="AZ61" s="3828" t="s">
        <v>3529</v>
      </c>
      <c r="BA61" s="3828"/>
    </row>
    <row r="62" spans="1:57" ht="18.75" x14ac:dyDescent="0.2">
      <c r="A62" s="1674" t="s">
        <v>1549</v>
      </c>
      <c r="B62" s="1942"/>
      <c r="C62" s="1942"/>
      <c r="D62" s="1942"/>
      <c r="E62" s="1943">
        <v>29</v>
      </c>
      <c r="F62" s="1944" t="e">
        <f>E62/#REF!*100</f>
        <v>#REF!</v>
      </c>
      <c r="G62" s="1943">
        <v>28</v>
      </c>
      <c r="H62" s="1943">
        <v>9.6</v>
      </c>
      <c r="I62" s="1945">
        <v>14.2</v>
      </c>
      <c r="J62" s="1945"/>
      <c r="K62" s="1825">
        <f>K57-K58</f>
        <v>917.19999999999982</v>
      </c>
      <c r="L62" s="1689"/>
      <c r="M62" s="1689"/>
      <c r="N62" s="1689"/>
      <c r="O62" s="1689"/>
      <c r="P62" s="1703"/>
      <c r="Q62" s="1703"/>
      <c r="R62" s="1825">
        <f>R57-R58-S58</f>
        <v>631.00000000000011</v>
      </c>
      <c r="S62" s="1703"/>
      <c r="T62" s="1689"/>
      <c r="U62" s="1689">
        <v>973.86</v>
      </c>
      <c r="V62" s="1689"/>
      <c r="W62" s="1689">
        <v>1155.8800000000001</v>
      </c>
      <c r="X62" s="1689"/>
      <c r="Y62" s="1689">
        <v>0</v>
      </c>
      <c r="Z62" s="1689"/>
      <c r="AA62" s="1689"/>
      <c r="AB62" s="1689"/>
      <c r="AC62" s="1689"/>
      <c r="AD62" s="1689"/>
      <c r="AE62" s="1689"/>
      <c r="AF62" s="1689"/>
      <c r="AG62" s="1677"/>
      <c r="AH62" s="1689"/>
      <c r="AI62" s="1689"/>
      <c r="AJ62" s="1677"/>
      <c r="AK62" s="1677"/>
      <c r="AL62" s="1677"/>
      <c r="AM62" s="1677"/>
      <c r="AN62" s="1677">
        <v>1162.1600000000001</v>
      </c>
      <c r="AO62" s="1677"/>
      <c r="AP62" s="1677">
        <v>0</v>
      </c>
      <c r="AQ62" s="1677">
        <v>0</v>
      </c>
      <c r="AR62" s="1677"/>
      <c r="AS62" s="1677"/>
      <c r="AT62" s="1677"/>
      <c r="AU62" s="1677"/>
      <c r="AV62" s="1677">
        <v>968.44</v>
      </c>
      <c r="AW62" s="1677"/>
      <c r="AX62" s="1677"/>
      <c r="AY62" s="1677"/>
      <c r="AZ62" s="3818"/>
      <c r="BA62" s="3818"/>
    </row>
    <row r="63" spans="1:57" hidden="1" outlineLevel="1" x14ac:dyDescent="0.2">
      <c r="A63" s="158" t="s">
        <v>273</v>
      </c>
    </row>
    <row r="64" spans="1:57" hidden="1" outlineLevel="1" x14ac:dyDescent="0.2">
      <c r="A64" s="25"/>
      <c r="B64" s="25"/>
      <c r="C64" s="25"/>
      <c r="D64" s="25"/>
      <c r="E64" s="25" t="s">
        <v>264</v>
      </c>
      <c r="F64" s="25" t="s">
        <v>265</v>
      </c>
      <c r="G64" s="25" t="s">
        <v>265</v>
      </c>
      <c r="H64" s="25" t="s">
        <v>266</v>
      </c>
      <c r="I64" s="25" t="s">
        <v>267</v>
      </c>
      <c r="J64" s="25" t="s">
        <v>269</v>
      </c>
      <c r="K64" s="641"/>
      <c r="L64" s="25" t="s">
        <v>268</v>
      </c>
      <c r="M64" s="25" t="s">
        <v>270</v>
      </c>
      <c r="N64" s="1043"/>
      <c r="O64" s="25"/>
      <c r="P64" s="641"/>
      <c r="Q64" s="1255"/>
      <c r="R64" s="1331"/>
      <c r="S64" s="641"/>
      <c r="T64" s="641"/>
      <c r="U64" s="1937"/>
      <c r="V64" s="1937"/>
      <c r="W64" s="1937"/>
      <c r="X64" s="1937"/>
      <c r="Y64" s="1937"/>
      <c r="Z64" s="1937"/>
      <c r="AA64" s="641"/>
      <c r="AB64" s="1043"/>
      <c r="AC64" s="641"/>
      <c r="AD64" s="1439"/>
      <c r="AE64" s="1439"/>
      <c r="AF64" s="1439"/>
      <c r="AG64" s="1439"/>
      <c r="AH64" s="1711"/>
      <c r="AI64" s="1711"/>
      <c r="AJ64" s="1711"/>
      <c r="AK64" s="1711"/>
      <c r="AL64" s="1937"/>
      <c r="AM64" s="1937"/>
      <c r="AN64" s="2454"/>
      <c r="AO64" s="2454"/>
      <c r="AP64" s="2454"/>
      <c r="AQ64" s="2454"/>
      <c r="AR64" s="1937"/>
      <c r="AS64" s="1937"/>
      <c r="AT64" s="2454"/>
      <c r="AU64" s="2454"/>
      <c r="AV64" s="2454"/>
      <c r="AW64" s="2454"/>
      <c r="AX64" s="2454"/>
      <c r="AY64" s="2454"/>
      <c r="AZ64" s="25" t="s">
        <v>271</v>
      </c>
      <c r="BA64" s="25" t="s">
        <v>272</v>
      </c>
    </row>
    <row r="65" spans="1:54" hidden="1" outlineLevel="1" x14ac:dyDescent="0.2">
      <c r="A65" s="25" t="s">
        <v>260</v>
      </c>
      <c r="B65" s="25"/>
      <c r="C65" s="25"/>
      <c r="D65" s="25"/>
      <c r="E65" s="25"/>
      <c r="F65" s="25"/>
      <c r="G65" s="25"/>
      <c r="H65" s="25"/>
      <c r="I65" s="25"/>
      <c r="J65" s="25"/>
      <c r="K65" s="641"/>
      <c r="L65" s="25"/>
      <c r="M65" s="25"/>
      <c r="N65" s="1043"/>
      <c r="O65" s="25"/>
      <c r="P65" s="641"/>
      <c r="Q65" s="1255"/>
      <c r="R65" s="1331"/>
      <c r="S65" s="641"/>
      <c r="T65" s="641"/>
      <c r="U65" s="1937"/>
      <c r="V65" s="1937"/>
      <c r="W65" s="1937"/>
      <c r="X65" s="1937"/>
      <c r="Y65" s="1937"/>
      <c r="Z65" s="1937"/>
      <c r="AA65" s="641"/>
      <c r="AB65" s="1043"/>
      <c r="AC65" s="641"/>
      <c r="AD65" s="1439"/>
      <c r="AE65" s="1439"/>
      <c r="AF65" s="1439"/>
      <c r="AG65" s="1439"/>
      <c r="AH65" s="1711"/>
      <c r="AI65" s="1711"/>
      <c r="AJ65" s="1711"/>
      <c r="AK65" s="1711"/>
      <c r="AL65" s="1937"/>
      <c r="AM65" s="1937"/>
      <c r="AN65" s="2454"/>
      <c r="AO65" s="2454"/>
      <c r="AP65" s="2454"/>
      <c r="AQ65" s="2454"/>
      <c r="AR65" s="1937"/>
      <c r="AS65" s="1937"/>
      <c r="AT65" s="2454"/>
      <c r="AU65" s="2454"/>
      <c r="AV65" s="2454"/>
      <c r="AW65" s="2454"/>
      <c r="AX65" s="2454"/>
      <c r="AY65" s="2454"/>
      <c r="AZ65" s="25"/>
      <c r="BA65" s="25"/>
    </row>
    <row r="66" spans="1:54" hidden="1" outlineLevel="1" x14ac:dyDescent="0.2">
      <c r="A66" s="157" t="s">
        <v>236</v>
      </c>
      <c r="B66" s="25"/>
      <c r="C66" s="25"/>
      <c r="D66" s="25"/>
      <c r="E66" s="25"/>
      <c r="F66" s="25"/>
      <c r="G66" s="25"/>
      <c r="H66" s="25"/>
      <c r="I66" s="25"/>
      <c r="J66" s="25"/>
      <c r="K66" s="641"/>
      <c r="L66" s="25"/>
      <c r="M66" s="25"/>
      <c r="N66" s="1043"/>
      <c r="O66" s="25"/>
      <c r="P66" s="641"/>
      <c r="Q66" s="1255"/>
      <c r="R66" s="1331"/>
      <c r="S66" s="641"/>
      <c r="T66" s="641"/>
      <c r="U66" s="1937"/>
      <c r="V66" s="1937"/>
      <c r="W66" s="1937"/>
      <c r="X66" s="1937"/>
      <c r="Y66" s="1937"/>
      <c r="Z66" s="1937"/>
      <c r="AA66" s="641"/>
      <c r="AB66" s="1043"/>
      <c r="AC66" s="641"/>
      <c r="AD66" s="1439"/>
      <c r="AE66" s="1439"/>
      <c r="AF66" s="1439"/>
      <c r="AG66" s="1439"/>
      <c r="AH66" s="1711"/>
      <c r="AI66" s="1711"/>
      <c r="AJ66" s="1711"/>
      <c r="AK66" s="1711"/>
      <c r="AL66" s="1937"/>
      <c r="AM66" s="1937"/>
      <c r="AN66" s="2454"/>
      <c r="AO66" s="2454"/>
      <c r="AP66" s="2454"/>
      <c r="AQ66" s="2454"/>
      <c r="AR66" s="1937"/>
      <c r="AS66" s="1937"/>
      <c r="AT66" s="2454"/>
      <c r="AU66" s="2454"/>
      <c r="AV66" s="2454"/>
      <c r="AW66" s="2454"/>
      <c r="AX66" s="2454"/>
      <c r="AY66" s="2454"/>
      <c r="AZ66" s="25"/>
      <c r="BA66" s="25"/>
    </row>
    <row r="67" spans="1:54" hidden="1" outlineLevel="1" x14ac:dyDescent="0.2">
      <c r="A67" s="25" t="s">
        <v>261</v>
      </c>
      <c r="B67" s="25"/>
      <c r="C67" s="25"/>
      <c r="D67" s="25"/>
      <c r="E67" s="25">
        <v>236.8</v>
      </c>
      <c r="F67" s="25">
        <v>236.8</v>
      </c>
      <c r="G67" s="25">
        <v>236.8</v>
      </c>
      <c r="H67" s="25">
        <v>236.8</v>
      </c>
      <c r="I67" s="25">
        <v>236.8</v>
      </c>
      <c r="J67" s="25">
        <v>236.8</v>
      </c>
      <c r="K67" s="641"/>
      <c r="L67" s="25">
        <f>I67</f>
        <v>236.8</v>
      </c>
      <c r="M67" s="25">
        <v>229.09</v>
      </c>
      <c r="N67" s="1043"/>
      <c r="O67" s="25"/>
      <c r="P67" s="641"/>
      <c r="Q67" s="1255"/>
      <c r="R67" s="1331"/>
      <c r="S67" s="641"/>
      <c r="T67" s="641"/>
      <c r="U67" s="1937"/>
      <c r="V67" s="1937"/>
      <c r="W67" s="1937"/>
      <c r="X67" s="1937"/>
      <c r="Y67" s="1937"/>
      <c r="Z67" s="1937"/>
      <c r="AA67" s="641"/>
      <c r="AB67" s="1043"/>
      <c r="AC67" s="641"/>
      <c r="AD67" s="1439"/>
      <c r="AE67" s="1439"/>
      <c r="AF67" s="1439"/>
      <c r="AG67" s="1439"/>
      <c r="AH67" s="1711"/>
      <c r="AI67" s="1711"/>
      <c r="AJ67" s="1711"/>
      <c r="AK67" s="1711"/>
      <c r="AL67" s="1937"/>
      <c r="AM67" s="1937"/>
      <c r="AN67" s="2454"/>
      <c r="AO67" s="2454"/>
      <c r="AP67" s="2454"/>
      <c r="AQ67" s="2454"/>
      <c r="AR67" s="1937"/>
      <c r="AS67" s="1937"/>
      <c r="AT67" s="2454"/>
      <c r="AU67" s="2454"/>
      <c r="AV67" s="2454"/>
      <c r="AW67" s="2454"/>
      <c r="AX67" s="2454"/>
      <c r="AY67" s="2454"/>
      <c r="AZ67" s="25">
        <v>236.8</v>
      </c>
      <c r="BA67" s="25">
        <v>236.8</v>
      </c>
      <c r="BB67" t="e">
        <f>#REF!/12</f>
        <v>#REF!</v>
      </c>
    </row>
    <row r="68" spans="1:54" hidden="1" outlineLevel="1" x14ac:dyDescent="0.2">
      <c r="A68" s="25" t="s">
        <v>262</v>
      </c>
      <c r="B68" s="25"/>
      <c r="C68" s="25"/>
      <c r="D68" s="25"/>
      <c r="E68" s="25">
        <v>100.3</v>
      </c>
      <c r="F68" s="25">
        <v>100.3</v>
      </c>
      <c r="G68" s="25">
        <v>100.3</v>
      </c>
      <c r="H68" s="25">
        <v>100.3</v>
      </c>
      <c r="I68" s="25">
        <v>100.3</v>
      </c>
      <c r="J68" s="25">
        <v>100.3</v>
      </c>
      <c r="K68" s="641"/>
      <c r="L68" s="25">
        <f>I68</f>
        <v>100.3</v>
      </c>
      <c r="M68" s="25">
        <v>87.4</v>
      </c>
      <c r="N68" s="1043"/>
      <c r="O68" s="25"/>
      <c r="P68" s="641"/>
      <c r="Q68" s="1255"/>
      <c r="R68" s="1331"/>
      <c r="S68" s="641"/>
      <c r="T68" s="641"/>
      <c r="U68" s="1937"/>
      <c r="V68" s="1937"/>
      <c r="W68" s="1937"/>
      <c r="X68" s="1937"/>
      <c r="Y68" s="1937"/>
      <c r="Z68" s="1937"/>
      <c r="AA68" s="641"/>
      <c r="AB68" s="1043"/>
      <c r="AC68" s="641"/>
      <c r="AD68" s="1439"/>
      <c r="AE68" s="1439"/>
      <c r="AF68" s="1439"/>
      <c r="AG68" s="1439"/>
      <c r="AH68" s="1711"/>
      <c r="AI68" s="1711"/>
      <c r="AJ68" s="1711"/>
      <c r="AK68" s="1711"/>
      <c r="AL68" s="1937"/>
      <c r="AM68" s="1937"/>
      <c r="AN68" s="2454"/>
      <c r="AO68" s="2454"/>
      <c r="AP68" s="2454"/>
      <c r="AQ68" s="2454"/>
      <c r="AR68" s="1937"/>
      <c r="AS68" s="1937"/>
      <c r="AT68" s="2454"/>
      <c r="AU68" s="2454"/>
      <c r="AV68" s="2454"/>
      <c r="AW68" s="2454"/>
      <c r="AX68" s="2454"/>
      <c r="AY68" s="2454"/>
      <c r="AZ68" s="25">
        <v>100.3</v>
      </c>
      <c r="BA68" s="25">
        <v>100.3</v>
      </c>
      <c r="BB68" t="e">
        <f>#REF!/12</f>
        <v>#REF!</v>
      </c>
    </row>
    <row r="69" spans="1:54" hidden="1" outlineLevel="1" x14ac:dyDescent="0.2">
      <c r="A69" s="25" t="s">
        <v>263</v>
      </c>
      <c r="B69" s="25"/>
      <c r="C69" s="25"/>
      <c r="D69" s="25"/>
      <c r="E69" s="25">
        <v>3.6</v>
      </c>
      <c r="F69" s="25">
        <v>3.6</v>
      </c>
      <c r="G69" s="25">
        <v>3.6</v>
      </c>
      <c r="H69" s="25">
        <v>3.6</v>
      </c>
      <c r="I69" s="25">
        <v>3.6</v>
      </c>
      <c r="J69" s="25">
        <v>3.6</v>
      </c>
      <c r="K69" s="641"/>
      <c r="L69" s="25">
        <f>I69</f>
        <v>3.6</v>
      </c>
      <c r="M69" s="25">
        <v>2.1</v>
      </c>
      <c r="N69" s="1043"/>
      <c r="O69" s="25"/>
      <c r="P69" s="641"/>
      <c r="Q69" s="1255"/>
      <c r="R69" s="1331"/>
      <c r="S69" s="641"/>
      <c r="T69" s="641"/>
      <c r="U69" s="1937"/>
      <c r="V69" s="1937"/>
      <c r="W69" s="1937"/>
      <c r="X69" s="1937"/>
      <c r="Y69" s="1937"/>
      <c r="Z69" s="1937"/>
      <c r="AA69" s="641"/>
      <c r="AB69" s="1043"/>
      <c r="AC69" s="641"/>
      <c r="AD69" s="1439"/>
      <c r="AE69" s="1439"/>
      <c r="AF69" s="1439"/>
      <c r="AG69" s="1439"/>
      <c r="AH69" s="1711"/>
      <c r="AI69" s="1711"/>
      <c r="AJ69" s="1711"/>
      <c r="AK69" s="1711"/>
      <c r="AL69" s="1937"/>
      <c r="AM69" s="1937"/>
      <c r="AN69" s="2454"/>
      <c r="AO69" s="2454"/>
      <c r="AP69" s="2454"/>
      <c r="AQ69" s="2454"/>
      <c r="AR69" s="1937"/>
      <c r="AS69" s="1937"/>
      <c r="AT69" s="2454"/>
      <c r="AU69" s="2454"/>
      <c r="AV69" s="2454"/>
      <c r="AW69" s="2454"/>
      <c r="AX69" s="2454"/>
      <c r="AY69" s="2454"/>
      <c r="AZ69" s="25">
        <v>3.6</v>
      </c>
      <c r="BA69" s="25">
        <v>3.6</v>
      </c>
      <c r="BB69" t="e">
        <f>#REF!/12</f>
        <v>#REF!</v>
      </c>
    </row>
    <row r="70" spans="1:54" hidden="1" outlineLevel="1" x14ac:dyDescent="0.2">
      <c r="A70" s="25"/>
      <c r="B70" s="25"/>
      <c r="C70" s="25"/>
      <c r="D70" s="25"/>
      <c r="E70" s="3825" t="s">
        <v>274</v>
      </c>
      <c r="F70" s="3826"/>
      <c r="G70" s="3826"/>
      <c r="H70" s="3826"/>
      <c r="I70" s="3826"/>
      <c r="J70" s="159"/>
      <c r="K70" s="663"/>
      <c r="L70" s="3826" t="s">
        <v>275</v>
      </c>
      <c r="M70" s="3826"/>
      <c r="N70" s="1053"/>
      <c r="O70" s="261"/>
      <c r="P70" s="665"/>
      <c r="Q70" s="1256"/>
      <c r="R70" s="1332"/>
      <c r="S70" s="665"/>
      <c r="T70" s="665"/>
      <c r="U70" s="1938"/>
      <c r="V70" s="1938"/>
      <c r="W70" s="1938"/>
      <c r="X70" s="1938"/>
      <c r="Y70" s="1938"/>
      <c r="Z70" s="1938"/>
      <c r="AA70" s="665"/>
      <c r="AB70" s="1044"/>
      <c r="AC70" s="665"/>
      <c r="AD70" s="1643"/>
      <c r="AE70" s="1643"/>
      <c r="AF70" s="1643"/>
      <c r="AG70" s="1643"/>
      <c r="AH70" s="1712"/>
      <c r="AI70" s="1712"/>
      <c r="AJ70" s="1712"/>
      <c r="AK70" s="1712"/>
      <c r="AL70" s="1938"/>
      <c r="AM70" s="1938"/>
      <c r="AN70" s="2455"/>
      <c r="AO70" s="2455"/>
      <c r="AP70" s="2455"/>
      <c r="AQ70" s="2455"/>
      <c r="AR70" s="1938"/>
      <c r="AS70" s="1938"/>
      <c r="AT70" s="2455"/>
      <c r="AU70" s="2455"/>
      <c r="AV70" s="2455"/>
      <c r="AW70" s="2455"/>
      <c r="AX70" s="2455"/>
      <c r="AY70" s="2455"/>
      <c r="AZ70" s="3827" t="s">
        <v>276</v>
      </c>
      <c r="BA70" s="3827"/>
    </row>
    <row r="71" spans="1:54" collapsed="1" x14ac:dyDescent="0.2"/>
    <row r="76" spans="1:54" x14ac:dyDescent="0.2">
      <c r="V76">
        <f>V61/9*12</f>
        <v>20.453333333333333</v>
      </c>
    </row>
    <row r="80" spans="1:54" hidden="1" x14ac:dyDescent="0.2">
      <c r="AB80">
        <f>AA57/T57</f>
        <v>0.74585180823056674</v>
      </c>
    </row>
  </sheetData>
  <mergeCells count="97">
    <mergeCell ref="AZ59:BA59"/>
    <mergeCell ref="AZ39:BA39"/>
    <mergeCell ref="AZ60:BA60"/>
    <mergeCell ref="AZ58:BA58"/>
    <mergeCell ref="AZ51:BA51"/>
    <mergeCell ref="AZ57:BA57"/>
    <mergeCell ref="AZ46:BA47"/>
    <mergeCell ref="AZ62:BA62"/>
    <mergeCell ref="E70:I70"/>
    <mergeCell ref="AZ70:BA70"/>
    <mergeCell ref="L70:M70"/>
    <mergeCell ref="AZ61:BA61"/>
    <mergeCell ref="AE35:AF35"/>
    <mergeCell ref="AA35:AB35"/>
    <mergeCell ref="AZ33:BA36"/>
    <mergeCell ref="M35:N35"/>
    <mergeCell ref="R35:S35"/>
    <mergeCell ref="U33:V33"/>
    <mergeCell ref="U35:V35"/>
    <mergeCell ref="W35:X35"/>
    <mergeCell ref="Y35:Z35"/>
    <mergeCell ref="AT34:AU34"/>
    <mergeCell ref="AT35:AU35"/>
    <mergeCell ref="W33:AU33"/>
    <mergeCell ref="A37:BA37"/>
    <mergeCell ref="AZ41:BA41"/>
    <mergeCell ref="AZ56:BA56"/>
    <mergeCell ref="AZ48:BA48"/>
    <mergeCell ref="AZ49:BA49"/>
    <mergeCell ref="AZ50:BA50"/>
    <mergeCell ref="A55:BA55"/>
    <mergeCell ref="AZ52:BA52"/>
    <mergeCell ref="AZ53:BA53"/>
    <mergeCell ref="AZ54:BA54"/>
    <mergeCell ref="AZ42:BA42"/>
    <mergeCell ref="AZ38:BA38"/>
    <mergeCell ref="AZ43:BA43"/>
    <mergeCell ref="AZ40:BA40"/>
    <mergeCell ref="AZ44:BA44"/>
    <mergeCell ref="AZ45:BA45"/>
    <mergeCell ref="C5:C7"/>
    <mergeCell ref="I4:L4"/>
    <mergeCell ref="B4:B7"/>
    <mergeCell ref="G4:H4"/>
    <mergeCell ref="E4:F4"/>
    <mergeCell ref="J5:J7"/>
    <mergeCell ref="I5:I7"/>
    <mergeCell ref="F5:F7"/>
    <mergeCell ref="G5:G7"/>
    <mergeCell ref="M5:M7"/>
    <mergeCell ref="L5:L7"/>
    <mergeCell ref="M4:BB4"/>
    <mergeCell ref="A20:BB20"/>
    <mergeCell ref="AL35:AM35"/>
    <mergeCell ref="BB5:BB7"/>
    <mergeCell ref="AG35:AG36"/>
    <mergeCell ref="AR35:AS35"/>
    <mergeCell ref="AN35:AO35"/>
    <mergeCell ref="AP35:AQ35"/>
    <mergeCell ref="AV33:AY33"/>
    <mergeCell ref="AV34:AW34"/>
    <mergeCell ref="AV35:AW35"/>
    <mergeCell ref="AX35:AY35"/>
    <mergeCell ref="BA5:BA7"/>
    <mergeCell ref="AZ5:AZ7"/>
    <mergeCell ref="A2:BA2"/>
    <mergeCell ref="A3:BA3"/>
    <mergeCell ref="A33:A36"/>
    <mergeCell ref="C4:D4"/>
    <mergeCell ref="D5:D7"/>
    <mergeCell ref="E5:E7"/>
    <mergeCell ref="L35:L36"/>
    <mergeCell ref="K35:K36"/>
    <mergeCell ref="A8:BB8"/>
    <mergeCell ref="H35:H36"/>
    <mergeCell ref="I35:I36"/>
    <mergeCell ref="H5:H7"/>
    <mergeCell ref="T35:T36"/>
    <mergeCell ref="AC35:AC36"/>
    <mergeCell ref="A31:L31"/>
    <mergeCell ref="A4:A7"/>
    <mergeCell ref="E35:E36"/>
    <mergeCell ref="F35:F36"/>
    <mergeCell ref="G35:G36"/>
    <mergeCell ref="AX34:AY34"/>
    <mergeCell ref="E33:K34"/>
    <mergeCell ref="L33:S34"/>
    <mergeCell ref="AJ34:AK34"/>
    <mergeCell ref="AA34:AF34"/>
    <mergeCell ref="AR34:AS34"/>
    <mergeCell ref="AN34:AQ34"/>
    <mergeCell ref="W34:Z34"/>
    <mergeCell ref="O35:O36"/>
    <mergeCell ref="AH35:AI35"/>
    <mergeCell ref="AJ35:AK35"/>
    <mergeCell ref="P35:Q35"/>
    <mergeCell ref="AD35:AD36"/>
  </mergeCells>
  <phoneticPr fontId="8" type="noConversion"/>
  <printOptions horizontalCentered="1" verticalCentered="1"/>
  <pageMargins left="0" right="0" top="0.15748031496062992" bottom="0.11811023622047245" header="0.51181102362204722" footer="0.51181102362204722"/>
  <pageSetup paperSize="9" scale="2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3782" t="s">
        <v>57</v>
      </c>
      <c r="B2" s="3782"/>
      <c r="C2" s="3782"/>
      <c r="D2" s="3782"/>
      <c r="E2" s="3782"/>
      <c r="F2" s="3782"/>
      <c r="G2" s="3782"/>
      <c r="H2" s="3782"/>
      <c r="I2" s="3782"/>
      <c r="J2" s="3782"/>
      <c r="K2" s="3782"/>
      <c r="L2" s="3782"/>
      <c r="M2" s="3782"/>
      <c r="N2" s="3782"/>
      <c r="O2" s="3782"/>
      <c r="P2" s="3782"/>
      <c r="Q2" s="3782"/>
      <c r="R2" s="3782"/>
      <c r="S2" s="3782"/>
      <c r="T2" s="3782"/>
      <c r="U2" s="3782"/>
      <c r="V2" s="3782"/>
      <c r="W2" s="3782"/>
      <c r="X2" s="3782"/>
      <c r="Y2" s="3782"/>
      <c r="Z2" s="3782"/>
      <c r="AA2" s="3782"/>
      <c r="AB2" s="3782"/>
      <c r="AC2" s="3782"/>
      <c r="AD2" s="3782"/>
      <c r="AE2" s="3782"/>
      <c r="AF2" s="3782"/>
      <c r="AG2" s="3782"/>
    </row>
    <row r="3" spans="1:34" x14ac:dyDescent="0.2">
      <c r="A3" s="3783" t="s">
        <v>19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  <c r="X3" s="3784"/>
      <c r="Y3" s="3784"/>
      <c r="Z3" s="3784"/>
      <c r="AA3" s="3784"/>
      <c r="AB3" s="3784"/>
      <c r="AC3" s="3784"/>
      <c r="AD3" s="3784"/>
      <c r="AE3" s="3784"/>
      <c r="AF3" s="3784"/>
      <c r="AG3" s="3784"/>
    </row>
    <row r="4" spans="1:34" ht="12.75" hidden="1" customHeight="1" x14ac:dyDescent="0.2">
      <c r="A4" s="3797"/>
      <c r="B4" s="3809" t="s">
        <v>58</v>
      </c>
      <c r="C4" s="1060"/>
      <c r="D4" s="1060"/>
      <c r="E4" s="1060"/>
      <c r="F4" s="1060"/>
      <c r="G4" s="1060"/>
      <c r="H4" s="1060"/>
      <c r="I4" s="1060"/>
      <c r="J4" s="3786" t="s">
        <v>59</v>
      </c>
      <c r="K4" s="3808"/>
      <c r="L4" s="3808"/>
      <c r="M4" s="3787"/>
      <c r="N4" s="3786" t="s">
        <v>67</v>
      </c>
      <c r="O4" s="3787"/>
      <c r="P4" s="3786" t="s">
        <v>95</v>
      </c>
      <c r="Q4" s="3808"/>
      <c r="R4" s="3787"/>
      <c r="S4" s="3786" t="s">
        <v>120</v>
      </c>
      <c r="T4" s="3808"/>
      <c r="U4" s="3808"/>
      <c r="V4" s="3808"/>
      <c r="W4" s="3802" t="s">
        <v>158</v>
      </c>
      <c r="X4" s="3803"/>
      <c r="Y4" s="3803"/>
      <c r="Z4" s="3803"/>
      <c r="AA4" s="3803"/>
      <c r="AB4" s="3803"/>
      <c r="AC4" s="3803"/>
      <c r="AD4" s="3803"/>
      <c r="AE4" s="3803"/>
      <c r="AF4" s="3803"/>
      <c r="AG4" s="3803"/>
      <c r="AH4" s="3804"/>
    </row>
    <row r="5" spans="1:34" ht="12.75" hidden="1" customHeight="1" x14ac:dyDescent="0.2">
      <c r="A5" s="3797"/>
      <c r="B5" s="3809"/>
      <c r="C5" s="1060"/>
      <c r="D5" s="1060"/>
      <c r="E5" s="1060"/>
      <c r="F5" s="1060"/>
      <c r="G5" s="1060"/>
      <c r="H5" s="1060"/>
      <c r="I5" s="1060"/>
      <c r="J5" s="3790" t="s">
        <v>61</v>
      </c>
      <c r="K5" s="1076"/>
      <c r="L5" s="1076"/>
      <c r="M5" s="3788" t="s">
        <v>62</v>
      </c>
      <c r="N5" s="3790" t="s">
        <v>61</v>
      </c>
      <c r="O5" s="3788" t="s">
        <v>66</v>
      </c>
      <c r="P5" s="3790" t="s">
        <v>61</v>
      </c>
      <c r="Q5" s="1076"/>
      <c r="R5" s="3788" t="s">
        <v>112</v>
      </c>
      <c r="S5" s="3790" t="s">
        <v>60</v>
      </c>
      <c r="T5" s="1039"/>
      <c r="U5" s="659"/>
      <c r="V5" s="3799" t="s">
        <v>110</v>
      </c>
      <c r="W5" s="3790" t="s">
        <v>96</v>
      </c>
      <c r="X5" s="1046"/>
      <c r="Y5" s="659"/>
      <c r="Z5" s="659"/>
      <c r="AA5" s="659"/>
      <c r="AB5" s="1190"/>
      <c r="AC5" s="659"/>
      <c r="AD5" s="1039"/>
      <c r="AE5" s="659"/>
      <c r="AF5" s="3799" t="s">
        <v>124</v>
      </c>
      <c r="AG5" s="3799" t="s">
        <v>97</v>
      </c>
      <c r="AH5" s="3788" t="s">
        <v>61</v>
      </c>
    </row>
    <row r="6" spans="1:34" ht="12.75" hidden="1" customHeight="1" x14ac:dyDescent="0.2">
      <c r="A6" s="3797"/>
      <c r="B6" s="3809"/>
      <c r="C6" s="1060"/>
      <c r="D6" s="1060"/>
      <c r="E6" s="1060"/>
      <c r="F6" s="1060"/>
      <c r="G6" s="1060"/>
      <c r="H6" s="1060"/>
      <c r="I6" s="1060"/>
      <c r="J6" s="3791"/>
      <c r="K6" s="320"/>
      <c r="L6" s="320"/>
      <c r="M6" s="3789"/>
      <c r="N6" s="3791"/>
      <c r="O6" s="3789"/>
      <c r="P6" s="3791"/>
      <c r="Q6" s="320"/>
      <c r="R6" s="3789"/>
      <c r="S6" s="3791"/>
      <c r="T6" s="1013"/>
      <c r="U6" s="1013"/>
      <c r="V6" s="3800"/>
      <c r="W6" s="3791"/>
      <c r="X6" s="1047"/>
      <c r="Y6" s="1013"/>
      <c r="Z6" s="1013"/>
      <c r="AA6" s="1013"/>
      <c r="AB6" s="1036"/>
      <c r="AC6" s="1013"/>
      <c r="AD6" s="1013"/>
      <c r="AE6" s="1013"/>
      <c r="AF6" s="3800"/>
      <c r="AG6" s="3800"/>
      <c r="AH6" s="3789"/>
    </row>
    <row r="7" spans="1:34" ht="13.5" hidden="1" customHeight="1" thickBot="1" x14ac:dyDescent="0.25">
      <c r="A7" s="3798"/>
      <c r="B7" s="3810"/>
      <c r="C7" s="1061"/>
      <c r="D7" s="1061"/>
      <c r="E7" s="1061"/>
      <c r="F7" s="1061"/>
      <c r="G7" s="1061"/>
      <c r="H7" s="1061"/>
      <c r="I7" s="1061"/>
      <c r="J7" s="3792"/>
      <c r="K7" s="1077"/>
      <c r="L7" s="1077"/>
      <c r="M7" s="3528"/>
      <c r="N7" s="3792"/>
      <c r="O7" s="3528"/>
      <c r="P7" s="3792"/>
      <c r="Q7" s="1077"/>
      <c r="R7" s="3528"/>
      <c r="S7" s="3792"/>
      <c r="T7" s="1014"/>
      <c r="U7" s="1014"/>
      <c r="V7" s="3801"/>
      <c r="W7" s="3792"/>
      <c r="X7" s="1048"/>
      <c r="Y7" s="1014"/>
      <c r="Z7" s="1014"/>
      <c r="AA7" s="1014"/>
      <c r="AB7" s="1037"/>
      <c r="AC7" s="1014"/>
      <c r="AD7" s="1014"/>
      <c r="AE7" s="1014"/>
      <c r="AF7" s="3801"/>
      <c r="AG7" s="3801"/>
      <c r="AH7" s="3528"/>
    </row>
    <row r="8" spans="1:34" ht="13.5" hidden="1" thickBot="1" x14ac:dyDescent="0.25">
      <c r="A8" s="3793" t="s">
        <v>46</v>
      </c>
      <c r="B8" s="3794"/>
      <c r="C8" s="3794"/>
      <c r="D8" s="3794"/>
      <c r="E8" s="3794"/>
      <c r="F8" s="3794"/>
      <c r="G8" s="3794"/>
      <c r="H8" s="3794"/>
      <c r="I8" s="3794"/>
      <c r="J8" s="3794"/>
      <c r="K8" s="3794"/>
      <c r="L8" s="3794"/>
      <c r="M8" s="3794"/>
      <c r="N8" s="3794"/>
      <c r="O8" s="3794"/>
      <c r="P8" s="3794"/>
      <c r="Q8" s="3794"/>
      <c r="R8" s="3794"/>
      <c r="S8" s="3794"/>
      <c r="T8" s="3794"/>
      <c r="U8" s="3794"/>
      <c r="V8" s="3794"/>
      <c r="W8" s="3794"/>
      <c r="X8" s="3794"/>
      <c r="Y8" s="3794"/>
      <c r="Z8" s="3794"/>
      <c r="AA8" s="3794"/>
      <c r="AB8" s="3794"/>
      <c r="AC8" s="3794"/>
      <c r="AD8" s="3794"/>
      <c r="AE8" s="3794"/>
      <c r="AF8" s="3794"/>
      <c r="AG8" s="3794"/>
      <c r="AH8" s="3795"/>
    </row>
    <row r="9" spans="1:34" hidden="1" x14ac:dyDescent="0.2">
      <c r="A9" s="33" t="s">
        <v>18</v>
      </c>
      <c r="B9" s="37">
        <f>B10+B12</f>
        <v>10513.699999999999</v>
      </c>
      <c r="C9" s="1062"/>
      <c r="D9" s="1062"/>
      <c r="E9" s="1062"/>
      <c r="F9" s="1062"/>
      <c r="G9" s="1062"/>
      <c r="H9" s="1062"/>
      <c r="I9" s="1062"/>
      <c r="J9" s="42">
        <f>J10+J12</f>
        <v>8838.9000000000015</v>
      </c>
      <c r="K9" s="1082"/>
      <c r="L9" s="1082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017">
        <f>P10+P11+P12</f>
        <v>8372.9</v>
      </c>
      <c r="Q9" s="1062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017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4">
        <f>AH10+AH12</f>
        <v>7835.7</v>
      </c>
    </row>
    <row r="10" spans="1:34" hidden="1" x14ac:dyDescent="0.2">
      <c r="A10" s="34" t="s">
        <v>20</v>
      </c>
      <c r="B10" s="38">
        <v>744.9</v>
      </c>
      <c r="C10" s="1063"/>
      <c r="D10" s="1063"/>
      <c r="E10" s="1063"/>
      <c r="F10" s="1063"/>
      <c r="G10" s="1063"/>
      <c r="H10" s="1063"/>
      <c r="I10" s="1063"/>
      <c r="J10" s="1015">
        <v>643.70000000000005</v>
      </c>
      <c r="K10" s="1083"/>
      <c r="L10" s="1083"/>
      <c r="M10" s="45">
        <f>J10/B10*100</f>
        <v>86.414283796482763</v>
      </c>
      <c r="N10" s="1015">
        <v>811.9</v>
      </c>
      <c r="O10" s="108">
        <f>N10/J10*100</f>
        <v>126.13018486872764</v>
      </c>
      <c r="P10" s="1018">
        <v>876.4</v>
      </c>
      <c r="Q10" s="1063"/>
      <c r="R10" s="45">
        <f t="shared" ref="R10:R19" si="1">P10/N10*100</f>
        <v>107.9443281192265</v>
      </c>
      <c r="S10" s="113">
        <v>841.6</v>
      </c>
      <c r="T10" s="1071"/>
      <c r="U10" s="660"/>
      <c r="V10" s="11">
        <v>580.70000000000005</v>
      </c>
      <c r="W10" s="1018">
        <v>876</v>
      </c>
      <c r="X10" s="1049"/>
      <c r="Y10" s="664"/>
      <c r="Z10" s="664"/>
      <c r="AA10" s="664"/>
      <c r="AB10" s="1191"/>
      <c r="AC10" s="664"/>
      <c r="AD10" s="1040"/>
      <c r="AE10" s="664"/>
      <c r="AF10" s="1015">
        <v>876</v>
      </c>
      <c r="AG10" s="6">
        <f t="shared" si="0"/>
        <v>104.08745247148288</v>
      </c>
      <c r="AH10" s="269">
        <f>7835.7-4227.7-2796.3</f>
        <v>811.69999999999982</v>
      </c>
    </row>
    <row r="11" spans="1:34" hidden="1" x14ac:dyDescent="0.2">
      <c r="A11" s="55" t="s">
        <v>113</v>
      </c>
      <c r="B11" s="32"/>
      <c r="C11" s="1064"/>
      <c r="D11" s="1064"/>
      <c r="E11" s="1064"/>
      <c r="F11" s="1064"/>
      <c r="G11" s="1064"/>
      <c r="H11" s="1064"/>
      <c r="I11" s="1064"/>
      <c r="J11" s="2"/>
      <c r="K11" s="1084"/>
      <c r="L11" s="1084"/>
      <c r="M11" s="47"/>
      <c r="N11" s="2">
        <v>54.2</v>
      </c>
      <c r="O11" s="109"/>
      <c r="P11" s="56">
        <v>0</v>
      </c>
      <c r="Q11" s="1064"/>
      <c r="R11" s="45">
        <f t="shared" si="1"/>
        <v>0</v>
      </c>
      <c r="S11" s="112">
        <v>22.5</v>
      </c>
      <c r="T11" s="1072"/>
      <c r="U11" s="661"/>
      <c r="V11" s="31"/>
      <c r="W11" s="56"/>
      <c r="X11" s="1050"/>
      <c r="Y11" s="664"/>
      <c r="Z11" s="664"/>
      <c r="AA11" s="664"/>
      <c r="AB11" s="1191"/>
      <c r="AC11" s="664"/>
      <c r="AD11" s="1040"/>
      <c r="AE11" s="664"/>
      <c r="AF11" s="2"/>
      <c r="AG11" s="31">
        <f t="shared" si="0"/>
        <v>0</v>
      </c>
      <c r="AH11" s="175"/>
    </row>
    <row r="12" spans="1:34" hidden="1" x14ac:dyDescent="0.2">
      <c r="A12" s="34" t="s">
        <v>21</v>
      </c>
      <c r="B12" s="38">
        <f>B13+B15</f>
        <v>9768.7999999999993</v>
      </c>
      <c r="C12" s="1063"/>
      <c r="D12" s="1063"/>
      <c r="E12" s="1063"/>
      <c r="F12" s="1063"/>
      <c r="G12" s="1063"/>
      <c r="H12" s="1063"/>
      <c r="I12" s="1063"/>
      <c r="J12" s="1015">
        <f>J13+J15</f>
        <v>8195.2000000000007</v>
      </c>
      <c r="K12" s="1083"/>
      <c r="L12" s="1083"/>
      <c r="M12" s="45">
        <f>J12/B12*100</f>
        <v>83.891573171730414</v>
      </c>
      <c r="N12" s="1015">
        <f>N13+N15</f>
        <v>7996.7999999999993</v>
      </c>
      <c r="O12" s="108">
        <f>N12/J12*100</f>
        <v>97.579070675517357</v>
      </c>
      <c r="P12" s="1018">
        <f>P13+P15</f>
        <v>7496.5</v>
      </c>
      <c r="Q12" s="1063"/>
      <c r="R12" s="45">
        <f t="shared" si="1"/>
        <v>93.74374749899961</v>
      </c>
      <c r="S12" s="113">
        <f>S13+S15</f>
        <v>5795</v>
      </c>
      <c r="T12" s="1073"/>
      <c r="U12" s="1016"/>
      <c r="V12" s="1015">
        <f>V13+V15</f>
        <v>6086.2000000000007</v>
      </c>
      <c r="W12" s="1018">
        <f>W13+W15</f>
        <v>5783.1</v>
      </c>
      <c r="X12" s="1049"/>
      <c r="Y12" s="664"/>
      <c r="Z12" s="664"/>
      <c r="AA12" s="664"/>
      <c r="AB12" s="1191"/>
      <c r="AC12" s="664"/>
      <c r="AD12" s="1040"/>
      <c r="AE12" s="664"/>
      <c r="AF12" s="1015">
        <f>AF13+AF15</f>
        <v>5505</v>
      </c>
      <c r="AG12" s="6">
        <f t="shared" si="0"/>
        <v>94.995685936151858</v>
      </c>
      <c r="AH12" s="247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1063"/>
      <c r="D13" s="1063"/>
      <c r="E13" s="1063"/>
      <c r="F13" s="1063"/>
      <c r="G13" s="1063"/>
      <c r="H13" s="1063"/>
      <c r="I13" s="1063"/>
      <c r="J13" s="1015">
        <v>3172</v>
      </c>
      <c r="K13" s="1083"/>
      <c r="L13" s="1083"/>
      <c r="M13" s="45">
        <f>J13/B13*100</f>
        <v>71.36268532475421</v>
      </c>
      <c r="N13" s="1015">
        <v>3094</v>
      </c>
      <c r="O13" s="108">
        <f>N13/J13*100</f>
        <v>97.540983606557376</v>
      </c>
      <c r="P13" s="1018">
        <v>2972.2</v>
      </c>
      <c r="Q13" s="1063"/>
      <c r="R13" s="45">
        <f t="shared" si="1"/>
        <v>96.063348416289585</v>
      </c>
      <c r="S13" s="113">
        <v>1150</v>
      </c>
      <c r="T13" s="1071"/>
      <c r="U13" s="660"/>
      <c r="V13" s="11">
        <v>2822.4</v>
      </c>
      <c r="W13" s="1018">
        <v>1683.1</v>
      </c>
      <c r="X13" s="1049"/>
      <c r="Y13" s="664"/>
      <c r="Z13" s="664"/>
      <c r="AA13" s="664"/>
      <c r="AB13" s="1191"/>
      <c r="AC13" s="664"/>
      <c r="AD13" s="1040"/>
      <c r="AE13" s="664"/>
      <c r="AF13" s="1015">
        <v>1100</v>
      </c>
      <c r="AG13" s="6">
        <f t="shared" si="0"/>
        <v>95.652173913043484</v>
      </c>
      <c r="AH13" s="175">
        <v>2796.3</v>
      </c>
    </row>
    <row r="14" spans="1:34" ht="27.75" hidden="1" customHeight="1" x14ac:dyDescent="0.2">
      <c r="A14" s="35" t="s">
        <v>114</v>
      </c>
      <c r="B14" s="39">
        <f>B13/B12*100</f>
        <v>45.500982720497909</v>
      </c>
      <c r="C14" s="1065"/>
      <c r="D14" s="1065"/>
      <c r="E14" s="1065"/>
      <c r="F14" s="1065"/>
      <c r="G14" s="1065"/>
      <c r="H14" s="1065"/>
      <c r="I14" s="1065"/>
      <c r="J14" s="30">
        <f>J13/J12*100</f>
        <v>38.705583756345177</v>
      </c>
      <c r="K14" s="1085"/>
      <c r="L14" s="1085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065"/>
      <c r="R14" s="45"/>
      <c r="S14" s="118">
        <f>S13/S12*100</f>
        <v>19.844693701466781</v>
      </c>
      <c r="T14" s="1072"/>
      <c r="U14" s="661"/>
      <c r="V14" s="31">
        <f>V13/V12*100</f>
        <v>46.373763596332687</v>
      </c>
      <c r="W14" s="46">
        <f>W13/W12*100</f>
        <v>29.103767875360965</v>
      </c>
      <c r="X14" s="1051"/>
      <c r="Y14" s="664"/>
      <c r="Z14" s="664"/>
      <c r="AA14" s="664"/>
      <c r="AB14" s="1191"/>
      <c r="AC14" s="664"/>
      <c r="AD14" s="1040"/>
      <c r="AE14" s="664"/>
      <c r="AF14" s="94">
        <f>AF13/AF12*100</f>
        <v>19.981834695731155</v>
      </c>
      <c r="AG14" s="31">
        <f t="shared" si="0"/>
        <v>100.69107135805395</v>
      </c>
      <c r="AH14" s="248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1063"/>
      <c r="D15" s="1063"/>
      <c r="E15" s="1063"/>
      <c r="F15" s="1063"/>
      <c r="G15" s="1063"/>
      <c r="H15" s="1063"/>
      <c r="I15" s="1063"/>
      <c r="J15" s="1015">
        <f>SUM(J17:J19)</f>
        <v>5023.2000000000007</v>
      </c>
      <c r="K15" s="1083"/>
      <c r="L15" s="1083"/>
      <c r="M15" s="45">
        <f>J15/B15*100</f>
        <v>94.351884896410539</v>
      </c>
      <c r="N15" s="1015">
        <f>SUM(N17:N19)</f>
        <v>4902.7999999999993</v>
      </c>
      <c r="O15" s="108">
        <f>N15/J15*100</f>
        <v>97.603121516164975</v>
      </c>
      <c r="P15" s="1018">
        <f>SUM(P17:P19)</f>
        <v>4524.3</v>
      </c>
      <c r="Q15" s="1063"/>
      <c r="R15" s="45">
        <f t="shared" si="1"/>
        <v>92.279921677408851</v>
      </c>
      <c r="S15" s="113">
        <f>SUM(S17:S19)</f>
        <v>4645</v>
      </c>
      <c r="T15" s="1073"/>
      <c r="U15" s="1016"/>
      <c r="V15" s="1015">
        <f>SUM(V17:V19)</f>
        <v>3263.8</v>
      </c>
      <c r="W15" s="1018">
        <f>SUM(W17:W19)</f>
        <v>4100</v>
      </c>
      <c r="X15" s="1049"/>
      <c r="Y15" s="664"/>
      <c r="Z15" s="664"/>
      <c r="AA15" s="664"/>
      <c r="AB15" s="1191"/>
      <c r="AC15" s="664"/>
      <c r="AD15" s="1040"/>
      <c r="AE15" s="664"/>
      <c r="AF15" s="1015">
        <f>SUM(AF17:AF19)</f>
        <v>4405</v>
      </c>
      <c r="AG15" s="6">
        <f t="shared" si="0"/>
        <v>94.833153928955866</v>
      </c>
      <c r="AH15" s="247">
        <f>SUM(AH17:AH19)</f>
        <v>4227.7</v>
      </c>
    </row>
    <row r="16" spans="1:34" hidden="1" x14ac:dyDescent="0.2">
      <c r="A16" s="34" t="s">
        <v>50</v>
      </c>
      <c r="B16" s="38"/>
      <c r="C16" s="1063"/>
      <c r="D16" s="1063"/>
      <c r="E16" s="1063"/>
      <c r="F16" s="1063"/>
      <c r="G16" s="1063"/>
      <c r="H16" s="1063"/>
      <c r="I16" s="1063"/>
      <c r="J16" s="1015"/>
      <c r="K16" s="1083"/>
      <c r="L16" s="1083"/>
      <c r="M16" s="45"/>
      <c r="N16" s="1015"/>
      <c r="O16" s="108"/>
      <c r="P16" s="1018"/>
      <c r="Q16" s="1063"/>
      <c r="R16" s="45"/>
      <c r="S16" s="113"/>
      <c r="T16" s="1071"/>
      <c r="U16" s="660"/>
      <c r="V16" s="6"/>
      <c r="W16" s="1018"/>
      <c r="X16" s="1049"/>
      <c r="Y16" s="664"/>
      <c r="Z16" s="664"/>
      <c r="AA16" s="664"/>
      <c r="AB16" s="1191"/>
      <c r="AC16" s="664"/>
      <c r="AD16" s="1040"/>
      <c r="AE16" s="664"/>
      <c r="AF16" s="1015"/>
      <c r="AG16" s="6"/>
      <c r="AH16" s="175"/>
    </row>
    <row r="17" spans="1:34" hidden="1" x14ac:dyDescent="0.2">
      <c r="A17" s="34" t="s">
        <v>24</v>
      </c>
      <c r="B17" s="38">
        <v>3682.8</v>
      </c>
      <c r="C17" s="1063"/>
      <c r="D17" s="1063"/>
      <c r="E17" s="1063"/>
      <c r="F17" s="1063"/>
      <c r="G17" s="1063"/>
      <c r="H17" s="1063"/>
      <c r="I17" s="1063"/>
      <c r="J17" s="1015">
        <v>3570.3</v>
      </c>
      <c r="K17" s="1083"/>
      <c r="L17" s="1083"/>
      <c r="M17" s="45">
        <f>J17/B17*100</f>
        <v>96.945259042033243</v>
      </c>
      <c r="N17" s="1015">
        <v>3407.1</v>
      </c>
      <c r="O17" s="108">
        <f>N17/J17*100</f>
        <v>95.42895554995377</v>
      </c>
      <c r="P17" s="1018">
        <v>3159.6</v>
      </c>
      <c r="Q17" s="1063"/>
      <c r="R17" s="45">
        <f t="shared" si="1"/>
        <v>92.735757682486579</v>
      </c>
      <c r="S17" s="113">
        <v>3192</v>
      </c>
      <c r="T17" s="1071"/>
      <c r="U17" s="660"/>
      <c r="V17" s="11">
        <v>2288.1</v>
      </c>
      <c r="W17" s="1018">
        <v>2860</v>
      </c>
      <c r="X17" s="1049"/>
      <c r="Y17" s="664"/>
      <c r="Z17" s="664"/>
      <c r="AA17" s="664"/>
      <c r="AB17" s="1191"/>
      <c r="AC17" s="664"/>
      <c r="AD17" s="1040"/>
      <c r="AE17" s="664"/>
      <c r="AF17" s="1015">
        <v>3100</v>
      </c>
      <c r="AG17" s="6">
        <f>AF17/S17*100</f>
        <v>97.11779448621553</v>
      </c>
      <c r="AH17" s="175">
        <v>2975.5</v>
      </c>
    </row>
    <row r="18" spans="1:34" hidden="1" x14ac:dyDescent="0.2">
      <c r="A18" s="34" t="s">
        <v>25</v>
      </c>
      <c r="B18" s="38">
        <v>129.69999999999999</v>
      </c>
      <c r="C18" s="1063"/>
      <c r="D18" s="1063"/>
      <c r="E18" s="1063"/>
      <c r="F18" s="1063"/>
      <c r="G18" s="1063"/>
      <c r="H18" s="1063"/>
      <c r="I18" s="1063"/>
      <c r="J18" s="1015">
        <v>59.4</v>
      </c>
      <c r="K18" s="1083"/>
      <c r="L18" s="1083"/>
      <c r="M18" s="45">
        <f>J18/B18*100</f>
        <v>45.797995373939862</v>
      </c>
      <c r="N18" s="1015">
        <v>46.1</v>
      </c>
      <c r="O18" s="108">
        <f>N18/J18*100</f>
        <v>77.609427609427613</v>
      </c>
      <c r="P18" s="1018">
        <v>54.9</v>
      </c>
      <c r="Q18" s="1063"/>
      <c r="R18" s="45">
        <f t="shared" si="1"/>
        <v>119.08893709327548</v>
      </c>
      <c r="S18" s="113">
        <v>59</v>
      </c>
      <c r="T18" s="1071"/>
      <c r="U18" s="660"/>
      <c r="V18" s="11">
        <v>36.799999999999997</v>
      </c>
      <c r="W18" s="1018">
        <v>55</v>
      </c>
      <c r="X18" s="1049"/>
      <c r="Y18" s="664"/>
      <c r="Z18" s="664"/>
      <c r="AA18" s="664"/>
      <c r="AB18" s="1191"/>
      <c r="AC18" s="664"/>
      <c r="AD18" s="1040"/>
      <c r="AE18" s="664"/>
      <c r="AF18" s="1015">
        <v>55</v>
      </c>
      <c r="AG18" s="6">
        <f>AF18/S18*100</f>
        <v>93.220338983050837</v>
      </c>
      <c r="AH18" s="175">
        <v>46</v>
      </c>
    </row>
    <row r="19" spans="1:34" ht="13.5" hidden="1" thickBot="1" x14ac:dyDescent="0.25">
      <c r="A19" s="36" t="s">
        <v>26</v>
      </c>
      <c r="B19" s="40">
        <v>1511.4</v>
      </c>
      <c r="C19" s="1066"/>
      <c r="D19" s="1066"/>
      <c r="E19" s="1066"/>
      <c r="F19" s="1066"/>
      <c r="G19" s="1066"/>
      <c r="H19" s="1066"/>
      <c r="I19" s="1066"/>
      <c r="J19" s="49">
        <v>1393.5</v>
      </c>
      <c r="K19" s="1086"/>
      <c r="L19" s="1086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78"/>
      <c r="R19" s="119">
        <f t="shared" si="1"/>
        <v>90.355960264900673</v>
      </c>
      <c r="S19" s="117">
        <v>1394</v>
      </c>
      <c r="T19" s="1074"/>
      <c r="U19" s="51"/>
      <c r="V19" s="51">
        <v>938.9</v>
      </c>
      <c r="W19" s="1019">
        <v>1185</v>
      </c>
      <c r="X19" s="1052"/>
      <c r="Y19" s="53"/>
      <c r="Z19" s="53"/>
      <c r="AA19" s="53"/>
      <c r="AB19" s="1041"/>
      <c r="AC19" s="53"/>
      <c r="AD19" s="1041"/>
      <c r="AE19" s="53"/>
      <c r="AF19" s="49">
        <v>1250</v>
      </c>
      <c r="AG19" s="53">
        <f>AF19/S19*100</f>
        <v>89.670014347202297</v>
      </c>
      <c r="AH19" s="176">
        <v>1206.2</v>
      </c>
    </row>
    <row r="20" spans="1:34" ht="13.5" hidden="1" thickBot="1" x14ac:dyDescent="0.25">
      <c r="A20" s="3805" t="s">
        <v>47</v>
      </c>
      <c r="B20" s="3806"/>
      <c r="C20" s="3806"/>
      <c r="D20" s="3806"/>
      <c r="E20" s="3806"/>
      <c r="F20" s="3806"/>
      <c r="G20" s="3806"/>
      <c r="H20" s="3806"/>
      <c r="I20" s="3806"/>
      <c r="J20" s="3806"/>
      <c r="K20" s="3806"/>
      <c r="L20" s="3806"/>
      <c r="M20" s="3806"/>
      <c r="N20" s="3806"/>
      <c r="O20" s="3806"/>
      <c r="P20" s="3806"/>
      <c r="Q20" s="3806"/>
      <c r="R20" s="3806"/>
      <c r="S20" s="3806"/>
      <c r="T20" s="3806"/>
      <c r="U20" s="3806"/>
      <c r="V20" s="3806"/>
      <c r="W20" s="3806"/>
      <c r="X20" s="3806"/>
      <c r="Y20" s="3806"/>
      <c r="Z20" s="3806"/>
      <c r="AA20" s="3806"/>
      <c r="AB20" s="3806"/>
      <c r="AC20" s="3806"/>
      <c r="AD20" s="3806"/>
      <c r="AE20" s="3806"/>
      <c r="AF20" s="3806"/>
      <c r="AG20" s="3806"/>
      <c r="AH20" s="3807"/>
    </row>
    <row r="21" spans="1:34" hidden="1" x14ac:dyDescent="0.2">
      <c r="A21" s="149" t="s">
        <v>118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087"/>
      <c r="L21" s="1087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6">
        <f>SUM(S23:S26)</f>
        <v>4224.5</v>
      </c>
      <c r="T21" s="146"/>
      <c r="U21" s="146"/>
      <c r="V21" s="146">
        <f>SUM(V23:V26)</f>
        <v>2958.3</v>
      </c>
      <c r="W21" s="1017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9">
        <f>SUM(AH23:AH26)</f>
        <v>3805.3</v>
      </c>
    </row>
    <row r="22" spans="1:34" hidden="1" x14ac:dyDescent="0.2">
      <c r="A22" s="34" t="s">
        <v>23</v>
      </c>
      <c r="B22" s="38"/>
      <c r="C22" s="1063"/>
      <c r="D22" s="1063"/>
      <c r="E22" s="1063"/>
      <c r="F22" s="1063"/>
      <c r="G22" s="1063"/>
      <c r="H22" s="1063"/>
      <c r="I22" s="1063"/>
      <c r="J22" s="1015"/>
      <c r="K22" s="1083"/>
      <c r="L22" s="1083"/>
      <c r="M22" s="108"/>
      <c r="N22" s="38"/>
      <c r="O22" s="106"/>
      <c r="P22" s="120"/>
      <c r="Q22" s="1079"/>
      <c r="R22" s="45"/>
      <c r="S22" s="113"/>
      <c r="T22" s="1071"/>
      <c r="U22" s="660"/>
      <c r="V22" s="6"/>
      <c r="W22" s="1018"/>
      <c r="X22" s="1049"/>
      <c r="Y22" s="664"/>
      <c r="Z22" s="664"/>
      <c r="AA22" s="664"/>
      <c r="AB22" s="1191"/>
      <c r="AC22" s="664"/>
      <c r="AD22" s="1040"/>
      <c r="AE22" s="664"/>
      <c r="AF22" s="1015"/>
      <c r="AG22" s="6"/>
      <c r="AH22" s="250"/>
    </row>
    <row r="23" spans="1:34" hidden="1" x14ac:dyDescent="0.2">
      <c r="A23" s="34" t="s">
        <v>27</v>
      </c>
      <c r="B23" s="38">
        <v>3483.6</v>
      </c>
      <c r="C23" s="1063"/>
      <c r="D23" s="1063"/>
      <c r="E23" s="1063"/>
      <c r="F23" s="1063"/>
      <c r="G23" s="1063"/>
      <c r="H23" s="1063"/>
      <c r="I23" s="1063"/>
      <c r="J23" s="1015">
        <v>3439.8</v>
      </c>
      <c r="K23" s="1083"/>
      <c r="L23" s="1083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80"/>
      <c r="R23" s="45">
        <f>P23/N23*100</f>
        <v>92.496110789128522</v>
      </c>
      <c r="S23" s="113">
        <v>3064.5</v>
      </c>
      <c r="T23" s="1071"/>
      <c r="U23" s="660"/>
      <c r="V23" s="11">
        <v>2188.8000000000002</v>
      </c>
      <c r="W23" s="1018">
        <v>2632</v>
      </c>
      <c r="X23" s="1049"/>
      <c r="Y23" s="664"/>
      <c r="Z23" s="664"/>
      <c r="AA23" s="664"/>
      <c r="AB23" s="1191"/>
      <c r="AC23" s="664"/>
      <c r="AD23" s="1040"/>
      <c r="AE23" s="664"/>
      <c r="AF23" s="1015">
        <v>2955</v>
      </c>
      <c r="AG23" s="6">
        <f>AF23/S23*100</f>
        <v>96.426823299069994</v>
      </c>
      <c r="AH23" s="250">
        <v>2735</v>
      </c>
    </row>
    <row r="24" spans="1:34" hidden="1" x14ac:dyDescent="0.2">
      <c r="A24" s="34" t="s">
        <v>28</v>
      </c>
      <c r="B24" s="38">
        <v>293.89999999999998</v>
      </c>
      <c r="C24" s="1063"/>
      <c r="D24" s="1063"/>
      <c r="E24" s="1063"/>
      <c r="F24" s="1063"/>
      <c r="G24" s="1063"/>
      <c r="H24" s="1063"/>
      <c r="I24" s="1063"/>
      <c r="J24" s="1015">
        <v>272.2</v>
      </c>
      <c r="K24" s="1083"/>
      <c r="L24" s="1083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80"/>
      <c r="R24" s="45">
        <f>P24/N24*100</f>
        <v>0</v>
      </c>
      <c r="S24" s="113"/>
      <c r="T24" s="1071"/>
      <c r="U24" s="660"/>
      <c r="V24" s="11"/>
      <c r="W24" s="1018"/>
      <c r="X24" s="1049"/>
      <c r="Y24" s="664"/>
      <c r="Z24" s="664"/>
      <c r="AA24" s="664"/>
      <c r="AB24" s="1191"/>
      <c r="AC24" s="664"/>
      <c r="AD24" s="1040"/>
      <c r="AE24" s="664"/>
      <c r="AF24" s="1015"/>
      <c r="AG24" s="6"/>
      <c r="AH24" s="250"/>
    </row>
    <row r="25" spans="1:34" hidden="1" x14ac:dyDescent="0.2">
      <c r="A25" s="34" t="s">
        <v>29</v>
      </c>
      <c r="B25" s="38">
        <v>932.3</v>
      </c>
      <c r="C25" s="1063"/>
      <c r="D25" s="1063"/>
      <c r="E25" s="1063"/>
      <c r="F25" s="1063"/>
      <c r="G25" s="1063"/>
      <c r="H25" s="1063"/>
      <c r="I25" s="1063"/>
      <c r="J25" s="1015">
        <v>845.1</v>
      </c>
      <c r="K25" s="1083"/>
      <c r="L25" s="1083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80"/>
      <c r="R25" s="45">
        <f>P25/N25*100</f>
        <v>120.92343658679134</v>
      </c>
      <c r="S25" s="116">
        <v>1132</v>
      </c>
      <c r="T25" s="1071"/>
      <c r="U25" s="660"/>
      <c r="V25" s="11">
        <v>755.4</v>
      </c>
      <c r="W25" s="1018">
        <v>1035</v>
      </c>
      <c r="X25" s="1049"/>
      <c r="Y25" s="664"/>
      <c r="Z25" s="664"/>
      <c r="AA25" s="664"/>
      <c r="AB25" s="1191"/>
      <c r="AC25" s="664"/>
      <c r="AD25" s="1040"/>
      <c r="AE25" s="664"/>
      <c r="AF25" s="1015">
        <v>1035</v>
      </c>
      <c r="AG25" s="6">
        <f>AF25/S25*100</f>
        <v>91.431095406360413</v>
      </c>
      <c r="AH25" s="250">
        <f>449.5+407.8+92.5+92.5</f>
        <v>1042.3</v>
      </c>
    </row>
    <row r="26" spans="1:34" ht="13.5" hidden="1" thickBot="1" x14ac:dyDescent="0.25">
      <c r="A26" s="36" t="s">
        <v>68</v>
      </c>
      <c r="B26" s="40">
        <v>28.4</v>
      </c>
      <c r="C26" s="1066"/>
      <c r="D26" s="1066"/>
      <c r="E26" s="1066"/>
      <c r="F26" s="1066"/>
      <c r="G26" s="1066"/>
      <c r="H26" s="1066"/>
      <c r="I26" s="1066"/>
      <c r="J26" s="49">
        <v>28.7</v>
      </c>
      <c r="K26" s="1086"/>
      <c r="L26" s="1086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81"/>
      <c r="R26" s="50">
        <f>P26/N26*100</f>
        <v>91.666666666666657</v>
      </c>
      <c r="S26" s="117">
        <v>28</v>
      </c>
      <c r="T26" s="1074"/>
      <c r="U26" s="51"/>
      <c r="V26" s="51">
        <v>14.1</v>
      </c>
      <c r="W26" s="1019">
        <v>28</v>
      </c>
      <c r="X26" s="1052"/>
      <c r="Y26" s="53"/>
      <c r="Z26" s="53"/>
      <c r="AA26" s="53"/>
      <c r="AB26" s="1041"/>
      <c r="AC26" s="53"/>
      <c r="AD26" s="1041"/>
      <c r="AE26" s="53"/>
      <c r="AF26" s="49">
        <v>28</v>
      </c>
      <c r="AG26" s="53">
        <f>AF26/S26*100</f>
        <v>100</v>
      </c>
      <c r="AH26" s="251">
        <v>28</v>
      </c>
    </row>
    <row r="27" spans="1:34" hidden="1" x14ac:dyDescent="0.2">
      <c r="A27" s="232" t="s">
        <v>362</v>
      </c>
      <c r="N27" s="160">
        <f>N10/N9</f>
        <v>9.1606584752169151E-2</v>
      </c>
      <c r="O27" s="160">
        <f t="shared" ref="O27:AF27" si="2">O10/O9</f>
        <v>1.257886347624589</v>
      </c>
      <c r="P27" s="160">
        <f t="shared" si="2"/>
        <v>0.10467102198760286</v>
      </c>
      <c r="Q27" s="160"/>
      <c r="S27" s="160">
        <f t="shared" si="2"/>
        <v>0.12638344521031369</v>
      </c>
      <c r="T27" s="160"/>
      <c r="U27" s="160"/>
      <c r="V27" s="160">
        <f t="shared" si="2"/>
        <v>8.7101951431699895E-2</v>
      </c>
      <c r="W27" s="160">
        <f t="shared" si="2"/>
        <v>0.1315493084651079</v>
      </c>
      <c r="X27" s="160"/>
      <c r="AF27" s="160">
        <f t="shared" si="2"/>
        <v>0.13728255759285379</v>
      </c>
      <c r="AH27" s="160">
        <f>AH10/AH9</f>
        <v>0.10358997919777427</v>
      </c>
    </row>
    <row r="28" spans="1:34" hidden="1" x14ac:dyDescent="0.2">
      <c r="A28" s="105" t="s">
        <v>247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3796" t="s">
        <v>239</v>
      </c>
      <c r="B31" s="3796"/>
      <c r="C31" s="3796"/>
      <c r="D31" s="3796"/>
      <c r="E31" s="3796"/>
      <c r="F31" s="3796"/>
      <c r="G31" s="3796"/>
      <c r="H31" s="3796"/>
      <c r="I31" s="3796"/>
      <c r="J31" s="3796"/>
      <c r="K31" s="3796"/>
      <c r="L31" s="3796"/>
      <c r="M31" s="3796"/>
      <c r="N31" s="3796"/>
      <c r="O31" s="3796"/>
      <c r="P31" s="3796"/>
      <c r="Q31" s="3796"/>
      <c r="R31" s="3796"/>
      <c r="S31" s="3796"/>
      <c r="T31" s="3796"/>
      <c r="U31" s="3796"/>
      <c r="V31" s="3796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3879" t="s">
        <v>536</v>
      </c>
      <c r="B33" s="3859" t="s">
        <v>95</v>
      </c>
      <c r="C33" s="3860"/>
      <c r="D33" s="3860"/>
      <c r="E33" s="3861"/>
      <c r="F33" s="3859" t="s">
        <v>120</v>
      </c>
      <c r="G33" s="3860"/>
      <c r="H33" s="3860"/>
      <c r="I33" s="3861"/>
      <c r="J33" s="3859" t="s">
        <v>159</v>
      </c>
      <c r="K33" s="3860"/>
      <c r="L33" s="3860"/>
      <c r="M33" s="3861"/>
      <c r="N33" s="3882" t="s">
        <v>238</v>
      </c>
      <c r="O33" s="3883"/>
      <c r="P33" s="3883"/>
      <c r="Q33" s="3883"/>
      <c r="R33" s="3883"/>
      <c r="S33" s="3883"/>
      <c r="T33" s="3884"/>
      <c r="U33" s="3885"/>
      <c r="V33" s="3883" t="s">
        <v>371</v>
      </c>
      <c r="W33" s="3883"/>
      <c r="X33" s="3883"/>
      <c r="Y33" s="3886"/>
      <c r="Z33" s="3887"/>
      <c r="AA33" s="3882" t="s">
        <v>659</v>
      </c>
      <c r="AB33" s="3883"/>
      <c r="AC33" s="3883"/>
      <c r="AD33" s="3883"/>
      <c r="AE33" s="3887"/>
      <c r="AF33" s="3888" t="s">
        <v>243</v>
      </c>
      <c r="AG33" s="3889"/>
    </row>
    <row r="34" spans="1:33" ht="21" customHeight="1" x14ac:dyDescent="0.2">
      <c r="A34" s="3880"/>
      <c r="B34" s="3837" t="s">
        <v>522</v>
      </c>
      <c r="C34" s="3838"/>
      <c r="D34" s="3835" t="s">
        <v>890</v>
      </c>
      <c r="E34" s="3836"/>
      <c r="F34" s="3844" t="s">
        <v>522</v>
      </c>
      <c r="G34" s="3838"/>
      <c r="H34" s="3835" t="s">
        <v>890</v>
      </c>
      <c r="I34" s="3843"/>
      <c r="J34" s="3844" t="s">
        <v>522</v>
      </c>
      <c r="K34" s="3838"/>
      <c r="L34" s="3835" t="s">
        <v>890</v>
      </c>
      <c r="M34" s="3843"/>
      <c r="N34" s="3894" t="s">
        <v>521</v>
      </c>
      <c r="O34" s="3835" t="s">
        <v>157</v>
      </c>
      <c r="P34" s="3837" t="s">
        <v>522</v>
      </c>
      <c r="Q34" s="3838"/>
      <c r="R34" s="3835" t="s">
        <v>523</v>
      </c>
      <c r="S34" s="3835" t="s">
        <v>524</v>
      </c>
      <c r="T34" s="3835" t="s">
        <v>890</v>
      </c>
      <c r="U34" s="3843"/>
      <c r="V34" s="3857" t="s">
        <v>521</v>
      </c>
      <c r="W34" s="3837" t="s">
        <v>522</v>
      </c>
      <c r="X34" s="3838"/>
      <c r="Y34" s="3855" t="s">
        <v>523</v>
      </c>
      <c r="Z34" s="3899" t="s">
        <v>524</v>
      </c>
      <c r="AA34" s="3897" t="s">
        <v>521</v>
      </c>
      <c r="AB34" s="3898"/>
      <c r="AC34" s="3901" t="s">
        <v>522</v>
      </c>
      <c r="AD34" s="3898"/>
      <c r="AE34" s="3843" t="s">
        <v>525</v>
      </c>
      <c r="AF34" s="3890"/>
      <c r="AG34" s="3891"/>
    </row>
    <row r="35" spans="1:33" ht="6" customHeight="1" x14ac:dyDescent="0.2">
      <c r="A35" s="3880"/>
      <c r="B35" s="3839"/>
      <c r="C35" s="3840"/>
      <c r="D35" s="3835"/>
      <c r="E35" s="3836"/>
      <c r="F35" s="3845"/>
      <c r="G35" s="3840"/>
      <c r="H35" s="3835"/>
      <c r="I35" s="3843"/>
      <c r="J35" s="3845"/>
      <c r="K35" s="3840"/>
      <c r="L35" s="3835"/>
      <c r="M35" s="3843"/>
      <c r="N35" s="3894"/>
      <c r="O35" s="3835"/>
      <c r="P35" s="3839"/>
      <c r="Q35" s="3840"/>
      <c r="R35" s="3835"/>
      <c r="S35" s="3835"/>
      <c r="T35" s="3835"/>
      <c r="U35" s="3843"/>
      <c r="V35" s="3857"/>
      <c r="W35" s="3839"/>
      <c r="X35" s="3840"/>
      <c r="Y35" s="3855"/>
      <c r="Z35" s="3899"/>
      <c r="AA35" s="3845"/>
      <c r="AB35" s="3840"/>
      <c r="AC35" s="3839"/>
      <c r="AD35" s="3840"/>
      <c r="AE35" s="3902"/>
      <c r="AF35" s="3890"/>
      <c r="AG35" s="3891"/>
    </row>
    <row r="36" spans="1:33" ht="38.25" thickBot="1" x14ac:dyDescent="0.25">
      <c r="A36" s="3881"/>
      <c r="B36" s="1045" t="s">
        <v>377</v>
      </c>
      <c r="C36" s="1042" t="s">
        <v>25</v>
      </c>
      <c r="D36" s="1045" t="s">
        <v>377</v>
      </c>
      <c r="E36" s="1042" t="s">
        <v>25</v>
      </c>
      <c r="F36" s="1012" t="s">
        <v>377</v>
      </c>
      <c r="G36" s="1042" t="s">
        <v>25</v>
      </c>
      <c r="H36" s="1088" t="s">
        <v>377</v>
      </c>
      <c r="I36" s="466" t="s">
        <v>25</v>
      </c>
      <c r="J36" s="1012" t="s">
        <v>377</v>
      </c>
      <c r="K36" s="1042" t="s">
        <v>25</v>
      </c>
      <c r="L36" s="1088" t="s">
        <v>377</v>
      </c>
      <c r="M36" s="466" t="s">
        <v>25</v>
      </c>
      <c r="N36" s="3895"/>
      <c r="O36" s="3896"/>
      <c r="P36" s="1088" t="s">
        <v>377</v>
      </c>
      <c r="Q36" s="1042" t="s">
        <v>25</v>
      </c>
      <c r="R36" s="3896"/>
      <c r="S36" s="3896"/>
      <c r="T36" s="1088" t="s">
        <v>377</v>
      </c>
      <c r="U36" s="466" t="s">
        <v>25</v>
      </c>
      <c r="V36" s="3838"/>
      <c r="W36" s="1045" t="s">
        <v>377</v>
      </c>
      <c r="X36" s="1042" t="s">
        <v>25</v>
      </c>
      <c r="Y36" s="3856"/>
      <c r="Z36" s="3900"/>
      <c r="AA36" s="1038" t="s">
        <v>377</v>
      </c>
      <c r="AB36" s="1042" t="s">
        <v>25</v>
      </c>
      <c r="AC36" s="1089" t="s">
        <v>377</v>
      </c>
      <c r="AD36" s="1042" t="s">
        <v>25</v>
      </c>
      <c r="AE36" s="3903"/>
      <c r="AF36" s="3892"/>
      <c r="AG36" s="3893"/>
    </row>
    <row r="37" spans="1:33" ht="20.100000000000001" customHeight="1" thickBot="1" x14ac:dyDescent="0.3">
      <c r="A37" s="3846" t="s">
        <v>519</v>
      </c>
      <c r="B37" s="3847"/>
      <c r="C37" s="3847"/>
      <c r="D37" s="3847"/>
      <c r="E37" s="3847"/>
      <c r="F37" s="3847"/>
      <c r="G37" s="3847"/>
      <c r="H37" s="3847"/>
      <c r="I37" s="3847"/>
      <c r="J37" s="3847"/>
      <c r="K37" s="3847"/>
      <c r="L37" s="3847"/>
      <c r="M37" s="3847"/>
      <c r="N37" s="3848"/>
      <c r="O37" s="3848"/>
      <c r="P37" s="3848"/>
      <c r="Q37" s="3848"/>
      <c r="R37" s="3848"/>
      <c r="S37" s="3848"/>
      <c r="T37" s="3848"/>
      <c r="U37" s="3848"/>
      <c r="V37" s="3847"/>
      <c r="W37" s="3847"/>
      <c r="X37" s="3847"/>
      <c r="Y37" s="3847"/>
      <c r="Z37" s="3847"/>
      <c r="AA37" s="3848"/>
      <c r="AB37" s="3848"/>
      <c r="AC37" s="3848"/>
      <c r="AD37" s="3848"/>
      <c r="AE37" s="3848"/>
      <c r="AF37" s="3847"/>
      <c r="AG37" s="3849"/>
    </row>
    <row r="38" spans="1:33" ht="36" customHeight="1" x14ac:dyDescent="0.2">
      <c r="A38" s="673" t="s">
        <v>530</v>
      </c>
      <c r="B38" s="1090"/>
      <c r="C38" s="1091"/>
      <c r="D38" s="1092">
        <f>8372.9-E38</f>
        <v>8318</v>
      </c>
      <c r="E38" s="1221">
        <v>54.9</v>
      </c>
      <c r="F38" s="1094">
        <f>6659.1-G38</f>
        <v>6600.1</v>
      </c>
      <c r="G38" s="1095">
        <v>59</v>
      </c>
      <c r="H38" s="1092">
        <v>9115.2999999999993</v>
      </c>
      <c r="I38" s="1093">
        <v>52.2</v>
      </c>
      <c r="J38" s="1094">
        <v>6326</v>
      </c>
      <c r="K38" s="1095">
        <v>55</v>
      </c>
      <c r="L38" s="1092">
        <v>7789.7</v>
      </c>
      <c r="M38" s="1093">
        <v>46</v>
      </c>
      <c r="N38" s="1226">
        <f>N41+N43</f>
        <v>5850</v>
      </c>
      <c r="O38" s="1209">
        <f>N38/J38*100</f>
        <v>92.475497944988945</v>
      </c>
      <c r="P38" s="1096">
        <f>SUM(P41:P43)</f>
        <v>5498.0912165809077</v>
      </c>
      <c r="Q38" s="1098">
        <v>46.13</v>
      </c>
      <c r="R38" s="1098">
        <f>SUM(R41:R43)-R42</f>
        <v>3465.3000000000006</v>
      </c>
      <c r="S38" s="1098">
        <f>SUM(S41:S43)-S42</f>
        <v>5119.5</v>
      </c>
      <c r="T38" s="1099">
        <v>6928.1</v>
      </c>
      <c r="U38" s="1100">
        <v>49.8</v>
      </c>
      <c r="V38" s="1213">
        <f>SUM(V39:V40)</f>
        <v>5800.03</v>
      </c>
      <c r="W38" s="1096">
        <f>SUM(W39:W40)</f>
        <v>5561.39</v>
      </c>
      <c r="X38" s="1101">
        <v>46.13</v>
      </c>
      <c r="Y38" s="1192">
        <f t="shared" ref="Y38:Z38" si="3">SUM(Y39:Y40)</f>
        <v>0</v>
      </c>
      <c r="Z38" s="1100">
        <f t="shared" si="3"/>
        <v>0</v>
      </c>
      <c r="AA38" s="1054">
        <f>SUM(AA39:AA40)</f>
        <v>5782.63</v>
      </c>
      <c r="AB38" s="1192">
        <v>49.8</v>
      </c>
      <c r="AC38" s="1055">
        <f>SUM(AC39:AC40)</f>
        <v>5642.86</v>
      </c>
      <c r="AD38" s="1055">
        <f>SUM(AD39:AD40)</f>
        <v>49.8</v>
      </c>
      <c r="AE38" s="1101">
        <f>SUM(AC38/W38*100)</f>
        <v>101.46492153939933</v>
      </c>
      <c r="AF38" s="3850"/>
      <c r="AG38" s="3842"/>
    </row>
    <row r="39" spans="1:33" ht="36" hidden="1" customHeight="1" x14ac:dyDescent="0.2">
      <c r="A39" s="669" t="s">
        <v>529</v>
      </c>
      <c r="B39" s="1102"/>
      <c r="C39" s="1103"/>
      <c r="D39" s="1104"/>
      <c r="E39" s="1222"/>
      <c r="F39" s="1106"/>
      <c r="G39" s="1230"/>
      <c r="H39" s="1231"/>
      <c r="I39" s="1105"/>
      <c r="J39" s="1106"/>
      <c r="K39" s="1230"/>
      <c r="L39" s="1231"/>
      <c r="M39" s="1105"/>
      <c r="N39" s="1180">
        <f>SUM(N38-N40)</f>
        <v>5825</v>
      </c>
      <c r="O39" s="1210"/>
      <c r="P39" s="1145">
        <f>SUM(P38-P40)</f>
        <v>5498.0912165809077</v>
      </c>
      <c r="Q39" s="1146"/>
      <c r="R39" s="1146">
        <f>SUM(R38-R40)</f>
        <v>3437.3000000000006</v>
      </c>
      <c r="S39" s="1146">
        <f>SUM(S38-S40)</f>
        <v>5081</v>
      </c>
      <c r="T39" s="1217"/>
      <c r="U39" s="1218">
        <v>6928.1</v>
      </c>
      <c r="V39" s="1214">
        <v>5753.9</v>
      </c>
      <c r="W39" s="1145">
        <v>5561.39</v>
      </c>
      <c r="X39" s="1134"/>
      <c r="Y39" s="1195"/>
      <c r="Z39" s="1108"/>
      <c r="AA39" s="1131">
        <v>5736.5</v>
      </c>
      <c r="AB39" s="1193"/>
      <c r="AC39" s="1132">
        <f>AC41+AC43</f>
        <v>5642.86</v>
      </c>
      <c r="AD39" s="1133"/>
      <c r="AE39" s="1134">
        <f>SUM(AC39/W39*100)</f>
        <v>101.46492153939933</v>
      </c>
      <c r="AF39" s="3851"/>
      <c r="AG39" s="3852"/>
    </row>
    <row r="40" spans="1:33" ht="36" hidden="1" customHeight="1" x14ac:dyDescent="0.2">
      <c r="A40" s="669" t="s">
        <v>528</v>
      </c>
      <c r="B40" s="1102"/>
      <c r="C40" s="1103"/>
      <c r="D40" s="1104"/>
      <c r="E40" s="1222"/>
      <c r="F40" s="1106"/>
      <c r="G40" s="1230"/>
      <c r="H40" s="1231"/>
      <c r="I40" s="1105"/>
      <c r="J40" s="1106"/>
      <c r="K40" s="1230"/>
      <c r="L40" s="1231"/>
      <c r="M40" s="1105"/>
      <c r="N40" s="1180">
        <v>25</v>
      </c>
      <c r="O40" s="1210"/>
      <c r="P40" s="1145">
        <v>0</v>
      </c>
      <c r="Q40" s="1146"/>
      <c r="R40" s="1146">
        <v>28</v>
      </c>
      <c r="S40" s="1146">
        <v>38.5</v>
      </c>
      <c r="T40" s="1217"/>
      <c r="U40" s="1218">
        <v>49.8</v>
      </c>
      <c r="V40" s="1214">
        <v>46.13</v>
      </c>
      <c r="W40" s="1145">
        <v>0</v>
      </c>
      <c r="X40" s="1134">
        <v>46.13</v>
      </c>
      <c r="Y40" s="1195"/>
      <c r="Z40" s="1108"/>
      <c r="AA40" s="1131">
        <v>46.13</v>
      </c>
      <c r="AB40" s="1193"/>
      <c r="AC40" s="1132"/>
      <c r="AD40" s="1133">
        <v>49.8</v>
      </c>
      <c r="AE40" s="1134">
        <f>SUM(AC40/40*100)</f>
        <v>0</v>
      </c>
      <c r="AF40" s="3851"/>
      <c r="AG40" s="3852"/>
    </row>
    <row r="41" spans="1:33" ht="36" customHeight="1" x14ac:dyDescent="0.2">
      <c r="A41" s="669" t="s">
        <v>20</v>
      </c>
      <c r="B41" s="1109"/>
      <c r="C41" s="1110"/>
      <c r="D41" s="1111">
        <v>876.4</v>
      </c>
      <c r="E41" s="1177"/>
      <c r="F41" s="1113">
        <f>841.6+22.5</f>
        <v>864.1</v>
      </c>
      <c r="G41" s="1232"/>
      <c r="H41" s="1160">
        <v>913.3</v>
      </c>
      <c r="I41" s="1112"/>
      <c r="J41" s="1113">
        <v>876</v>
      </c>
      <c r="K41" s="1232"/>
      <c r="L41" s="1160">
        <v>811.7</v>
      </c>
      <c r="M41" s="1112"/>
      <c r="N41" s="1180">
        <v>876</v>
      </c>
      <c r="O41" s="1187">
        <f>N41/J41*100</f>
        <v>100</v>
      </c>
      <c r="P41" s="1145">
        <v>507</v>
      </c>
      <c r="Q41" s="1146"/>
      <c r="R41" s="1146">
        <f>3493.3-3054.18</f>
        <v>439.12000000000035</v>
      </c>
      <c r="S41" s="1146">
        <v>648.79999999999995</v>
      </c>
      <c r="T41" s="1187">
        <v>841</v>
      </c>
      <c r="U41" s="1218"/>
      <c r="V41" s="1214">
        <v>754</v>
      </c>
      <c r="W41" s="1145">
        <v>557.12</v>
      </c>
      <c r="X41" s="1134"/>
      <c r="Y41" s="1193"/>
      <c r="Z41" s="1107"/>
      <c r="AA41" s="1131">
        <v>750</v>
      </c>
      <c r="AB41" s="1193"/>
      <c r="AC41" s="1135">
        <v>685</v>
      </c>
      <c r="AD41" s="1136"/>
      <c r="AE41" s="1134">
        <f>SUM(AC41/41*100)</f>
        <v>1670.7317073170732</v>
      </c>
      <c r="AF41" s="1058"/>
      <c r="AG41" s="1059"/>
    </row>
    <row r="42" spans="1:33" s="182" customFormat="1" ht="36" customHeight="1" x14ac:dyDescent="0.2">
      <c r="A42" s="670" t="s">
        <v>382</v>
      </c>
      <c r="B42" s="667"/>
      <c r="C42" s="1067"/>
      <c r="D42" s="675">
        <f>D41/D38</f>
        <v>0.10536186583313296</v>
      </c>
      <c r="E42" s="1223"/>
      <c r="F42" s="1201">
        <f>F41/F38</f>
        <v>0.13092225875365524</v>
      </c>
      <c r="G42" s="1235"/>
      <c r="H42" s="1196">
        <f>H41/H38</f>
        <v>0.10019417901769552</v>
      </c>
      <c r="I42" s="1068"/>
      <c r="J42" s="1201">
        <f>J41/J38</f>
        <v>0.13847613025608599</v>
      </c>
      <c r="K42" s="1196"/>
      <c r="L42" s="1196">
        <f>L41/L38</f>
        <v>0.1042017022478401</v>
      </c>
      <c r="M42" s="1207"/>
      <c r="N42" s="1227">
        <f>N41/N38</f>
        <v>0.14974358974358976</v>
      </c>
      <c r="O42" s="1211"/>
      <c r="P42" s="1201">
        <f>507/5558.2</f>
        <v>9.1216580907488035E-2</v>
      </c>
      <c r="Q42" s="1196"/>
      <c r="R42" s="1196">
        <f>439.12/3493</f>
        <v>0.12571428571428572</v>
      </c>
      <c r="S42" s="1196">
        <f>SUM(648.8/5158)</f>
        <v>0.12578518805738659</v>
      </c>
      <c r="T42" s="1137">
        <f>SUM(T41/T38)</f>
        <v>0.12138970280452072</v>
      </c>
      <c r="U42" s="1137"/>
      <c r="V42" s="1215">
        <f>SUM(V41/V38)</f>
        <v>0.12999932758968488</v>
      </c>
      <c r="W42" s="1201">
        <f>SUM(W41/W38)</f>
        <v>0.10017639475023329</v>
      </c>
      <c r="X42" s="1207"/>
      <c r="Y42" s="1205" t="e">
        <f t="shared" ref="Y42:Z42" si="4">SUM(Y41/Y38)</f>
        <v>#DIV/0!</v>
      </c>
      <c r="Z42" s="724" t="e">
        <f t="shared" si="4"/>
        <v>#DIV/0!</v>
      </c>
      <c r="AA42" s="1148">
        <f>SUM(AA41/AA38)</f>
        <v>0.12969877028272603</v>
      </c>
      <c r="AB42" s="1194"/>
      <c r="AC42" s="1149">
        <f>SUM(AC41/AC38)</f>
        <v>0.12139234359881337</v>
      </c>
      <c r="AD42" s="1150"/>
      <c r="AE42" s="1138">
        <f>SUM(AC42/W42*100)</f>
        <v>121.1785909260132</v>
      </c>
      <c r="AF42" s="3802" t="s">
        <v>888</v>
      </c>
      <c r="AG42" s="3853"/>
    </row>
    <row r="43" spans="1:33" ht="36" customHeight="1" x14ac:dyDescent="0.2">
      <c r="A43" s="671" t="s">
        <v>531</v>
      </c>
      <c r="B43" s="1114"/>
      <c r="C43" s="1115"/>
      <c r="D43" s="1116">
        <f>7496.5-E43</f>
        <v>7441.6</v>
      </c>
      <c r="E43" s="1224">
        <v>54.9</v>
      </c>
      <c r="F43" s="1118">
        <f>5795-G43</f>
        <v>5736</v>
      </c>
      <c r="G43" s="1233">
        <v>59</v>
      </c>
      <c r="H43" s="1234">
        <v>8202</v>
      </c>
      <c r="I43" s="1117">
        <v>52.2</v>
      </c>
      <c r="J43" s="1118">
        <v>5450</v>
      </c>
      <c r="K43" s="1233">
        <v>55</v>
      </c>
      <c r="L43" s="1234">
        <v>6978</v>
      </c>
      <c r="M43" s="1117">
        <v>46</v>
      </c>
      <c r="N43" s="1228">
        <f>N46+N48</f>
        <v>4974</v>
      </c>
      <c r="O43" s="1212">
        <f>N43/J43*100</f>
        <v>91.266055045871568</v>
      </c>
      <c r="P43" s="1208">
        <f>P46+P48</f>
        <v>4991</v>
      </c>
      <c r="Q43" s="1219">
        <v>46.13</v>
      </c>
      <c r="R43" s="1219">
        <f>R46+R48</f>
        <v>3026.1800000000003</v>
      </c>
      <c r="S43" s="1219">
        <f>S46+S48</f>
        <v>4470.7</v>
      </c>
      <c r="T43" s="1217">
        <v>6087.1</v>
      </c>
      <c r="U43" s="1220">
        <v>49.8</v>
      </c>
      <c r="V43" s="1216">
        <f>V46+V48</f>
        <v>4999.8999999999996</v>
      </c>
      <c r="W43" s="1208">
        <f>W46+W48</f>
        <v>5004.2700000000004</v>
      </c>
      <c r="X43" s="1140">
        <v>46.13</v>
      </c>
      <c r="Y43" s="1195">
        <f t="shared" ref="Y43:Z43" si="5">SUM(Y44:Y45)</f>
        <v>0</v>
      </c>
      <c r="Z43" s="1108">
        <f t="shared" si="5"/>
        <v>0</v>
      </c>
      <c r="AA43" s="1139">
        <f>SUM(AA44:AA45)</f>
        <v>5032.63</v>
      </c>
      <c r="AB43" s="1195">
        <v>49.8</v>
      </c>
      <c r="AC43" s="1132">
        <f>SUM(AC44:AC45)</f>
        <v>4957.8599999999997</v>
      </c>
      <c r="AD43" s="1132">
        <f>SUM(AD44:AD45)</f>
        <v>49.8</v>
      </c>
      <c r="AE43" s="1140">
        <f>SUM(AC43/W43*100)</f>
        <v>99.07259200642649</v>
      </c>
      <c r="AF43" s="3851"/>
      <c r="AG43" s="3854"/>
    </row>
    <row r="44" spans="1:33" ht="36" hidden="1" customHeight="1" x14ac:dyDescent="0.2">
      <c r="A44" s="669" t="s">
        <v>529</v>
      </c>
      <c r="B44" s="1114"/>
      <c r="C44" s="1115"/>
      <c r="D44" s="1116"/>
      <c r="E44" s="1224"/>
      <c r="F44" s="1118"/>
      <c r="G44" s="1233"/>
      <c r="H44" s="1234"/>
      <c r="I44" s="1117"/>
      <c r="J44" s="1118"/>
      <c r="K44" s="1233"/>
      <c r="L44" s="1234"/>
      <c r="M44" s="1117"/>
      <c r="N44" s="1180">
        <f>SUM(N43-N45)</f>
        <v>4949</v>
      </c>
      <c r="O44" s="1210"/>
      <c r="P44" s="1145">
        <f>SUM(P43-P45)</f>
        <v>4945</v>
      </c>
      <c r="Q44" s="1146"/>
      <c r="R44" s="1146">
        <f>SUM(R43-R45)</f>
        <v>2998.1800000000003</v>
      </c>
      <c r="S44" s="1146">
        <f>SUM(S43-S45)</f>
        <v>4432.2</v>
      </c>
      <c r="T44" s="1217"/>
      <c r="U44" s="1218">
        <f>SUM(U39-U41)</f>
        <v>6928.1</v>
      </c>
      <c r="V44" s="1214">
        <f>SUM(V43-V45)</f>
        <v>4953.7699999999995</v>
      </c>
      <c r="W44" s="1145">
        <f>SUM(W43-W45)</f>
        <v>4958.1400000000003</v>
      </c>
      <c r="X44" s="1134"/>
      <c r="Y44" s="1193">
        <f t="shared" ref="Y44:Z44" si="6">SUM(Y39-Y41)</f>
        <v>0</v>
      </c>
      <c r="Z44" s="1107">
        <f t="shared" si="6"/>
        <v>0</v>
      </c>
      <c r="AA44" s="1131">
        <f>SUM(AA39-AA41)</f>
        <v>4986.5</v>
      </c>
      <c r="AB44" s="1193"/>
      <c r="AC44" s="1135">
        <f>AC48+AC46</f>
        <v>4957.8599999999997</v>
      </c>
      <c r="AD44" s="1136"/>
      <c r="AE44" s="1134">
        <f>SUM(AC44/45*100)</f>
        <v>11017.466666666665</v>
      </c>
      <c r="AF44" s="3851"/>
      <c r="AG44" s="3854"/>
    </row>
    <row r="45" spans="1:33" ht="36" hidden="1" customHeight="1" x14ac:dyDescent="0.2">
      <c r="A45" s="669" t="s">
        <v>528</v>
      </c>
      <c r="B45" s="1114"/>
      <c r="C45" s="1115"/>
      <c r="D45" s="1116"/>
      <c r="E45" s="1224"/>
      <c r="F45" s="1118"/>
      <c r="G45" s="1233"/>
      <c r="H45" s="1234"/>
      <c r="I45" s="1117"/>
      <c r="J45" s="1118"/>
      <c r="K45" s="1233"/>
      <c r="L45" s="1234"/>
      <c r="M45" s="1117"/>
      <c r="N45" s="1180">
        <v>25</v>
      </c>
      <c r="O45" s="1210"/>
      <c r="P45" s="1145">
        <v>46</v>
      </c>
      <c r="Q45" s="1146"/>
      <c r="R45" s="1146">
        <v>28</v>
      </c>
      <c r="S45" s="1146">
        <v>38.5</v>
      </c>
      <c r="T45" s="1217"/>
      <c r="U45" s="1218">
        <f>SUM(U40)</f>
        <v>49.8</v>
      </c>
      <c r="V45" s="1214">
        <v>46.13</v>
      </c>
      <c r="W45" s="1145">
        <v>46.13</v>
      </c>
      <c r="X45" s="1134"/>
      <c r="Y45" s="1193">
        <f t="shared" ref="Y45:Z45" si="7">SUM(Y40)</f>
        <v>0</v>
      </c>
      <c r="Z45" s="1107">
        <f t="shared" si="7"/>
        <v>0</v>
      </c>
      <c r="AA45" s="1131">
        <f>SUM(AA40)</f>
        <v>46.13</v>
      </c>
      <c r="AB45" s="1193"/>
      <c r="AC45" s="1135">
        <f>SUM(AC40)</f>
        <v>0</v>
      </c>
      <c r="AD45" s="1136">
        <v>49.8</v>
      </c>
      <c r="AE45" s="1134">
        <f>SUM(AC45/46*100)</f>
        <v>0</v>
      </c>
      <c r="AF45" s="3851"/>
      <c r="AG45" s="3854"/>
    </row>
    <row r="46" spans="1:33" ht="36" customHeight="1" x14ac:dyDescent="0.2">
      <c r="A46" s="669" t="s">
        <v>51</v>
      </c>
      <c r="B46" s="1109"/>
      <c r="C46" s="1110"/>
      <c r="D46" s="1111">
        <v>2972.2</v>
      </c>
      <c r="E46" s="1177"/>
      <c r="F46" s="1113">
        <v>1150</v>
      </c>
      <c r="G46" s="1232"/>
      <c r="H46" s="1160">
        <v>3822.7</v>
      </c>
      <c r="I46" s="1112"/>
      <c r="J46" s="1113">
        <v>1100</v>
      </c>
      <c r="K46" s="1232"/>
      <c r="L46" s="1160">
        <v>2796.3</v>
      </c>
      <c r="M46" s="1112"/>
      <c r="N46" s="1180">
        <v>999</v>
      </c>
      <c r="O46" s="1187">
        <f>N46/J46*100</f>
        <v>90.818181818181813</v>
      </c>
      <c r="P46" s="1145">
        <f>N46</f>
        <v>999</v>
      </c>
      <c r="Q46" s="1146"/>
      <c r="R46" s="1146">
        <v>981.98</v>
      </c>
      <c r="S46" s="1146">
        <v>1481.3</v>
      </c>
      <c r="T46" s="1187">
        <v>2097.9</v>
      </c>
      <c r="U46" s="1218"/>
      <c r="V46" s="1214">
        <v>1007.9</v>
      </c>
      <c r="W46" s="1145">
        <v>998</v>
      </c>
      <c r="X46" s="1134"/>
      <c r="Y46" s="1193"/>
      <c r="Z46" s="1107"/>
      <c r="AA46" s="1131">
        <v>997.3</v>
      </c>
      <c r="AB46" s="1193"/>
      <c r="AC46" s="1135">
        <v>982.5</v>
      </c>
      <c r="AD46" s="1136"/>
      <c r="AE46" s="1134">
        <f>SUM(AC46/W46*100)</f>
        <v>98.446893787575149</v>
      </c>
      <c r="AF46" s="3851"/>
      <c r="AG46" s="3854"/>
    </row>
    <row r="47" spans="1:33" s="182" customFormat="1" ht="36" customHeight="1" x14ac:dyDescent="0.2">
      <c r="A47" s="670" t="s">
        <v>114</v>
      </c>
      <c r="B47" s="675"/>
      <c r="C47" s="675"/>
      <c r="D47" s="675">
        <f>D46/D43</f>
        <v>0.39940335411739408</v>
      </c>
      <c r="E47" s="1204"/>
      <c r="F47" s="1201">
        <f>F46/F43</f>
        <v>0.20048814504881451</v>
      </c>
      <c r="G47" s="1196"/>
      <c r="H47" s="1196">
        <f>H46/H43</f>
        <v>0.46606925140209704</v>
      </c>
      <c r="I47" s="1207"/>
      <c r="J47" s="1201">
        <f>J46/J43</f>
        <v>0.20183486238532111</v>
      </c>
      <c r="K47" s="1196"/>
      <c r="L47" s="1196">
        <f>L46/L43</f>
        <v>0.40073086844368017</v>
      </c>
      <c r="M47" s="1207"/>
      <c r="N47" s="1227">
        <f>N46/N43*100</f>
        <v>20.084439083232812</v>
      </c>
      <c r="O47" s="1204"/>
      <c r="P47" s="1201">
        <f>P46/P43</f>
        <v>0.20016028851933479</v>
      </c>
      <c r="Q47" s="1196"/>
      <c r="R47" s="1196">
        <f>R46/R43*100</f>
        <v>32.449490777151389</v>
      </c>
      <c r="S47" s="1196">
        <f>S46/S43*100</f>
        <v>33.133513767418968</v>
      </c>
      <c r="T47" s="1196"/>
      <c r="U47" s="1207"/>
      <c r="V47" s="1215">
        <f>V46/V43</f>
        <v>0.20158403168063363</v>
      </c>
      <c r="W47" s="1201">
        <f>W46/W43</f>
        <v>0.19942968704726163</v>
      </c>
      <c r="X47" s="1207"/>
      <c r="Y47" s="1206" t="e">
        <f t="shared" ref="Y47:Z47" si="8">Y46/Y43*100</f>
        <v>#DIV/0!</v>
      </c>
      <c r="Z47" s="725" t="e">
        <f t="shared" si="8"/>
        <v>#DIV/0!</v>
      </c>
      <c r="AA47" s="1201">
        <f>AA46/AA43</f>
        <v>0.19816676370009317</v>
      </c>
      <c r="AB47" s="1196"/>
      <c r="AC47" s="1196">
        <f>AC46/AC43</f>
        <v>0.19817017826239547</v>
      </c>
      <c r="AD47" s="1196"/>
      <c r="AE47" s="1138">
        <f>SUM(AC47/W47*100)</f>
        <v>99.368444686689159</v>
      </c>
      <c r="AF47" s="3877"/>
      <c r="AG47" s="3878"/>
    </row>
    <row r="48" spans="1:33" ht="36" customHeight="1" x14ac:dyDescent="0.2">
      <c r="A48" s="671" t="s">
        <v>526</v>
      </c>
      <c r="B48" s="1114"/>
      <c r="C48" s="1115"/>
      <c r="D48" s="1116">
        <v>4524.3</v>
      </c>
      <c r="E48" s="1224">
        <v>54.9</v>
      </c>
      <c r="F48" s="1118">
        <f>4645-G48</f>
        <v>4586</v>
      </c>
      <c r="G48" s="1233">
        <v>59</v>
      </c>
      <c r="H48" s="1234">
        <v>4379.3</v>
      </c>
      <c r="I48" s="1117">
        <v>52.2</v>
      </c>
      <c r="J48" s="1118">
        <v>4405</v>
      </c>
      <c r="K48" s="1233">
        <v>55</v>
      </c>
      <c r="L48" s="1234">
        <v>4181.7</v>
      </c>
      <c r="M48" s="1117">
        <v>46</v>
      </c>
      <c r="N48" s="1228">
        <f>SUM(N49:N50)</f>
        <v>3975</v>
      </c>
      <c r="O48" s="1212">
        <f>N48/J48*100</f>
        <v>90.238365493757087</v>
      </c>
      <c r="P48" s="1208">
        <f>SUM(P49:P50)</f>
        <v>3992</v>
      </c>
      <c r="Q48" s="1219">
        <v>46.13</v>
      </c>
      <c r="R48" s="1219">
        <f>SUM(R49:R50)</f>
        <v>2044.2</v>
      </c>
      <c r="S48" s="1219">
        <f>SUM(S49:S50)</f>
        <v>2989.3999999999996</v>
      </c>
      <c r="T48" s="1217">
        <v>3989.2</v>
      </c>
      <c r="U48" s="1220">
        <v>49.8</v>
      </c>
      <c r="V48" s="1216">
        <f>SUM(V49:V50)</f>
        <v>3992</v>
      </c>
      <c r="W48" s="1208">
        <f>SUM(W49:W51)</f>
        <v>4006.2700000000004</v>
      </c>
      <c r="X48" s="1140">
        <v>46.13</v>
      </c>
      <c r="Y48" s="1195">
        <f>SUM(Y49:Y50)</f>
        <v>0</v>
      </c>
      <c r="Z48" s="1108">
        <f>SUM(Z49:Z50)</f>
        <v>0</v>
      </c>
      <c r="AA48" s="1139">
        <f>SUM(AA49:AA51)</f>
        <v>3989.2169999999996</v>
      </c>
      <c r="AB48" s="1195">
        <v>49.8</v>
      </c>
      <c r="AC48" s="1132">
        <f>SUM(AC49:AC51)</f>
        <v>3975.3599999999997</v>
      </c>
      <c r="AD48" s="1132">
        <f>SUM(AD49:AD51)</f>
        <v>49.8</v>
      </c>
      <c r="AE48" s="1236">
        <f>AC48/W48</f>
        <v>0.99228459389906298</v>
      </c>
      <c r="AF48" s="3851"/>
      <c r="AG48" s="3854"/>
    </row>
    <row r="49" spans="1:33" ht="36" customHeight="1" x14ac:dyDescent="0.2">
      <c r="A49" s="669" t="s">
        <v>24</v>
      </c>
      <c r="B49" s="1109"/>
      <c r="C49" s="1110"/>
      <c r="D49" s="1111">
        <v>3159.6</v>
      </c>
      <c r="E49" s="1177"/>
      <c r="F49" s="1113">
        <v>3192</v>
      </c>
      <c r="G49" s="1232"/>
      <c r="H49" s="1160">
        <v>3094</v>
      </c>
      <c r="I49" s="1112"/>
      <c r="J49" s="1113">
        <v>3100</v>
      </c>
      <c r="K49" s="1232"/>
      <c r="L49" s="1160">
        <v>2975.5</v>
      </c>
      <c r="M49" s="1112"/>
      <c r="N49" s="1180">
        <v>2800</v>
      </c>
      <c r="O49" s="1187">
        <f>N49/J49*100</f>
        <v>90.322580645161281</v>
      </c>
      <c r="P49" s="1145">
        <v>2800</v>
      </c>
      <c r="Q49" s="1146"/>
      <c r="R49" s="1146">
        <f>1426.4</f>
        <v>1426.4</v>
      </c>
      <c r="S49" s="1146">
        <v>2084.6999999999998</v>
      </c>
      <c r="T49" s="1187">
        <v>2780.7</v>
      </c>
      <c r="U49" s="1218"/>
      <c r="V49" s="1214">
        <v>2800</v>
      </c>
      <c r="W49" s="1145">
        <v>2445.422</v>
      </c>
      <c r="X49" s="1134"/>
      <c r="Y49" s="1193"/>
      <c r="Z49" s="1107"/>
      <c r="AA49" s="1131">
        <v>2428.56</v>
      </c>
      <c r="AB49" s="1193"/>
      <c r="AC49" s="1135">
        <f>AA49</f>
        <v>2428.56</v>
      </c>
      <c r="AD49" s="1136">
        <v>0</v>
      </c>
      <c r="AE49" s="1134">
        <f>SUM(AC49/W49*100)</f>
        <v>99.310466659742161</v>
      </c>
      <c r="AF49" s="3864" t="s">
        <v>895</v>
      </c>
      <c r="AG49" s="3865"/>
    </row>
    <row r="50" spans="1:33" ht="36" customHeight="1" x14ac:dyDescent="0.2">
      <c r="A50" s="851" t="s">
        <v>26</v>
      </c>
      <c r="B50" s="1119"/>
      <c r="C50" s="1120"/>
      <c r="D50" s="1121">
        <v>1309.8</v>
      </c>
      <c r="E50" s="1225">
        <v>54.9</v>
      </c>
      <c r="F50" s="1156">
        <v>1394</v>
      </c>
      <c r="G50" s="1153">
        <v>59</v>
      </c>
      <c r="H50" s="1154">
        <v>1285.3</v>
      </c>
      <c r="I50" s="1155">
        <v>52.2</v>
      </c>
      <c r="J50" s="1156">
        <v>1250</v>
      </c>
      <c r="K50" s="1153">
        <v>55</v>
      </c>
      <c r="L50" s="1154">
        <v>1206.2</v>
      </c>
      <c r="M50" s="1155">
        <v>46</v>
      </c>
      <c r="N50" s="1229">
        <v>1175</v>
      </c>
      <c r="O50" s="1147">
        <f>N50/J50*100</f>
        <v>94</v>
      </c>
      <c r="P50" s="1157">
        <v>1192</v>
      </c>
      <c r="Q50" s="1158">
        <v>46.13</v>
      </c>
      <c r="R50" s="1158">
        <v>617.79999999999995</v>
      </c>
      <c r="S50" s="1158">
        <v>904.7</v>
      </c>
      <c r="T50" s="1147">
        <v>1208.5</v>
      </c>
      <c r="U50" s="1159">
        <v>49.8</v>
      </c>
      <c r="V50" s="1198">
        <v>1192</v>
      </c>
      <c r="W50" s="1157">
        <v>1003.2910000000001</v>
      </c>
      <c r="X50" s="1144">
        <v>46.13</v>
      </c>
      <c r="Y50" s="1197"/>
      <c r="Z50" s="1122"/>
      <c r="AA50" s="1141">
        <v>1003.1</v>
      </c>
      <c r="AB50" s="1197">
        <v>49.8</v>
      </c>
      <c r="AC50" s="1142">
        <v>1003.1</v>
      </c>
      <c r="AD50" s="1143">
        <v>49.8</v>
      </c>
      <c r="AE50" s="1144">
        <f>SUM(AC50/W50*100)</f>
        <v>99.980962651912549</v>
      </c>
      <c r="AF50" s="3864" t="s">
        <v>895</v>
      </c>
      <c r="AG50" s="3865"/>
    </row>
    <row r="51" spans="1:33" ht="36" customHeight="1" x14ac:dyDescent="0.2">
      <c r="A51" s="669" t="s">
        <v>839</v>
      </c>
      <c r="B51" s="1109"/>
      <c r="C51" s="1110"/>
      <c r="D51" s="1111"/>
      <c r="E51" s="1177"/>
      <c r="F51" s="1113"/>
      <c r="G51" s="1232"/>
      <c r="H51" s="1160"/>
      <c r="I51" s="1112"/>
      <c r="J51" s="1113"/>
      <c r="K51" s="1232"/>
      <c r="L51" s="1160"/>
      <c r="M51" s="1112"/>
      <c r="N51" s="1180"/>
      <c r="O51" s="1187"/>
      <c r="P51" s="1145"/>
      <c r="Q51" s="1146"/>
      <c r="R51" s="1146"/>
      <c r="S51" s="1146"/>
      <c r="T51" s="1187"/>
      <c r="U51" s="1218"/>
      <c r="V51" s="1214"/>
      <c r="W51" s="1145">
        <f>SUM(W52:W53)</f>
        <v>557.55700000000002</v>
      </c>
      <c r="X51" s="1134"/>
      <c r="Y51" s="1193"/>
      <c r="Z51" s="1107"/>
      <c r="AA51" s="1145">
        <f>SUM(AA52:AA53)</f>
        <v>557.55700000000002</v>
      </c>
      <c r="AB51" s="1180"/>
      <c r="AC51" s="1146">
        <f>SUM(AC52:AC53)</f>
        <v>543.70000000000005</v>
      </c>
      <c r="AD51" s="1147">
        <v>0</v>
      </c>
      <c r="AE51" s="1144">
        <f>SUM(AC51/W51*100)</f>
        <v>97.514693564962869</v>
      </c>
      <c r="AF51" s="3866"/>
      <c r="AG51" s="3867"/>
    </row>
    <row r="52" spans="1:33" ht="50.25" customHeight="1" x14ac:dyDescent="0.2">
      <c r="A52" s="670" t="s">
        <v>650</v>
      </c>
      <c r="B52" s="1109"/>
      <c r="C52" s="1110"/>
      <c r="D52" s="1111"/>
      <c r="E52" s="1177"/>
      <c r="F52" s="1113"/>
      <c r="G52" s="1232"/>
      <c r="H52" s="1160"/>
      <c r="I52" s="1112"/>
      <c r="J52" s="1113"/>
      <c r="K52" s="1232"/>
      <c r="L52" s="1160"/>
      <c r="M52" s="1112"/>
      <c r="N52" s="1180"/>
      <c r="O52" s="1187"/>
      <c r="P52" s="1145"/>
      <c r="Q52" s="1146"/>
      <c r="R52" s="1146"/>
      <c r="S52" s="1146"/>
      <c r="T52" s="1187"/>
      <c r="U52" s="1218"/>
      <c r="V52" s="1214"/>
      <c r="W52" s="1145">
        <v>509.79</v>
      </c>
      <c r="X52" s="1134"/>
      <c r="Y52" s="1193"/>
      <c r="Z52" s="1107"/>
      <c r="AA52" s="1145">
        <v>509.79</v>
      </c>
      <c r="AB52" s="1198"/>
      <c r="AC52" s="1147">
        <v>494</v>
      </c>
      <c r="AD52" s="1147">
        <v>0</v>
      </c>
      <c r="AE52" s="1144">
        <f>SUM(AC52/W52*100)</f>
        <v>96.902646187645885</v>
      </c>
      <c r="AF52" s="3866" t="s">
        <v>887</v>
      </c>
      <c r="AG52" s="3867"/>
    </row>
    <row r="53" spans="1:33" ht="58.5" customHeight="1" thickBot="1" x14ac:dyDescent="0.25">
      <c r="A53" s="1151" t="s">
        <v>651</v>
      </c>
      <c r="B53" s="1152"/>
      <c r="C53" s="1153"/>
      <c r="D53" s="1154"/>
      <c r="E53" s="1225"/>
      <c r="F53" s="1126"/>
      <c r="G53" s="1123"/>
      <c r="H53" s="1124"/>
      <c r="I53" s="1125"/>
      <c r="J53" s="1126"/>
      <c r="K53" s="1123"/>
      <c r="L53" s="1124"/>
      <c r="M53" s="1125"/>
      <c r="N53" s="1229"/>
      <c r="O53" s="1147"/>
      <c r="P53" s="1127"/>
      <c r="Q53" s="1128"/>
      <c r="R53" s="1128"/>
      <c r="S53" s="1128"/>
      <c r="T53" s="1056"/>
      <c r="U53" s="1129"/>
      <c r="V53" s="1198"/>
      <c r="W53" s="1127">
        <v>47.767000000000003</v>
      </c>
      <c r="X53" s="1130"/>
      <c r="Y53" s="1197"/>
      <c r="Z53" s="1159"/>
      <c r="AA53" s="1127">
        <v>47.767000000000003</v>
      </c>
      <c r="AB53" s="1202"/>
      <c r="AC53" s="1056">
        <v>49.7</v>
      </c>
      <c r="AD53" s="1056">
        <v>0</v>
      </c>
      <c r="AE53" s="1130">
        <f>SUM(AC53/W53*100)</f>
        <v>104.04672681977097</v>
      </c>
      <c r="AF53" s="3868" t="s">
        <v>887</v>
      </c>
      <c r="AG53" s="3869"/>
    </row>
    <row r="54" spans="1:33" ht="58.5" customHeight="1" x14ac:dyDescent="0.2">
      <c r="A54" s="1168" t="s">
        <v>891</v>
      </c>
      <c r="B54" s="1174"/>
      <c r="C54" s="1161"/>
      <c r="D54" s="1161"/>
      <c r="E54" s="1175"/>
      <c r="F54" s="1171"/>
      <c r="G54" s="1161"/>
      <c r="H54" s="1161"/>
      <c r="I54" s="1176"/>
      <c r="J54" s="1174"/>
      <c r="K54" s="1161"/>
      <c r="L54" s="1161"/>
      <c r="M54" s="1175"/>
      <c r="N54" s="1179"/>
      <c r="O54" s="1162"/>
      <c r="P54" s="1162"/>
      <c r="Q54" s="1162"/>
      <c r="R54" s="1162"/>
      <c r="S54" s="1162"/>
      <c r="T54" s="1162"/>
      <c r="U54" s="1182"/>
      <c r="V54" s="1237"/>
      <c r="W54" s="1184"/>
      <c r="X54" s="1185"/>
      <c r="Y54" s="1163"/>
      <c r="Z54" s="1163"/>
      <c r="AA54" s="1162"/>
      <c r="AB54" s="1162"/>
      <c r="AC54" s="1162">
        <f>1/3*((T48-L48)/L48+(L48-H48)/H48+(H48-D48)/D48)</f>
        <v>-4.1068144286008995E-2</v>
      </c>
      <c r="AD54" s="1162"/>
      <c r="AE54" s="1186"/>
      <c r="AF54" s="1188"/>
      <c r="AG54" s="1164"/>
    </row>
    <row r="55" spans="1:33" ht="58.5" customHeight="1" x14ac:dyDescent="0.2">
      <c r="A55" s="1169" t="s">
        <v>892</v>
      </c>
      <c r="B55" s="1113"/>
      <c r="C55" s="1160"/>
      <c r="D55" s="1160"/>
      <c r="E55" s="1112"/>
      <c r="F55" s="1172"/>
      <c r="G55" s="1160"/>
      <c r="H55" s="1160"/>
      <c r="I55" s="1177"/>
      <c r="J55" s="1113"/>
      <c r="K55" s="1160"/>
      <c r="L55" s="1160"/>
      <c r="M55" s="1112"/>
      <c r="N55" s="1180"/>
      <c r="O55" s="1146"/>
      <c r="P55" s="1146"/>
      <c r="Q55" s="1146"/>
      <c r="R55" s="1146"/>
      <c r="S55" s="1146"/>
      <c r="T55" s="1146"/>
      <c r="U55" s="1136"/>
      <c r="V55" s="1203"/>
      <c r="W55" s="1145"/>
      <c r="X55" s="1134"/>
      <c r="Y55" s="1135"/>
      <c r="Z55" s="1135"/>
      <c r="AA55" s="1146"/>
      <c r="AB55" s="1146"/>
      <c r="AC55" s="1146">
        <f>AC54</f>
        <v>-4.1068144286008995E-2</v>
      </c>
      <c r="AD55" s="1146"/>
      <c r="AE55" s="1187"/>
      <c r="AF55" s="1189"/>
      <c r="AG55" s="1165"/>
    </row>
    <row r="56" spans="1:33" ht="58.5" customHeight="1" thickBot="1" x14ac:dyDescent="0.25">
      <c r="A56" s="1170" t="s">
        <v>893</v>
      </c>
      <c r="B56" s="1126"/>
      <c r="C56" s="1124"/>
      <c r="D56" s="1124"/>
      <c r="E56" s="1125"/>
      <c r="F56" s="1173"/>
      <c r="G56" s="1124"/>
      <c r="H56" s="1124"/>
      <c r="I56" s="1178"/>
      <c r="J56" s="1126"/>
      <c r="K56" s="1124"/>
      <c r="L56" s="1124"/>
      <c r="M56" s="1125"/>
      <c r="N56" s="1181"/>
      <c r="O56" s="1128"/>
      <c r="P56" s="1128"/>
      <c r="Q56" s="1128"/>
      <c r="R56" s="1128"/>
      <c r="S56" s="1128"/>
      <c r="T56" s="1128"/>
      <c r="U56" s="1183"/>
      <c r="V56" s="1238"/>
      <c r="W56" s="1127"/>
      <c r="X56" s="1130"/>
      <c r="Y56" s="1166"/>
      <c r="Z56" s="1166"/>
      <c r="AA56" s="1128"/>
      <c r="AB56" s="1128"/>
      <c r="AC56" s="1128">
        <f>T48*(1+AC55)*(1+AC55)</f>
        <v>3668.2700723301605</v>
      </c>
      <c r="AD56" s="1128"/>
      <c r="AE56" s="1056">
        <f>AC56/W48</f>
        <v>0.9156322645079239</v>
      </c>
      <c r="AF56" s="1035"/>
      <c r="AG56" s="1167"/>
    </row>
    <row r="57" spans="1:33" ht="20.100000000000001" customHeight="1" thickBot="1" x14ac:dyDescent="0.25">
      <c r="A57" s="3870" t="s">
        <v>520</v>
      </c>
      <c r="B57" s="3871"/>
      <c r="C57" s="3871"/>
      <c r="D57" s="3871"/>
      <c r="E57" s="3871"/>
      <c r="F57" s="3871"/>
      <c r="G57" s="3871"/>
      <c r="H57" s="3871"/>
      <c r="I57" s="3871"/>
      <c r="J57" s="3871"/>
      <c r="K57" s="3871"/>
      <c r="L57" s="3871"/>
      <c r="M57" s="3871"/>
      <c r="N57" s="3871"/>
      <c r="O57" s="3871"/>
      <c r="P57" s="3871"/>
      <c r="Q57" s="3871"/>
      <c r="R57" s="3871"/>
      <c r="S57" s="3871"/>
      <c r="T57" s="3871"/>
      <c r="U57" s="3871"/>
      <c r="V57" s="3871"/>
      <c r="W57" s="3871"/>
      <c r="X57" s="3871"/>
      <c r="Y57" s="3871"/>
      <c r="Z57" s="3871"/>
      <c r="AA57" s="3871"/>
      <c r="AB57" s="3871"/>
      <c r="AC57" s="3871"/>
      <c r="AD57" s="3871"/>
      <c r="AE57" s="3871"/>
      <c r="AF57" s="3871"/>
      <c r="AG57" s="3872"/>
    </row>
    <row r="58" spans="1:33" ht="20.100000000000001" customHeight="1" x14ac:dyDescent="0.2">
      <c r="A58" s="668" t="s">
        <v>894</v>
      </c>
      <c r="B58" s="1174"/>
      <c r="C58" s="1161"/>
      <c r="D58" s="1161"/>
      <c r="E58" s="1175"/>
      <c r="F58" s="1174">
        <f>F59</f>
        <v>4196.5</v>
      </c>
      <c r="G58" s="1161">
        <v>28</v>
      </c>
      <c r="H58" s="1161">
        <v>8680.7000000000007</v>
      </c>
      <c r="I58" s="1175">
        <v>18.3</v>
      </c>
      <c r="J58" s="1174">
        <v>3990</v>
      </c>
      <c r="K58" s="1161">
        <v>28</v>
      </c>
      <c r="L58" s="1161">
        <v>4731.6000000000004</v>
      </c>
      <c r="M58" s="1175">
        <v>30.2</v>
      </c>
      <c r="N58" s="1226">
        <v>3600</v>
      </c>
      <c r="O58" s="1097" t="e">
        <f>N58/#REF!*100</f>
        <v>#REF!</v>
      </c>
      <c r="P58" s="1098">
        <v>3644.7</v>
      </c>
      <c r="Q58" s="1098">
        <f>Q59</f>
        <v>28</v>
      </c>
      <c r="R58" s="1098">
        <f>SUM(R59:R61)</f>
        <v>3537.9999999999995</v>
      </c>
      <c r="S58" s="1098">
        <f>SUM(S59:S61)</f>
        <v>5192.1999999999989</v>
      </c>
      <c r="T58" s="1098">
        <v>4374.8</v>
      </c>
      <c r="U58" s="1055">
        <v>30.2</v>
      </c>
      <c r="V58" s="1099">
        <f t="shared" ref="U58:X59" si="9">SUM(V59:V61)</f>
        <v>7317.4</v>
      </c>
      <c r="W58" s="1096">
        <f>W59</f>
        <v>3644.7</v>
      </c>
      <c r="X58" s="1101">
        <f t="shared" si="9"/>
        <v>28</v>
      </c>
      <c r="Y58" s="1192">
        <f t="shared" ref="Y58:Z59" si="10">SUM(Y59:Y61)</f>
        <v>0</v>
      </c>
      <c r="Z58" s="1245">
        <f t="shared" si="10"/>
        <v>0</v>
      </c>
      <c r="AA58" s="1096">
        <v>4658</v>
      </c>
      <c r="AB58" s="1098">
        <v>28</v>
      </c>
      <c r="AC58" s="1098">
        <f>AC59</f>
        <v>3445</v>
      </c>
      <c r="AD58" s="1098">
        <f t="shared" ref="AA58:AD59" si="11">SUM(AD59:AD61)</f>
        <v>28</v>
      </c>
      <c r="AE58" s="1185">
        <f>SUM(AC58/W58*100)</f>
        <v>94.520811040689225</v>
      </c>
      <c r="AF58" s="3841"/>
      <c r="AG58" s="3842"/>
    </row>
    <row r="59" spans="1:33" ht="36" customHeight="1" x14ac:dyDescent="0.2">
      <c r="A59" s="1242" t="s">
        <v>527</v>
      </c>
      <c r="B59" s="1113"/>
      <c r="C59" s="1160"/>
      <c r="D59" s="1160">
        <v>4093.2</v>
      </c>
      <c r="E59" s="1112">
        <v>26.4</v>
      </c>
      <c r="F59" s="1113">
        <v>4196.5</v>
      </c>
      <c r="G59" s="1160">
        <v>28</v>
      </c>
      <c r="H59" s="1160">
        <v>3988.3</v>
      </c>
      <c r="I59" s="1112">
        <v>18.3</v>
      </c>
      <c r="J59" s="1113">
        <v>3990</v>
      </c>
      <c r="K59" s="1160">
        <v>28</v>
      </c>
      <c r="L59" s="1160">
        <v>3771</v>
      </c>
      <c r="M59" s="1112">
        <f>M60+M61+M62</f>
        <v>30.2</v>
      </c>
      <c r="N59" s="1228">
        <v>3600</v>
      </c>
      <c r="O59" s="1239" t="e">
        <f>N59/#REF!*100</f>
        <v>#REF!</v>
      </c>
      <c r="P59" s="1219">
        <f>SUM(P60:P62)</f>
        <v>3644.7</v>
      </c>
      <c r="Q59" s="1219">
        <v>28</v>
      </c>
      <c r="R59" s="1219">
        <f>SUM(R60:R62)</f>
        <v>1773.7999999999997</v>
      </c>
      <c r="S59" s="1219">
        <f>SUM(S60:S62)</f>
        <v>2603.1999999999998</v>
      </c>
      <c r="T59" s="1219">
        <v>3476.2</v>
      </c>
      <c r="U59" s="1132">
        <f t="shared" si="9"/>
        <v>30.2</v>
      </c>
      <c r="V59" s="1217">
        <f t="shared" si="9"/>
        <v>3672.7</v>
      </c>
      <c r="W59" s="1208">
        <f t="shared" si="9"/>
        <v>3644.7</v>
      </c>
      <c r="X59" s="1140">
        <f t="shared" si="9"/>
        <v>28</v>
      </c>
      <c r="Y59" s="1195">
        <f t="shared" si="10"/>
        <v>0</v>
      </c>
      <c r="Z59" s="1133">
        <f t="shared" si="10"/>
        <v>0</v>
      </c>
      <c r="AA59" s="1208">
        <f t="shared" si="11"/>
        <v>3445</v>
      </c>
      <c r="AB59" s="1219">
        <v>28</v>
      </c>
      <c r="AC59" s="1219">
        <f t="shared" si="11"/>
        <v>3445</v>
      </c>
      <c r="AD59" s="1219">
        <f t="shared" si="11"/>
        <v>28</v>
      </c>
      <c r="AE59" s="1134">
        <f>SUM(AC59/W59*100)</f>
        <v>94.520811040689225</v>
      </c>
      <c r="AF59" s="3862"/>
      <c r="AG59" s="3863"/>
    </row>
    <row r="60" spans="1:33" ht="36" customHeight="1" x14ac:dyDescent="0.2">
      <c r="A60" s="1243" t="s">
        <v>27</v>
      </c>
      <c r="B60" s="1113"/>
      <c r="C60" s="1160"/>
      <c r="D60" s="1160">
        <v>3032.3</v>
      </c>
      <c r="E60" s="1112">
        <v>0</v>
      </c>
      <c r="F60" s="1113">
        <v>3064.5</v>
      </c>
      <c r="G60" s="1160">
        <v>0</v>
      </c>
      <c r="H60" s="1160">
        <v>2946</v>
      </c>
      <c r="I60" s="1112">
        <v>0</v>
      </c>
      <c r="J60" s="1113">
        <v>2955</v>
      </c>
      <c r="K60" s="1160">
        <v>0</v>
      </c>
      <c r="L60" s="1160">
        <v>2748.3</v>
      </c>
      <c r="M60" s="1112">
        <v>0</v>
      </c>
      <c r="N60" s="1180">
        <v>2600</v>
      </c>
      <c r="O60" s="1240" t="e">
        <f>N60/#REF!*100</f>
        <v>#REF!</v>
      </c>
      <c r="P60" s="1146">
        <v>2600</v>
      </c>
      <c r="Q60" s="1146">
        <v>0</v>
      </c>
      <c r="R60" s="1146">
        <v>1250.8</v>
      </c>
      <c r="S60" s="1146">
        <v>1837.1</v>
      </c>
      <c r="T60" s="1146">
        <v>2448.6999999999998</v>
      </c>
      <c r="U60" s="1135">
        <v>0</v>
      </c>
      <c r="V60" s="1187">
        <v>2600</v>
      </c>
      <c r="W60" s="1145">
        <f>V60</f>
        <v>2600</v>
      </c>
      <c r="X60" s="1134">
        <v>0</v>
      </c>
      <c r="Y60" s="1193"/>
      <c r="Z60" s="1136"/>
      <c r="AA60" s="1145">
        <v>2448</v>
      </c>
      <c r="AB60" s="1146">
        <v>0</v>
      </c>
      <c r="AC60" s="1146">
        <f>AA60</f>
        <v>2448</v>
      </c>
      <c r="AD60" s="1146">
        <v>0</v>
      </c>
      <c r="AE60" s="1134">
        <f>SUM(AC60/W60*100)</f>
        <v>94.15384615384616</v>
      </c>
      <c r="AF60" s="3873" t="s">
        <v>895</v>
      </c>
      <c r="AG60" s="3874"/>
    </row>
    <row r="61" spans="1:33" ht="36" customHeight="1" x14ac:dyDescent="0.2">
      <c r="A61" s="1243" t="s">
        <v>29</v>
      </c>
      <c r="B61" s="1113"/>
      <c r="C61" s="1160"/>
      <c r="D61" s="1160">
        <v>1034.5</v>
      </c>
      <c r="E61" s="1112">
        <v>0</v>
      </c>
      <c r="F61" s="1113">
        <v>1132</v>
      </c>
      <c r="G61" s="1160">
        <v>0</v>
      </c>
      <c r="H61" s="1160">
        <v>1042.3</v>
      </c>
      <c r="I61" s="1112">
        <v>0</v>
      </c>
      <c r="J61" s="1113">
        <v>1035</v>
      </c>
      <c r="K61" s="1160">
        <v>0</v>
      </c>
      <c r="L61" s="1160">
        <v>1022.7</v>
      </c>
      <c r="M61" s="1112">
        <v>0</v>
      </c>
      <c r="N61" s="1180">
        <v>972</v>
      </c>
      <c r="O61" s="1240" t="e">
        <f>N61/#REF!*100</f>
        <v>#REF!</v>
      </c>
      <c r="P61" s="1146">
        <v>1044.7</v>
      </c>
      <c r="Q61" s="1146">
        <v>0</v>
      </c>
      <c r="R61" s="1146">
        <v>513.4</v>
      </c>
      <c r="S61" s="1146">
        <v>751.9</v>
      </c>
      <c r="T61" s="1146">
        <v>997.3</v>
      </c>
      <c r="U61" s="1135">
        <v>0</v>
      </c>
      <c r="V61" s="1187">
        <v>1044.7</v>
      </c>
      <c r="W61" s="1145">
        <f>V61</f>
        <v>1044.7</v>
      </c>
      <c r="X61" s="1134">
        <v>0</v>
      </c>
      <c r="Y61" s="1193"/>
      <c r="Z61" s="1136"/>
      <c r="AA61" s="1145">
        <v>997</v>
      </c>
      <c r="AB61" s="1146">
        <v>0</v>
      </c>
      <c r="AC61" s="1146">
        <f>AA61</f>
        <v>997</v>
      </c>
      <c r="AD61" s="1146">
        <v>0</v>
      </c>
      <c r="AE61" s="1134">
        <f>SUM(AC61/W61*100)</f>
        <v>95.434095912702205</v>
      </c>
      <c r="AF61" s="3873" t="s">
        <v>895</v>
      </c>
      <c r="AG61" s="3874"/>
    </row>
    <row r="62" spans="1:33" ht="36" customHeight="1" thickBot="1" x14ac:dyDescent="0.25">
      <c r="A62" s="672" t="s">
        <v>68</v>
      </c>
      <c r="B62" s="1126"/>
      <c r="C62" s="1124"/>
      <c r="D62" s="1124">
        <v>0</v>
      </c>
      <c r="E62" s="1125">
        <v>26.4</v>
      </c>
      <c r="F62" s="1126">
        <v>0</v>
      </c>
      <c r="G62" s="1124">
        <v>28</v>
      </c>
      <c r="H62" s="1124">
        <v>0</v>
      </c>
      <c r="I62" s="1125">
        <v>18.3</v>
      </c>
      <c r="J62" s="1126">
        <v>0</v>
      </c>
      <c r="K62" s="1124">
        <v>28</v>
      </c>
      <c r="L62" s="1124">
        <v>0</v>
      </c>
      <c r="M62" s="1125">
        <v>30.2</v>
      </c>
      <c r="N62" s="1181">
        <v>28</v>
      </c>
      <c r="O62" s="1241" t="e">
        <f>N62/#REF!*100</f>
        <v>#REF!</v>
      </c>
      <c r="P62" s="1128">
        <v>0</v>
      </c>
      <c r="Q62" s="1128">
        <v>28</v>
      </c>
      <c r="R62" s="1128">
        <v>9.6</v>
      </c>
      <c r="S62" s="1128">
        <v>14.2</v>
      </c>
      <c r="T62" s="1128">
        <v>0</v>
      </c>
      <c r="U62" s="1166">
        <v>30.2</v>
      </c>
      <c r="V62" s="1056">
        <v>28</v>
      </c>
      <c r="W62" s="1127">
        <v>0</v>
      </c>
      <c r="X62" s="1130">
        <v>28</v>
      </c>
      <c r="Y62" s="1244"/>
      <c r="Z62" s="1183"/>
      <c r="AA62" s="1127">
        <v>0</v>
      </c>
      <c r="AB62" s="1128">
        <v>28</v>
      </c>
      <c r="AC62" s="1128">
        <v>0</v>
      </c>
      <c r="AD62" s="1128">
        <v>28</v>
      </c>
      <c r="AE62" s="1130" t="e">
        <f>SUM(AC62/W62*100)</f>
        <v>#DIV/0!</v>
      </c>
      <c r="AF62" s="3875"/>
      <c r="AG62" s="3876"/>
    </row>
    <row r="64" spans="1:33" hidden="1" outlineLevel="1" x14ac:dyDescent="0.2">
      <c r="A64" s="158" t="s">
        <v>273</v>
      </c>
    </row>
    <row r="65" spans="1:34" hidden="1" outlineLevel="1" x14ac:dyDescent="0.2">
      <c r="A65" s="25"/>
      <c r="B65" s="25"/>
      <c r="C65" s="1043"/>
      <c r="D65" s="1043"/>
      <c r="E65" s="1043"/>
      <c r="F65" s="1043"/>
      <c r="G65" s="1043"/>
      <c r="H65" s="1043"/>
      <c r="I65" s="1043"/>
      <c r="J65" s="25"/>
      <c r="K65" s="1043"/>
      <c r="L65" s="1043"/>
      <c r="M65" s="25"/>
      <c r="N65" s="25" t="s">
        <v>264</v>
      </c>
      <c r="O65" s="25" t="s">
        <v>265</v>
      </c>
      <c r="P65" s="25" t="s">
        <v>265</v>
      </c>
      <c r="Q65" s="1043"/>
      <c r="R65" s="25" t="s">
        <v>266</v>
      </c>
      <c r="S65" s="25" t="s">
        <v>267</v>
      </c>
      <c r="T65" s="1043"/>
      <c r="U65" s="641"/>
      <c r="V65" s="25" t="s">
        <v>268</v>
      </c>
      <c r="W65" s="25" t="s">
        <v>270</v>
      </c>
      <c r="X65" s="1043"/>
      <c r="Y65" s="641"/>
      <c r="Z65" s="641"/>
      <c r="AA65" s="641"/>
      <c r="AB65" s="1199"/>
      <c r="AC65" s="641"/>
      <c r="AD65" s="1043"/>
      <c r="AE65" s="641"/>
      <c r="AF65" s="25" t="s">
        <v>271</v>
      </c>
      <c r="AG65" s="25" t="s">
        <v>272</v>
      </c>
    </row>
    <row r="66" spans="1:34" hidden="1" outlineLevel="1" x14ac:dyDescent="0.2">
      <c r="A66" s="25" t="s">
        <v>260</v>
      </c>
      <c r="B66" s="25"/>
      <c r="C66" s="1043"/>
      <c r="D66" s="1043"/>
      <c r="E66" s="1043"/>
      <c r="F66" s="1043"/>
      <c r="G66" s="1043"/>
      <c r="H66" s="1043"/>
      <c r="I66" s="1043"/>
      <c r="J66" s="25"/>
      <c r="K66" s="1043"/>
      <c r="L66" s="1043"/>
      <c r="M66" s="25"/>
      <c r="N66" s="25"/>
      <c r="O66" s="25"/>
      <c r="P66" s="25"/>
      <c r="Q66" s="1043"/>
      <c r="R66" s="25"/>
      <c r="S66" s="25"/>
      <c r="T66" s="1043"/>
      <c r="U66" s="641"/>
      <c r="V66" s="25"/>
      <c r="W66" s="25"/>
      <c r="X66" s="1043"/>
      <c r="Y66" s="641"/>
      <c r="Z66" s="641"/>
      <c r="AA66" s="641"/>
      <c r="AB66" s="1199"/>
      <c r="AC66" s="641"/>
      <c r="AD66" s="1043"/>
      <c r="AE66" s="641"/>
      <c r="AF66" s="25"/>
      <c r="AG66" s="25"/>
    </row>
    <row r="67" spans="1:34" hidden="1" outlineLevel="1" x14ac:dyDescent="0.2">
      <c r="A67" s="157" t="s">
        <v>236</v>
      </c>
      <c r="B67" s="25"/>
      <c r="C67" s="1043"/>
      <c r="D67" s="1043"/>
      <c r="E67" s="1043"/>
      <c r="F67" s="1043"/>
      <c r="G67" s="1043"/>
      <c r="H67" s="1043"/>
      <c r="I67" s="1043"/>
      <c r="J67" s="25"/>
      <c r="K67" s="1043"/>
      <c r="L67" s="1043"/>
      <c r="M67" s="25"/>
      <c r="N67" s="25"/>
      <c r="O67" s="25"/>
      <c r="P67" s="25"/>
      <c r="Q67" s="1043"/>
      <c r="R67" s="25"/>
      <c r="S67" s="25"/>
      <c r="T67" s="1043"/>
      <c r="U67" s="641"/>
      <c r="V67" s="25"/>
      <c r="W67" s="25"/>
      <c r="X67" s="1043"/>
      <c r="Y67" s="641"/>
      <c r="Z67" s="641"/>
      <c r="AA67" s="641"/>
      <c r="AB67" s="1199"/>
      <c r="AC67" s="641"/>
      <c r="AD67" s="1043"/>
      <c r="AE67" s="641"/>
      <c r="AF67" s="25"/>
      <c r="AG67" s="25"/>
    </row>
    <row r="68" spans="1:34" hidden="1" outlineLevel="1" x14ac:dyDescent="0.2">
      <c r="A68" s="25" t="s">
        <v>261</v>
      </c>
      <c r="B68" s="25"/>
      <c r="C68" s="1043"/>
      <c r="D68" s="1043"/>
      <c r="E68" s="1043"/>
      <c r="F68" s="1043"/>
      <c r="G68" s="1043"/>
      <c r="H68" s="1043"/>
      <c r="I68" s="1043"/>
      <c r="J68" s="25"/>
      <c r="K68" s="1043"/>
      <c r="L68" s="1043"/>
      <c r="M68" s="25"/>
      <c r="N68" s="25">
        <v>236.8</v>
      </c>
      <c r="O68" s="25">
        <v>236.8</v>
      </c>
      <c r="P68" s="25">
        <v>236.8</v>
      </c>
      <c r="Q68" s="1043"/>
      <c r="R68" s="25">
        <v>236.8</v>
      </c>
      <c r="S68" s="25">
        <v>236.8</v>
      </c>
      <c r="T68" s="1043"/>
      <c r="U68" s="641"/>
      <c r="V68" s="25">
        <f>S68</f>
        <v>236.8</v>
      </c>
      <c r="W68" s="25">
        <v>229.09</v>
      </c>
      <c r="X68" s="1043"/>
      <c r="Y68" s="641"/>
      <c r="Z68" s="641"/>
      <c r="AA68" s="641"/>
      <c r="AB68" s="1199"/>
      <c r="AC68" s="641"/>
      <c r="AD68" s="1043"/>
      <c r="AE68" s="641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262</v>
      </c>
      <c r="B69" s="25"/>
      <c r="C69" s="1043"/>
      <c r="D69" s="1043"/>
      <c r="E69" s="1043"/>
      <c r="F69" s="1043"/>
      <c r="G69" s="1043"/>
      <c r="H69" s="1043"/>
      <c r="I69" s="1043"/>
      <c r="J69" s="25"/>
      <c r="K69" s="1043"/>
      <c r="L69" s="1043"/>
      <c r="M69" s="25"/>
      <c r="N69" s="25">
        <v>100.3</v>
      </c>
      <c r="O69" s="25">
        <v>100.3</v>
      </c>
      <c r="P69" s="25">
        <v>100.3</v>
      </c>
      <c r="Q69" s="1043"/>
      <c r="R69" s="25">
        <v>100.3</v>
      </c>
      <c r="S69" s="25">
        <v>100.3</v>
      </c>
      <c r="T69" s="1043"/>
      <c r="U69" s="641"/>
      <c r="V69" s="25">
        <f>S69</f>
        <v>100.3</v>
      </c>
      <c r="W69" s="25">
        <v>87.4</v>
      </c>
      <c r="X69" s="1043"/>
      <c r="Y69" s="641"/>
      <c r="Z69" s="641"/>
      <c r="AA69" s="641"/>
      <c r="AB69" s="1199"/>
      <c r="AC69" s="641"/>
      <c r="AD69" s="1043"/>
      <c r="AE69" s="641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263</v>
      </c>
      <c r="B70" s="25"/>
      <c r="C70" s="1043"/>
      <c r="D70" s="1043"/>
      <c r="E70" s="1043"/>
      <c r="F70" s="1043"/>
      <c r="G70" s="1043"/>
      <c r="H70" s="1043"/>
      <c r="I70" s="1043"/>
      <c r="J70" s="25"/>
      <c r="K70" s="1043"/>
      <c r="L70" s="1043"/>
      <c r="M70" s="25"/>
      <c r="N70" s="25">
        <v>3.6</v>
      </c>
      <c r="O70" s="25">
        <v>3.6</v>
      </c>
      <c r="P70" s="25">
        <v>3.6</v>
      </c>
      <c r="Q70" s="1043"/>
      <c r="R70" s="25">
        <v>3.6</v>
      </c>
      <c r="S70" s="25">
        <v>3.6</v>
      </c>
      <c r="T70" s="1043"/>
      <c r="U70" s="641"/>
      <c r="V70" s="25">
        <f>S70</f>
        <v>3.6</v>
      </c>
      <c r="W70" s="25">
        <v>2.1</v>
      </c>
      <c r="X70" s="1043"/>
      <c r="Y70" s="641"/>
      <c r="Z70" s="641"/>
      <c r="AA70" s="641"/>
      <c r="AB70" s="1199"/>
      <c r="AC70" s="641"/>
      <c r="AD70" s="1043"/>
      <c r="AE70" s="641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1043"/>
      <c r="D71" s="1043"/>
      <c r="E71" s="1043"/>
      <c r="F71" s="1043"/>
      <c r="G71" s="1043"/>
      <c r="H71" s="1043"/>
      <c r="I71" s="1043"/>
      <c r="J71" s="25"/>
      <c r="K71" s="1043"/>
      <c r="L71" s="1043"/>
      <c r="M71" s="25"/>
      <c r="N71" s="3825" t="s">
        <v>274</v>
      </c>
      <c r="O71" s="3826"/>
      <c r="P71" s="3826"/>
      <c r="Q71" s="3858"/>
      <c r="R71" s="3826"/>
      <c r="S71" s="3826"/>
      <c r="T71" s="1075"/>
      <c r="U71" s="663"/>
      <c r="V71" s="3826" t="s">
        <v>275</v>
      </c>
      <c r="W71" s="3826"/>
      <c r="X71" s="1053"/>
      <c r="Y71" s="665"/>
      <c r="Z71" s="665"/>
      <c r="AA71" s="665"/>
      <c r="AB71" s="1200"/>
      <c r="AC71" s="665"/>
      <c r="AD71" s="1044"/>
      <c r="AE71" s="665"/>
      <c r="AF71" s="3827" t="s">
        <v>276</v>
      </c>
      <c r="AG71" s="3827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I122"/>
  <sheetViews>
    <sheetView topLeftCell="A108" workbookViewId="0">
      <selection activeCell="D122" sqref="D122"/>
    </sheetView>
  </sheetViews>
  <sheetFormatPr defaultRowHeight="12.75" x14ac:dyDescent="0.2"/>
  <cols>
    <col min="1" max="1" width="9.42578125" style="2871" customWidth="1"/>
    <col min="2" max="2" width="39.42578125" style="2871" customWidth="1"/>
    <col min="3" max="3" width="39" style="2039" customWidth="1"/>
    <col min="4" max="4" width="11.7109375" style="2039" customWidth="1"/>
    <col min="5" max="5" width="9.140625" style="2039"/>
    <col min="6" max="6" width="10" style="2039" bestFit="1" customWidth="1"/>
    <col min="7" max="7" width="11.5703125" style="2039" customWidth="1"/>
    <col min="8" max="8" width="16.5703125" style="2497" customWidth="1"/>
    <col min="9" max="9" width="26.42578125" style="2871" customWidth="1"/>
    <col min="10" max="256" width="9.140625" style="2871"/>
    <col min="257" max="257" width="9.42578125" style="2871" customWidth="1"/>
    <col min="258" max="258" width="39.42578125" style="2871" customWidth="1"/>
    <col min="259" max="259" width="60.5703125" style="2871" customWidth="1"/>
    <col min="260" max="260" width="11.7109375" style="2871" customWidth="1"/>
    <col min="261" max="261" width="9.140625" style="2871"/>
    <col min="262" max="262" width="9.5703125" style="2871" bestFit="1" customWidth="1"/>
    <col min="263" max="263" width="11.5703125" style="2871" customWidth="1"/>
    <col min="264" max="264" width="16.5703125" style="2871" customWidth="1"/>
    <col min="265" max="265" width="26.42578125" style="2871" customWidth="1"/>
    <col min="266" max="512" width="9.140625" style="2871"/>
    <col min="513" max="513" width="9.42578125" style="2871" customWidth="1"/>
    <col min="514" max="514" width="39.42578125" style="2871" customWidth="1"/>
    <col min="515" max="515" width="60.5703125" style="2871" customWidth="1"/>
    <col min="516" max="516" width="11.7109375" style="2871" customWidth="1"/>
    <col min="517" max="517" width="9.140625" style="2871"/>
    <col min="518" max="518" width="9.5703125" style="2871" bestFit="1" customWidth="1"/>
    <col min="519" max="519" width="11.5703125" style="2871" customWidth="1"/>
    <col min="520" max="520" width="16.5703125" style="2871" customWidth="1"/>
    <col min="521" max="521" width="26.42578125" style="2871" customWidth="1"/>
    <col min="522" max="768" width="9.140625" style="2871"/>
    <col min="769" max="769" width="9.42578125" style="2871" customWidth="1"/>
    <col min="770" max="770" width="39.42578125" style="2871" customWidth="1"/>
    <col min="771" max="771" width="60.5703125" style="2871" customWidth="1"/>
    <col min="772" max="772" width="11.7109375" style="2871" customWidth="1"/>
    <col min="773" max="773" width="9.140625" style="2871"/>
    <col min="774" max="774" width="9.5703125" style="2871" bestFit="1" customWidth="1"/>
    <col min="775" max="775" width="11.5703125" style="2871" customWidth="1"/>
    <col min="776" max="776" width="16.5703125" style="2871" customWidth="1"/>
    <col min="777" max="777" width="26.42578125" style="2871" customWidth="1"/>
    <col min="778" max="1024" width="9.140625" style="2871"/>
    <col min="1025" max="1025" width="9.42578125" style="2871" customWidth="1"/>
    <col min="1026" max="1026" width="39.42578125" style="2871" customWidth="1"/>
    <col min="1027" max="1027" width="60.5703125" style="2871" customWidth="1"/>
    <col min="1028" max="1028" width="11.7109375" style="2871" customWidth="1"/>
    <col min="1029" max="1029" width="9.140625" style="2871"/>
    <col min="1030" max="1030" width="9.5703125" style="2871" bestFit="1" customWidth="1"/>
    <col min="1031" max="1031" width="11.5703125" style="2871" customWidth="1"/>
    <col min="1032" max="1032" width="16.5703125" style="2871" customWidth="1"/>
    <col min="1033" max="1033" width="26.42578125" style="2871" customWidth="1"/>
    <col min="1034" max="1280" width="9.140625" style="2871"/>
    <col min="1281" max="1281" width="9.42578125" style="2871" customWidth="1"/>
    <col min="1282" max="1282" width="39.42578125" style="2871" customWidth="1"/>
    <col min="1283" max="1283" width="60.5703125" style="2871" customWidth="1"/>
    <col min="1284" max="1284" width="11.7109375" style="2871" customWidth="1"/>
    <col min="1285" max="1285" width="9.140625" style="2871"/>
    <col min="1286" max="1286" width="9.5703125" style="2871" bestFit="1" customWidth="1"/>
    <col min="1287" max="1287" width="11.5703125" style="2871" customWidth="1"/>
    <col min="1288" max="1288" width="16.5703125" style="2871" customWidth="1"/>
    <col min="1289" max="1289" width="26.42578125" style="2871" customWidth="1"/>
    <col min="1290" max="1536" width="9.140625" style="2871"/>
    <col min="1537" max="1537" width="9.42578125" style="2871" customWidth="1"/>
    <col min="1538" max="1538" width="39.42578125" style="2871" customWidth="1"/>
    <col min="1539" max="1539" width="60.5703125" style="2871" customWidth="1"/>
    <col min="1540" max="1540" width="11.7109375" style="2871" customWidth="1"/>
    <col min="1541" max="1541" width="9.140625" style="2871"/>
    <col min="1542" max="1542" width="9.5703125" style="2871" bestFit="1" customWidth="1"/>
    <col min="1543" max="1543" width="11.5703125" style="2871" customWidth="1"/>
    <col min="1544" max="1544" width="16.5703125" style="2871" customWidth="1"/>
    <col min="1545" max="1545" width="26.42578125" style="2871" customWidth="1"/>
    <col min="1546" max="1792" width="9.140625" style="2871"/>
    <col min="1793" max="1793" width="9.42578125" style="2871" customWidth="1"/>
    <col min="1794" max="1794" width="39.42578125" style="2871" customWidth="1"/>
    <col min="1795" max="1795" width="60.5703125" style="2871" customWidth="1"/>
    <col min="1796" max="1796" width="11.7109375" style="2871" customWidth="1"/>
    <col min="1797" max="1797" width="9.140625" style="2871"/>
    <col min="1798" max="1798" width="9.5703125" style="2871" bestFit="1" customWidth="1"/>
    <col min="1799" max="1799" width="11.5703125" style="2871" customWidth="1"/>
    <col min="1800" max="1800" width="16.5703125" style="2871" customWidth="1"/>
    <col min="1801" max="1801" width="26.42578125" style="2871" customWidth="1"/>
    <col min="1802" max="2048" width="9.140625" style="2871"/>
    <col min="2049" max="2049" width="9.42578125" style="2871" customWidth="1"/>
    <col min="2050" max="2050" width="39.42578125" style="2871" customWidth="1"/>
    <col min="2051" max="2051" width="60.5703125" style="2871" customWidth="1"/>
    <col min="2052" max="2052" width="11.7109375" style="2871" customWidth="1"/>
    <col min="2053" max="2053" width="9.140625" style="2871"/>
    <col min="2054" max="2054" width="9.5703125" style="2871" bestFit="1" customWidth="1"/>
    <col min="2055" max="2055" width="11.5703125" style="2871" customWidth="1"/>
    <col min="2056" max="2056" width="16.5703125" style="2871" customWidth="1"/>
    <col min="2057" max="2057" width="26.42578125" style="2871" customWidth="1"/>
    <col min="2058" max="2304" width="9.140625" style="2871"/>
    <col min="2305" max="2305" width="9.42578125" style="2871" customWidth="1"/>
    <col min="2306" max="2306" width="39.42578125" style="2871" customWidth="1"/>
    <col min="2307" max="2307" width="60.5703125" style="2871" customWidth="1"/>
    <col min="2308" max="2308" width="11.7109375" style="2871" customWidth="1"/>
    <col min="2309" max="2309" width="9.140625" style="2871"/>
    <col min="2310" max="2310" width="9.5703125" style="2871" bestFit="1" customWidth="1"/>
    <col min="2311" max="2311" width="11.5703125" style="2871" customWidth="1"/>
    <col min="2312" max="2312" width="16.5703125" style="2871" customWidth="1"/>
    <col min="2313" max="2313" width="26.42578125" style="2871" customWidth="1"/>
    <col min="2314" max="2560" width="9.140625" style="2871"/>
    <col min="2561" max="2561" width="9.42578125" style="2871" customWidth="1"/>
    <col min="2562" max="2562" width="39.42578125" style="2871" customWidth="1"/>
    <col min="2563" max="2563" width="60.5703125" style="2871" customWidth="1"/>
    <col min="2564" max="2564" width="11.7109375" style="2871" customWidth="1"/>
    <col min="2565" max="2565" width="9.140625" style="2871"/>
    <col min="2566" max="2566" width="9.5703125" style="2871" bestFit="1" customWidth="1"/>
    <col min="2567" max="2567" width="11.5703125" style="2871" customWidth="1"/>
    <col min="2568" max="2568" width="16.5703125" style="2871" customWidth="1"/>
    <col min="2569" max="2569" width="26.42578125" style="2871" customWidth="1"/>
    <col min="2570" max="2816" width="9.140625" style="2871"/>
    <col min="2817" max="2817" width="9.42578125" style="2871" customWidth="1"/>
    <col min="2818" max="2818" width="39.42578125" style="2871" customWidth="1"/>
    <col min="2819" max="2819" width="60.5703125" style="2871" customWidth="1"/>
    <col min="2820" max="2820" width="11.7109375" style="2871" customWidth="1"/>
    <col min="2821" max="2821" width="9.140625" style="2871"/>
    <col min="2822" max="2822" width="9.5703125" style="2871" bestFit="1" customWidth="1"/>
    <col min="2823" max="2823" width="11.5703125" style="2871" customWidth="1"/>
    <col min="2824" max="2824" width="16.5703125" style="2871" customWidth="1"/>
    <col min="2825" max="2825" width="26.42578125" style="2871" customWidth="1"/>
    <col min="2826" max="3072" width="9.140625" style="2871"/>
    <col min="3073" max="3073" width="9.42578125" style="2871" customWidth="1"/>
    <col min="3074" max="3074" width="39.42578125" style="2871" customWidth="1"/>
    <col min="3075" max="3075" width="60.5703125" style="2871" customWidth="1"/>
    <col min="3076" max="3076" width="11.7109375" style="2871" customWidth="1"/>
    <col min="3077" max="3077" width="9.140625" style="2871"/>
    <col min="3078" max="3078" width="9.5703125" style="2871" bestFit="1" customWidth="1"/>
    <col min="3079" max="3079" width="11.5703125" style="2871" customWidth="1"/>
    <col min="3080" max="3080" width="16.5703125" style="2871" customWidth="1"/>
    <col min="3081" max="3081" width="26.42578125" style="2871" customWidth="1"/>
    <col min="3082" max="3328" width="9.140625" style="2871"/>
    <col min="3329" max="3329" width="9.42578125" style="2871" customWidth="1"/>
    <col min="3330" max="3330" width="39.42578125" style="2871" customWidth="1"/>
    <col min="3331" max="3331" width="60.5703125" style="2871" customWidth="1"/>
    <col min="3332" max="3332" width="11.7109375" style="2871" customWidth="1"/>
    <col min="3333" max="3333" width="9.140625" style="2871"/>
    <col min="3334" max="3334" width="9.5703125" style="2871" bestFit="1" customWidth="1"/>
    <col min="3335" max="3335" width="11.5703125" style="2871" customWidth="1"/>
    <col min="3336" max="3336" width="16.5703125" style="2871" customWidth="1"/>
    <col min="3337" max="3337" width="26.42578125" style="2871" customWidth="1"/>
    <col min="3338" max="3584" width="9.140625" style="2871"/>
    <col min="3585" max="3585" width="9.42578125" style="2871" customWidth="1"/>
    <col min="3586" max="3586" width="39.42578125" style="2871" customWidth="1"/>
    <col min="3587" max="3587" width="60.5703125" style="2871" customWidth="1"/>
    <col min="3588" max="3588" width="11.7109375" style="2871" customWidth="1"/>
    <col min="3589" max="3589" width="9.140625" style="2871"/>
    <col min="3590" max="3590" width="9.5703125" style="2871" bestFit="1" customWidth="1"/>
    <col min="3591" max="3591" width="11.5703125" style="2871" customWidth="1"/>
    <col min="3592" max="3592" width="16.5703125" style="2871" customWidth="1"/>
    <col min="3593" max="3593" width="26.42578125" style="2871" customWidth="1"/>
    <col min="3594" max="3840" width="9.140625" style="2871"/>
    <col min="3841" max="3841" width="9.42578125" style="2871" customWidth="1"/>
    <col min="3842" max="3842" width="39.42578125" style="2871" customWidth="1"/>
    <col min="3843" max="3843" width="60.5703125" style="2871" customWidth="1"/>
    <col min="3844" max="3844" width="11.7109375" style="2871" customWidth="1"/>
    <col min="3845" max="3845" width="9.140625" style="2871"/>
    <col min="3846" max="3846" width="9.5703125" style="2871" bestFit="1" customWidth="1"/>
    <col min="3847" max="3847" width="11.5703125" style="2871" customWidth="1"/>
    <col min="3848" max="3848" width="16.5703125" style="2871" customWidth="1"/>
    <col min="3849" max="3849" width="26.42578125" style="2871" customWidth="1"/>
    <col min="3850" max="4096" width="9.140625" style="2871"/>
    <col min="4097" max="4097" width="9.42578125" style="2871" customWidth="1"/>
    <col min="4098" max="4098" width="39.42578125" style="2871" customWidth="1"/>
    <col min="4099" max="4099" width="60.5703125" style="2871" customWidth="1"/>
    <col min="4100" max="4100" width="11.7109375" style="2871" customWidth="1"/>
    <col min="4101" max="4101" width="9.140625" style="2871"/>
    <col min="4102" max="4102" width="9.5703125" style="2871" bestFit="1" customWidth="1"/>
    <col min="4103" max="4103" width="11.5703125" style="2871" customWidth="1"/>
    <col min="4104" max="4104" width="16.5703125" style="2871" customWidth="1"/>
    <col min="4105" max="4105" width="26.42578125" style="2871" customWidth="1"/>
    <col min="4106" max="4352" width="9.140625" style="2871"/>
    <col min="4353" max="4353" width="9.42578125" style="2871" customWidth="1"/>
    <col min="4354" max="4354" width="39.42578125" style="2871" customWidth="1"/>
    <col min="4355" max="4355" width="60.5703125" style="2871" customWidth="1"/>
    <col min="4356" max="4356" width="11.7109375" style="2871" customWidth="1"/>
    <col min="4357" max="4357" width="9.140625" style="2871"/>
    <col min="4358" max="4358" width="9.5703125" style="2871" bestFit="1" customWidth="1"/>
    <col min="4359" max="4359" width="11.5703125" style="2871" customWidth="1"/>
    <col min="4360" max="4360" width="16.5703125" style="2871" customWidth="1"/>
    <col min="4361" max="4361" width="26.42578125" style="2871" customWidth="1"/>
    <col min="4362" max="4608" width="9.140625" style="2871"/>
    <col min="4609" max="4609" width="9.42578125" style="2871" customWidth="1"/>
    <col min="4610" max="4610" width="39.42578125" style="2871" customWidth="1"/>
    <col min="4611" max="4611" width="60.5703125" style="2871" customWidth="1"/>
    <col min="4612" max="4612" width="11.7109375" style="2871" customWidth="1"/>
    <col min="4613" max="4613" width="9.140625" style="2871"/>
    <col min="4614" max="4614" width="9.5703125" style="2871" bestFit="1" customWidth="1"/>
    <col min="4615" max="4615" width="11.5703125" style="2871" customWidth="1"/>
    <col min="4616" max="4616" width="16.5703125" style="2871" customWidth="1"/>
    <col min="4617" max="4617" width="26.42578125" style="2871" customWidth="1"/>
    <col min="4618" max="4864" width="9.140625" style="2871"/>
    <col min="4865" max="4865" width="9.42578125" style="2871" customWidth="1"/>
    <col min="4866" max="4866" width="39.42578125" style="2871" customWidth="1"/>
    <col min="4867" max="4867" width="60.5703125" style="2871" customWidth="1"/>
    <col min="4868" max="4868" width="11.7109375" style="2871" customWidth="1"/>
    <col min="4869" max="4869" width="9.140625" style="2871"/>
    <col min="4870" max="4870" width="9.5703125" style="2871" bestFit="1" customWidth="1"/>
    <col min="4871" max="4871" width="11.5703125" style="2871" customWidth="1"/>
    <col min="4872" max="4872" width="16.5703125" style="2871" customWidth="1"/>
    <col min="4873" max="4873" width="26.42578125" style="2871" customWidth="1"/>
    <col min="4874" max="5120" width="9.140625" style="2871"/>
    <col min="5121" max="5121" width="9.42578125" style="2871" customWidth="1"/>
    <col min="5122" max="5122" width="39.42578125" style="2871" customWidth="1"/>
    <col min="5123" max="5123" width="60.5703125" style="2871" customWidth="1"/>
    <col min="5124" max="5124" width="11.7109375" style="2871" customWidth="1"/>
    <col min="5125" max="5125" width="9.140625" style="2871"/>
    <col min="5126" max="5126" width="9.5703125" style="2871" bestFit="1" customWidth="1"/>
    <col min="5127" max="5127" width="11.5703125" style="2871" customWidth="1"/>
    <col min="5128" max="5128" width="16.5703125" style="2871" customWidth="1"/>
    <col min="5129" max="5129" width="26.42578125" style="2871" customWidth="1"/>
    <col min="5130" max="5376" width="9.140625" style="2871"/>
    <col min="5377" max="5377" width="9.42578125" style="2871" customWidth="1"/>
    <col min="5378" max="5378" width="39.42578125" style="2871" customWidth="1"/>
    <col min="5379" max="5379" width="60.5703125" style="2871" customWidth="1"/>
    <col min="5380" max="5380" width="11.7109375" style="2871" customWidth="1"/>
    <col min="5381" max="5381" width="9.140625" style="2871"/>
    <col min="5382" max="5382" width="9.5703125" style="2871" bestFit="1" customWidth="1"/>
    <col min="5383" max="5383" width="11.5703125" style="2871" customWidth="1"/>
    <col min="5384" max="5384" width="16.5703125" style="2871" customWidth="1"/>
    <col min="5385" max="5385" width="26.42578125" style="2871" customWidth="1"/>
    <col min="5386" max="5632" width="9.140625" style="2871"/>
    <col min="5633" max="5633" width="9.42578125" style="2871" customWidth="1"/>
    <col min="5634" max="5634" width="39.42578125" style="2871" customWidth="1"/>
    <col min="5635" max="5635" width="60.5703125" style="2871" customWidth="1"/>
    <col min="5636" max="5636" width="11.7109375" style="2871" customWidth="1"/>
    <col min="5637" max="5637" width="9.140625" style="2871"/>
    <col min="5638" max="5638" width="9.5703125" style="2871" bestFit="1" customWidth="1"/>
    <col min="5639" max="5639" width="11.5703125" style="2871" customWidth="1"/>
    <col min="5640" max="5640" width="16.5703125" style="2871" customWidth="1"/>
    <col min="5641" max="5641" width="26.42578125" style="2871" customWidth="1"/>
    <col min="5642" max="5888" width="9.140625" style="2871"/>
    <col min="5889" max="5889" width="9.42578125" style="2871" customWidth="1"/>
    <col min="5890" max="5890" width="39.42578125" style="2871" customWidth="1"/>
    <col min="5891" max="5891" width="60.5703125" style="2871" customWidth="1"/>
    <col min="5892" max="5892" width="11.7109375" style="2871" customWidth="1"/>
    <col min="5893" max="5893" width="9.140625" style="2871"/>
    <col min="5894" max="5894" width="9.5703125" style="2871" bestFit="1" customWidth="1"/>
    <col min="5895" max="5895" width="11.5703125" style="2871" customWidth="1"/>
    <col min="5896" max="5896" width="16.5703125" style="2871" customWidth="1"/>
    <col min="5897" max="5897" width="26.42578125" style="2871" customWidth="1"/>
    <col min="5898" max="6144" width="9.140625" style="2871"/>
    <col min="6145" max="6145" width="9.42578125" style="2871" customWidth="1"/>
    <col min="6146" max="6146" width="39.42578125" style="2871" customWidth="1"/>
    <col min="6147" max="6147" width="60.5703125" style="2871" customWidth="1"/>
    <col min="6148" max="6148" width="11.7109375" style="2871" customWidth="1"/>
    <col min="6149" max="6149" width="9.140625" style="2871"/>
    <col min="6150" max="6150" width="9.5703125" style="2871" bestFit="1" customWidth="1"/>
    <col min="6151" max="6151" width="11.5703125" style="2871" customWidth="1"/>
    <col min="6152" max="6152" width="16.5703125" style="2871" customWidth="1"/>
    <col min="6153" max="6153" width="26.42578125" style="2871" customWidth="1"/>
    <col min="6154" max="6400" width="9.140625" style="2871"/>
    <col min="6401" max="6401" width="9.42578125" style="2871" customWidth="1"/>
    <col min="6402" max="6402" width="39.42578125" style="2871" customWidth="1"/>
    <col min="6403" max="6403" width="60.5703125" style="2871" customWidth="1"/>
    <col min="6404" max="6404" width="11.7109375" style="2871" customWidth="1"/>
    <col min="6405" max="6405" width="9.140625" style="2871"/>
    <col min="6406" max="6406" width="9.5703125" style="2871" bestFit="1" customWidth="1"/>
    <col min="6407" max="6407" width="11.5703125" style="2871" customWidth="1"/>
    <col min="6408" max="6408" width="16.5703125" style="2871" customWidth="1"/>
    <col min="6409" max="6409" width="26.42578125" style="2871" customWidth="1"/>
    <col min="6410" max="6656" width="9.140625" style="2871"/>
    <col min="6657" max="6657" width="9.42578125" style="2871" customWidth="1"/>
    <col min="6658" max="6658" width="39.42578125" style="2871" customWidth="1"/>
    <col min="6659" max="6659" width="60.5703125" style="2871" customWidth="1"/>
    <col min="6660" max="6660" width="11.7109375" style="2871" customWidth="1"/>
    <col min="6661" max="6661" width="9.140625" style="2871"/>
    <col min="6662" max="6662" width="9.5703125" style="2871" bestFit="1" customWidth="1"/>
    <col min="6663" max="6663" width="11.5703125" style="2871" customWidth="1"/>
    <col min="6664" max="6664" width="16.5703125" style="2871" customWidth="1"/>
    <col min="6665" max="6665" width="26.42578125" style="2871" customWidth="1"/>
    <col min="6666" max="6912" width="9.140625" style="2871"/>
    <col min="6913" max="6913" width="9.42578125" style="2871" customWidth="1"/>
    <col min="6914" max="6914" width="39.42578125" style="2871" customWidth="1"/>
    <col min="6915" max="6915" width="60.5703125" style="2871" customWidth="1"/>
    <col min="6916" max="6916" width="11.7109375" style="2871" customWidth="1"/>
    <col min="6917" max="6917" width="9.140625" style="2871"/>
    <col min="6918" max="6918" width="9.5703125" style="2871" bestFit="1" customWidth="1"/>
    <col min="6919" max="6919" width="11.5703125" style="2871" customWidth="1"/>
    <col min="6920" max="6920" width="16.5703125" style="2871" customWidth="1"/>
    <col min="6921" max="6921" width="26.42578125" style="2871" customWidth="1"/>
    <col min="6922" max="7168" width="9.140625" style="2871"/>
    <col min="7169" max="7169" width="9.42578125" style="2871" customWidth="1"/>
    <col min="7170" max="7170" width="39.42578125" style="2871" customWidth="1"/>
    <col min="7171" max="7171" width="60.5703125" style="2871" customWidth="1"/>
    <col min="7172" max="7172" width="11.7109375" style="2871" customWidth="1"/>
    <col min="7173" max="7173" width="9.140625" style="2871"/>
    <col min="7174" max="7174" width="9.5703125" style="2871" bestFit="1" customWidth="1"/>
    <col min="7175" max="7175" width="11.5703125" style="2871" customWidth="1"/>
    <col min="7176" max="7176" width="16.5703125" style="2871" customWidth="1"/>
    <col min="7177" max="7177" width="26.42578125" style="2871" customWidth="1"/>
    <col min="7178" max="7424" width="9.140625" style="2871"/>
    <col min="7425" max="7425" width="9.42578125" style="2871" customWidth="1"/>
    <col min="7426" max="7426" width="39.42578125" style="2871" customWidth="1"/>
    <col min="7427" max="7427" width="60.5703125" style="2871" customWidth="1"/>
    <col min="7428" max="7428" width="11.7109375" style="2871" customWidth="1"/>
    <col min="7429" max="7429" width="9.140625" style="2871"/>
    <col min="7430" max="7430" width="9.5703125" style="2871" bestFit="1" customWidth="1"/>
    <col min="7431" max="7431" width="11.5703125" style="2871" customWidth="1"/>
    <col min="7432" max="7432" width="16.5703125" style="2871" customWidth="1"/>
    <col min="7433" max="7433" width="26.42578125" style="2871" customWidth="1"/>
    <col min="7434" max="7680" width="9.140625" style="2871"/>
    <col min="7681" max="7681" width="9.42578125" style="2871" customWidth="1"/>
    <col min="7682" max="7682" width="39.42578125" style="2871" customWidth="1"/>
    <col min="7683" max="7683" width="60.5703125" style="2871" customWidth="1"/>
    <col min="7684" max="7684" width="11.7109375" style="2871" customWidth="1"/>
    <col min="7685" max="7685" width="9.140625" style="2871"/>
    <col min="7686" max="7686" width="9.5703125" style="2871" bestFit="1" customWidth="1"/>
    <col min="7687" max="7687" width="11.5703125" style="2871" customWidth="1"/>
    <col min="7688" max="7688" width="16.5703125" style="2871" customWidth="1"/>
    <col min="7689" max="7689" width="26.42578125" style="2871" customWidth="1"/>
    <col min="7690" max="7936" width="9.140625" style="2871"/>
    <col min="7937" max="7937" width="9.42578125" style="2871" customWidth="1"/>
    <col min="7938" max="7938" width="39.42578125" style="2871" customWidth="1"/>
    <col min="7939" max="7939" width="60.5703125" style="2871" customWidth="1"/>
    <col min="7940" max="7940" width="11.7109375" style="2871" customWidth="1"/>
    <col min="7941" max="7941" width="9.140625" style="2871"/>
    <col min="7942" max="7942" width="9.5703125" style="2871" bestFit="1" customWidth="1"/>
    <col min="7943" max="7943" width="11.5703125" style="2871" customWidth="1"/>
    <col min="7944" max="7944" width="16.5703125" style="2871" customWidth="1"/>
    <col min="7945" max="7945" width="26.42578125" style="2871" customWidth="1"/>
    <col min="7946" max="8192" width="9.140625" style="2871"/>
    <col min="8193" max="8193" width="9.42578125" style="2871" customWidth="1"/>
    <col min="8194" max="8194" width="39.42578125" style="2871" customWidth="1"/>
    <col min="8195" max="8195" width="60.5703125" style="2871" customWidth="1"/>
    <col min="8196" max="8196" width="11.7109375" style="2871" customWidth="1"/>
    <col min="8197" max="8197" width="9.140625" style="2871"/>
    <col min="8198" max="8198" width="9.5703125" style="2871" bestFit="1" customWidth="1"/>
    <col min="8199" max="8199" width="11.5703125" style="2871" customWidth="1"/>
    <col min="8200" max="8200" width="16.5703125" style="2871" customWidth="1"/>
    <col min="8201" max="8201" width="26.42578125" style="2871" customWidth="1"/>
    <col min="8202" max="8448" width="9.140625" style="2871"/>
    <col min="8449" max="8449" width="9.42578125" style="2871" customWidth="1"/>
    <col min="8450" max="8450" width="39.42578125" style="2871" customWidth="1"/>
    <col min="8451" max="8451" width="60.5703125" style="2871" customWidth="1"/>
    <col min="8452" max="8452" width="11.7109375" style="2871" customWidth="1"/>
    <col min="8453" max="8453" width="9.140625" style="2871"/>
    <col min="8454" max="8454" width="9.5703125" style="2871" bestFit="1" customWidth="1"/>
    <col min="8455" max="8455" width="11.5703125" style="2871" customWidth="1"/>
    <col min="8456" max="8456" width="16.5703125" style="2871" customWidth="1"/>
    <col min="8457" max="8457" width="26.42578125" style="2871" customWidth="1"/>
    <col min="8458" max="8704" width="9.140625" style="2871"/>
    <col min="8705" max="8705" width="9.42578125" style="2871" customWidth="1"/>
    <col min="8706" max="8706" width="39.42578125" style="2871" customWidth="1"/>
    <col min="8707" max="8707" width="60.5703125" style="2871" customWidth="1"/>
    <col min="8708" max="8708" width="11.7109375" style="2871" customWidth="1"/>
    <col min="8709" max="8709" width="9.140625" style="2871"/>
    <col min="8710" max="8710" width="9.5703125" style="2871" bestFit="1" customWidth="1"/>
    <col min="8711" max="8711" width="11.5703125" style="2871" customWidth="1"/>
    <col min="8712" max="8712" width="16.5703125" style="2871" customWidth="1"/>
    <col min="8713" max="8713" width="26.42578125" style="2871" customWidth="1"/>
    <col min="8714" max="8960" width="9.140625" style="2871"/>
    <col min="8961" max="8961" width="9.42578125" style="2871" customWidth="1"/>
    <col min="8962" max="8962" width="39.42578125" style="2871" customWidth="1"/>
    <col min="8963" max="8963" width="60.5703125" style="2871" customWidth="1"/>
    <col min="8964" max="8964" width="11.7109375" style="2871" customWidth="1"/>
    <col min="8965" max="8965" width="9.140625" style="2871"/>
    <col min="8966" max="8966" width="9.5703125" style="2871" bestFit="1" customWidth="1"/>
    <col min="8967" max="8967" width="11.5703125" style="2871" customWidth="1"/>
    <col min="8968" max="8968" width="16.5703125" style="2871" customWidth="1"/>
    <col min="8969" max="8969" width="26.42578125" style="2871" customWidth="1"/>
    <col min="8970" max="9216" width="9.140625" style="2871"/>
    <col min="9217" max="9217" width="9.42578125" style="2871" customWidth="1"/>
    <col min="9218" max="9218" width="39.42578125" style="2871" customWidth="1"/>
    <col min="9219" max="9219" width="60.5703125" style="2871" customWidth="1"/>
    <col min="9220" max="9220" width="11.7109375" style="2871" customWidth="1"/>
    <col min="9221" max="9221" width="9.140625" style="2871"/>
    <col min="9222" max="9222" width="9.5703125" style="2871" bestFit="1" customWidth="1"/>
    <col min="9223" max="9223" width="11.5703125" style="2871" customWidth="1"/>
    <col min="9224" max="9224" width="16.5703125" style="2871" customWidth="1"/>
    <col min="9225" max="9225" width="26.42578125" style="2871" customWidth="1"/>
    <col min="9226" max="9472" width="9.140625" style="2871"/>
    <col min="9473" max="9473" width="9.42578125" style="2871" customWidth="1"/>
    <col min="9474" max="9474" width="39.42578125" style="2871" customWidth="1"/>
    <col min="9475" max="9475" width="60.5703125" style="2871" customWidth="1"/>
    <col min="9476" max="9476" width="11.7109375" style="2871" customWidth="1"/>
    <col min="9477" max="9477" width="9.140625" style="2871"/>
    <col min="9478" max="9478" width="9.5703125" style="2871" bestFit="1" customWidth="1"/>
    <col min="9479" max="9479" width="11.5703125" style="2871" customWidth="1"/>
    <col min="9480" max="9480" width="16.5703125" style="2871" customWidth="1"/>
    <col min="9481" max="9481" width="26.42578125" style="2871" customWidth="1"/>
    <col min="9482" max="9728" width="9.140625" style="2871"/>
    <col min="9729" max="9729" width="9.42578125" style="2871" customWidth="1"/>
    <col min="9730" max="9730" width="39.42578125" style="2871" customWidth="1"/>
    <col min="9731" max="9731" width="60.5703125" style="2871" customWidth="1"/>
    <col min="9732" max="9732" width="11.7109375" style="2871" customWidth="1"/>
    <col min="9733" max="9733" width="9.140625" style="2871"/>
    <col min="9734" max="9734" width="9.5703125" style="2871" bestFit="1" customWidth="1"/>
    <col min="9735" max="9735" width="11.5703125" style="2871" customWidth="1"/>
    <col min="9736" max="9736" width="16.5703125" style="2871" customWidth="1"/>
    <col min="9737" max="9737" width="26.42578125" style="2871" customWidth="1"/>
    <col min="9738" max="9984" width="9.140625" style="2871"/>
    <col min="9985" max="9985" width="9.42578125" style="2871" customWidth="1"/>
    <col min="9986" max="9986" width="39.42578125" style="2871" customWidth="1"/>
    <col min="9987" max="9987" width="60.5703125" style="2871" customWidth="1"/>
    <col min="9988" max="9988" width="11.7109375" style="2871" customWidth="1"/>
    <col min="9989" max="9989" width="9.140625" style="2871"/>
    <col min="9990" max="9990" width="9.5703125" style="2871" bestFit="1" customWidth="1"/>
    <col min="9991" max="9991" width="11.5703125" style="2871" customWidth="1"/>
    <col min="9992" max="9992" width="16.5703125" style="2871" customWidth="1"/>
    <col min="9993" max="9993" width="26.42578125" style="2871" customWidth="1"/>
    <col min="9994" max="10240" width="9.140625" style="2871"/>
    <col min="10241" max="10241" width="9.42578125" style="2871" customWidth="1"/>
    <col min="10242" max="10242" width="39.42578125" style="2871" customWidth="1"/>
    <col min="10243" max="10243" width="60.5703125" style="2871" customWidth="1"/>
    <col min="10244" max="10244" width="11.7109375" style="2871" customWidth="1"/>
    <col min="10245" max="10245" width="9.140625" style="2871"/>
    <col min="10246" max="10246" width="9.5703125" style="2871" bestFit="1" customWidth="1"/>
    <col min="10247" max="10247" width="11.5703125" style="2871" customWidth="1"/>
    <col min="10248" max="10248" width="16.5703125" style="2871" customWidth="1"/>
    <col min="10249" max="10249" width="26.42578125" style="2871" customWidth="1"/>
    <col min="10250" max="10496" width="9.140625" style="2871"/>
    <col min="10497" max="10497" width="9.42578125" style="2871" customWidth="1"/>
    <col min="10498" max="10498" width="39.42578125" style="2871" customWidth="1"/>
    <col min="10499" max="10499" width="60.5703125" style="2871" customWidth="1"/>
    <col min="10500" max="10500" width="11.7109375" style="2871" customWidth="1"/>
    <col min="10501" max="10501" width="9.140625" style="2871"/>
    <col min="10502" max="10502" width="9.5703125" style="2871" bestFit="1" customWidth="1"/>
    <col min="10503" max="10503" width="11.5703125" style="2871" customWidth="1"/>
    <col min="10504" max="10504" width="16.5703125" style="2871" customWidth="1"/>
    <col min="10505" max="10505" width="26.42578125" style="2871" customWidth="1"/>
    <col min="10506" max="10752" width="9.140625" style="2871"/>
    <col min="10753" max="10753" width="9.42578125" style="2871" customWidth="1"/>
    <col min="10754" max="10754" width="39.42578125" style="2871" customWidth="1"/>
    <col min="10755" max="10755" width="60.5703125" style="2871" customWidth="1"/>
    <col min="10756" max="10756" width="11.7109375" style="2871" customWidth="1"/>
    <col min="10757" max="10757" width="9.140625" style="2871"/>
    <col min="10758" max="10758" width="9.5703125" style="2871" bestFit="1" customWidth="1"/>
    <col min="10759" max="10759" width="11.5703125" style="2871" customWidth="1"/>
    <col min="10760" max="10760" width="16.5703125" style="2871" customWidth="1"/>
    <col min="10761" max="10761" width="26.42578125" style="2871" customWidth="1"/>
    <col min="10762" max="11008" width="9.140625" style="2871"/>
    <col min="11009" max="11009" width="9.42578125" style="2871" customWidth="1"/>
    <col min="11010" max="11010" width="39.42578125" style="2871" customWidth="1"/>
    <col min="11011" max="11011" width="60.5703125" style="2871" customWidth="1"/>
    <col min="11012" max="11012" width="11.7109375" style="2871" customWidth="1"/>
    <col min="11013" max="11013" width="9.140625" style="2871"/>
    <col min="11014" max="11014" width="9.5703125" style="2871" bestFit="1" customWidth="1"/>
    <col min="11015" max="11015" width="11.5703125" style="2871" customWidth="1"/>
    <col min="11016" max="11016" width="16.5703125" style="2871" customWidth="1"/>
    <col min="11017" max="11017" width="26.42578125" style="2871" customWidth="1"/>
    <col min="11018" max="11264" width="9.140625" style="2871"/>
    <col min="11265" max="11265" width="9.42578125" style="2871" customWidth="1"/>
    <col min="11266" max="11266" width="39.42578125" style="2871" customWidth="1"/>
    <col min="11267" max="11267" width="60.5703125" style="2871" customWidth="1"/>
    <col min="11268" max="11268" width="11.7109375" style="2871" customWidth="1"/>
    <col min="11269" max="11269" width="9.140625" style="2871"/>
    <col min="11270" max="11270" width="9.5703125" style="2871" bestFit="1" customWidth="1"/>
    <col min="11271" max="11271" width="11.5703125" style="2871" customWidth="1"/>
    <col min="11272" max="11272" width="16.5703125" style="2871" customWidth="1"/>
    <col min="11273" max="11273" width="26.42578125" style="2871" customWidth="1"/>
    <col min="11274" max="11520" width="9.140625" style="2871"/>
    <col min="11521" max="11521" width="9.42578125" style="2871" customWidth="1"/>
    <col min="11522" max="11522" width="39.42578125" style="2871" customWidth="1"/>
    <col min="11523" max="11523" width="60.5703125" style="2871" customWidth="1"/>
    <col min="11524" max="11524" width="11.7109375" style="2871" customWidth="1"/>
    <col min="11525" max="11525" width="9.140625" style="2871"/>
    <col min="11526" max="11526" width="9.5703125" style="2871" bestFit="1" customWidth="1"/>
    <col min="11527" max="11527" width="11.5703125" style="2871" customWidth="1"/>
    <col min="11528" max="11528" width="16.5703125" style="2871" customWidth="1"/>
    <col min="11529" max="11529" width="26.42578125" style="2871" customWidth="1"/>
    <col min="11530" max="11776" width="9.140625" style="2871"/>
    <col min="11777" max="11777" width="9.42578125" style="2871" customWidth="1"/>
    <col min="11778" max="11778" width="39.42578125" style="2871" customWidth="1"/>
    <col min="11779" max="11779" width="60.5703125" style="2871" customWidth="1"/>
    <col min="11780" max="11780" width="11.7109375" style="2871" customWidth="1"/>
    <col min="11781" max="11781" width="9.140625" style="2871"/>
    <col min="11782" max="11782" width="9.5703125" style="2871" bestFit="1" customWidth="1"/>
    <col min="11783" max="11783" width="11.5703125" style="2871" customWidth="1"/>
    <col min="11784" max="11784" width="16.5703125" style="2871" customWidth="1"/>
    <col min="11785" max="11785" width="26.42578125" style="2871" customWidth="1"/>
    <col min="11786" max="12032" width="9.140625" style="2871"/>
    <col min="12033" max="12033" width="9.42578125" style="2871" customWidth="1"/>
    <col min="12034" max="12034" width="39.42578125" style="2871" customWidth="1"/>
    <col min="12035" max="12035" width="60.5703125" style="2871" customWidth="1"/>
    <col min="12036" max="12036" width="11.7109375" style="2871" customWidth="1"/>
    <col min="12037" max="12037" width="9.140625" style="2871"/>
    <col min="12038" max="12038" width="9.5703125" style="2871" bestFit="1" customWidth="1"/>
    <col min="12039" max="12039" width="11.5703125" style="2871" customWidth="1"/>
    <col min="12040" max="12040" width="16.5703125" style="2871" customWidth="1"/>
    <col min="12041" max="12041" width="26.42578125" style="2871" customWidth="1"/>
    <col min="12042" max="12288" width="9.140625" style="2871"/>
    <col min="12289" max="12289" width="9.42578125" style="2871" customWidth="1"/>
    <col min="12290" max="12290" width="39.42578125" style="2871" customWidth="1"/>
    <col min="12291" max="12291" width="60.5703125" style="2871" customWidth="1"/>
    <col min="12292" max="12292" width="11.7109375" style="2871" customWidth="1"/>
    <col min="12293" max="12293" width="9.140625" style="2871"/>
    <col min="12294" max="12294" width="9.5703125" style="2871" bestFit="1" customWidth="1"/>
    <col min="12295" max="12295" width="11.5703125" style="2871" customWidth="1"/>
    <col min="12296" max="12296" width="16.5703125" style="2871" customWidth="1"/>
    <col min="12297" max="12297" width="26.42578125" style="2871" customWidth="1"/>
    <col min="12298" max="12544" width="9.140625" style="2871"/>
    <col min="12545" max="12545" width="9.42578125" style="2871" customWidth="1"/>
    <col min="12546" max="12546" width="39.42578125" style="2871" customWidth="1"/>
    <col min="12547" max="12547" width="60.5703125" style="2871" customWidth="1"/>
    <col min="12548" max="12548" width="11.7109375" style="2871" customWidth="1"/>
    <col min="12549" max="12549" width="9.140625" style="2871"/>
    <col min="12550" max="12550" width="9.5703125" style="2871" bestFit="1" customWidth="1"/>
    <col min="12551" max="12551" width="11.5703125" style="2871" customWidth="1"/>
    <col min="12552" max="12552" width="16.5703125" style="2871" customWidth="1"/>
    <col min="12553" max="12553" width="26.42578125" style="2871" customWidth="1"/>
    <col min="12554" max="12800" width="9.140625" style="2871"/>
    <col min="12801" max="12801" width="9.42578125" style="2871" customWidth="1"/>
    <col min="12802" max="12802" width="39.42578125" style="2871" customWidth="1"/>
    <col min="12803" max="12803" width="60.5703125" style="2871" customWidth="1"/>
    <col min="12804" max="12804" width="11.7109375" style="2871" customWidth="1"/>
    <col min="12805" max="12805" width="9.140625" style="2871"/>
    <col min="12806" max="12806" width="9.5703125" style="2871" bestFit="1" customWidth="1"/>
    <col min="12807" max="12807" width="11.5703125" style="2871" customWidth="1"/>
    <col min="12808" max="12808" width="16.5703125" style="2871" customWidth="1"/>
    <col min="12809" max="12809" width="26.42578125" style="2871" customWidth="1"/>
    <col min="12810" max="13056" width="9.140625" style="2871"/>
    <col min="13057" max="13057" width="9.42578125" style="2871" customWidth="1"/>
    <col min="13058" max="13058" width="39.42578125" style="2871" customWidth="1"/>
    <col min="13059" max="13059" width="60.5703125" style="2871" customWidth="1"/>
    <col min="13060" max="13060" width="11.7109375" style="2871" customWidth="1"/>
    <col min="13061" max="13061" width="9.140625" style="2871"/>
    <col min="13062" max="13062" width="9.5703125" style="2871" bestFit="1" customWidth="1"/>
    <col min="13063" max="13063" width="11.5703125" style="2871" customWidth="1"/>
    <col min="13064" max="13064" width="16.5703125" style="2871" customWidth="1"/>
    <col min="13065" max="13065" width="26.42578125" style="2871" customWidth="1"/>
    <col min="13066" max="13312" width="9.140625" style="2871"/>
    <col min="13313" max="13313" width="9.42578125" style="2871" customWidth="1"/>
    <col min="13314" max="13314" width="39.42578125" style="2871" customWidth="1"/>
    <col min="13315" max="13315" width="60.5703125" style="2871" customWidth="1"/>
    <col min="13316" max="13316" width="11.7109375" style="2871" customWidth="1"/>
    <col min="13317" max="13317" width="9.140625" style="2871"/>
    <col min="13318" max="13318" width="9.5703125" style="2871" bestFit="1" customWidth="1"/>
    <col min="13319" max="13319" width="11.5703125" style="2871" customWidth="1"/>
    <col min="13320" max="13320" width="16.5703125" style="2871" customWidth="1"/>
    <col min="13321" max="13321" width="26.42578125" style="2871" customWidth="1"/>
    <col min="13322" max="13568" width="9.140625" style="2871"/>
    <col min="13569" max="13569" width="9.42578125" style="2871" customWidth="1"/>
    <col min="13570" max="13570" width="39.42578125" style="2871" customWidth="1"/>
    <col min="13571" max="13571" width="60.5703125" style="2871" customWidth="1"/>
    <col min="13572" max="13572" width="11.7109375" style="2871" customWidth="1"/>
    <col min="13573" max="13573" width="9.140625" style="2871"/>
    <col min="13574" max="13574" width="9.5703125" style="2871" bestFit="1" customWidth="1"/>
    <col min="13575" max="13575" width="11.5703125" style="2871" customWidth="1"/>
    <col min="13576" max="13576" width="16.5703125" style="2871" customWidth="1"/>
    <col min="13577" max="13577" width="26.42578125" style="2871" customWidth="1"/>
    <col min="13578" max="13824" width="9.140625" style="2871"/>
    <col min="13825" max="13825" width="9.42578125" style="2871" customWidth="1"/>
    <col min="13826" max="13826" width="39.42578125" style="2871" customWidth="1"/>
    <col min="13827" max="13827" width="60.5703125" style="2871" customWidth="1"/>
    <col min="13828" max="13828" width="11.7109375" style="2871" customWidth="1"/>
    <col min="13829" max="13829" width="9.140625" style="2871"/>
    <col min="13830" max="13830" width="9.5703125" style="2871" bestFit="1" customWidth="1"/>
    <col min="13831" max="13831" width="11.5703125" style="2871" customWidth="1"/>
    <col min="13832" max="13832" width="16.5703125" style="2871" customWidth="1"/>
    <col min="13833" max="13833" width="26.42578125" style="2871" customWidth="1"/>
    <col min="13834" max="14080" width="9.140625" style="2871"/>
    <col min="14081" max="14081" width="9.42578125" style="2871" customWidth="1"/>
    <col min="14082" max="14082" width="39.42578125" style="2871" customWidth="1"/>
    <col min="14083" max="14083" width="60.5703125" style="2871" customWidth="1"/>
    <col min="14084" max="14084" width="11.7109375" style="2871" customWidth="1"/>
    <col min="14085" max="14085" width="9.140625" style="2871"/>
    <col min="14086" max="14086" width="9.5703125" style="2871" bestFit="1" customWidth="1"/>
    <col min="14087" max="14087" width="11.5703125" style="2871" customWidth="1"/>
    <col min="14088" max="14088" width="16.5703125" style="2871" customWidth="1"/>
    <col min="14089" max="14089" width="26.42578125" style="2871" customWidth="1"/>
    <col min="14090" max="14336" width="9.140625" style="2871"/>
    <col min="14337" max="14337" width="9.42578125" style="2871" customWidth="1"/>
    <col min="14338" max="14338" width="39.42578125" style="2871" customWidth="1"/>
    <col min="14339" max="14339" width="60.5703125" style="2871" customWidth="1"/>
    <col min="14340" max="14340" width="11.7109375" style="2871" customWidth="1"/>
    <col min="14341" max="14341" width="9.140625" style="2871"/>
    <col min="14342" max="14342" width="9.5703125" style="2871" bestFit="1" customWidth="1"/>
    <col min="14343" max="14343" width="11.5703125" style="2871" customWidth="1"/>
    <col min="14344" max="14344" width="16.5703125" style="2871" customWidth="1"/>
    <col min="14345" max="14345" width="26.42578125" style="2871" customWidth="1"/>
    <col min="14346" max="14592" width="9.140625" style="2871"/>
    <col min="14593" max="14593" width="9.42578125" style="2871" customWidth="1"/>
    <col min="14594" max="14594" width="39.42578125" style="2871" customWidth="1"/>
    <col min="14595" max="14595" width="60.5703125" style="2871" customWidth="1"/>
    <col min="14596" max="14596" width="11.7109375" style="2871" customWidth="1"/>
    <col min="14597" max="14597" width="9.140625" style="2871"/>
    <col min="14598" max="14598" width="9.5703125" style="2871" bestFit="1" customWidth="1"/>
    <col min="14599" max="14599" width="11.5703125" style="2871" customWidth="1"/>
    <col min="14600" max="14600" width="16.5703125" style="2871" customWidth="1"/>
    <col min="14601" max="14601" width="26.42578125" style="2871" customWidth="1"/>
    <col min="14602" max="14848" width="9.140625" style="2871"/>
    <col min="14849" max="14849" width="9.42578125" style="2871" customWidth="1"/>
    <col min="14850" max="14850" width="39.42578125" style="2871" customWidth="1"/>
    <col min="14851" max="14851" width="60.5703125" style="2871" customWidth="1"/>
    <col min="14852" max="14852" width="11.7109375" style="2871" customWidth="1"/>
    <col min="14853" max="14853" width="9.140625" style="2871"/>
    <col min="14854" max="14854" width="9.5703125" style="2871" bestFit="1" customWidth="1"/>
    <col min="14855" max="14855" width="11.5703125" style="2871" customWidth="1"/>
    <col min="14856" max="14856" width="16.5703125" style="2871" customWidth="1"/>
    <col min="14857" max="14857" width="26.42578125" style="2871" customWidth="1"/>
    <col min="14858" max="15104" width="9.140625" style="2871"/>
    <col min="15105" max="15105" width="9.42578125" style="2871" customWidth="1"/>
    <col min="15106" max="15106" width="39.42578125" style="2871" customWidth="1"/>
    <col min="15107" max="15107" width="60.5703125" style="2871" customWidth="1"/>
    <col min="15108" max="15108" width="11.7109375" style="2871" customWidth="1"/>
    <col min="15109" max="15109" width="9.140625" style="2871"/>
    <col min="15110" max="15110" width="9.5703125" style="2871" bestFit="1" customWidth="1"/>
    <col min="15111" max="15111" width="11.5703125" style="2871" customWidth="1"/>
    <col min="15112" max="15112" width="16.5703125" style="2871" customWidth="1"/>
    <col min="15113" max="15113" width="26.42578125" style="2871" customWidth="1"/>
    <col min="15114" max="15360" width="9.140625" style="2871"/>
    <col min="15361" max="15361" width="9.42578125" style="2871" customWidth="1"/>
    <col min="15362" max="15362" width="39.42578125" style="2871" customWidth="1"/>
    <col min="15363" max="15363" width="60.5703125" style="2871" customWidth="1"/>
    <col min="15364" max="15364" width="11.7109375" style="2871" customWidth="1"/>
    <col min="15365" max="15365" width="9.140625" style="2871"/>
    <col min="15366" max="15366" width="9.5703125" style="2871" bestFit="1" customWidth="1"/>
    <col min="15367" max="15367" width="11.5703125" style="2871" customWidth="1"/>
    <col min="15368" max="15368" width="16.5703125" style="2871" customWidth="1"/>
    <col min="15369" max="15369" width="26.42578125" style="2871" customWidth="1"/>
    <col min="15370" max="15616" width="9.140625" style="2871"/>
    <col min="15617" max="15617" width="9.42578125" style="2871" customWidth="1"/>
    <col min="15618" max="15618" width="39.42578125" style="2871" customWidth="1"/>
    <col min="15619" max="15619" width="60.5703125" style="2871" customWidth="1"/>
    <col min="15620" max="15620" width="11.7109375" style="2871" customWidth="1"/>
    <col min="15621" max="15621" width="9.140625" style="2871"/>
    <col min="15622" max="15622" width="9.5703125" style="2871" bestFit="1" customWidth="1"/>
    <col min="15623" max="15623" width="11.5703125" style="2871" customWidth="1"/>
    <col min="15624" max="15624" width="16.5703125" style="2871" customWidth="1"/>
    <col min="15625" max="15625" width="26.42578125" style="2871" customWidth="1"/>
    <col min="15626" max="15872" width="9.140625" style="2871"/>
    <col min="15873" max="15873" width="9.42578125" style="2871" customWidth="1"/>
    <col min="15874" max="15874" width="39.42578125" style="2871" customWidth="1"/>
    <col min="15875" max="15875" width="60.5703125" style="2871" customWidth="1"/>
    <col min="15876" max="15876" width="11.7109375" style="2871" customWidth="1"/>
    <col min="15877" max="15877" width="9.140625" style="2871"/>
    <col min="15878" max="15878" width="9.5703125" style="2871" bestFit="1" customWidth="1"/>
    <col min="15879" max="15879" width="11.5703125" style="2871" customWidth="1"/>
    <col min="15880" max="15880" width="16.5703125" style="2871" customWidth="1"/>
    <col min="15881" max="15881" width="26.42578125" style="2871" customWidth="1"/>
    <col min="15882" max="16128" width="9.140625" style="2871"/>
    <col min="16129" max="16129" width="9.42578125" style="2871" customWidth="1"/>
    <col min="16130" max="16130" width="39.42578125" style="2871" customWidth="1"/>
    <col min="16131" max="16131" width="60.5703125" style="2871" customWidth="1"/>
    <col min="16132" max="16132" width="11.7109375" style="2871" customWidth="1"/>
    <col min="16133" max="16133" width="9.140625" style="2871"/>
    <col min="16134" max="16134" width="9.5703125" style="2871" bestFit="1" customWidth="1"/>
    <col min="16135" max="16135" width="11.5703125" style="2871" customWidth="1"/>
    <col min="16136" max="16136" width="16.5703125" style="2871" customWidth="1"/>
    <col min="16137" max="16137" width="26.42578125" style="2871" customWidth="1"/>
    <col min="16138" max="16384" width="9.140625" style="2871"/>
  </cols>
  <sheetData>
    <row r="1" spans="1:8" ht="30" customHeight="1" x14ac:dyDescent="0.2">
      <c r="A1" s="2883"/>
      <c r="B1" s="2883"/>
      <c r="C1" s="2884"/>
      <c r="D1" s="3904" t="s">
        <v>2164</v>
      </c>
      <c r="E1" s="3904"/>
      <c r="F1" s="3904"/>
      <c r="G1" s="3904"/>
      <c r="H1" s="3904"/>
    </row>
    <row r="2" spans="1:8" ht="21.75" customHeight="1" x14ac:dyDescent="0.2">
      <c r="A2" s="3904" t="s">
        <v>2213</v>
      </c>
      <c r="B2" s="3904"/>
      <c r="C2" s="3904"/>
      <c r="D2" s="3904"/>
      <c r="E2" s="3904"/>
      <c r="F2" s="3904"/>
      <c r="G2" s="3904"/>
      <c r="H2" s="3904"/>
    </row>
    <row r="3" spans="1:8" ht="17.25" customHeight="1" x14ac:dyDescent="0.2">
      <c r="A3" s="3904"/>
      <c r="B3" s="3904"/>
      <c r="C3" s="3904"/>
      <c r="D3" s="3904"/>
      <c r="E3" s="3904"/>
      <c r="F3" s="3904"/>
      <c r="G3" s="3904"/>
      <c r="H3" s="3904"/>
    </row>
    <row r="4" spans="1:8" x14ac:dyDescent="0.2">
      <c r="A4" s="2871" t="s">
        <v>2165</v>
      </c>
      <c r="B4" s="2871" t="s">
        <v>1736</v>
      </c>
      <c r="C4" s="2039" t="s">
        <v>2166</v>
      </c>
      <c r="D4" s="3904" t="s">
        <v>2167</v>
      </c>
      <c r="E4" s="3904"/>
      <c r="F4" s="3904"/>
      <c r="G4" s="3904"/>
      <c r="H4" s="3904"/>
    </row>
    <row r="5" spans="1:8" ht="22.5" customHeight="1" x14ac:dyDescent="0.2">
      <c r="B5" s="3904" t="s">
        <v>2168</v>
      </c>
      <c r="C5" s="3904"/>
      <c r="D5" s="3904"/>
      <c r="E5" s="3904"/>
      <c r="F5" s="3904"/>
      <c r="G5" s="3904"/>
      <c r="H5" s="2497">
        <f>H6+H115+H117+H122</f>
        <v>1573447.4338753289</v>
      </c>
    </row>
    <row r="6" spans="1:8" ht="21.75" customHeight="1" x14ac:dyDescent="0.2">
      <c r="A6" s="2871" t="s">
        <v>2169</v>
      </c>
      <c r="B6" s="3904" t="s">
        <v>2170</v>
      </c>
      <c r="C6" s="3904"/>
      <c r="D6" s="3904"/>
      <c r="E6" s="3904"/>
      <c r="F6" s="3904"/>
      <c r="G6" s="3904"/>
      <c r="H6" s="2497">
        <f>H7+H82+H84+H86</f>
        <v>117995.40387532883</v>
      </c>
    </row>
    <row r="7" spans="1:8" ht="168" customHeight="1" x14ac:dyDescent="0.2">
      <c r="A7" s="2871" t="s">
        <v>916</v>
      </c>
      <c r="B7" s="2871" t="s">
        <v>2171</v>
      </c>
      <c r="C7" s="2039" t="s">
        <v>2172</v>
      </c>
      <c r="H7" s="2541">
        <v>27239.97</v>
      </c>
    </row>
    <row r="8" spans="1:8" ht="15.75" customHeight="1" x14ac:dyDescent="0.2">
      <c r="A8" s="3905" t="s">
        <v>918</v>
      </c>
      <c r="B8" s="3904" t="s">
        <v>2173</v>
      </c>
      <c r="C8" s="3906" t="s">
        <v>2174</v>
      </c>
      <c r="D8" s="2039" t="s">
        <v>2175</v>
      </c>
      <c r="F8" s="2039" t="s">
        <v>2176</v>
      </c>
      <c r="G8" s="2039" t="s">
        <v>2177</v>
      </c>
    </row>
    <row r="9" spans="1:8" ht="12" customHeight="1" x14ac:dyDescent="0.2">
      <c r="A9" s="3905"/>
      <c r="B9" s="3904"/>
      <c r="C9" s="3906"/>
      <c r="D9" s="2039">
        <v>1</v>
      </c>
      <c r="F9" s="2039">
        <v>8</v>
      </c>
      <c r="G9" s="2039">
        <v>28</v>
      </c>
      <c r="H9" s="2497">
        <f>1.92*F9*SQRT(G9)</f>
        <v>81.277480275904225</v>
      </c>
    </row>
    <row r="10" spans="1:8" ht="12" customHeight="1" x14ac:dyDescent="0.2">
      <c r="A10" s="3905"/>
      <c r="B10" s="3904"/>
      <c r="C10" s="3906"/>
      <c r="D10" s="2039">
        <v>2</v>
      </c>
      <c r="F10" s="2039">
        <v>8</v>
      </c>
      <c r="G10" s="2039">
        <v>28</v>
      </c>
      <c r="H10" s="2497">
        <f>1.92*F10*SQRT(G10)</f>
        <v>81.277480275904225</v>
      </c>
    </row>
    <row r="11" spans="1:8" ht="20.100000000000001" customHeight="1" x14ac:dyDescent="0.2">
      <c r="A11" s="3905"/>
      <c r="B11" s="3904"/>
      <c r="C11" s="3906"/>
      <c r="D11" s="2039">
        <v>3</v>
      </c>
      <c r="F11" s="2039">
        <v>8</v>
      </c>
      <c r="G11" s="2039">
        <v>28</v>
      </c>
      <c r="H11" s="2497">
        <f t="shared" ref="H11:H39" si="0">1.92*F11*SQRT(G11)</f>
        <v>81.277480275904225</v>
      </c>
    </row>
    <row r="12" spans="1:8" ht="20.100000000000001" customHeight="1" x14ac:dyDescent="0.2">
      <c r="A12" s="3905"/>
      <c r="B12" s="3904"/>
      <c r="C12" s="3906"/>
      <c r="D12" s="2039">
        <v>4</v>
      </c>
      <c r="F12" s="2039">
        <v>2</v>
      </c>
      <c r="G12" s="2039">
        <v>30</v>
      </c>
      <c r="H12" s="2497">
        <f t="shared" si="0"/>
        <v>21.032546208198379</v>
      </c>
    </row>
    <row r="13" spans="1:8" ht="20.100000000000001" customHeight="1" x14ac:dyDescent="0.2">
      <c r="A13" s="3905"/>
      <c r="B13" s="3904"/>
      <c r="C13" s="3906"/>
      <c r="D13" s="2039">
        <v>5</v>
      </c>
      <c r="F13" s="2039">
        <v>3</v>
      </c>
      <c r="G13" s="2039">
        <v>30</v>
      </c>
      <c r="H13" s="2497">
        <f t="shared" si="0"/>
        <v>31.548819312297567</v>
      </c>
    </row>
    <row r="14" spans="1:8" ht="20.100000000000001" customHeight="1" x14ac:dyDescent="0.2">
      <c r="A14" s="3905"/>
      <c r="B14" s="3904"/>
      <c r="C14" s="3906"/>
      <c r="D14" s="2039">
        <v>6</v>
      </c>
      <c r="F14" s="2039">
        <v>3</v>
      </c>
      <c r="G14" s="2039">
        <v>30</v>
      </c>
      <c r="H14" s="2497">
        <f t="shared" si="0"/>
        <v>31.548819312297567</v>
      </c>
    </row>
    <row r="15" spans="1:8" ht="20.100000000000001" customHeight="1" x14ac:dyDescent="0.2">
      <c r="A15" s="3905"/>
      <c r="B15" s="3904"/>
      <c r="C15" s="3906"/>
      <c r="D15" s="2039">
        <v>7</v>
      </c>
      <c r="F15" s="2039">
        <v>3</v>
      </c>
      <c r="G15" s="2039">
        <v>40</v>
      </c>
      <c r="H15" s="2497">
        <f t="shared" si="0"/>
        <v>36.429438645139733</v>
      </c>
    </row>
    <row r="16" spans="1:8" ht="20.100000000000001" customHeight="1" x14ac:dyDescent="0.2">
      <c r="A16" s="3905"/>
      <c r="B16" s="3904"/>
      <c r="C16" s="3906"/>
      <c r="D16" s="2039">
        <v>8</v>
      </c>
      <c r="F16" s="2039">
        <v>3</v>
      </c>
      <c r="G16" s="2039">
        <v>40</v>
      </c>
      <c r="H16" s="2497">
        <f t="shared" si="0"/>
        <v>36.429438645139733</v>
      </c>
    </row>
    <row r="17" spans="1:8" ht="20.100000000000001" customHeight="1" x14ac:dyDescent="0.2">
      <c r="A17" s="3905"/>
      <c r="B17" s="3904"/>
      <c r="C17" s="3906"/>
      <c r="D17" s="2039">
        <v>9</v>
      </c>
      <c r="F17" s="2039">
        <v>4</v>
      </c>
      <c r="G17" s="2039">
        <v>28</v>
      </c>
      <c r="H17" s="2497">
        <f t="shared" si="0"/>
        <v>40.638740137952112</v>
      </c>
    </row>
    <row r="18" spans="1:8" ht="20.100000000000001" customHeight="1" x14ac:dyDescent="0.2">
      <c r="A18" s="3905"/>
      <c r="B18" s="3904"/>
      <c r="C18" s="3906"/>
      <c r="D18" s="2039">
        <v>10</v>
      </c>
      <c r="F18" s="2039">
        <v>4</v>
      </c>
      <c r="G18" s="2039">
        <v>28</v>
      </c>
      <c r="H18" s="2497">
        <f t="shared" si="0"/>
        <v>40.638740137952112</v>
      </c>
    </row>
    <row r="19" spans="1:8" ht="20.100000000000001" customHeight="1" x14ac:dyDescent="0.2">
      <c r="A19" s="3905"/>
      <c r="B19" s="3904"/>
      <c r="C19" s="3906"/>
      <c r="D19" s="2039">
        <v>11</v>
      </c>
      <c r="F19" s="2039">
        <v>4</v>
      </c>
      <c r="G19" s="2039">
        <v>28</v>
      </c>
      <c r="H19" s="2497">
        <f t="shared" si="0"/>
        <v>40.638740137952112</v>
      </c>
    </row>
    <row r="20" spans="1:8" ht="20.100000000000001" customHeight="1" x14ac:dyDescent="0.2">
      <c r="A20" s="3905"/>
      <c r="B20" s="3904"/>
      <c r="C20" s="3906"/>
      <c r="D20" s="2039">
        <v>12</v>
      </c>
      <c r="F20" s="2039">
        <v>8</v>
      </c>
      <c r="G20" s="2039">
        <v>28</v>
      </c>
      <c r="H20" s="2497">
        <f t="shared" si="0"/>
        <v>81.277480275904225</v>
      </c>
    </row>
    <row r="21" spans="1:8" ht="20.100000000000001" customHeight="1" x14ac:dyDescent="0.2">
      <c r="A21" s="3905"/>
      <c r="B21" s="3904"/>
      <c r="C21" s="3906"/>
      <c r="D21" s="2039">
        <v>13</v>
      </c>
      <c r="F21" s="2039">
        <v>8</v>
      </c>
      <c r="G21" s="2039">
        <v>28</v>
      </c>
      <c r="H21" s="2497">
        <f t="shared" si="0"/>
        <v>81.277480275904225</v>
      </c>
    </row>
    <row r="22" spans="1:8" ht="20.100000000000001" customHeight="1" x14ac:dyDescent="0.2">
      <c r="A22" s="3905"/>
      <c r="B22" s="3904"/>
      <c r="C22" s="3906"/>
      <c r="D22" s="2039">
        <v>14</v>
      </c>
      <c r="F22" s="2039">
        <v>8</v>
      </c>
      <c r="G22" s="2039">
        <v>30</v>
      </c>
      <c r="H22" s="2497">
        <f t="shared" si="0"/>
        <v>84.130184832793518</v>
      </c>
    </row>
    <row r="23" spans="1:8" ht="20.100000000000001" customHeight="1" x14ac:dyDescent="0.2">
      <c r="A23" s="3905"/>
      <c r="B23" s="3904"/>
      <c r="C23" s="3906"/>
      <c r="D23" s="2039">
        <v>15</v>
      </c>
      <c r="F23" s="2039">
        <v>8</v>
      </c>
      <c r="G23" s="2039">
        <v>30</v>
      </c>
      <c r="H23" s="2497">
        <f t="shared" si="0"/>
        <v>84.130184832793518</v>
      </c>
    </row>
    <row r="24" spans="1:8" ht="20.100000000000001" customHeight="1" x14ac:dyDescent="0.2">
      <c r="A24" s="3905"/>
      <c r="B24" s="3904"/>
      <c r="C24" s="3906"/>
      <c r="D24" s="2039">
        <v>16</v>
      </c>
      <c r="F24" s="2039">
        <v>8</v>
      </c>
      <c r="G24" s="2039">
        <v>32</v>
      </c>
      <c r="H24" s="2497">
        <f t="shared" si="0"/>
        <v>86.889281272202965</v>
      </c>
    </row>
    <row r="25" spans="1:8" ht="20.100000000000001" customHeight="1" x14ac:dyDescent="0.2">
      <c r="A25" s="3905"/>
      <c r="B25" s="3904"/>
      <c r="C25" s="3906"/>
      <c r="D25" s="2039">
        <v>17</v>
      </c>
      <c r="F25" s="2039">
        <v>8</v>
      </c>
      <c r="G25" s="2039">
        <v>32</v>
      </c>
      <c r="H25" s="2497">
        <f t="shared" si="0"/>
        <v>86.889281272202965</v>
      </c>
    </row>
    <row r="26" spans="1:8" ht="20.100000000000001" customHeight="1" x14ac:dyDescent="0.2">
      <c r="A26" s="3905"/>
      <c r="B26" s="3904"/>
      <c r="C26" s="3906"/>
      <c r="D26" s="2039">
        <v>18</v>
      </c>
      <c r="F26" s="2039">
        <v>8</v>
      </c>
      <c r="G26" s="2039">
        <v>35</v>
      </c>
      <c r="H26" s="2497">
        <f t="shared" si="0"/>
        <v>90.870985468410097</v>
      </c>
    </row>
    <row r="27" spans="1:8" ht="20.100000000000001" customHeight="1" x14ac:dyDescent="0.2">
      <c r="A27" s="3905"/>
      <c r="B27" s="3904"/>
      <c r="C27" s="3906"/>
      <c r="D27" s="2039">
        <v>19</v>
      </c>
      <c r="F27" s="2039">
        <v>8</v>
      </c>
      <c r="G27" s="2039">
        <v>35</v>
      </c>
      <c r="H27" s="2497">
        <f t="shared" si="0"/>
        <v>90.870985468410097</v>
      </c>
    </row>
    <row r="28" spans="1:8" ht="20.100000000000001" customHeight="1" x14ac:dyDescent="0.2">
      <c r="A28" s="3905"/>
      <c r="B28" s="3904"/>
      <c r="C28" s="3906"/>
      <c r="D28" s="2039">
        <v>20</v>
      </c>
      <c r="F28" s="2039">
        <v>8</v>
      </c>
      <c r="G28" s="2039">
        <v>40</v>
      </c>
      <c r="H28" s="2497">
        <f t="shared" si="0"/>
        <v>97.145169720372621</v>
      </c>
    </row>
    <row r="29" spans="1:8" ht="20.100000000000001" customHeight="1" x14ac:dyDescent="0.2">
      <c r="A29" s="3905"/>
      <c r="B29" s="3904"/>
      <c r="C29" s="3906"/>
      <c r="D29" s="2039">
        <v>21</v>
      </c>
      <c r="F29" s="2039">
        <v>8</v>
      </c>
      <c r="G29" s="2039">
        <v>40</v>
      </c>
      <c r="H29" s="2497">
        <f t="shared" si="0"/>
        <v>97.145169720372621</v>
      </c>
    </row>
    <row r="30" spans="1:8" ht="20.100000000000001" customHeight="1" x14ac:dyDescent="0.2">
      <c r="A30" s="3905"/>
      <c r="B30" s="3904"/>
      <c r="C30" s="3906"/>
      <c r="D30" s="2039">
        <v>22</v>
      </c>
      <c r="F30" s="2039">
        <v>8</v>
      </c>
      <c r="G30" s="2039">
        <v>42</v>
      </c>
      <c r="H30" s="2497">
        <f t="shared" si="0"/>
        <v>99.544177127544728</v>
      </c>
    </row>
    <row r="31" spans="1:8" ht="20.100000000000001" customHeight="1" x14ac:dyDescent="0.2">
      <c r="A31" s="3905"/>
      <c r="B31" s="3904"/>
      <c r="C31" s="3906"/>
      <c r="D31" s="2039">
        <v>23</v>
      </c>
      <c r="F31" s="2039">
        <v>8</v>
      </c>
      <c r="G31" s="2039">
        <v>45</v>
      </c>
      <c r="H31" s="2497">
        <f t="shared" si="0"/>
        <v>103.03801240319031</v>
      </c>
    </row>
    <row r="32" spans="1:8" ht="18.75" customHeight="1" x14ac:dyDescent="0.2">
      <c r="A32" s="3905"/>
      <c r="B32" s="3904"/>
      <c r="C32" s="3906"/>
      <c r="D32" s="2039">
        <v>24</v>
      </c>
      <c r="F32" s="2039">
        <v>8</v>
      </c>
      <c r="G32" s="2039">
        <v>28</v>
      </c>
      <c r="H32" s="2497">
        <f t="shared" si="0"/>
        <v>81.277480275904225</v>
      </c>
    </row>
    <row r="33" spans="1:8" ht="19.5" customHeight="1" x14ac:dyDescent="0.2">
      <c r="A33" s="3905"/>
      <c r="B33" s="3904"/>
      <c r="C33" s="3906"/>
      <c r="D33" s="2039">
        <v>25</v>
      </c>
      <c r="F33" s="2039">
        <v>8</v>
      </c>
      <c r="G33" s="2039">
        <v>28</v>
      </c>
      <c r="H33" s="2497">
        <f t="shared" si="0"/>
        <v>81.277480275904225</v>
      </c>
    </row>
    <row r="34" spans="1:8" x14ac:dyDescent="0.2">
      <c r="A34" s="3905"/>
      <c r="B34" s="3904"/>
      <c r="C34" s="3906"/>
      <c r="D34" s="2039">
        <v>26</v>
      </c>
      <c r="F34" s="2039">
        <v>8</v>
      </c>
      <c r="G34" s="2039">
        <v>28</v>
      </c>
      <c r="H34" s="2497">
        <f t="shared" si="0"/>
        <v>81.277480275904225</v>
      </c>
    </row>
    <row r="35" spans="1:8" x14ac:dyDescent="0.2">
      <c r="A35" s="3905"/>
      <c r="B35" s="3904"/>
      <c r="C35" s="3906"/>
      <c r="D35" s="2039">
        <v>27</v>
      </c>
      <c r="F35" s="2039">
        <v>8</v>
      </c>
      <c r="G35" s="2039">
        <v>30</v>
      </c>
      <c r="H35" s="2497">
        <f t="shared" si="0"/>
        <v>84.130184832793518</v>
      </c>
    </row>
    <row r="36" spans="1:8" x14ac:dyDescent="0.2">
      <c r="A36" s="3905"/>
      <c r="B36" s="3904"/>
      <c r="C36" s="3906"/>
      <c r="D36" s="2039">
        <v>28</v>
      </c>
      <c r="F36" s="2039">
        <v>8</v>
      </c>
      <c r="G36" s="2039">
        <v>30</v>
      </c>
      <c r="H36" s="2497">
        <f t="shared" si="0"/>
        <v>84.130184832793518</v>
      </c>
    </row>
    <row r="37" spans="1:8" x14ac:dyDescent="0.2">
      <c r="A37" s="3905"/>
      <c r="B37" s="3904"/>
      <c r="C37" s="3906"/>
      <c r="D37" s="2039">
        <v>29</v>
      </c>
      <c r="F37" s="2039">
        <v>8</v>
      </c>
      <c r="G37" s="2039">
        <v>32</v>
      </c>
      <c r="H37" s="2497">
        <f t="shared" si="0"/>
        <v>86.889281272202965</v>
      </c>
    </row>
    <row r="38" spans="1:8" x14ac:dyDescent="0.2">
      <c r="A38" s="3905"/>
      <c r="B38" s="3904"/>
      <c r="C38" s="3906"/>
      <c r="D38" s="2039">
        <v>30</v>
      </c>
      <c r="F38" s="2039">
        <v>8</v>
      </c>
      <c r="G38" s="2039">
        <v>28</v>
      </c>
      <c r="H38" s="2497">
        <f t="shared" si="0"/>
        <v>81.277480275904225</v>
      </c>
    </row>
    <row r="39" spans="1:8" x14ac:dyDescent="0.2">
      <c r="A39" s="3905"/>
      <c r="B39" s="3904"/>
      <c r="C39" s="3906"/>
      <c r="D39" s="2039">
        <v>31</v>
      </c>
      <c r="F39" s="2039">
        <v>8</v>
      </c>
      <c r="G39" s="2039">
        <v>28</v>
      </c>
      <c r="H39" s="2497">
        <f t="shared" si="0"/>
        <v>81.277480275904225</v>
      </c>
    </row>
    <row r="40" spans="1:8" ht="24" hidden="1" customHeight="1" x14ac:dyDescent="0.2">
      <c r="A40" s="3905"/>
      <c r="B40" s="3904"/>
      <c r="C40" s="3906"/>
      <c r="D40" s="2039">
        <v>32</v>
      </c>
      <c r="H40" s="2497">
        <f t="shared" ref="H40:H53" si="1">1.92*F40*SQRT(G40)</f>
        <v>0</v>
      </c>
    </row>
    <row r="41" spans="1:8" ht="20.100000000000001" hidden="1" customHeight="1" x14ac:dyDescent="0.2">
      <c r="A41" s="3905"/>
      <c r="B41" s="3904"/>
      <c r="C41" s="3906"/>
      <c r="D41" s="2039">
        <v>33</v>
      </c>
      <c r="H41" s="2497">
        <f t="shared" si="1"/>
        <v>0</v>
      </c>
    </row>
    <row r="42" spans="1:8" ht="20.100000000000001" hidden="1" customHeight="1" x14ac:dyDescent="0.2">
      <c r="A42" s="3905"/>
      <c r="B42" s="3904"/>
      <c r="C42" s="3906"/>
      <c r="D42" s="2039">
        <v>34</v>
      </c>
      <c r="H42" s="2497">
        <f t="shared" si="1"/>
        <v>0</v>
      </c>
    </row>
    <row r="43" spans="1:8" ht="20.100000000000001" hidden="1" customHeight="1" x14ac:dyDescent="0.2">
      <c r="A43" s="3905"/>
      <c r="B43" s="3904"/>
      <c r="C43" s="3906"/>
      <c r="D43" s="2039">
        <v>35</v>
      </c>
      <c r="H43" s="2497">
        <f t="shared" si="1"/>
        <v>0</v>
      </c>
    </row>
    <row r="44" spans="1:8" ht="20.100000000000001" hidden="1" customHeight="1" x14ac:dyDescent="0.2">
      <c r="A44" s="3905"/>
      <c r="B44" s="3904"/>
      <c r="C44" s="3906"/>
      <c r="D44" s="2039">
        <v>36</v>
      </c>
      <c r="H44" s="2497">
        <f t="shared" si="1"/>
        <v>0</v>
      </c>
    </row>
    <row r="45" spans="1:8" ht="20.100000000000001" hidden="1" customHeight="1" x14ac:dyDescent="0.2">
      <c r="A45" s="3905"/>
      <c r="B45" s="3904"/>
      <c r="C45" s="3906"/>
      <c r="D45" s="2039">
        <v>37</v>
      </c>
      <c r="H45" s="2497">
        <f t="shared" si="1"/>
        <v>0</v>
      </c>
    </row>
    <row r="46" spans="1:8" ht="20.100000000000001" hidden="1" customHeight="1" x14ac:dyDescent="0.2">
      <c r="A46" s="3905"/>
      <c r="B46" s="3904"/>
      <c r="C46" s="3906"/>
      <c r="D46" s="2039">
        <v>38</v>
      </c>
      <c r="H46" s="2497">
        <f t="shared" si="1"/>
        <v>0</v>
      </c>
    </row>
    <row r="47" spans="1:8" ht="20.100000000000001" hidden="1" customHeight="1" x14ac:dyDescent="0.2">
      <c r="A47" s="3905"/>
      <c r="B47" s="3904"/>
      <c r="C47" s="3906"/>
      <c r="D47" s="2039">
        <v>39</v>
      </c>
      <c r="H47" s="2497">
        <f t="shared" si="1"/>
        <v>0</v>
      </c>
    </row>
    <row r="48" spans="1:8" ht="20.100000000000001" hidden="1" customHeight="1" x14ac:dyDescent="0.2">
      <c r="A48" s="3905"/>
      <c r="B48" s="3904"/>
      <c r="C48" s="3906"/>
      <c r="D48" s="2039">
        <v>40</v>
      </c>
      <c r="H48" s="2497">
        <f t="shared" si="1"/>
        <v>0</v>
      </c>
    </row>
    <row r="49" spans="1:8" ht="20.100000000000001" hidden="1" customHeight="1" x14ac:dyDescent="0.2">
      <c r="A49" s="3905"/>
      <c r="B49" s="3904"/>
      <c r="C49" s="3906"/>
      <c r="D49" s="2039">
        <v>41</v>
      </c>
      <c r="H49" s="2497">
        <f t="shared" si="1"/>
        <v>0</v>
      </c>
    </row>
    <row r="50" spans="1:8" ht="20.100000000000001" hidden="1" customHeight="1" x14ac:dyDescent="0.2">
      <c r="A50" s="3905"/>
      <c r="B50" s="3904"/>
      <c r="C50" s="3906"/>
      <c r="D50" s="2039">
        <v>42</v>
      </c>
      <c r="H50" s="2497">
        <f t="shared" si="1"/>
        <v>0</v>
      </c>
    </row>
    <row r="51" spans="1:8" ht="20.100000000000001" hidden="1" customHeight="1" x14ac:dyDescent="0.2">
      <c r="A51" s="3905"/>
      <c r="B51" s="3904"/>
      <c r="C51" s="3906"/>
      <c r="D51" s="2039">
        <v>43</v>
      </c>
      <c r="H51" s="2497">
        <f t="shared" si="1"/>
        <v>0</v>
      </c>
    </row>
    <row r="52" spans="1:8" ht="20.100000000000001" hidden="1" customHeight="1" x14ac:dyDescent="0.2">
      <c r="A52" s="3905"/>
      <c r="B52" s="3904"/>
      <c r="C52" s="3906"/>
      <c r="D52" s="2039">
        <v>44</v>
      </c>
      <c r="H52" s="2497">
        <f t="shared" si="1"/>
        <v>0</v>
      </c>
    </row>
    <row r="53" spans="1:8" x14ac:dyDescent="0.2">
      <c r="A53" s="3905"/>
      <c r="B53" s="3904"/>
      <c r="C53" s="3906"/>
      <c r="H53" s="2497">
        <f t="shared" si="1"/>
        <v>0</v>
      </c>
    </row>
    <row r="54" spans="1:8" ht="20.100000000000001" customHeight="1" x14ac:dyDescent="0.2">
      <c r="A54" s="3905"/>
      <c r="B54" s="3904"/>
      <c r="C54" s="3906"/>
      <c r="D54" s="3906" t="s">
        <v>54</v>
      </c>
      <c r="E54" s="3906"/>
      <c r="F54" s="3906"/>
      <c r="G54" s="3906"/>
      <c r="H54" s="2541">
        <f>SUM(H8:H53)</f>
        <v>2267.4831683520547</v>
      </c>
    </row>
    <row r="55" spans="1:8" ht="25.5" customHeight="1" x14ac:dyDescent="0.2">
      <c r="A55" s="3904" t="s">
        <v>920</v>
      </c>
      <c r="B55" s="3904" t="s">
        <v>2178</v>
      </c>
      <c r="C55" s="3906" t="s">
        <v>2179</v>
      </c>
      <c r="D55" s="2039" t="s">
        <v>2175</v>
      </c>
      <c r="E55" s="2039" t="s">
        <v>2180</v>
      </c>
      <c r="F55" s="2039" t="s">
        <v>2176</v>
      </c>
      <c r="G55" s="2039" t="s">
        <v>2177</v>
      </c>
    </row>
    <row r="56" spans="1:8" ht="20.100000000000001" customHeight="1" x14ac:dyDescent="0.2">
      <c r="A56" s="3904"/>
      <c r="B56" s="3904"/>
      <c r="C56" s="3906"/>
      <c r="D56" s="2039">
        <v>1</v>
      </c>
      <c r="E56" s="2039">
        <v>0.15</v>
      </c>
      <c r="F56" s="2039">
        <v>8</v>
      </c>
      <c r="G56" s="2039">
        <v>40</v>
      </c>
      <c r="H56" s="2497">
        <f>374.4*E56*E56*F56*SQRT(G56)</f>
        <v>426.22443214813484</v>
      </c>
    </row>
    <row r="57" spans="1:8" ht="20.100000000000001" customHeight="1" x14ac:dyDescent="0.2">
      <c r="A57" s="3904"/>
      <c r="B57" s="3904"/>
      <c r="C57" s="3906"/>
      <c r="D57" s="2039">
        <v>2</v>
      </c>
      <c r="E57" s="2039">
        <v>0.15</v>
      </c>
      <c r="F57" s="2039">
        <v>8</v>
      </c>
      <c r="G57" s="2039">
        <v>40</v>
      </c>
      <c r="H57" s="2497">
        <f t="shared" ref="H57:H67" si="2">374.4*E57*E57*F57*SQRT(G57)</f>
        <v>426.22443214813484</v>
      </c>
    </row>
    <row r="58" spans="1:8" ht="20.100000000000001" customHeight="1" x14ac:dyDescent="0.2">
      <c r="A58" s="3904"/>
      <c r="B58" s="3904"/>
      <c r="C58" s="3906"/>
      <c r="D58" s="2039">
        <v>3</v>
      </c>
      <c r="E58" s="2039">
        <v>0.15</v>
      </c>
      <c r="F58" s="2039">
        <v>6</v>
      </c>
      <c r="G58" s="2039">
        <v>40</v>
      </c>
      <c r="H58" s="2497">
        <f t="shared" si="2"/>
        <v>319.66832411110113</v>
      </c>
    </row>
    <row r="59" spans="1:8" ht="20.100000000000001" customHeight="1" x14ac:dyDescent="0.2">
      <c r="A59" s="3904"/>
      <c r="B59" s="3904"/>
      <c r="C59" s="3906"/>
      <c r="D59" s="2039">
        <v>4</v>
      </c>
      <c r="E59" s="2039">
        <v>0.15</v>
      </c>
      <c r="F59" s="2039">
        <v>4</v>
      </c>
      <c r="G59" s="2039">
        <v>35</v>
      </c>
      <c r="H59" s="2497">
        <f t="shared" si="2"/>
        <v>199.34822437132465</v>
      </c>
    </row>
    <row r="60" spans="1:8" ht="20.100000000000001" customHeight="1" x14ac:dyDescent="0.2">
      <c r="A60" s="3904"/>
      <c r="B60" s="3904"/>
      <c r="C60" s="3906"/>
      <c r="D60" s="2039">
        <v>5</v>
      </c>
      <c r="E60" s="2039">
        <v>0.15</v>
      </c>
      <c r="F60" s="2039">
        <v>4</v>
      </c>
      <c r="G60" s="2039">
        <v>30</v>
      </c>
      <c r="H60" s="2497">
        <f t="shared" si="2"/>
        <v>184.56059297694077</v>
      </c>
    </row>
    <row r="61" spans="1:8" ht="20.100000000000001" customHeight="1" x14ac:dyDescent="0.2">
      <c r="A61" s="3904"/>
      <c r="B61" s="3904"/>
      <c r="C61" s="3906"/>
      <c r="D61" s="2039">
        <v>6</v>
      </c>
      <c r="E61" s="2039">
        <v>0.1</v>
      </c>
      <c r="F61" s="2039">
        <v>6</v>
      </c>
      <c r="G61" s="2039">
        <v>30</v>
      </c>
      <c r="H61" s="2497">
        <f t="shared" si="2"/>
        <v>123.0403953179605</v>
      </c>
    </row>
    <row r="62" spans="1:8" ht="20.100000000000001" customHeight="1" x14ac:dyDescent="0.2">
      <c r="A62" s="3904"/>
      <c r="B62" s="3904"/>
      <c r="C62" s="3906"/>
      <c r="D62" s="2039">
        <v>7</v>
      </c>
      <c r="E62" s="2039">
        <v>0.1</v>
      </c>
      <c r="F62" s="2039">
        <v>6</v>
      </c>
      <c r="G62" s="2039">
        <v>30</v>
      </c>
      <c r="H62" s="2497">
        <f t="shared" si="2"/>
        <v>123.0403953179605</v>
      </c>
    </row>
    <row r="63" spans="1:8" ht="20.100000000000001" customHeight="1" x14ac:dyDescent="0.2">
      <c r="A63" s="3904"/>
      <c r="B63" s="3904"/>
      <c r="C63" s="3906"/>
      <c r="D63" s="2039">
        <v>8</v>
      </c>
      <c r="E63" s="2039">
        <v>0.1</v>
      </c>
      <c r="F63" s="2039">
        <v>6</v>
      </c>
      <c r="G63" s="2039">
        <v>30</v>
      </c>
      <c r="H63" s="2497">
        <f t="shared" si="2"/>
        <v>123.0403953179605</v>
      </c>
    </row>
    <row r="64" spans="1:8" ht="20.100000000000001" customHeight="1" x14ac:dyDescent="0.2">
      <c r="A64" s="3904"/>
      <c r="B64" s="3904"/>
      <c r="C64" s="3906"/>
      <c r="D64" s="2039">
        <v>9</v>
      </c>
      <c r="E64" s="2039">
        <v>0.1</v>
      </c>
      <c r="F64" s="2039">
        <v>4</v>
      </c>
      <c r="G64" s="2039">
        <v>30</v>
      </c>
      <c r="H64" s="2497">
        <f t="shared" si="2"/>
        <v>82.026930211973678</v>
      </c>
    </row>
    <row r="65" spans="1:8" ht="20.100000000000001" customHeight="1" x14ac:dyDescent="0.2">
      <c r="A65" s="3904"/>
      <c r="B65" s="3904"/>
      <c r="C65" s="3906"/>
      <c r="D65" s="2039">
        <v>10</v>
      </c>
      <c r="E65" s="2039">
        <v>0.5</v>
      </c>
      <c r="F65" s="2039">
        <v>12</v>
      </c>
      <c r="G65" s="2039">
        <v>32</v>
      </c>
      <c r="H65" s="2497">
        <f t="shared" si="2"/>
        <v>6353.7786930298407</v>
      </c>
    </row>
    <row r="66" spans="1:8" ht="20.100000000000001" customHeight="1" x14ac:dyDescent="0.2">
      <c r="A66" s="3904"/>
      <c r="B66" s="3904"/>
      <c r="C66" s="3906"/>
      <c r="D66" s="2039">
        <v>11</v>
      </c>
      <c r="E66" s="2039">
        <v>0.5</v>
      </c>
      <c r="F66" s="2039">
        <v>12</v>
      </c>
      <c r="G66" s="2039">
        <v>2.8</v>
      </c>
      <c r="H66" s="2497">
        <f t="shared" si="2"/>
        <v>1879.4730836061469</v>
      </c>
    </row>
    <row r="67" spans="1:8" ht="20.100000000000001" customHeight="1" x14ac:dyDescent="0.2">
      <c r="A67" s="3904"/>
      <c r="B67" s="3904"/>
      <c r="C67" s="3906"/>
      <c r="D67" s="2039">
        <v>12</v>
      </c>
      <c r="E67" s="2039">
        <v>0.5</v>
      </c>
      <c r="F67" s="2039">
        <v>12</v>
      </c>
      <c r="G67" s="2039">
        <v>2.8</v>
      </c>
      <c r="H67" s="2497">
        <f t="shared" si="2"/>
        <v>1879.4730836061469</v>
      </c>
    </row>
    <row r="68" spans="1:8" ht="20.100000000000001" customHeight="1" x14ac:dyDescent="0.2">
      <c r="A68" s="3904"/>
      <c r="B68" s="3904"/>
      <c r="C68" s="3906"/>
      <c r="D68" s="3906" t="s">
        <v>54</v>
      </c>
      <c r="E68" s="3906"/>
      <c r="F68" s="3906"/>
      <c r="G68" s="3906"/>
      <c r="H68" s="2541">
        <f>SUM(H56:H67)</f>
        <v>12119.898982163624</v>
      </c>
    </row>
    <row r="69" spans="1:8" ht="31.5" customHeight="1" x14ac:dyDescent="0.2">
      <c r="A69" s="3904" t="s">
        <v>922</v>
      </c>
      <c r="B69" s="3904" t="s">
        <v>2181</v>
      </c>
      <c r="C69" s="3906" t="s">
        <v>2182</v>
      </c>
      <c r="D69" s="2039" t="s">
        <v>2175</v>
      </c>
      <c r="E69" s="2039" t="s">
        <v>2180</v>
      </c>
      <c r="F69" s="2039" t="s">
        <v>2176</v>
      </c>
      <c r="G69" s="2039" t="s">
        <v>2177</v>
      </c>
    </row>
    <row r="70" spans="1:8" ht="20.100000000000001" customHeight="1" x14ac:dyDescent="0.2">
      <c r="A70" s="3904"/>
      <c r="B70" s="3904"/>
      <c r="C70" s="3906"/>
      <c r="D70" s="2039">
        <v>1</v>
      </c>
      <c r="E70" s="2039">
        <v>0.25</v>
      </c>
      <c r="F70" s="2039">
        <v>1.5</v>
      </c>
      <c r="G70" s="2039">
        <v>2.5</v>
      </c>
      <c r="H70" s="2497">
        <f>5652*E70*E70*F70*SQRT(G70)</f>
        <v>837.80593759086003</v>
      </c>
    </row>
    <row r="71" spans="1:8" ht="20.100000000000001" customHeight="1" x14ac:dyDescent="0.2">
      <c r="A71" s="3904"/>
      <c r="B71" s="3904"/>
      <c r="C71" s="3906"/>
      <c r="D71" s="2039">
        <v>2</v>
      </c>
      <c r="E71" s="2039">
        <v>0.2</v>
      </c>
      <c r="F71" s="2039">
        <v>1</v>
      </c>
      <c r="G71" s="2039">
        <v>2.5</v>
      </c>
      <c r="H71" s="2497">
        <f t="shared" ref="H71:H79" si="3">5652*E71*E71*F71*SQRT(G71)</f>
        <v>357.4638667054337</v>
      </c>
    </row>
    <row r="72" spans="1:8" ht="20.100000000000001" customHeight="1" x14ac:dyDescent="0.2">
      <c r="A72" s="3904"/>
      <c r="B72" s="3904"/>
      <c r="C72" s="3906"/>
      <c r="D72" s="2039">
        <v>3</v>
      </c>
      <c r="E72" s="2039">
        <v>0.25</v>
      </c>
      <c r="F72" s="2039">
        <v>1.5</v>
      </c>
      <c r="G72" s="2039">
        <v>2.5</v>
      </c>
      <c r="H72" s="2497">
        <f t="shared" si="3"/>
        <v>837.80593759086003</v>
      </c>
    </row>
    <row r="73" spans="1:8" ht="20.100000000000001" customHeight="1" x14ac:dyDescent="0.2">
      <c r="A73" s="3904"/>
      <c r="B73" s="3904"/>
      <c r="C73" s="3906"/>
      <c r="D73" s="2039">
        <v>4</v>
      </c>
      <c r="E73" s="2039">
        <v>0.15</v>
      </c>
      <c r="F73" s="2039">
        <v>1.2</v>
      </c>
      <c r="G73" s="2039">
        <v>2.5</v>
      </c>
      <c r="H73" s="2497">
        <f t="shared" si="3"/>
        <v>241.28811002616766</v>
      </c>
    </row>
    <row r="74" spans="1:8" ht="20.100000000000001" customHeight="1" x14ac:dyDescent="0.2">
      <c r="A74" s="3904"/>
      <c r="B74" s="3904"/>
      <c r="C74" s="3906"/>
      <c r="D74" s="2039">
        <v>5</v>
      </c>
      <c r="E74" s="2039">
        <v>0.15</v>
      </c>
      <c r="F74" s="2039">
        <v>1</v>
      </c>
      <c r="G74" s="2039">
        <v>2.5</v>
      </c>
      <c r="H74" s="2497">
        <f t="shared" si="3"/>
        <v>201.0734250218064</v>
      </c>
    </row>
    <row r="75" spans="1:8" ht="20.100000000000001" customHeight="1" x14ac:dyDescent="0.2">
      <c r="A75" s="3904"/>
      <c r="B75" s="3904"/>
      <c r="C75" s="3906"/>
      <c r="D75" s="2039">
        <v>6</v>
      </c>
      <c r="E75" s="2039">
        <v>0.15</v>
      </c>
      <c r="F75" s="2039">
        <v>1.5</v>
      </c>
      <c r="G75" s="2039">
        <v>2.5</v>
      </c>
      <c r="H75" s="2497">
        <f t="shared" si="3"/>
        <v>301.61013753270959</v>
      </c>
    </row>
    <row r="76" spans="1:8" ht="20.100000000000001" customHeight="1" x14ac:dyDescent="0.2">
      <c r="A76" s="3904"/>
      <c r="B76" s="3904"/>
      <c r="C76" s="3906"/>
      <c r="D76" s="2039">
        <v>7</v>
      </c>
      <c r="E76" s="2039">
        <v>0.15</v>
      </c>
      <c r="F76" s="2039">
        <v>1.2</v>
      </c>
      <c r="G76" s="2039">
        <v>2.5</v>
      </c>
      <c r="H76" s="2497">
        <f t="shared" si="3"/>
        <v>241.28811002616766</v>
      </c>
    </row>
    <row r="77" spans="1:8" ht="20.100000000000001" customHeight="1" x14ac:dyDescent="0.2">
      <c r="A77" s="3904"/>
      <c r="B77" s="3904"/>
      <c r="C77" s="3906"/>
      <c r="D77" s="2039">
        <v>8</v>
      </c>
      <c r="E77" s="2039">
        <v>0.15</v>
      </c>
      <c r="F77" s="2039">
        <v>1.1000000000000001</v>
      </c>
      <c r="G77" s="2039">
        <v>2.5</v>
      </c>
      <c r="H77" s="2497">
        <f t="shared" si="3"/>
        <v>221.18076752398704</v>
      </c>
    </row>
    <row r="78" spans="1:8" ht="20.100000000000001" customHeight="1" x14ac:dyDescent="0.2">
      <c r="A78" s="3904"/>
      <c r="B78" s="3904"/>
      <c r="C78" s="3906"/>
      <c r="D78" s="2039">
        <v>9</v>
      </c>
      <c r="E78" s="2039">
        <v>0.1</v>
      </c>
      <c r="F78" s="2039">
        <v>1</v>
      </c>
      <c r="G78" s="2039">
        <v>2.5</v>
      </c>
      <c r="H78" s="2497">
        <f t="shared" si="3"/>
        <v>89.365966676358426</v>
      </c>
    </row>
    <row r="79" spans="1:8" ht="20.100000000000001" customHeight="1" x14ac:dyDescent="0.2">
      <c r="A79" s="3904"/>
      <c r="B79" s="3904"/>
      <c r="C79" s="3906"/>
      <c r="D79" s="2039">
        <v>10</v>
      </c>
      <c r="E79" s="2039">
        <v>0.1</v>
      </c>
      <c r="F79" s="2039">
        <v>1</v>
      </c>
      <c r="G79" s="2039">
        <v>2.5</v>
      </c>
      <c r="H79" s="2497">
        <f t="shared" si="3"/>
        <v>89.365966676358426</v>
      </c>
    </row>
    <row r="80" spans="1:8" ht="20.100000000000001" customHeight="1" x14ac:dyDescent="0.2">
      <c r="A80" s="3904"/>
      <c r="B80" s="3904"/>
      <c r="C80" s="3906"/>
      <c r="D80" s="3906" t="s">
        <v>54</v>
      </c>
      <c r="E80" s="3906"/>
      <c r="F80" s="3906"/>
      <c r="G80" s="3906"/>
      <c r="H80" s="2541">
        <f>SUM(H70:H79)</f>
        <v>3418.2482253707085</v>
      </c>
    </row>
    <row r="81" spans="1:9" ht="146.25" customHeight="1" x14ac:dyDescent="0.2">
      <c r="A81" s="3904" t="s">
        <v>938</v>
      </c>
      <c r="B81" s="3904" t="s">
        <v>2183</v>
      </c>
      <c r="C81" s="3906" t="s">
        <v>2184</v>
      </c>
      <c r="D81" s="2039" t="s">
        <v>2185</v>
      </c>
      <c r="E81" s="2039" t="s">
        <v>2186</v>
      </c>
      <c r="F81" s="2039" t="s">
        <v>2187</v>
      </c>
      <c r="G81" s="2039" t="s">
        <v>2188</v>
      </c>
    </row>
    <row r="82" spans="1:9" ht="77.25" customHeight="1" x14ac:dyDescent="0.2">
      <c r="A82" s="3904"/>
      <c r="B82" s="3904"/>
      <c r="C82" s="3906"/>
      <c r="D82" s="2039">
        <v>0.02</v>
      </c>
      <c r="E82" s="2039">
        <v>2800</v>
      </c>
      <c r="F82" s="2039">
        <v>4.3</v>
      </c>
      <c r="G82" s="2039">
        <v>365</v>
      </c>
      <c r="H82" s="2885">
        <f>D82*E82*F82*G82</f>
        <v>87892</v>
      </c>
    </row>
    <row r="83" spans="1:9" ht="123.75" customHeight="1" x14ac:dyDescent="0.2">
      <c r="A83" s="3904" t="s">
        <v>940</v>
      </c>
      <c r="B83" s="3906" t="s">
        <v>2189</v>
      </c>
      <c r="C83" s="3906" t="s">
        <v>2190</v>
      </c>
      <c r="D83" s="2039" t="s">
        <v>2185</v>
      </c>
      <c r="E83" s="2039" t="s">
        <v>2186</v>
      </c>
      <c r="F83" s="2039" t="s">
        <v>2187</v>
      </c>
      <c r="G83" s="2039" t="s">
        <v>2188</v>
      </c>
    </row>
    <row r="84" spans="1:9" ht="33.75" customHeight="1" x14ac:dyDescent="0.2">
      <c r="A84" s="3904"/>
      <c r="B84" s="3906"/>
      <c r="C84" s="3906"/>
      <c r="D84" s="2039">
        <v>4.9100000000000001E-4</v>
      </c>
      <c r="E84" s="2039">
        <v>30</v>
      </c>
      <c r="F84" s="2039">
        <v>101</v>
      </c>
      <c r="G84" s="2039">
        <v>227</v>
      </c>
      <c r="H84" s="2885">
        <f>D84*E84*F84*G84</f>
        <v>337.71471000000003</v>
      </c>
    </row>
    <row r="85" spans="1:9" ht="141" customHeight="1" x14ac:dyDescent="0.2">
      <c r="A85" s="3904" t="s">
        <v>2191</v>
      </c>
      <c r="B85" s="3906" t="s">
        <v>2192</v>
      </c>
      <c r="C85" s="3906" t="s">
        <v>2193</v>
      </c>
      <c r="E85" s="2039" t="s">
        <v>2194</v>
      </c>
      <c r="F85" s="2039" t="s">
        <v>2186</v>
      </c>
      <c r="G85" s="2039" t="s">
        <v>2188</v>
      </c>
    </row>
    <row r="86" spans="1:9" ht="54" customHeight="1" x14ac:dyDescent="0.2">
      <c r="A86" s="3904"/>
      <c r="B86" s="3906"/>
      <c r="C86" s="3906"/>
      <c r="D86" s="2039">
        <v>1.8000000000000001E-4</v>
      </c>
      <c r="E86" s="2039">
        <v>12</v>
      </c>
      <c r="F86" s="2039">
        <v>34</v>
      </c>
      <c r="G86" s="2039">
        <v>365</v>
      </c>
      <c r="H86" s="2497">
        <f>9600*0.0017*D86*SQRT(E86)*20*F86*G86</f>
        <v>2525.7191653288355</v>
      </c>
    </row>
    <row r="87" spans="1:9" ht="27.75" customHeight="1" x14ac:dyDescent="0.2">
      <c r="A87" s="3904" t="s">
        <v>2195</v>
      </c>
      <c r="B87" s="3904" t="s">
        <v>2196</v>
      </c>
      <c r="C87" s="3906" t="s">
        <v>2197</v>
      </c>
      <c r="D87" s="2039" t="s">
        <v>2198</v>
      </c>
      <c r="F87" s="2039" t="s">
        <v>2186</v>
      </c>
      <c r="G87" s="2039" t="s">
        <v>2176</v>
      </c>
      <c r="I87" s="2871" t="s">
        <v>2199</v>
      </c>
    </row>
    <row r="88" spans="1:9" ht="20.100000000000001" customHeight="1" x14ac:dyDescent="0.2">
      <c r="A88" s="3904"/>
      <c r="B88" s="3904"/>
      <c r="C88" s="3906"/>
      <c r="D88" s="2039">
        <v>50</v>
      </c>
      <c r="E88" s="2039">
        <v>16.733499999999999</v>
      </c>
      <c r="F88" s="2039">
        <v>6.7</v>
      </c>
      <c r="G88" s="2039">
        <v>8760</v>
      </c>
      <c r="H88" s="2497">
        <f>G88*E88*F88/1000</f>
        <v>982.12258199999997</v>
      </c>
    </row>
    <row r="89" spans="1:9" ht="20.100000000000001" customHeight="1" x14ac:dyDescent="0.2">
      <c r="A89" s="3904"/>
      <c r="B89" s="3904"/>
      <c r="C89" s="3906"/>
      <c r="D89" s="2039">
        <v>100</v>
      </c>
      <c r="E89" s="2039">
        <v>20.279900000000001</v>
      </c>
      <c r="F89" s="2039">
        <v>16.8</v>
      </c>
      <c r="G89" s="2039">
        <v>8760</v>
      </c>
      <c r="H89" s="2497">
        <f t="shared" ref="H89:H107" si="4">G89*E89*F89/1000</f>
        <v>2984.5523232</v>
      </c>
    </row>
    <row r="90" spans="1:9" ht="20.100000000000001" customHeight="1" x14ac:dyDescent="0.2">
      <c r="A90" s="3904"/>
      <c r="B90" s="3904"/>
      <c r="C90" s="3906"/>
      <c r="D90" s="2039">
        <v>150</v>
      </c>
      <c r="E90" s="2039">
        <v>25.648</v>
      </c>
      <c r="F90" s="2039">
        <v>25.2</v>
      </c>
      <c r="G90" s="2039">
        <v>8760</v>
      </c>
      <c r="H90" s="2497">
        <f t="shared" si="4"/>
        <v>5661.8472959999999</v>
      </c>
    </row>
    <row r="91" spans="1:9" ht="20.100000000000001" customHeight="1" x14ac:dyDescent="0.2">
      <c r="A91" s="3904"/>
      <c r="B91" s="3904"/>
      <c r="C91" s="3906"/>
      <c r="D91" s="2039">
        <v>200</v>
      </c>
      <c r="E91" s="2039">
        <v>4.0561999999999996</v>
      </c>
      <c r="F91" s="2039">
        <v>33.6</v>
      </c>
      <c r="G91" s="2039">
        <v>8760</v>
      </c>
      <c r="H91" s="2497">
        <f t="shared" si="4"/>
        <v>1193.8856832000001</v>
      </c>
    </row>
    <row r="92" spans="1:9" ht="20.100000000000001" customHeight="1" x14ac:dyDescent="0.2">
      <c r="A92" s="3904"/>
      <c r="B92" s="3904"/>
      <c r="C92" s="3906"/>
      <c r="D92" s="2039">
        <v>250</v>
      </c>
      <c r="E92" s="2039">
        <v>13.918699999999999</v>
      </c>
      <c r="F92" s="2039">
        <v>42</v>
      </c>
      <c r="G92" s="2039">
        <v>8760</v>
      </c>
      <c r="H92" s="2497">
        <f t="shared" si="4"/>
        <v>5120.9681039999996</v>
      </c>
    </row>
    <row r="93" spans="1:9" ht="20.100000000000001" customHeight="1" x14ac:dyDescent="0.2">
      <c r="A93" s="3904"/>
      <c r="B93" s="3904"/>
      <c r="C93" s="3906"/>
      <c r="D93" s="2039">
        <v>300</v>
      </c>
      <c r="E93" s="2039">
        <v>0.47349999999999998</v>
      </c>
      <c r="F93" s="2039">
        <v>51</v>
      </c>
      <c r="G93" s="2039">
        <v>8760</v>
      </c>
      <c r="H93" s="2497">
        <f t="shared" si="4"/>
        <v>211.54085999999998</v>
      </c>
    </row>
    <row r="94" spans="1:9" ht="20.100000000000001" customHeight="1" x14ac:dyDescent="0.2">
      <c r="A94" s="3904"/>
      <c r="B94" s="3904"/>
      <c r="C94" s="3906"/>
      <c r="D94" s="2039">
        <v>350</v>
      </c>
      <c r="E94" s="2039">
        <v>2.4906999999999999</v>
      </c>
      <c r="F94" s="2039">
        <v>54</v>
      </c>
      <c r="G94" s="2039">
        <v>8760</v>
      </c>
      <c r="H94" s="2497">
        <f t="shared" si="4"/>
        <v>1178.2007279999998</v>
      </c>
    </row>
    <row r="95" spans="1:9" ht="20.100000000000001" customHeight="1" x14ac:dyDescent="0.2">
      <c r="A95" s="3904"/>
      <c r="B95" s="3904"/>
      <c r="C95" s="3906"/>
      <c r="D95" s="2039">
        <v>400</v>
      </c>
      <c r="E95" s="2039">
        <v>3.9615</v>
      </c>
      <c r="F95" s="2039">
        <v>60</v>
      </c>
      <c r="G95" s="2039">
        <v>8760</v>
      </c>
      <c r="H95" s="2497">
        <f t="shared" si="4"/>
        <v>2082.1644000000001</v>
      </c>
    </row>
    <row r="96" spans="1:9" ht="20.100000000000001" customHeight="1" x14ac:dyDescent="0.2">
      <c r="A96" s="3904"/>
      <c r="B96" s="3904"/>
      <c r="C96" s="3906"/>
      <c r="D96" s="2039">
        <v>450</v>
      </c>
      <c r="E96" s="2039">
        <v>4.4499999999999998E-2</v>
      </c>
      <c r="F96" s="2039">
        <v>63</v>
      </c>
      <c r="G96" s="2039">
        <v>8760</v>
      </c>
      <c r="H96" s="2497">
        <f t="shared" si="4"/>
        <v>24.55866</v>
      </c>
    </row>
    <row r="97" spans="1:8" ht="20.100000000000001" customHeight="1" x14ac:dyDescent="0.2">
      <c r="A97" s="3904"/>
      <c r="B97" s="3904"/>
      <c r="C97" s="3906"/>
      <c r="D97" s="2039">
        <v>500</v>
      </c>
      <c r="E97" s="2039">
        <v>4.8689999999999998</v>
      </c>
      <c r="F97" s="2039">
        <v>66</v>
      </c>
      <c r="G97" s="2039">
        <v>8760</v>
      </c>
      <c r="H97" s="2497">
        <f t="shared" si="4"/>
        <v>2815.0610399999996</v>
      </c>
    </row>
    <row r="98" spans="1:8" ht="20.100000000000001" customHeight="1" x14ac:dyDescent="0.2">
      <c r="A98" s="3904"/>
      <c r="B98" s="3904"/>
      <c r="C98" s="3906"/>
      <c r="D98" s="2039">
        <v>50</v>
      </c>
      <c r="E98" s="2039">
        <v>4.0964999999999998</v>
      </c>
      <c r="F98" s="2039">
        <v>21</v>
      </c>
      <c r="G98" s="2039">
        <v>8760</v>
      </c>
      <c r="H98" s="2497">
        <f t="shared" si="4"/>
        <v>753.59213999999986</v>
      </c>
    </row>
    <row r="99" spans="1:8" ht="20.100000000000001" customHeight="1" x14ac:dyDescent="0.2">
      <c r="A99" s="3904"/>
      <c r="B99" s="3904"/>
      <c r="C99" s="3906"/>
      <c r="D99" s="2039">
        <v>100</v>
      </c>
      <c r="E99" s="2039">
        <v>3.2572000000000001</v>
      </c>
      <c r="F99" s="2039">
        <v>42</v>
      </c>
      <c r="G99" s="2039">
        <v>8760</v>
      </c>
      <c r="H99" s="2497">
        <f t="shared" si="4"/>
        <v>1198.3890240000001</v>
      </c>
    </row>
    <row r="100" spans="1:8" ht="20.100000000000001" customHeight="1" x14ac:dyDescent="0.2">
      <c r="A100" s="3904"/>
      <c r="B100" s="3904"/>
      <c r="C100" s="3906"/>
      <c r="D100" s="2039">
        <v>150</v>
      </c>
      <c r="E100" s="2039">
        <v>2.8879000000000001</v>
      </c>
      <c r="F100" s="2039">
        <v>63</v>
      </c>
      <c r="G100" s="2039">
        <v>8760</v>
      </c>
      <c r="H100" s="2497">
        <f t="shared" si="4"/>
        <v>1593.7742520000002</v>
      </c>
    </row>
    <row r="101" spans="1:8" ht="20.100000000000001" customHeight="1" x14ac:dyDescent="0.2">
      <c r="A101" s="3904"/>
      <c r="B101" s="3904"/>
      <c r="C101" s="3906"/>
      <c r="D101" s="2039">
        <v>200</v>
      </c>
      <c r="E101" s="2039">
        <v>22.787800000000001</v>
      </c>
      <c r="F101" s="2039">
        <v>84</v>
      </c>
      <c r="G101" s="2039">
        <v>8760</v>
      </c>
      <c r="H101" s="2497">
        <f t="shared" si="4"/>
        <v>16768.174751999999</v>
      </c>
    </row>
    <row r="102" spans="1:8" ht="20.100000000000001" customHeight="1" x14ac:dyDescent="0.2">
      <c r="A102" s="3904"/>
      <c r="B102" s="3904"/>
      <c r="C102" s="3906"/>
      <c r="D102" s="2039">
        <v>250</v>
      </c>
      <c r="E102" s="2039">
        <v>3.8637000000000001</v>
      </c>
      <c r="F102" s="2039">
        <v>93</v>
      </c>
      <c r="G102" s="2039">
        <v>8760</v>
      </c>
      <c r="H102" s="2497">
        <f t="shared" si="4"/>
        <v>3147.6791160000002</v>
      </c>
    </row>
    <row r="103" spans="1:8" ht="20.100000000000001" customHeight="1" x14ac:dyDescent="0.2">
      <c r="A103" s="3904"/>
      <c r="B103" s="3904"/>
      <c r="C103" s="3906"/>
      <c r="D103" s="2039">
        <v>300</v>
      </c>
      <c r="E103" s="2039">
        <v>2.9369999999999998</v>
      </c>
      <c r="F103" s="2039">
        <v>102</v>
      </c>
      <c r="G103" s="2039">
        <v>8760</v>
      </c>
      <c r="H103" s="2497">
        <f t="shared" si="4"/>
        <v>2624.2682399999999</v>
      </c>
    </row>
    <row r="104" spans="1:8" ht="20.100000000000001" customHeight="1" x14ac:dyDescent="0.2">
      <c r="A104" s="3904"/>
      <c r="B104" s="3904"/>
      <c r="C104" s="3906"/>
      <c r="D104" s="2039">
        <v>350</v>
      </c>
      <c r="E104" s="2039">
        <v>0.10100000000000001</v>
      </c>
      <c r="F104" s="2039">
        <v>108</v>
      </c>
      <c r="G104" s="2039">
        <v>8760</v>
      </c>
      <c r="H104" s="2497">
        <f t="shared" si="4"/>
        <v>95.554080000000013</v>
      </c>
    </row>
    <row r="105" spans="1:8" ht="20.100000000000001" customHeight="1" x14ac:dyDescent="0.2">
      <c r="A105" s="3904"/>
      <c r="B105" s="3904"/>
      <c r="C105" s="3906"/>
      <c r="D105" s="2039">
        <v>32</v>
      </c>
      <c r="E105" s="2039">
        <v>1.7849999999999999</v>
      </c>
      <c r="F105" s="2039">
        <v>4.4000000000000004</v>
      </c>
      <c r="G105" s="2039">
        <v>8760</v>
      </c>
      <c r="H105" s="2497">
        <f t="shared" si="4"/>
        <v>68.80104</v>
      </c>
    </row>
    <row r="106" spans="1:8" ht="20.100000000000001" customHeight="1" x14ac:dyDescent="0.2">
      <c r="A106" s="3904"/>
      <c r="B106" s="3904"/>
      <c r="C106" s="3906"/>
      <c r="D106" s="2039">
        <v>60</v>
      </c>
      <c r="E106" s="2039">
        <v>1.2150000000000001</v>
      </c>
      <c r="F106" s="2039">
        <v>10.5</v>
      </c>
      <c r="G106" s="2039">
        <v>8760</v>
      </c>
      <c r="H106" s="2497">
        <f t="shared" si="4"/>
        <v>111.75570000000002</v>
      </c>
    </row>
    <row r="107" spans="1:8" ht="20.100000000000001" customHeight="1" x14ac:dyDescent="0.2">
      <c r="A107" s="3904"/>
      <c r="B107" s="3904"/>
      <c r="C107" s="3906"/>
      <c r="D107" s="2039">
        <v>400</v>
      </c>
      <c r="E107" s="2039">
        <v>5.8502000000000001</v>
      </c>
      <c r="F107" s="2039">
        <v>117</v>
      </c>
      <c r="G107" s="2039">
        <v>8760</v>
      </c>
      <c r="H107" s="2497">
        <f t="shared" si="4"/>
        <v>5995.9869840000001</v>
      </c>
    </row>
    <row r="108" spans="1:8" ht="18.75" customHeight="1" x14ac:dyDescent="0.2">
      <c r="A108" s="3904"/>
      <c r="B108" s="3904"/>
      <c r="C108" s="3906"/>
      <c r="D108" s="3906" t="s">
        <v>54</v>
      </c>
      <c r="E108" s="3906"/>
      <c r="F108" s="3906"/>
      <c r="G108" s="3906"/>
      <c r="H108" s="2541">
        <f>SUM(H88:H107)</f>
        <v>54612.877004400005</v>
      </c>
    </row>
    <row r="109" spans="1:8" ht="20.100000000000001" customHeight="1" x14ac:dyDescent="0.2">
      <c r="A109" s="3904"/>
      <c r="B109" s="3904"/>
      <c r="C109" s="3906" t="s">
        <v>2200</v>
      </c>
      <c r="D109" s="2039" t="s">
        <v>2201</v>
      </c>
      <c r="G109" s="2039" t="s">
        <v>2176</v>
      </c>
    </row>
    <row r="110" spans="1:8" ht="20.100000000000001" customHeight="1" x14ac:dyDescent="0.2">
      <c r="A110" s="3904"/>
      <c r="B110" s="3904"/>
      <c r="C110" s="3906"/>
      <c r="D110" s="2039">
        <v>1</v>
      </c>
      <c r="E110" s="2039">
        <v>0.125</v>
      </c>
      <c r="F110" s="2039">
        <v>642</v>
      </c>
      <c r="G110" s="2039">
        <v>8760</v>
      </c>
      <c r="H110" s="2497">
        <f>F110*0.125*G110/1000</f>
        <v>702.99</v>
      </c>
    </row>
    <row r="111" spans="1:8" ht="20.100000000000001" customHeight="1" x14ac:dyDescent="0.2">
      <c r="A111" s="3904"/>
      <c r="B111" s="3904"/>
      <c r="C111" s="3906"/>
      <c r="D111" s="2039">
        <v>2</v>
      </c>
      <c r="E111" s="2039">
        <v>0.125</v>
      </c>
      <c r="F111" s="2039">
        <v>642</v>
      </c>
      <c r="G111" s="2039">
        <v>8760</v>
      </c>
      <c r="H111" s="2497">
        <f t="shared" ref="H111:H113" si="5">F111*0.125*G111/1000</f>
        <v>702.99</v>
      </c>
    </row>
    <row r="112" spans="1:8" ht="20.100000000000001" customHeight="1" x14ac:dyDescent="0.2">
      <c r="A112" s="3904"/>
      <c r="B112" s="3904"/>
      <c r="C112" s="3906"/>
      <c r="D112" s="2039">
        <v>3</v>
      </c>
      <c r="E112" s="2039">
        <v>0.125</v>
      </c>
      <c r="F112" s="2039">
        <v>325</v>
      </c>
      <c r="G112" s="2039">
        <v>8760</v>
      </c>
      <c r="H112" s="2497">
        <f t="shared" si="5"/>
        <v>355.875</v>
      </c>
    </row>
    <row r="113" spans="1:8" ht="20.100000000000001" customHeight="1" x14ac:dyDescent="0.2">
      <c r="A113" s="3904"/>
      <c r="B113" s="3904"/>
      <c r="C113" s="3906"/>
      <c r="D113" s="2039">
        <v>4</v>
      </c>
      <c r="E113" s="2039">
        <v>0.125</v>
      </c>
      <c r="F113" s="2039">
        <v>325</v>
      </c>
      <c r="G113" s="2039">
        <v>8760</v>
      </c>
      <c r="H113" s="2497">
        <f t="shared" si="5"/>
        <v>355.875</v>
      </c>
    </row>
    <row r="114" spans="1:8" ht="20.100000000000001" customHeight="1" x14ac:dyDescent="0.2">
      <c r="A114" s="3904"/>
      <c r="B114" s="3904"/>
      <c r="C114" s="3906"/>
      <c r="D114" s="3906" t="s">
        <v>54</v>
      </c>
      <c r="E114" s="3906"/>
      <c r="F114" s="3906"/>
      <c r="G114" s="3906"/>
      <c r="H114" s="2541">
        <f>SUM(H110:H113)</f>
        <v>2117.73</v>
      </c>
    </row>
    <row r="115" spans="1:8" ht="20.100000000000001" customHeight="1" x14ac:dyDescent="0.2">
      <c r="A115" s="3904"/>
      <c r="B115" s="3904"/>
      <c r="C115" s="3906" t="s">
        <v>2202</v>
      </c>
      <c r="D115" s="3906"/>
      <c r="E115" s="3906"/>
      <c r="F115" s="3906"/>
      <c r="G115" s="3906"/>
      <c r="H115" s="2541">
        <f>H114+H108</f>
        <v>56730.607004400008</v>
      </c>
    </row>
    <row r="116" spans="1:8" ht="20.100000000000001" customHeight="1" x14ac:dyDescent="0.2">
      <c r="A116" s="3904" t="s">
        <v>2203</v>
      </c>
      <c r="B116" s="3904" t="s">
        <v>2204</v>
      </c>
      <c r="C116" s="3906" t="s">
        <v>2205</v>
      </c>
      <c r="E116" s="2039">
        <v>2015</v>
      </c>
      <c r="F116" s="2039">
        <v>2016</v>
      </c>
      <c r="G116" s="2039">
        <v>2017</v>
      </c>
      <c r="H116" s="2497" t="s">
        <v>2206</v>
      </c>
    </row>
    <row r="117" spans="1:8" ht="44.25" customHeight="1" x14ac:dyDescent="0.2">
      <c r="A117" s="3904"/>
      <c r="B117" s="3904"/>
      <c r="C117" s="3906"/>
      <c r="E117" s="2039">
        <v>254</v>
      </c>
      <c r="F117" s="2039">
        <v>270</v>
      </c>
      <c r="G117" s="2039">
        <v>262</v>
      </c>
      <c r="H117" s="2541">
        <f>(E117+F117+G117)/3</f>
        <v>262</v>
      </c>
    </row>
    <row r="118" spans="1:8" ht="118.5" customHeight="1" x14ac:dyDescent="0.2">
      <c r="A118" s="3904" t="s">
        <v>2207</v>
      </c>
      <c r="B118" s="3904" t="s">
        <v>2208</v>
      </c>
      <c r="C118" s="3906" t="s">
        <v>2209</v>
      </c>
      <c r="G118" s="2039" t="s">
        <v>2210</v>
      </c>
    </row>
    <row r="119" spans="1:8" x14ac:dyDescent="0.2">
      <c r="A119" s="3904"/>
      <c r="B119" s="3904"/>
      <c r="C119" s="3906"/>
      <c r="E119" s="2039">
        <v>1.7999999999999999E-2</v>
      </c>
      <c r="F119" s="2887">
        <f>объемы!AN48*1000+объемы!AO48*1000</f>
        <v>3657570</v>
      </c>
      <c r="G119" s="2886">
        <f>'приборы учета'!C14</f>
        <v>0.72894180113699425</v>
      </c>
      <c r="H119" s="2497">
        <f>E119*F119*G119</f>
        <v>47990.801944523446</v>
      </c>
    </row>
    <row r="120" spans="1:8" ht="111.75" customHeight="1" x14ac:dyDescent="0.2">
      <c r="A120" s="3904"/>
      <c r="B120" s="3904"/>
      <c r="C120" s="3906" t="s">
        <v>2211</v>
      </c>
      <c r="G120" s="2039" t="s">
        <v>2212</v>
      </c>
    </row>
    <row r="121" spans="1:8" ht="19.5" customHeight="1" x14ac:dyDescent="0.2">
      <c r="A121" s="3904"/>
      <c r="B121" s="3904"/>
      <c r="C121" s="3906"/>
      <c r="D121" s="2888">
        <v>5140000</v>
      </c>
      <c r="E121" s="2039">
        <v>0</v>
      </c>
      <c r="F121" s="2557">
        <f>H7</f>
        <v>27239.97</v>
      </c>
      <c r="G121" s="2557">
        <f>H115</f>
        <v>56730.607004400008</v>
      </c>
      <c r="H121" s="2497">
        <f>D121-F119-(E121+F121+G121+H119)</f>
        <v>1350468.6210510766</v>
      </c>
    </row>
    <row r="122" spans="1:8" x14ac:dyDescent="0.2">
      <c r="A122" s="3904"/>
      <c r="B122" s="3904"/>
      <c r="C122" s="2039" t="s">
        <v>296</v>
      </c>
      <c r="H122" s="2497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908</v>
      </c>
    </row>
    <row r="5" spans="1:3" x14ac:dyDescent="0.2">
      <c r="A5" s="5" t="s">
        <v>261</v>
      </c>
      <c r="B5" s="5">
        <f>B6+B7</f>
        <v>2447773.2599999998</v>
      </c>
    </row>
    <row r="6" spans="1:3" x14ac:dyDescent="0.2">
      <c r="A6" s="5" t="s">
        <v>2214</v>
      </c>
      <c r="B6" s="5">
        <v>1459695.6410000001</v>
      </c>
    </row>
    <row r="7" spans="1:3" x14ac:dyDescent="0.2">
      <c r="A7" s="5" t="s">
        <v>2215</v>
      </c>
      <c r="B7" s="5">
        <v>988077.61899999995</v>
      </c>
    </row>
    <row r="9" spans="1:3" x14ac:dyDescent="0.2">
      <c r="A9" s="5" t="s">
        <v>2216</v>
      </c>
      <c r="B9" s="5">
        <f>B10+B11</f>
        <v>1208022.352</v>
      </c>
    </row>
    <row r="10" spans="1:3" x14ac:dyDescent="0.2">
      <c r="A10" s="5" t="s">
        <v>2214</v>
      </c>
      <c r="B10" s="5">
        <v>1205166.5970000001</v>
      </c>
    </row>
    <row r="11" spans="1:3" x14ac:dyDescent="0.2">
      <c r="A11" s="5" t="s">
        <v>2215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2214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2215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48"/>
  <sheetViews>
    <sheetView workbookViewId="0">
      <selection activeCell="J36" sqref="J36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3916" t="s">
        <v>1599</v>
      </c>
      <c r="B1" s="3916"/>
      <c r="C1" s="3916"/>
      <c r="D1" s="3916"/>
      <c r="E1" s="3916"/>
      <c r="F1" s="3916"/>
      <c r="G1" s="3916"/>
      <c r="H1" s="3916"/>
      <c r="I1" s="3916"/>
    </row>
    <row r="2" spans="1:11" ht="15" x14ac:dyDescent="0.25">
      <c r="B2" s="1995"/>
      <c r="C2" s="1995"/>
      <c r="D2" s="1995"/>
      <c r="E2" s="1995"/>
      <c r="F2" s="1995"/>
      <c r="G2" s="1995"/>
      <c r="H2" s="1995"/>
    </row>
    <row r="3" spans="1:11" ht="15" x14ac:dyDescent="0.25">
      <c r="A3" s="3917" t="s">
        <v>46</v>
      </c>
      <c r="B3" s="3917"/>
      <c r="C3" s="1995"/>
      <c r="D3" s="1996"/>
      <c r="E3" s="1996"/>
      <c r="F3" s="1996"/>
      <c r="G3" s="1997"/>
      <c r="H3" s="1996"/>
      <c r="I3" s="1996"/>
    </row>
    <row r="4" spans="1:11" ht="15" x14ac:dyDescent="0.25">
      <c r="A4" s="1998" t="s">
        <v>1579</v>
      </c>
      <c r="B4" s="1999">
        <v>2010</v>
      </c>
      <c r="C4" s="1999">
        <v>2011</v>
      </c>
      <c r="D4" s="1999">
        <v>2012</v>
      </c>
      <c r="E4" s="1999">
        <v>2013</v>
      </c>
      <c r="F4" s="1999">
        <v>2014</v>
      </c>
      <c r="G4" s="1999">
        <v>2015</v>
      </c>
      <c r="H4" s="2000">
        <v>2016</v>
      </c>
      <c r="I4" s="2000">
        <v>2017</v>
      </c>
      <c r="J4" s="2000">
        <v>2019</v>
      </c>
    </row>
    <row r="5" spans="1:11" ht="15" x14ac:dyDescent="0.25">
      <c r="A5" s="1999" t="s">
        <v>61</v>
      </c>
      <c r="B5" s="2001">
        <v>4902.8</v>
      </c>
      <c r="C5" s="2002">
        <v>4524.3</v>
      </c>
      <c r="D5" s="2002">
        <v>4379.25342</v>
      </c>
      <c r="E5" s="2002">
        <v>4227.7</v>
      </c>
      <c r="F5" s="2003">
        <f>объемы!K48</f>
        <v>4039</v>
      </c>
      <c r="G5" s="2002">
        <f>объемы!R48</f>
        <v>3762.2000000000003</v>
      </c>
      <c r="H5" s="2002">
        <f>объемы!Y48</f>
        <v>3566.34</v>
      </c>
      <c r="I5" s="2001">
        <f>объемы!AP48</f>
        <v>3655.8</v>
      </c>
      <c r="J5" s="2002"/>
    </row>
    <row r="6" spans="1:11" ht="15" x14ac:dyDescent="0.2">
      <c r="A6" s="1999" t="s">
        <v>1580</v>
      </c>
      <c r="B6" s="2001"/>
      <c r="C6" s="2002"/>
      <c r="D6" s="2002"/>
      <c r="E6" s="2002"/>
      <c r="F6" s="2002"/>
      <c r="G6" s="2002"/>
      <c r="H6" s="2002"/>
      <c r="I6" s="2004"/>
      <c r="J6" s="2002">
        <f>J9</f>
        <v>3426.7349636835493</v>
      </c>
    </row>
    <row r="7" spans="1:11" ht="25.5" customHeight="1" x14ac:dyDescent="0.2">
      <c r="A7" s="2005" t="s">
        <v>1581</v>
      </c>
      <c r="B7" s="2001"/>
      <c r="C7" s="2006"/>
      <c r="D7" s="2006"/>
      <c r="E7" s="2007"/>
      <c r="F7" s="2004"/>
      <c r="G7" s="2007"/>
      <c r="H7" s="2004"/>
      <c r="I7" s="2004"/>
      <c r="J7" s="2004"/>
    </row>
    <row r="8" spans="1:11" ht="15" x14ac:dyDescent="0.2">
      <c r="A8" s="2008" t="s">
        <v>1582</v>
      </c>
      <c r="B8" s="2001"/>
      <c r="C8" s="2006"/>
      <c r="D8" s="2006"/>
      <c r="E8" s="2006"/>
      <c r="F8" s="2002"/>
      <c r="G8" s="2006"/>
      <c r="H8" s="2004"/>
      <c r="I8" s="2004"/>
      <c r="J8" s="2004"/>
    </row>
    <row r="9" spans="1:11" ht="15" x14ac:dyDescent="0.2">
      <c r="A9" s="3907" t="s">
        <v>1583</v>
      </c>
      <c r="B9" s="3907"/>
      <c r="C9" s="3908" t="s">
        <v>829</v>
      </c>
      <c r="D9" s="2010">
        <f>1/3*(F5-E5)/E5+(E5-D5)/D5+(D5-C5)/C5</f>
        <v>-8.1544654679321343E-2</v>
      </c>
      <c r="E9" s="3910" t="s">
        <v>908</v>
      </c>
      <c r="F9" s="2002">
        <f>1/3*((G5-F5)/F5+(F5-E5)/E5+(E5-D5)/D5)</f>
        <v>-4.9257716456630546E-2</v>
      </c>
      <c r="G9" s="3908" t="s">
        <v>909</v>
      </c>
      <c r="H9" s="2002">
        <f>H5*(1-0.05)*(1-0.05)</f>
        <v>3218.62185</v>
      </c>
      <c r="I9" s="3908" t="s">
        <v>1819</v>
      </c>
      <c r="J9" s="2002">
        <f>I5*(1+J10)*(1+J10)</f>
        <v>3426.7349636835493</v>
      </c>
    </row>
    <row r="10" spans="1:11" ht="15" x14ac:dyDescent="0.2">
      <c r="A10" s="3912" t="s">
        <v>1584</v>
      </c>
      <c r="B10" s="3913"/>
      <c r="C10" s="3909"/>
      <c r="D10" s="2011">
        <f>F5*(1+D9)*(1+D9)</f>
        <v>3407.1397340250851</v>
      </c>
      <c r="E10" s="3911"/>
      <c r="F10" s="2012">
        <f>G5*(1+F9)*(1+F9)</f>
        <v>3400.6935492942785</v>
      </c>
      <c r="G10" s="3909"/>
      <c r="H10" s="2012"/>
      <c r="I10" s="3909"/>
      <c r="J10" s="2012">
        <f>1/3*((I5-H5)/H5+(H5-G5)/G5+(G5-F5)/F5)</f>
        <v>-3.1835746422184369E-2</v>
      </c>
    </row>
    <row r="11" spans="1:11" x14ac:dyDescent="0.2">
      <c r="H11" s="1323"/>
    </row>
    <row r="12" spans="1:11" x14ac:dyDescent="0.2">
      <c r="H12" s="2013"/>
    </row>
    <row r="16" spans="1:11" ht="51" hidden="1" customHeight="1" x14ac:dyDescent="0.2">
      <c r="A16" s="3918"/>
      <c r="B16" s="2014"/>
      <c r="C16" s="3918"/>
      <c r="D16" s="3920" t="s">
        <v>1585</v>
      </c>
      <c r="E16" s="3921"/>
      <c r="F16" s="2015" t="s">
        <v>1586</v>
      </c>
      <c r="G16" s="2015" t="s">
        <v>1587</v>
      </c>
      <c r="H16" s="2016" t="s">
        <v>1588</v>
      </c>
      <c r="I16" s="2015" t="s">
        <v>1589</v>
      </c>
      <c r="J16" s="3922"/>
      <c r="K16" s="3922"/>
    </row>
    <row r="17" spans="1:11" ht="12.75" hidden="1" customHeight="1" x14ac:dyDescent="0.2">
      <c r="A17" s="3919"/>
      <c r="B17" s="2014"/>
      <c r="C17" s="3919"/>
      <c r="D17" s="2016" t="s">
        <v>1590</v>
      </c>
      <c r="E17" s="2016" t="s">
        <v>1591</v>
      </c>
      <c r="F17" s="2016" t="s">
        <v>1590</v>
      </c>
      <c r="G17" s="2016" t="s">
        <v>1590</v>
      </c>
      <c r="H17" s="2016" t="s">
        <v>1590</v>
      </c>
      <c r="I17" s="2016" t="s">
        <v>1590</v>
      </c>
      <c r="J17" s="3922"/>
      <c r="K17" s="3922"/>
    </row>
    <row r="18" spans="1:11" ht="25.5" hidden="1" customHeight="1" x14ac:dyDescent="0.2">
      <c r="A18" s="2017" t="s">
        <v>1592</v>
      </c>
      <c r="B18" s="5"/>
      <c r="C18" s="2018" t="s">
        <v>950</v>
      </c>
      <c r="D18" s="2019">
        <f>D19+D20</f>
        <v>113.69000000000001</v>
      </c>
      <c r="E18" s="2020">
        <f>E20</f>
        <v>1</v>
      </c>
      <c r="F18" s="2021">
        <f>H6</f>
        <v>0</v>
      </c>
      <c r="G18" s="2022">
        <f>G20</f>
        <v>118.1</v>
      </c>
      <c r="H18" s="2022">
        <f>G18-F18</f>
        <v>118.1</v>
      </c>
      <c r="I18" s="2019" t="e">
        <f>#REF!+#REF!</f>
        <v>#REF!</v>
      </c>
      <c r="J18" s="3914"/>
      <c r="K18" s="3915"/>
    </row>
    <row r="19" spans="1:11" ht="25.5" hidden="1" customHeight="1" x14ac:dyDescent="0.2">
      <c r="A19" s="2023" t="s">
        <v>1593</v>
      </c>
      <c r="B19" s="5"/>
      <c r="C19" s="2015" t="s">
        <v>950</v>
      </c>
      <c r="D19" s="2019">
        <v>0</v>
      </c>
      <c r="E19" s="2024">
        <f>D19/D18</f>
        <v>0</v>
      </c>
      <c r="F19" s="2021">
        <f>E19*$F$18</f>
        <v>0</v>
      </c>
      <c r="G19" s="2022">
        <v>0</v>
      </c>
      <c r="H19" s="2022">
        <f t="shared" ref="H19:H26" si="0">G19-F19</f>
        <v>0</v>
      </c>
      <c r="I19" s="2025">
        <f t="shared" ref="I19:I26" si="1">D19*(1+$D$9)*(1+$D$9)</f>
        <v>0</v>
      </c>
      <c r="J19" s="3914"/>
      <c r="K19" s="3915"/>
    </row>
    <row r="20" spans="1:11" ht="12.75" hidden="1" customHeight="1" x14ac:dyDescent="0.2">
      <c r="A20" s="2023" t="s">
        <v>1594</v>
      </c>
      <c r="B20" s="5"/>
      <c r="C20" s="2015" t="s">
        <v>950</v>
      </c>
      <c r="D20" s="2019">
        <f>D21+D22+D26</f>
        <v>113.69000000000001</v>
      </c>
      <c r="E20" s="2024">
        <f>D20/D18</f>
        <v>1</v>
      </c>
      <c r="F20" s="2021">
        <f>E20*$F$18</f>
        <v>0</v>
      </c>
      <c r="G20" s="2022">
        <f>G22+G26+G21</f>
        <v>118.1</v>
      </c>
      <c r="H20" s="2022">
        <f t="shared" si="0"/>
        <v>118.1</v>
      </c>
      <c r="I20" s="2025">
        <f t="shared" si="1"/>
        <v>95.904361565068569</v>
      </c>
      <c r="J20" s="3914"/>
      <c r="K20" s="3915"/>
    </row>
    <row r="21" spans="1:11" ht="38.25" hidden="1" x14ac:dyDescent="0.2">
      <c r="A21" s="2026" t="s">
        <v>1595</v>
      </c>
      <c r="B21" s="5"/>
      <c r="C21" s="2015" t="s">
        <v>950</v>
      </c>
      <c r="D21" s="2027">
        <v>0</v>
      </c>
      <c r="E21" s="2028">
        <f>D21/D20</f>
        <v>0</v>
      </c>
      <c r="F21" s="2029">
        <f t="shared" ref="F21:F26" si="2">E21*$F$20</f>
        <v>0</v>
      </c>
      <c r="G21" s="2030">
        <v>0</v>
      </c>
      <c r="H21" s="2030">
        <f t="shared" si="0"/>
        <v>0</v>
      </c>
      <c r="I21" s="2031">
        <f t="shared" si="1"/>
        <v>0</v>
      </c>
      <c r="J21" s="3923"/>
      <c r="K21" s="3924"/>
    </row>
    <row r="22" spans="1:11" hidden="1" x14ac:dyDescent="0.2">
      <c r="A22" s="2026" t="s">
        <v>1596</v>
      </c>
      <c r="B22" s="5"/>
      <c r="C22" s="2015" t="s">
        <v>950</v>
      </c>
      <c r="D22" s="2019">
        <f>D23+D24+D25</f>
        <v>92.190000000000012</v>
      </c>
      <c r="E22" s="2024">
        <f>D22/D20</f>
        <v>0.81088926026915298</v>
      </c>
      <c r="F22" s="2021">
        <f t="shared" si="2"/>
        <v>0</v>
      </c>
      <c r="G22" s="2022">
        <f>G23+G24+G25</f>
        <v>95</v>
      </c>
      <c r="H22" s="2022">
        <f t="shared" si="0"/>
        <v>95</v>
      </c>
      <c r="I22" s="2025">
        <f t="shared" si="1"/>
        <v>77.767816806083843</v>
      </c>
      <c r="J22" s="3914"/>
      <c r="K22" s="3915"/>
    </row>
    <row r="23" spans="1:11" hidden="1" x14ac:dyDescent="0.2">
      <c r="A23" s="2032" t="s">
        <v>24</v>
      </c>
      <c r="B23" s="5"/>
      <c r="C23" s="2015" t="s">
        <v>950</v>
      </c>
      <c r="D23" s="2033">
        <f>'[20]прил 1 баланс питьевой воды'!K43</f>
        <v>81.150000000000006</v>
      </c>
      <c r="E23" s="2034">
        <f>D23/D20</f>
        <v>0.71378309437945286</v>
      </c>
      <c r="F23" s="2035">
        <f t="shared" si="2"/>
        <v>0</v>
      </c>
      <c r="G23" s="2036">
        <f>'[20]прил 1 баланс питьевой воды'!O43</f>
        <v>82</v>
      </c>
      <c r="H23" s="2036">
        <f t="shared" si="0"/>
        <v>82</v>
      </c>
      <c r="I23" s="2037">
        <f t="shared" si="1"/>
        <v>68.454911962400516</v>
      </c>
      <c r="J23" s="3925"/>
      <c r="K23" s="3926"/>
    </row>
    <row r="24" spans="1:11" hidden="1" x14ac:dyDescent="0.2">
      <c r="A24" s="2032" t="s">
        <v>1597</v>
      </c>
      <c r="B24" s="5"/>
      <c r="C24" s="2015" t="s">
        <v>950</v>
      </c>
      <c r="D24" s="2033">
        <f>'[20]прил 1 баланс питьевой воды'!K44</f>
        <v>8.61</v>
      </c>
      <c r="E24" s="2034">
        <f>D24/D20</f>
        <v>7.5732254375934546E-2</v>
      </c>
      <c r="F24" s="2035">
        <f t="shared" si="2"/>
        <v>0</v>
      </c>
      <c r="G24" s="2036">
        <f>'[20]прил 1 баланс питьевой воды'!O44</f>
        <v>9</v>
      </c>
      <c r="H24" s="2036">
        <f t="shared" si="0"/>
        <v>9</v>
      </c>
      <c r="I24" s="2037">
        <f t="shared" si="1"/>
        <v>7.2630535058073731</v>
      </c>
      <c r="J24" s="3927"/>
      <c r="K24" s="3928"/>
    </row>
    <row r="25" spans="1:11" hidden="1" x14ac:dyDescent="0.2">
      <c r="A25" s="2032" t="s">
        <v>26</v>
      </c>
      <c r="B25" s="5"/>
      <c r="C25" s="2015" t="s">
        <v>950</v>
      </c>
      <c r="D25" s="2033">
        <f>'[20]прил 1 баланс питьевой воды'!K45</f>
        <v>2.4300000000000002</v>
      </c>
      <c r="E25" s="2034">
        <f>D25/D20</f>
        <v>2.1373911513765501E-2</v>
      </c>
      <c r="F25" s="2035">
        <f t="shared" si="2"/>
        <v>0</v>
      </c>
      <c r="G25" s="2036">
        <f>'[20]прил 1 баланс питьевой воды'!O45</f>
        <v>4</v>
      </c>
      <c r="H25" s="2036">
        <f t="shared" si="0"/>
        <v>4</v>
      </c>
      <c r="I25" s="2037">
        <f t="shared" si="1"/>
        <v>2.0498513378759489</v>
      </c>
      <c r="J25" s="3929"/>
      <c r="K25" s="3930"/>
    </row>
    <row r="26" spans="1:11" hidden="1" x14ac:dyDescent="0.2">
      <c r="A26" s="2026" t="s">
        <v>1598</v>
      </c>
      <c r="B26" s="5"/>
      <c r="C26" s="2015" t="s">
        <v>950</v>
      </c>
      <c r="D26" s="2019">
        <f>'[20]прил 1 баланс питьевой воды'!K46</f>
        <v>21.5</v>
      </c>
      <c r="E26" s="2024">
        <f>D26/D20</f>
        <v>0.18911073973084702</v>
      </c>
      <c r="F26" s="2021">
        <f t="shared" si="2"/>
        <v>0</v>
      </c>
      <c r="G26" s="2022">
        <f>'[20]прил 1 баланс питьевой воды'!O46</f>
        <v>23.1</v>
      </c>
      <c r="H26" s="2022">
        <f t="shared" si="0"/>
        <v>23.1</v>
      </c>
      <c r="I26" s="2025">
        <f t="shared" si="1"/>
        <v>18.13654475898473</v>
      </c>
      <c r="J26" s="3914"/>
      <c r="K26" s="3915"/>
    </row>
    <row r="27" spans="1:11" hidden="1" x14ac:dyDescent="0.2"/>
    <row r="28" spans="1:11" hidden="1" x14ac:dyDescent="0.2">
      <c r="E28" s="2038"/>
    </row>
    <row r="30" spans="1:11" ht="15" x14ac:dyDescent="0.25">
      <c r="A30" s="3917" t="s">
        <v>47</v>
      </c>
      <c r="B30" s="3917"/>
      <c r="C30" s="1995"/>
      <c r="D30" s="1996"/>
      <c r="E30" s="1996"/>
      <c r="F30" s="1996"/>
      <c r="G30" s="1997"/>
      <c r="H30" s="1996"/>
      <c r="I30" s="1996"/>
    </row>
    <row r="31" spans="1:11" ht="15" x14ac:dyDescent="0.25">
      <c r="A31" s="1998" t="s">
        <v>1579</v>
      </c>
      <c r="B31" s="1999">
        <v>2010</v>
      </c>
      <c r="C31" s="1999">
        <v>2011</v>
      </c>
      <c r="D31" s="1999">
        <v>2012</v>
      </c>
      <c r="E31" s="1999">
        <v>2013</v>
      </c>
      <c r="F31" s="1999">
        <v>2014</v>
      </c>
      <c r="G31" s="1999">
        <v>2015</v>
      </c>
      <c r="H31" s="2000">
        <v>2016</v>
      </c>
      <c r="I31" s="2000">
        <v>2017</v>
      </c>
      <c r="J31" s="2000">
        <v>2019</v>
      </c>
    </row>
    <row r="32" spans="1:11" ht="15" x14ac:dyDescent="0.25">
      <c r="A32" s="1999" t="s">
        <v>61</v>
      </c>
      <c r="B32" s="2001">
        <v>4415.2</v>
      </c>
      <c r="C32" s="2002">
        <v>4093.2</v>
      </c>
      <c r="D32" s="2002">
        <v>3988.3263000000002</v>
      </c>
      <c r="E32" s="2002">
        <v>3805.3</v>
      </c>
      <c r="F32" s="2003">
        <f>объемы!K58</f>
        <v>3476.2</v>
      </c>
      <c r="G32" s="2002">
        <f>объемы!R58+объемы!S58</f>
        <v>3209.95</v>
      </c>
      <c r="H32" s="2002">
        <f>объемы!W59+объемы!W60</f>
        <v>3040.84</v>
      </c>
      <c r="I32" s="2001">
        <f>объемы!AN59+объемы!AN60</f>
        <v>3178.1</v>
      </c>
      <c r="J32" s="2002"/>
    </row>
    <row r="33" spans="1:10" ht="15" x14ac:dyDescent="0.2">
      <c r="A33" s="1999" t="s">
        <v>1580</v>
      </c>
      <c r="B33" s="2001"/>
      <c r="C33" s="2002"/>
      <c r="D33" s="2002"/>
      <c r="E33" s="2002"/>
      <c r="F33" s="2002"/>
      <c r="G33" s="2002"/>
      <c r="H33" s="2002"/>
      <c r="I33" s="2002"/>
      <c r="J33" s="2002">
        <f>J36</f>
        <v>3002.3369764914323</v>
      </c>
    </row>
    <row r="34" spans="1:10" ht="22.5" x14ac:dyDescent="0.2">
      <c r="A34" s="2005" t="s">
        <v>1581</v>
      </c>
      <c r="B34" s="2001"/>
      <c r="C34" s="2006"/>
      <c r="D34" s="2006"/>
      <c r="E34" s="2007"/>
      <c r="F34" s="2004"/>
      <c r="G34" s="2007"/>
      <c r="H34" s="2004"/>
      <c r="I34" s="2004"/>
      <c r="J34" s="2004"/>
    </row>
    <row r="35" spans="1:10" ht="15" x14ac:dyDescent="0.2">
      <c r="A35" s="2008" t="s">
        <v>1582</v>
      </c>
      <c r="B35" s="2001"/>
      <c r="C35" s="2006"/>
      <c r="D35" s="2006"/>
      <c r="E35" s="2006"/>
      <c r="F35" s="2002"/>
      <c r="G35" s="2006"/>
      <c r="H35" s="2004"/>
      <c r="I35" s="2004"/>
      <c r="J35" s="2004"/>
    </row>
    <row r="36" spans="1:10" ht="15" x14ac:dyDescent="0.2">
      <c r="A36" s="3907" t="s">
        <v>1583</v>
      </c>
      <c r="B36" s="3907"/>
      <c r="C36" s="3908" t="s">
        <v>829</v>
      </c>
      <c r="D36" s="2010">
        <f>1/3*(F32-E32)/E32+(E32-D32)/D32+(D32-C32)/C32</f>
        <v>-0.10034016159661976</v>
      </c>
      <c r="E36" s="3910" t="s">
        <v>908</v>
      </c>
      <c r="F36" s="2002">
        <f>1/3*((G32-F32)/F32+(F32-E32)/E32+(E32-D32)/D32)</f>
        <v>-6.9655799582415773E-2</v>
      </c>
      <c r="G36" s="3908" t="s">
        <v>909</v>
      </c>
      <c r="H36" s="2002"/>
      <c r="I36" s="2002"/>
      <c r="J36" s="2002">
        <f>I32*(1+J37)*(1+J37)</f>
        <v>3002.3369764914323</v>
      </c>
    </row>
    <row r="37" spans="1:10" ht="15" x14ac:dyDescent="0.2">
      <c r="A37" s="3912" t="s">
        <v>1584</v>
      </c>
      <c r="B37" s="3913"/>
      <c r="C37" s="3909"/>
      <c r="D37" s="2011">
        <f>F32*(1+D36)*(1+D36)</f>
        <v>2813.59395669489</v>
      </c>
      <c r="E37" s="3911"/>
      <c r="F37" s="2012">
        <f>G32*(1+F36)*(1+F36)</f>
        <v>2778.3411862979729</v>
      </c>
      <c r="G37" s="3909"/>
      <c r="H37" s="2012"/>
      <c r="I37" s="2011"/>
      <c r="J37" s="2012">
        <f>1/3*((I32-H32)/H32+(H32-G32)/G32+(G32-F32)/F32)</f>
        <v>-2.8045492098791376E-2</v>
      </c>
    </row>
    <row r="39" spans="1:10" hidden="1" x14ac:dyDescent="0.2">
      <c r="A39" t="s">
        <v>263</v>
      </c>
    </row>
    <row r="40" spans="1:10" ht="15" hidden="1" x14ac:dyDescent="0.25">
      <c r="A40" s="1998" t="s">
        <v>1579</v>
      </c>
      <c r="B40" s="2009">
        <v>2010</v>
      </c>
      <c r="C40" s="2009">
        <v>2011</v>
      </c>
      <c r="D40" s="2009">
        <v>2012</v>
      </c>
      <c r="E40" s="2009">
        <v>2013</v>
      </c>
      <c r="F40" s="2009">
        <v>2014</v>
      </c>
      <c r="G40" s="2009">
        <v>2015</v>
      </c>
      <c r="H40" s="2000">
        <v>2016</v>
      </c>
      <c r="I40" s="2000">
        <v>2017</v>
      </c>
    </row>
    <row r="41" spans="1:10" ht="15" hidden="1" x14ac:dyDescent="0.25">
      <c r="A41" s="2009" t="s">
        <v>61</v>
      </c>
      <c r="B41" s="2001"/>
      <c r="C41" s="2002"/>
      <c r="D41" s="2002"/>
      <c r="E41" s="2002"/>
      <c r="F41" s="2003">
        <f>объемы!K50</f>
        <v>49.8</v>
      </c>
      <c r="G41" s="2002">
        <f>объемы!S48</f>
        <v>18.22</v>
      </c>
      <c r="H41" s="2002"/>
      <c r="I41" s="2001"/>
    </row>
    <row r="42" spans="1:10" ht="15" hidden="1" x14ac:dyDescent="0.2">
      <c r="A42" s="2009" t="s">
        <v>1580</v>
      </c>
      <c r="B42" s="2001"/>
      <c r="C42" s="2002"/>
      <c r="D42" s="2002"/>
      <c r="E42" s="2002"/>
      <c r="F42" s="2002"/>
      <c r="G42" s="2002"/>
      <c r="H42" s="2002">
        <f>F41*(1-0.05)*(1-0.05)</f>
        <v>44.944499999999991</v>
      </c>
      <c r="I42" s="2004" t="e">
        <f>F46</f>
        <v>#DIV/0!</v>
      </c>
    </row>
    <row r="43" spans="1:10" ht="22.5" hidden="1" x14ac:dyDescent="0.2">
      <c r="A43" s="2005" t="s">
        <v>1581</v>
      </c>
      <c r="B43" s="2001"/>
      <c r="C43" s="2006"/>
      <c r="D43" s="2006"/>
      <c r="E43" s="2007"/>
      <c r="F43" s="2004"/>
      <c r="G43" s="2007"/>
      <c r="H43" s="2004"/>
      <c r="I43" s="2004"/>
    </row>
    <row r="44" spans="1:10" ht="15" hidden="1" x14ac:dyDescent="0.2">
      <c r="A44" s="2008" t="s">
        <v>1582</v>
      </c>
      <c r="B44" s="2001"/>
      <c r="C44" s="2006"/>
      <c r="D44" s="2006"/>
      <c r="E44" s="2006"/>
      <c r="F44" s="2002"/>
      <c r="G44" s="2006"/>
      <c r="H44" s="2004"/>
      <c r="I44" s="2004"/>
    </row>
    <row r="45" spans="1:10" ht="15" hidden="1" x14ac:dyDescent="0.2">
      <c r="A45" s="3907" t="s">
        <v>1583</v>
      </c>
      <c r="B45" s="3907"/>
      <c r="C45" s="3908" t="s">
        <v>829</v>
      </c>
      <c r="D45" s="2010" t="e">
        <f>1/3*(F41-E41)/E41+(E41-D41)/D41+(D41-C41)/C41</f>
        <v>#DIV/0!</v>
      </c>
      <c r="E45" s="3910" t="s">
        <v>908</v>
      </c>
      <c r="F45" s="2002" t="e">
        <f>1/3*((G41-F41)/F41+(F41-E41)/E41+(E41-D41)/D41)</f>
        <v>#DIV/0!</v>
      </c>
      <c r="G45" s="3908" t="s">
        <v>909</v>
      </c>
      <c r="H45" s="2002"/>
      <c r="I45" s="2002"/>
    </row>
    <row r="46" spans="1:10" ht="15" hidden="1" x14ac:dyDescent="0.2">
      <c r="A46" s="3912" t="s">
        <v>1584</v>
      </c>
      <c r="B46" s="3913"/>
      <c r="C46" s="3909"/>
      <c r="D46" s="2011" t="e">
        <f>F41*(1+D45)*(1+D45)</f>
        <v>#DIV/0!</v>
      </c>
      <c r="E46" s="3911"/>
      <c r="F46" s="2012" t="e">
        <f>G41*(1+F45)*(1+F45)</f>
        <v>#DIV/0!</v>
      </c>
      <c r="G46" s="3909"/>
      <c r="H46" s="2012"/>
      <c r="I46" s="2011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2151" customFormat="1" x14ac:dyDescent="0.2">
      <c r="A2" s="2153" t="s">
        <v>1710</v>
      </c>
    </row>
    <row r="3" spans="1:5" ht="15" x14ac:dyDescent="0.2">
      <c r="A3" s="3934" t="s">
        <v>536</v>
      </c>
      <c r="B3" s="3934" t="s">
        <v>1704</v>
      </c>
      <c r="C3" s="3934"/>
      <c r="D3" s="3934"/>
      <c r="E3" s="3934"/>
    </row>
    <row r="4" spans="1:5" ht="14.25" customHeight="1" x14ac:dyDescent="0.2">
      <c r="A4" s="3934"/>
      <c r="B4" s="2148" t="s">
        <v>159</v>
      </c>
      <c r="C4" s="2148" t="s">
        <v>235</v>
      </c>
      <c r="D4" s="2148" t="s">
        <v>373</v>
      </c>
      <c r="E4" s="2148" t="s">
        <v>829</v>
      </c>
    </row>
    <row r="5" spans="1:5" ht="28.5" customHeight="1" x14ac:dyDescent="0.2">
      <c r="A5" s="2149" t="s">
        <v>1705</v>
      </c>
      <c r="B5" s="2150">
        <v>4181.7077200000003</v>
      </c>
      <c r="C5" s="2150">
        <f>объемы!K48-объемы!K50</f>
        <v>3989.2</v>
      </c>
      <c r="D5" s="2150">
        <f>объемы!R48</f>
        <v>3762.2000000000003</v>
      </c>
      <c r="E5" s="2150">
        <f>объемы!W48</f>
        <v>3566.34</v>
      </c>
    </row>
    <row r="6" spans="1:5" ht="23.25" customHeight="1" x14ac:dyDescent="0.2">
      <c r="A6" s="2149" t="s">
        <v>1706</v>
      </c>
      <c r="B6" s="3935">
        <f>1/3*((E5-D5)/D5+(D5-C5)/C5+(C5-B5)/B5)</f>
        <v>-5.1666425182175194E-2</v>
      </c>
      <c r="C6" s="3935"/>
      <c r="D6" s="3935"/>
      <c r="E6" s="3935"/>
    </row>
    <row r="7" spans="1:5" ht="31.5" customHeight="1" x14ac:dyDescent="0.2">
      <c r="A7" s="2149" t="s">
        <v>1707</v>
      </c>
      <c r="B7" s="3936">
        <f>E5*(1-0.05)*(1-0.05)</f>
        <v>3218.62185</v>
      </c>
      <c r="C7" s="3936"/>
      <c r="D7" s="3936"/>
      <c r="E7" s="3936"/>
    </row>
    <row r="8" spans="1:5" ht="13.5" customHeight="1" x14ac:dyDescent="0.2">
      <c r="A8" s="2152" t="s">
        <v>1711</v>
      </c>
    </row>
    <row r="9" spans="1:5" ht="19.5" customHeight="1" x14ac:dyDescent="0.2">
      <c r="A9" s="2149" t="s">
        <v>1708</v>
      </c>
      <c r="B9" s="2150">
        <v>46.051000000000002</v>
      </c>
      <c r="C9" s="2150">
        <f>объемы!K50</f>
        <v>49.8</v>
      </c>
      <c r="D9" s="2150">
        <f>объемы!S48</f>
        <v>18.22</v>
      </c>
      <c r="E9" s="2150">
        <f>объемы!X48</f>
        <v>2.4</v>
      </c>
    </row>
    <row r="10" spans="1:5" ht="19.5" customHeight="1" x14ac:dyDescent="0.2">
      <c r="A10" s="2149" t="s">
        <v>1706</v>
      </c>
      <c r="B10" s="3937">
        <f>1/3*((E9-D9)/D9+(D9-C9)/C9+(C9-B9)/B9)</f>
        <v>-0.47366780797031161</v>
      </c>
      <c r="C10" s="3938"/>
      <c r="D10" s="3938"/>
      <c r="E10" s="3939"/>
    </row>
    <row r="11" spans="1:5" ht="33" customHeight="1" x14ac:dyDescent="0.2">
      <c r="A11" s="2149" t="s">
        <v>1709</v>
      </c>
      <c r="B11" s="3931">
        <f>E9*(1-0.05)*(1-0.05)</f>
        <v>2.1659999999999999</v>
      </c>
      <c r="C11" s="3932"/>
      <c r="D11" s="3932"/>
      <c r="E11" s="3933"/>
    </row>
    <row r="12" spans="1:5" x14ac:dyDescent="0.2">
      <c r="A12" s="2152" t="s">
        <v>345</v>
      </c>
    </row>
    <row r="13" spans="1:5" ht="21.75" customHeight="1" x14ac:dyDescent="0.2">
      <c r="A13" s="2149" t="s">
        <v>1708</v>
      </c>
      <c r="B13" s="2150">
        <v>3771.0683899999999</v>
      </c>
      <c r="C13" s="2150">
        <f>объемы!K58</f>
        <v>3476.2</v>
      </c>
      <c r="D13" s="2150">
        <f>объемы!R58</f>
        <v>3186.5699999999997</v>
      </c>
      <c r="E13" s="2150">
        <f>объемы!W58</f>
        <v>4196.72</v>
      </c>
    </row>
    <row r="14" spans="1:5" ht="15" x14ac:dyDescent="0.2">
      <c r="A14" s="2149" t="s">
        <v>1706</v>
      </c>
      <c r="B14" s="3937">
        <f>1/3*((E13-D13)/D13+(D13-C13)/C13+(C13-B13)/B13)</f>
        <v>5.1830678381774548E-2</v>
      </c>
      <c r="C14" s="3938"/>
      <c r="D14" s="3938"/>
      <c r="E14" s="3939"/>
    </row>
    <row r="15" spans="1:5" ht="33" customHeight="1" x14ac:dyDescent="0.2">
      <c r="A15" s="2149" t="s">
        <v>1709</v>
      </c>
      <c r="B15" s="3931">
        <f>E13*(1-0.05)*(1-0.05)</f>
        <v>3787.5398</v>
      </c>
      <c r="C15" s="3932"/>
      <c r="D15" s="3932"/>
      <c r="E15" s="3933"/>
    </row>
    <row r="16" spans="1:5" x14ac:dyDescent="0.2">
      <c r="A16" s="2152" t="s">
        <v>1712</v>
      </c>
    </row>
    <row r="17" spans="1:5" ht="30" x14ac:dyDescent="0.2">
      <c r="A17" s="2149" t="s">
        <v>1708</v>
      </c>
      <c r="B17" s="2150">
        <v>30.195530000000002</v>
      </c>
      <c r="C17" s="2150">
        <f>объемы!K61</f>
        <v>30.2</v>
      </c>
      <c r="D17" s="2150">
        <f>объемы!S61</f>
        <v>23.38</v>
      </c>
      <c r="E17" s="2150">
        <f>объемы!Z61</f>
        <v>20.65</v>
      </c>
    </row>
    <row r="18" spans="1:5" ht="15" x14ac:dyDescent="0.2">
      <c r="A18" s="2149" t="s">
        <v>1706</v>
      </c>
      <c r="B18" s="3937">
        <f>1/3*((E17-D17)/D17+(D17-C17)/C17+(C17-B17)/B17)</f>
        <v>-0.11414874882640261</v>
      </c>
      <c r="C18" s="3938"/>
      <c r="D18" s="3938"/>
      <c r="E18" s="3939"/>
    </row>
    <row r="19" spans="1:5" ht="30" x14ac:dyDescent="0.2">
      <c r="A19" s="2149" t="s">
        <v>1709</v>
      </c>
      <c r="B19" s="3931">
        <f>E17*(1-0.05)*(1-0.05)</f>
        <v>18.636624999999995</v>
      </c>
      <c r="C19" s="3932"/>
      <c r="D19" s="3932"/>
      <c r="E19" s="3933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workbookViewId="0">
      <selection activeCell="K6" sqref="K6"/>
    </sheetView>
  </sheetViews>
  <sheetFormatPr defaultRowHeight="15" x14ac:dyDescent="0.25"/>
  <cols>
    <col min="1" max="9" width="17.7109375" style="3338" customWidth="1"/>
    <col min="10" max="16384" width="9.140625" style="3338"/>
  </cols>
  <sheetData>
    <row r="1" spans="1:9" ht="26.25" x14ac:dyDescent="0.4">
      <c r="A1" s="3569" t="s">
        <v>3746</v>
      </c>
      <c r="B1" s="3569"/>
      <c r="C1" s="3570"/>
      <c r="D1" s="3570"/>
      <c r="E1" s="3570"/>
      <c r="F1" s="3570"/>
      <c r="G1" s="3570"/>
      <c r="H1" s="3570"/>
      <c r="I1" s="3570"/>
    </row>
    <row r="2" spans="1:9" ht="15.75" thickBot="1" x14ac:dyDescent="0.3">
      <c r="A2" s="3339"/>
      <c r="B2" s="3339"/>
      <c r="C2" s="3339"/>
      <c r="D2" s="3339"/>
      <c r="E2" s="3339"/>
      <c r="F2" s="3339"/>
      <c r="G2" s="3339"/>
      <c r="H2" s="3339"/>
      <c r="I2" s="3346" t="s">
        <v>56</v>
      </c>
    </row>
    <row r="3" spans="1:9" ht="30.75" customHeight="1" x14ac:dyDescent="0.25">
      <c r="A3" s="3445" t="s">
        <v>3744</v>
      </c>
      <c r="B3" s="3446" t="s">
        <v>627</v>
      </c>
      <c r="C3" s="3446" t="s">
        <v>355</v>
      </c>
      <c r="D3" s="3447" t="s">
        <v>3743</v>
      </c>
      <c r="E3" s="3446" t="s">
        <v>627</v>
      </c>
      <c r="F3" s="3446" t="s">
        <v>345</v>
      </c>
      <c r="G3" s="3447" t="s">
        <v>3732</v>
      </c>
      <c r="H3" s="3446" t="s">
        <v>3721</v>
      </c>
      <c r="I3" s="3448" t="s">
        <v>627</v>
      </c>
    </row>
    <row r="4" spans="1:9" ht="24.95" customHeight="1" x14ac:dyDescent="0.25">
      <c r="A4" s="3449" t="s">
        <v>264</v>
      </c>
      <c r="B4" s="3443">
        <f>SUM(C4:D4)</f>
        <v>136.00769416666668</v>
      </c>
      <c r="C4" s="3443">
        <f>SUM('ФАКТ. СЕБЕСТ ВОДА 9 мес. 2019'!GA44/12)</f>
        <v>135.96542373294346</v>
      </c>
      <c r="D4" s="3443">
        <f>SUM('ФАКТ. СЕБЕСТ ВОДА 9 мес. 2019'!GB44/12)</f>
        <v>4.2270433723214797E-2</v>
      </c>
      <c r="E4" s="3443">
        <f>SUM(F4:G4)</f>
        <v>148.32419333333334</v>
      </c>
      <c r="F4" s="3443">
        <f>SUM('ФАКТ. СЕБЕСТ. СТОКИ 9 мес. 2019'!FZ35/12)</f>
        <v>148.32419333333334</v>
      </c>
      <c r="G4" s="3443">
        <f>SUM('ФАКТ. СЕБЕСТ. СТОКИ 9 мес. 2019'!GB35/12)</f>
        <v>0</v>
      </c>
      <c r="H4" s="3443">
        <v>0</v>
      </c>
      <c r="I4" s="3450">
        <f>SUM(B4+E4+H4)</f>
        <v>284.33188749999999</v>
      </c>
    </row>
    <row r="5" spans="1:9" ht="24.95" customHeight="1" x14ac:dyDescent="0.25">
      <c r="A5" s="3449" t="s">
        <v>265</v>
      </c>
      <c r="B5" s="3443">
        <f t="shared" ref="B5:B6" si="0">SUM(C5:D5)</f>
        <v>136.00769416666668</v>
      </c>
      <c r="C5" s="3443">
        <f>SUM(C4)</f>
        <v>135.96542373294346</v>
      </c>
      <c r="D5" s="3443">
        <f>SUM(D4)</f>
        <v>4.2270433723214797E-2</v>
      </c>
      <c r="E5" s="3443">
        <f t="shared" ref="E5:E6" si="1">SUM(F5:G5)</f>
        <v>148.32419333333334</v>
      </c>
      <c r="F5" s="3443">
        <f t="shared" ref="F5:H6" si="2">SUM(F4)</f>
        <v>148.32419333333334</v>
      </c>
      <c r="G5" s="3443">
        <f t="shared" si="2"/>
        <v>0</v>
      </c>
      <c r="H5" s="3443">
        <f t="shared" si="2"/>
        <v>0</v>
      </c>
      <c r="I5" s="3450">
        <f t="shared" ref="I5:I6" si="3">SUM(B5+E5+H5)</f>
        <v>284.33188749999999</v>
      </c>
    </row>
    <row r="6" spans="1:9" ht="24.95" customHeight="1" x14ac:dyDescent="0.25">
      <c r="A6" s="3449" t="s">
        <v>266</v>
      </c>
      <c r="B6" s="3443">
        <f t="shared" si="0"/>
        <v>136.00769416666668</v>
      </c>
      <c r="C6" s="3443">
        <f>SUM(C5)</f>
        <v>135.96542373294346</v>
      </c>
      <c r="D6" s="3443">
        <f>SUM(D5)</f>
        <v>4.2270433723214797E-2</v>
      </c>
      <c r="E6" s="3443">
        <f t="shared" si="1"/>
        <v>148.32419333333334</v>
      </c>
      <c r="F6" s="3443">
        <f t="shared" si="2"/>
        <v>148.32419333333334</v>
      </c>
      <c r="G6" s="3443">
        <f t="shared" si="2"/>
        <v>0</v>
      </c>
      <c r="H6" s="3443">
        <f t="shared" si="2"/>
        <v>0</v>
      </c>
      <c r="I6" s="3450">
        <f t="shared" si="3"/>
        <v>284.33188749999999</v>
      </c>
    </row>
    <row r="7" spans="1:9" ht="24.95" customHeight="1" x14ac:dyDescent="0.25">
      <c r="A7" s="3451" t="s">
        <v>1576</v>
      </c>
      <c r="B7" s="3444">
        <f t="shared" ref="B7:B22" si="4">SUM(C7:D7)</f>
        <v>408.02308250000004</v>
      </c>
      <c r="C7" s="3444">
        <f>SUM(C4:C6)</f>
        <v>407.89627119883039</v>
      </c>
      <c r="D7" s="3444">
        <f>SUM(D4:D6)</f>
        <v>0.1268113011696444</v>
      </c>
      <c r="E7" s="3444">
        <f t="shared" ref="E7:E20" si="5">SUM(F7:G7)</f>
        <v>444.97257999999999</v>
      </c>
      <c r="F7" s="3444">
        <f>SUM(F4:F6)</f>
        <v>444.97257999999999</v>
      </c>
      <c r="G7" s="3444">
        <f>SUM(G4:G6)</f>
        <v>0</v>
      </c>
      <c r="H7" s="3444">
        <f>SUM(H4:H6)</f>
        <v>0</v>
      </c>
      <c r="I7" s="3452">
        <f>SUM(B7+E7+H7)</f>
        <v>852.99566249999998</v>
      </c>
    </row>
    <row r="8" spans="1:9" ht="24.95" customHeight="1" x14ac:dyDescent="0.25">
      <c r="A8" s="3449" t="s">
        <v>267</v>
      </c>
      <c r="B8" s="3443">
        <f t="shared" si="4"/>
        <v>136.00769416666668</v>
      </c>
      <c r="C8" s="3443">
        <f>SUM(C4)</f>
        <v>135.96542373294346</v>
      </c>
      <c r="D8" s="3443">
        <f>SUM(D4)</f>
        <v>4.2270433723214797E-2</v>
      </c>
      <c r="E8" s="3443">
        <f t="shared" si="5"/>
        <v>148.32419333333334</v>
      </c>
      <c r="F8" s="3443">
        <f>SUM(F4)</f>
        <v>148.32419333333334</v>
      </c>
      <c r="G8" s="3443">
        <f>SUM(G4)</f>
        <v>0</v>
      </c>
      <c r="H8" s="3443">
        <f>SUM(H4)</f>
        <v>0</v>
      </c>
      <c r="I8" s="3452">
        <f t="shared" ref="I8:I22" si="6">SUM(B8+E8+H8)</f>
        <v>284.33188749999999</v>
      </c>
    </row>
    <row r="9" spans="1:9" ht="24.95" customHeight="1" x14ac:dyDescent="0.25">
      <c r="A9" s="3449" t="s">
        <v>1358</v>
      </c>
      <c r="B9" s="3443">
        <f t="shared" ref="B9:B10" si="7">SUM(C9:D9)</f>
        <v>136.00769416666668</v>
      </c>
      <c r="C9" s="3443">
        <f t="shared" ref="C9:D9" si="8">SUM(C5)</f>
        <v>135.96542373294346</v>
      </c>
      <c r="D9" s="3443">
        <f t="shared" si="8"/>
        <v>4.2270433723214797E-2</v>
      </c>
      <c r="E9" s="3443">
        <f t="shared" ref="E9:E10" si="9">SUM(F9:G9)</f>
        <v>148.32419333333334</v>
      </c>
      <c r="F9" s="3443">
        <f t="shared" ref="F9:H9" si="10">SUM(F5)</f>
        <v>148.32419333333334</v>
      </c>
      <c r="G9" s="3443">
        <f t="shared" si="10"/>
        <v>0</v>
      </c>
      <c r="H9" s="3443">
        <f t="shared" si="10"/>
        <v>0</v>
      </c>
      <c r="I9" s="3452">
        <f t="shared" si="6"/>
        <v>284.33188749999999</v>
      </c>
    </row>
    <row r="10" spans="1:9" ht="24.95" customHeight="1" x14ac:dyDescent="0.25">
      <c r="A10" s="3449" t="s">
        <v>269</v>
      </c>
      <c r="B10" s="3443">
        <f t="shared" si="7"/>
        <v>136.00769416666668</v>
      </c>
      <c r="C10" s="3443">
        <f t="shared" ref="C10:D10" si="11">SUM(C6)</f>
        <v>135.96542373294346</v>
      </c>
      <c r="D10" s="3443">
        <f t="shared" si="11"/>
        <v>4.2270433723214797E-2</v>
      </c>
      <c r="E10" s="3443">
        <f t="shared" si="9"/>
        <v>148.32419333333334</v>
      </c>
      <c r="F10" s="3443">
        <f t="shared" ref="F10:H10" si="12">SUM(F6)</f>
        <v>148.32419333333334</v>
      </c>
      <c r="G10" s="3443">
        <f t="shared" si="12"/>
        <v>0</v>
      </c>
      <c r="H10" s="3443">
        <f t="shared" si="12"/>
        <v>0</v>
      </c>
      <c r="I10" s="3452">
        <f t="shared" si="6"/>
        <v>284.33188749999999</v>
      </c>
    </row>
    <row r="11" spans="1:9" ht="24.95" customHeight="1" x14ac:dyDescent="0.25">
      <c r="A11" s="3451" t="s">
        <v>1577</v>
      </c>
      <c r="B11" s="3444">
        <f t="shared" ref="B11" si="13">SUM(C11:D11)</f>
        <v>408.02308250000004</v>
      </c>
      <c r="C11" s="3444">
        <f>SUM(C8:C10)</f>
        <v>407.89627119883039</v>
      </c>
      <c r="D11" s="3444">
        <f>SUM(D8:D10)</f>
        <v>0.1268113011696444</v>
      </c>
      <c r="E11" s="3444">
        <f t="shared" ref="E11" si="14">SUM(F11:G11)</f>
        <v>444.97257999999999</v>
      </c>
      <c r="F11" s="3444">
        <f>SUM(F8:F10)</f>
        <v>444.97257999999999</v>
      </c>
      <c r="G11" s="3444">
        <f>SUM(G8:G10)</f>
        <v>0</v>
      </c>
      <c r="H11" s="3444">
        <f>SUM(H8:H10)</f>
        <v>0</v>
      </c>
      <c r="I11" s="3452">
        <f t="shared" si="6"/>
        <v>852.99566249999998</v>
      </c>
    </row>
    <row r="12" spans="1:9" ht="24.95" customHeight="1" x14ac:dyDescent="0.25">
      <c r="A12" s="3451" t="s">
        <v>384</v>
      </c>
      <c r="B12" s="3444">
        <f t="shared" ref="B12:H12" si="15">B7+B11</f>
        <v>816.04616500000009</v>
      </c>
      <c r="C12" s="3444">
        <f t="shared" si="15"/>
        <v>815.79254239766078</v>
      </c>
      <c r="D12" s="3444">
        <f t="shared" si="15"/>
        <v>0.25362260233928879</v>
      </c>
      <c r="E12" s="3444">
        <f t="shared" si="15"/>
        <v>889.94515999999999</v>
      </c>
      <c r="F12" s="3444">
        <f t="shared" si="15"/>
        <v>889.94515999999999</v>
      </c>
      <c r="G12" s="3444">
        <f t="shared" si="15"/>
        <v>0</v>
      </c>
      <c r="H12" s="3444">
        <f t="shared" si="15"/>
        <v>0</v>
      </c>
      <c r="I12" s="3452">
        <f t="shared" si="6"/>
        <v>1705.991325</v>
      </c>
    </row>
    <row r="13" spans="1:9" ht="24.95" customHeight="1" x14ac:dyDescent="0.25">
      <c r="A13" s="3449" t="s">
        <v>1223</v>
      </c>
      <c r="B13" s="3443">
        <f t="shared" ref="B13:B15" si="16">SUM(C13:D13)</f>
        <v>136.00769416666668</v>
      </c>
      <c r="C13" s="3443">
        <f>SUM(C9)</f>
        <v>135.96542373294346</v>
      </c>
      <c r="D13" s="3443">
        <f>SUM(D9)</f>
        <v>4.2270433723214797E-2</v>
      </c>
      <c r="E13" s="3443">
        <f t="shared" ref="E13:E16" si="17">SUM(F13:G13)</f>
        <v>148.32419333333334</v>
      </c>
      <c r="F13" s="3443">
        <f t="shared" ref="F13:H14" si="18">SUM(F9)</f>
        <v>148.32419333333334</v>
      </c>
      <c r="G13" s="3443">
        <f t="shared" si="18"/>
        <v>0</v>
      </c>
      <c r="H13" s="3443">
        <f t="shared" si="18"/>
        <v>0</v>
      </c>
      <c r="I13" s="3452">
        <f t="shared" si="6"/>
        <v>284.33188749999999</v>
      </c>
    </row>
    <row r="14" spans="1:9" ht="24.95" customHeight="1" x14ac:dyDescent="0.25">
      <c r="A14" s="3449" t="s">
        <v>270</v>
      </c>
      <c r="B14" s="3443">
        <f t="shared" si="16"/>
        <v>136.00769416666668</v>
      </c>
      <c r="C14" s="3443">
        <f>SUM(C10)</f>
        <v>135.96542373294346</v>
      </c>
      <c r="D14" s="3443">
        <f>SUM(D10)</f>
        <v>4.2270433723214797E-2</v>
      </c>
      <c r="E14" s="3443">
        <f t="shared" si="17"/>
        <v>148.32419333333334</v>
      </c>
      <c r="F14" s="3443">
        <f t="shared" si="18"/>
        <v>148.32419333333334</v>
      </c>
      <c r="G14" s="3443">
        <f t="shared" si="18"/>
        <v>0</v>
      </c>
      <c r="H14" s="3443">
        <f t="shared" si="18"/>
        <v>0</v>
      </c>
      <c r="I14" s="3452">
        <f t="shared" si="6"/>
        <v>284.33188749999999</v>
      </c>
    </row>
    <row r="15" spans="1:9" ht="24.95" customHeight="1" x14ac:dyDescent="0.25">
      <c r="A15" s="3449" t="s">
        <v>1241</v>
      </c>
      <c r="B15" s="3443">
        <f t="shared" si="16"/>
        <v>136.00769416666668</v>
      </c>
      <c r="C15" s="3443">
        <f>SUM(C13)</f>
        <v>135.96542373294346</v>
      </c>
      <c r="D15" s="3443">
        <f>SUM(D13)</f>
        <v>4.2270433723214797E-2</v>
      </c>
      <c r="E15" s="3443">
        <f t="shared" si="17"/>
        <v>148.32419333333334</v>
      </c>
      <c r="F15" s="3443">
        <f>SUM(F13)</f>
        <v>148.32419333333334</v>
      </c>
      <c r="G15" s="3443">
        <f>SUM(G13)</f>
        <v>0</v>
      </c>
      <c r="H15" s="3443">
        <f>SUM(H13)</f>
        <v>0</v>
      </c>
      <c r="I15" s="3452">
        <f t="shared" si="6"/>
        <v>284.33188749999999</v>
      </c>
    </row>
    <row r="16" spans="1:9" ht="24.95" customHeight="1" x14ac:dyDescent="0.25">
      <c r="A16" s="3451" t="s">
        <v>1578</v>
      </c>
      <c r="B16" s="3444">
        <f t="shared" si="4"/>
        <v>408.02308250000004</v>
      </c>
      <c r="C16" s="3444">
        <f>SUM(C13:C15)</f>
        <v>407.89627119883039</v>
      </c>
      <c r="D16" s="3444">
        <f>SUM(D13:D15)</f>
        <v>0.1268113011696444</v>
      </c>
      <c r="E16" s="3444">
        <f t="shared" si="17"/>
        <v>444.97257999999999</v>
      </c>
      <c r="F16" s="3444">
        <f>SUM(F13:F15)</f>
        <v>444.97257999999999</v>
      </c>
      <c r="G16" s="3444">
        <f>SUM(G13:G15)</f>
        <v>0</v>
      </c>
      <c r="H16" s="3444">
        <f>SUM(H13:H15)</f>
        <v>0</v>
      </c>
      <c r="I16" s="3452">
        <f t="shared" si="6"/>
        <v>852.99566249999998</v>
      </c>
    </row>
    <row r="17" spans="1:9" ht="24.95" customHeight="1" x14ac:dyDescent="0.25">
      <c r="A17" s="3451" t="s">
        <v>130</v>
      </c>
      <c r="B17" s="3444">
        <f t="shared" si="4"/>
        <v>1224.0692475000001</v>
      </c>
      <c r="C17" s="3444">
        <f>C12+C16</f>
        <v>1223.6888135964912</v>
      </c>
      <c r="D17" s="3444">
        <f t="shared" ref="D17:H17" si="19">D12+D16</f>
        <v>0.38043390350893319</v>
      </c>
      <c r="E17" s="3444">
        <f t="shared" si="19"/>
        <v>1334.9177399999999</v>
      </c>
      <c r="F17" s="3444">
        <f t="shared" si="19"/>
        <v>1334.9177399999999</v>
      </c>
      <c r="G17" s="3444">
        <f t="shared" si="19"/>
        <v>0</v>
      </c>
      <c r="H17" s="3444">
        <f t="shared" si="19"/>
        <v>0</v>
      </c>
      <c r="I17" s="3452">
        <f t="shared" si="6"/>
        <v>2558.9869874999999</v>
      </c>
    </row>
    <row r="18" spans="1:9" ht="24.95" customHeight="1" x14ac:dyDescent="0.25">
      <c r="A18" s="3449" t="s">
        <v>271</v>
      </c>
      <c r="B18" s="3443">
        <f t="shared" si="4"/>
        <v>136.00769416666668</v>
      </c>
      <c r="C18" s="3443">
        <f>SUM(C14)</f>
        <v>135.96542373294346</v>
      </c>
      <c r="D18" s="3443">
        <f>SUM(D14)</f>
        <v>4.2270433723214797E-2</v>
      </c>
      <c r="E18" s="3443">
        <f t="shared" si="5"/>
        <v>148.32419333333334</v>
      </c>
      <c r="F18" s="3443">
        <f t="shared" ref="F18:H19" si="20">SUM(F14)</f>
        <v>148.32419333333334</v>
      </c>
      <c r="G18" s="3443">
        <f t="shared" si="20"/>
        <v>0</v>
      </c>
      <c r="H18" s="3443">
        <f t="shared" si="20"/>
        <v>0</v>
      </c>
      <c r="I18" s="3452">
        <f t="shared" si="6"/>
        <v>284.33188749999999</v>
      </c>
    </row>
    <row r="19" spans="1:9" ht="24.95" customHeight="1" x14ac:dyDescent="0.25">
      <c r="A19" s="3449" t="s">
        <v>272</v>
      </c>
      <c r="B19" s="3443">
        <f t="shared" si="4"/>
        <v>136.00769416666668</v>
      </c>
      <c r="C19" s="3443">
        <f>SUM(C15)</f>
        <v>135.96542373294346</v>
      </c>
      <c r="D19" s="3443">
        <f>SUM(D15)</f>
        <v>4.2270433723214797E-2</v>
      </c>
      <c r="E19" s="3443">
        <f t="shared" si="5"/>
        <v>148.32419333333334</v>
      </c>
      <c r="F19" s="3443">
        <f t="shared" si="20"/>
        <v>148.32419333333334</v>
      </c>
      <c r="G19" s="3443">
        <f t="shared" si="20"/>
        <v>0</v>
      </c>
      <c r="H19" s="3443">
        <f t="shared" si="20"/>
        <v>0</v>
      </c>
      <c r="I19" s="3452">
        <f t="shared" si="6"/>
        <v>284.33188749999999</v>
      </c>
    </row>
    <row r="20" spans="1:9" ht="24.95" customHeight="1" x14ac:dyDescent="0.25">
      <c r="A20" s="3449" t="s">
        <v>1332</v>
      </c>
      <c r="B20" s="3443">
        <f t="shared" si="4"/>
        <v>136.00769416666668</v>
      </c>
      <c r="C20" s="3443">
        <f>SUM(C18)</f>
        <v>135.96542373294346</v>
      </c>
      <c r="D20" s="3443">
        <f>SUM(D18)</f>
        <v>4.2270433723214797E-2</v>
      </c>
      <c r="E20" s="3443">
        <f t="shared" si="5"/>
        <v>148.32419333333334</v>
      </c>
      <c r="F20" s="3443">
        <f>SUM(F18)</f>
        <v>148.32419333333334</v>
      </c>
      <c r="G20" s="3443">
        <f>SUM(G18)</f>
        <v>0</v>
      </c>
      <c r="H20" s="3443">
        <f>SUM(H18)</f>
        <v>0</v>
      </c>
      <c r="I20" s="3452">
        <f t="shared" si="6"/>
        <v>284.33188749999999</v>
      </c>
    </row>
    <row r="21" spans="1:9" ht="24.95" customHeight="1" x14ac:dyDescent="0.25">
      <c r="A21" s="3451" t="s">
        <v>131</v>
      </c>
      <c r="B21" s="3444">
        <f t="shared" si="4"/>
        <v>408.02308250000004</v>
      </c>
      <c r="C21" s="3444">
        <f>SUM(C18:C20)</f>
        <v>407.89627119883039</v>
      </c>
      <c r="D21" s="3444">
        <f t="shared" ref="D21:H21" si="21">SUM(D18:D20)</f>
        <v>0.1268113011696444</v>
      </c>
      <c r="E21" s="3444">
        <f t="shared" si="21"/>
        <v>444.97257999999999</v>
      </c>
      <c r="F21" s="3444">
        <f t="shared" si="21"/>
        <v>444.97257999999999</v>
      </c>
      <c r="G21" s="3444">
        <f t="shared" si="21"/>
        <v>0</v>
      </c>
      <c r="H21" s="3444">
        <f t="shared" si="21"/>
        <v>0</v>
      </c>
      <c r="I21" s="3452">
        <f t="shared" si="6"/>
        <v>852.99566249999998</v>
      </c>
    </row>
    <row r="22" spans="1:9" ht="24.95" customHeight="1" thickBot="1" x14ac:dyDescent="0.3">
      <c r="A22" s="3453" t="s">
        <v>249</v>
      </c>
      <c r="B22" s="3454">
        <f t="shared" si="4"/>
        <v>1632.0923300000002</v>
      </c>
      <c r="C22" s="3454">
        <f>C17+C21</f>
        <v>1631.5850847953216</v>
      </c>
      <c r="D22" s="3454">
        <f t="shared" ref="D22:H22" si="22">D17+D21</f>
        <v>0.50724520467857759</v>
      </c>
      <c r="E22" s="3454">
        <f t="shared" si="22"/>
        <v>1779.89032</v>
      </c>
      <c r="F22" s="3454">
        <f t="shared" si="22"/>
        <v>1779.89032</v>
      </c>
      <c r="G22" s="3454">
        <f t="shared" si="22"/>
        <v>0</v>
      </c>
      <c r="H22" s="3454">
        <f t="shared" si="22"/>
        <v>0</v>
      </c>
      <c r="I22" s="3455">
        <f t="shared" si="6"/>
        <v>3411.9826499999999</v>
      </c>
    </row>
    <row r="23" spans="1:9" x14ac:dyDescent="0.25">
      <c r="A23" s="3339"/>
      <c r="B23" s="3339"/>
      <c r="C23" s="3339"/>
      <c r="D23" s="3339"/>
      <c r="E23" s="3339"/>
      <c r="F23" s="3339"/>
      <c r="G23" s="3339"/>
      <c r="H23" s="3339"/>
      <c r="I23" s="3339"/>
    </row>
    <row r="24" spans="1:9" x14ac:dyDescent="0.25">
      <c r="A24" s="3339"/>
      <c r="B24" s="3339"/>
      <c r="C24" s="3339"/>
      <c r="D24" s="3339"/>
      <c r="E24" s="3339"/>
      <c r="F24" s="3339"/>
      <c r="G24" s="3339"/>
      <c r="H24" s="3339"/>
      <c r="I24" s="3339"/>
    </row>
    <row r="25" spans="1:9" x14ac:dyDescent="0.25">
      <c r="A25" s="3571" t="s">
        <v>3745</v>
      </c>
      <c r="B25" s="3571"/>
      <c r="C25" s="3572"/>
      <c r="D25" s="3572"/>
      <c r="E25" s="3572"/>
      <c r="F25" s="3572"/>
      <c r="G25" s="3572"/>
      <c r="H25" s="3572"/>
      <c r="I25" s="3572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2"/>
  <sheetViews>
    <sheetView topLeftCell="E24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1682</v>
      </c>
    </row>
    <row r="3" spans="1:10" hidden="1" x14ac:dyDescent="0.2">
      <c r="A3" t="s">
        <v>46</v>
      </c>
      <c r="B3">
        <f>объемы!AJ49</f>
        <v>2380</v>
      </c>
      <c r="C3" s="128">
        <f>'вода 2018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объемы!AJ59</f>
        <v>2300</v>
      </c>
      <c r="C4" s="128">
        <f>'стоки 2018'!K46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60" t="e">
        <f>#REF!/C5</f>
        <v>#REF!</v>
      </c>
    </row>
    <row r="6" spans="1:10" hidden="1" x14ac:dyDescent="0.2"/>
    <row r="7" spans="1:10" hidden="1" x14ac:dyDescent="0.2"/>
    <row r="9" spans="1:10" x14ac:dyDescent="0.2">
      <c r="A9" s="3940" t="s">
        <v>1722</v>
      </c>
      <c r="B9" s="3940"/>
      <c r="C9" s="3940"/>
      <c r="D9" s="3940"/>
      <c r="G9" s="3940" t="s">
        <v>1820</v>
      </c>
      <c r="H9" s="3940"/>
      <c r="I9" s="3940"/>
      <c r="J9" s="3940"/>
    </row>
    <row r="10" spans="1:10" ht="13.5" x14ac:dyDescent="0.2">
      <c r="A10" s="3941" t="s">
        <v>377</v>
      </c>
      <c r="B10" s="3941"/>
      <c r="C10" s="5"/>
      <c r="D10" s="5"/>
      <c r="G10" s="3941" t="s">
        <v>377</v>
      </c>
      <c r="H10" s="3941"/>
      <c r="I10" s="5"/>
      <c r="J10" s="5"/>
    </row>
    <row r="11" spans="1:10" ht="29.25" customHeight="1" x14ac:dyDescent="0.2">
      <c r="A11" s="2143" t="s">
        <v>1574</v>
      </c>
      <c r="B11" s="2143" t="s">
        <v>1723</v>
      </c>
      <c r="C11" s="2140" t="s">
        <v>1724</v>
      </c>
      <c r="D11" s="2140" t="s">
        <v>1725</v>
      </c>
      <c r="G11" s="2417" t="s">
        <v>1574</v>
      </c>
      <c r="H11" s="2417" t="s">
        <v>1723</v>
      </c>
      <c r="I11" s="2416" t="s">
        <v>1724</v>
      </c>
      <c r="J11" s="2416" t="s">
        <v>1725</v>
      </c>
    </row>
    <row r="12" spans="1:10" x14ac:dyDescent="0.2">
      <c r="A12" s="1972" t="s">
        <v>264</v>
      </c>
      <c r="B12" s="1961">
        <f>'факт шаблон вода'!A3</f>
        <v>316969.11</v>
      </c>
      <c r="C12" s="2055">
        <v>31.52</v>
      </c>
      <c r="D12" s="2204">
        <f>B12*C12/1000</f>
        <v>9990.8663471999989</v>
      </c>
      <c r="G12" s="1972" t="s">
        <v>264</v>
      </c>
      <c r="H12" s="1961">
        <v>297431.15999999997</v>
      </c>
      <c r="I12" s="2055">
        <v>33.72</v>
      </c>
      <c r="J12" s="2204">
        <f>H12*I12/1000</f>
        <v>10029.378715199999</v>
      </c>
    </row>
    <row r="13" spans="1:10" x14ac:dyDescent="0.2">
      <c r="A13" s="1972" t="s">
        <v>265</v>
      </c>
      <c r="B13" s="1961">
        <f>'факт шаблон вода'!A4</f>
        <v>317912.65999999997</v>
      </c>
      <c r="C13" s="2055">
        <v>31.52</v>
      </c>
      <c r="D13" s="2204">
        <f t="shared" ref="D13:D23" si="0">B13*C13/1000</f>
        <v>10020.6070432</v>
      </c>
      <c r="G13" s="1972" t="s">
        <v>265</v>
      </c>
      <c r="H13" s="1961">
        <v>313490.94</v>
      </c>
      <c r="I13" s="2055">
        <f>I12</f>
        <v>33.72</v>
      </c>
      <c r="J13" s="2204">
        <f t="shared" ref="J13:J23" si="1">H13*I13/1000</f>
        <v>10570.9144968</v>
      </c>
    </row>
    <row r="14" spans="1:10" x14ac:dyDescent="0.2">
      <c r="A14" s="1972" t="s">
        <v>266</v>
      </c>
      <c r="B14" s="1961">
        <f>'факт шаблон вода'!A5</f>
        <v>304216.37</v>
      </c>
      <c r="C14" s="2055">
        <v>31.52</v>
      </c>
      <c r="D14" s="2204">
        <f t="shared" si="0"/>
        <v>9588.8999824000002</v>
      </c>
      <c r="G14" s="1972" t="s">
        <v>266</v>
      </c>
      <c r="H14" s="1961">
        <v>300763.51</v>
      </c>
      <c r="I14" s="2055">
        <f t="shared" ref="I14:I17" si="2">I13</f>
        <v>33.72</v>
      </c>
      <c r="J14" s="2204">
        <f t="shared" si="1"/>
        <v>10141.7455572</v>
      </c>
    </row>
    <row r="15" spans="1:10" x14ac:dyDescent="0.2">
      <c r="A15" s="1972" t="s">
        <v>267</v>
      </c>
      <c r="B15" s="1961">
        <f>'факт шаблон вода'!A6</f>
        <v>304396.70999999996</v>
      </c>
      <c r="C15" s="2055">
        <v>31.52</v>
      </c>
      <c r="D15" s="2204">
        <f t="shared" si="0"/>
        <v>9594.584299199998</v>
      </c>
      <c r="G15" s="1972" t="s">
        <v>267</v>
      </c>
      <c r="H15" s="1961">
        <v>331898.13</v>
      </c>
      <c r="I15" s="2055">
        <f t="shared" si="2"/>
        <v>33.72</v>
      </c>
      <c r="J15" s="2204">
        <f t="shared" si="1"/>
        <v>11191.604943599999</v>
      </c>
    </row>
    <row r="16" spans="1:10" x14ac:dyDescent="0.2">
      <c r="A16" s="1972" t="s">
        <v>268</v>
      </c>
      <c r="B16" s="1961">
        <f>'факт шаблон вода'!A7</f>
        <v>291575.15000000002</v>
      </c>
      <c r="C16" s="2055">
        <v>31.52</v>
      </c>
      <c r="D16" s="2204">
        <f t="shared" si="0"/>
        <v>9190.4487279999994</v>
      </c>
      <c r="G16" s="1972" t="s">
        <v>268</v>
      </c>
      <c r="H16" s="1961">
        <v>308464.90000000002</v>
      </c>
      <c r="I16" s="2055">
        <f t="shared" si="2"/>
        <v>33.72</v>
      </c>
      <c r="J16" s="2204">
        <f t="shared" si="1"/>
        <v>10401.436428000001</v>
      </c>
    </row>
    <row r="17" spans="1:10" x14ac:dyDescent="0.2">
      <c r="A17" s="1972" t="s">
        <v>269</v>
      </c>
      <c r="B17" s="1961">
        <f>'факт шаблон вода'!A8</f>
        <v>286018.59999999998</v>
      </c>
      <c r="C17" s="2055">
        <v>31.52</v>
      </c>
      <c r="D17" s="2204">
        <f t="shared" si="0"/>
        <v>9015.3062719999998</v>
      </c>
      <c r="G17" s="1972" t="s">
        <v>269</v>
      </c>
      <c r="H17" s="1961">
        <v>299031.53000000003</v>
      </c>
      <c r="I17" s="2055">
        <f t="shared" si="2"/>
        <v>33.72</v>
      </c>
      <c r="J17" s="2204">
        <f t="shared" si="1"/>
        <v>10083.343191600001</v>
      </c>
    </row>
    <row r="18" spans="1:10" x14ac:dyDescent="0.2">
      <c r="A18" s="1972" t="s">
        <v>1223</v>
      </c>
      <c r="B18" s="1961">
        <f>'факт шаблон вода'!A9</f>
        <v>260188.14</v>
      </c>
      <c r="C18" s="2055">
        <v>33.72</v>
      </c>
      <c r="D18" s="2204">
        <f t="shared" si="0"/>
        <v>8773.5440808000003</v>
      </c>
      <c r="G18" s="1972" t="s">
        <v>1223</v>
      </c>
      <c r="H18" s="1961">
        <v>265486.43</v>
      </c>
      <c r="I18" s="2055">
        <v>36.03</v>
      </c>
      <c r="J18" s="2204">
        <f t="shared" si="1"/>
        <v>9565.4760729000009</v>
      </c>
    </row>
    <row r="19" spans="1:10" x14ac:dyDescent="0.2">
      <c r="A19" s="1972" t="s">
        <v>270</v>
      </c>
      <c r="B19" s="1961">
        <f>'факт шаблон вода'!A10</f>
        <v>290647.99</v>
      </c>
      <c r="C19" s="2055">
        <v>33.72</v>
      </c>
      <c r="D19" s="2204">
        <f t="shared" si="0"/>
        <v>9800.650222799999</v>
      </c>
      <c r="G19" s="1972" t="s">
        <v>270</v>
      </c>
      <c r="H19" s="1961">
        <v>278767.39</v>
      </c>
      <c r="I19" s="2055">
        <f>I18</f>
        <v>36.03</v>
      </c>
      <c r="J19" s="2204">
        <f t="shared" si="1"/>
        <v>10043.989061700002</v>
      </c>
    </row>
    <row r="20" spans="1:10" x14ac:dyDescent="0.2">
      <c r="A20" s="1972" t="s">
        <v>1241</v>
      </c>
      <c r="B20" s="1961">
        <f>'факт шаблон вода'!A11</f>
        <v>297249.68</v>
      </c>
      <c r="C20" s="2055">
        <v>33.72</v>
      </c>
      <c r="D20" s="2204">
        <f t="shared" si="0"/>
        <v>10023.259209599999</v>
      </c>
      <c r="G20" s="1972" t="s">
        <v>1241</v>
      </c>
      <c r="H20" s="1961">
        <v>311652.93</v>
      </c>
      <c r="I20" s="2055">
        <f t="shared" ref="I20:I23" si="3">I19</f>
        <v>36.03</v>
      </c>
      <c r="J20" s="2204">
        <f t="shared" si="1"/>
        <v>11228.8550679</v>
      </c>
    </row>
    <row r="21" spans="1:10" x14ac:dyDescent="0.2">
      <c r="A21" s="1972" t="s">
        <v>271</v>
      </c>
      <c r="B21" s="1961">
        <f>'факт шаблон вода'!A12</f>
        <v>296237.41000000003</v>
      </c>
      <c r="C21" s="2055">
        <v>33.72</v>
      </c>
      <c r="D21" s="2204">
        <f t="shared" si="0"/>
        <v>9989.1254652000007</v>
      </c>
      <c r="G21" s="1972" t="s">
        <v>271</v>
      </c>
      <c r="H21" s="1961">
        <v>330434.25</v>
      </c>
      <c r="I21" s="2055">
        <f t="shared" si="3"/>
        <v>36.03</v>
      </c>
      <c r="J21" s="2204">
        <f t="shared" si="1"/>
        <v>11905.5460275</v>
      </c>
    </row>
    <row r="22" spans="1:10" x14ac:dyDescent="0.2">
      <c r="A22" s="1972" t="s">
        <v>272</v>
      </c>
      <c r="B22" s="1961">
        <f>'факт шаблон вода'!A13</f>
        <v>308631.80000000005</v>
      </c>
      <c r="C22" s="2055">
        <v>33.72</v>
      </c>
      <c r="D22" s="2204">
        <f t="shared" si="0"/>
        <v>10407.064296000002</v>
      </c>
      <c r="G22" s="1972" t="s">
        <v>272</v>
      </c>
      <c r="H22" s="1961">
        <v>322945.25</v>
      </c>
      <c r="I22" s="2055">
        <f t="shared" si="3"/>
        <v>36.03</v>
      </c>
      <c r="J22" s="2204">
        <f t="shared" si="1"/>
        <v>11635.7173575</v>
      </c>
    </row>
    <row r="23" spans="1:10" x14ac:dyDescent="0.2">
      <c r="A23" s="1972" t="s">
        <v>1332</v>
      </c>
      <c r="B23" s="1961">
        <f>'факт шаблон вода'!A14</f>
        <v>292296.71999999997</v>
      </c>
      <c r="C23" s="2055">
        <v>33.72</v>
      </c>
      <c r="D23" s="2204">
        <f t="shared" si="0"/>
        <v>9856.2453983999985</v>
      </c>
      <c r="G23" s="1972" t="s">
        <v>1332</v>
      </c>
      <c r="H23" s="1961">
        <v>295429.2</v>
      </c>
      <c r="I23" s="2055">
        <f t="shared" si="3"/>
        <v>36.03</v>
      </c>
      <c r="J23" s="2204">
        <f t="shared" si="1"/>
        <v>10644.314076000001</v>
      </c>
    </row>
    <row r="24" spans="1:10" x14ac:dyDescent="0.2">
      <c r="A24" s="1972" t="s">
        <v>288</v>
      </c>
      <c r="B24" s="1973">
        <f>SUM(B12:B23)</f>
        <v>3566340.3400000008</v>
      </c>
      <c r="C24" s="2204">
        <f>D24/B24*1000</f>
        <v>32.596608921738515</v>
      </c>
      <c r="D24" s="2205">
        <f>SUM(D12:D23)</f>
        <v>116250.6013448</v>
      </c>
      <c r="G24" s="1972" t="s">
        <v>288</v>
      </c>
      <c r="H24" s="1973">
        <f>SUM(H12:H23)</f>
        <v>3655795.6200000006</v>
      </c>
      <c r="I24" s="2204">
        <f>J24/H24*1000</f>
        <v>34.860351683418223</v>
      </c>
      <c r="J24" s="2205">
        <f>SUM(J12:J23)</f>
        <v>127442.32099589999</v>
      </c>
    </row>
    <row r="26" spans="1:10" ht="13.5" x14ac:dyDescent="0.2">
      <c r="A26" s="3941" t="s">
        <v>25</v>
      </c>
      <c r="B26" s="3941"/>
      <c r="C26" s="5"/>
      <c r="D26" s="5"/>
      <c r="G26" s="3941" t="s">
        <v>25</v>
      </c>
      <c r="H26" s="3941"/>
      <c r="I26" s="5"/>
      <c r="J26" s="5"/>
    </row>
    <row r="27" spans="1:10" ht="36.75" customHeight="1" x14ac:dyDescent="0.2">
      <c r="A27" s="2143" t="s">
        <v>1574</v>
      </c>
      <c r="B27" s="2143" t="s">
        <v>1723</v>
      </c>
      <c r="C27" s="2140" t="s">
        <v>1724</v>
      </c>
      <c r="D27" s="2140" t="s">
        <v>1725</v>
      </c>
      <c r="G27" s="2417" t="s">
        <v>1574</v>
      </c>
      <c r="H27" s="2417" t="s">
        <v>1723</v>
      </c>
      <c r="I27" s="2416" t="s">
        <v>1724</v>
      </c>
      <c r="J27" s="2416" t="s">
        <v>1725</v>
      </c>
    </row>
    <row r="28" spans="1:10" x14ac:dyDescent="0.2">
      <c r="A28" s="1972" t="s">
        <v>264</v>
      </c>
      <c r="B28" s="1961">
        <f>'факт шаблон вода'!A31</f>
        <v>315</v>
      </c>
      <c r="C28" s="2055">
        <v>16.059999999999999</v>
      </c>
      <c r="D28" s="2204">
        <f>B28*C28/1000</f>
        <v>5.0588999999999995</v>
      </c>
      <c r="G28" s="1972" t="s">
        <v>264</v>
      </c>
      <c r="H28" s="1961">
        <v>276</v>
      </c>
      <c r="I28" s="2055">
        <v>16.059999999999999</v>
      </c>
      <c r="J28" s="2204">
        <f>H28*I28/1000</f>
        <v>4.4325599999999996</v>
      </c>
    </row>
    <row r="29" spans="1:10" x14ac:dyDescent="0.2">
      <c r="A29" s="1972" t="s">
        <v>265</v>
      </c>
      <c r="B29" s="1961">
        <f>'факт шаблон вода'!A32</f>
        <v>208</v>
      </c>
      <c r="C29" s="2055">
        <v>16.059999999999999</v>
      </c>
      <c r="D29" s="2204">
        <f t="shared" ref="D29:D39" si="4">B29*C29/1000</f>
        <v>3.3404799999999994</v>
      </c>
      <c r="G29" s="1972" t="s">
        <v>265</v>
      </c>
      <c r="H29" s="1961">
        <v>247</v>
      </c>
      <c r="I29" s="2055">
        <f>I28</f>
        <v>16.059999999999999</v>
      </c>
      <c r="J29" s="2204">
        <f t="shared" ref="J29:J39" si="5">H29*I29/1000</f>
        <v>3.9668199999999998</v>
      </c>
    </row>
    <row r="30" spans="1:10" x14ac:dyDescent="0.2">
      <c r="A30" s="1972" t="s">
        <v>266</v>
      </c>
      <c r="B30" s="1961">
        <f>'факт шаблон вода'!A33</f>
        <v>260</v>
      </c>
      <c r="C30" s="2055">
        <v>16.059999999999999</v>
      </c>
      <c r="D30" s="2204">
        <f t="shared" si="4"/>
        <v>4.1755999999999993</v>
      </c>
      <c r="G30" s="1972" t="s">
        <v>266</v>
      </c>
      <c r="H30" s="1961">
        <v>149</v>
      </c>
      <c r="I30" s="2055">
        <f t="shared" ref="I30:I33" si="6">I29</f>
        <v>16.059999999999999</v>
      </c>
      <c r="J30" s="2204">
        <f t="shared" si="5"/>
        <v>2.3929399999999994</v>
      </c>
    </row>
    <row r="31" spans="1:10" x14ac:dyDescent="0.2">
      <c r="A31" s="1972" t="s">
        <v>267</v>
      </c>
      <c r="B31" s="1961">
        <f>'факт шаблон вода'!A34</f>
        <v>305</v>
      </c>
      <c r="C31" s="2055">
        <v>16.059999999999999</v>
      </c>
      <c r="D31" s="2204">
        <f t="shared" si="4"/>
        <v>4.898299999999999</v>
      </c>
      <c r="G31" s="1972" t="s">
        <v>267</v>
      </c>
      <c r="H31" s="1961">
        <v>175</v>
      </c>
      <c r="I31" s="2055">
        <f t="shared" si="6"/>
        <v>16.059999999999999</v>
      </c>
      <c r="J31" s="2204">
        <f t="shared" si="5"/>
        <v>2.8105000000000002</v>
      </c>
    </row>
    <row r="32" spans="1:10" x14ac:dyDescent="0.2">
      <c r="A32" s="1972" t="s">
        <v>268</v>
      </c>
      <c r="B32" s="1961">
        <f>'факт шаблон вода'!A35</f>
        <v>181</v>
      </c>
      <c r="C32" s="2055">
        <v>16.059999999999999</v>
      </c>
      <c r="D32" s="2204">
        <f t="shared" si="4"/>
        <v>2.9068599999999996</v>
      </c>
      <c r="G32" s="1972" t="s">
        <v>268</v>
      </c>
      <c r="H32" s="1961">
        <v>104</v>
      </c>
      <c r="I32" s="2055">
        <f t="shared" si="6"/>
        <v>16.059999999999999</v>
      </c>
      <c r="J32" s="2204">
        <f t="shared" si="5"/>
        <v>1.6702399999999997</v>
      </c>
    </row>
    <row r="33" spans="1:10" x14ac:dyDescent="0.2">
      <c r="A33" s="1972" t="s">
        <v>269</v>
      </c>
      <c r="B33" s="1961">
        <f>'факт шаблон вода'!A36</f>
        <v>194</v>
      </c>
      <c r="C33" s="2055">
        <v>16.059999999999999</v>
      </c>
      <c r="D33" s="2204">
        <f t="shared" si="4"/>
        <v>3.11564</v>
      </c>
      <c r="G33" s="1972" t="s">
        <v>269</v>
      </c>
      <c r="H33" s="1961">
        <v>125</v>
      </c>
      <c r="I33" s="2055">
        <f t="shared" si="6"/>
        <v>16.059999999999999</v>
      </c>
      <c r="J33" s="2204">
        <f t="shared" si="5"/>
        <v>2.0074999999999998</v>
      </c>
    </row>
    <row r="34" spans="1:10" x14ac:dyDescent="0.2">
      <c r="A34" s="1972" t="s">
        <v>1223</v>
      </c>
      <c r="B34" s="1961">
        <f>'факт шаблон вода'!A37</f>
        <v>220</v>
      </c>
      <c r="C34" s="2055">
        <v>16.059999999999999</v>
      </c>
      <c r="D34" s="2204">
        <f t="shared" si="4"/>
        <v>3.5331999999999999</v>
      </c>
      <c r="G34" s="1972" t="s">
        <v>1223</v>
      </c>
      <c r="H34" s="1961">
        <v>140</v>
      </c>
      <c r="I34" s="2055">
        <v>17.93</v>
      </c>
      <c r="J34" s="2204">
        <f t="shared" si="5"/>
        <v>2.5101999999999998</v>
      </c>
    </row>
    <row r="35" spans="1:10" x14ac:dyDescent="0.2">
      <c r="A35" s="1972" t="s">
        <v>270</v>
      </c>
      <c r="B35" s="1961">
        <f>'факт шаблон вода'!A38</f>
        <v>134</v>
      </c>
      <c r="C35" s="2055">
        <v>16.059999999999999</v>
      </c>
      <c r="D35" s="2204">
        <f t="shared" si="4"/>
        <v>2.15204</v>
      </c>
      <c r="G35" s="1972" t="s">
        <v>270</v>
      </c>
      <c r="H35" s="1961">
        <v>174</v>
      </c>
      <c r="I35" s="2055">
        <f>I34</f>
        <v>17.93</v>
      </c>
      <c r="J35" s="2204">
        <f t="shared" si="5"/>
        <v>3.1198200000000003</v>
      </c>
    </row>
    <row r="36" spans="1:10" x14ac:dyDescent="0.2">
      <c r="A36" s="1972" t="s">
        <v>1241</v>
      </c>
      <c r="B36" s="1961">
        <f>'факт шаблон вода'!A39</f>
        <v>130</v>
      </c>
      <c r="C36" s="2055">
        <v>16.059999999999999</v>
      </c>
      <c r="D36" s="2204">
        <f t="shared" si="4"/>
        <v>2.0877999999999997</v>
      </c>
      <c r="G36" s="1972" t="s">
        <v>1241</v>
      </c>
      <c r="H36" s="1961">
        <v>0</v>
      </c>
      <c r="I36" s="2055">
        <f t="shared" ref="I36:I39" si="7">I35</f>
        <v>17.93</v>
      </c>
      <c r="J36" s="2204">
        <f t="shared" si="5"/>
        <v>0</v>
      </c>
    </row>
    <row r="37" spans="1:10" x14ac:dyDescent="0.2">
      <c r="A37" s="1972" t="s">
        <v>271</v>
      </c>
      <c r="B37" s="1961">
        <f>'факт шаблон вода'!A40</f>
        <v>113</v>
      </c>
      <c r="C37" s="2055">
        <v>16.059999999999999</v>
      </c>
      <c r="D37" s="2204">
        <f t="shared" si="4"/>
        <v>1.8147799999999998</v>
      </c>
      <c r="G37" s="1972" t="s">
        <v>271</v>
      </c>
      <c r="H37" s="1961">
        <v>64</v>
      </c>
      <c r="I37" s="2055">
        <f t="shared" si="7"/>
        <v>17.93</v>
      </c>
      <c r="J37" s="2204">
        <f t="shared" si="5"/>
        <v>1.1475199999999999</v>
      </c>
    </row>
    <row r="38" spans="1:10" x14ac:dyDescent="0.2">
      <c r="A38" s="1972" t="s">
        <v>272</v>
      </c>
      <c r="B38" s="1961">
        <f>'факт шаблон вода'!A41</f>
        <v>90</v>
      </c>
      <c r="C38" s="2055">
        <v>16.059999999999999</v>
      </c>
      <c r="D38" s="2204">
        <f t="shared" si="4"/>
        <v>1.4453999999999998</v>
      </c>
      <c r="G38" s="1972" t="s">
        <v>272</v>
      </c>
      <c r="H38" s="1961">
        <v>179</v>
      </c>
      <c r="I38" s="2055">
        <f t="shared" si="7"/>
        <v>17.93</v>
      </c>
      <c r="J38" s="2204">
        <f t="shared" si="5"/>
        <v>3.2094699999999996</v>
      </c>
    </row>
    <row r="39" spans="1:10" x14ac:dyDescent="0.2">
      <c r="A39" s="1972" t="s">
        <v>1332</v>
      </c>
      <c r="B39" s="1961">
        <f>'факт шаблон вода'!A42</f>
        <v>249</v>
      </c>
      <c r="C39" s="2055">
        <v>16.059999999999999</v>
      </c>
      <c r="D39" s="2204">
        <f t="shared" si="4"/>
        <v>3.9989399999999997</v>
      </c>
      <c r="G39" s="1972" t="s">
        <v>1332</v>
      </c>
      <c r="H39" s="1961">
        <v>140</v>
      </c>
      <c r="I39" s="2055">
        <f t="shared" si="7"/>
        <v>17.93</v>
      </c>
      <c r="J39" s="2204">
        <f t="shared" si="5"/>
        <v>2.5101999999999998</v>
      </c>
    </row>
    <row r="40" spans="1:10" x14ac:dyDescent="0.2">
      <c r="A40" s="1972" t="s">
        <v>288</v>
      </c>
      <c r="B40" s="1973">
        <f>SUM(B28:B39)</f>
        <v>2399</v>
      </c>
      <c r="C40" s="2204">
        <f>D40/B40*1000</f>
        <v>16.059999999999995</v>
      </c>
      <c r="D40" s="2205">
        <f>SUM(D28:D39)</f>
        <v>38.527939999999987</v>
      </c>
      <c r="G40" s="1972" t="s">
        <v>288</v>
      </c>
      <c r="H40" s="1973">
        <f>SUM(H28:H39)</f>
        <v>1773</v>
      </c>
      <c r="I40" s="2204">
        <f>J40/H40*1000</f>
        <v>16.795132543711222</v>
      </c>
      <c r="J40" s="2205">
        <f>SUM(J28:J39)</f>
        <v>29.77777</v>
      </c>
    </row>
    <row r="42" spans="1:10" ht="13.5" x14ac:dyDescent="0.2">
      <c r="A42" s="3941" t="s">
        <v>47</v>
      </c>
      <c r="B42" s="3941"/>
      <c r="C42" s="5"/>
      <c r="D42" s="5"/>
      <c r="G42" s="3941" t="s">
        <v>47</v>
      </c>
      <c r="H42" s="3941"/>
      <c r="I42" s="5"/>
      <c r="J42" s="5"/>
    </row>
    <row r="43" spans="1:10" ht="51" x14ac:dyDescent="0.2">
      <c r="A43" s="2143" t="s">
        <v>1574</v>
      </c>
      <c r="B43" s="2143" t="s">
        <v>1723</v>
      </c>
      <c r="C43" s="2140" t="s">
        <v>1724</v>
      </c>
      <c r="D43" s="2140" t="s">
        <v>1725</v>
      </c>
      <c r="G43" s="2417" t="s">
        <v>1574</v>
      </c>
      <c r="H43" s="2417" t="s">
        <v>1723</v>
      </c>
      <c r="I43" s="2416" t="s">
        <v>1724</v>
      </c>
      <c r="J43" s="2416" t="s">
        <v>1725</v>
      </c>
    </row>
    <row r="44" spans="1:10" x14ac:dyDescent="0.2">
      <c r="A44" s="1972" t="s">
        <v>264</v>
      </c>
      <c r="B44" s="1961">
        <f>'факт шаблон стоки'!A3</f>
        <v>271693.3</v>
      </c>
      <c r="C44" s="2054">
        <v>24.29</v>
      </c>
      <c r="D44" s="2204">
        <f>B44*C44/1000</f>
        <v>6599.4302569999991</v>
      </c>
      <c r="G44" s="1972" t="s">
        <v>264</v>
      </c>
      <c r="H44" s="1961">
        <v>256714.54</v>
      </c>
      <c r="I44" s="2054">
        <v>25.13</v>
      </c>
      <c r="J44" s="2204">
        <f>H44*I44/1000</f>
        <v>6451.2363902000006</v>
      </c>
    </row>
    <row r="45" spans="1:10" x14ac:dyDescent="0.2">
      <c r="A45" s="1972" t="s">
        <v>265</v>
      </c>
      <c r="B45" s="1961">
        <f>'факт шаблон стоки'!A4</f>
        <v>267880.98</v>
      </c>
      <c r="C45" s="2054">
        <v>24.29</v>
      </c>
      <c r="D45" s="2204">
        <f t="shared" ref="D45:D55" si="8">B45*C45/1000</f>
        <v>6506.829004199999</v>
      </c>
      <c r="G45" s="1972" t="s">
        <v>265</v>
      </c>
      <c r="H45" s="1961">
        <v>271358.69</v>
      </c>
      <c r="I45" s="2054">
        <f>I44</f>
        <v>25.13</v>
      </c>
      <c r="J45" s="2204">
        <f t="shared" ref="J45:J55" si="9">H45*I45/1000</f>
        <v>6819.2438796999995</v>
      </c>
    </row>
    <row r="46" spans="1:10" x14ac:dyDescent="0.2">
      <c r="A46" s="1972" t="s">
        <v>266</v>
      </c>
      <c r="B46" s="1961">
        <f>'факт шаблон стоки'!A5</f>
        <v>264651.92</v>
      </c>
      <c r="C46" s="2054">
        <v>24.29</v>
      </c>
      <c r="D46" s="2204">
        <f t="shared" si="8"/>
        <v>6428.3951367999998</v>
      </c>
      <c r="G46" s="1972" t="s">
        <v>266</v>
      </c>
      <c r="H46" s="1961">
        <v>258066.01</v>
      </c>
      <c r="I46" s="2054">
        <f t="shared" ref="I46:I49" si="10">I45</f>
        <v>25.13</v>
      </c>
      <c r="J46" s="2204">
        <f t="shared" si="9"/>
        <v>6485.1988313000002</v>
      </c>
    </row>
    <row r="47" spans="1:10" x14ac:dyDescent="0.2">
      <c r="A47" s="1972" t="s">
        <v>267</v>
      </c>
      <c r="B47" s="1961">
        <f>'факт шаблон стоки'!A6</f>
        <v>262160.76</v>
      </c>
      <c r="C47" s="2054">
        <v>24.29</v>
      </c>
      <c r="D47" s="2204">
        <f t="shared" si="8"/>
        <v>6367.8848603999995</v>
      </c>
      <c r="G47" s="1972" t="s">
        <v>267</v>
      </c>
      <c r="H47" s="1961">
        <v>284605.92</v>
      </c>
      <c r="I47" s="2054">
        <f t="shared" si="10"/>
        <v>25.13</v>
      </c>
      <c r="J47" s="2204">
        <f t="shared" si="9"/>
        <v>7152.1467695999991</v>
      </c>
    </row>
    <row r="48" spans="1:10" x14ac:dyDescent="0.2">
      <c r="A48" s="1972" t="s">
        <v>268</v>
      </c>
      <c r="B48" s="1961">
        <f>'факт шаблон стоки'!A7</f>
        <v>251481.02000000002</v>
      </c>
      <c r="C48" s="2054">
        <v>24.29</v>
      </c>
      <c r="D48" s="2204">
        <f t="shared" si="8"/>
        <v>6108.4739758000005</v>
      </c>
      <c r="G48" s="1972" t="s">
        <v>268</v>
      </c>
      <c r="H48" s="1961">
        <v>266109.43</v>
      </c>
      <c r="I48" s="2054">
        <f t="shared" si="10"/>
        <v>25.13</v>
      </c>
      <c r="J48" s="2204">
        <f t="shared" si="9"/>
        <v>6687.3299759000001</v>
      </c>
    </row>
    <row r="49" spans="1:10" x14ac:dyDescent="0.2">
      <c r="A49" s="1972" t="s">
        <v>269</v>
      </c>
      <c r="B49" s="1961">
        <f>'факт шаблон стоки'!A8</f>
        <v>249611.67</v>
      </c>
      <c r="C49" s="2054">
        <v>24.29</v>
      </c>
      <c r="D49" s="2204">
        <f t="shared" si="8"/>
        <v>6063.0674643000002</v>
      </c>
      <c r="G49" s="1972" t="s">
        <v>269</v>
      </c>
      <c r="H49" s="1961">
        <v>255710.26</v>
      </c>
      <c r="I49" s="2054">
        <f t="shared" si="10"/>
        <v>25.13</v>
      </c>
      <c r="J49" s="2204">
        <f t="shared" si="9"/>
        <v>6425.9988338000003</v>
      </c>
    </row>
    <row r="50" spans="1:10" x14ac:dyDescent="0.2">
      <c r="A50" s="1972" t="s">
        <v>1223</v>
      </c>
      <c r="B50" s="1961">
        <f>'факт шаблон стоки'!A9</f>
        <v>223476.73</v>
      </c>
      <c r="C50" s="2055">
        <v>25.13</v>
      </c>
      <c r="D50" s="2204">
        <f t="shared" si="8"/>
        <v>5615.9702249000002</v>
      </c>
      <c r="G50" s="1972" t="s">
        <v>1223</v>
      </c>
      <c r="H50" s="1961">
        <v>231700.75</v>
      </c>
      <c r="I50" s="2055">
        <f>26.64</f>
        <v>26.64</v>
      </c>
      <c r="J50" s="2204">
        <f t="shared" si="9"/>
        <v>6172.5079800000003</v>
      </c>
    </row>
    <row r="51" spans="1:10" x14ac:dyDescent="0.2">
      <c r="A51" s="1972" t="s">
        <v>270</v>
      </c>
      <c r="B51" s="1961">
        <f>'факт шаблон стоки'!A10</f>
        <v>244501.71000000002</v>
      </c>
      <c r="C51" s="2055">
        <v>25.13</v>
      </c>
      <c r="D51" s="2204">
        <f t="shared" si="8"/>
        <v>6144.3279723000005</v>
      </c>
      <c r="G51" s="1972" t="s">
        <v>270</v>
      </c>
      <c r="H51" s="1961">
        <v>243944.76</v>
      </c>
      <c r="I51" s="2055">
        <f>I50</f>
        <v>26.64</v>
      </c>
      <c r="J51" s="2204">
        <f t="shared" si="9"/>
        <v>6498.6884064000005</v>
      </c>
    </row>
    <row r="52" spans="1:10" x14ac:dyDescent="0.2">
      <c r="A52" s="1972" t="s">
        <v>1241</v>
      </c>
      <c r="B52" s="1961">
        <f>'факт шаблон стоки'!A11</f>
        <v>254060.72000000003</v>
      </c>
      <c r="C52" s="2055">
        <v>25.13</v>
      </c>
      <c r="D52" s="2204">
        <f t="shared" si="8"/>
        <v>6384.5458936000005</v>
      </c>
      <c r="G52" s="1972" t="s">
        <v>1241</v>
      </c>
      <c r="H52" s="1961">
        <v>256648.95</v>
      </c>
      <c r="I52" s="2055">
        <f t="shared" ref="I52:I55" si="11">I51</f>
        <v>26.64</v>
      </c>
      <c r="J52" s="2204">
        <f t="shared" si="9"/>
        <v>6837.128028000001</v>
      </c>
    </row>
    <row r="53" spans="1:10" x14ac:dyDescent="0.2">
      <c r="A53" s="1972" t="s">
        <v>271</v>
      </c>
      <c r="B53" s="1961">
        <f>'факт шаблон стоки'!A12</f>
        <v>246681.56999999998</v>
      </c>
      <c r="C53" s="2055">
        <v>25.13</v>
      </c>
      <c r="D53" s="2204">
        <f t="shared" si="8"/>
        <v>6199.1078540999988</v>
      </c>
      <c r="G53" s="1972" t="s">
        <v>271</v>
      </c>
      <c r="H53" s="1961">
        <v>301809.37</v>
      </c>
      <c r="I53" s="2055">
        <f t="shared" si="11"/>
        <v>26.64</v>
      </c>
      <c r="J53" s="2204">
        <f t="shared" si="9"/>
        <v>8040.2016168</v>
      </c>
    </row>
    <row r="54" spans="1:10" x14ac:dyDescent="0.2">
      <c r="A54" s="1972" t="s">
        <v>272</v>
      </c>
      <c r="B54" s="1961">
        <f>'факт шаблон стоки'!A13</f>
        <v>253925.40000000002</v>
      </c>
      <c r="C54" s="2055">
        <v>25.13</v>
      </c>
      <c r="D54" s="2204">
        <f t="shared" si="8"/>
        <v>6381.1453019999999</v>
      </c>
      <c r="G54" s="1972" t="s">
        <v>272</v>
      </c>
      <c r="H54" s="1961">
        <v>289260.95</v>
      </c>
      <c r="I54" s="2055">
        <f t="shared" si="11"/>
        <v>26.64</v>
      </c>
      <c r="J54" s="2204">
        <f t="shared" si="9"/>
        <v>7705.9117080000005</v>
      </c>
    </row>
    <row r="55" spans="1:10" x14ac:dyDescent="0.2">
      <c r="A55" s="1972" t="s">
        <v>1332</v>
      </c>
      <c r="B55" s="1961">
        <f>'факт шаблон стоки'!A14</f>
        <v>250714.08</v>
      </c>
      <c r="C55" s="2055">
        <v>25.13</v>
      </c>
      <c r="D55" s="2204">
        <f t="shared" si="8"/>
        <v>6300.4448303999998</v>
      </c>
      <c r="G55" s="1972" t="s">
        <v>1332</v>
      </c>
      <c r="H55" s="1961">
        <v>262166.58</v>
      </c>
      <c r="I55" s="2055">
        <f t="shared" si="11"/>
        <v>26.64</v>
      </c>
      <c r="J55" s="2204">
        <f t="shared" si="9"/>
        <v>6984.1176912000001</v>
      </c>
    </row>
    <row r="56" spans="1:10" x14ac:dyDescent="0.2">
      <c r="A56" s="1972" t="s">
        <v>288</v>
      </c>
      <c r="B56" s="1973">
        <f>SUM(B44:B55)</f>
        <v>3040839.86</v>
      </c>
      <c r="C56" s="2204">
        <f>D56/B56*1000</f>
        <v>24.697000247753923</v>
      </c>
      <c r="D56" s="2205">
        <f>SUM(D44:D55)</f>
        <v>75099.622775800002</v>
      </c>
      <c r="G56" s="1972" t="s">
        <v>288</v>
      </c>
      <c r="H56" s="1973">
        <f>SUM(H44:H55)</f>
        <v>3178096.2100000004</v>
      </c>
      <c r="I56" s="2204">
        <f>J56/H56*1000</f>
        <v>25.883329098743673</v>
      </c>
      <c r="J56" s="2205">
        <f>SUM(J44:J55)</f>
        <v>82259.710110899992</v>
      </c>
    </row>
    <row r="58" spans="1:10" ht="13.5" x14ac:dyDescent="0.2">
      <c r="A58" s="3941" t="s">
        <v>1767</v>
      </c>
      <c r="B58" s="3941"/>
      <c r="C58" s="5"/>
      <c r="D58" s="5"/>
      <c r="G58" s="3941" t="s">
        <v>1767</v>
      </c>
      <c r="H58" s="3941"/>
      <c r="I58" s="5"/>
      <c r="J58" s="5"/>
    </row>
    <row r="59" spans="1:10" ht="51" x14ac:dyDescent="0.2">
      <c r="A59" s="2143" t="s">
        <v>1574</v>
      </c>
      <c r="B59" s="2143" t="s">
        <v>1723</v>
      </c>
      <c r="C59" s="2140" t="s">
        <v>1724</v>
      </c>
      <c r="D59" s="2140" t="s">
        <v>1725</v>
      </c>
      <c r="G59" s="2417" t="s">
        <v>1574</v>
      </c>
      <c r="H59" s="2417" t="s">
        <v>1723</v>
      </c>
      <c r="I59" s="2416" t="s">
        <v>1724</v>
      </c>
      <c r="J59" s="2416" t="s">
        <v>1725</v>
      </c>
    </row>
    <row r="60" spans="1:10" x14ac:dyDescent="0.2">
      <c r="A60" s="1972" t="s">
        <v>264</v>
      </c>
      <c r="B60" s="1961">
        <f>'факт шаблон стоки'!A31</f>
        <v>251.25</v>
      </c>
      <c r="C60" s="2055">
        <v>13.79</v>
      </c>
      <c r="D60" s="2204">
        <f>B60*C60/1000</f>
        <v>3.4647374999999996</v>
      </c>
      <c r="G60" s="1972" t="s">
        <v>264</v>
      </c>
      <c r="H60" s="1961">
        <v>307.5</v>
      </c>
      <c r="I60" s="2055">
        <v>14.28</v>
      </c>
      <c r="J60" s="2204">
        <f>H60*I60/1000</f>
        <v>4.3910999999999998</v>
      </c>
    </row>
    <row r="61" spans="1:10" x14ac:dyDescent="0.2">
      <c r="A61" s="1972" t="s">
        <v>265</v>
      </c>
      <c r="B61" s="1961">
        <f>'факт шаблон стоки'!A32</f>
        <v>753.75</v>
      </c>
      <c r="C61" s="2055">
        <v>13.79</v>
      </c>
      <c r="D61" s="2204">
        <f t="shared" ref="D61:D71" si="12">B61*C61/1000</f>
        <v>10.3942125</v>
      </c>
      <c r="G61" s="1972" t="s">
        <v>265</v>
      </c>
      <c r="H61" s="1961">
        <v>318.75</v>
      </c>
      <c r="I61" s="2055">
        <f>I60</f>
        <v>14.28</v>
      </c>
      <c r="J61" s="2204">
        <f t="shared" ref="J61:J71" si="13">H61*I61/1000</f>
        <v>4.5517500000000002</v>
      </c>
    </row>
    <row r="62" spans="1:10" x14ac:dyDescent="0.2">
      <c r="A62" s="1972" t="s">
        <v>266</v>
      </c>
      <c r="B62" s="1961">
        <f>'факт шаблон стоки'!A33</f>
        <v>3772.71</v>
      </c>
      <c r="C62" s="2055">
        <v>13.79</v>
      </c>
      <c r="D62" s="2204">
        <f t="shared" si="12"/>
        <v>52.025670899999994</v>
      </c>
      <c r="G62" s="1972" t="s">
        <v>266</v>
      </c>
      <c r="H62" s="1961">
        <v>3768.96</v>
      </c>
      <c r="I62" s="2055">
        <f t="shared" ref="I62:I65" si="14">I61</f>
        <v>14.28</v>
      </c>
      <c r="J62" s="2204">
        <f t="shared" si="13"/>
        <v>53.820748800000004</v>
      </c>
    </row>
    <row r="63" spans="1:10" x14ac:dyDescent="0.2">
      <c r="A63" s="1972" t="s">
        <v>267</v>
      </c>
      <c r="B63" s="1961">
        <f>'факт шаблон стоки'!A34</f>
        <v>524.5</v>
      </c>
      <c r="C63" s="2055">
        <v>13.79</v>
      </c>
      <c r="D63" s="2204">
        <f t="shared" si="12"/>
        <v>7.2328549999999998</v>
      </c>
      <c r="G63" s="1972" t="s">
        <v>267</v>
      </c>
      <c r="H63" s="1961">
        <v>427.5</v>
      </c>
      <c r="I63" s="2055">
        <f t="shared" si="14"/>
        <v>14.28</v>
      </c>
      <c r="J63" s="2204">
        <f t="shared" si="13"/>
        <v>6.1047000000000002</v>
      </c>
    </row>
    <row r="64" spans="1:10" x14ac:dyDescent="0.2">
      <c r="A64" s="1972" t="s">
        <v>268</v>
      </c>
      <c r="B64" s="1961">
        <f>'факт шаблон стоки'!A35</f>
        <v>753.75</v>
      </c>
      <c r="C64" s="2055">
        <v>13.79</v>
      </c>
      <c r="D64" s="2204">
        <f t="shared" si="12"/>
        <v>10.3942125</v>
      </c>
      <c r="G64" s="1972" t="s">
        <v>268</v>
      </c>
      <c r="H64" s="1961">
        <v>384.5</v>
      </c>
      <c r="I64" s="2055">
        <f t="shared" si="14"/>
        <v>14.28</v>
      </c>
      <c r="J64" s="2204">
        <f t="shared" si="13"/>
        <v>5.4906600000000001</v>
      </c>
    </row>
    <row r="65" spans="1:10" x14ac:dyDescent="0.2">
      <c r="A65" s="1972" t="s">
        <v>269</v>
      </c>
      <c r="B65" s="1961">
        <f>'факт шаблон стоки'!A36</f>
        <v>4175.71</v>
      </c>
      <c r="C65" s="2055">
        <v>13.79</v>
      </c>
      <c r="D65" s="2204">
        <f t="shared" si="12"/>
        <v>57.5830409</v>
      </c>
      <c r="G65" s="1972" t="s">
        <v>269</v>
      </c>
      <c r="H65" s="1961">
        <v>4077.71</v>
      </c>
      <c r="I65" s="2055">
        <f t="shared" si="14"/>
        <v>14.28</v>
      </c>
      <c r="J65" s="2204">
        <f t="shared" si="13"/>
        <v>58.229698800000001</v>
      </c>
    </row>
    <row r="66" spans="1:10" x14ac:dyDescent="0.2">
      <c r="A66" s="1972" t="s">
        <v>1223</v>
      </c>
      <c r="B66" s="1961">
        <f>'факт шаблон стоки'!A37</f>
        <v>450</v>
      </c>
      <c r="C66" s="2055">
        <v>14.28</v>
      </c>
      <c r="D66" s="2204">
        <f t="shared" si="12"/>
        <v>6.4260000000000002</v>
      </c>
      <c r="G66" s="1972" t="s">
        <v>1223</v>
      </c>
      <c r="H66" s="1961">
        <v>461.25</v>
      </c>
      <c r="I66" s="2055">
        <v>14.87</v>
      </c>
      <c r="J66" s="2204">
        <f t="shared" si="13"/>
        <v>6.8587874999999991</v>
      </c>
    </row>
    <row r="67" spans="1:10" x14ac:dyDescent="0.2">
      <c r="A67" s="1972" t="s">
        <v>270</v>
      </c>
      <c r="B67" s="1961">
        <f>'факт шаблон стоки'!A38</f>
        <v>585</v>
      </c>
      <c r="C67" s="2055">
        <v>14.28</v>
      </c>
      <c r="D67" s="2204">
        <f t="shared" si="12"/>
        <v>8.3537999999999997</v>
      </c>
      <c r="G67" s="1972" t="s">
        <v>270</v>
      </c>
      <c r="H67" s="1961">
        <v>480</v>
      </c>
      <c r="I67" s="2055">
        <f>I66</f>
        <v>14.87</v>
      </c>
      <c r="J67" s="2204">
        <f t="shared" si="13"/>
        <v>7.1375999999999991</v>
      </c>
    </row>
    <row r="68" spans="1:10" x14ac:dyDescent="0.2">
      <c r="A68" s="1972" t="s">
        <v>1241</v>
      </c>
      <c r="B68" s="1961">
        <f>'факт шаблон стоки'!A39</f>
        <v>4072.71</v>
      </c>
      <c r="C68" s="2055">
        <v>14.28</v>
      </c>
      <c r="D68" s="2204">
        <f t="shared" si="12"/>
        <v>58.158298799999997</v>
      </c>
      <c r="G68" s="1972" t="s">
        <v>1241</v>
      </c>
      <c r="H68" s="1961">
        <v>3999.46</v>
      </c>
      <c r="I68" s="2055">
        <f t="shared" ref="I68:I71" si="15">I67</f>
        <v>14.87</v>
      </c>
      <c r="J68" s="2204">
        <f t="shared" si="13"/>
        <v>59.471970199999994</v>
      </c>
    </row>
    <row r="69" spans="1:10" x14ac:dyDescent="0.2">
      <c r="A69" s="1972" t="s">
        <v>271</v>
      </c>
      <c r="B69" s="1961">
        <f>'факт шаблон стоки'!A40</f>
        <v>611.25</v>
      </c>
      <c r="C69" s="2055">
        <v>14.28</v>
      </c>
      <c r="D69" s="2204">
        <f t="shared" si="12"/>
        <v>8.72865</v>
      </c>
      <c r="G69" s="1972" t="s">
        <v>271</v>
      </c>
      <c r="H69" s="1961">
        <v>236.25</v>
      </c>
      <c r="I69" s="2055">
        <f t="shared" si="15"/>
        <v>14.87</v>
      </c>
      <c r="J69" s="2204">
        <f t="shared" si="13"/>
        <v>3.5130374999999998</v>
      </c>
    </row>
    <row r="70" spans="1:10" x14ac:dyDescent="0.2">
      <c r="A70" s="1972" t="s">
        <v>272</v>
      </c>
      <c r="B70" s="1961">
        <f>'факт шаблон стоки'!A41</f>
        <v>810</v>
      </c>
      <c r="C70" s="2055">
        <v>14.28</v>
      </c>
      <c r="D70" s="2204">
        <f t="shared" si="12"/>
        <v>11.566799999999999</v>
      </c>
      <c r="G70" s="1972" t="s">
        <v>272</v>
      </c>
      <c r="H70" s="1961">
        <v>535.25</v>
      </c>
      <c r="I70" s="2055">
        <f t="shared" si="15"/>
        <v>14.87</v>
      </c>
      <c r="J70" s="2204">
        <f t="shared" si="13"/>
        <v>7.9591674999999995</v>
      </c>
    </row>
    <row r="71" spans="1:10" x14ac:dyDescent="0.2">
      <c r="A71" s="1972" t="s">
        <v>1332</v>
      </c>
      <c r="B71" s="1961">
        <f>'факт шаблон стоки'!A42</f>
        <v>3885.21</v>
      </c>
      <c r="C71" s="2055">
        <v>14.28</v>
      </c>
      <c r="D71" s="2204">
        <f t="shared" si="12"/>
        <v>55.480798799999995</v>
      </c>
      <c r="G71" s="1972" t="s">
        <v>1332</v>
      </c>
      <c r="H71" s="1961">
        <v>4226.46</v>
      </c>
      <c r="I71" s="2055">
        <f t="shared" si="15"/>
        <v>14.87</v>
      </c>
      <c r="J71" s="2204">
        <f t="shared" si="13"/>
        <v>62.847460199999993</v>
      </c>
    </row>
    <row r="72" spans="1:10" x14ac:dyDescent="0.2">
      <c r="A72" s="1972" t="s">
        <v>288</v>
      </c>
      <c r="B72" s="1973">
        <f>SUM(B60:B71)</f>
        <v>20645.84</v>
      </c>
      <c r="C72" s="2204">
        <f>D72/B72*1000</f>
        <v>14.03716569052167</v>
      </c>
      <c r="D72" s="2205">
        <f>SUM(D60:D71)</f>
        <v>289.80907689999992</v>
      </c>
      <c r="G72" s="1972" t="s">
        <v>288</v>
      </c>
      <c r="H72" s="1973">
        <f>SUM(H60:H71)</f>
        <v>19223.59</v>
      </c>
      <c r="I72" s="2204">
        <f>J72/H72*1000</f>
        <v>14.585032270247126</v>
      </c>
      <c r="J72" s="2205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2213">
        <f>B2+C2</f>
        <v>3040839.86</v>
      </c>
      <c r="B2" s="2213">
        <f>SUM(B3:B14)</f>
        <v>0</v>
      </c>
      <c r="C2" s="2213">
        <f>SUM(C3:C14)</f>
        <v>3040839.86</v>
      </c>
      <c r="D2" s="2213">
        <f>SUM(D3:D14)</f>
        <v>0</v>
      </c>
      <c r="E2" s="2213">
        <f t="shared" ref="E2:L2" si="0">SUM(E3:E14)</f>
        <v>0</v>
      </c>
      <c r="F2" s="2213">
        <f t="shared" si="0"/>
        <v>0</v>
      </c>
      <c r="G2" s="2213">
        <f t="shared" si="0"/>
        <v>2239890.88</v>
      </c>
      <c r="H2" s="2213">
        <f t="shared" si="0"/>
        <v>1662351.88</v>
      </c>
      <c r="I2" s="2213">
        <f t="shared" si="0"/>
        <v>577539</v>
      </c>
      <c r="J2" s="2213">
        <f t="shared" si="0"/>
        <v>800948.98</v>
      </c>
      <c r="K2" s="2213">
        <f t="shared" si="0"/>
        <v>778637.31599999988</v>
      </c>
      <c r="L2" s="2213">
        <f t="shared" si="0"/>
        <v>22311.664000000001</v>
      </c>
      <c r="M2" s="2213">
        <f>SUM(M3:M14)</f>
        <v>0</v>
      </c>
      <c r="N2" s="2213">
        <f>SUM(N3:N14)</f>
        <v>0</v>
      </c>
      <c r="O2" s="2213">
        <f>SUM(O3:O14)</f>
        <v>0</v>
      </c>
    </row>
    <row r="3" spans="1:15" x14ac:dyDescent="0.2">
      <c r="A3" s="2213">
        <f t="shared" ref="A3:A14" si="1">B3+C3</f>
        <v>271693.3</v>
      </c>
      <c r="B3" s="2212"/>
      <c r="C3" s="2213">
        <f>SUM(D3,G3,J3,M3)</f>
        <v>271693.3</v>
      </c>
      <c r="D3" s="2213">
        <f>SUM(E3,F3,)</f>
        <v>0</v>
      </c>
      <c r="E3" s="2212"/>
      <c r="F3" s="2212"/>
      <c r="G3" s="2213">
        <f>SUM(H3,I3,)</f>
        <v>205146.61</v>
      </c>
      <c r="H3" s="2212">
        <v>152797.60999999999</v>
      </c>
      <c r="I3" s="2212">
        <v>52349</v>
      </c>
      <c r="J3" s="2213">
        <f>SUM(K3,L3,)</f>
        <v>66546.69</v>
      </c>
      <c r="K3" s="2212">
        <v>64717.845000000001</v>
      </c>
      <c r="L3" s="2212">
        <v>1828.845</v>
      </c>
      <c r="M3" s="2213">
        <f>SUM(N3,O3,)</f>
        <v>0</v>
      </c>
      <c r="N3" s="2212"/>
      <c r="O3" s="2212"/>
    </row>
    <row r="4" spans="1:15" x14ac:dyDescent="0.2">
      <c r="A4" s="2213">
        <f t="shared" si="1"/>
        <v>267880.98</v>
      </c>
      <c r="B4" s="2212"/>
      <c r="C4" s="2213">
        <f t="shared" ref="C4:C14" si="2">SUM(D4,G4,J4,M4)</f>
        <v>267880.98</v>
      </c>
      <c r="D4" s="2213">
        <f t="shared" ref="D4:D14" si="3">SUM(E4,F4,)</f>
        <v>0</v>
      </c>
      <c r="E4" s="2212"/>
      <c r="F4" s="2212"/>
      <c r="G4" s="2213">
        <f t="shared" ref="G4:G14" si="4">SUM(H4,I4,)</f>
        <v>195486.07999999999</v>
      </c>
      <c r="H4" s="2212">
        <v>148192.07999999999</v>
      </c>
      <c r="I4" s="2212">
        <v>47294</v>
      </c>
      <c r="J4" s="2213">
        <f t="shared" ref="J4:J14" si="5">SUM(K4,L4,)</f>
        <v>72394.899999999994</v>
      </c>
      <c r="K4" s="2212">
        <v>70567.054999999993</v>
      </c>
      <c r="L4" s="2212">
        <v>1827.845</v>
      </c>
      <c r="M4" s="2213">
        <f t="shared" ref="M4:M14" si="6">SUM(N4,O4,)</f>
        <v>0</v>
      </c>
      <c r="N4" s="2212"/>
      <c r="O4" s="2212"/>
    </row>
    <row r="5" spans="1:15" x14ac:dyDescent="0.2">
      <c r="A5" s="2213">
        <f t="shared" si="1"/>
        <v>264651.92</v>
      </c>
      <c r="B5" s="2212"/>
      <c r="C5" s="2213">
        <f t="shared" si="2"/>
        <v>264651.92</v>
      </c>
      <c r="D5" s="2213">
        <f t="shared" si="3"/>
        <v>0</v>
      </c>
      <c r="E5" s="2212"/>
      <c r="F5" s="2212"/>
      <c r="G5" s="2213">
        <f t="shared" si="4"/>
        <v>193837.74</v>
      </c>
      <c r="H5" s="2212">
        <v>144467.74</v>
      </c>
      <c r="I5" s="2212">
        <v>49370</v>
      </c>
      <c r="J5" s="2213">
        <f t="shared" si="5"/>
        <v>70814.179999999993</v>
      </c>
      <c r="K5" s="2212">
        <v>68901.482999999993</v>
      </c>
      <c r="L5" s="2212">
        <v>1912.6969999999999</v>
      </c>
      <c r="M5" s="2213">
        <f t="shared" si="6"/>
        <v>0</v>
      </c>
      <c r="N5" s="2212"/>
      <c r="O5" s="2212"/>
    </row>
    <row r="6" spans="1:15" x14ac:dyDescent="0.2">
      <c r="A6" s="2213">
        <f t="shared" si="1"/>
        <v>262160.76</v>
      </c>
      <c r="B6" s="2212"/>
      <c r="C6" s="2213">
        <f t="shared" si="2"/>
        <v>262160.76</v>
      </c>
      <c r="D6" s="2213">
        <f t="shared" si="3"/>
        <v>0</v>
      </c>
      <c r="E6" s="2212"/>
      <c r="F6" s="2212"/>
      <c r="G6" s="2213">
        <f t="shared" si="4"/>
        <v>189491.35</v>
      </c>
      <c r="H6" s="2212">
        <v>142472.35</v>
      </c>
      <c r="I6" s="2212">
        <v>47019</v>
      </c>
      <c r="J6" s="2213">
        <f t="shared" si="5"/>
        <v>72669.41</v>
      </c>
      <c r="K6" s="2212">
        <v>70832.914000000004</v>
      </c>
      <c r="L6" s="2212">
        <v>1836.4960000000001</v>
      </c>
      <c r="M6" s="2213">
        <f t="shared" si="6"/>
        <v>0</v>
      </c>
      <c r="N6" s="2212"/>
      <c r="O6" s="2212"/>
    </row>
    <row r="7" spans="1:15" x14ac:dyDescent="0.2">
      <c r="A7" s="2213">
        <f t="shared" si="1"/>
        <v>251481.02000000002</v>
      </c>
      <c r="B7" s="2212"/>
      <c r="C7" s="2213">
        <f t="shared" si="2"/>
        <v>251481.02000000002</v>
      </c>
      <c r="D7" s="2213">
        <f t="shared" si="3"/>
        <v>0</v>
      </c>
      <c r="E7" s="2212"/>
      <c r="F7" s="2212"/>
      <c r="G7" s="2213">
        <f t="shared" si="4"/>
        <v>183724.79</v>
      </c>
      <c r="H7" s="2212">
        <v>134916.79</v>
      </c>
      <c r="I7" s="2212">
        <v>48808</v>
      </c>
      <c r="J7" s="2213">
        <f t="shared" si="5"/>
        <v>67756.23000000001</v>
      </c>
      <c r="K7" s="2212">
        <v>65925.373000000007</v>
      </c>
      <c r="L7" s="2212">
        <v>1830.857</v>
      </c>
      <c r="M7" s="2213">
        <f t="shared" si="6"/>
        <v>0</v>
      </c>
      <c r="N7" s="2212"/>
      <c r="O7" s="2212"/>
    </row>
    <row r="8" spans="1:15" x14ac:dyDescent="0.2">
      <c r="A8" s="2213">
        <f t="shared" si="1"/>
        <v>249611.67</v>
      </c>
      <c r="B8" s="2212"/>
      <c r="C8" s="2213">
        <f t="shared" si="2"/>
        <v>249611.67</v>
      </c>
      <c r="D8" s="2213">
        <f t="shared" si="3"/>
        <v>0</v>
      </c>
      <c r="E8" s="2212"/>
      <c r="F8" s="2212"/>
      <c r="G8" s="2213">
        <f t="shared" si="4"/>
        <v>181273.2</v>
      </c>
      <c r="H8" s="2212">
        <v>134316.20000000001</v>
      </c>
      <c r="I8" s="2212">
        <v>46957</v>
      </c>
      <c r="J8" s="2213">
        <f t="shared" si="5"/>
        <v>68338.47</v>
      </c>
      <c r="K8" s="2212">
        <v>66372.952999999994</v>
      </c>
      <c r="L8" s="2212">
        <v>1965.5170000000001</v>
      </c>
      <c r="M8" s="2213">
        <f t="shared" si="6"/>
        <v>0</v>
      </c>
      <c r="N8" s="2212"/>
      <c r="O8" s="2212"/>
    </row>
    <row r="9" spans="1:15" x14ac:dyDescent="0.2">
      <c r="A9" s="2213">
        <f t="shared" si="1"/>
        <v>223476.73</v>
      </c>
      <c r="B9" s="2212"/>
      <c r="C9" s="2213">
        <f t="shared" si="2"/>
        <v>223476.73</v>
      </c>
      <c r="D9" s="2213">
        <f t="shared" si="3"/>
        <v>0</v>
      </c>
      <c r="E9" s="2212"/>
      <c r="F9" s="2212"/>
      <c r="G9" s="2213">
        <f t="shared" si="4"/>
        <v>166397.69</v>
      </c>
      <c r="H9" s="2212">
        <v>120797.69</v>
      </c>
      <c r="I9" s="2212">
        <v>45600</v>
      </c>
      <c r="J9" s="2213">
        <f t="shared" si="5"/>
        <v>57079.040000000001</v>
      </c>
      <c r="K9" s="2212">
        <v>55249.821000000004</v>
      </c>
      <c r="L9" s="2212">
        <v>1829.2190000000001</v>
      </c>
      <c r="M9" s="2213">
        <f t="shared" si="6"/>
        <v>0</v>
      </c>
      <c r="N9" s="2212"/>
      <c r="O9" s="2212"/>
    </row>
    <row r="10" spans="1:15" x14ac:dyDescent="0.2">
      <c r="A10" s="2213">
        <f t="shared" si="1"/>
        <v>244501.71000000002</v>
      </c>
      <c r="B10" s="2212"/>
      <c r="C10" s="2213">
        <f t="shared" si="2"/>
        <v>244501.71000000002</v>
      </c>
      <c r="D10" s="2213">
        <f t="shared" si="3"/>
        <v>0</v>
      </c>
      <c r="E10" s="2212"/>
      <c r="F10" s="2212"/>
      <c r="G10" s="2213">
        <f t="shared" si="4"/>
        <v>184838.26</v>
      </c>
      <c r="H10" s="2212">
        <v>128869.26</v>
      </c>
      <c r="I10" s="2212">
        <v>55969</v>
      </c>
      <c r="J10" s="2213">
        <f t="shared" si="5"/>
        <v>59663.45</v>
      </c>
      <c r="K10" s="2212">
        <v>57831.731</v>
      </c>
      <c r="L10" s="2212">
        <v>1831.7190000000001</v>
      </c>
      <c r="M10" s="2213">
        <f t="shared" si="6"/>
        <v>0</v>
      </c>
      <c r="N10" s="2212"/>
      <c r="O10" s="2212"/>
    </row>
    <row r="11" spans="1:15" x14ac:dyDescent="0.2">
      <c r="A11" s="2213">
        <f t="shared" si="1"/>
        <v>254060.72000000003</v>
      </c>
      <c r="B11" s="2212"/>
      <c r="C11" s="2213">
        <f t="shared" si="2"/>
        <v>254060.72000000003</v>
      </c>
      <c r="D11" s="2213">
        <f t="shared" si="3"/>
        <v>0</v>
      </c>
      <c r="E11" s="2212"/>
      <c r="F11" s="2212"/>
      <c r="G11" s="2213">
        <f t="shared" si="4"/>
        <v>186145.89</v>
      </c>
      <c r="H11" s="2212">
        <v>140183.89000000001</v>
      </c>
      <c r="I11" s="2212">
        <v>45962</v>
      </c>
      <c r="J11" s="2213">
        <f t="shared" si="5"/>
        <v>67914.83</v>
      </c>
      <c r="K11" s="2212">
        <v>66015.036999999997</v>
      </c>
      <c r="L11" s="2212">
        <v>1899.7929999999999</v>
      </c>
      <c r="M11" s="2213">
        <f t="shared" si="6"/>
        <v>0</v>
      </c>
      <c r="N11" s="2212"/>
      <c r="O11" s="2212"/>
    </row>
    <row r="12" spans="1:15" x14ac:dyDescent="0.2">
      <c r="A12" s="2213">
        <f t="shared" si="1"/>
        <v>246681.56999999998</v>
      </c>
      <c r="B12" s="2212"/>
      <c r="C12" s="2213">
        <f t="shared" si="2"/>
        <v>246681.56999999998</v>
      </c>
      <c r="D12" s="2213">
        <f t="shared" si="3"/>
        <v>0</v>
      </c>
      <c r="E12" s="2212"/>
      <c r="F12" s="2212"/>
      <c r="G12" s="2213">
        <f t="shared" si="4"/>
        <v>184720.27</v>
      </c>
      <c r="H12" s="2212">
        <v>137941.26999999999</v>
      </c>
      <c r="I12" s="2212">
        <v>46779</v>
      </c>
      <c r="J12" s="2213">
        <f t="shared" si="5"/>
        <v>61961.299999999996</v>
      </c>
      <c r="K12" s="2212">
        <v>61762.930999999997</v>
      </c>
      <c r="L12" s="2212">
        <v>198.369</v>
      </c>
      <c r="M12" s="2213">
        <f t="shared" si="6"/>
        <v>0</v>
      </c>
      <c r="N12" s="2212"/>
      <c r="O12" s="2212"/>
    </row>
    <row r="13" spans="1:15" x14ac:dyDescent="0.2">
      <c r="A13" s="2213">
        <f t="shared" si="1"/>
        <v>253925.40000000002</v>
      </c>
      <c r="B13" s="2212"/>
      <c r="C13" s="2213">
        <f t="shared" si="2"/>
        <v>253925.40000000002</v>
      </c>
      <c r="D13" s="2213">
        <f t="shared" si="3"/>
        <v>0</v>
      </c>
      <c r="E13" s="2212"/>
      <c r="F13" s="2212"/>
      <c r="G13" s="2213">
        <f t="shared" si="4"/>
        <v>188901.32</v>
      </c>
      <c r="H13" s="2212">
        <v>144492.32</v>
      </c>
      <c r="I13" s="2212">
        <v>44409</v>
      </c>
      <c r="J13" s="2213">
        <f t="shared" si="5"/>
        <v>65024.08</v>
      </c>
      <c r="K13" s="2212">
        <v>61857.311000000002</v>
      </c>
      <c r="L13" s="2212">
        <v>3166.7689999999998</v>
      </c>
      <c r="M13" s="2213">
        <f t="shared" si="6"/>
        <v>0</v>
      </c>
      <c r="N13" s="2212"/>
      <c r="O13" s="2212"/>
    </row>
    <row r="14" spans="1:15" x14ac:dyDescent="0.2">
      <c r="A14" s="2213">
        <f t="shared" si="1"/>
        <v>250714.08</v>
      </c>
      <c r="B14" s="2212"/>
      <c r="C14" s="2213">
        <f t="shared" si="2"/>
        <v>250714.08</v>
      </c>
      <c r="D14" s="2213">
        <f t="shared" si="3"/>
        <v>0</v>
      </c>
      <c r="E14" s="2212"/>
      <c r="F14" s="2212"/>
      <c r="G14" s="2213">
        <f t="shared" si="4"/>
        <v>179927.67999999999</v>
      </c>
      <c r="H14" s="2212">
        <v>132904.68</v>
      </c>
      <c r="I14" s="2212">
        <v>47023</v>
      </c>
      <c r="J14" s="2213">
        <f t="shared" si="5"/>
        <v>70786.399999999994</v>
      </c>
      <c r="K14" s="2212">
        <v>68602.861999999994</v>
      </c>
      <c r="L14" s="2212">
        <v>2183.538</v>
      </c>
      <c r="M14" s="2213">
        <f t="shared" si="6"/>
        <v>0</v>
      </c>
      <c r="N14" s="2212"/>
      <c r="O14" s="2212"/>
    </row>
    <row r="15" spans="1:15" x14ac:dyDescent="0.2">
      <c r="A15" s="2210"/>
      <c r="B15" s="2206"/>
      <c r="C15" s="2206"/>
      <c r="D15" s="2206"/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</row>
    <row r="16" spans="1:15" x14ac:dyDescent="0.2">
      <c r="A16" s="2210"/>
      <c r="B16" s="2206"/>
      <c r="C16" s="2206"/>
      <c r="D16" s="2206"/>
      <c r="E16" s="2206"/>
      <c r="F16" s="2206"/>
      <c r="G16" s="2206"/>
      <c r="H16" s="2206"/>
      <c r="I16" s="2206"/>
      <c r="J16" s="2206"/>
      <c r="K16" s="2206"/>
      <c r="L16" s="2206"/>
      <c r="M16" s="2206"/>
      <c r="N16" s="2206"/>
      <c r="O16" s="2206"/>
    </row>
    <row r="17" spans="1:15" x14ac:dyDescent="0.2">
      <c r="A17" s="2210"/>
      <c r="B17" s="2206"/>
      <c r="C17" s="2206"/>
      <c r="D17" s="2206"/>
      <c r="E17" s="2206"/>
      <c r="F17" s="2206"/>
      <c r="G17" s="2206"/>
      <c r="H17" s="2206"/>
      <c r="I17" s="2206"/>
      <c r="J17" s="2206"/>
      <c r="K17" s="2206"/>
      <c r="L17" s="2206"/>
      <c r="M17" s="2206"/>
      <c r="N17" s="2206"/>
      <c r="O17" s="2206"/>
    </row>
    <row r="18" spans="1:15" x14ac:dyDescent="0.2">
      <c r="A18" s="2210"/>
      <c r="B18" s="2206"/>
      <c r="C18" s="2206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</row>
    <row r="19" spans="1:15" x14ac:dyDescent="0.2">
      <c r="A19" s="2210"/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</row>
    <row r="20" spans="1:15" x14ac:dyDescent="0.2">
      <c r="A20" s="2210"/>
      <c r="B20" s="2206"/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</row>
    <row r="21" spans="1:15" x14ac:dyDescent="0.2">
      <c r="A21" s="2210"/>
      <c r="B21" s="2206"/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</row>
    <row r="22" spans="1:15" x14ac:dyDescent="0.2">
      <c r="A22" s="2210"/>
      <c r="B22" s="2206"/>
      <c r="C22" s="2206"/>
      <c r="D22" s="2206"/>
      <c r="E22" s="2206"/>
      <c r="F22" s="2206"/>
      <c r="G22" s="2206"/>
      <c r="H22" s="2206"/>
      <c r="I22" s="2206"/>
      <c r="J22" s="2206"/>
      <c r="K22" s="2206"/>
      <c r="L22" s="2206"/>
      <c r="M22" s="2206"/>
      <c r="N22" s="2206"/>
      <c r="O22" s="2206"/>
    </row>
    <row r="23" spans="1:15" x14ac:dyDescent="0.2">
      <c r="A23" s="2210"/>
      <c r="B23" s="2206"/>
      <c r="C23" s="2206"/>
      <c r="D23" s="2206"/>
      <c r="E23" s="2206"/>
      <c r="F23" s="2206"/>
      <c r="G23" s="2206"/>
      <c r="H23" s="2206"/>
      <c r="I23" s="2206"/>
      <c r="J23" s="2206"/>
      <c r="K23" s="2206"/>
      <c r="L23" s="2206"/>
      <c r="M23" s="2206"/>
      <c r="N23" s="2206"/>
      <c r="O23" s="2206"/>
    </row>
    <row r="24" spans="1:15" x14ac:dyDescent="0.2">
      <c r="A24" s="2210"/>
      <c r="B24" s="2206"/>
      <c r="C24" s="2206"/>
      <c r="D24" s="2206"/>
      <c r="E24" s="2206"/>
      <c r="F24" s="2206"/>
      <c r="G24" s="2206"/>
      <c r="H24" s="2206"/>
      <c r="I24" s="2206"/>
      <c r="J24" s="2206"/>
      <c r="K24" s="2206"/>
      <c r="L24" s="2206"/>
      <c r="M24" s="2206"/>
      <c r="N24" s="2206"/>
      <c r="O24" s="2206"/>
    </row>
    <row r="25" spans="1:15" x14ac:dyDescent="0.2">
      <c r="A25" s="2210"/>
      <c r="B25" s="2206"/>
      <c r="C25" s="2206"/>
      <c r="D25" s="2206"/>
      <c r="E25" s="2206"/>
      <c r="F25" s="2206"/>
      <c r="G25" s="2206"/>
      <c r="H25" s="2206"/>
      <c r="I25" s="2206"/>
      <c r="J25" s="2206"/>
      <c r="K25" s="2206"/>
      <c r="L25" s="2206"/>
      <c r="M25" s="2206"/>
      <c r="N25" s="2206"/>
      <c r="O25" s="2206"/>
    </row>
    <row r="26" spans="1:15" x14ac:dyDescent="0.2">
      <c r="A26" s="2210"/>
      <c r="B26" s="2206"/>
      <c r="C26" s="2206"/>
      <c r="D26" s="2206"/>
      <c r="E26" s="2206"/>
      <c r="F26" s="2206"/>
      <c r="G26" s="2206"/>
      <c r="H26" s="2206"/>
      <c r="I26" s="2206"/>
      <c r="J26" s="2206"/>
      <c r="K26" s="2206"/>
      <c r="L26" s="2206"/>
      <c r="M26" s="2206"/>
      <c r="N26" s="2206"/>
      <c r="O26" s="2206"/>
    </row>
    <row r="27" spans="1:15" x14ac:dyDescent="0.2">
      <c r="A27" s="2279"/>
      <c r="B27" s="2280"/>
      <c r="C27" s="2280"/>
      <c r="D27" s="2280"/>
      <c r="E27" s="2280"/>
      <c r="F27" s="2280"/>
      <c r="G27" s="2280"/>
      <c r="H27" s="2280"/>
      <c r="I27" s="2280"/>
      <c r="J27" s="2280"/>
      <c r="K27" s="2280"/>
      <c r="L27" s="2280"/>
      <c r="M27" s="2280"/>
      <c r="N27" s="2280"/>
      <c r="O27" s="2280"/>
    </row>
    <row r="28" spans="1:15" x14ac:dyDescent="0.2">
      <c r="A28" s="2208">
        <f>A30</f>
        <v>20645.84</v>
      </c>
      <c r="B28" s="2208">
        <f>B30</f>
        <v>0</v>
      </c>
      <c r="C28" s="2208">
        <f>C30</f>
        <v>20645.84</v>
      </c>
      <c r="D28" s="2208">
        <f>D30</f>
        <v>0</v>
      </c>
      <c r="E28" s="2208">
        <f t="shared" ref="E28:L28" si="7">E30</f>
        <v>0</v>
      </c>
      <c r="F28" s="2208">
        <f t="shared" si="7"/>
        <v>0</v>
      </c>
      <c r="G28" s="2208">
        <f t="shared" si="7"/>
        <v>20645.84</v>
      </c>
      <c r="H28" s="2208">
        <f t="shared" si="7"/>
        <v>0</v>
      </c>
      <c r="I28" s="2208">
        <f t="shared" si="7"/>
        <v>20645.84</v>
      </c>
      <c r="J28" s="2208">
        <f t="shared" si="7"/>
        <v>0</v>
      </c>
      <c r="K28" s="2208">
        <f t="shared" si="7"/>
        <v>0</v>
      </c>
      <c r="L28" s="2208">
        <f t="shared" si="7"/>
        <v>0</v>
      </c>
      <c r="M28" s="2208">
        <f>M30</f>
        <v>0</v>
      </c>
      <c r="N28" s="2208">
        <f t="shared" ref="N28:O28" si="8">N30</f>
        <v>0</v>
      </c>
      <c r="O28" s="2208">
        <f t="shared" si="8"/>
        <v>0</v>
      </c>
    </row>
    <row r="29" spans="1:15" x14ac:dyDescent="0.2">
      <c r="A29" s="2210"/>
      <c r="B29" s="2206"/>
      <c r="C29" s="2206"/>
      <c r="D29" s="2206"/>
      <c r="E29" s="2206"/>
      <c r="F29" s="2206"/>
      <c r="G29" s="2206"/>
      <c r="H29" s="2206"/>
      <c r="I29" s="2206"/>
      <c r="J29" s="2206"/>
      <c r="K29" s="2206"/>
      <c r="L29" s="2206"/>
      <c r="M29" s="2206"/>
      <c r="N29" s="2206"/>
      <c r="O29" s="2206"/>
    </row>
    <row r="30" spans="1:15" x14ac:dyDescent="0.2">
      <c r="A30" s="2213">
        <f>B30+C30</f>
        <v>20645.84</v>
      </c>
      <c r="B30" s="2213">
        <f>SUM(B31:B42)</f>
        <v>0</v>
      </c>
      <c r="C30" s="2213">
        <f>SUM(C31:C42)</f>
        <v>20645.84</v>
      </c>
      <c r="D30" s="2213">
        <f>SUM(D31:D42)</f>
        <v>0</v>
      </c>
      <c r="E30" s="2213">
        <f t="shared" ref="E30:L30" si="9">SUM(E31:E42)</f>
        <v>0</v>
      </c>
      <c r="F30" s="2213">
        <f t="shared" si="9"/>
        <v>0</v>
      </c>
      <c r="G30" s="2213">
        <f t="shared" si="9"/>
        <v>20645.84</v>
      </c>
      <c r="H30" s="2213">
        <f t="shared" si="9"/>
        <v>0</v>
      </c>
      <c r="I30" s="2213">
        <f t="shared" si="9"/>
        <v>20645.84</v>
      </c>
      <c r="J30" s="2213">
        <f t="shared" si="9"/>
        <v>0</v>
      </c>
      <c r="K30" s="2213">
        <f t="shared" si="9"/>
        <v>0</v>
      </c>
      <c r="L30" s="2213">
        <f t="shared" si="9"/>
        <v>0</v>
      </c>
      <c r="M30" s="2213">
        <f>SUM(M31:M42)</f>
        <v>0</v>
      </c>
      <c r="N30" s="2213">
        <f>SUM(N31:N42)</f>
        <v>0</v>
      </c>
      <c r="O30" s="2213">
        <f>SUM(O31:O42)</f>
        <v>0</v>
      </c>
    </row>
    <row r="31" spans="1:15" x14ac:dyDescent="0.2">
      <c r="A31" s="2213">
        <f t="shared" ref="A31:A42" si="10">B31+C31</f>
        <v>251.25</v>
      </c>
      <c r="B31" s="2212"/>
      <c r="C31" s="2213">
        <f>SUM(D31,G31,J31,M31)</f>
        <v>251.25</v>
      </c>
      <c r="D31" s="2213">
        <f>SUM(E31,F31,)</f>
        <v>0</v>
      </c>
      <c r="E31" s="2212"/>
      <c r="F31" s="2212"/>
      <c r="G31" s="2213">
        <f>SUM(H31,I31,)</f>
        <v>251.25</v>
      </c>
      <c r="H31" s="2212"/>
      <c r="I31" s="2212">
        <v>251.25</v>
      </c>
      <c r="J31" s="2213">
        <f>SUM(K31,L31,)</f>
        <v>0</v>
      </c>
      <c r="K31" s="2212"/>
      <c r="L31" s="2212"/>
      <c r="M31" s="2213">
        <f>SUM(N31,O31,)</f>
        <v>0</v>
      </c>
      <c r="N31" s="2212"/>
      <c r="O31" s="2212"/>
    </row>
    <row r="32" spans="1:15" x14ac:dyDescent="0.2">
      <c r="A32" s="2213">
        <f t="shared" si="10"/>
        <v>753.75</v>
      </c>
      <c r="B32" s="2212"/>
      <c r="C32" s="2213">
        <f t="shared" ref="C32:C42" si="11">SUM(D32,G32,J32,M32)</f>
        <v>753.75</v>
      </c>
      <c r="D32" s="2213">
        <f t="shared" ref="D32:D42" si="12">SUM(E32,F32,)</f>
        <v>0</v>
      </c>
      <c r="E32" s="2212"/>
      <c r="F32" s="2212"/>
      <c r="G32" s="2213">
        <f t="shared" ref="G32:G42" si="13">SUM(H32,I32,)</f>
        <v>753.75</v>
      </c>
      <c r="H32" s="2212"/>
      <c r="I32" s="2212">
        <v>753.75</v>
      </c>
      <c r="J32" s="2213">
        <f t="shared" ref="J32:J42" si="14">SUM(K32,L32,)</f>
        <v>0</v>
      </c>
      <c r="K32" s="2212"/>
      <c r="L32" s="2212"/>
      <c r="M32" s="2213">
        <f t="shared" ref="M32:M42" si="15">SUM(N32,O32,)</f>
        <v>0</v>
      </c>
      <c r="N32" s="2212"/>
      <c r="O32" s="2212"/>
    </row>
    <row r="33" spans="1:15" x14ac:dyDescent="0.2">
      <c r="A33" s="2213">
        <f t="shared" si="10"/>
        <v>3772.71</v>
      </c>
      <c r="B33" s="2212"/>
      <c r="C33" s="2213">
        <f t="shared" si="11"/>
        <v>3772.71</v>
      </c>
      <c r="D33" s="2213">
        <f t="shared" si="12"/>
        <v>0</v>
      </c>
      <c r="E33" s="2212"/>
      <c r="F33" s="2212"/>
      <c r="G33" s="2213">
        <f t="shared" si="13"/>
        <v>3772.71</v>
      </c>
      <c r="H33" s="2212"/>
      <c r="I33" s="2212">
        <v>3772.71</v>
      </c>
      <c r="J33" s="2213">
        <f t="shared" si="14"/>
        <v>0</v>
      </c>
      <c r="K33" s="2212"/>
      <c r="L33" s="2212"/>
      <c r="M33" s="2213">
        <f t="shared" si="15"/>
        <v>0</v>
      </c>
      <c r="N33" s="2212"/>
      <c r="O33" s="2212"/>
    </row>
    <row r="34" spans="1:15" x14ac:dyDescent="0.2">
      <c r="A34" s="2213">
        <f t="shared" si="10"/>
        <v>524.5</v>
      </c>
      <c r="B34" s="2212"/>
      <c r="C34" s="2213">
        <f t="shared" si="11"/>
        <v>524.5</v>
      </c>
      <c r="D34" s="2213">
        <f t="shared" si="12"/>
        <v>0</v>
      </c>
      <c r="E34" s="2212"/>
      <c r="F34" s="2212"/>
      <c r="G34" s="2213">
        <f t="shared" si="13"/>
        <v>524.5</v>
      </c>
      <c r="H34" s="2212"/>
      <c r="I34" s="2212">
        <v>524.5</v>
      </c>
      <c r="J34" s="2213">
        <f t="shared" si="14"/>
        <v>0</v>
      </c>
      <c r="K34" s="2212"/>
      <c r="L34" s="2212"/>
      <c r="M34" s="2213">
        <f t="shared" si="15"/>
        <v>0</v>
      </c>
      <c r="N34" s="2212"/>
      <c r="O34" s="2212"/>
    </row>
    <row r="35" spans="1:15" x14ac:dyDescent="0.2">
      <c r="A35" s="2213">
        <f t="shared" si="10"/>
        <v>753.75</v>
      </c>
      <c r="B35" s="2212"/>
      <c r="C35" s="2213">
        <f t="shared" si="11"/>
        <v>753.75</v>
      </c>
      <c r="D35" s="2213">
        <f t="shared" si="12"/>
        <v>0</v>
      </c>
      <c r="E35" s="2212"/>
      <c r="F35" s="2212"/>
      <c r="G35" s="2213">
        <f t="shared" si="13"/>
        <v>753.75</v>
      </c>
      <c r="H35" s="2212"/>
      <c r="I35" s="2212">
        <v>753.75</v>
      </c>
      <c r="J35" s="2213">
        <f t="shared" si="14"/>
        <v>0</v>
      </c>
      <c r="K35" s="2212"/>
      <c r="L35" s="2212"/>
      <c r="M35" s="2213">
        <f t="shared" si="15"/>
        <v>0</v>
      </c>
      <c r="N35" s="2212"/>
      <c r="O35" s="2212"/>
    </row>
    <row r="36" spans="1:15" x14ac:dyDescent="0.2">
      <c r="A36" s="2213">
        <f t="shared" si="10"/>
        <v>4175.71</v>
      </c>
      <c r="B36" s="2212"/>
      <c r="C36" s="2213">
        <f t="shared" si="11"/>
        <v>4175.71</v>
      </c>
      <c r="D36" s="2213">
        <f t="shared" si="12"/>
        <v>0</v>
      </c>
      <c r="E36" s="2212"/>
      <c r="F36" s="2212"/>
      <c r="G36" s="2213">
        <f t="shared" si="13"/>
        <v>4175.71</v>
      </c>
      <c r="H36" s="2212"/>
      <c r="I36" s="2212">
        <v>4175.71</v>
      </c>
      <c r="J36" s="2213">
        <f t="shared" si="14"/>
        <v>0</v>
      </c>
      <c r="K36" s="2212"/>
      <c r="L36" s="2212"/>
      <c r="M36" s="2213">
        <f t="shared" si="15"/>
        <v>0</v>
      </c>
      <c r="N36" s="2212"/>
      <c r="O36" s="2212"/>
    </row>
    <row r="37" spans="1:15" x14ac:dyDescent="0.2">
      <c r="A37" s="2213">
        <f t="shared" si="10"/>
        <v>450</v>
      </c>
      <c r="B37" s="2212"/>
      <c r="C37" s="2213">
        <f t="shared" si="11"/>
        <v>450</v>
      </c>
      <c r="D37" s="2213">
        <f t="shared" si="12"/>
        <v>0</v>
      </c>
      <c r="E37" s="2212"/>
      <c r="F37" s="2212"/>
      <c r="G37" s="2213">
        <f t="shared" si="13"/>
        <v>450</v>
      </c>
      <c r="H37" s="2212"/>
      <c r="I37" s="2212">
        <v>450</v>
      </c>
      <c r="J37" s="2213">
        <f t="shared" si="14"/>
        <v>0</v>
      </c>
      <c r="K37" s="2212"/>
      <c r="L37" s="2212"/>
      <c r="M37" s="2213">
        <f t="shared" si="15"/>
        <v>0</v>
      </c>
      <c r="N37" s="2212"/>
      <c r="O37" s="2212"/>
    </row>
    <row r="38" spans="1:15" x14ac:dyDescent="0.2">
      <c r="A38" s="2213">
        <f t="shared" si="10"/>
        <v>585</v>
      </c>
      <c r="B38" s="2212"/>
      <c r="C38" s="2213">
        <f t="shared" si="11"/>
        <v>585</v>
      </c>
      <c r="D38" s="2213">
        <f t="shared" si="12"/>
        <v>0</v>
      </c>
      <c r="E38" s="2212"/>
      <c r="F38" s="2212"/>
      <c r="G38" s="2213">
        <f t="shared" si="13"/>
        <v>585</v>
      </c>
      <c r="H38" s="2212"/>
      <c r="I38" s="2212">
        <v>585</v>
      </c>
      <c r="J38" s="2213">
        <f t="shared" si="14"/>
        <v>0</v>
      </c>
      <c r="K38" s="2212"/>
      <c r="L38" s="2212"/>
      <c r="M38" s="2213">
        <f t="shared" si="15"/>
        <v>0</v>
      </c>
      <c r="N38" s="2212"/>
      <c r="O38" s="2212"/>
    </row>
    <row r="39" spans="1:15" x14ac:dyDescent="0.2">
      <c r="A39" s="2213">
        <f t="shared" si="10"/>
        <v>4072.71</v>
      </c>
      <c r="B39" s="2212"/>
      <c r="C39" s="2213">
        <f t="shared" si="11"/>
        <v>4072.71</v>
      </c>
      <c r="D39" s="2213">
        <f t="shared" si="12"/>
        <v>0</v>
      </c>
      <c r="E39" s="2212"/>
      <c r="F39" s="2212"/>
      <c r="G39" s="2213">
        <f t="shared" si="13"/>
        <v>4072.71</v>
      </c>
      <c r="H39" s="2212"/>
      <c r="I39" s="2212">
        <v>4072.71</v>
      </c>
      <c r="J39" s="2213">
        <f t="shared" si="14"/>
        <v>0</v>
      </c>
      <c r="K39" s="2212"/>
      <c r="L39" s="2212"/>
      <c r="M39" s="2213">
        <f t="shared" si="15"/>
        <v>0</v>
      </c>
      <c r="N39" s="2212"/>
      <c r="O39" s="2212"/>
    </row>
    <row r="40" spans="1:15" x14ac:dyDescent="0.2">
      <c r="A40" s="2213">
        <f t="shared" si="10"/>
        <v>611.25</v>
      </c>
      <c r="B40" s="2212"/>
      <c r="C40" s="2213">
        <f t="shared" si="11"/>
        <v>611.25</v>
      </c>
      <c r="D40" s="2213">
        <f t="shared" si="12"/>
        <v>0</v>
      </c>
      <c r="E40" s="2212"/>
      <c r="F40" s="2212"/>
      <c r="G40" s="2213">
        <f t="shared" si="13"/>
        <v>611.25</v>
      </c>
      <c r="H40" s="2212"/>
      <c r="I40" s="2212">
        <v>611.25</v>
      </c>
      <c r="J40" s="2213">
        <f t="shared" si="14"/>
        <v>0</v>
      </c>
      <c r="K40" s="2212"/>
      <c r="L40" s="2212"/>
      <c r="M40" s="2213">
        <f t="shared" si="15"/>
        <v>0</v>
      </c>
      <c r="N40" s="2212"/>
      <c r="O40" s="2212"/>
    </row>
    <row r="41" spans="1:15" x14ac:dyDescent="0.2">
      <c r="A41" s="2213">
        <f t="shared" si="10"/>
        <v>810</v>
      </c>
      <c r="B41" s="2212"/>
      <c r="C41" s="2213">
        <f t="shared" si="11"/>
        <v>810</v>
      </c>
      <c r="D41" s="2213">
        <f t="shared" si="12"/>
        <v>0</v>
      </c>
      <c r="E41" s="2212"/>
      <c r="F41" s="2212"/>
      <c r="G41" s="2213">
        <f t="shared" si="13"/>
        <v>810</v>
      </c>
      <c r="H41" s="2212"/>
      <c r="I41" s="2212">
        <v>810</v>
      </c>
      <c r="J41" s="2213">
        <f t="shared" si="14"/>
        <v>0</v>
      </c>
      <c r="K41" s="2212"/>
      <c r="L41" s="2212"/>
      <c r="M41" s="2213">
        <f t="shared" si="15"/>
        <v>0</v>
      </c>
      <c r="N41" s="2212"/>
      <c r="O41" s="2212"/>
    </row>
    <row r="42" spans="1:15" x14ac:dyDescent="0.2">
      <c r="A42" s="2213">
        <f t="shared" si="10"/>
        <v>3885.21</v>
      </c>
      <c r="B42" s="2212"/>
      <c r="C42" s="2213">
        <f t="shared" si="11"/>
        <v>3885.21</v>
      </c>
      <c r="D42" s="2213">
        <f t="shared" si="12"/>
        <v>0</v>
      </c>
      <c r="E42" s="2212"/>
      <c r="F42" s="2212"/>
      <c r="G42" s="2213">
        <f t="shared" si="13"/>
        <v>3885.21</v>
      </c>
      <c r="H42" s="2212"/>
      <c r="I42" s="2212">
        <v>3885.21</v>
      </c>
      <c r="J42" s="2213">
        <f t="shared" si="14"/>
        <v>0</v>
      </c>
      <c r="K42" s="2212"/>
      <c r="L42" s="2212"/>
      <c r="M42" s="2213">
        <f t="shared" si="15"/>
        <v>0</v>
      </c>
      <c r="N42" s="2212"/>
      <c r="O42" s="221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2213">
        <f t="shared" ref="A2:A14" si="0">B2+F2+I2</f>
        <v>3566340.3400000008</v>
      </c>
      <c r="B2" s="2213">
        <f t="shared" ref="B2:B14" si="1">SUM(C2:E2)</f>
        <v>0</v>
      </c>
      <c r="C2" s="2213">
        <f t="shared" ref="C2:L2" si="2">SUM(C3:C14)</f>
        <v>0</v>
      </c>
      <c r="D2" s="2213">
        <f t="shared" si="2"/>
        <v>0</v>
      </c>
      <c r="E2" s="2213">
        <f t="shared" si="2"/>
        <v>0</v>
      </c>
      <c r="F2" s="2213">
        <f t="shared" si="2"/>
        <v>0</v>
      </c>
      <c r="G2" s="2213">
        <f t="shared" si="2"/>
        <v>0</v>
      </c>
      <c r="H2" s="2213">
        <f t="shared" si="2"/>
        <v>0</v>
      </c>
      <c r="I2" s="2213">
        <f t="shared" si="2"/>
        <v>3566340.3400000008</v>
      </c>
      <c r="J2" s="2213">
        <f t="shared" si="2"/>
        <v>0</v>
      </c>
      <c r="K2" s="2213">
        <f t="shared" si="2"/>
        <v>0</v>
      </c>
      <c r="L2" s="2213">
        <f t="shared" si="2"/>
        <v>0</v>
      </c>
      <c r="M2" s="2213">
        <f t="shared" ref="M2:V2" si="3">SUM(M3:M14)</f>
        <v>2311153.8200000003</v>
      </c>
      <c r="N2" s="2213">
        <f t="shared" si="3"/>
        <v>1663995.8199999998</v>
      </c>
      <c r="O2" s="2213">
        <f t="shared" si="3"/>
        <v>647158</v>
      </c>
      <c r="P2" s="2213">
        <f t="shared" si="3"/>
        <v>1255186.52</v>
      </c>
      <c r="Q2" s="2213">
        <f t="shared" si="3"/>
        <v>1252392.071</v>
      </c>
      <c r="R2" s="2213">
        <f t="shared" si="3"/>
        <v>2794.4490000000001</v>
      </c>
      <c r="S2" s="2213">
        <f t="shared" si="3"/>
        <v>0</v>
      </c>
      <c r="T2" s="2213">
        <f t="shared" si="3"/>
        <v>0</v>
      </c>
      <c r="U2" s="2213">
        <f t="shared" si="3"/>
        <v>0</v>
      </c>
      <c r="V2" s="2214">
        <f t="shared" si="3"/>
        <v>0</v>
      </c>
    </row>
    <row r="3" spans="1:22" x14ac:dyDescent="0.2">
      <c r="A3" s="2213">
        <f t="shared" si="0"/>
        <v>316969.11</v>
      </c>
      <c r="B3" s="2213">
        <f t="shared" si="1"/>
        <v>0</v>
      </c>
      <c r="C3" s="2212"/>
      <c r="D3" s="2212"/>
      <c r="E3" s="2212"/>
      <c r="F3" s="2213">
        <f t="shared" ref="F3:F14" si="4">SUM(G3,H3)</f>
        <v>0</v>
      </c>
      <c r="G3" s="2212"/>
      <c r="H3" s="2212"/>
      <c r="I3" s="2213">
        <f>SUM(J3,M3,P3)</f>
        <v>316969.11</v>
      </c>
      <c r="J3" s="2213">
        <f t="shared" ref="J3:J14" si="5">SUM(K3,L3)</f>
        <v>0</v>
      </c>
      <c r="K3" s="2212"/>
      <c r="L3" s="2212"/>
      <c r="M3" s="2213">
        <f t="shared" ref="M3:M14" si="6">SUM(N3,O3)</f>
        <v>205649.93</v>
      </c>
      <c r="N3" s="2212">
        <v>148118.93</v>
      </c>
      <c r="O3" s="2212">
        <v>57531</v>
      </c>
      <c r="P3" s="2213">
        <f t="shared" ref="P3:P14" si="7">SUM(Q3,R3)</f>
        <v>111319.18</v>
      </c>
      <c r="Q3" s="2212">
        <v>110896.51</v>
      </c>
      <c r="R3" s="2212">
        <v>422.67</v>
      </c>
      <c r="S3" s="2212"/>
      <c r="T3" s="2212"/>
      <c r="U3" s="2212"/>
      <c r="V3" s="2215"/>
    </row>
    <row r="4" spans="1:22" x14ac:dyDescent="0.2">
      <c r="A4" s="2213">
        <f t="shared" si="0"/>
        <v>317912.65999999997</v>
      </c>
      <c r="B4" s="2213">
        <f t="shared" si="1"/>
        <v>0</v>
      </c>
      <c r="C4" s="2212"/>
      <c r="D4" s="2212"/>
      <c r="E4" s="2212"/>
      <c r="F4" s="2213">
        <f t="shared" si="4"/>
        <v>0</v>
      </c>
      <c r="G4" s="2212"/>
      <c r="H4" s="2212"/>
      <c r="I4" s="2213">
        <f t="shared" ref="I4:I14" si="8">SUM(J4,M4,P4)</f>
        <v>317912.65999999997</v>
      </c>
      <c r="J4" s="2213">
        <f t="shared" si="5"/>
        <v>0</v>
      </c>
      <c r="K4" s="2212"/>
      <c r="L4" s="2212"/>
      <c r="M4" s="2213">
        <f t="shared" si="6"/>
        <v>205557.09</v>
      </c>
      <c r="N4" s="2212">
        <v>149760.09</v>
      </c>
      <c r="O4" s="2212">
        <v>55797</v>
      </c>
      <c r="P4" s="2213">
        <f t="shared" si="7"/>
        <v>112355.56999999999</v>
      </c>
      <c r="Q4" s="2212">
        <v>112053.9</v>
      </c>
      <c r="R4" s="2212">
        <v>301.67</v>
      </c>
      <c r="S4" s="2212"/>
      <c r="T4" s="2212"/>
      <c r="U4" s="2212"/>
      <c r="V4" s="2215"/>
    </row>
    <row r="5" spans="1:22" x14ac:dyDescent="0.2">
      <c r="A5" s="2213">
        <f t="shared" si="0"/>
        <v>304216.37</v>
      </c>
      <c r="B5" s="2213">
        <f t="shared" si="1"/>
        <v>0</v>
      </c>
      <c r="C5" s="2212"/>
      <c r="D5" s="2212"/>
      <c r="E5" s="2212"/>
      <c r="F5" s="2213">
        <f t="shared" si="4"/>
        <v>0</v>
      </c>
      <c r="G5" s="2212"/>
      <c r="H5" s="2212"/>
      <c r="I5" s="2213">
        <f t="shared" si="8"/>
        <v>304216.37</v>
      </c>
      <c r="J5" s="2213">
        <f t="shared" si="5"/>
        <v>0</v>
      </c>
      <c r="K5" s="2212"/>
      <c r="L5" s="2212"/>
      <c r="M5" s="2213">
        <f t="shared" si="6"/>
        <v>193074.75</v>
      </c>
      <c r="N5" s="2212">
        <v>139037.75</v>
      </c>
      <c r="O5" s="2212">
        <v>54037</v>
      </c>
      <c r="P5" s="2213">
        <f t="shared" si="7"/>
        <v>111141.62</v>
      </c>
      <c r="Q5" s="2212">
        <v>110782.18799999999</v>
      </c>
      <c r="R5" s="2212">
        <v>359.43200000000002</v>
      </c>
      <c r="S5" s="2212"/>
      <c r="T5" s="2212"/>
      <c r="U5" s="2212"/>
      <c r="V5" s="2215"/>
    </row>
    <row r="6" spans="1:22" x14ac:dyDescent="0.2">
      <c r="A6" s="2213">
        <f t="shared" si="0"/>
        <v>304396.70999999996</v>
      </c>
      <c r="B6" s="2213">
        <f t="shared" si="1"/>
        <v>0</v>
      </c>
      <c r="C6" s="2212"/>
      <c r="D6" s="2212"/>
      <c r="E6" s="2212"/>
      <c r="F6" s="2213">
        <f t="shared" si="4"/>
        <v>0</v>
      </c>
      <c r="G6" s="2212"/>
      <c r="H6" s="2212"/>
      <c r="I6" s="2213">
        <f t="shared" si="8"/>
        <v>304396.70999999996</v>
      </c>
      <c r="J6" s="2213">
        <f t="shared" si="5"/>
        <v>0</v>
      </c>
      <c r="K6" s="2212"/>
      <c r="L6" s="2212"/>
      <c r="M6" s="2213">
        <f t="shared" si="6"/>
        <v>192676</v>
      </c>
      <c r="N6" s="2212">
        <v>140810</v>
      </c>
      <c r="O6" s="2212">
        <v>51866</v>
      </c>
      <c r="P6" s="2213">
        <f t="shared" si="7"/>
        <v>111720.70999999999</v>
      </c>
      <c r="Q6" s="2212">
        <v>111632.234</v>
      </c>
      <c r="R6" s="2212">
        <v>88.475999999999999</v>
      </c>
      <c r="S6" s="2212"/>
      <c r="T6" s="2212"/>
      <c r="U6" s="2212"/>
      <c r="V6" s="2215"/>
    </row>
    <row r="7" spans="1:22" x14ac:dyDescent="0.2">
      <c r="A7" s="2213">
        <f t="shared" si="0"/>
        <v>291575.15000000002</v>
      </c>
      <c r="B7" s="2213">
        <f t="shared" si="1"/>
        <v>0</v>
      </c>
      <c r="C7" s="2212"/>
      <c r="D7" s="2212"/>
      <c r="E7" s="2212"/>
      <c r="F7" s="2213">
        <f t="shared" si="4"/>
        <v>0</v>
      </c>
      <c r="G7" s="2212"/>
      <c r="H7" s="2212"/>
      <c r="I7" s="2213">
        <f t="shared" si="8"/>
        <v>291575.15000000002</v>
      </c>
      <c r="J7" s="2213">
        <f t="shared" si="5"/>
        <v>0</v>
      </c>
      <c r="K7" s="2212"/>
      <c r="L7" s="2212"/>
      <c r="M7" s="2213">
        <f t="shared" si="6"/>
        <v>190316.09</v>
      </c>
      <c r="N7" s="2212">
        <v>136311.09</v>
      </c>
      <c r="O7" s="2212">
        <v>54005</v>
      </c>
      <c r="P7" s="2213">
        <f t="shared" si="7"/>
        <v>101259.06000000001</v>
      </c>
      <c r="Q7" s="2212">
        <v>101182.63800000001</v>
      </c>
      <c r="R7" s="2212">
        <v>76.421999999999997</v>
      </c>
      <c r="S7" s="2212"/>
      <c r="T7" s="2212"/>
      <c r="U7" s="2212"/>
      <c r="V7" s="2215"/>
    </row>
    <row r="8" spans="1:22" x14ac:dyDescent="0.2">
      <c r="A8" s="2213">
        <f t="shared" si="0"/>
        <v>286018.59999999998</v>
      </c>
      <c r="B8" s="2213">
        <f t="shared" si="1"/>
        <v>0</v>
      </c>
      <c r="C8" s="2212"/>
      <c r="D8" s="2212"/>
      <c r="E8" s="2212"/>
      <c r="F8" s="2213">
        <f t="shared" si="4"/>
        <v>0</v>
      </c>
      <c r="G8" s="2212"/>
      <c r="H8" s="2212"/>
      <c r="I8" s="2213">
        <f t="shared" si="8"/>
        <v>286018.59999999998</v>
      </c>
      <c r="J8" s="2213">
        <f t="shared" si="5"/>
        <v>0</v>
      </c>
      <c r="K8" s="2212"/>
      <c r="L8" s="2212"/>
      <c r="M8" s="2213">
        <f t="shared" si="6"/>
        <v>184568.08</v>
      </c>
      <c r="N8" s="2212">
        <v>132985.07999999999</v>
      </c>
      <c r="O8" s="2212">
        <v>51583</v>
      </c>
      <c r="P8" s="2213">
        <f t="shared" si="7"/>
        <v>101450.52</v>
      </c>
      <c r="Q8" s="2212">
        <v>101272.12300000001</v>
      </c>
      <c r="R8" s="2212">
        <v>178.39699999999999</v>
      </c>
      <c r="S8" s="2212"/>
      <c r="T8" s="2212"/>
      <c r="U8" s="2212"/>
      <c r="V8" s="2215"/>
    </row>
    <row r="9" spans="1:22" x14ac:dyDescent="0.2">
      <c r="A9" s="2213">
        <f t="shared" si="0"/>
        <v>260188.14</v>
      </c>
      <c r="B9" s="2213">
        <f t="shared" si="1"/>
        <v>0</v>
      </c>
      <c r="C9" s="2212"/>
      <c r="D9" s="2212"/>
      <c r="E9" s="2212"/>
      <c r="F9" s="2213">
        <f t="shared" si="4"/>
        <v>0</v>
      </c>
      <c r="G9" s="2212"/>
      <c r="H9" s="2212"/>
      <c r="I9" s="2213">
        <f t="shared" si="8"/>
        <v>260188.14</v>
      </c>
      <c r="J9" s="2213">
        <f t="shared" si="5"/>
        <v>0</v>
      </c>
      <c r="K9" s="2212"/>
      <c r="L9" s="2212"/>
      <c r="M9" s="2213">
        <f t="shared" si="6"/>
        <v>176925.14</v>
      </c>
      <c r="N9" s="2212">
        <v>125616.14</v>
      </c>
      <c r="O9" s="2212">
        <v>51309</v>
      </c>
      <c r="P9" s="2213">
        <f t="shared" si="7"/>
        <v>83263</v>
      </c>
      <c r="Q9" s="2212">
        <v>82802.326000000001</v>
      </c>
      <c r="R9" s="2212">
        <v>460.67399999999998</v>
      </c>
      <c r="S9" s="2212"/>
      <c r="T9" s="2212"/>
      <c r="U9" s="2212"/>
      <c r="V9" s="2215"/>
    </row>
    <row r="10" spans="1:22" x14ac:dyDescent="0.2">
      <c r="A10" s="2213">
        <f t="shared" si="0"/>
        <v>290647.99</v>
      </c>
      <c r="B10" s="2213">
        <f t="shared" si="1"/>
        <v>0</v>
      </c>
      <c r="C10" s="2212"/>
      <c r="D10" s="2212"/>
      <c r="E10" s="2212"/>
      <c r="F10" s="2213">
        <f t="shared" si="4"/>
        <v>0</v>
      </c>
      <c r="G10" s="2212"/>
      <c r="H10" s="2212"/>
      <c r="I10" s="2213">
        <f t="shared" si="8"/>
        <v>290647.99</v>
      </c>
      <c r="J10" s="2213">
        <f t="shared" si="5"/>
        <v>0</v>
      </c>
      <c r="K10" s="2212"/>
      <c r="L10" s="2212"/>
      <c r="M10" s="2213">
        <f t="shared" si="6"/>
        <v>202133.84</v>
      </c>
      <c r="N10" s="2212">
        <v>133987.84</v>
      </c>
      <c r="O10" s="2212">
        <v>68146</v>
      </c>
      <c r="P10" s="2213">
        <f t="shared" si="7"/>
        <v>88514.15</v>
      </c>
      <c r="Q10" s="2212">
        <v>88309.475999999995</v>
      </c>
      <c r="R10" s="2212">
        <v>204.67400000000001</v>
      </c>
      <c r="S10" s="2212"/>
      <c r="T10" s="2212"/>
      <c r="U10" s="2212"/>
      <c r="V10" s="2215"/>
    </row>
    <row r="11" spans="1:22" x14ac:dyDescent="0.2">
      <c r="A11" s="2213">
        <f t="shared" si="0"/>
        <v>297249.68</v>
      </c>
      <c r="B11" s="2213">
        <f t="shared" si="1"/>
        <v>0</v>
      </c>
      <c r="C11" s="2212"/>
      <c r="D11" s="2212"/>
      <c r="E11" s="2212"/>
      <c r="F11" s="2213">
        <f t="shared" si="4"/>
        <v>0</v>
      </c>
      <c r="G11" s="2212"/>
      <c r="H11" s="2212"/>
      <c r="I11" s="2213">
        <f t="shared" si="8"/>
        <v>297249.68</v>
      </c>
      <c r="J11" s="2213">
        <f t="shared" si="5"/>
        <v>0</v>
      </c>
      <c r="K11" s="2212"/>
      <c r="L11" s="2212"/>
      <c r="M11" s="2213">
        <f t="shared" si="6"/>
        <v>193280.97</v>
      </c>
      <c r="N11" s="2212">
        <v>142233.97</v>
      </c>
      <c r="O11" s="2212">
        <v>51047</v>
      </c>
      <c r="P11" s="2213">
        <f t="shared" si="7"/>
        <v>103968.70999999999</v>
      </c>
      <c r="Q11" s="2212">
        <v>103712.177</v>
      </c>
      <c r="R11" s="2212">
        <v>256.53300000000002</v>
      </c>
      <c r="S11" s="2212"/>
      <c r="T11" s="2212"/>
      <c r="U11" s="2212"/>
      <c r="V11" s="2215"/>
    </row>
    <row r="12" spans="1:22" x14ac:dyDescent="0.2">
      <c r="A12" s="2213">
        <f t="shared" si="0"/>
        <v>296237.41000000003</v>
      </c>
      <c r="B12" s="2213">
        <f t="shared" si="1"/>
        <v>0</v>
      </c>
      <c r="C12" s="2212"/>
      <c r="D12" s="2212"/>
      <c r="E12" s="2212"/>
      <c r="F12" s="2213">
        <f t="shared" si="4"/>
        <v>0</v>
      </c>
      <c r="G12" s="2212"/>
      <c r="H12" s="2212"/>
      <c r="I12" s="2213">
        <f t="shared" si="8"/>
        <v>296237.41000000003</v>
      </c>
      <c r="J12" s="2213">
        <f t="shared" si="5"/>
        <v>0</v>
      </c>
      <c r="K12" s="2212"/>
      <c r="L12" s="2212"/>
      <c r="M12" s="2213">
        <f t="shared" si="6"/>
        <v>191887.66</v>
      </c>
      <c r="N12" s="2212">
        <v>140343.66</v>
      </c>
      <c r="O12" s="2212">
        <v>51544</v>
      </c>
      <c r="P12" s="2213">
        <f t="shared" si="7"/>
        <v>104349.75</v>
      </c>
      <c r="Q12" s="2212">
        <v>104311.776</v>
      </c>
      <c r="R12" s="2212">
        <v>37.973999999999997</v>
      </c>
      <c r="S12" s="2212"/>
      <c r="T12" s="2212"/>
      <c r="U12" s="2212"/>
      <c r="V12" s="2215"/>
    </row>
    <row r="13" spans="1:22" x14ac:dyDescent="0.2">
      <c r="A13" s="2213">
        <f t="shared" si="0"/>
        <v>308631.80000000005</v>
      </c>
      <c r="B13" s="2213">
        <f t="shared" si="1"/>
        <v>0</v>
      </c>
      <c r="C13" s="2212"/>
      <c r="D13" s="2212"/>
      <c r="E13" s="2212"/>
      <c r="F13" s="2213">
        <f t="shared" si="4"/>
        <v>0</v>
      </c>
      <c r="G13" s="2212"/>
      <c r="H13" s="2212"/>
      <c r="I13" s="2213">
        <f t="shared" si="8"/>
        <v>308631.80000000005</v>
      </c>
      <c r="J13" s="2213">
        <f t="shared" si="5"/>
        <v>0</v>
      </c>
      <c r="K13" s="2212"/>
      <c r="L13" s="2212"/>
      <c r="M13" s="2213">
        <f t="shared" si="6"/>
        <v>194314.98</v>
      </c>
      <c r="N13" s="2212">
        <v>145277.98000000001</v>
      </c>
      <c r="O13" s="2212">
        <v>49037</v>
      </c>
      <c r="P13" s="2213">
        <f t="shared" si="7"/>
        <v>114316.82</v>
      </c>
      <c r="Q13" s="2212">
        <v>114136.34600000001</v>
      </c>
      <c r="R13" s="2212">
        <v>180.47399999999999</v>
      </c>
      <c r="S13" s="2212"/>
      <c r="T13" s="2212"/>
      <c r="U13" s="2212"/>
      <c r="V13" s="2215"/>
    </row>
    <row r="14" spans="1:22" x14ac:dyDescent="0.2">
      <c r="A14" s="2213">
        <f t="shared" si="0"/>
        <v>292296.71999999997</v>
      </c>
      <c r="B14" s="2213">
        <f t="shared" si="1"/>
        <v>0</v>
      </c>
      <c r="C14" s="2212"/>
      <c r="D14" s="2212"/>
      <c r="E14" s="2212"/>
      <c r="F14" s="2213">
        <f t="shared" si="4"/>
        <v>0</v>
      </c>
      <c r="G14" s="2212"/>
      <c r="H14" s="2212"/>
      <c r="I14" s="2213">
        <f t="shared" si="8"/>
        <v>292296.71999999997</v>
      </c>
      <c r="J14" s="2213">
        <f t="shared" si="5"/>
        <v>0</v>
      </c>
      <c r="K14" s="2212"/>
      <c r="L14" s="2212"/>
      <c r="M14" s="2213">
        <f t="shared" si="6"/>
        <v>180769.28999999998</v>
      </c>
      <c r="N14" s="2212">
        <v>129513.29</v>
      </c>
      <c r="O14" s="2212">
        <v>51256</v>
      </c>
      <c r="P14" s="2213">
        <f t="shared" si="7"/>
        <v>111527.43</v>
      </c>
      <c r="Q14" s="2212">
        <v>111300.37699999999</v>
      </c>
      <c r="R14" s="2212">
        <v>227.053</v>
      </c>
      <c r="S14" s="2212"/>
      <c r="T14" s="2212"/>
      <c r="U14" s="2212"/>
      <c r="V14" s="2215"/>
    </row>
    <row r="15" spans="1:22" x14ac:dyDescent="0.2">
      <c r="A15" s="2206"/>
      <c r="B15" s="2206"/>
      <c r="C15" s="2206"/>
      <c r="D15" s="2206"/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  <c r="P15" s="2206"/>
      <c r="Q15" s="2206"/>
      <c r="R15" s="2206"/>
      <c r="S15" s="2206"/>
      <c r="T15" s="2206"/>
      <c r="U15" s="2206"/>
      <c r="V15" s="2207"/>
    </row>
    <row r="16" spans="1:22" x14ac:dyDescent="0.2">
      <c r="A16" s="2206"/>
      <c r="B16" s="2206"/>
      <c r="C16" s="2206"/>
      <c r="D16" s="2206"/>
      <c r="E16" s="2206"/>
      <c r="F16" s="2206"/>
      <c r="G16" s="2206"/>
      <c r="H16" s="2206"/>
      <c r="I16" s="2206"/>
      <c r="J16" s="2206"/>
      <c r="K16" s="2206"/>
      <c r="L16" s="2206"/>
      <c r="M16" s="2206"/>
      <c r="N16" s="2206"/>
      <c r="O16" s="2206"/>
      <c r="P16" s="2206"/>
      <c r="Q16" s="2206"/>
      <c r="R16" s="2206"/>
      <c r="S16" s="2206"/>
      <c r="T16" s="2206"/>
      <c r="U16" s="2206"/>
      <c r="V16" s="2207"/>
    </row>
    <row r="17" spans="1:22" x14ac:dyDescent="0.2">
      <c r="A17" s="2206"/>
      <c r="B17" s="2206"/>
      <c r="C17" s="2206"/>
      <c r="D17" s="2206"/>
      <c r="E17" s="2206"/>
      <c r="F17" s="2206"/>
      <c r="G17" s="2206"/>
      <c r="H17" s="2206"/>
      <c r="I17" s="2206"/>
      <c r="J17" s="2206"/>
      <c r="K17" s="2206"/>
      <c r="L17" s="2206"/>
      <c r="M17" s="2206"/>
      <c r="N17" s="2206"/>
      <c r="O17" s="2206"/>
      <c r="P17" s="2206"/>
      <c r="Q17" s="2206"/>
      <c r="R17" s="2206"/>
      <c r="S17" s="2206"/>
      <c r="T17" s="2206"/>
      <c r="U17" s="2206"/>
      <c r="V17" s="2207"/>
    </row>
    <row r="18" spans="1:22" x14ac:dyDescent="0.2">
      <c r="A18" s="2206"/>
      <c r="B18" s="2206"/>
      <c r="C18" s="2206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  <c r="P18" s="2206"/>
      <c r="Q18" s="2206"/>
      <c r="R18" s="2206"/>
      <c r="S18" s="2206"/>
      <c r="T18" s="2206"/>
      <c r="U18" s="2206"/>
      <c r="V18" s="2207"/>
    </row>
    <row r="19" spans="1:22" x14ac:dyDescent="0.2">
      <c r="A19" s="2206"/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  <c r="P19" s="2206"/>
      <c r="Q19" s="2206"/>
      <c r="R19" s="2206"/>
      <c r="S19" s="2206"/>
      <c r="T19" s="2206"/>
      <c r="U19" s="2206"/>
      <c r="V19" s="2207"/>
    </row>
    <row r="20" spans="1:22" x14ac:dyDescent="0.2">
      <c r="A20" s="2206"/>
      <c r="B20" s="2206"/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  <c r="P20" s="2206"/>
      <c r="Q20" s="2206"/>
      <c r="R20" s="2206"/>
      <c r="S20" s="2206"/>
      <c r="T20" s="2206"/>
      <c r="U20" s="2206"/>
      <c r="V20" s="2207"/>
    </row>
    <row r="21" spans="1:22" x14ac:dyDescent="0.2">
      <c r="A21" s="2206"/>
      <c r="B21" s="2206"/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  <c r="P21" s="2206"/>
      <c r="Q21" s="2206"/>
      <c r="R21" s="2206"/>
      <c r="S21" s="2206"/>
      <c r="T21" s="2206"/>
      <c r="U21" s="2206"/>
      <c r="V21" s="2207"/>
    </row>
    <row r="22" spans="1:22" x14ac:dyDescent="0.2">
      <c r="A22" s="2206"/>
      <c r="B22" s="2206"/>
      <c r="C22" s="2206"/>
      <c r="D22" s="2206"/>
      <c r="E22" s="2206"/>
      <c r="F22" s="2206"/>
      <c r="G22" s="2206"/>
      <c r="H22" s="2206"/>
      <c r="I22" s="2206"/>
      <c r="J22" s="2206"/>
      <c r="K22" s="2206"/>
      <c r="L22" s="2206"/>
      <c r="M22" s="2206"/>
      <c r="N22" s="2206"/>
      <c r="O22" s="2206"/>
      <c r="P22" s="2206"/>
      <c r="Q22" s="2206"/>
      <c r="R22" s="2206"/>
      <c r="S22" s="2206"/>
      <c r="T22" s="2206"/>
      <c r="U22" s="2206"/>
      <c r="V22" s="2207"/>
    </row>
    <row r="23" spans="1:22" x14ac:dyDescent="0.2">
      <c r="A23" s="2206"/>
      <c r="B23" s="2206"/>
      <c r="C23" s="2206"/>
      <c r="D23" s="2206"/>
      <c r="E23" s="2206"/>
      <c r="F23" s="2206"/>
      <c r="G23" s="2206"/>
      <c r="H23" s="2206"/>
      <c r="I23" s="2206"/>
      <c r="J23" s="2206"/>
      <c r="K23" s="2206"/>
      <c r="L23" s="2206"/>
      <c r="M23" s="2206"/>
      <c r="N23" s="2206"/>
      <c r="O23" s="2206"/>
      <c r="P23" s="2206"/>
      <c r="Q23" s="2206"/>
      <c r="R23" s="2206"/>
      <c r="S23" s="2206"/>
      <c r="T23" s="2206"/>
      <c r="U23" s="2206"/>
      <c r="V23" s="2207"/>
    </row>
    <row r="24" spans="1:22" x14ac:dyDescent="0.2">
      <c r="A24" s="2206"/>
      <c r="B24" s="2206"/>
      <c r="C24" s="2206"/>
      <c r="D24" s="2206"/>
      <c r="E24" s="2206"/>
      <c r="F24" s="2206"/>
      <c r="G24" s="2206"/>
      <c r="H24" s="2206"/>
      <c r="I24" s="2206"/>
      <c r="J24" s="2206"/>
      <c r="K24" s="2206"/>
      <c r="L24" s="2206"/>
      <c r="M24" s="2206"/>
      <c r="N24" s="2206"/>
      <c r="O24" s="2206"/>
      <c r="P24" s="2206"/>
      <c r="Q24" s="2206"/>
      <c r="R24" s="2206"/>
      <c r="S24" s="2206"/>
      <c r="T24" s="2206"/>
      <c r="U24" s="2206"/>
      <c r="V24" s="2207"/>
    </row>
    <row r="25" spans="1:22" x14ac:dyDescent="0.2">
      <c r="A25" s="2206"/>
      <c r="B25" s="2206"/>
      <c r="C25" s="2206"/>
      <c r="D25" s="2206"/>
      <c r="E25" s="2206"/>
      <c r="F25" s="2206"/>
      <c r="G25" s="2206"/>
      <c r="H25" s="2206"/>
      <c r="I25" s="2206"/>
      <c r="J25" s="2206"/>
      <c r="K25" s="2206"/>
      <c r="L25" s="2206"/>
      <c r="M25" s="2206"/>
      <c r="N25" s="2206"/>
      <c r="O25" s="2206"/>
      <c r="P25" s="2206"/>
      <c r="Q25" s="2206"/>
      <c r="R25" s="2206"/>
      <c r="S25" s="2206"/>
      <c r="T25" s="2206"/>
      <c r="U25" s="2206"/>
      <c r="V25" s="2207"/>
    </row>
    <row r="26" spans="1:22" x14ac:dyDescent="0.2">
      <c r="A26" s="2206"/>
      <c r="B26" s="2206"/>
      <c r="C26" s="2206"/>
      <c r="D26" s="2206"/>
      <c r="E26" s="2206"/>
      <c r="F26" s="2206"/>
      <c r="G26" s="2206"/>
      <c r="H26" s="2206"/>
      <c r="I26" s="2206"/>
      <c r="J26" s="2206"/>
      <c r="K26" s="2206"/>
      <c r="L26" s="2206"/>
      <c r="M26" s="2206"/>
      <c r="N26" s="2206"/>
      <c r="O26" s="2206"/>
      <c r="P26" s="2206"/>
      <c r="Q26" s="2206"/>
      <c r="R26" s="2206"/>
      <c r="S26" s="2206"/>
      <c r="T26" s="2206"/>
      <c r="U26" s="2206"/>
      <c r="V26" s="2207"/>
    </row>
    <row r="27" spans="1:22" x14ac:dyDescent="0.2">
      <c r="A27" s="2206"/>
      <c r="B27" s="2206"/>
      <c r="C27" s="2206"/>
      <c r="D27" s="2206"/>
      <c r="E27" s="2206"/>
      <c r="F27" s="2206"/>
      <c r="G27" s="2206"/>
      <c r="H27" s="2206"/>
      <c r="I27" s="2206"/>
      <c r="J27" s="2206"/>
      <c r="K27" s="2206"/>
      <c r="L27" s="2206"/>
      <c r="M27" s="2206"/>
      <c r="N27" s="2206"/>
      <c r="O27" s="2206"/>
      <c r="P27" s="2206"/>
      <c r="Q27" s="2206"/>
      <c r="R27" s="2206"/>
      <c r="S27" s="2206"/>
      <c r="T27" s="2206"/>
      <c r="U27" s="2206"/>
      <c r="V27" s="2207"/>
    </row>
    <row r="28" spans="1:22" x14ac:dyDescent="0.2">
      <c r="A28" s="2208">
        <f t="shared" ref="A28:T28" si="9">A30</f>
        <v>2399</v>
      </c>
      <c r="B28" s="2208">
        <f t="shared" si="9"/>
        <v>0</v>
      </c>
      <c r="C28" s="2208">
        <f t="shared" si="9"/>
        <v>0</v>
      </c>
      <c r="D28" s="2208">
        <f t="shared" si="9"/>
        <v>0</v>
      </c>
      <c r="E28" s="2208">
        <f t="shared" si="9"/>
        <v>0</v>
      </c>
      <c r="F28" s="2208">
        <f t="shared" si="9"/>
        <v>0</v>
      </c>
      <c r="G28" s="2208">
        <f t="shared" si="9"/>
        <v>0</v>
      </c>
      <c r="H28" s="2208">
        <f t="shared" si="9"/>
        <v>0</v>
      </c>
      <c r="I28" s="2208">
        <f t="shared" si="9"/>
        <v>2399</v>
      </c>
      <c r="J28" s="2208">
        <f t="shared" si="9"/>
        <v>0</v>
      </c>
      <c r="K28" s="2208">
        <f t="shared" si="9"/>
        <v>0</v>
      </c>
      <c r="L28" s="2208">
        <f t="shared" si="9"/>
        <v>0</v>
      </c>
      <c r="M28" s="2208">
        <f t="shared" si="9"/>
        <v>0</v>
      </c>
      <c r="N28" s="2208">
        <f t="shared" si="9"/>
        <v>0</v>
      </c>
      <c r="O28" s="2208">
        <f t="shared" si="9"/>
        <v>0</v>
      </c>
      <c r="P28" s="2208">
        <f t="shared" si="9"/>
        <v>2399</v>
      </c>
      <c r="Q28" s="2208">
        <f t="shared" si="9"/>
        <v>2399</v>
      </c>
      <c r="R28" s="2208">
        <f t="shared" si="9"/>
        <v>0</v>
      </c>
      <c r="S28" s="2208">
        <f t="shared" si="9"/>
        <v>0</v>
      </c>
      <c r="T28" s="2208">
        <f t="shared" si="9"/>
        <v>0</v>
      </c>
      <c r="U28" s="2208">
        <f>U30</f>
        <v>0</v>
      </c>
      <c r="V28" s="2209">
        <f>V30</f>
        <v>0</v>
      </c>
    </row>
    <row r="29" spans="1:22" x14ac:dyDescent="0.2">
      <c r="A29" s="2206"/>
      <c r="B29" s="2206"/>
      <c r="C29" s="2206"/>
      <c r="D29" s="2206"/>
      <c r="E29" s="2206"/>
      <c r="F29" s="2206"/>
      <c r="G29" s="2206"/>
      <c r="H29" s="2206"/>
      <c r="I29" s="2206"/>
      <c r="J29" s="2206"/>
      <c r="K29" s="2206"/>
      <c r="L29" s="2206"/>
      <c r="M29" s="2206"/>
      <c r="N29" s="2206"/>
      <c r="O29" s="2206"/>
      <c r="P29" s="2206"/>
      <c r="Q29" s="2206"/>
      <c r="R29" s="2206"/>
      <c r="S29" s="2206"/>
      <c r="T29" s="2206"/>
      <c r="U29" s="2206"/>
      <c r="V29" s="2211"/>
    </row>
    <row r="30" spans="1:22" x14ac:dyDescent="0.2">
      <c r="A30" s="2213">
        <f t="shared" ref="A30:A42" si="10">B30+F30+I30</f>
        <v>2399</v>
      </c>
      <c r="B30" s="2213">
        <f t="shared" ref="B30:B42" si="11">SUM(C30:E30)</f>
        <v>0</v>
      </c>
      <c r="C30" s="2213">
        <f t="shared" ref="C30:L30" si="12">SUM(C31:C42)</f>
        <v>0</v>
      </c>
      <c r="D30" s="2213">
        <f t="shared" si="12"/>
        <v>0</v>
      </c>
      <c r="E30" s="2213">
        <f t="shared" si="12"/>
        <v>0</v>
      </c>
      <c r="F30" s="2213">
        <f t="shared" si="12"/>
        <v>0</v>
      </c>
      <c r="G30" s="2213">
        <f t="shared" si="12"/>
        <v>0</v>
      </c>
      <c r="H30" s="2213">
        <f t="shared" si="12"/>
        <v>0</v>
      </c>
      <c r="I30" s="2213">
        <f t="shared" si="12"/>
        <v>2399</v>
      </c>
      <c r="J30" s="2213">
        <f t="shared" si="12"/>
        <v>0</v>
      </c>
      <c r="K30" s="2213">
        <f t="shared" si="12"/>
        <v>0</v>
      </c>
      <c r="L30" s="2213">
        <f t="shared" si="12"/>
        <v>0</v>
      </c>
      <c r="M30" s="2213">
        <f t="shared" ref="M30:V30" si="13">SUM(M31:M42)</f>
        <v>0</v>
      </c>
      <c r="N30" s="2213">
        <f t="shared" si="13"/>
        <v>0</v>
      </c>
      <c r="O30" s="2213">
        <f t="shared" si="13"/>
        <v>0</v>
      </c>
      <c r="P30" s="2213">
        <f t="shared" si="13"/>
        <v>2399</v>
      </c>
      <c r="Q30" s="2213">
        <f t="shared" si="13"/>
        <v>2399</v>
      </c>
      <c r="R30" s="2213">
        <f t="shared" si="13"/>
        <v>0</v>
      </c>
      <c r="S30" s="2213">
        <f t="shared" si="13"/>
        <v>0</v>
      </c>
      <c r="T30" s="2213">
        <f t="shared" si="13"/>
        <v>0</v>
      </c>
      <c r="U30" s="2213">
        <f t="shared" si="13"/>
        <v>0</v>
      </c>
      <c r="V30" s="2214">
        <f t="shared" si="13"/>
        <v>0</v>
      </c>
    </row>
    <row r="31" spans="1:22" x14ac:dyDescent="0.2">
      <c r="A31" s="2213">
        <f t="shared" si="10"/>
        <v>315</v>
      </c>
      <c r="B31" s="2213">
        <f t="shared" si="11"/>
        <v>0</v>
      </c>
      <c r="C31" s="2212"/>
      <c r="D31" s="2212"/>
      <c r="E31" s="2212"/>
      <c r="F31" s="2213">
        <f t="shared" ref="F31:F42" si="14">SUM(G31,H31)</f>
        <v>0</v>
      </c>
      <c r="G31" s="2212"/>
      <c r="H31" s="2212"/>
      <c r="I31" s="2213">
        <f>SUM(J31,M31,P31)</f>
        <v>315</v>
      </c>
      <c r="J31" s="2213">
        <f t="shared" ref="J31:J42" si="15">SUM(K31,L31)</f>
        <v>0</v>
      </c>
      <c r="K31" s="2212"/>
      <c r="L31" s="2212"/>
      <c r="M31" s="2213">
        <f t="shared" ref="M31:M42" si="16">SUM(N31,O31)</f>
        <v>0</v>
      </c>
      <c r="N31" s="2212"/>
      <c r="O31" s="2212"/>
      <c r="P31" s="2213">
        <f t="shared" ref="P31:P42" si="17">SUM(Q31,R31)</f>
        <v>315</v>
      </c>
      <c r="Q31" s="2212">
        <v>315</v>
      </c>
      <c r="R31" s="2212"/>
      <c r="S31" s="2212"/>
      <c r="T31" s="2212"/>
      <c r="U31" s="2212"/>
      <c r="V31" s="2215"/>
    </row>
    <row r="32" spans="1:22" x14ac:dyDescent="0.2">
      <c r="A32" s="2213">
        <f t="shared" si="10"/>
        <v>208</v>
      </c>
      <c r="B32" s="2213">
        <f t="shared" si="11"/>
        <v>0</v>
      </c>
      <c r="C32" s="2212"/>
      <c r="D32" s="2212"/>
      <c r="E32" s="2212"/>
      <c r="F32" s="2213">
        <f t="shared" si="14"/>
        <v>0</v>
      </c>
      <c r="G32" s="2212"/>
      <c r="H32" s="2212"/>
      <c r="I32" s="2213">
        <f t="shared" ref="I32:I42" si="18">SUM(J32,M32,P32)</f>
        <v>208</v>
      </c>
      <c r="J32" s="2213">
        <f t="shared" si="15"/>
        <v>0</v>
      </c>
      <c r="K32" s="2212"/>
      <c r="L32" s="2212"/>
      <c r="M32" s="2213">
        <f t="shared" si="16"/>
        <v>0</v>
      </c>
      <c r="N32" s="2212"/>
      <c r="O32" s="2212"/>
      <c r="P32" s="2213">
        <f t="shared" si="17"/>
        <v>208</v>
      </c>
      <c r="Q32" s="2212">
        <v>208</v>
      </c>
      <c r="R32" s="2212"/>
      <c r="S32" s="2212"/>
      <c r="T32" s="2212"/>
      <c r="U32" s="2212"/>
      <c r="V32" s="2215"/>
    </row>
    <row r="33" spans="1:22" x14ac:dyDescent="0.2">
      <c r="A33" s="2213">
        <f t="shared" si="10"/>
        <v>260</v>
      </c>
      <c r="B33" s="2213">
        <f t="shared" si="11"/>
        <v>0</v>
      </c>
      <c r="C33" s="2212"/>
      <c r="D33" s="2212"/>
      <c r="E33" s="2212"/>
      <c r="F33" s="2213">
        <f t="shared" si="14"/>
        <v>0</v>
      </c>
      <c r="G33" s="2212"/>
      <c r="H33" s="2212"/>
      <c r="I33" s="2213">
        <f t="shared" si="18"/>
        <v>260</v>
      </c>
      <c r="J33" s="2213">
        <f t="shared" si="15"/>
        <v>0</v>
      </c>
      <c r="K33" s="2212"/>
      <c r="L33" s="2212"/>
      <c r="M33" s="2213">
        <f t="shared" si="16"/>
        <v>0</v>
      </c>
      <c r="N33" s="2212"/>
      <c r="O33" s="2212"/>
      <c r="P33" s="2213">
        <f t="shared" si="17"/>
        <v>260</v>
      </c>
      <c r="Q33" s="2212">
        <v>260</v>
      </c>
      <c r="R33" s="2212"/>
      <c r="S33" s="2212"/>
      <c r="T33" s="2212"/>
      <c r="U33" s="2212"/>
      <c r="V33" s="2215"/>
    </row>
    <row r="34" spans="1:22" x14ac:dyDescent="0.2">
      <c r="A34" s="2213">
        <f t="shared" si="10"/>
        <v>305</v>
      </c>
      <c r="B34" s="2213">
        <f t="shared" si="11"/>
        <v>0</v>
      </c>
      <c r="C34" s="2212"/>
      <c r="D34" s="2212"/>
      <c r="E34" s="2212"/>
      <c r="F34" s="2213">
        <f t="shared" si="14"/>
        <v>0</v>
      </c>
      <c r="G34" s="2212"/>
      <c r="H34" s="2212"/>
      <c r="I34" s="2213">
        <f t="shared" si="18"/>
        <v>305</v>
      </c>
      <c r="J34" s="2213">
        <f t="shared" si="15"/>
        <v>0</v>
      </c>
      <c r="K34" s="2212"/>
      <c r="L34" s="2212"/>
      <c r="M34" s="2213">
        <f t="shared" si="16"/>
        <v>0</v>
      </c>
      <c r="N34" s="2212"/>
      <c r="O34" s="2212"/>
      <c r="P34" s="2213">
        <f t="shared" si="17"/>
        <v>305</v>
      </c>
      <c r="Q34" s="2212">
        <v>305</v>
      </c>
      <c r="R34" s="2212"/>
      <c r="S34" s="2212"/>
      <c r="T34" s="2212"/>
      <c r="U34" s="2212"/>
      <c r="V34" s="2215"/>
    </row>
    <row r="35" spans="1:22" x14ac:dyDescent="0.2">
      <c r="A35" s="2213">
        <f t="shared" si="10"/>
        <v>181</v>
      </c>
      <c r="B35" s="2213">
        <f t="shared" si="11"/>
        <v>0</v>
      </c>
      <c r="C35" s="2212"/>
      <c r="D35" s="2212"/>
      <c r="E35" s="2212"/>
      <c r="F35" s="2213">
        <f t="shared" si="14"/>
        <v>0</v>
      </c>
      <c r="G35" s="2212"/>
      <c r="H35" s="2212"/>
      <c r="I35" s="2213">
        <f t="shared" si="18"/>
        <v>181</v>
      </c>
      <c r="J35" s="2213">
        <f t="shared" si="15"/>
        <v>0</v>
      </c>
      <c r="K35" s="2212"/>
      <c r="L35" s="2212"/>
      <c r="M35" s="2213">
        <f t="shared" si="16"/>
        <v>0</v>
      </c>
      <c r="N35" s="2212"/>
      <c r="O35" s="2212"/>
      <c r="P35" s="2213">
        <f t="shared" si="17"/>
        <v>181</v>
      </c>
      <c r="Q35" s="2212">
        <v>181</v>
      </c>
      <c r="R35" s="2212"/>
      <c r="S35" s="2212"/>
      <c r="T35" s="2212"/>
      <c r="U35" s="2212"/>
      <c r="V35" s="2215"/>
    </row>
    <row r="36" spans="1:22" x14ac:dyDescent="0.2">
      <c r="A36" s="2213">
        <f t="shared" si="10"/>
        <v>194</v>
      </c>
      <c r="B36" s="2213">
        <f t="shared" si="11"/>
        <v>0</v>
      </c>
      <c r="C36" s="2212"/>
      <c r="D36" s="2212"/>
      <c r="E36" s="2212"/>
      <c r="F36" s="2213">
        <f t="shared" si="14"/>
        <v>0</v>
      </c>
      <c r="G36" s="2212"/>
      <c r="H36" s="2212"/>
      <c r="I36" s="2213">
        <f t="shared" si="18"/>
        <v>194</v>
      </c>
      <c r="J36" s="2213">
        <f t="shared" si="15"/>
        <v>0</v>
      </c>
      <c r="K36" s="2212"/>
      <c r="L36" s="2212"/>
      <c r="M36" s="2213">
        <f t="shared" si="16"/>
        <v>0</v>
      </c>
      <c r="N36" s="2212"/>
      <c r="O36" s="2212"/>
      <c r="P36" s="2213">
        <f t="shared" si="17"/>
        <v>194</v>
      </c>
      <c r="Q36" s="2212">
        <v>194</v>
      </c>
      <c r="R36" s="2212"/>
      <c r="S36" s="2212"/>
      <c r="T36" s="2212"/>
      <c r="U36" s="2212"/>
      <c r="V36" s="2215"/>
    </row>
    <row r="37" spans="1:22" x14ac:dyDescent="0.2">
      <c r="A37" s="2213">
        <f t="shared" si="10"/>
        <v>220</v>
      </c>
      <c r="B37" s="2213">
        <f t="shared" si="11"/>
        <v>0</v>
      </c>
      <c r="C37" s="2212"/>
      <c r="D37" s="2212"/>
      <c r="E37" s="2212"/>
      <c r="F37" s="2213">
        <f t="shared" si="14"/>
        <v>0</v>
      </c>
      <c r="G37" s="2212"/>
      <c r="H37" s="2212"/>
      <c r="I37" s="2213">
        <f t="shared" si="18"/>
        <v>220</v>
      </c>
      <c r="J37" s="2213">
        <f t="shared" si="15"/>
        <v>0</v>
      </c>
      <c r="K37" s="2212"/>
      <c r="L37" s="2212"/>
      <c r="M37" s="2213">
        <f t="shared" si="16"/>
        <v>0</v>
      </c>
      <c r="N37" s="2212"/>
      <c r="O37" s="2212"/>
      <c r="P37" s="2213">
        <f t="shared" si="17"/>
        <v>220</v>
      </c>
      <c r="Q37" s="2212">
        <v>220</v>
      </c>
      <c r="R37" s="2212"/>
      <c r="S37" s="2212"/>
      <c r="T37" s="2212"/>
      <c r="U37" s="2212"/>
      <c r="V37" s="2215"/>
    </row>
    <row r="38" spans="1:22" x14ac:dyDescent="0.2">
      <c r="A38" s="2213">
        <f t="shared" si="10"/>
        <v>134</v>
      </c>
      <c r="B38" s="2213">
        <f t="shared" si="11"/>
        <v>0</v>
      </c>
      <c r="C38" s="2212"/>
      <c r="D38" s="2212"/>
      <c r="E38" s="2212"/>
      <c r="F38" s="2213">
        <f t="shared" si="14"/>
        <v>0</v>
      </c>
      <c r="G38" s="2212"/>
      <c r="H38" s="2212"/>
      <c r="I38" s="2213">
        <f t="shared" si="18"/>
        <v>134</v>
      </c>
      <c r="J38" s="2213">
        <f t="shared" si="15"/>
        <v>0</v>
      </c>
      <c r="K38" s="2212"/>
      <c r="L38" s="2212"/>
      <c r="M38" s="2213">
        <f t="shared" si="16"/>
        <v>0</v>
      </c>
      <c r="N38" s="2212"/>
      <c r="O38" s="2212"/>
      <c r="P38" s="2213">
        <f t="shared" si="17"/>
        <v>134</v>
      </c>
      <c r="Q38" s="2212">
        <v>134</v>
      </c>
      <c r="R38" s="2212"/>
      <c r="S38" s="2212"/>
      <c r="T38" s="2212"/>
      <c r="U38" s="2212"/>
      <c r="V38" s="2215"/>
    </row>
    <row r="39" spans="1:22" x14ac:dyDescent="0.2">
      <c r="A39" s="2213">
        <f t="shared" si="10"/>
        <v>130</v>
      </c>
      <c r="B39" s="2213">
        <f t="shared" si="11"/>
        <v>0</v>
      </c>
      <c r="C39" s="2212"/>
      <c r="D39" s="2212"/>
      <c r="E39" s="2212"/>
      <c r="F39" s="2213">
        <f t="shared" si="14"/>
        <v>0</v>
      </c>
      <c r="G39" s="2212"/>
      <c r="H39" s="2212"/>
      <c r="I39" s="2213">
        <f t="shared" si="18"/>
        <v>130</v>
      </c>
      <c r="J39" s="2213">
        <f t="shared" si="15"/>
        <v>0</v>
      </c>
      <c r="K39" s="2212"/>
      <c r="L39" s="2212"/>
      <c r="M39" s="2213">
        <f t="shared" si="16"/>
        <v>0</v>
      </c>
      <c r="N39" s="2212"/>
      <c r="O39" s="2212"/>
      <c r="P39" s="2213">
        <f t="shared" si="17"/>
        <v>130</v>
      </c>
      <c r="Q39" s="2212">
        <v>130</v>
      </c>
      <c r="R39" s="2212"/>
      <c r="S39" s="2212"/>
      <c r="T39" s="2212"/>
      <c r="U39" s="2212"/>
      <c r="V39" s="2215"/>
    </row>
    <row r="40" spans="1:22" x14ac:dyDescent="0.2">
      <c r="A40" s="2213">
        <f t="shared" si="10"/>
        <v>113</v>
      </c>
      <c r="B40" s="2213">
        <f t="shared" si="11"/>
        <v>0</v>
      </c>
      <c r="C40" s="2212"/>
      <c r="D40" s="2212"/>
      <c r="E40" s="2212"/>
      <c r="F40" s="2213">
        <f t="shared" si="14"/>
        <v>0</v>
      </c>
      <c r="G40" s="2212"/>
      <c r="H40" s="2212"/>
      <c r="I40" s="2213">
        <f t="shared" si="18"/>
        <v>113</v>
      </c>
      <c r="J40" s="2213">
        <f t="shared" si="15"/>
        <v>0</v>
      </c>
      <c r="K40" s="2212"/>
      <c r="L40" s="2212"/>
      <c r="M40" s="2213">
        <f t="shared" si="16"/>
        <v>0</v>
      </c>
      <c r="N40" s="2212"/>
      <c r="O40" s="2212"/>
      <c r="P40" s="2213">
        <f t="shared" si="17"/>
        <v>113</v>
      </c>
      <c r="Q40" s="2212">
        <v>113</v>
      </c>
      <c r="R40" s="2212"/>
      <c r="S40" s="2212"/>
      <c r="T40" s="2212"/>
      <c r="U40" s="2212"/>
      <c r="V40" s="2215"/>
    </row>
    <row r="41" spans="1:22" x14ac:dyDescent="0.2">
      <c r="A41" s="2213">
        <f t="shared" si="10"/>
        <v>90</v>
      </c>
      <c r="B41" s="2213">
        <f t="shared" si="11"/>
        <v>0</v>
      </c>
      <c r="C41" s="2212"/>
      <c r="D41" s="2212"/>
      <c r="E41" s="2212"/>
      <c r="F41" s="2213">
        <f t="shared" si="14"/>
        <v>0</v>
      </c>
      <c r="G41" s="2212"/>
      <c r="H41" s="2212"/>
      <c r="I41" s="2213">
        <f t="shared" si="18"/>
        <v>90</v>
      </c>
      <c r="J41" s="2213">
        <f t="shared" si="15"/>
        <v>0</v>
      </c>
      <c r="K41" s="2212"/>
      <c r="L41" s="2212"/>
      <c r="M41" s="2213">
        <f t="shared" si="16"/>
        <v>0</v>
      </c>
      <c r="N41" s="2212"/>
      <c r="O41" s="2212"/>
      <c r="P41" s="2213">
        <f t="shared" si="17"/>
        <v>90</v>
      </c>
      <c r="Q41" s="2212">
        <v>90</v>
      </c>
      <c r="R41" s="2212"/>
      <c r="S41" s="2212"/>
      <c r="T41" s="2212"/>
      <c r="U41" s="2212"/>
      <c r="V41" s="2215"/>
    </row>
    <row r="42" spans="1:22" x14ac:dyDescent="0.2">
      <c r="A42" s="2213">
        <f t="shared" si="10"/>
        <v>249</v>
      </c>
      <c r="B42" s="2213">
        <f t="shared" si="11"/>
        <v>0</v>
      </c>
      <c r="C42" s="2212"/>
      <c r="D42" s="2212"/>
      <c r="E42" s="2212"/>
      <c r="F42" s="2213">
        <f t="shared" si="14"/>
        <v>0</v>
      </c>
      <c r="G42" s="2212"/>
      <c r="H42" s="2212"/>
      <c r="I42" s="2213">
        <f t="shared" si="18"/>
        <v>249</v>
      </c>
      <c r="J42" s="2213">
        <f t="shared" si="15"/>
        <v>0</v>
      </c>
      <c r="K42" s="2212"/>
      <c r="L42" s="2212"/>
      <c r="M42" s="2213">
        <f t="shared" si="16"/>
        <v>0</v>
      </c>
      <c r="N42" s="2212"/>
      <c r="O42" s="2212"/>
      <c r="P42" s="2213">
        <f t="shared" si="17"/>
        <v>249</v>
      </c>
      <c r="Q42" s="2212">
        <v>249</v>
      </c>
      <c r="R42" s="2212"/>
      <c r="S42" s="2212"/>
      <c r="T42" s="2212"/>
      <c r="U42" s="2212"/>
      <c r="V42" s="221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3947" t="s">
        <v>1735</v>
      </c>
      <c r="B3" s="3947"/>
      <c r="C3" s="3947"/>
      <c r="D3" s="3947"/>
      <c r="E3" s="3947"/>
      <c r="F3" s="3947"/>
      <c r="G3" s="3947"/>
      <c r="H3" s="3947"/>
    </row>
    <row r="4" spans="1:8" ht="15.75" thickBot="1" x14ac:dyDescent="0.3">
      <c r="A4" s="3948" t="s">
        <v>1814</v>
      </c>
      <c r="B4" s="3948"/>
      <c r="C4" s="3948"/>
      <c r="D4" s="3948"/>
      <c r="E4" s="3948"/>
      <c r="F4" s="3948"/>
      <c r="G4" s="3948"/>
      <c r="H4" s="3948"/>
    </row>
    <row r="5" spans="1:8" x14ac:dyDescent="0.2">
      <c r="A5" s="3942" t="s">
        <v>1736</v>
      </c>
      <c r="B5" s="3949" t="s">
        <v>1737</v>
      </c>
      <c r="C5" s="3951" t="s">
        <v>1738</v>
      </c>
      <c r="D5" s="3949" t="s">
        <v>1739</v>
      </c>
      <c r="E5" s="3953"/>
      <c r="F5" s="3954" t="s">
        <v>1740</v>
      </c>
      <c r="G5" s="3949" t="s">
        <v>1741</v>
      </c>
      <c r="H5" s="3956" t="s">
        <v>1726</v>
      </c>
    </row>
    <row r="6" spans="1:8" ht="13.5" thickBot="1" x14ac:dyDescent="0.25">
      <c r="A6" s="3943"/>
      <c r="B6" s="3950"/>
      <c r="C6" s="3952"/>
      <c r="D6" s="2219" t="s">
        <v>1580</v>
      </c>
      <c r="E6" s="2220" t="s">
        <v>61</v>
      </c>
      <c r="F6" s="3955"/>
      <c r="G6" s="3950"/>
      <c r="H6" s="3957"/>
    </row>
    <row r="7" spans="1:8" ht="88.5" customHeight="1" x14ac:dyDescent="0.2">
      <c r="A7" s="3942" t="s">
        <v>1742</v>
      </c>
      <c r="B7" s="2221" t="s">
        <v>1743</v>
      </c>
      <c r="C7" s="2222" t="s">
        <v>44</v>
      </c>
      <c r="D7" s="2223">
        <v>8</v>
      </c>
      <c r="E7" s="2224">
        <v>8</v>
      </c>
      <c r="F7" s="2225">
        <f>1/D18</f>
        <v>0.33333333333333331</v>
      </c>
      <c r="G7" s="2226">
        <f>IF(D7/E7&gt;1,1,D7/E7)</f>
        <v>1</v>
      </c>
      <c r="H7" s="2227">
        <f t="shared" ref="H7:H12" si="0">F7*G7</f>
        <v>0.33333333333333331</v>
      </c>
    </row>
    <row r="8" spans="1:8" ht="54.75" customHeight="1" thickBot="1" x14ac:dyDescent="0.25">
      <c r="A8" s="3943"/>
      <c r="B8" s="2261" t="s">
        <v>1744</v>
      </c>
      <c r="C8" s="2219" t="s">
        <v>44</v>
      </c>
      <c r="D8" s="2229">
        <v>40.5</v>
      </c>
      <c r="E8" s="2230">
        <v>40.5</v>
      </c>
      <c r="F8" s="2231">
        <f>F7</f>
        <v>0.33333333333333331</v>
      </c>
      <c r="G8" s="2232">
        <f>IF(D8/E8&gt;1,1,D8/E8)</f>
        <v>1</v>
      </c>
      <c r="H8" s="2233">
        <f t="shared" si="0"/>
        <v>0.33333333333333331</v>
      </c>
    </row>
    <row r="9" spans="1:8" ht="68.25" customHeight="1" x14ac:dyDescent="0.2">
      <c r="A9" s="3942" t="s">
        <v>1745</v>
      </c>
      <c r="B9" s="2234" t="s">
        <v>1746</v>
      </c>
      <c r="C9" s="2222" t="s">
        <v>1747</v>
      </c>
      <c r="D9" s="2223">
        <v>0.37</v>
      </c>
      <c r="E9" s="2224">
        <v>0.63</v>
      </c>
      <c r="F9" s="2235">
        <f>F8</f>
        <v>0.33333333333333331</v>
      </c>
      <c r="G9" s="2262">
        <f>IF(D9/E9&gt;1,1,D9/E9)</f>
        <v>0.58730158730158732</v>
      </c>
      <c r="H9" s="2237">
        <f t="shared" si="0"/>
        <v>0.19576719576719576</v>
      </c>
    </row>
    <row r="10" spans="1:8" ht="32.25" customHeight="1" thickBot="1" x14ac:dyDescent="0.25">
      <c r="A10" s="3943"/>
      <c r="B10" s="2261" t="s">
        <v>1748</v>
      </c>
      <c r="C10" s="2219" t="s">
        <v>1747</v>
      </c>
      <c r="D10" s="2229">
        <v>10.7</v>
      </c>
      <c r="E10" s="2230">
        <v>11.2</v>
      </c>
      <c r="F10" s="2231">
        <f>1/D19</f>
        <v>0.33333333333333331</v>
      </c>
      <c r="G10" s="2263">
        <f>IF(D10/E10&gt;1,1,D10/E10)</f>
        <v>0.9553571428571429</v>
      </c>
      <c r="H10" s="2233">
        <f t="shared" si="0"/>
        <v>0.31845238095238093</v>
      </c>
    </row>
    <row r="11" spans="1:8" ht="40.5" customHeight="1" x14ac:dyDescent="0.2">
      <c r="A11" s="3942" t="s">
        <v>1749</v>
      </c>
      <c r="B11" s="2221" t="s">
        <v>1750</v>
      </c>
      <c r="C11" s="2222" t="s">
        <v>44</v>
      </c>
      <c r="D11" s="2223">
        <v>0</v>
      </c>
      <c r="E11" s="2224">
        <v>0</v>
      </c>
      <c r="F11" s="2235">
        <f>F10</f>
        <v>0.33333333333333331</v>
      </c>
      <c r="G11" s="2236">
        <v>1</v>
      </c>
      <c r="H11" s="2237">
        <f t="shared" si="0"/>
        <v>0.33333333333333331</v>
      </c>
    </row>
    <row r="12" spans="1:8" ht="33.75" customHeight="1" thickBot="1" x14ac:dyDescent="0.25">
      <c r="A12" s="3943"/>
      <c r="B12" s="2228" t="s">
        <v>1751</v>
      </c>
      <c r="C12" s="2219" t="s">
        <v>44</v>
      </c>
      <c r="D12" s="2229">
        <v>100</v>
      </c>
      <c r="E12" s="2230">
        <v>100</v>
      </c>
      <c r="F12" s="2231">
        <f>F11</f>
        <v>0.33333333333333331</v>
      </c>
      <c r="G12" s="2232">
        <f>IF(D12/E12&gt;1,1,D12/E12)</f>
        <v>1</v>
      </c>
      <c r="H12" s="2233">
        <f t="shared" si="0"/>
        <v>0.33333333333333331</v>
      </c>
    </row>
    <row r="13" spans="1:8" ht="38.25" customHeight="1" x14ac:dyDescent="0.2">
      <c r="A13" s="3942" t="s">
        <v>1752</v>
      </c>
      <c r="B13" s="2234" t="s">
        <v>1753</v>
      </c>
      <c r="C13" s="2222" t="s">
        <v>44</v>
      </c>
      <c r="D13" s="2223">
        <v>19.7</v>
      </c>
      <c r="E13" s="2224">
        <v>30.66</v>
      </c>
      <c r="F13" s="2225">
        <v>0</v>
      </c>
      <c r="G13" s="2264">
        <f>IF(D13/E13&gt;1,1,D13/E13)</f>
        <v>0.64253098499673844</v>
      </c>
      <c r="H13" s="2227"/>
    </row>
    <row r="14" spans="1:8" ht="38.25" customHeight="1" x14ac:dyDescent="0.2">
      <c r="A14" s="3944"/>
      <c r="B14" s="1868" t="s">
        <v>1756</v>
      </c>
      <c r="C14" s="2143" t="s">
        <v>1754</v>
      </c>
      <c r="D14" s="2259">
        <v>0.124</v>
      </c>
      <c r="E14" s="2260">
        <v>0.125</v>
      </c>
      <c r="F14" s="2225"/>
      <c r="G14" s="2238"/>
      <c r="H14" s="2227"/>
    </row>
    <row r="15" spans="1:8" ht="40.5" customHeight="1" x14ac:dyDescent="0.2">
      <c r="A15" s="3945"/>
      <c r="B15" s="1868" t="s">
        <v>1757</v>
      </c>
      <c r="C15" s="2143" t="s">
        <v>1754</v>
      </c>
      <c r="D15" s="2075">
        <v>0.249</v>
      </c>
      <c r="E15" s="2239">
        <v>0.29499999999999998</v>
      </c>
      <c r="F15" s="2240">
        <v>0</v>
      </c>
      <c r="G15" s="2241"/>
      <c r="H15" s="2242"/>
    </row>
    <row r="16" spans="1:8" ht="40.5" customHeight="1" x14ac:dyDescent="0.2">
      <c r="A16" s="3946"/>
      <c r="B16" s="2243" t="s">
        <v>1755</v>
      </c>
      <c r="C16" s="2143" t="s">
        <v>1754</v>
      </c>
      <c r="D16" s="2244">
        <v>0.42</v>
      </c>
      <c r="E16" s="2245">
        <v>0.60199999999999998</v>
      </c>
      <c r="F16" s="2246"/>
      <c r="G16" s="2247"/>
      <c r="H16" s="2248"/>
    </row>
    <row r="17" spans="1:8" ht="42.75" customHeight="1" thickBot="1" x14ac:dyDescent="0.25">
      <c r="A17" s="3946"/>
      <c r="B17" s="2243" t="s">
        <v>1758</v>
      </c>
      <c r="C17" s="2141" t="s">
        <v>1754</v>
      </c>
      <c r="D17" s="2244">
        <v>8.4000000000000005E-2</v>
      </c>
      <c r="E17" s="2245">
        <v>9.1999999999999998E-2</v>
      </c>
      <c r="F17" s="2246">
        <v>0</v>
      </c>
      <c r="G17" s="2247"/>
      <c r="H17" s="2248"/>
    </row>
    <row r="18" spans="1:8" x14ac:dyDescent="0.2">
      <c r="A18" s="2249"/>
      <c r="B18" s="2250"/>
      <c r="C18" s="2250" t="s">
        <v>294</v>
      </c>
      <c r="D18" s="2250">
        <v>3</v>
      </c>
      <c r="E18" s="2250"/>
      <c r="F18" s="2251">
        <f>F7+F8+F9</f>
        <v>1</v>
      </c>
      <c r="G18" s="2252"/>
      <c r="H18" s="2253">
        <f>H7+H8+H9</f>
        <v>0.86243386243386233</v>
      </c>
    </row>
    <row r="19" spans="1:8" ht="13.5" thickBot="1" x14ac:dyDescent="0.25">
      <c r="A19" s="2254"/>
      <c r="B19" s="2255"/>
      <c r="C19" s="2255" t="s">
        <v>324</v>
      </c>
      <c r="D19" s="2255">
        <v>3</v>
      </c>
      <c r="E19" s="2255"/>
      <c r="F19" s="2256">
        <f>F10+F11+F12</f>
        <v>1</v>
      </c>
      <c r="G19" s="2257"/>
      <c r="H19" s="2258">
        <f>H10+H11+H12</f>
        <v>0.98511904761904745</v>
      </c>
    </row>
    <row r="23" spans="1:8" x14ac:dyDescent="0.2">
      <c r="B23" s="5" t="s">
        <v>377</v>
      </c>
      <c r="C23" s="5"/>
      <c r="D23" s="5"/>
    </row>
    <row r="24" spans="1:8" ht="28.5" x14ac:dyDescent="0.2">
      <c r="B24" s="2145" t="s">
        <v>1759</v>
      </c>
      <c r="C24" s="2265">
        <f>C26*C27*C28*C29</f>
        <v>1402.0984566147722</v>
      </c>
      <c r="D24" s="2140"/>
    </row>
    <row r="25" spans="1:8" ht="14.25" x14ac:dyDescent="0.2">
      <c r="B25" s="2266" t="s">
        <v>1760</v>
      </c>
      <c r="C25" s="2267">
        <f>1/100</f>
        <v>0.01</v>
      </c>
      <c r="D25" s="2139" t="s">
        <v>1761</v>
      </c>
    </row>
    <row r="26" spans="1:8" x14ac:dyDescent="0.2">
      <c r="B26" s="2266" t="s">
        <v>1762</v>
      </c>
      <c r="C26" s="2267">
        <f>IF(1-H54&gt;1/100,1/100,1-H54)</f>
        <v>0.01</v>
      </c>
      <c r="D26" s="2139"/>
    </row>
    <row r="27" spans="1:8" ht="14.25" x14ac:dyDescent="0.2">
      <c r="B27" s="2266" t="s">
        <v>1763</v>
      </c>
      <c r="C27" s="2267">
        <f>'вода 2018 коррект'!F10</f>
        <v>130132.0308002161</v>
      </c>
      <c r="D27" s="2139"/>
    </row>
    <row r="28" spans="1:8" ht="14.25" x14ac:dyDescent="0.2">
      <c r="B28" s="2266" t="s">
        <v>1764</v>
      </c>
      <c r="C28" s="2268">
        <v>1.0389999999999999</v>
      </c>
      <c r="D28" s="2139"/>
    </row>
    <row r="29" spans="1:8" ht="14.25" x14ac:dyDescent="0.2">
      <c r="B29" s="2266" t="s">
        <v>1765</v>
      </c>
      <c r="C29" s="2269">
        <v>1.0369999999999999</v>
      </c>
      <c r="D29" s="2270"/>
    </row>
    <row r="30" spans="1:8" x14ac:dyDescent="0.2">
      <c r="B30" s="5" t="s">
        <v>47</v>
      </c>
      <c r="C30" s="5"/>
      <c r="D30" s="5"/>
    </row>
    <row r="31" spans="1:8" ht="28.5" x14ac:dyDescent="0.2">
      <c r="B31" s="2145" t="s">
        <v>1759</v>
      </c>
      <c r="C31" s="2265">
        <f>C33*C34*C35*C36</f>
        <v>917.11610446699819</v>
      </c>
      <c r="D31" s="2140"/>
    </row>
    <row r="32" spans="1:8" ht="14.25" x14ac:dyDescent="0.2">
      <c r="B32" s="2266" t="s">
        <v>1760</v>
      </c>
      <c r="C32" s="2267">
        <f>1/100</f>
        <v>0.01</v>
      </c>
      <c r="D32" s="2139" t="s">
        <v>1761</v>
      </c>
    </row>
    <row r="33" spans="2:4" x14ac:dyDescent="0.2">
      <c r="B33" s="2266" t="s">
        <v>1762</v>
      </c>
      <c r="C33" s="2267">
        <f>IF(1-H61&gt;1/100,1/100,1-H61)</f>
        <v>0.01</v>
      </c>
      <c r="D33" s="2139"/>
    </row>
    <row r="34" spans="2:4" ht="14.25" x14ac:dyDescent="0.2">
      <c r="B34" s="2266" t="s">
        <v>1763</v>
      </c>
      <c r="C34" s="2267">
        <f>'стоки 2018'!F10</f>
        <v>85119.686560402581</v>
      </c>
      <c r="D34" s="2139"/>
    </row>
    <row r="35" spans="2:4" ht="14.25" x14ac:dyDescent="0.2">
      <c r="B35" s="2266" t="s">
        <v>1764</v>
      </c>
      <c r="C35" s="2268">
        <v>1.0389999999999999</v>
      </c>
      <c r="D35" s="2139"/>
    </row>
    <row r="36" spans="2:4" ht="14.25" x14ac:dyDescent="0.2">
      <c r="B36" s="2266" t="s">
        <v>1765</v>
      </c>
      <c r="C36" s="2269">
        <v>1.0369999999999999</v>
      </c>
      <c r="D36" s="2270"/>
    </row>
    <row r="38" spans="2:4" x14ac:dyDescent="0.2">
      <c r="B38" s="5" t="s">
        <v>25</v>
      </c>
      <c r="C38" s="5"/>
      <c r="D38" s="5"/>
    </row>
    <row r="39" spans="2:4" ht="28.5" x14ac:dyDescent="0.2">
      <c r="B39" s="2409" t="s">
        <v>1759</v>
      </c>
      <c r="C39" s="2265">
        <f>C41*C42*C43*C44</f>
        <v>3.706200318684449</v>
      </c>
      <c r="D39" s="2408"/>
    </row>
    <row r="40" spans="2:4" ht="14.25" x14ac:dyDescent="0.2">
      <c r="B40" s="2266" t="s">
        <v>1760</v>
      </c>
      <c r="C40" s="2267">
        <f>1/100</f>
        <v>0.01</v>
      </c>
      <c r="D40" s="2407" t="s">
        <v>1761</v>
      </c>
    </row>
    <row r="41" spans="2:4" x14ac:dyDescent="0.2">
      <c r="B41" s="2266" t="s">
        <v>1762</v>
      </c>
      <c r="C41" s="2267">
        <f>IF(1-H69&gt;1/100,1/100,1-H69)</f>
        <v>0.01</v>
      </c>
      <c r="D41" s="2407"/>
    </row>
    <row r="42" spans="2:4" ht="14.25" x14ac:dyDescent="0.2">
      <c r="B42" s="2266" t="s">
        <v>1763</v>
      </c>
      <c r="C42" s="2267">
        <f>'тех вода 2018'!F10</f>
        <v>343.98110328661932</v>
      </c>
      <c r="D42" s="2407"/>
    </row>
    <row r="43" spans="2:4" ht="14.25" x14ac:dyDescent="0.2">
      <c r="B43" s="2266" t="s">
        <v>1764</v>
      </c>
      <c r="C43" s="2268">
        <v>1.0389999999999999</v>
      </c>
      <c r="D43" s="2407"/>
    </row>
    <row r="44" spans="2:4" ht="14.25" x14ac:dyDescent="0.2">
      <c r="B44" s="2266" t="s">
        <v>1765</v>
      </c>
      <c r="C44" s="2269">
        <v>1.0369999999999999</v>
      </c>
      <c r="D44" s="227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3958" t="s">
        <v>1683</v>
      </c>
      <c r="G1" s="3958"/>
      <c r="H1" s="3958"/>
      <c r="I1" s="3958"/>
      <c r="J1" s="3958"/>
      <c r="K1" s="3958"/>
    </row>
    <row r="2" spans="1:11" ht="15.75" x14ac:dyDescent="0.2">
      <c r="A2" s="3968" t="s">
        <v>1688</v>
      </c>
      <c r="B2" s="3969"/>
      <c r="C2" s="3969"/>
      <c r="D2" s="3969"/>
      <c r="E2" s="3969"/>
      <c r="F2" s="3969"/>
      <c r="G2" s="3969"/>
      <c r="H2" s="3969"/>
      <c r="I2" s="3969"/>
      <c r="J2" s="3969"/>
      <c r="K2" s="3969"/>
    </row>
    <row r="3" spans="1:11" ht="15.75" x14ac:dyDescent="0.25">
      <c r="A3" s="3960" t="s">
        <v>367</v>
      </c>
      <c r="B3" s="3964" t="s">
        <v>1680</v>
      </c>
      <c r="C3" s="3964"/>
      <c r="D3" s="3964"/>
      <c r="E3" s="3964" t="s">
        <v>1681</v>
      </c>
      <c r="F3" s="3964"/>
      <c r="G3" s="3964"/>
      <c r="H3" s="3964" t="s">
        <v>1542</v>
      </c>
      <c r="I3" s="3964"/>
      <c r="J3" s="3964"/>
      <c r="K3" s="3966" t="s">
        <v>1610</v>
      </c>
    </row>
    <row r="4" spans="1:11" ht="30" customHeight="1" x14ac:dyDescent="0.2">
      <c r="A4" s="3960"/>
      <c r="B4" s="2105" t="s">
        <v>407</v>
      </c>
      <c r="C4" s="2105" t="s">
        <v>661</v>
      </c>
      <c r="D4" s="2105" t="s">
        <v>409</v>
      </c>
      <c r="E4" s="2105" t="s">
        <v>407</v>
      </c>
      <c r="F4" s="2105" t="s">
        <v>661</v>
      </c>
      <c r="G4" s="2105" t="s">
        <v>409</v>
      </c>
      <c r="H4" s="2105" t="s">
        <v>407</v>
      </c>
      <c r="I4" s="2105" t="s">
        <v>661</v>
      </c>
      <c r="J4" s="2105" t="s">
        <v>409</v>
      </c>
      <c r="K4" s="3967"/>
    </row>
    <row r="5" spans="1:11" ht="15" customHeight="1" x14ac:dyDescent="0.2">
      <c r="A5" s="2106" t="s">
        <v>662</v>
      </c>
      <c r="B5" s="1968"/>
      <c r="C5" s="1795"/>
      <c r="D5" s="1795"/>
      <c r="E5" s="1969">
        <f>SUM(объемы!T38)</f>
        <v>5779.357</v>
      </c>
      <c r="F5" s="1795"/>
      <c r="G5" s="1795"/>
      <c r="H5" s="1864"/>
      <c r="I5" s="1745"/>
      <c r="J5" s="1745"/>
      <c r="K5" s="1975"/>
    </row>
    <row r="6" spans="1:11" ht="15" customHeight="1" x14ac:dyDescent="0.2">
      <c r="A6" s="2106" t="s">
        <v>24</v>
      </c>
      <c r="B6" s="1968">
        <v>2800</v>
      </c>
      <c r="C6" s="1795">
        <v>70</v>
      </c>
      <c r="D6" s="1969">
        <f>B6*C6/1000</f>
        <v>196</v>
      </c>
      <c r="E6" s="1969">
        <f>объемы!R49</f>
        <v>2377.86</v>
      </c>
      <c r="F6" s="1795">
        <v>81</v>
      </c>
      <c r="G6" s="1969">
        <f>E6*F6/1000</f>
        <v>192.60666000000001</v>
      </c>
      <c r="H6" s="1864"/>
      <c r="I6" s="1745"/>
      <c r="J6" s="1864"/>
      <c r="K6" s="1977">
        <f>G6-D6</f>
        <v>-3.3933399999999949</v>
      </c>
    </row>
    <row r="7" spans="1:11" ht="15" customHeight="1" x14ac:dyDescent="0.2">
      <c r="A7" s="2106" t="s">
        <v>262</v>
      </c>
      <c r="B7" s="1968">
        <v>1206.27</v>
      </c>
      <c r="C7" s="1795">
        <v>258</v>
      </c>
      <c r="D7" s="1969">
        <f>B7*C7/1000</f>
        <v>311.21765999999997</v>
      </c>
      <c r="E7" s="1969">
        <f>объемы!S50+объемы!R51+объемы!R52</f>
        <v>1402.56</v>
      </c>
      <c r="F7" s="1795">
        <f>258*1.15</f>
        <v>296.7</v>
      </c>
      <c r="G7" s="1969">
        <f>E7*F7/1000</f>
        <v>416.13955199999998</v>
      </c>
      <c r="H7" s="1864"/>
      <c r="I7" s="1745"/>
      <c r="J7" s="1864"/>
      <c r="K7" s="1977">
        <f t="shared" ref="K7:K11" si="0">G7-D7</f>
        <v>104.92189200000001</v>
      </c>
    </row>
    <row r="8" spans="1:11" ht="15" customHeight="1" x14ac:dyDescent="0.2">
      <c r="A8" s="2106" t="s">
        <v>403</v>
      </c>
      <c r="B8" s="1968">
        <v>557.12</v>
      </c>
      <c r="C8" s="1795">
        <v>258</v>
      </c>
      <c r="D8" s="1969">
        <f>B8*C8/1000</f>
        <v>143.73695999999998</v>
      </c>
      <c r="E8" s="1969">
        <f>объемы!R41</f>
        <v>1030.98</v>
      </c>
      <c r="F8" s="1795">
        <f>258*1.15</f>
        <v>296.7</v>
      </c>
      <c r="G8" s="1969">
        <f>E8*F8/1000</f>
        <v>305.89176600000002</v>
      </c>
      <c r="H8" s="1864"/>
      <c r="I8" s="1745"/>
      <c r="J8" s="1864"/>
      <c r="K8" s="1977">
        <f t="shared" si="0"/>
        <v>162.15480600000004</v>
      </c>
    </row>
    <row r="9" spans="1:11" ht="15" customHeight="1" x14ac:dyDescent="0.2">
      <c r="A9" s="2106" t="s">
        <v>404</v>
      </c>
      <c r="B9" s="1968">
        <v>998</v>
      </c>
      <c r="C9" s="1795"/>
      <c r="D9" s="1969"/>
      <c r="E9" s="1969">
        <f>'хим. реагенты'!B28</f>
        <v>926.48394815553365</v>
      </c>
      <c r="F9" s="1795"/>
      <c r="G9" s="1969"/>
      <c r="H9" s="1864"/>
      <c r="I9" s="1745"/>
      <c r="J9" s="1864"/>
      <c r="K9" s="1977"/>
    </row>
    <row r="10" spans="1:11" ht="15" customHeight="1" x14ac:dyDescent="0.2">
      <c r="A10" s="2106" t="s">
        <v>405</v>
      </c>
      <c r="B10" s="1792">
        <v>697.05072386999996</v>
      </c>
      <c r="C10" s="1795">
        <v>70</v>
      </c>
      <c r="D10" s="1969">
        <f>B10*C10/1000</f>
        <v>48.793550670899997</v>
      </c>
      <c r="E10" s="1992">
        <f>E9*E6/(E6+E7)</f>
        <v>582.75247749221444</v>
      </c>
      <c r="F10" s="1795">
        <v>81</v>
      </c>
      <c r="G10" s="1969">
        <f>E10*F10/1000</f>
        <v>47.202950676869371</v>
      </c>
      <c r="H10" s="1745"/>
      <c r="I10" s="1745"/>
      <c r="J10" s="1864"/>
      <c r="K10" s="1977">
        <f t="shared" si="0"/>
        <v>-1.5905999940306259</v>
      </c>
    </row>
    <row r="11" spans="1:11" ht="15" customHeight="1" x14ac:dyDescent="0.2">
      <c r="A11" s="2106" t="s">
        <v>406</v>
      </c>
      <c r="B11" s="1968">
        <v>300.49</v>
      </c>
      <c r="C11" s="1795">
        <v>258</v>
      </c>
      <c r="D11" s="1969">
        <f>B11*C11/1000</f>
        <v>77.526420000000002</v>
      </c>
      <c r="E11" s="1969">
        <f>E9-E10</f>
        <v>343.73147066331921</v>
      </c>
      <c r="F11" s="1795">
        <v>341</v>
      </c>
      <c r="G11" s="1969">
        <f>E11*F11/1000</f>
        <v>117.21243149619185</v>
      </c>
      <c r="H11" s="1864"/>
      <c r="I11" s="1745"/>
      <c r="J11" s="1864"/>
      <c r="K11" s="1977">
        <f t="shared" si="0"/>
        <v>39.686011496191853</v>
      </c>
    </row>
    <row r="12" spans="1:11" ht="15" customHeight="1" x14ac:dyDescent="0.2">
      <c r="A12" s="1867" t="s">
        <v>861</v>
      </c>
      <c r="B12" s="1869"/>
      <c r="C12" s="1867"/>
      <c r="D12" s="1870">
        <f>SUM(D6:D11)</f>
        <v>777.27459067090001</v>
      </c>
      <c r="E12" s="1867"/>
      <c r="F12" s="1867"/>
      <c r="G12" s="1870">
        <f>SUM(G6:G11)</f>
        <v>1079.0533601730613</v>
      </c>
      <c r="H12" s="1753"/>
      <c r="I12" s="1753"/>
      <c r="J12" s="1754"/>
      <c r="K12" s="1973">
        <f>G12-D12</f>
        <v>301.77876950216125</v>
      </c>
    </row>
    <row r="13" spans="1:11" ht="58.5" hidden="1" customHeight="1" x14ac:dyDescent="0.2">
      <c r="A13" s="1868" t="s">
        <v>862</v>
      </c>
      <c r="B13" s="1791"/>
      <c r="C13" s="1966"/>
      <c r="D13" s="1967"/>
      <c r="E13" s="1966"/>
      <c r="F13" s="1966"/>
      <c r="G13" s="1967">
        <v>1455.14</v>
      </c>
      <c r="H13" s="1753"/>
      <c r="I13" s="1753"/>
      <c r="J13" s="1754">
        <v>1455.14</v>
      </c>
      <c r="K13" s="1861"/>
    </row>
    <row r="14" spans="1:11" ht="58.5" hidden="1" customHeight="1" x14ac:dyDescent="0.2">
      <c r="A14" s="1868" t="s">
        <v>862</v>
      </c>
      <c r="B14" s="1791"/>
      <c r="C14" s="1966"/>
      <c r="D14" s="1967"/>
      <c r="E14" s="1966"/>
      <c r="F14" s="1966"/>
      <c r="G14" s="1967">
        <v>60.06</v>
      </c>
      <c r="H14" s="1753"/>
      <c r="I14" s="1753"/>
      <c r="J14" s="1754">
        <v>60.06</v>
      </c>
      <c r="K14" s="1861"/>
    </row>
    <row r="15" spans="1:11" ht="58.5" hidden="1" customHeight="1" x14ac:dyDescent="0.2">
      <c r="A15" s="1869" t="s">
        <v>863</v>
      </c>
      <c r="B15" s="1791"/>
      <c r="C15" s="1966"/>
      <c r="D15" s="1967"/>
      <c r="E15" s="1966"/>
      <c r="F15" s="1966"/>
      <c r="G15" s="1967">
        <f>SUM(G13:G14)</f>
        <v>1515.2</v>
      </c>
      <c r="H15" s="1753"/>
      <c r="I15" s="1753"/>
      <c r="J15" s="1754">
        <f>SUM(J13:J14)</f>
        <v>1515.2</v>
      </c>
      <c r="K15" s="1861"/>
    </row>
    <row r="16" spans="1:11" ht="15" hidden="1" customHeight="1" x14ac:dyDescent="0.2">
      <c r="A16" s="3959" t="s">
        <v>410</v>
      </c>
      <c r="B16" s="3959"/>
      <c r="C16" s="3959"/>
      <c r="D16" s="3959"/>
      <c r="E16" s="3959"/>
      <c r="F16" s="3959"/>
      <c r="G16" s="3959"/>
      <c r="H16" s="3959"/>
      <c r="I16" s="3959"/>
      <c r="J16" s="3959"/>
    </row>
    <row r="17" spans="1:10" ht="38.25" hidden="1" customHeight="1" x14ac:dyDescent="0.2">
      <c r="A17" s="1669" t="s">
        <v>367</v>
      </c>
      <c r="B17" s="1669" t="s">
        <v>407</v>
      </c>
      <c r="C17" s="1669" t="s">
        <v>661</v>
      </c>
      <c r="D17" s="1669" t="s">
        <v>409</v>
      </c>
      <c r="E17" s="1669" t="s">
        <v>407</v>
      </c>
      <c r="F17" s="1669" t="s">
        <v>661</v>
      </c>
      <c r="G17" s="1669" t="s">
        <v>409</v>
      </c>
      <c r="H17" s="1861"/>
      <c r="I17" s="1861"/>
      <c r="J17" s="1861"/>
    </row>
    <row r="18" spans="1:10" ht="15" hidden="1" customHeight="1" x14ac:dyDescent="0.2">
      <c r="A18" s="1745" t="s">
        <v>662</v>
      </c>
      <c r="B18" s="1862">
        <f>объемы!M38</f>
        <v>5561.39</v>
      </c>
      <c r="C18" s="1662"/>
      <c r="D18" s="1662"/>
      <c r="E18" s="1862">
        <f>SUM(объемы!AA38)</f>
        <v>5654.317</v>
      </c>
      <c r="F18" s="1662"/>
      <c r="G18" s="1662"/>
      <c r="H18" s="1861"/>
      <c r="I18" s="1861"/>
      <c r="J18" s="1861"/>
    </row>
    <row r="19" spans="1:10" ht="15" hidden="1" customHeight="1" x14ac:dyDescent="0.2">
      <c r="A19" s="1745" t="s">
        <v>24</v>
      </c>
      <c r="B19" s="1862">
        <v>2800</v>
      </c>
      <c r="C19" s="1662">
        <v>70</v>
      </c>
      <c r="D19" s="1862">
        <f>B19*C19/1000</f>
        <v>196</v>
      </c>
      <c r="E19" s="1862">
        <f>SUM(объемы!AA49)</f>
        <v>2428.56</v>
      </c>
      <c r="F19" s="1662">
        <v>93</v>
      </c>
      <c r="G19" s="1862">
        <f>E19*F19/1000</f>
        <v>225.85607999999999</v>
      </c>
      <c r="H19" s="1861"/>
      <c r="I19" s="1861"/>
      <c r="J19" s="1861"/>
    </row>
    <row r="20" spans="1:10" ht="15" hidden="1" customHeight="1" x14ac:dyDescent="0.2">
      <c r="A20" s="1745" t="s">
        <v>262</v>
      </c>
      <c r="B20" s="1862">
        <v>1206.27</v>
      </c>
      <c r="C20" s="1662">
        <v>258</v>
      </c>
      <c r="D20" s="1862">
        <f>B20*C20/1000</f>
        <v>311.21765999999997</v>
      </c>
      <c r="E20" s="1862">
        <f>SUM(объемы!AA51+объемы!AA50+объемы!AA52)</f>
        <v>1560.6570000000002</v>
      </c>
      <c r="F20" s="1662">
        <v>341</v>
      </c>
      <c r="G20" s="1862">
        <f>E20*F20/1000</f>
        <v>532.18403699999999</v>
      </c>
      <c r="H20" s="1861"/>
      <c r="I20" s="1861"/>
      <c r="J20" s="1861"/>
    </row>
    <row r="21" spans="1:10" ht="15" hidden="1" customHeight="1" x14ac:dyDescent="0.2">
      <c r="A21" s="1745" t="s">
        <v>403</v>
      </c>
      <c r="B21" s="1862">
        <f>объемы!M41</f>
        <v>557.12</v>
      </c>
      <c r="C21" s="1662">
        <v>258</v>
      </c>
      <c r="D21" s="1862">
        <f>B21*C21/1000</f>
        <v>143.73695999999998</v>
      </c>
      <c r="E21" s="1862">
        <f>SUM(объемы!AA41)</f>
        <v>686.4</v>
      </c>
      <c r="F21" s="1662">
        <v>341</v>
      </c>
      <c r="G21" s="1862">
        <f>E21*F21/1000</f>
        <v>234.0624</v>
      </c>
      <c r="H21" s="1861"/>
      <c r="I21" s="1861"/>
      <c r="J21" s="1861"/>
    </row>
    <row r="22" spans="1:10" ht="15" hidden="1" customHeight="1" x14ac:dyDescent="0.2">
      <c r="A22" s="1745" t="s">
        <v>404</v>
      </c>
      <c r="B22" s="1862">
        <f>объемы!M46</f>
        <v>998</v>
      </c>
      <c r="C22" s="1662"/>
      <c r="D22" s="1862"/>
      <c r="E22" s="1862">
        <f>SUM(объемы!AA46)</f>
        <v>978.7</v>
      </c>
      <c r="F22" s="1662"/>
      <c r="G22" s="1862"/>
      <c r="H22" s="1861"/>
      <c r="I22" s="1861"/>
      <c r="J22" s="1861"/>
    </row>
    <row r="23" spans="1:10" ht="15" hidden="1" customHeight="1" x14ac:dyDescent="0.2">
      <c r="A23" s="1745" t="s">
        <v>405</v>
      </c>
      <c r="B23" s="1662">
        <f>B22*B19/(B19+B20)</f>
        <v>697.50665831309425</v>
      </c>
      <c r="C23" s="1662">
        <f>C19</f>
        <v>70</v>
      </c>
      <c r="D23" s="1862">
        <f>B23*C23/1000</f>
        <v>48.825466081916595</v>
      </c>
      <c r="E23" s="1662">
        <f>E22*E19/(E19+E20)</f>
        <v>595.81408381644826</v>
      </c>
      <c r="F23" s="1662">
        <f>F19</f>
        <v>93</v>
      </c>
      <c r="G23" s="1862">
        <f>E23*F23/1000</f>
        <v>55.410709794929687</v>
      </c>
      <c r="H23" s="1861"/>
      <c r="I23" s="1861"/>
      <c r="J23" s="1861"/>
    </row>
    <row r="24" spans="1:10" ht="15" hidden="1" customHeight="1" x14ac:dyDescent="0.2">
      <c r="A24" s="1745" t="s">
        <v>406</v>
      </c>
      <c r="B24" s="1862">
        <f>B22-B23</f>
        <v>300.49334168690575</v>
      </c>
      <c r="C24" s="1662">
        <v>258</v>
      </c>
      <c r="D24" s="1862">
        <f>B24*C24/1000</f>
        <v>77.527282155221684</v>
      </c>
      <c r="E24" s="1862">
        <f>E22-E23</f>
        <v>382.88591618355179</v>
      </c>
      <c r="F24" s="1662">
        <v>341</v>
      </c>
      <c r="G24" s="1862">
        <f>E24*F24/1000</f>
        <v>130.56409741859116</v>
      </c>
      <c r="H24" s="1861"/>
      <c r="I24" s="1861"/>
      <c r="J24" s="1861"/>
    </row>
    <row r="25" spans="1:10" ht="15" hidden="1" customHeight="1" x14ac:dyDescent="0.2">
      <c r="A25" s="1753" t="s">
        <v>408</v>
      </c>
      <c r="B25" s="1744"/>
      <c r="C25" s="1744"/>
      <c r="D25" s="1863">
        <f>SUM(D19:D24)</f>
        <v>777.30736823713823</v>
      </c>
      <c r="E25" s="1744"/>
      <c r="F25" s="1744"/>
      <c r="G25" s="1863">
        <f>SUM(G19:G24)</f>
        <v>1178.077324213521</v>
      </c>
      <c r="H25" s="1861"/>
      <c r="I25" s="1861"/>
      <c r="J25" s="1861"/>
    </row>
    <row r="26" spans="1:10" ht="15.75" hidden="1" x14ac:dyDescent="0.25">
      <c r="A26" s="3960" t="s">
        <v>367</v>
      </c>
      <c r="B26" s="3961" t="s">
        <v>660</v>
      </c>
      <c r="C26" s="3962"/>
      <c r="D26" s="3963"/>
      <c r="E26" s="3964" t="s">
        <v>882</v>
      </c>
      <c r="F26" s="3964"/>
      <c r="G26" s="3964"/>
      <c r="H26" s="3965" t="s">
        <v>883</v>
      </c>
      <c r="I26" s="3965"/>
      <c r="J26" s="3965"/>
    </row>
    <row r="27" spans="1:10" ht="38.25" hidden="1" x14ac:dyDescent="0.2">
      <c r="A27" s="3960"/>
      <c r="B27" s="2105" t="s">
        <v>407</v>
      </c>
      <c r="C27" s="2105" t="s">
        <v>661</v>
      </c>
      <c r="D27" s="2105" t="s">
        <v>409</v>
      </c>
      <c r="E27" s="2105" t="s">
        <v>407</v>
      </c>
      <c r="F27" s="2105" t="s">
        <v>661</v>
      </c>
      <c r="G27" s="2105" t="s">
        <v>409</v>
      </c>
      <c r="H27" s="1669" t="s">
        <v>407</v>
      </c>
      <c r="I27" s="1669" t="s">
        <v>661</v>
      </c>
      <c r="J27" s="1669" t="s">
        <v>409</v>
      </c>
    </row>
    <row r="28" spans="1:10" hidden="1" x14ac:dyDescent="0.2">
      <c r="A28" s="2106" t="s">
        <v>662</v>
      </c>
      <c r="B28" s="1970">
        <f>объемы!L63</f>
        <v>0</v>
      </c>
      <c r="C28" s="1795"/>
      <c r="D28" s="1795"/>
      <c r="E28" s="1969">
        <f>E29+E30+E31+E32</f>
        <v>5570.6852214411947</v>
      </c>
      <c r="F28" s="1795"/>
      <c r="G28" s="1795"/>
      <c r="H28" s="1864">
        <f>SUM(объемы!AC63)</f>
        <v>0</v>
      </c>
      <c r="I28" s="1745"/>
      <c r="J28" s="1745"/>
    </row>
    <row r="29" spans="1:10" hidden="1" x14ac:dyDescent="0.2">
      <c r="A29" s="2106" t="s">
        <v>24</v>
      </c>
      <c r="B29" s="1970">
        <f>объемы!AA49</f>
        <v>2428.56</v>
      </c>
      <c r="C29" s="1795">
        <v>93</v>
      </c>
      <c r="D29" s="1969">
        <f>B29*C29/1000</f>
        <v>225.85607999999999</v>
      </c>
      <c r="E29" s="1969">
        <f>объемы!AJ49</f>
        <v>2380</v>
      </c>
      <c r="F29" s="1795">
        <f>107</f>
        <v>107</v>
      </c>
      <c r="G29" s="1969">
        <f>E29*F29/1000</f>
        <v>254.66</v>
      </c>
      <c r="H29" s="1864">
        <f>E29</f>
        <v>2380</v>
      </c>
      <c r="I29" s="1745">
        <v>122</v>
      </c>
      <c r="J29" s="1864">
        <f>H29*I29/1000</f>
        <v>290.36</v>
      </c>
    </row>
    <row r="30" spans="1:10" hidden="1" x14ac:dyDescent="0.2">
      <c r="A30" s="2106" t="s">
        <v>262</v>
      </c>
      <c r="B30" s="1970">
        <f>объемы!AA51+объемы!AB50+объемы!AA52</f>
        <v>1582.077</v>
      </c>
      <c r="C30" s="1795">
        <v>341</v>
      </c>
      <c r="D30" s="1969">
        <f>B30*C30/1000</f>
        <v>539.48825699999998</v>
      </c>
      <c r="E30" s="1969">
        <f>объемы!AJ51+объемы!AK38+объемы!AJ52</f>
        <v>1411.3490000000002</v>
      </c>
      <c r="F30" s="1795">
        <v>392</v>
      </c>
      <c r="G30" s="1969">
        <f>E30*F30/1000</f>
        <v>553.24880800000005</v>
      </c>
      <c r="H30" s="1864">
        <f t="shared" ref="H30:H34" si="1">E30</f>
        <v>1411.3490000000002</v>
      </c>
      <c r="I30" s="1745">
        <v>452</v>
      </c>
      <c r="J30" s="1864">
        <f>H30*I30/1000</f>
        <v>637.92974800000002</v>
      </c>
    </row>
    <row r="31" spans="1:10" hidden="1" x14ac:dyDescent="0.2">
      <c r="A31" s="2106" t="s">
        <v>403</v>
      </c>
      <c r="B31" s="1970">
        <f>объемы!AA41</f>
        <v>686.4</v>
      </c>
      <c r="C31" s="1795">
        <v>341</v>
      </c>
      <c r="D31" s="1969">
        <f>B31*C31/1000</f>
        <v>234.0624</v>
      </c>
      <c r="E31" s="1969">
        <f>объемы!AJ41</f>
        <v>854.19674447979992</v>
      </c>
      <c r="F31" s="1795">
        <f>F30</f>
        <v>392</v>
      </c>
      <c r="G31" s="1969">
        <f>E31*F31/1000</f>
        <v>334.8451238360816</v>
      </c>
      <c r="H31" s="1864">
        <f t="shared" si="1"/>
        <v>854.19674447979992</v>
      </c>
      <c r="I31" s="1745">
        <f>I30</f>
        <v>452</v>
      </c>
      <c r="J31" s="1864">
        <f>H31*I31/1000</f>
        <v>386.0969285048696</v>
      </c>
    </row>
    <row r="32" spans="1:10" hidden="1" x14ac:dyDescent="0.2">
      <c r="A32" s="2106" t="s">
        <v>404</v>
      </c>
      <c r="B32" s="1970">
        <f>объемы!AA46</f>
        <v>978.7</v>
      </c>
      <c r="C32" s="1795"/>
      <c r="D32" s="1969"/>
      <c r="E32" s="1969">
        <f>объемы!AJ46+объемы!AK46</f>
        <v>925.13947696139473</v>
      </c>
      <c r="F32" s="1795"/>
      <c r="G32" s="1969"/>
      <c r="H32" s="1864">
        <f t="shared" si="1"/>
        <v>925.13947696139473</v>
      </c>
      <c r="I32" s="1745"/>
      <c r="J32" s="1864"/>
    </row>
    <row r="33" spans="1:10" hidden="1" x14ac:dyDescent="0.2">
      <c r="A33" s="2106" t="s">
        <v>405</v>
      </c>
      <c r="B33" s="1970">
        <f>B32*B29/(B29+B30)</f>
        <v>592.63196145649692</v>
      </c>
      <c r="C33" s="1795">
        <f>C29</f>
        <v>93</v>
      </c>
      <c r="D33" s="1969">
        <f>B33*C33/1000</f>
        <v>55.114772415454219</v>
      </c>
      <c r="E33" s="1969">
        <f t="shared" ref="E33:E34" si="2">B33</f>
        <v>592.63196145649692</v>
      </c>
      <c r="F33" s="1795">
        <f>F29</f>
        <v>107</v>
      </c>
      <c r="G33" s="1969">
        <f>E33*F33/1000</f>
        <v>63.411619875845169</v>
      </c>
      <c r="H33" s="1864">
        <f t="shared" si="1"/>
        <v>592.63196145649692</v>
      </c>
      <c r="I33" s="1745">
        <f>I29</f>
        <v>122</v>
      </c>
      <c r="J33" s="1864">
        <f>H33*I33/1000</f>
        <v>72.301099297692616</v>
      </c>
    </row>
    <row r="34" spans="1:10" hidden="1" x14ac:dyDescent="0.2">
      <c r="A34" s="2106" t="s">
        <v>406</v>
      </c>
      <c r="B34" s="1970">
        <f>B32-B33</f>
        <v>386.06803854350312</v>
      </c>
      <c r="C34" s="1795">
        <v>341</v>
      </c>
      <c r="D34" s="1969">
        <f>B34*C34/1000</f>
        <v>131.64920114333455</v>
      </c>
      <c r="E34" s="1969">
        <f t="shared" si="2"/>
        <v>386.06803854350312</v>
      </c>
      <c r="F34" s="1795">
        <f>F31</f>
        <v>392</v>
      </c>
      <c r="G34" s="1969">
        <f>E34*F34/1000</f>
        <v>151.33867110905322</v>
      </c>
      <c r="H34" s="1864">
        <f t="shared" si="1"/>
        <v>386.06803854350312</v>
      </c>
      <c r="I34" s="1745">
        <f>I31</f>
        <v>452</v>
      </c>
      <c r="J34" s="1864">
        <f>H34*I34/1000</f>
        <v>174.50275342166341</v>
      </c>
    </row>
    <row r="35" spans="1:10" hidden="1" x14ac:dyDescent="0.2">
      <c r="A35" s="1867" t="s">
        <v>861</v>
      </c>
      <c r="B35" s="1971"/>
      <c r="C35" s="1867"/>
      <c r="D35" s="1870">
        <f>SUM(D29:D34)</f>
        <v>1186.1707105587886</v>
      </c>
      <c r="E35" s="1867"/>
      <c r="F35" s="1867"/>
      <c r="G35" s="1870">
        <f>SUM(G29:G34)</f>
        <v>1357.50422282098</v>
      </c>
      <c r="H35" s="1753"/>
      <c r="I35" s="1753"/>
      <c r="J35" s="1754">
        <f>SUM(J29:J34)</f>
        <v>1561.1905292242257</v>
      </c>
    </row>
    <row r="36" spans="1:10" hidden="1" x14ac:dyDescent="0.2">
      <c r="A36" s="1972" t="s">
        <v>1552</v>
      </c>
      <c r="B36" s="1975"/>
      <c r="C36" s="1975"/>
      <c r="D36" s="1975"/>
      <c r="E36" s="1975"/>
      <c r="F36" s="1975"/>
      <c r="G36" s="1976"/>
      <c r="J36" s="1859">
        <f>J35/G35</f>
        <v>1.1500446945056073</v>
      </c>
    </row>
    <row r="37" spans="1:10" hidden="1" x14ac:dyDescent="0.2">
      <c r="A37" s="1972" t="s">
        <v>1553</v>
      </c>
      <c r="B37" s="1975"/>
      <c r="C37" s="1975"/>
      <c r="D37" s="1975"/>
      <c r="E37" s="1975">
        <f>объемы!AK38</f>
        <v>20.349</v>
      </c>
      <c r="F37" s="1975">
        <f>F34</f>
        <v>392</v>
      </c>
      <c r="G37" s="1980">
        <f>E37*F37/1000</f>
        <v>7.9768080000000001</v>
      </c>
    </row>
    <row r="38" spans="1:10" hidden="1" x14ac:dyDescent="0.2">
      <c r="A38" s="1972" t="s">
        <v>1554</v>
      </c>
      <c r="B38" s="1975"/>
      <c r="C38" s="1975"/>
      <c r="D38" s="1975"/>
      <c r="E38" s="1977"/>
      <c r="F38" s="1975"/>
      <c r="G38" s="1980">
        <f>G35-G37</f>
        <v>1349.5274148209801</v>
      </c>
    </row>
    <row r="39" spans="1:10" hidden="1" x14ac:dyDescent="0.2">
      <c r="G39" s="1860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3971" t="s">
        <v>1600</v>
      </c>
      <c r="B1" s="3970" t="s">
        <v>235</v>
      </c>
      <c r="C1" s="3970"/>
      <c r="D1" s="3970"/>
      <c r="E1" s="3970"/>
      <c r="F1" s="3970"/>
      <c r="G1" s="3970"/>
      <c r="H1" s="3970" t="s">
        <v>373</v>
      </c>
      <c r="I1" s="3970"/>
      <c r="J1" s="3970"/>
      <c r="K1" s="3970"/>
      <c r="L1" s="3970"/>
      <c r="M1" s="3970"/>
    </row>
    <row r="2" spans="1:13" s="2039" customFormat="1" ht="38.25" x14ac:dyDescent="0.2">
      <c r="A2" s="3971"/>
      <c r="B2" s="1865" t="s">
        <v>1603</v>
      </c>
      <c r="C2" s="1865" t="s">
        <v>1602</v>
      </c>
      <c r="D2" s="1865" t="s">
        <v>61</v>
      </c>
      <c r="E2" s="1865" t="s">
        <v>1606</v>
      </c>
      <c r="F2" s="1865" t="s">
        <v>1605</v>
      </c>
      <c r="G2" s="1865" t="s">
        <v>1604</v>
      </c>
      <c r="H2" s="1865" t="s">
        <v>1603</v>
      </c>
      <c r="I2" s="1865" t="s">
        <v>1602</v>
      </c>
      <c r="J2" s="1865" t="s">
        <v>61</v>
      </c>
      <c r="K2" s="1865" t="s">
        <v>1606</v>
      </c>
      <c r="L2" s="1865" t="s">
        <v>1605</v>
      </c>
      <c r="M2" s="1865" t="s">
        <v>1604</v>
      </c>
    </row>
    <row r="3" spans="1:13" x14ac:dyDescent="0.2">
      <c r="A3" s="1972" t="s">
        <v>1601</v>
      </c>
      <c r="B3" s="1975">
        <f>4000-25</f>
        <v>3975</v>
      </c>
      <c r="C3" s="1975">
        <f>4052.2-46</f>
        <v>4006.2</v>
      </c>
      <c r="D3" s="2040">
        <f>объемы!K48-49.8</f>
        <v>3989.2</v>
      </c>
      <c r="E3" s="2040">
        <f>C3-B3</f>
        <v>31.199999999999818</v>
      </c>
      <c r="F3" s="2040">
        <f>D3-B3</f>
        <v>14.199999999999818</v>
      </c>
      <c r="G3" s="2040">
        <f>D3-C3</f>
        <v>-17</v>
      </c>
      <c r="H3" s="1978">
        <v>3992</v>
      </c>
      <c r="I3" s="1978">
        <f>4052.4-I4</f>
        <v>4006.27</v>
      </c>
      <c r="J3" s="1978">
        <v>3762.2</v>
      </c>
      <c r="K3" s="1978">
        <f>H3-I3</f>
        <v>-14.269999999999982</v>
      </c>
      <c r="L3" s="1978">
        <f>J3-H3</f>
        <v>-229.80000000000018</v>
      </c>
      <c r="M3" s="1978">
        <f>J3-I3</f>
        <v>-244.07000000000016</v>
      </c>
    </row>
    <row r="4" spans="1:13" x14ac:dyDescent="0.2">
      <c r="A4" s="1972" t="s">
        <v>25</v>
      </c>
      <c r="B4" s="1975">
        <v>25</v>
      </c>
      <c r="C4" s="1975">
        <v>46</v>
      </c>
      <c r="D4" s="1975">
        <f>объемы!K50</f>
        <v>49.8</v>
      </c>
      <c r="E4" s="2040">
        <f t="shared" ref="E4:E6" si="0">C4-B4</f>
        <v>21</v>
      </c>
      <c r="F4" s="2040">
        <f t="shared" ref="F4:F6" si="1">D4-B4</f>
        <v>24.799999999999997</v>
      </c>
      <c r="G4" s="2040">
        <f t="shared" ref="G4:G6" si="2">D4-C4</f>
        <v>3.7999999999999972</v>
      </c>
      <c r="H4" s="1978">
        <v>46.13</v>
      </c>
      <c r="I4" s="1975">
        <v>46.13</v>
      </c>
      <c r="J4" s="1975">
        <v>18.22</v>
      </c>
      <c r="K4" s="1978">
        <f t="shared" ref="K4:K6" si="3">H4-I4</f>
        <v>0</v>
      </c>
      <c r="L4" s="1978">
        <f t="shared" ref="L4:L6" si="4">J4-H4</f>
        <v>-27.910000000000004</v>
      </c>
      <c r="M4" s="1978">
        <f t="shared" ref="M4:M6" si="5">J4-I4</f>
        <v>-27.910000000000004</v>
      </c>
    </row>
    <row r="5" spans="1:13" x14ac:dyDescent="0.2">
      <c r="A5" s="1972" t="s">
        <v>47</v>
      </c>
      <c r="B5" s="1975">
        <f>3600-28</f>
        <v>3572</v>
      </c>
      <c r="C5" s="1975">
        <f>3672.7-28</f>
        <v>3644.7</v>
      </c>
      <c r="D5" s="2040">
        <f>объемы!K58-30.2</f>
        <v>3446</v>
      </c>
      <c r="E5" s="2040">
        <f t="shared" si="0"/>
        <v>72.699999999999818</v>
      </c>
      <c r="F5" s="2040">
        <f t="shared" si="1"/>
        <v>-126</v>
      </c>
      <c r="G5" s="2040">
        <f t="shared" si="2"/>
        <v>-198.69999999999982</v>
      </c>
      <c r="H5" s="1978">
        <f>3672-28</f>
        <v>3644</v>
      </c>
      <c r="I5" s="1978">
        <v>3644.7</v>
      </c>
      <c r="J5" s="1975">
        <v>3186.57</v>
      </c>
      <c r="K5" s="1978">
        <f t="shared" si="3"/>
        <v>-0.6999999999998181</v>
      </c>
      <c r="L5" s="1978">
        <f t="shared" si="4"/>
        <v>-457.42999999999984</v>
      </c>
      <c r="M5" s="1978">
        <f t="shared" si="5"/>
        <v>-458.12999999999965</v>
      </c>
    </row>
    <row r="6" spans="1:13" x14ac:dyDescent="0.2">
      <c r="A6" s="1972" t="s">
        <v>1567</v>
      </c>
      <c r="B6" s="1975">
        <v>28</v>
      </c>
      <c r="C6" s="1975">
        <v>28</v>
      </c>
      <c r="D6" s="1975">
        <v>30.2</v>
      </c>
      <c r="E6" s="2040">
        <f t="shared" si="0"/>
        <v>0</v>
      </c>
      <c r="F6" s="2040">
        <f t="shared" si="1"/>
        <v>2.1999999999999993</v>
      </c>
      <c r="G6" s="2040">
        <f t="shared" si="2"/>
        <v>2.1999999999999993</v>
      </c>
      <c r="H6" s="1975">
        <v>28</v>
      </c>
      <c r="I6" s="1975">
        <v>28</v>
      </c>
      <c r="J6" s="1975">
        <v>23.38</v>
      </c>
      <c r="K6" s="1978">
        <f t="shared" si="3"/>
        <v>0</v>
      </c>
      <c r="L6" s="1978">
        <f t="shared" si="4"/>
        <v>-4.620000000000001</v>
      </c>
      <c r="M6" s="1978">
        <f t="shared" si="5"/>
        <v>-4.620000000000001</v>
      </c>
    </row>
    <row r="7" spans="1:13" x14ac:dyDescent="0.2">
      <c r="A7" s="1972" t="s">
        <v>1607</v>
      </c>
      <c r="B7" s="1972"/>
      <c r="C7" s="1972"/>
      <c r="D7" s="1972"/>
      <c r="E7" s="1972"/>
      <c r="F7" s="1972"/>
      <c r="G7" s="1972"/>
      <c r="H7" s="1972"/>
      <c r="I7" s="1972"/>
      <c r="J7" s="1972"/>
      <c r="K7" s="1972"/>
      <c r="L7" s="1972"/>
      <c r="M7" s="1972"/>
    </row>
    <row r="8" spans="1:13" x14ac:dyDescent="0.2">
      <c r="A8" s="1972" t="s">
        <v>1601</v>
      </c>
      <c r="B8" s="1975"/>
      <c r="C8" s="1975">
        <v>30.76</v>
      </c>
      <c r="D8" s="2040"/>
      <c r="E8" s="2040"/>
      <c r="F8" s="2040"/>
      <c r="G8" s="2040">
        <f>C8*G3</f>
        <v>-522.92000000000007</v>
      </c>
      <c r="H8" s="1978"/>
      <c r="I8" s="1978">
        <v>30.76</v>
      </c>
      <c r="J8" s="1978"/>
      <c r="K8" s="1978">
        <f>I8*K3</f>
        <v>-438.94519999999949</v>
      </c>
      <c r="L8" s="1978">
        <f>I8*L3</f>
        <v>-7068.6480000000056</v>
      </c>
      <c r="M8" s="1978">
        <f>I8*M3</f>
        <v>-7507.5932000000057</v>
      </c>
    </row>
    <row r="9" spans="1:13" x14ac:dyDescent="0.2">
      <c r="A9" s="1972" t="s">
        <v>25</v>
      </c>
      <c r="B9" s="1975"/>
      <c r="C9" s="1975">
        <v>19.260000000000002</v>
      </c>
      <c r="D9" s="1975"/>
      <c r="E9" s="2040"/>
      <c r="F9" s="2040"/>
      <c r="G9" s="2040"/>
      <c r="H9" s="1978"/>
      <c r="I9" s="1975">
        <v>18.84</v>
      </c>
      <c r="J9" s="1975"/>
      <c r="K9" s="1978">
        <f t="shared" ref="K9:K11" si="6">I9*K4</f>
        <v>0</v>
      </c>
      <c r="L9" s="1978">
        <f t="shared" ref="L9:L11" si="7">I9*L4</f>
        <v>-525.82440000000008</v>
      </c>
      <c r="M9" s="1978">
        <f t="shared" ref="M9:M11" si="8">I9*M4</f>
        <v>-525.82440000000008</v>
      </c>
    </row>
    <row r="10" spans="1:13" x14ac:dyDescent="0.2">
      <c r="A10" s="1972" t="s">
        <v>47</v>
      </c>
      <c r="B10" s="1975"/>
      <c r="C10" s="1975">
        <v>21.08</v>
      </c>
      <c r="D10" s="2040"/>
      <c r="E10" s="2040"/>
      <c r="F10" s="2040"/>
      <c r="G10" s="2040">
        <f>C10*G5</f>
        <v>-4188.5959999999959</v>
      </c>
      <c r="H10" s="1978"/>
      <c r="I10" s="1978">
        <v>24.29</v>
      </c>
      <c r="J10" s="1975"/>
      <c r="K10" s="1978">
        <f t="shared" si="6"/>
        <v>-17.002999999995581</v>
      </c>
      <c r="L10" s="1978">
        <f t="shared" si="7"/>
        <v>-11110.974699999995</v>
      </c>
      <c r="M10" s="1978">
        <f t="shared" si="8"/>
        <v>-11127.97769999999</v>
      </c>
    </row>
    <row r="11" spans="1:13" x14ac:dyDescent="0.2">
      <c r="A11" s="1972" t="s">
        <v>1567</v>
      </c>
      <c r="B11" s="1975"/>
      <c r="C11" s="1975">
        <v>11.76</v>
      </c>
      <c r="D11" s="1975"/>
      <c r="E11" s="2040"/>
      <c r="F11" s="2040"/>
      <c r="G11" s="2040"/>
      <c r="H11" s="1975"/>
      <c r="I11" s="1975">
        <v>12.91</v>
      </c>
      <c r="J11" s="1975"/>
      <c r="K11" s="1978">
        <f t="shared" si="6"/>
        <v>0</v>
      </c>
      <c r="L11" s="1978">
        <f t="shared" si="7"/>
        <v>-59.644200000000012</v>
      </c>
      <c r="M11" s="1978">
        <f t="shared" si="8"/>
        <v>-59.644200000000012</v>
      </c>
    </row>
    <row r="12" spans="1:13" x14ac:dyDescent="0.2">
      <c r="A12" s="1972" t="s">
        <v>277</v>
      </c>
      <c r="B12" s="1972"/>
      <c r="C12" s="1972"/>
      <c r="D12" s="1972"/>
      <c r="E12" s="1972"/>
      <c r="F12" s="1972"/>
      <c r="G12" s="1972"/>
      <c r="H12" s="1972"/>
      <c r="I12" s="1972"/>
      <c r="J12" s="1972"/>
      <c r="K12" s="1972"/>
      <c r="L12" s="1972"/>
      <c r="M12" s="1972"/>
    </row>
    <row r="13" spans="1:13" x14ac:dyDescent="0.2">
      <c r="A13" s="1972" t="s">
        <v>1601</v>
      </c>
      <c r="B13" s="1975"/>
      <c r="C13" s="1975">
        <v>30.76</v>
      </c>
      <c r="D13" s="2040"/>
      <c r="E13" s="2040"/>
      <c r="F13" s="2040"/>
      <c r="G13" s="2040">
        <f>C13*G8</f>
        <v>-16085.019200000002</v>
      </c>
      <c r="H13" s="1978"/>
      <c r="I13" s="1978"/>
      <c r="J13" s="1978"/>
      <c r="K13" s="1978">
        <f>K8</f>
        <v>-438.94519999999949</v>
      </c>
      <c r="L13" s="1978">
        <f t="shared" ref="L13:M13" si="9">L8</f>
        <v>-7068.6480000000056</v>
      </c>
      <c r="M13" s="1978">
        <f t="shared" si="9"/>
        <v>-7507.5932000000057</v>
      </c>
    </row>
    <row r="14" spans="1:13" x14ac:dyDescent="0.2">
      <c r="A14" s="1972" t="s">
        <v>25</v>
      </c>
      <c r="B14" s="1975"/>
      <c r="C14" s="1975">
        <v>19.260000000000002</v>
      </c>
      <c r="D14" s="1975"/>
      <c r="E14" s="2040"/>
      <c r="F14" s="2040"/>
      <c r="G14" s="2040"/>
      <c r="H14" s="1978"/>
      <c r="I14" s="1975"/>
      <c r="J14" s="1975"/>
      <c r="K14" s="1978">
        <f t="shared" ref="K14:M14" si="10">K9</f>
        <v>0</v>
      </c>
      <c r="L14" s="1978">
        <f t="shared" si="10"/>
        <v>-525.82440000000008</v>
      </c>
      <c r="M14" s="1978">
        <f t="shared" si="10"/>
        <v>-525.82440000000008</v>
      </c>
    </row>
    <row r="15" spans="1:13" x14ac:dyDescent="0.2">
      <c r="A15" s="1972" t="s">
        <v>47</v>
      </c>
      <c r="B15" s="1975"/>
      <c r="C15" s="1975">
        <v>21.08</v>
      </c>
      <c r="D15" s="2040"/>
      <c r="E15" s="2040"/>
      <c r="F15" s="2040"/>
      <c r="G15" s="2040">
        <f>C15*G10</f>
        <v>-88295.603679999913</v>
      </c>
      <c r="H15" s="1978"/>
      <c r="I15" s="1978"/>
      <c r="J15" s="1975"/>
      <c r="K15" s="1978">
        <f t="shared" ref="K15:M15" si="11">K10</f>
        <v>-17.002999999995581</v>
      </c>
      <c r="L15" s="1978">
        <f t="shared" si="11"/>
        <v>-11110.974699999995</v>
      </c>
      <c r="M15" s="1978">
        <f t="shared" si="11"/>
        <v>-11127.97769999999</v>
      </c>
    </row>
    <row r="16" spans="1:13" x14ac:dyDescent="0.2">
      <c r="A16" s="1972" t="s">
        <v>1567</v>
      </c>
      <c r="B16" s="1975"/>
      <c r="C16" s="1975">
        <v>11.76</v>
      </c>
      <c r="D16" s="1975"/>
      <c r="E16" s="2040"/>
      <c r="F16" s="2040"/>
      <c r="G16" s="2040"/>
      <c r="H16" s="1975"/>
      <c r="I16" s="1975"/>
      <c r="J16" s="1975"/>
      <c r="K16" s="1978">
        <f t="shared" ref="K16:M16" si="12">K11</f>
        <v>0</v>
      </c>
      <c r="L16" s="1978">
        <f t="shared" si="12"/>
        <v>-59.644200000000012</v>
      </c>
      <c r="M16" s="1978">
        <f t="shared" si="12"/>
        <v>-59.644200000000012</v>
      </c>
    </row>
    <row r="17" spans="1:14" x14ac:dyDescent="0.2">
      <c r="A17" s="1972" t="s">
        <v>355</v>
      </c>
      <c r="B17" s="1861"/>
      <c r="C17" s="1861"/>
      <c r="D17" s="1861"/>
      <c r="E17" s="1861"/>
      <c r="F17" s="1861"/>
      <c r="G17" s="1861"/>
      <c r="H17" s="1972"/>
      <c r="I17" s="1972"/>
      <c r="J17" s="1972"/>
      <c r="K17" s="1974">
        <f>K13+K14</f>
        <v>-438.94519999999949</v>
      </c>
      <c r="L17" s="1974">
        <f t="shared" ref="L17:M17" si="13">L13+L14</f>
        <v>-7594.472400000006</v>
      </c>
      <c r="M17" s="1974">
        <f t="shared" si="13"/>
        <v>-8033.4176000000061</v>
      </c>
      <c r="N17" s="1841"/>
    </row>
    <row r="18" spans="1:14" x14ac:dyDescent="0.2">
      <c r="A18" s="1972" t="s">
        <v>345</v>
      </c>
      <c r="B18" s="1861"/>
      <c r="C18" s="1861"/>
      <c r="D18" s="1861"/>
      <c r="E18" s="1861"/>
      <c r="F18" s="1861"/>
      <c r="G18" s="1861"/>
      <c r="H18" s="1972"/>
      <c r="I18" s="1972"/>
      <c r="J18" s="1972"/>
      <c r="K18" s="1974">
        <f>K15+K16</f>
        <v>-17.002999999995581</v>
      </c>
      <c r="L18" s="1974">
        <f t="shared" ref="L18:M18" si="14">L15+L16</f>
        <v>-11170.618899999996</v>
      </c>
      <c r="M18" s="1974">
        <f t="shared" si="14"/>
        <v>-11187.621899999991</v>
      </c>
      <c r="N18" s="1841"/>
    </row>
    <row r="20" spans="1:14" x14ac:dyDescent="0.2">
      <c r="A20" s="3960" t="s">
        <v>1608</v>
      </c>
      <c r="B20" s="1972"/>
      <c r="C20" s="1972"/>
      <c r="D20" s="1972"/>
      <c r="E20" s="1972"/>
      <c r="F20" s="1972"/>
      <c r="G20" s="1972"/>
      <c r="H20" s="3970" t="s">
        <v>373</v>
      </c>
      <c r="I20" s="3970"/>
      <c r="J20" s="3970"/>
      <c r="K20" s="3970"/>
      <c r="L20" s="3970"/>
      <c r="M20" s="3970"/>
    </row>
    <row r="21" spans="1:14" ht="38.25" x14ac:dyDescent="0.2">
      <c r="A21" s="3960"/>
      <c r="B21" s="1972"/>
      <c r="C21" s="1972"/>
      <c r="D21" s="1972"/>
      <c r="E21" s="1972"/>
      <c r="F21" s="1972"/>
      <c r="G21" s="1972"/>
      <c r="H21" s="1865" t="s">
        <v>1603</v>
      </c>
      <c r="I21" s="1865" t="s">
        <v>1602</v>
      </c>
      <c r="J21" s="1865" t="s">
        <v>61</v>
      </c>
      <c r="K21" s="1865" t="s">
        <v>1606</v>
      </c>
      <c r="L21" s="1865" t="s">
        <v>1605</v>
      </c>
      <c r="M21" s="1865" t="s">
        <v>1604</v>
      </c>
    </row>
    <row r="22" spans="1:14" x14ac:dyDescent="0.2">
      <c r="A22" s="1865" t="s">
        <v>355</v>
      </c>
      <c r="B22" s="1972"/>
      <c r="C22" s="1972"/>
      <c r="D22" s="1972"/>
      <c r="E22" s="1972"/>
      <c r="F22" s="1972"/>
      <c r="G22" s="1972"/>
      <c r="H22" s="1865"/>
      <c r="I22" s="1865"/>
      <c r="J22" s="1865"/>
      <c r="K22" s="1865"/>
      <c r="L22" s="1865"/>
      <c r="M22" s="1865"/>
    </row>
    <row r="23" spans="1:14" x14ac:dyDescent="0.2">
      <c r="A23" s="1972" t="s">
        <v>2</v>
      </c>
      <c r="B23" s="1972"/>
      <c r="C23" s="1972"/>
      <c r="D23" s="1972"/>
      <c r="E23" s="1972"/>
      <c r="F23" s="1972"/>
      <c r="G23" s="1972"/>
      <c r="H23" s="1975"/>
      <c r="I23" s="1975"/>
      <c r="J23" s="1975"/>
      <c r="K23" s="1975"/>
      <c r="L23" s="1975"/>
      <c r="M23" s="1975"/>
    </row>
    <row r="24" spans="1:14" x14ac:dyDescent="0.2">
      <c r="A24" s="1972" t="s">
        <v>1609</v>
      </c>
      <c r="B24" s="1972"/>
      <c r="C24" s="1972"/>
      <c r="D24" s="1972"/>
      <c r="E24" s="1972"/>
      <c r="F24" s="1972"/>
      <c r="G24" s="1972"/>
      <c r="H24" s="1975"/>
      <c r="I24" s="1975"/>
      <c r="J24" s="1975"/>
      <c r="K24" s="1975"/>
      <c r="L24" s="1975"/>
      <c r="M24" s="1975"/>
    </row>
    <row r="25" spans="1:14" x14ac:dyDescent="0.2">
      <c r="A25" s="1972" t="s">
        <v>8</v>
      </c>
      <c r="B25" s="1972"/>
      <c r="C25" s="1972"/>
      <c r="D25" s="1972"/>
      <c r="E25" s="1972"/>
      <c r="F25" s="1972"/>
      <c r="G25" s="1972"/>
      <c r="H25" s="1975"/>
      <c r="I25" s="1975"/>
      <c r="J25" s="1975"/>
      <c r="K25" s="1975"/>
      <c r="L25" s="1975"/>
      <c r="M25" s="1975"/>
    </row>
    <row r="26" spans="1:14" x14ac:dyDescent="0.2">
      <c r="A26" s="1972" t="s">
        <v>1</v>
      </c>
      <c r="B26" s="1972"/>
      <c r="C26" s="1972"/>
      <c r="D26" s="1972"/>
      <c r="E26" s="1972"/>
      <c r="F26" s="1972"/>
      <c r="G26" s="1972"/>
      <c r="H26" s="1975"/>
      <c r="I26" s="1975"/>
      <c r="J26" s="1975"/>
      <c r="K26" s="1975"/>
      <c r="L26" s="1975"/>
      <c r="M26" s="1975"/>
    </row>
    <row r="27" spans="1:14" x14ac:dyDescent="0.2">
      <c r="A27" s="1972"/>
      <c r="B27" s="1972"/>
      <c r="C27" s="1972"/>
      <c r="D27" s="1972"/>
      <c r="E27" s="1972"/>
      <c r="F27" s="1972"/>
      <c r="G27" s="1972"/>
      <c r="H27" s="1975"/>
      <c r="I27" s="1975"/>
      <c r="J27" s="1975"/>
      <c r="K27" s="1975"/>
      <c r="L27" s="1975"/>
      <c r="M27" s="1975"/>
    </row>
    <row r="28" spans="1:14" x14ac:dyDescent="0.2">
      <c r="A28" s="1972"/>
      <c r="B28" s="1972"/>
      <c r="C28" s="1972"/>
      <c r="D28" s="1972"/>
      <c r="E28" s="1972"/>
      <c r="F28" s="1972"/>
      <c r="G28" s="1972"/>
      <c r="H28" s="1975"/>
      <c r="I28" s="1975"/>
      <c r="J28" s="1975"/>
      <c r="K28" s="1975"/>
      <c r="L28" s="1975"/>
      <c r="M28" s="1975"/>
    </row>
    <row r="29" spans="1:14" x14ac:dyDescent="0.2">
      <c r="A29" s="1972"/>
      <c r="B29" s="1972"/>
      <c r="C29" s="1972"/>
      <c r="D29" s="1972"/>
      <c r="E29" s="1972"/>
      <c r="F29" s="1972"/>
      <c r="G29" s="1972"/>
      <c r="H29" s="1975"/>
      <c r="I29" s="1975"/>
      <c r="J29" s="1975"/>
      <c r="K29" s="1975"/>
      <c r="L29" s="1975"/>
      <c r="M29" s="1975"/>
    </row>
    <row r="30" spans="1:14" x14ac:dyDescent="0.2">
      <c r="A30" s="1972"/>
      <c r="B30" s="1972"/>
      <c r="C30" s="1972"/>
      <c r="D30" s="1972"/>
      <c r="E30" s="1972"/>
      <c r="F30" s="1972"/>
      <c r="G30" s="1972"/>
      <c r="H30" s="1975"/>
      <c r="I30" s="1975"/>
      <c r="J30" s="1975"/>
      <c r="K30" s="1975"/>
      <c r="L30" s="1975"/>
      <c r="M30" s="1975"/>
    </row>
    <row r="31" spans="1:14" x14ac:dyDescent="0.2">
      <c r="A31" s="1972"/>
      <c r="B31" s="1972"/>
      <c r="C31" s="1972"/>
      <c r="D31" s="1972"/>
      <c r="E31" s="1972"/>
      <c r="F31" s="1972"/>
      <c r="G31" s="1972"/>
      <c r="H31" s="1975"/>
      <c r="I31" s="1975"/>
      <c r="J31" s="1975"/>
      <c r="K31" s="1975"/>
      <c r="L31" s="1975"/>
      <c r="M31" s="1975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4"/>
  <sheetViews>
    <sheetView topLeftCell="A13" workbookViewId="0">
      <selection activeCell="L14" sqref="L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3972" t="s">
        <v>1831</v>
      </c>
      <c r="B3" s="3972"/>
      <c r="C3" s="3972"/>
      <c r="D3" s="3972"/>
      <c r="E3" s="3972"/>
      <c r="F3" s="3972"/>
      <c r="G3" s="3972"/>
      <c r="H3" s="3972"/>
    </row>
    <row r="4" spans="1:8" ht="15.75" thickBot="1" x14ac:dyDescent="0.3">
      <c r="A4" s="3948" t="s">
        <v>1814</v>
      </c>
      <c r="B4" s="3948"/>
      <c r="C4" s="3948"/>
      <c r="D4" s="3948"/>
      <c r="E4" s="3948"/>
      <c r="F4" s="3948"/>
      <c r="G4" s="3948"/>
      <c r="H4" s="3948"/>
    </row>
    <row r="5" spans="1:8" x14ac:dyDescent="0.2">
      <c r="A5" s="3942" t="s">
        <v>1736</v>
      </c>
      <c r="B5" s="3949" t="s">
        <v>1737</v>
      </c>
      <c r="C5" s="3951" t="s">
        <v>1738</v>
      </c>
      <c r="D5" s="3949" t="s">
        <v>1739</v>
      </c>
      <c r="E5" s="3953"/>
      <c r="F5" s="3954" t="s">
        <v>1740</v>
      </c>
      <c r="G5" s="3949" t="s">
        <v>1741</v>
      </c>
      <c r="H5" s="3956" t="s">
        <v>1726</v>
      </c>
    </row>
    <row r="6" spans="1:8" ht="13.5" thickBot="1" x14ac:dyDescent="0.25">
      <c r="A6" s="3943"/>
      <c r="B6" s="3950"/>
      <c r="C6" s="3952"/>
      <c r="D6" s="2425" t="s">
        <v>1580</v>
      </c>
      <c r="E6" s="2220" t="s">
        <v>61</v>
      </c>
      <c r="F6" s="3955"/>
      <c r="G6" s="3950"/>
      <c r="H6" s="3957"/>
    </row>
    <row r="7" spans="1:8" ht="88.5" customHeight="1" x14ac:dyDescent="0.2">
      <c r="A7" s="3942" t="s">
        <v>1742</v>
      </c>
      <c r="B7" s="2221" t="s">
        <v>1743</v>
      </c>
      <c r="C7" s="2424" t="s">
        <v>44</v>
      </c>
      <c r="D7" s="2223">
        <v>8</v>
      </c>
      <c r="E7" s="2482">
        <v>8</v>
      </c>
      <c r="F7" s="2225">
        <f>1/D18</f>
        <v>0.33333333333333331</v>
      </c>
      <c r="G7" s="2226">
        <f>IF(D7/E7&gt;1,1,D7/E7)</f>
        <v>1</v>
      </c>
      <c r="H7" s="2227">
        <f t="shared" ref="H7:H12" si="0">F7*G7</f>
        <v>0.33333333333333331</v>
      </c>
    </row>
    <row r="8" spans="1:8" ht="54.75" customHeight="1" thickBot="1" x14ac:dyDescent="0.25">
      <c r="A8" s="3943"/>
      <c r="B8" s="2261" t="s">
        <v>1744</v>
      </c>
      <c r="C8" s="2425" t="s">
        <v>44</v>
      </c>
      <c r="D8" s="2229">
        <v>40.5</v>
      </c>
      <c r="E8" s="2230">
        <v>40.5</v>
      </c>
      <c r="F8" s="2231">
        <f>F7</f>
        <v>0.33333333333333331</v>
      </c>
      <c r="G8" s="2226">
        <f>IF(D8/E8&gt;1,1,D8/E8)</f>
        <v>1</v>
      </c>
      <c r="H8" s="2227">
        <f t="shared" si="0"/>
        <v>0.33333333333333331</v>
      </c>
    </row>
    <row r="9" spans="1:8" ht="68.25" customHeight="1" x14ac:dyDescent="0.2">
      <c r="A9" s="3942" t="s">
        <v>1745</v>
      </c>
      <c r="B9" s="2234" t="s">
        <v>1746</v>
      </c>
      <c r="C9" s="2424" t="s">
        <v>1747</v>
      </c>
      <c r="D9" s="2223">
        <v>0.37</v>
      </c>
      <c r="E9" s="2764">
        <v>0.48</v>
      </c>
      <c r="F9" s="2235">
        <f>F8</f>
        <v>0.33333333333333331</v>
      </c>
      <c r="G9" s="2262">
        <f>IF(D9/E9&gt;1,1,D9/E9)</f>
        <v>0.77083333333333337</v>
      </c>
      <c r="H9" s="2237">
        <f t="shared" si="0"/>
        <v>0.25694444444444442</v>
      </c>
    </row>
    <row r="10" spans="1:8" ht="32.25" customHeight="1" thickBot="1" x14ac:dyDescent="0.25">
      <c r="A10" s="3943"/>
      <c r="B10" s="2261" t="s">
        <v>2044</v>
      </c>
      <c r="C10" s="2425" t="s">
        <v>1747</v>
      </c>
      <c r="D10" s="2229">
        <v>10.7</v>
      </c>
      <c r="E10" s="2765">
        <v>10.81</v>
      </c>
      <c r="F10" s="2231">
        <f>1/D19</f>
        <v>0.33333333333333331</v>
      </c>
      <c r="G10" s="2263">
        <f>IF(D10/E10&gt;1,1,D10/E10)</f>
        <v>0.98982423681776122</v>
      </c>
      <c r="H10" s="2233">
        <f t="shared" si="0"/>
        <v>0.32994141227258705</v>
      </c>
    </row>
    <row r="11" spans="1:8" ht="40.5" customHeight="1" x14ac:dyDescent="0.2">
      <c r="A11" s="3942" t="s">
        <v>1749</v>
      </c>
      <c r="B11" s="2221" t="s">
        <v>1750</v>
      </c>
      <c r="C11" s="2424" t="s">
        <v>44</v>
      </c>
      <c r="D11" s="2223">
        <v>0</v>
      </c>
      <c r="E11" s="2224">
        <v>0</v>
      </c>
      <c r="F11" s="2235">
        <f>F10</f>
        <v>0.33333333333333331</v>
      </c>
      <c r="G11" s="2236">
        <v>1</v>
      </c>
      <c r="H11" s="2237">
        <f t="shared" si="0"/>
        <v>0.33333333333333331</v>
      </c>
    </row>
    <row r="12" spans="1:8" ht="33.75" customHeight="1" thickBot="1" x14ac:dyDescent="0.25">
      <c r="A12" s="3943"/>
      <c r="B12" s="2228" t="s">
        <v>1751</v>
      </c>
      <c r="C12" s="2425" t="s">
        <v>44</v>
      </c>
      <c r="D12" s="2229">
        <v>100</v>
      </c>
      <c r="E12" s="2483">
        <v>100</v>
      </c>
      <c r="F12" s="2231">
        <f>F11</f>
        <v>0.33333333333333331</v>
      </c>
      <c r="G12" s="2232">
        <f>IF(D12/E12&gt;1,1,D12/E12)</f>
        <v>1</v>
      </c>
      <c r="H12" s="2233">
        <f t="shared" si="0"/>
        <v>0.33333333333333331</v>
      </c>
    </row>
    <row r="13" spans="1:8" ht="38.25" customHeight="1" x14ac:dyDescent="0.2">
      <c r="A13" s="3942" t="s">
        <v>1752</v>
      </c>
      <c r="B13" s="2234" t="s">
        <v>1753</v>
      </c>
      <c r="C13" s="2424" t="s">
        <v>44</v>
      </c>
      <c r="D13" s="2223">
        <v>19.7</v>
      </c>
      <c r="E13" s="2224">
        <v>31.82</v>
      </c>
      <c r="F13" s="2225">
        <v>0</v>
      </c>
      <c r="G13" s="2264">
        <f>IF(D13/E13&gt;1,1,D13/E13)</f>
        <v>0.61910747957259582</v>
      </c>
      <c r="H13" s="2227"/>
    </row>
    <row r="14" spans="1:8" ht="38.25" customHeight="1" x14ac:dyDescent="0.2">
      <c r="A14" s="3944"/>
      <c r="B14" s="1868" t="s">
        <v>1756</v>
      </c>
      <c r="C14" s="2430" t="s">
        <v>1754</v>
      </c>
      <c r="D14" s="2259">
        <v>0.124</v>
      </c>
      <c r="E14" s="2260">
        <v>0.13</v>
      </c>
      <c r="F14" s="2225"/>
      <c r="G14" s="2238"/>
      <c r="H14" s="2227"/>
    </row>
    <row r="15" spans="1:8" ht="40.5" customHeight="1" x14ac:dyDescent="0.2">
      <c r="A15" s="3945"/>
      <c r="B15" s="1868" t="s">
        <v>1757</v>
      </c>
      <c r="C15" s="2430" t="s">
        <v>1754</v>
      </c>
      <c r="D15" s="2075">
        <v>0.24199999999999999</v>
      </c>
      <c r="E15" s="2239">
        <v>0.28799999999999998</v>
      </c>
      <c r="F15" s="2240">
        <v>0</v>
      </c>
      <c r="G15" s="2241"/>
      <c r="H15" s="2242"/>
    </row>
    <row r="16" spans="1:8" ht="40.5" customHeight="1" x14ac:dyDescent="0.2">
      <c r="A16" s="3946"/>
      <c r="B16" s="2243" t="s">
        <v>1755</v>
      </c>
      <c r="C16" s="2430" t="s">
        <v>1754</v>
      </c>
      <c r="D16" s="2244">
        <v>0.42</v>
      </c>
      <c r="E16" s="2245">
        <v>0.6</v>
      </c>
      <c r="F16" s="2246"/>
      <c r="G16" s="2247"/>
      <c r="H16" s="2248"/>
    </row>
    <row r="17" spans="1:8" ht="42.75" customHeight="1" thickBot="1" x14ac:dyDescent="0.25">
      <c r="A17" s="3946"/>
      <c r="B17" s="2243" t="s">
        <v>1758</v>
      </c>
      <c r="C17" s="2428" t="s">
        <v>1754</v>
      </c>
      <c r="D17" s="2244">
        <v>8.4000000000000005E-2</v>
      </c>
      <c r="E17" s="2245">
        <v>0.11</v>
      </c>
      <c r="F17" s="2246">
        <v>0</v>
      </c>
      <c r="G17" s="2247"/>
      <c r="H17" s="2248"/>
    </row>
    <row r="18" spans="1:8" x14ac:dyDescent="0.2">
      <c r="A18" s="2249"/>
      <c r="B18" s="2250"/>
      <c r="C18" s="2250" t="s">
        <v>294</v>
      </c>
      <c r="D18" s="2250">
        <v>3</v>
      </c>
      <c r="E18" s="2250"/>
      <c r="F18" s="2251">
        <f>F7+F8+F9</f>
        <v>1</v>
      </c>
      <c r="G18" s="2252"/>
      <c r="H18" s="2763">
        <f>H7+H8+H9</f>
        <v>0.92361111111111105</v>
      </c>
    </row>
    <row r="19" spans="1:8" ht="13.5" thickBot="1" x14ac:dyDescent="0.25">
      <c r="A19" s="2254"/>
      <c r="B19" s="2255"/>
      <c r="C19" s="2255" t="s">
        <v>324</v>
      </c>
      <c r="D19" s="2255">
        <v>3</v>
      </c>
      <c r="E19" s="2255"/>
      <c r="F19" s="2256">
        <f>F10+F11+F12</f>
        <v>1</v>
      </c>
      <c r="G19" s="2257"/>
      <c r="H19" s="2762">
        <f>H10+H11+H12</f>
        <v>0.99660807893925374</v>
      </c>
    </row>
    <row r="23" spans="1:8" x14ac:dyDescent="0.2">
      <c r="B23" s="5" t="s">
        <v>377</v>
      </c>
      <c r="C23" s="5"/>
      <c r="D23" s="5"/>
    </row>
    <row r="24" spans="1:8" ht="28.5" x14ac:dyDescent="0.2">
      <c r="B24" s="2443" t="s">
        <v>1832</v>
      </c>
      <c r="C24" s="2265">
        <f>C25*C27*C28*C29</f>
        <v>2860.2146527550749</v>
      </c>
      <c r="D24" s="2427"/>
    </row>
    <row r="25" spans="1:8" ht="14.25" x14ac:dyDescent="0.2">
      <c r="B25" s="2266" t="s">
        <v>1760</v>
      </c>
      <c r="C25" s="2267">
        <f>2/100</f>
        <v>0.02</v>
      </c>
      <c r="D25" s="2422" t="s">
        <v>1835</v>
      </c>
    </row>
    <row r="26" spans="1:8" x14ac:dyDescent="0.2">
      <c r="B26" s="2266" t="s">
        <v>1762</v>
      </c>
      <c r="C26" s="2267">
        <f>IF(1-H54&gt;1/100,1/100,1-H54)</f>
        <v>0.01</v>
      </c>
      <c r="D26" s="2422"/>
    </row>
    <row r="27" spans="1:8" ht="25.5" x14ac:dyDescent="0.2">
      <c r="B27" s="2266" t="s">
        <v>1833</v>
      </c>
      <c r="C27" s="2267">
        <f>'вода 2018 коррект'!K10</f>
        <v>132731.59938646757</v>
      </c>
      <c r="D27" s="2422" t="s">
        <v>1836</v>
      </c>
    </row>
    <row r="28" spans="1:8" ht="14.25" x14ac:dyDescent="0.2">
      <c r="B28" s="2266" t="s">
        <v>1765</v>
      </c>
      <c r="C28" s="2268">
        <v>1.0389999999999999</v>
      </c>
      <c r="D28" s="2422"/>
    </row>
    <row r="29" spans="1:8" ht="14.25" x14ac:dyDescent="0.2">
      <c r="B29" s="2266" t="s">
        <v>1834</v>
      </c>
      <c r="C29" s="2269">
        <v>1.0369999999999999</v>
      </c>
      <c r="D29" s="2270"/>
    </row>
    <row r="30" spans="1:8" x14ac:dyDescent="0.2">
      <c r="B30" s="5" t="s">
        <v>47</v>
      </c>
      <c r="C30" s="5"/>
      <c r="D30" s="5"/>
    </row>
    <row r="31" spans="1:8" ht="28.5" x14ac:dyDescent="0.2">
      <c r="B31" s="2443" t="s">
        <v>1832</v>
      </c>
      <c r="C31" s="2265">
        <f>C33*C34*C35*C36</f>
        <v>969.01570224930151</v>
      </c>
      <c r="D31" s="2427"/>
    </row>
    <row r="32" spans="1:8" ht="14.25" x14ac:dyDescent="0.2">
      <c r="B32" s="2266" t="s">
        <v>1760</v>
      </c>
      <c r="C32" s="2267">
        <f>1/100</f>
        <v>0.01</v>
      </c>
      <c r="D32" s="2422" t="s">
        <v>1835</v>
      </c>
    </row>
    <row r="33" spans="2:4" x14ac:dyDescent="0.2">
      <c r="B33" s="2266" t="s">
        <v>1762</v>
      </c>
      <c r="C33" s="2267">
        <f>IF(1-H61&gt;1/100,1/100,1-H61)</f>
        <v>0.01</v>
      </c>
      <c r="D33" s="2422"/>
    </row>
    <row r="34" spans="2:4" ht="25.5" x14ac:dyDescent="0.2">
      <c r="B34" s="2266" t="s">
        <v>1833</v>
      </c>
      <c r="C34" s="2267">
        <f>'стоки 2018'!K10</f>
        <v>89936.60938437593</v>
      </c>
      <c r="D34" s="2422" t="s">
        <v>1836</v>
      </c>
    </row>
    <row r="35" spans="2:4" ht="14.25" x14ac:dyDescent="0.2">
      <c r="B35" s="2266" t="s">
        <v>1765</v>
      </c>
      <c r="C35" s="2268">
        <v>1.0389999999999999</v>
      </c>
      <c r="D35" s="2422"/>
    </row>
    <row r="36" spans="2:4" ht="14.25" x14ac:dyDescent="0.2">
      <c r="B36" s="2266" t="s">
        <v>1834</v>
      </c>
      <c r="C36" s="2269">
        <v>1.0369999999999999</v>
      </c>
      <c r="D36" s="2270"/>
    </row>
    <row r="38" spans="2:4" x14ac:dyDescent="0.2">
      <c r="B38" s="5" t="s">
        <v>25</v>
      </c>
      <c r="C38" s="5"/>
      <c r="D38" s="5"/>
    </row>
    <row r="39" spans="2:4" ht="28.5" x14ac:dyDescent="0.2">
      <c r="B39" s="2443" t="s">
        <v>1832</v>
      </c>
      <c r="C39" s="2265">
        <v>0</v>
      </c>
      <c r="D39" s="2427"/>
    </row>
    <row r="40" spans="2:4" ht="14.25" x14ac:dyDescent="0.2">
      <c r="B40" s="2266" t="s">
        <v>1760</v>
      </c>
      <c r="C40" s="2267">
        <f>1/100</f>
        <v>0.01</v>
      </c>
      <c r="D40" s="2422" t="s">
        <v>1835</v>
      </c>
    </row>
    <row r="41" spans="2:4" x14ac:dyDescent="0.2">
      <c r="B41" s="2266" t="s">
        <v>1762</v>
      </c>
      <c r="C41" s="2267">
        <f>IF(1-H69&gt;1/100,1/100,1-H69)</f>
        <v>0.01</v>
      </c>
      <c r="D41" s="2422"/>
    </row>
    <row r="42" spans="2:4" ht="25.5" x14ac:dyDescent="0.2">
      <c r="B42" s="2266" t="s">
        <v>1833</v>
      </c>
      <c r="C42" s="2267">
        <v>0</v>
      </c>
      <c r="D42" s="2422" t="s">
        <v>1836</v>
      </c>
    </row>
    <row r="43" spans="2:4" ht="14.25" x14ac:dyDescent="0.2">
      <c r="B43" s="2266" t="s">
        <v>1765</v>
      </c>
      <c r="C43" s="2268">
        <v>1.0389999999999999</v>
      </c>
      <c r="D43" s="2422"/>
    </row>
    <row r="44" spans="2:4" ht="14.25" x14ac:dyDescent="0.2">
      <c r="B44" s="2266" t="s">
        <v>1834</v>
      </c>
      <c r="C44" s="2269">
        <v>1.0369999999999999</v>
      </c>
      <c r="D44" s="227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U155"/>
  <sheetViews>
    <sheetView zoomScale="76" zoomScaleNormal="76" zoomScaleSheetLayoutView="75" zoomScalePageLayoutView="70" workbookViewId="0">
      <pane xSplit="24" ySplit="7" topLeftCell="BN120" activePane="bottomRight" state="frozen"/>
      <selection pane="topRight" activeCell="Y1" sqref="Y1"/>
      <selection pane="bottomLeft" activeCell="A7" sqref="A7"/>
      <selection pane="bottomRight" activeCell="BR57" sqref="BR57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5" hidden="1" customWidth="1"/>
    <col min="37" max="37" width="11" style="325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2" hidden="1" customWidth="1" outlineLevel="1"/>
    <col min="54" max="54" width="14" hidden="1" customWidth="1" outlineLevel="1"/>
    <col min="55" max="55" width="11" hidden="1" customWidth="1" outlineLevel="1"/>
    <col min="56" max="56" width="16.5703125" customWidth="1" outlineLevel="1"/>
    <col min="57" max="57" width="11.7109375" style="182" hidden="1" customWidth="1" outlineLevel="1"/>
    <col min="58" max="58" width="17.7109375" customWidth="1" outlineLevel="1"/>
    <col min="59" max="59" width="17.42578125" customWidth="1" outlineLevel="1"/>
    <col min="60" max="71" width="17.42578125" style="1846" customWidth="1" outlineLevel="1"/>
    <col min="72" max="72" width="43.42578125" customWidth="1"/>
  </cols>
  <sheetData>
    <row r="1" spans="1:72" x14ac:dyDescent="0.25">
      <c r="BT1" t="s">
        <v>1506</v>
      </c>
    </row>
    <row r="2" spans="1:72" ht="25.5" x14ac:dyDescent="0.2">
      <c r="A2" s="3986" t="s">
        <v>1837</v>
      </c>
      <c r="B2" s="3986"/>
      <c r="C2" s="3986"/>
      <c r="D2" s="3986"/>
      <c r="E2" s="3986"/>
      <c r="F2" s="3986"/>
      <c r="G2" s="3986"/>
      <c r="H2" s="3986"/>
      <c r="I2" s="3986"/>
      <c r="J2" s="3986"/>
      <c r="K2" s="3986"/>
      <c r="L2" s="3986"/>
      <c r="M2" s="3986"/>
      <c r="N2" s="3986"/>
      <c r="O2" s="3986"/>
      <c r="P2" s="3986"/>
      <c r="Q2" s="3986"/>
      <c r="R2" s="3986"/>
      <c r="S2" s="3986"/>
      <c r="T2" s="3986"/>
      <c r="U2" s="3986"/>
      <c r="V2" s="3986"/>
      <c r="W2" s="3986"/>
      <c r="X2" s="3986"/>
      <c r="Y2" s="3986"/>
      <c r="Z2" s="3986"/>
      <c r="AA2" s="3986"/>
      <c r="AB2" s="3986"/>
      <c r="AC2" s="3986"/>
      <c r="AD2" s="3986"/>
      <c r="AE2" s="3986"/>
      <c r="AF2" s="3986"/>
      <c r="AG2" s="3986"/>
      <c r="AH2" s="3986"/>
      <c r="AI2" s="3986"/>
      <c r="AJ2" s="3986"/>
      <c r="AK2" s="3986"/>
      <c r="AL2" s="3986"/>
      <c r="AM2" s="3986"/>
      <c r="AN2" s="3986"/>
      <c r="AO2" s="3986"/>
      <c r="AP2" s="3986"/>
      <c r="AQ2" s="3986"/>
      <c r="AR2" s="3986"/>
      <c r="AS2" s="3986"/>
      <c r="AT2" s="3986"/>
      <c r="AU2" s="3986"/>
      <c r="AV2" s="3986"/>
      <c r="AW2" s="3986"/>
      <c r="AX2" s="3986"/>
      <c r="AY2" s="3986"/>
      <c r="AZ2" s="3986"/>
      <c r="BA2" s="3986"/>
      <c r="BB2" s="3986"/>
      <c r="BC2" s="3986"/>
      <c r="BD2" s="3986"/>
      <c r="BE2" s="3986"/>
      <c r="BF2" s="3986"/>
      <c r="BG2" s="3986"/>
      <c r="BH2" s="3986"/>
      <c r="BI2" s="3986"/>
      <c r="BJ2" s="3986"/>
      <c r="BK2" s="3986"/>
      <c r="BL2" s="3986"/>
      <c r="BM2" s="3986"/>
      <c r="BN2" s="3986"/>
      <c r="BO2" s="3986"/>
      <c r="BP2" s="3986"/>
      <c r="BQ2" s="3986"/>
      <c r="BR2" s="3986"/>
      <c r="BS2" s="3986"/>
      <c r="BT2" s="3986"/>
    </row>
    <row r="3" spans="1:72" x14ac:dyDescent="0.2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925"/>
      <c r="AF3" s="925"/>
      <c r="AG3" s="925"/>
      <c r="AH3" s="925"/>
      <c r="AI3" s="369"/>
      <c r="AJ3" s="370"/>
      <c r="AK3" s="370"/>
      <c r="AL3" s="369"/>
      <c r="AM3" s="369"/>
      <c r="AN3" s="369"/>
      <c r="AO3" s="369"/>
      <c r="AP3" s="369"/>
      <c r="AQ3" s="369"/>
      <c r="AR3" s="369"/>
      <c r="AS3" s="369"/>
      <c r="AT3" s="925"/>
      <c r="AU3" s="925"/>
      <c r="AV3" s="925"/>
      <c r="AW3" s="925"/>
      <c r="AX3" s="925"/>
      <c r="AY3" s="925"/>
      <c r="AZ3" s="925"/>
      <c r="BA3" s="1441"/>
      <c r="BB3" s="925"/>
      <c r="BC3" s="925"/>
      <c r="BD3" s="925"/>
      <c r="BE3" s="1441"/>
      <c r="BF3" s="925"/>
      <c r="BG3" s="925"/>
      <c r="BH3" s="1850"/>
      <c r="BI3" s="1850"/>
      <c r="BJ3" s="1850"/>
      <c r="BK3" s="1850"/>
      <c r="BL3" s="1850"/>
      <c r="BM3" s="1850"/>
      <c r="BN3" s="1850"/>
      <c r="BO3" s="1850"/>
      <c r="BP3" s="1850"/>
      <c r="BQ3" s="1850"/>
      <c r="BR3" s="1850"/>
      <c r="BS3" s="1850"/>
      <c r="BT3" s="369"/>
    </row>
    <row r="4" spans="1:72" ht="39" customHeight="1" x14ac:dyDescent="0.2">
      <c r="A4" s="3785" t="s">
        <v>536</v>
      </c>
      <c r="B4" s="3768" t="s">
        <v>58</v>
      </c>
      <c r="C4" s="3785" t="s">
        <v>59</v>
      </c>
      <c r="D4" s="3785"/>
      <c r="E4" s="3975" t="s">
        <v>67</v>
      </c>
      <c r="F4" s="3975"/>
      <c r="G4" s="3975" t="s">
        <v>95</v>
      </c>
      <c r="H4" s="3975"/>
      <c r="I4" s="3975" t="s">
        <v>120</v>
      </c>
      <c r="J4" s="3975"/>
      <c r="K4" s="3975"/>
      <c r="L4" s="3975"/>
      <c r="M4" s="3975"/>
      <c r="N4" s="3975"/>
      <c r="O4" s="3777" t="s">
        <v>159</v>
      </c>
      <c r="P4" s="3777"/>
      <c r="Q4" s="3777"/>
      <c r="R4" s="3777"/>
      <c r="S4" s="3777"/>
      <c r="T4" s="3777"/>
      <c r="U4" s="3777"/>
      <c r="V4" s="3777"/>
      <c r="W4" s="3777"/>
      <c r="X4" s="3777"/>
      <c r="Y4" s="3976" t="s">
        <v>235</v>
      </c>
      <c r="Z4" s="3976"/>
      <c r="AA4" s="3976"/>
      <c r="AB4" s="3976"/>
      <c r="AC4" s="3976"/>
      <c r="AD4" s="3976"/>
      <c r="AE4" s="3977"/>
      <c r="AF4" s="3977"/>
      <c r="AG4" s="3977"/>
      <c r="AH4" s="3976" t="s">
        <v>373</v>
      </c>
      <c r="AI4" s="3779"/>
      <c r="AJ4" s="3779"/>
      <c r="AK4" s="3779"/>
      <c r="AL4" s="3779"/>
      <c r="AM4" s="3779"/>
      <c r="AN4" s="3779"/>
      <c r="AO4" s="3779"/>
      <c r="AP4" s="3779"/>
      <c r="AQ4" s="3779"/>
      <c r="AR4" s="3779"/>
      <c r="AS4" s="3779"/>
      <c r="AT4" s="3779"/>
      <c r="AU4" s="3779"/>
      <c r="AV4" s="3779"/>
      <c r="AW4" s="3779"/>
      <c r="AX4" s="3779"/>
      <c r="AY4" s="3779"/>
      <c r="AZ4" s="3978" t="s">
        <v>829</v>
      </c>
      <c r="BA4" s="3979"/>
      <c r="BB4" s="3979"/>
      <c r="BC4" s="3979"/>
      <c r="BD4" s="3979"/>
      <c r="BE4" s="3979"/>
      <c r="BF4" s="3979"/>
      <c r="BG4" s="3979"/>
      <c r="BH4" s="3979"/>
      <c r="BI4" s="3979"/>
      <c r="BJ4" s="3980"/>
      <c r="BK4" s="3978" t="s">
        <v>908</v>
      </c>
      <c r="BL4" s="3979"/>
      <c r="BM4" s="3980"/>
      <c r="BN4" s="3978" t="s">
        <v>1819</v>
      </c>
      <c r="BO4" s="3979"/>
      <c r="BP4" s="3979"/>
      <c r="BQ4" s="3979"/>
      <c r="BR4" s="3979"/>
      <c r="BS4" s="3980"/>
      <c r="BT4" s="3785" t="s">
        <v>156</v>
      </c>
    </row>
    <row r="5" spans="1:72" ht="46.5" customHeight="1" x14ac:dyDescent="0.2">
      <c r="A5" s="3785"/>
      <c r="B5" s="3768"/>
      <c r="C5" s="3768" t="s">
        <v>61</v>
      </c>
      <c r="D5" s="3768" t="s">
        <v>62</v>
      </c>
      <c r="E5" s="3768" t="s">
        <v>61</v>
      </c>
      <c r="F5" s="3768" t="s">
        <v>66</v>
      </c>
      <c r="G5" s="3768" t="s">
        <v>61</v>
      </c>
      <c r="H5" s="3768" t="s">
        <v>112</v>
      </c>
      <c r="I5" s="3768" t="s">
        <v>60</v>
      </c>
      <c r="J5" s="3768" t="s">
        <v>116</v>
      </c>
      <c r="K5" s="3768" t="s">
        <v>110</v>
      </c>
      <c r="L5" s="3768" t="s">
        <v>61</v>
      </c>
      <c r="M5" s="3768" t="s">
        <v>65</v>
      </c>
      <c r="N5" s="3768" t="s">
        <v>220</v>
      </c>
      <c r="O5" s="3768" t="s">
        <v>122</v>
      </c>
      <c r="P5" s="3768" t="s">
        <v>97</v>
      </c>
      <c r="Q5" s="3768" t="s">
        <v>123</v>
      </c>
      <c r="R5" s="3768" t="s">
        <v>97</v>
      </c>
      <c r="S5" s="3768" t="s">
        <v>157</v>
      </c>
      <c r="T5" s="3768" t="s">
        <v>23</v>
      </c>
      <c r="U5" s="3768"/>
      <c r="V5" s="3768" t="s">
        <v>110</v>
      </c>
      <c r="W5" s="3973" t="s">
        <v>379</v>
      </c>
      <c r="X5" s="3973"/>
      <c r="Y5" s="3768" t="s">
        <v>122</v>
      </c>
      <c r="Z5" s="3768" t="s">
        <v>97</v>
      </c>
      <c r="AA5" s="3777" t="s">
        <v>123</v>
      </c>
      <c r="AB5" s="3974"/>
      <c r="AC5" s="3974"/>
      <c r="AD5" s="3974"/>
      <c r="AE5" s="3777" t="s">
        <v>828</v>
      </c>
      <c r="AF5" s="3974"/>
      <c r="AG5" s="3974"/>
      <c r="AH5" s="3777" t="str">
        <f>Y5</f>
        <v>предложение предприятия</v>
      </c>
      <c r="AI5" s="3974"/>
      <c r="AJ5" s="3974"/>
      <c r="AK5" s="3974"/>
      <c r="AL5" s="3777" t="s">
        <v>244</v>
      </c>
      <c r="AM5" s="3974"/>
      <c r="AN5" s="3974"/>
      <c r="AO5" s="3974"/>
      <c r="AP5" s="1710"/>
      <c r="AQ5" s="1710"/>
      <c r="AR5" s="1710"/>
      <c r="AS5" s="1710"/>
      <c r="AT5" s="3777" t="s">
        <v>858</v>
      </c>
      <c r="AU5" s="3974"/>
      <c r="AV5" s="3974"/>
      <c r="AW5" s="3777" t="s">
        <v>1532</v>
      </c>
      <c r="AX5" s="3974"/>
      <c r="AY5" s="3974"/>
      <c r="AZ5" s="3777" t="s">
        <v>1500</v>
      </c>
      <c r="BA5" s="3777"/>
      <c r="BB5" s="3974"/>
      <c r="BC5" s="3974"/>
      <c r="BD5" s="3777" t="s">
        <v>1602</v>
      </c>
      <c r="BE5" s="3777"/>
      <c r="BF5" s="3974"/>
      <c r="BG5" s="3974"/>
      <c r="BH5" s="3981" t="s">
        <v>1692</v>
      </c>
      <c r="BI5" s="3982"/>
      <c r="BJ5" s="3983"/>
      <c r="BK5" s="3981" t="s">
        <v>1692</v>
      </c>
      <c r="BL5" s="3982"/>
      <c r="BM5" s="3983"/>
      <c r="BN5" s="3981" t="s">
        <v>1839</v>
      </c>
      <c r="BO5" s="3982"/>
      <c r="BP5" s="3983"/>
      <c r="BQ5" s="3981" t="s">
        <v>1537</v>
      </c>
      <c r="BR5" s="3982"/>
      <c r="BS5" s="3983"/>
      <c r="BT5" s="3785"/>
    </row>
    <row r="6" spans="1:72" ht="18.75" customHeight="1" x14ac:dyDescent="0.2">
      <c r="A6" s="3785"/>
      <c r="B6" s="3768"/>
      <c r="C6" s="3768"/>
      <c r="D6" s="3768"/>
      <c r="E6" s="3768"/>
      <c r="F6" s="3768"/>
      <c r="G6" s="3768"/>
      <c r="H6" s="3768"/>
      <c r="I6" s="3768"/>
      <c r="J6" s="3768"/>
      <c r="K6" s="3768"/>
      <c r="L6" s="3768"/>
      <c r="M6" s="3768"/>
      <c r="N6" s="3768"/>
      <c r="O6" s="3768"/>
      <c r="P6" s="3768"/>
      <c r="Q6" s="3768"/>
      <c r="R6" s="3768"/>
      <c r="S6" s="3768"/>
      <c r="T6" s="3768" t="s">
        <v>160</v>
      </c>
      <c r="U6" s="3768" t="s">
        <v>161</v>
      </c>
      <c r="V6" s="3768"/>
      <c r="W6" s="3973"/>
      <c r="X6" s="3973"/>
      <c r="Y6" s="3768"/>
      <c r="Z6" s="3768"/>
      <c r="AA6" s="3768" t="s">
        <v>296</v>
      </c>
      <c r="AB6" s="1672"/>
      <c r="AC6" s="3768" t="s">
        <v>50</v>
      </c>
      <c r="AD6" s="3779"/>
      <c r="AE6" s="3768" t="s">
        <v>296</v>
      </c>
      <c r="AF6" s="3768" t="s">
        <v>50</v>
      </c>
      <c r="AG6" s="3779"/>
      <c r="AH6" s="3768" t="s">
        <v>296</v>
      </c>
      <c r="AI6" s="3768" t="s">
        <v>97</v>
      </c>
      <c r="AJ6" s="3768" t="s">
        <v>50</v>
      </c>
      <c r="AK6" s="3779"/>
      <c r="AL6" s="3768" t="s">
        <v>296</v>
      </c>
      <c r="AM6" s="3768" t="s">
        <v>97</v>
      </c>
      <c r="AN6" s="3768" t="s">
        <v>50</v>
      </c>
      <c r="AO6" s="3779"/>
      <c r="AP6" s="1710"/>
      <c r="AQ6" s="1710"/>
      <c r="AR6" s="1710"/>
      <c r="AS6" s="1710"/>
      <c r="AT6" s="3768" t="s">
        <v>296</v>
      </c>
      <c r="AU6" s="3768" t="s">
        <v>50</v>
      </c>
      <c r="AV6" s="3779"/>
      <c r="AW6" s="3768" t="s">
        <v>296</v>
      </c>
      <c r="AX6" s="3768" t="s">
        <v>50</v>
      </c>
      <c r="AY6" s="3779"/>
      <c r="AZ6" s="3768" t="s">
        <v>296</v>
      </c>
      <c r="BA6" s="3984" t="s">
        <v>97</v>
      </c>
      <c r="BB6" s="3768" t="s">
        <v>50</v>
      </c>
      <c r="BC6" s="3779"/>
      <c r="BD6" s="3768" t="s">
        <v>296</v>
      </c>
      <c r="BE6" s="3984" t="s">
        <v>97</v>
      </c>
      <c r="BF6" s="3768" t="s">
        <v>50</v>
      </c>
      <c r="BG6" s="3779"/>
      <c r="BH6" s="3768" t="s">
        <v>296</v>
      </c>
      <c r="BI6" s="3768" t="s">
        <v>50</v>
      </c>
      <c r="BJ6" s="3779"/>
      <c r="BK6" s="3768" t="s">
        <v>296</v>
      </c>
      <c r="BL6" s="3768" t="s">
        <v>50</v>
      </c>
      <c r="BM6" s="3779"/>
      <c r="BN6" s="3768" t="s">
        <v>296</v>
      </c>
      <c r="BO6" s="3768" t="s">
        <v>50</v>
      </c>
      <c r="BP6" s="3779"/>
      <c r="BQ6" s="3768" t="s">
        <v>296</v>
      </c>
      <c r="BR6" s="3768" t="s">
        <v>50</v>
      </c>
      <c r="BS6" s="3779"/>
      <c r="BT6" s="3785"/>
    </row>
    <row r="7" spans="1:72" ht="39.75" customHeight="1" x14ac:dyDescent="0.2">
      <c r="A7" s="3785"/>
      <c r="B7" s="3768"/>
      <c r="C7" s="3768"/>
      <c r="D7" s="3768"/>
      <c r="E7" s="3768"/>
      <c r="F7" s="3768"/>
      <c r="G7" s="3768"/>
      <c r="H7" s="3768"/>
      <c r="I7" s="3768"/>
      <c r="J7" s="3768"/>
      <c r="K7" s="3768"/>
      <c r="L7" s="3768"/>
      <c r="M7" s="3768"/>
      <c r="N7" s="3768"/>
      <c r="O7" s="3768"/>
      <c r="P7" s="3768"/>
      <c r="Q7" s="3768"/>
      <c r="R7" s="3768"/>
      <c r="S7" s="3768"/>
      <c r="T7" s="3768"/>
      <c r="U7" s="3768"/>
      <c r="V7" s="3768"/>
      <c r="W7" s="1672" t="str">
        <f>T6</f>
        <v>питьевая</v>
      </c>
      <c r="X7" s="1755" t="str">
        <f>U6</f>
        <v>техническая</v>
      </c>
      <c r="Y7" s="3768"/>
      <c r="Z7" s="3768"/>
      <c r="AA7" s="3779"/>
      <c r="AB7" s="1672"/>
      <c r="AC7" s="1672" t="s">
        <v>377</v>
      </c>
      <c r="AD7" s="1672" t="s">
        <v>378</v>
      </c>
      <c r="AE7" s="3768"/>
      <c r="AF7" s="1672" t="s">
        <v>377</v>
      </c>
      <c r="AG7" s="1672" t="s">
        <v>378</v>
      </c>
      <c r="AH7" s="3779"/>
      <c r="AI7" s="3779"/>
      <c r="AJ7" s="1672" t="s">
        <v>377</v>
      </c>
      <c r="AK7" s="1672" t="s">
        <v>378</v>
      </c>
      <c r="AL7" s="3768"/>
      <c r="AM7" s="3779"/>
      <c r="AN7" s="1672" t="s">
        <v>377</v>
      </c>
      <c r="AO7" s="1672" t="s">
        <v>378</v>
      </c>
      <c r="AP7" s="1710"/>
      <c r="AQ7" s="1710" t="s">
        <v>364</v>
      </c>
      <c r="AR7" s="1710" t="s">
        <v>365</v>
      </c>
      <c r="AS7" s="1710"/>
      <c r="AT7" s="3768"/>
      <c r="AU7" s="1672" t="s">
        <v>377</v>
      </c>
      <c r="AV7" s="1672" t="s">
        <v>378</v>
      </c>
      <c r="AW7" s="3768"/>
      <c r="AX7" s="1672" t="s">
        <v>377</v>
      </c>
      <c r="AY7" s="1672" t="s">
        <v>378</v>
      </c>
      <c r="AZ7" s="3779"/>
      <c r="BA7" s="3985"/>
      <c r="BB7" s="1672" t="s">
        <v>377</v>
      </c>
      <c r="BC7" s="1672" t="s">
        <v>378</v>
      </c>
      <c r="BD7" s="3779"/>
      <c r="BE7" s="3985"/>
      <c r="BF7" s="1672" t="s">
        <v>377</v>
      </c>
      <c r="BG7" s="1672" t="s">
        <v>378</v>
      </c>
      <c r="BH7" s="3779"/>
      <c r="BI7" s="2109" t="s">
        <v>377</v>
      </c>
      <c r="BJ7" s="2109" t="s">
        <v>378</v>
      </c>
      <c r="BK7" s="3779"/>
      <c r="BL7" s="2421" t="s">
        <v>377</v>
      </c>
      <c r="BM7" s="2421" t="s">
        <v>378</v>
      </c>
      <c r="BN7" s="3779"/>
      <c r="BO7" s="2421" t="s">
        <v>377</v>
      </c>
      <c r="BP7" s="2421" t="s">
        <v>378</v>
      </c>
      <c r="BQ7" s="3779"/>
      <c r="BR7" s="2421" t="s">
        <v>377</v>
      </c>
      <c r="BS7" s="2421" t="s">
        <v>378</v>
      </c>
      <c r="BT7" s="3785"/>
    </row>
    <row r="8" spans="1:72" s="2717" customFormat="1" ht="21" customHeight="1" x14ac:dyDescent="0.2">
      <c r="A8" s="1758" t="s">
        <v>15</v>
      </c>
      <c r="B8" s="2544"/>
      <c r="C8" s="2544"/>
      <c r="D8" s="2544"/>
      <c r="E8" s="2715">
        <f t="shared" ref="E8:U8" si="0">SUM(E9:E16)-E15</f>
        <v>14586.3</v>
      </c>
      <c r="F8" s="2715">
        <f t="shared" si="0"/>
        <v>599.44377737908462</v>
      </c>
      <c r="G8" s="2715">
        <f t="shared" si="0"/>
        <v>17580.600000000002</v>
      </c>
      <c r="H8" s="2715">
        <f t="shared" si="0"/>
        <v>1301.6186267528969</v>
      </c>
      <c r="I8" s="2715">
        <f t="shared" si="0"/>
        <v>15573.576100000002</v>
      </c>
      <c r="J8" s="2715">
        <f t="shared" si="0"/>
        <v>8330.6</v>
      </c>
      <c r="K8" s="2715">
        <f t="shared" si="0"/>
        <v>12986.934203563882</v>
      </c>
      <c r="L8" s="2715">
        <f t="shared" si="0"/>
        <v>18032</v>
      </c>
      <c r="M8" s="2715">
        <f t="shared" si="0"/>
        <v>765.16293628894141</v>
      </c>
      <c r="N8" s="2715">
        <f t="shared" si="0"/>
        <v>578.89100723393869</v>
      </c>
      <c r="O8" s="2715">
        <f t="shared" si="0"/>
        <v>21075.699999999997</v>
      </c>
      <c r="P8" s="2715">
        <f t="shared" si="0"/>
        <v>940.91457929714295</v>
      </c>
      <c r="Q8" s="2723">
        <f t="shared" si="0"/>
        <v>18706.910516308828</v>
      </c>
      <c r="R8" s="2715">
        <f t="shared" si="0"/>
        <v>790.298382141395</v>
      </c>
      <c r="S8" s="2715">
        <f t="shared" si="0"/>
        <v>659.14699828891662</v>
      </c>
      <c r="T8" s="2715">
        <f t="shared" si="0"/>
        <v>18473.339556400319</v>
      </c>
      <c r="U8" s="2715">
        <f t="shared" si="0"/>
        <v>233.57095990850999</v>
      </c>
      <c r="V8" s="2715">
        <f>SUM(V9:V16)-V15</f>
        <v>13489.2</v>
      </c>
      <c r="W8" s="2715">
        <f>SUM(W9:W16)-W15</f>
        <v>10440.06706739666</v>
      </c>
      <c r="X8" s="2715">
        <f>SUM(X9:X16)-X15</f>
        <v>61.532932603341123</v>
      </c>
      <c r="Y8" s="2713">
        <f>SUM(Y9:Y16)-Y15</f>
        <v>21736.2</v>
      </c>
      <c r="Z8" s="2721">
        <f>Y8/Q8</f>
        <v>1.1619342478305124</v>
      </c>
      <c r="AA8" s="2713">
        <f>SUM(AA9:AA16)-AA15</f>
        <v>18045.304741901102</v>
      </c>
      <c r="AB8" s="2721">
        <f t="shared" ref="AB8:AB54" si="1">AA8/Q8</f>
        <v>0.96463308177847251</v>
      </c>
      <c r="AC8" s="2713">
        <f>SUM(AC9:AC16)</f>
        <v>17784.373750227747</v>
      </c>
      <c r="AD8" s="2713">
        <f>SUM(AD9:AD16)</f>
        <v>260.93099167335583</v>
      </c>
      <c r="AE8" s="2713">
        <f>SUM(AE9:AE16)-AE15</f>
        <v>18010.500000000004</v>
      </c>
      <c r="AF8" s="2713">
        <f>SUM(AF9:AF16)-AF15</f>
        <v>17789.478747214656</v>
      </c>
      <c r="AG8" s="2713">
        <f>SUM(AG9:AG16)-AG15</f>
        <v>221.02125278534345</v>
      </c>
      <c r="AH8" s="2713">
        <f>SUM(AJ8+AK8)</f>
        <v>19788.650000000001</v>
      </c>
      <c r="AI8" s="2714">
        <f>SUM(AH8/AA8)</f>
        <v>1.0966093553438785</v>
      </c>
      <c r="AJ8" s="2713">
        <f>SUM(AJ9:AJ16)-AJ15</f>
        <v>19566.560000000001</v>
      </c>
      <c r="AK8" s="2713">
        <f>SUM(AK9:AK16)-AK15</f>
        <v>222.09</v>
      </c>
      <c r="AL8" s="2713">
        <f>SUM(AN8+AO8)</f>
        <v>17147.985534335643</v>
      </c>
      <c r="AM8" s="2714">
        <f>SUM(AL8/AA8)</f>
        <v>0.95027408955406067</v>
      </c>
      <c r="AN8" s="2713">
        <f>SUM(AN9:AN16)-AN15</f>
        <v>16952.7835373218</v>
      </c>
      <c r="AO8" s="2713">
        <f>SUM(AO9:AO16)-AO15</f>
        <v>195.20199701384391</v>
      </c>
      <c r="AP8" s="2715">
        <f>AA8-Y8</f>
        <v>-3690.8952580988989</v>
      </c>
      <c r="AQ8" s="2715">
        <f>AP8*AC8/AA8</f>
        <v>-3637.5257543064808</v>
      </c>
      <c r="AR8" s="2715">
        <f>AP8-AQ8</f>
        <v>-53.369503792418072</v>
      </c>
      <c r="AS8" s="2715">
        <f t="shared" ref="AS8:AS35" si="2">AQ8+AR8</f>
        <v>-3690.8952580988989</v>
      </c>
      <c r="AT8" s="2713">
        <f t="shared" ref="AT8:AZ8" si="3">SUM(AT9:AT16)-AT15</f>
        <v>8911.48</v>
      </c>
      <c r="AU8" s="2713">
        <f t="shared" si="3"/>
        <v>8850.280179956595</v>
      </c>
      <c r="AV8" s="2713">
        <f t="shared" si="3"/>
        <v>61.199820043406589</v>
      </c>
      <c r="AW8" s="2713">
        <f t="shared" si="3"/>
        <v>17487.72</v>
      </c>
      <c r="AX8" s="2713">
        <f t="shared" si="3"/>
        <v>17403.669999999998</v>
      </c>
      <c r="AY8" s="2713">
        <f t="shared" si="3"/>
        <v>84.05</v>
      </c>
      <c r="AZ8" s="2713">
        <f t="shared" si="3"/>
        <v>20844.7973009989</v>
      </c>
      <c r="BA8" s="2716">
        <f>SUM(AZ8/AL8)</f>
        <v>1.2155828601126983</v>
      </c>
      <c r="BB8" s="2713">
        <f>SUM(BB9:BB16)-BB15</f>
        <v>20733.921825560112</v>
      </c>
      <c r="BC8" s="2713">
        <f>SUM(BC9:BC16)-BC15</f>
        <v>110.87547543878928</v>
      </c>
      <c r="BD8" s="2713">
        <f>SUM(BD9:BD16)-BD15</f>
        <v>18195.358581097094</v>
      </c>
      <c r="BE8" s="2716">
        <f>SUM(BD8/AL8)</f>
        <v>1.0610784890542555</v>
      </c>
      <c r="BF8" s="2713">
        <f t="shared" ref="BF8:BP8" si="4">SUM(BF9:BF16)-BF15</f>
        <v>18098.18085576142</v>
      </c>
      <c r="BG8" s="2713">
        <f t="shared" si="4"/>
        <v>97.177725335676428</v>
      </c>
      <c r="BH8" s="2713">
        <f t="shared" si="4"/>
        <v>16263.019999999999</v>
      </c>
      <c r="BI8" s="2713">
        <f t="shared" si="4"/>
        <v>16252.11</v>
      </c>
      <c r="BJ8" s="2713">
        <f t="shared" si="4"/>
        <v>10.910000000000002</v>
      </c>
      <c r="BK8" s="2713">
        <f t="shared" si="4"/>
        <v>15380.949999999999</v>
      </c>
      <c r="BL8" s="2713">
        <f t="shared" si="4"/>
        <v>15373.61</v>
      </c>
      <c r="BM8" s="2713">
        <f t="shared" si="4"/>
        <v>7.3400000000000007</v>
      </c>
      <c r="BN8" s="2713">
        <f t="shared" si="4"/>
        <v>22980.91</v>
      </c>
      <c r="BO8" s="2713">
        <f t="shared" si="4"/>
        <v>22949.21</v>
      </c>
      <c r="BP8" s="2713">
        <f t="shared" si="4"/>
        <v>31.7</v>
      </c>
      <c r="BQ8" s="2713">
        <f>SUM(BQ9:BQ16)-BQ15</f>
        <v>19573.094654397479</v>
      </c>
      <c r="BR8" s="2713">
        <f t="shared" ref="BR8" si="5">SUM(BR9:BR16)-BR15</f>
        <v>19564.497707176608</v>
      </c>
      <c r="BS8" s="2713">
        <f t="shared" ref="BS8" si="6">SUM(BS9:BS16)-BS15</f>
        <v>8.596947220871904</v>
      </c>
      <c r="BT8" s="2560"/>
    </row>
    <row r="9" spans="1:72" ht="21" customHeight="1" x14ac:dyDescent="0.2">
      <c r="A9" s="1681" t="s">
        <v>1</v>
      </c>
      <c r="B9" s="1723">
        <v>4424.7</v>
      </c>
      <c r="C9" s="1724">
        <v>4746.7</v>
      </c>
      <c r="D9" s="1725">
        <f t="shared" ref="D9:D42" si="7">C9/B9*100</f>
        <v>107.27732953646576</v>
      </c>
      <c r="E9" s="1724">
        <v>5856.8</v>
      </c>
      <c r="F9" s="1725">
        <f t="shared" ref="F9:F29" si="8">E9/C9*100</f>
        <v>123.38677396928392</v>
      </c>
      <c r="G9" s="1724">
        <v>6391.7</v>
      </c>
      <c r="H9" s="1725">
        <f t="shared" ref="H9:H65" si="9">G9/E9*100</f>
        <v>109.1329736374812</v>
      </c>
      <c r="I9" s="1726">
        <v>4954.6000000000004</v>
      </c>
      <c r="J9" s="1726">
        <v>3215.8</v>
      </c>
      <c r="K9" s="1726">
        <v>4218.5</v>
      </c>
      <c r="L9" s="1726">
        <v>6305.3</v>
      </c>
      <c r="M9" s="1727">
        <f t="shared" ref="M9:M66" si="10">L9/I9*100</f>
        <v>127.2615347353974</v>
      </c>
      <c r="N9" s="1727">
        <f t="shared" ref="N9:N65" si="11">L9/G9*100</f>
        <v>98.648246945257128</v>
      </c>
      <c r="O9" s="1726">
        <v>5985</v>
      </c>
      <c r="P9" s="1727">
        <f t="shared" ref="P9:P68" si="12">O9/I9*100</f>
        <v>120.7968352641989</v>
      </c>
      <c r="Q9" s="1728">
        <f>электр!AC9</f>
        <v>5549</v>
      </c>
      <c r="R9" s="1727">
        <f>Q9/I9*100</f>
        <v>111.9969321438663</v>
      </c>
      <c r="S9" s="1727">
        <f>Q9/L9*100</f>
        <v>88.005328850332248</v>
      </c>
      <c r="T9" s="1726">
        <f>Q9/Q64*T64</f>
        <v>5479.7162315550504</v>
      </c>
      <c r="U9" s="1726">
        <f>Q9-T9</f>
        <v>69.283768444949601</v>
      </c>
      <c r="V9" s="1726">
        <v>4317.3</v>
      </c>
      <c r="W9" s="1726">
        <f>1138.8*(объемы!$BB$9-объемы!$BB$18)/объемы!$BB$9</f>
        <v>1132.1145985680921</v>
      </c>
      <c r="X9" s="1726">
        <f>1138.8-W9</f>
        <v>6.6854014319078487</v>
      </c>
      <c r="Y9" s="1729">
        <v>6269</v>
      </c>
      <c r="Z9" s="1718">
        <f t="shared" ref="Z9:Z68" si="13">Y9/Q9</f>
        <v>1.1297531086682284</v>
      </c>
      <c r="AA9" s="1729">
        <f>электр!Q48</f>
        <v>4514.8884207278079</v>
      </c>
      <c r="AB9" s="1718">
        <f t="shared" si="1"/>
        <v>0.81364001094391925</v>
      </c>
      <c r="AC9" s="1729">
        <f t="shared" ref="AC9:AC14" si="14">$AC$64/$AA$64*AA9</f>
        <v>4463.6360473618633</v>
      </c>
      <c r="AD9" s="1729">
        <f>AA9-AC9</f>
        <v>51.25237336594455</v>
      </c>
      <c r="AE9" s="1694">
        <f>SUM(электр!AG48)</f>
        <v>4561</v>
      </c>
      <c r="AF9" s="1689">
        <f>AE9*AF64/(AF64+AG64)</f>
        <v>4504.7638524387221</v>
      </c>
      <c r="AG9" s="1764">
        <f>SUM(AE9-AF9)</f>
        <v>56.236147561277903</v>
      </c>
      <c r="AH9" s="1730">
        <f t="shared" ref="AH9:AH69" si="15">SUM(AJ9+AK9)</f>
        <v>5268.12</v>
      </c>
      <c r="AI9" s="1719">
        <f t="shared" ref="AI9:AI71" si="16">SUM(AH9/AA9)</f>
        <v>1.1668328226704592</v>
      </c>
      <c r="AJ9" s="1729">
        <v>5208.1499999999996</v>
      </c>
      <c r="AK9" s="1729">
        <v>59.97</v>
      </c>
      <c r="AL9" s="1766">
        <f t="shared" ref="AL9:AL69" si="17">SUM(AN9+AO9)</f>
        <v>4595.8327049355248</v>
      </c>
      <c r="AM9" s="1719">
        <f t="shared" ref="AM9:AM71" si="18">SUM(AL9/AA9)</f>
        <v>1.0179283022446586</v>
      </c>
      <c r="AN9" s="1689">
        <f>электр!AN48*AN64/(AN64+AO64)</f>
        <v>4543.5166051727483</v>
      </c>
      <c r="AO9" s="1764">
        <f>-AN9+электр!AN48</f>
        <v>52.316099762776503</v>
      </c>
      <c r="AP9" s="1720">
        <f t="shared" ref="AP9:AP71" si="19">AA9-Y9</f>
        <v>-1754.1115792721921</v>
      </c>
      <c r="AQ9" s="1720">
        <f>AP9*AC9/AA9</f>
        <v>-1734.1991532698917</v>
      </c>
      <c r="AR9" s="1720">
        <f t="shared" ref="AR9:AR71" si="20">AP9-AQ9</f>
        <v>-19.912426002300435</v>
      </c>
      <c r="AS9" s="1720">
        <f t="shared" si="2"/>
        <v>-1754.1115792721921</v>
      </c>
      <c r="AT9" s="1729">
        <f>SUM(электр!AT48)</f>
        <v>2048.4</v>
      </c>
      <c r="AU9" s="1729">
        <f>AT9*AU64/(AU64+AV64)</f>
        <v>2034.3013504280375</v>
      </c>
      <c r="AV9" s="1729">
        <f>SUM(AT9-AU9)</f>
        <v>14.098649571962596</v>
      </c>
      <c r="AW9" s="1694">
        <f>AX9+AY9</f>
        <v>3813.4100000000003</v>
      </c>
      <c r="AX9" s="1689">
        <v>3795.03</v>
      </c>
      <c r="AY9" s="1764">
        <v>18.38</v>
      </c>
      <c r="AZ9" s="1729">
        <v>5274.76</v>
      </c>
      <c r="BA9" s="1721">
        <f>SUM(AZ9/AL9)</f>
        <v>1.1477267208476423</v>
      </c>
      <c r="BB9" s="1729">
        <f>AZ9*BB64/(BB64+BC64)</f>
        <v>5246.5885750617672</v>
      </c>
      <c r="BC9" s="1729">
        <f>SUM(AZ9-BB9)</f>
        <v>28.171424938233031</v>
      </c>
      <c r="BD9" s="1694">
        <f>SUM(электр!BD48)</f>
        <v>3864.6286869024211</v>
      </c>
      <c r="BE9" s="1721">
        <f>SUM(BD9/AL9)</f>
        <v>0.84089846933552348</v>
      </c>
      <c r="BF9" s="1689">
        <f>BD9*BF64/(BF64+BG64)</f>
        <v>3843.9884877336981</v>
      </c>
      <c r="BG9" s="1764">
        <f>SUM(BD9-BF9)</f>
        <v>20.640199168723029</v>
      </c>
      <c r="BH9" s="1694">
        <f>BI9+BJ9</f>
        <v>1929.8899999999999</v>
      </c>
      <c r="BI9" s="1689">
        <v>1928.59</v>
      </c>
      <c r="BJ9" s="1764">
        <v>1.3</v>
      </c>
      <c r="BK9" s="1694">
        <f>BL9+BM9</f>
        <v>2203.6800000000003</v>
      </c>
      <c r="BL9" s="1689">
        <v>2202.61</v>
      </c>
      <c r="BM9" s="1764">
        <v>1.07</v>
      </c>
      <c r="BN9" s="1694">
        <f>BO9+BP9</f>
        <v>4869.12</v>
      </c>
      <c r="BO9" s="1689">
        <v>4862.37</v>
      </c>
      <c r="BP9" s="1764">
        <v>6.75</v>
      </c>
      <c r="BQ9" s="1694">
        <f>BR9+BS9</f>
        <v>4305.7336586955207</v>
      </c>
      <c r="BR9" s="1764">
        <f>'ЭЭ вода'!S21</f>
        <v>4304.5152791955206</v>
      </c>
      <c r="BS9" s="1764">
        <f>'ЭЭ вода'!S22</f>
        <v>1.2183794999999999</v>
      </c>
      <c r="BT9" s="1788" t="s">
        <v>976</v>
      </c>
    </row>
    <row r="10" spans="1:72" ht="21" customHeight="1" x14ac:dyDescent="0.2">
      <c r="A10" s="1681" t="s">
        <v>2</v>
      </c>
      <c r="B10" s="1723">
        <v>332.4</v>
      </c>
      <c r="C10" s="1724">
        <v>358.9</v>
      </c>
      <c r="D10" s="1725">
        <f t="shared" si="7"/>
        <v>107.97232250300843</v>
      </c>
      <c r="E10" s="1724">
        <v>315.89999999999998</v>
      </c>
      <c r="F10" s="1725">
        <f t="shared" si="8"/>
        <v>88.018946781833378</v>
      </c>
      <c r="G10" s="1724">
        <v>2033.4</v>
      </c>
      <c r="H10" s="1725">
        <f t="shared" si="9"/>
        <v>643.68471035137713</v>
      </c>
      <c r="I10" s="1726">
        <v>1050</v>
      </c>
      <c r="J10" s="1726">
        <v>158.4</v>
      </c>
      <c r="K10" s="1726">
        <v>2823.9</v>
      </c>
      <c r="L10" s="1726">
        <v>3765.8</v>
      </c>
      <c r="M10" s="1727">
        <f t="shared" si="10"/>
        <v>358.64761904761906</v>
      </c>
      <c r="N10" s="1727">
        <f t="shared" si="11"/>
        <v>185.19720664896232</v>
      </c>
      <c r="O10" s="1726">
        <v>3856</v>
      </c>
      <c r="P10" s="1727">
        <f t="shared" si="12"/>
        <v>367.23809523809524</v>
      </c>
      <c r="Q10" s="1728">
        <v>3772</v>
      </c>
      <c r="R10" s="1727">
        <f t="shared" ref="R10:R68" si="21">Q10/I10*100</f>
        <v>359.23809523809524</v>
      </c>
      <c r="S10" s="1727">
        <f t="shared" ref="S10:S65" si="22">Q10/L10*100</f>
        <v>100.16463965160125</v>
      </c>
      <c r="T10" s="1726">
        <f>Q10/Q64*T64</f>
        <v>3724.9035187287172</v>
      </c>
      <c r="U10" s="1726">
        <f t="shared" ref="U10:U16" si="23">Q10-T10</f>
        <v>47.096481271282755</v>
      </c>
      <c r="V10" s="1726">
        <v>2819.3</v>
      </c>
      <c r="W10" s="1726">
        <f>3756.7*(объемы!$BB$9-объемы!$BB$18)/объемы!$BB$9</f>
        <v>3734.646041834169</v>
      </c>
      <c r="X10" s="1726">
        <f>3756.7-W10</f>
        <v>22.053958165830863</v>
      </c>
      <c r="Y10" s="1729">
        <v>3847.4</v>
      </c>
      <c r="Z10" s="1718">
        <f t="shared" si="13"/>
        <v>1.0199893955461294</v>
      </c>
      <c r="AA10" s="1729">
        <f>Аморт!G21</f>
        <v>3756.7</v>
      </c>
      <c r="AB10" s="1718">
        <f t="shared" si="1"/>
        <v>0.9959437963944856</v>
      </c>
      <c r="AC10" s="1729">
        <f t="shared" si="14"/>
        <v>3714.0544741128274</v>
      </c>
      <c r="AD10" s="1729">
        <f t="shared" ref="AD10:AD53" si="24">AA10-AC10</f>
        <v>42.645525887172425</v>
      </c>
      <c r="AE10" s="1694">
        <f>SUM(Аморт!L21)</f>
        <v>3695.7</v>
      </c>
      <c r="AF10" s="1689">
        <f>AE10*AF64/(AF64+AG64)</f>
        <v>3650.1328150532308</v>
      </c>
      <c r="AG10" s="1764">
        <f>SUM(AE10-AF10)</f>
        <v>45.567184946768975</v>
      </c>
      <c r="AH10" s="1730">
        <f t="shared" si="15"/>
        <v>3759.1</v>
      </c>
      <c r="AI10" s="1719">
        <f t="shared" si="16"/>
        <v>1.0006388585726835</v>
      </c>
      <c r="AJ10" s="1729">
        <v>3716.31</v>
      </c>
      <c r="AK10" s="1729">
        <v>42.79</v>
      </c>
      <c r="AL10" s="1766">
        <f t="shared" si="17"/>
        <v>3759.1</v>
      </c>
      <c r="AM10" s="1719">
        <f t="shared" si="18"/>
        <v>1.0006388585726835</v>
      </c>
      <c r="AN10" s="1689">
        <f>Аморт!O21*AN64/(AN64+AO64)</f>
        <v>3716.3087446945019</v>
      </c>
      <c r="AO10" s="1764">
        <f>-AN10+Аморт!O21</f>
        <v>42.791255305497998</v>
      </c>
      <c r="AP10" s="1720">
        <f t="shared" si="19"/>
        <v>-90.700000000000273</v>
      </c>
      <c r="AQ10" s="1720">
        <f>AP10*AC10/AA10</f>
        <v>-89.67038645673982</v>
      </c>
      <c r="AR10" s="1720">
        <f t="shared" si="20"/>
        <v>-1.029613543260453</v>
      </c>
      <c r="AS10" s="1720">
        <f t="shared" si="2"/>
        <v>-90.700000000000273</v>
      </c>
      <c r="AT10" s="1729">
        <f>SUM(Аморт!Q21)</f>
        <v>1827.75</v>
      </c>
      <c r="AU10" s="1729">
        <f>AT10*AU64/(AU64+AV64)</f>
        <v>1815.1700318516137</v>
      </c>
      <c r="AV10" s="1729">
        <f>SUM(AT10-AU10)</f>
        <v>12.579968148386342</v>
      </c>
      <c r="AW10" s="1694">
        <f t="shared" ref="AW10:AW16" si="25">AX10+AY10</f>
        <v>3621.84</v>
      </c>
      <c r="AX10" s="1689">
        <v>3604.38</v>
      </c>
      <c r="AY10" s="1764">
        <v>17.46</v>
      </c>
      <c r="AZ10" s="1729">
        <f>SUM(Аморт!T21)</f>
        <v>3759.1</v>
      </c>
      <c r="BA10" s="1721">
        <f t="shared" ref="BA10:BA71" si="26">SUM(AZ10/AL10)</f>
        <v>1</v>
      </c>
      <c r="BB10" s="1729">
        <f>AZ10*BB64/(BB64+BC64)</f>
        <v>3739.0234081768058</v>
      </c>
      <c r="BC10" s="1729">
        <f>SUM(AZ10-BB10)</f>
        <v>20.076591823194121</v>
      </c>
      <c r="BD10" s="1694">
        <f>SUM(Аморт!U21)</f>
        <v>3644.55</v>
      </c>
      <c r="BE10" s="1721">
        <f t="shared" ref="BE10:BE71" si="27">SUM(BD10/AL10)</f>
        <v>0.96952728046606906</v>
      </c>
      <c r="BF10" s="1689">
        <f>BD10*BF64/(BF64+BG64)</f>
        <v>3625.0851965286315</v>
      </c>
      <c r="BG10" s="1764">
        <f>SUM(BD10-BF10)</f>
        <v>19.464803471368668</v>
      </c>
      <c r="BH10" s="1694">
        <f t="shared" ref="BH10:BH56" si="28">BI10+BJ10</f>
        <v>3566.58</v>
      </c>
      <c r="BI10" s="1689">
        <v>3564.18</v>
      </c>
      <c r="BJ10" s="1764">
        <v>2.4</v>
      </c>
      <c r="BK10" s="1694">
        <f t="shared" ref="BK10:BK14" si="29">BL10+BM10</f>
        <v>3595.1099999999997</v>
      </c>
      <c r="BL10" s="1689">
        <v>3593.37</v>
      </c>
      <c r="BM10" s="1764">
        <v>1.74</v>
      </c>
      <c r="BN10" s="1694">
        <f t="shared" ref="BN10:BN14" si="30">BO10+BP10</f>
        <v>3595.1099999999997</v>
      </c>
      <c r="BO10" s="1689">
        <v>3590.12</v>
      </c>
      <c r="BP10" s="1764">
        <v>4.99</v>
      </c>
      <c r="BQ10" s="1694">
        <f>Аморт!AL21</f>
        <v>3595.11</v>
      </c>
      <c r="BR10" s="1764">
        <f>BQ10/$BQ$64*$BR$64</f>
        <v>3593.3725181518635</v>
      </c>
      <c r="BS10" s="1764">
        <f>BQ10/$BQ$64*$BS$64</f>
        <v>1.7374818481367909</v>
      </c>
      <c r="BT10" s="1788" t="s">
        <v>976</v>
      </c>
    </row>
    <row r="11" spans="1:72" ht="21" customHeight="1" x14ac:dyDescent="0.2">
      <c r="A11" s="1681" t="s">
        <v>216</v>
      </c>
      <c r="B11" s="1723"/>
      <c r="C11" s="1724"/>
      <c r="D11" s="1725"/>
      <c r="E11" s="1724"/>
      <c r="F11" s="1725"/>
      <c r="G11" s="1724"/>
      <c r="H11" s="1725"/>
      <c r="I11" s="1726"/>
      <c r="J11" s="1726"/>
      <c r="K11" s="1726">
        <v>9.1999999999999993</v>
      </c>
      <c r="L11" s="1726">
        <v>9.1999999999999993</v>
      </c>
      <c r="M11" s="1727"/>
      <c r="N11" s="1727"/>
      <c r="O11" s="1726"/>
      <c r="P11" s="1727"/>
      <c r="Q11" s="1728"/>
      <c r="R11" s="1727"/>
      <c r="S11" s="1727">
        <f t="shared" si="22"/>
        <v>0</v>
      </c>
      <c r="T11" s="1726"/>
      <c r="U11" s="1726">
        <f t="shared" si="23"/>
        <v>0</v>
      </c>
      <c r="V11" s="1726">
        <v>0</v>
      </c>
      <c r="W11" s="1726">
        <v>0</v>
      </c>
      <c r="X11" s="1726">
        <v>0</v>
      </c>
      <c r="Y11" s="1729"/>
      <c r="Z11" s="1718"/>
      <c r="AA11" s="1729"/>
      <c r="AB11" s="1718"/>
      <c r="AC11" s="1729">
        <f t="shared" si="14"/>
        <v>0</v>
      </c>
      <c r="AD11" s="1729">
        <f t="shared" si="24"/>
        <v>0</v>
      </c>
      <c r="AE11" s="1694">
        <f>SUM(AF11:AG11)</f>
        <v>0</v>
      </c>
      <c r="AF11" s="1689">
        <v>0</v>
      </c>
      <c r="AG11" s="1764">
        <v>0</v>
      </c>
      <c r="AH11" s="1730">
        <v>0</v>
      </c>
      <c r="AI11" s="1719"/>
      <c r="AJ11" s="1729">
        <v>0</v>
      </c>
      <c r="AK11" s="1729">
        <v>0</v>
      </c>
      <c r="AL11" s="1766">
        <v>0</v>
      </c>
      <c r="AM11" s="1719"/>
      <c r="AN11" s="1689">
        <v>0</v>
      </c>
      <c r="AO11" s="1764">
        <v>0</v>
      </c>
      <c r="AP11" s="1720">
        <f t="shared" si="19"/>
        <v>0</v>
      </c>
      <c r="AQ11" s="1720"/>
      <c r="AR11" s="1720"/>
      <c r="AS11" s="1720">
        <f t="shared" si="2"/>
        <v>0</v>
      </c>
      <c r="AT11" s="1729">
        <v>0</v>
      </c>
      <c r="AU11" s="1729">
        <v>0</v>
      </c>
      <c r="AV11" s="1729">
        <v>0</v>
      </c>
      <c r="AW11" s="1694">
        <f t="shared" si="25"/>
        <v>0</v>
      </c>
      <c r="AX11" s="1689">
        <v>0</v>
      </c>
      <c r="AY11" s="1764">
        <v>0</v>
      </c>
      <c r="AZ11" s="1730">
        <v>0</v>
      </c>
      <c r="BA11" s="1721"/>
      <c r="BB11" s="1729">
        <v>0</v>
      </c>
      <c r="BC11" s="1729">
        <v>0</v>
      </c>
      <c r="BD11" s="1766">
        <v>0</v>
      </c>
      <c r="BE11" s="1721"/>
      <c r="BF11" s="1689">
        <v>0</v>
      </c>
      <c r="BG11" s="1764">
        <v>0</v>
      </c>
      <c r="BH11" s="1694">
        <f t="shared" si="28"/>
        <v>0</v>
      </c>
      <c r="BI11" s="1689">
        <v>0</v>
      </c>
      <c r="BJ11" s="1764">
        <v>0</v>
      </c>
      <c r="BK11" s="1694">
        <f t="shared" si="29"/>
        <v>0</v>
      </c>
      <c r="BL11" s="1689">
        <v>0</v>
      </c>
      <c r="BM11" s="1764">
        <v>0</v>
      </c>
      <c r="BN11" s="1694">
        <f t="shared" si="30"/>
        <v>0</v>
      </c>
      <c r="BO11" s="1689">
        <v>0</v>
      </c>
      <c r="BP11" s="1764">
        <v>0</v>
      </c>
      <c r="BQ11" s="1694">
        <f t="shared" ref="BQ11" si="31">BR11+BS11</f>
        <v>0</v>
      </c>
      <c r="BR11" s="1764">
        <v>0</v>
      </c>
      <c r="BS11" s="1764">
        <v>0</v>
      </c>
      <c r="BT11" s="1789"/>
    </row>
    <row r="12" spans="1:72" s="391" customFormat="1" ht="21" customHeight="1" x14ac:dyDescent="0.2">
      <c r="A12" s="2976" t="s">
        <v>3</v>
      </c>
      <c r="B12" s="2977">
        <v>430.7</v>
      </c>
      <c r="C12" s="2978">
        <v>299.2</v>
      </c>
      <c r="D12" s="2979">
        <f t="shared" si="7"/>
        <v>69.468307406547481</v>
      </c>
      <c r="E12" s="2978">
        <v>196.7</v>
      </c>
      <c r="F12" s="2979">
        <f t="shared" si="8"/>
        <v>65.741978609625662</v>
      </c>
      <c r="G12" s="2978">
        <v>430.7</v>
      </c>
      <c r="H12" s="2979">
        <f t="shared" si="9"/>
        <v>218.96288764616165</v>
      </c>
      <c r="I12" s="2980">
        <v>477.1</v>
      </c>
      <c r="J12" s="2980">
        <v>283.5</v>
      </c>
      <c r="K12" s="2980">
        <v>89</v>
      </c>
      <c r="L12" s="2980">
        <v>94.7</v>
      </c>
      <c r="M12" s="2981">
        <f t="shared" si="10"/>
        <v>19.849088241458812</v>
      </c>
      <c r="N12" s="2981">
        <f t="shared" si="11"/>
        <v>21.987462270722084</v>
      </c>
      <c r="O12" s="2980">
        <v>524.79999999999995</v>
      </c>
      <c r="P12" s="2981">
        <f t="shared" si="12"/>
        <v>109.99790400335358</v>
      </c>
      <c r="Q12" s="2982">
        <v>124.5</v>
      </c>
      <c r="R12" s="2981">
        <f t="shared" si="21"/>
        <v>26.095158247746802</v>
      </c>
      <c r="S12" s="2981">
        <f t="shared" si="22"/>
        <v>131.46779303062303</v>
      </c>
      <c r="T12" s="2980">
        <f>Q12/Q64*T64</f>
        <v>122.94551645856981</v>
      </c>
      <c r="U12" s="2980">
        <f t="shared" si="23"/>
        <v>1.5544835414301872</v>
      </c>
      <c r="V12" s="2980">
        <v>9.9</v>
      </c>
      <c r="W12" s="2980">
        <v>20</v>
      </c>
      <c r="X12" s="2980">
        <v>0</v>
      </c>
      <c r="Y12" s="2983">
        <v>478</v>
      </c>
      <c r="Z12" s="2984">
        <f t="shared" si="13"/>
        <v>3.8393574297188753</v>
      </c>
      <c r="AA12" s="2983">
        <v>0</v>
      </c>
      <c r="AB12" s="2984">
        <f t="shared" si="1"/>
        <v>0</v>
      </c>
      <c r="AC12" s="2983">
        <f t="shared" si="14"/>
        <v>0</v>
      </c>
      <c r="AD12" s="2983">
        <f t="shared" si="24"/>
        <v>0</v>
      </c>
      <c r="AE12" s="2983">
        <f>SUM(AF12:AG12)</f>
        <v>84.7</v>
      </c>
      <c r="AF12" s="2983">
        <v>84.7</v>
      </c>
      <c r="AG12" s="2983">
        <v>0</v>
      </c>
      <c r="AH12" s="2985">
        <f t="shared" si="15"/>
        <v>278</v>
      </c>
      <c r="AI12" s="2986"/>
      <c r="AJ12" s="2983">
        <v>278</v>
      </c>
      <c r="AK12" s="2983">
        <v>0</v>
      </c>
      <c r="AL12" s="2985">
        <f t="shared" si="17"/>
        <v>0</v>
      </c>
      <c r="AM12" s="2986"/>
      <c r="AN12" s="2983">
        <v>0</v>
      </c>
      <c r="AO12" s="2983">
        <v>0</v>
      </c>
      <c r="AP12" s="2987">
        <f t="shared" si="19"/>
        <v>-478</v>
      </c>
      <c r="AQ12" s="2987">
        <f>AP12</f>
        <v>-478</v>
      </c>
      <c r="AR12" s="2987">
        <f t="shared" si="20"/>
        <v>0</v>
      </c>
      <c r="AS12" s="2987">
        <f t="shared" si="2"/>
        <v>-478</v>
      </c>
      <c r="AT12" s="2983">
        <f>SUM(AU12:AV12)</f>
        <v>20.11</v>
      </c>
      <c r="AU12" s="2983">
        <v>20.11</v>
      </c>
      <c r="AV12" s="2983">
        <v>0</v>
      </c>
      <c r="AW12" s="2983">
        <f t="shared" si="25"/>
        <v>50.2</v>
      </c>
      <c r="AX12" s="2983">
        <v>50.2</v>
      </c>
      <c r="AY12" s="2983"/>
      <c r="AZ12" s="2985">
        <f>SUM(BB12:BC12)</f>
        <v>84.7</v>
      </c>
      <c r="BA12" s="2988"/>
      <c r="BB12" s="2983">
        <f>SUM(AF12)</f>
        <v>84.7</v>
      </c>
      <c r="BC12" s="2983">
        <v>0</v>
      </c>
      <c r="BD12" s="2985">
        <f>SUM(BF12:BG12)</f>
        <v>0</v>
      </c>
      <c r="BE12" s="2988"/>
      <c r="BF12" s="2983">
        <v>0</v>
      </c>
      <c r="BG12" s="2983">
        <v>0</v>
      </c>
      <c r="BH12" s="2983">
        <f t="shared" si="28"/>
        <v>45.07</v>
      </c>
      <c r="BI12" s="2983">
        <v>45.07</v>
      </c>
      <c r="BJ12" s="2983">
        <v>0</v>
      </c>
      <c r="BK12" s="2983">
        <f t="shared" si="29"/>
        <v>209.65</v>
      </c>
      <c r="BL12" s="2983">
        <v>209.65</v>
      </c>
      <c r="BM12" s="2983">
        <v>0</v>
      </c>
      <c r="BN12" s="2983">
        <f t="shared" si="30"/>
        <v>131.51</v>
      </c>
      <c r="BO12" s="2983">
        <v>131.51</v>
      </c>
      <c r="BP12" s="2983">
        <v>0</v>
      </c>
      <c r="BQ12" s="2983">
        <f>BR12</f>
        <v>0</v>
      </c>
      <c r="BR12" s="2983">
        <v>0</v>
      </c>
      <c r="BS12" s="2983">
        <f>BQ12/$BQ$64*$BS$64</f>
        <v>0</v>
      </c>
      <c r="BT12" s="2989" t="s">
        <v>1505</v>
      </c>
    </row>
    <row r="13" spans="1:72" ht="21" customHeight="1" x14ac:dyDescent="0.2">
      <c r="A13" s="1681" t="s">
        <v>4</v>
      </c>
      <c r="B13" s="1723">
        <v>3660.5</v>
      </c>
      <c r="C13" s="1724">
        <v>4691.6000000000004</v>
      </c>
      <c r="D13" s="1725">
        <f t="shared" si="7"/>
        <v>128.16828302144515</v>
      </c>
      <c r="E13" s="1724">
        <v>5232.7</v>
      </c>
      <c r="F13" s="1725">
        <f t="shared" si="8"/>
        <v>111.53337880467218</v>
      </c>
      <c r="G13" s="1724">
        <v>5489.3</v>
      </c>
      <c r="H13" s="1725">
        <f t="shared" si="9"/>
        <v>104.90377816423644</v>
      </c>
      <c r="I13" s="1726">
        <v>5688.7</v>
      </c>
      <c r="J13" s="1726">
        <v>2902.6</v>
      </c>
      <c r="K13" s="1726">
        <v>3448.6</v>
      </c>
      <c r="L13" s="1726">
        <v>4913.3999999999996</v>
      </c>
      <c r="M13" s="1727">
        <f t="shared" si="10"/>
        <v>86.371227169652116</v>
      </c>
      <c r="N13" s="1727">
        <f t="shared" si="11"/>
        <v>89.508680523928362</v>
      </c>
      <c r="O13" s="1726">
        <v>6949</v>
      </c>
      <c r="P13" s="1727">
        <f t="shared" si="12"/>
        <v>122.15444653435759</v>
      </c>
      <c r="Q13" s="1728">
        <f>ЗП!AP9</f>
        <v>6092.5977000000012</v>
      </c>
      <c r="R13" s="1727">
        <f t="shared" si="21"/>
        <v>107.10000000000002</v>
      </c>
      <c r="S13" s="1727">
        <f t="shared" si="22"/>
        <v>123.99962754915133</v>
      </c>
      <c r="T13" s="1726">
        <f>Q13/Q64*T64</f>
        <v>6016.5266730987532</v>
      </c>
      <c r="U13" s="1726">
        <f t="shared" si="23"/>
        <v>76.071026901247933</v>
      </c>
      <c r="V13" s="1726">
        <v>4239.5</v>
      </c>
      <c r="W13" s="1726">
        <f>5586.1*(объемы!$BB$9-объемы!$BB$18)/объемы!$BB$9</f>
        <v>5553.306426994398</v>
      </c>
      <c r="X13" s="1726">
        <f>5586.1-W13</f>
        <v>32.793573005602411</v>
      </c>
      <c r="Y13" s="1729">
        <v>7172.3</v>
      </c>
      <c r="Z13" s="1718">
        <f t="shared" si="13"/>
        <v>1.1772154265166725</v>
      </c>
      <c r="AA13" s="1729">
        <f>ЗП!U25</f>
        <v>6433.7831712000025</v>
      </c>
      <c r="AB13" s="1718">
        <f t="shared" si="1"/>
        <v>1.0560000000000003</v>
      </c>
      <c r="AC13" s="1729">
        <f t="shared" si="14"/>
        <v>6360.7477766303364</v>
      </c>
      <c r="AD13" s="1729">
        <f t="shared" si="24"/>
        <v>73.035394569666096</v>
      </c>
      <c r="AE13" s="1694">
        <f>SUM(ЗП!AS25)</f>
        <v>6293.5</v>
      </c>
      <c r="AF13" s="1689">
        <f>AE13*AF64/(AF64+AG64)</f>
        <v>6215.902500618965</v>
      </c>
      <c r="AG13" s="1764">
        <f>SUM(AE13-AF13)</f>
        <v>77.59749938103505</v>
      </c>
      <c r="AH13" s="1730">
        <f t="shared" si="15"/>
        <v>6900.59</v>
      </c>
      <c r="AI13" s="1719">
        <f t="shared" si="16"/>
        <v>1.0725555736614809</v>
      </c>
      <c r="AJ13" s="1729">
        <v>6822.04</v>
      </c>
      <c r="AK13" s="1729">
        <v>78.55</v>
      </c>
      <c r="AL13" s="1766">
        <f t="shared" si="17"/>
        <v>5622.7018867924526</v>
      </c>
      <c r="AM13" s="1719">
        <f t="shared" si="18"/>
        <v>0.87393400386288267</v>
      </c>
      <c r="AN13" s="1689">
        <f>ЗП!BB25*AN64/(AN64+AO64)</f>
        <v>5558.6965472312704</v>
      </c>
      <c r="AO13" s="1764">
        <f>-AN13+ЗП!BB25</f>
        <v>64.005339561182154</v>
      </c>
      <c r="AP13" s="1720">
        <f t="shared" si="19"/>
        <v>-738.51682879999771</v>
      </c>
      <c r="AQ13" s="1720">
        <f t="shared" ref="AQ13:AQ20" si="32">AP13*AC13/AA13</f>
        <v>-730.13329044433897</v>
      </c>
      <c r="AR13" s="1720">
        <f t="shared" si="20"/>
        <v>-8.3835383556587431</v>
      </c>
      <c r="AS13" s="1720">
        <f t="shared" si="2"/>
        <v>-738.51682879999771</v>
      </c>
      <c r="AT13" s="1729">
        <f>SUM(ЗП!BG25)</f>
        <v>3051.5</v>
      </c>
      <c r="AU13" s="1729">
        <f>AT13*AU64/(AU64+AV64)</f>
        <v>3030.4972519191351</v>
      </c>
      <c r="AV13" s="1729">
        <f>SUM(AT13-AU13)</f>
        <v>21.002748080864876</v>
      </c>
      <c r="AW13" s="1694">
        <f t="shared" si="25"/>
        <v>6226.66</v>
      </c>
      <c r="AX13" s="1689">
        <v>6196.65</v>
      </c>
      <c r="AY13" s="1764">
        <v>30.01</v>
      </c>
      <c r="AZ13" s="1729">
        <v>7590.65</v>
      </c>
      <c r="BA13" s="1721">
        <f t="shared" si="26"/>
        <v>1.3500004362369262</v>
      </c>
      <c r="BB13" s="1729">
        <f>AZ13*BB64/(BB64+BC64)</f>
        <v>7550.109875575874</v>
      </c>
      <c r="BC13" s="1729">
        <f>SUM(AZ13-BB13)</f>
        <v>40.540124424125679</v>
      </c>
      <c r="BD13" s="1694">
        <f>SUM(ЗП!BS25)</f>
        <v>6975.4151999999985</v>
      </c>
      <c r="BE13" s="1721">
        <f t="shared" si="27"/>
        <v>1.2405806568520068</v>
      </c>
      <c r="BF13" s="1689">
        <f>BD13*BF64/(BF64+BG64)</f>
        <v>6938.1609200479606</v>
      </c>
      <c r="BG13" s="1764">
        <f>SUM(BD13-BF13)</f>
        <v>37.254279952037905</v>
      </c>
      <c r="BH13" s="1694">
        <f t="shared" si="28"/>
        <v>6840.58</v>
      </c>
      <c r="BI13" s="1689">
        <v>6835.98</v>
      </c>
      <c r="BJ13" s="1764">
        <v>4.5999999999999996</v>
      </c>
      <c r="BK13" s="1694">
        <f t="shared" si="29"/>
        <v>6200.02</v>
      </c>
      <c r="BL13" s="1689">
        <v>6197.02</v>
      </c>
      <c r="BM13" s="1764">
        <v>3</v>
      </c>
      <c r="BN13" s="1694">
        <f t="shared" si="30"/>
        <v>9717.7199999999993</v>
      </c>
      <c r="BO13" s="1689">
        <v>9704.24</v>
      </c>
      <c r="BP13" s="1764">
        <v>13.48</v>
      </c>
      <c r="BQ13" s="1694">
        <f>ЗП!CO25</f>
        <v>7837.6569480000007</v>
      </c>
      <c r="BR13" s="1764">
        <f t="shared" ref="BR13:BR16" si="33">BQ13/$BQ$64*$BR$64</f>
        <v>7833.8690842965052</v>
      </c>
      <c r="BS13" s="1764">
        <f t="shared" ref="BS13:BS14" si="34">BQ13/$BQ$64*$BS$64</f>
        <v>3.7878637034953591</v>
      </c>
      <c r="BT13" s="1788" t="s">
        <v>976</v>
      </c>
    </row>
    <row r="14" spans="1:72" ht="21" customHeight="1" x14ac:dyDescent="0.2">
      <c r="A14" s="1681" t="s">
        <v>5</v>
      </c>
      <c r="B14" s="1723">
        <v>941.4</v>
      </c>
      <c r="C14" s="1724">
        <v>1188.5999999999999</v>
      </c>
      <c r="D14" s="1725">
        <f t="shared" si="7"/>
        <v>126.25876354365838</v>
      </c>
      <c r="E14" s="1724">
        <v>1266.7</v>
      </c>
      <c r="F14" s="1725">
        <f t="shared" si="8"/>
        <v>106.57075551068485</v>
      </c>
      <c r="G14" s="1724">
        <v>1763.9</v>
      </c>
      <c r="H14" s="1725">
        <f t="shared" si="9"/>
        <v>139.251598642141</v>
      </c>
      <c r="I14" s="1726">
        <f>I13*30.3/100</f>
        <v>1723.6760999999999</v>
      </c>
      <c r="J14" s="1726">
        <v>893.7</v>
      </c>
      <c r="K14" s="1726">
        <v>1027.5999999999999</v>
      </c>
      <c r="L14" s="1726">
        <v>1463.3</v>
      </c>
      <c r="M14" s="1727">
        <f t="shared" si="10"/>
        <v>84.894139914105665</v>
      </c>
      <c r="N14" s="1727">
        <f t="shared" si="11"/>
        <v>82.958217586030941</v>
      </c>
      <c r="O14" s="1726">
        <v>2098.6</v>
      </c>
      <c r="P14" s="1727">
        <f t="shared" si="12"/>
        <v>121.75141257687568</v>
      </c>
      <c r="Q14" s="1728">
        <f>Q13*0.302</f>
        <v>1839.9645054000002</v>
      </c>
      <c r="R14" s="1727">
        <f t="shared" si="21"/>
        <v>106.74653465346537</v>
      </c>
      <c r="S14" s="1727">
        <f t="shared" si="22"/>
        <v>125.74075756167569</v>
      </c>
      <c r="T14" s="1726">
        <f>Q14/Q64*T64</f>
        <v>1816.9910552758231</v>
      </c>
      <c r="U14" s="1726">
        <f t="shared" si="23"/>
        <v>22.973450124177134</v>
      </c>
      <c r="V14" s="1726">
        <v>1271.0999999999999</v>
      </c>
      <c r="W14" s="1726"/>
      <c r="X14" s="1726"/>
      <c r="Y14" s="1729">
        <v>2166</v>
      </c>
      <c r="Z14" s="1718">
        <f t="shared" si="13"/>
        <v>1.1771966218060934</v>
      </c>
      <c r="AA14" s="1729">
        <f>AA13*V15</f>
        <v>1928.9967658715232</v>
      </c>
      <c r="AB14" s="1718">
        <f t="shared" si="1"/>
        <v>1.0483880315137752</v>
      </c>
      <c r="AC14" s="1729">
        <f t="shared" si="14"/>
        <v>1907.0990680209504</v>
      </c>
      <c r="AD14" s="1729">
        <f t="shared" si="24"/>
        <v>21.89769785057274</v>
      </c>
      <c r="AE14" s="1694">
        <v>1885.2</v>
      </c>
      <c r="AF14" s="1689">
        <f>AE14*AF64/(AF64+AG64)</f>
        <v>1861.9558900718</v>
      </c>
      <c r="AG14" s="1764">
        <f>SUM(AE14-AF14)</f>
        <v>23.244109928200032</v>
      </c>
      <c r="AH14" s="1730">
        <f t="shared" si="15"/>
        <v>2077.0699999999997</v>
      </c>
      <c r="AI14" s="1719">
        <f t="shared" si="16"/>
        <v>1.0767617845442976</v>
      </c>
      <c r="AJ14" s="1729">
        <v>2053.4299999999998</v>
      </c>
      <c r="AK14" s="1729">
        <v>23.64</v>
      </c>
      <c r="AL14" s="1766">
        <f t="shared" si="17"/>
        <v>1685.815867036652</v>
      </c>
      <c r="AM14" s="1719">
        <f t="shared" si="18"/>
        <v>0.87393400386288267</v>
      </c>
      <c r="AN14" s="1689">
        <f>AN13*AA15</f>
        <v>1666.6255882027756</v>
      </c>
      <c r="AO14" s="1764">
        <f>AO13*AA15</f>
        <v>19.190278833876313</v>
      </c>
      <c r="AP14" s="1720">
        <f t="shared" si="19"/>
        <v>-237.00323412847683</v>
      </c>
      <c r="AQ14" s="1720">
        <f t="shared" si="32"/>
        <v>-234.3128070098968</v>
      </c>
      <c r="AR14" s="1720">
        <f t="shared" si="20"/>
        <v>-2.6904271185800326</v>
      </c>
      <c r="AS14" s="1720">
        <f t="shared" si="2"/>
        <v>-237.00323412847683</v>
      </c>
      <c r="AT14" s="1729">
        <v>916.4</v>
      </c>
      <c r="AU14" s="1729">
        <v>910.09</v>
      </c>
      <c r="AV14" s="1729">
        <f>AT14-AU14</f>
        <v>6.3099999999999454</v>
      </c>
      <c r="AW14" s="1694">
        <f t="shared" si="25"/>
        <v>1871.76</v>
      </c>
      <c r="AX14" s="1689">
        <v>1862.74</v>
      </c>
      <c r="AY14" s="1764">
        <v>9.02</v>
      </c>
      <c r="AZ14" s="1730">
        <f t="shared" ref="AZ14" si="35">SUM(BB14+BC14)</f>
        <v>2284.7773009988996</v>
      </c>
      <c r="BA14" s="1721">
        <f t="shared" si="26"/>
        <v>1.3552946947967155</v>
      </c>
      <c r="BB14" s="1729">
        <f>SUM(BB13*AH15)</f>
        <v>2272.5747681375619</v>
      </c>
      <c r="BC14" s="1729">
        <f>SUM(BC13*AH15)</f>
        <v>12.202532861337756</v>
      </c>
      <c r="BD14" s="1766">
        <f t="shared" ref="BD14" si="36">SUM(BF14+BG14)</f>
        <v>2099.5923028993166</v>
      </c>
      <c r="BE14" s="1721">
        <f t="shared" si="27"/>
        <v>1.2454458069551841</v>
      </c>
      <c r="BF14" s="1689">
        <f>SUM(BF13*AZ15)</f>
        <v>2088.3788056099575</v>
      </c>
      <c r="BG14" s="1764">
        <f>SUM(BG13*AZ15)</f>
        <v>11.213497289359223</v>
      </c>
      <c r="BH14" s="1694">
        <f t="shared" si="28"/>
        <v>2063.7199999999998</v>
      </c>
      <c r="BI14" s="1689">
        <v>2062.33</v>
      </c>
      <c r="BJ14" s="1764">
        <v>1.39</v>
      </c>
      <c r="BK14" s="1694">
        <f t="shared" si="29"/>
        <v>1863.0900000000001</v>
      </c>
      <c r="BL14" s="1689">
        <v>1862.19</v>
      </c>
      <c r="BM14" s="1764">
        <v>0.9</v>
      </c>
      <c r="BN14" s="1694">
        <f t="shared" si="30"/>
        <v>2925.04</v>
      </c>
      <c r="BO14" s="1689">
        <v>2920.98</v>
      </c>
      <c r="BP14" s="1764">
        <v>4.0599999999999996</v>
      </c>
      <c r="BQ14" s="1694">
        <f>BQ13*BN15</f>
        <v>2359.1398063720626</v>
      </c>
      <c r="BR14" s="1764">
        <f t="shared" si="33"/>
        <v>2357.9996569494333</v>
      </c>
      <c r="BS14" s="1764">
        <f t="shared" si="34"/>
        <v>1.1401494226291831</v>
      </c>
      <c r="BT14" s="1788" t="s">
        <v>247</v>
      </c>
    </row>
    <row r="15" spans="1:72" s="182" customFormat="1" ht="21" customHeight="1" x14ac:dyDescent="0.2">
      <c r="A15" s="1756" t="s">
        <v>318</v>
      </c>
      <c r="B15" s="1731"/>
      <c r="C15" s="1725"/>
      <c r="D15" s="1725"/>
      <c r="E15" s="1732">
        <f t="shared" ref="E15:K15" si="37">E14/E13</f>
        <v>0.24207388155254458</v>
      </c>
      <c r="F15" s="1732">
        <f t="shared" si="37"/>
        <v>0.95550548770984201</v>
      </c>
      <c r="G15" s="1732">
        <f t="shared" si="37"/>
        <v>0.32133423205144557</v>
      </c>
      <c r="H15" s="1732"/>
      <c r="I15" s="1732">
        <f t="shared" si="37"/>
        <v>0.30299999999999999</v>
      </c>
      <c r="J15" s="1732">
        <f t="shared" si="37"/>
        <v>0.30789636877282439</v>
      </c>
      <c r="K15" s="1732">
        <f t="shared" si="37"/>
        <v>0.29797599025691585</v>
      </c>
      <c r="L15" s="1732">
        <f>L14/L13</f>
        <v>0.29781821142182602</v>
      </c>
      <c r="M15" s="1727"/>
      <c r="N15" s="1727"/>
      <c r="O15" s="1727"/>
      <c r="P15" s="1727"/>
      <c r="Q15" s="1733">
        <f>Q14/Q13</f>
        <v>0.30199999999999999</v>
      </c>
      <c r="R15" s="1727"/>
      <c r="S15" s="1727"/>
      <c r="T15" s="1727"/>
      <c r="U15" s="1727"/>
      <c r="V15" s="1732">
        <f>V14/V13</f>
        <v>0.29982309234579546</v>
      </c>
      <c r="W15" s="1732"/>
      <c r="X15" s="1727"/>
      <c r="Y15" s="1734">
        <f>Y14/Y13</f>
        <v>0.30199517588500202</v>
      </c>
      <c r="Z15" s="1718">
        <f t="shared" si="13"/>
        <v>0.99998402610927828</v>
      </c>
      <c r="AA15" s="1734">
        <f>AA14/AA13</f>
        <v>0.29982309234579546</v>
      </c>
      <c r="AB15" s="1718"/>
      <c r="AC15" s="1735"/>
      <c r="AD15" s="1735"/>
      <c r="AE15" s="1760">
        <f>AE14/AE13</f>
        <v>0.29954715182330977</v>
      </c>
      <c r="AF15" s="1696">
        <f>AF14/AF13</f>
        <v>0.29954715182330977</v>
      </c>
      <c r="AG15" s="1765">
        <f>AG14/AG13</f>
        <v>0.29954715182330899</v>
      </c>
      <c r="AH15" s="1734">
        <f>SUM(AH14/AH13)</f>
        <v>0.30099890009404989</v>
      </c>
      <c r="AI15" s="1719"/>
      <c r="AJ15" s="1734">
        <f>SUM(AJ14/AJ13)</f>
        <v>0.30099940780177187</v>
      </c>
      <c r="AK15" s="1734">
        <f>SUM(AK14/AK13)</f>
        <v>0.30095480585614259</v>
      </c>
      <c r="AL15" s="1760">
        <f>SUM(AL14/AL13)</f>
        <v>0.29982309234579546</v>
      </c>
      <c r="AM15" s="1719">
        <f t="shared" si="18"/>
        <v>1</v>
      </c>
      <c r="AN15" s="1696">
        <f>AN14/AN13</f>
        <v>0.29982309234579546</v>
      </c>
      <c r="AO15" s="1765">
        <f>AO14/AO13</f>
        <v>0.29982309234579546</v>
      </c>
      <c r="AP15" s="1720">
        <f t="shared" si="19"/>
        <v>-2.1720835392065596E-3</v>
      </c>
      <c r="AQ15" s="1720">
        <f t="shared" si="32"/>
        <v>0</v>
      </c>
      <c r="AR15" s="1720">
        <f t="shared" si="20"/>
        <v>-2.1720835392065596E-3</v>
      </c>
      <c r="AS15" s="1720">
        <f t="shared" si="2"/>
        <v>-2.1720835392065596E-3</v>
      </c>
      <c r="AT15" s="1734">
        <f>AT14/AT13</f>
        <v>0.30031132230050794</v>
      </c>
      <c r="AU15" s="1734">
        <f t="shared" ref="AU15:AV15" si="38">AU14/AU13</f>
        <v>0.3003104521621538</v>
      </c>
      <c r="AV15" s="1734">
        <f t="shared" si="38"/>
        <v>0.30043687500822058</v>
      </c>
      <c r="AW15" s="1760">
        <f>AW14/AW13</f>
        <v>0.30060417623573471</v>
      </c>
      <c r="AX15" s="1760">
        <f t="shared" ref="AX15:AY15" si="39">AX14/AX13</f>
        <v>0.30060435880677466</v>
      </c>
      <c r="AY15" s="1760">
        <f t="shared" si="39"/>
        <v>0.30056647784071971</v>
      </c>
      <c r="AZ15" s="1734">
        <f>SUM(AZ14/AZ13)</f>
        <v>0.30099890009404989</v>
      </c>
      <c r="BA15" s="1721">
        <f t="shared" si="26"/>
        <v>1.0039216717400083</v>
      </c>
      <c r="BB15" s="1734">
        <f>SUM(BB14/BB13)</f>
        <v>0.30099890009404989</v>
      </c>
      <c r="BC15" s="1734">
        <f>SUM(BC14/BC13)</f>
        <v>0.30099890009404989</v>
      </c>
      <c r="BD15" s="1760">
        <f>SUM(BD14/BD13)</f>
        <v>0.30099890009404989</v>
      </c>
      <c r="BE15" s="1721">
        <f t="shared" si="27"/>
        <v>1.0039216717400083</v>
      </c>
      <c r="BF15" s="1696">
        <f t="shared" ref="BF15:BS15" si="40">SUM(BF14/BF13)</f>
        <v>0.30099890009404989</v>
      </c>
      <c r="BG15" s="1765">
        <f t="shared" si="40"/>
        <v>0.30099890009404989</v>
      </c>
      <c r="BH15" s="1696">
        <f t="shared" si="40"/>
        <v>0.30168786857254792</v>
      </c>
      <c r="BI15" s="1696">
        <f t="shared" si="40"/>
        <v>0.30168754150831339</v>
      </c>
      <c r="BJ15" s="1765">
        <f t="shared" si="40"/>
        <v>0.30217391304347824</v>
      </c>
      <c r="BK15" s="1696">
        <f t="shared" si="40"/>
        <v>0.30049741775026534</v>
      </c>
      <c r="BL15" s="1696">
        <f t="shared" si="40"/>
        <v>0.30049765855201371</v>
      </c>
      <c r="BM15" s="1765">
        <f t="shared" si="40"/>
        <v>0.3</v>
      </c>
      <c r="BN15" s="1696">
        <f t="shared" si="40"/>
        <v>0.30100064624212264</v>
      </c>
      <c r="BO15" s="1696">
        <f t="shared" si="40"/>
        <v>0.30100038745950225</v>
      </c>
      <c r="BP15" s="1765">
        <f t="shared" si="40"/>
        <v>0.301186943620178</v>
      </c>
      <c r="BQ15" s="1696">
        <f t="shared" si="40"/>
        <v>0.30100064624212264</v>
      </c>
      <c r="BR15" s="1696">
        <f t="shared" si="40"/>
        <v>0.30100064624212258</v>
      </c>
      <c r="BS15" s="1696">
        <f t="shared" si="40"/>
        <v>0.30100064624212264</v>
      </c>
      <c r="BT15" s="1790"/>
    </row>
    <row r="16" spans="1:72" ht="21" customHeight="1" x14ac:dyDescent="0.2">
      <c r="A16" s="1681" t="s">
        <v>6</v>
      </c>
      <c r="B16" s="1723">
        <v>1425.4</v>
      </c>
      <c r="C16" s="1724">
        <v>1648.4</v>
      </c>
      <c r="D16" s="1725">
        <f t="shared" si="7"/>
        <v>115.64473130349376</v>
      </c>
      <c r="E16" s="1724">
        <v>1717.5</v>
      </c>
      <c r="F16" s="1725">
        <f t="shared" si="8"/>
        <v>104.1919437029847</v>
      </c>
      <c r="G16" s="1724">
        <v>1471.6</v>
      </c>
      <c r="H16" s="1725">
        <f t="shared" si="9"/>
        <v>85.682678311499274</v>
      </c>
      <c r="I16" s="1726">
        <v>1679.5</v>
      </c>
      <c r="J16" s="1726">
        <v>876.6</v>
      </c>
      <c r="K16" s="1726">
        <f>'цех вода'!K47</f>
        <v>1370.1342035638834</v>
      </c>
      <c r="L16" s="1726">
        <v>1480.3</v>
      </c>
      <c r="M16" s="1727">
        <f t="shared" si="10"/>
        <v>88.139327180708534</v>
      </c>
      <c r="N16" s="1727">
        <f t="shared" si="11"/>
        <v>100.59119325903778</v>
      </c>
      <c r="O16" s="1726">
        <v>1662.3</v>
      </c>
      <c r="P16" s="1727">
        <f t="shared" si="12"/>
        <v>98.975885680261982</v>
      </c>
      <c r="Q16" s="1728">
        <f>'цех вода'!P47</f>
        <v>1328.848310908827</v>
      </c>
      <c r="R16" s="1727">
        <f t="shared" si="21"/>
        <v>79.121661858221316</v>
      </c>
      <c r="S16" s="1727">
        <f t="shared" si="22"/>
        <v>89.768851645533132</v>
      </c>
      <c r="T16" s="1726">
        <f>Q16/Q64*T64</f>
        <v>1312.2565612834046</v>
      </c>
      <c r="U16" s="1726">
        <f t="shared" si="23"/>
        <v>16.591749625422381</v>
      </c>
      <c r="V16" s="1726">
        <v>832.1</v>
      </c>
      <c r="W16" s="1726"/>
      <c r="X16" s="1726"/>
      <c r="Y16" s="1729">
        <v>1803.5</v>
      </c>
      <c r="Z16" s="1718">
        <f t="shared" si="13"/>
        <v>1.357190271601842</v>
      </c>
      <c r="AA16" s="1729">
        <f>'цех вода'!W47</f>
        <v>1410.9363841017698</v>
      </c>
      <c r="AB16" s="1718">
        <f t="shared" si="1"/>
        <v>1.0617738477138907</v>
      </c>
      <c r="AC16" s="1729">
        <f>AA16-AD16</f>
        <v>1338.8363841017699</v>
      </c>
      <c r="AD16" s="1729">
        <v>72.099999999999994</v>
      </c>
      <c r="AE16" s="1694">
        <v>1490.4</v>
      </c>
      <c r="AF16" s="1689">
        <f>AE16*AF64/(AF64+AG64)</f>
        <v>1472.0236890319386</v>
      </c>
      <c r="AG16" s="1764">
        <f>SUM(AE16-AF16)</f>
        <v>18.376310968061489</v>
      </c>
      <c r="AH16" s="1730">
        <f t="shared" si="15"/>
        <v>1505.7700000000002</v>
      </c>
      <c r="AI16" s="1719">
        <f t="shared" si="16"/>
        <v>1.0672132471504754</v>
      </c>
      <c r="AJ16" s="1729">
        <v>1488.63</v>
      </c>
      <c r="AK16" s="1729">
        <v>17.14</v>
      </c>
      <c r="AL16" s="1766">
        <f t="shared" si="17"/>
        <v>1484.5350755710156</v>
      </c>
      <c r="AM16" s="1719">
        <f t="shared" si="18"/>
        <v>1.0521630119532994</v>
      </c>
      <c r="AN16" s="1689">
        <f>'цех вода'!AB47*AN64/(AN64+AO64)</f>
        <v>1467.6360520205046</v>
      </c>
      <c r="AO16" s="1764">
        <f>-AN16+'цех вода'!AB47</f>
        <v>16.899023550510947</v>
      </c>
      <c r="AP16" s="1720">
        <f t="shared" si="19"/>
        <v>-392.56361589823018</v>
      </c>
      <c r="AQ16" s="1720">
        <f t="shared" si="32"/>
        <v>-372.50329494741624</v>
      </c>
      <c r="AR16" s="1720">
        <f t="shared" si="20"/>
        <v>-20.060320950813946</v>
      </c>
      <c r="AS16" s="1720">
        <f t="shared" si="2"/>
        <v>-392.56361589823018</v>
      </c>
      <c r="AT16" s="1729">
        <v>1047.32</v>
      </c>
      <c r="AU16" s="1729">
        <f>AT16*AU64/(AU64+AV64)</f>
        <v>1040.1115457578071</v>
      </c>
      <c r="AV16" s="1729">
        <f>SUM(AT16-AU16)</f>
        <v>7.208454242192829</v>
      </c>
      <c r="AW16" s="1694">
        <f t="shared" si="25"/>
        <v>1903.8500000000001</v>
      </c>
      <c r="AX16" s="1689">
        <v>1894.67</v>
      </c>
      <c r="AY16" s="1764">
        <v>9.18</v>
      </c>
      <c r="AZ16" s="1729">
        <v>1850.81</v>
      </c>
      <c r="BA16" s="1721">
        <f t="shared" ref="BA16" si="41">SUM(AZ16/AL16)</f>
        <v>1.2467270261621131</v>
      </c>
      <c r="BB16" s="1729">
        <f>AZ16*BB64/(BB64+BC64)</f>
        <v>1840.9251986081013</v>
      </c>
      <c r="BC16" s="1729">
        <f>SUM(AZ16-BB16)</f>
        <v>9.8848013918986908</v>
      </c>
      <c r="BD16" s="1694">
        <f>SUM('цех вода'!AG47)</f>
        <v>1611.1723912953566</v>
      </c>
      <c r="BE16" s="1721">
        <f t="shared" ref="BE16" si="42">SUM(BD16/AL16)</f>
        <v>1.0853043608118393</v>
      </c>
      <c r="BF16" s="1689">
        <f>BD16*BF64/(BF64+BG64)</f>
        <v>1602.567445841169</v>
      </c>
      <c r="BG16" s="1764">
        <f>SUM(BD16-BF16)</f>
        <v>8.6049454541876003</v>
      </c>
      <c r="BH16" s="1694">
        <f t="shared" si="28"/>
        <v>1817.18</v>
      </c>
      <c r="BI16" s="1689">
        <v>1815.96</v>
      </c>
      <c r="BJ16" s="1764">
        <v>1.22</v>
      </c>
      <c r="BK16" s="1694">
        <f t="shared" ref="BK16" si="43">BL16+BM16</f>
        <v>1309.4000000000001</v>
      </c>
      <c r="BL16" s="1689">
        <v>1308.77</v>
      </c>
      <c r="BM16" s="1764">
        <v>0.63</v>
      </c>
      <c r="BN16" s="1694">
        <f t="shared" ref="BN16" si="44">BO16+BP16</f>
        <v>1742.41</v>
      </c>
      <c r="BO16" s="1689">
        <v>1739.99</v>
      </c>
      <c r="BP16" s="1764">
        <v>2.42</v>
      </c>
      <c r="BQ16" s="1694">
        <f>'цех вода'!AK47</f>
        <v>1475.4542413298955</v>
      </c>
      <c r="BR16" s="1764">
        <f t="shared" si="33"/>
        <v>1474.7411685832849</v>
      </c>
      <c r="BS16" s="1764">
        <f t="shared" ref="BS16" si="45">BQ16/$BQ$64*$BS$64</f>
        <v>0.71307274661057185</v>
      </c>
      <c r="BT16" s="1788" t="s">
        <v>976</v>
      </c>
    </row>
    <row r="17" spans="1:73" s="2717" customFormat="1" ht="21" customHeight="1" x14ac:dyDescent="0.2">
      <c r="A17" s="1757" t="s">
        <v>7</v>
      </c>
      <c r="B17" s="2548">
        <f>SUM(B18:B26)</f>
        <v>32241.4</v>
      </c>
      <c r="C17" s="2710">
        <f>SUM(C18:C26)</f>
        <v>38466.400000000001</v>
      </c>
      <c r="D17" s="1960">
        <f t="shared" si="7"/>
        <v>119.30747424119299</v>
      </c>
      <c r="E17" s="2710">
        <f>SUM(E18:E26)-E25</f>
        <v>40420.1</v>
      </c>
      <c r="F17" s="2710">
        <f t="shared" ref="F17:AO17" si="46">SUM(F18:F26)-F25</f>
        <v>846.38801117543824</v>
      </c>
      <c r="G17" s="2710">
        <f t="shared" si="46"/>
        <v>43502.200000000004</v>
      </c>
      <c r="H17" s="1960">
        <f t="shared" si="9"/>
        <v>107.62516668687114</v>
      </c>
      <c r="I17" s="2710">
        <f t="shared" si="46"/>
        <v>42972.08265199999</v>
      </c>
      <c r="J17" s="2710">
        <f t="shared" si="46"/>
        <v>22818.600000000002</v>
      </c>
      <c r="K17" s="2710">
        <f t="shared" si="46"/>
        <v>33887.847162203478</v>
      </c>
      <c r="L17" s="2710">
        <f t="shared" si="46"/>
        <v>49679.3</v>
      </c>
      <c r="M17" s="2710">
        <f t="shared" si="46"/>
        <v>811.78554777666386</v>
      </c>
      <c r="N17" s="2710">
        <f t="shared" si="46"/>
        <v>826.1004360911046</v>
      </c>
      <c r="O17" s="2710">
        <f t="shared" si="46"/>
        <v>55955.439999999995</v>
      </c>
      <c r="P17" s="2710">
        <f t="shared" si="46"/>
        <v>885.33762958856801</v>
      </c>
      <c r="Q17" s="2711">
        <f t="shared" si="46"/>
        <v>45847.471743368173</v>
      </c>
      <c r="R17" s="2710">
        <f t="shared" si="46"/>
        <v>642.16328442357712</v>
      </c>
      <c r="S17" s="2710">
        <f t="shared" si="46"/>
        <v>569.37302592989329</v>
      </c>
      <c r="T17" s="1958">
        <f t="shared" si="46"/>
        <v>45847.471743368173</v>
      </c>
      <c r="U17" s="1958">
        <f t="shared" si="46"/>
        <v>0</v>
      </c>
      <c r="V17" s="1958">
        <f t="shared" si="46"/>
        <v>37348.199999999997</v>
      </c>
      <c r="W17" s="1958">
        <f t="shared" si="46"/>
        <v>26965.47</v>
      </c>
      <c r="X17" s="1958">
        <f t="shared" si="46"/>
        <v>0</v>
      </c>
      <c r="Y17" s="1828">
        <f t="shared" si="46"/>
        <v>58405.5</v>
      </c>
      <c r="Z17" s="2712">
        <f t="shared" si="13"/>
        <v>1.2739088499127182</v>
      </c>
      <c r="AA17" s="1828">
        <f t="shared" si="46"/>
        <v>45651.484790404604</v>
      </c>
      <c r="AB17" s="2712">
        <f t="shared" si="1"/>
        <v>0.99572523968037741</v>
      </c>
      <c r="AC17" s="1828">
        <f t="shared" si="46"/>
        <v>45651.484790404604</v>
      </c>
      <c r="AD17" s="1828">
        <f t="shared" si="46"/>
        <v>0</v>
      </c>
      <c r="AE17" s="1828">
        <f t="shared" ref="AE17:AG17" si="47">SUM(AE18:AE26)-AE25</f>
        <v>46595.739391100004</v>
      </c>
      <c r="AF17" s="1828">
        <f t="shared" si="47"/>
        <v>46595.739391100004</v>
      </c>
      <c r="AG17" s="1828">
        <f t="shared" si="47"/>
        <v>0</v>
      </c>
      <c r="AH17" s="2713">
        <f t="shared" si="15"/>
        <v>48828.71</v>
      </c>
      <c r="AI17" s="2714">
        <f t="shared" si="16"/>
        <v>1.069597412311619</v>
      </c>
      <c r="AJ17" s="1828">
        <f t="shared" si="46"/>
        <v>48828.71</v>
      </c>
      <c r="AK17" s="1828">
        <f t="shared" si="46"/>
        <v>0</v>
      </c>
      <c r="AL17" s="2713">
        <f t="shared" si="17"/>
        <v>46188.131916917446</v>
      </c>
      <c r="AM17" s="2714">
        <f t="shared" si="18"/>
        <v>1.0117553049802586</v>
      </c>
      <c r="AN17" s="1828">
        <f t="shared" si="46"/>
        <v>46188.131916917446</v>
      </c>
      <c r="AO17" s="1828">
        <f t="shared" si="46"/>
        <v>0</v>
      </c>
      <c r="AP17" s="2715">
        <f t="shared" si="19"/>
        <v>-12754.015209595396</v>
      </c>
      <c r="AQ17" s="2715">
        <f t="shared" si="32"/>
        <v>-12754.015209595396</v>
      </c>
      <c r="AR17" s="2715">
        <f t="shared" si="20"/>
        <v>0</v>
      </c>
      <c r="AS17" s="2715">
        <f t="shared" si="2"/>
        <v>-12754.015209595396</v>
      </c>
      <c r="AT17" s="1828">
        <f t="shared" ref="AT17:BD17" si="48">SUM(AT18:AT26)-AT25</f>
        <v>25684.637081399997</v>
      </c>
      <c r="AU17" s="1828">
        <f t="shared" si="48"/>
        <v>25684.637081399997</v>
      </c>
      <c r="AV17" s="1828">
        <f t="shared" si="48"/>
        <v>0</v>
      </c>
      <c r="AW17" s="1828">
        <f t="shared" si="48"/>
        <v>50837.42</v>
      </c>
      <c r="AX17" s="1828">
        <f t="shared" si="48"/>
        <v>50837.42</v>
      </c>
      <c r="AY17" s="1828">
        <f t="shared" si="48"/>
        <v>0</v>
      </c>
      <c r="AZ17" s="1828">
        <f t="shared" si="48"/>
        <v>53392.06897</v>
      </c>
      <c r="BA17" s="2716">
        <f t="shared" si="26"/>
        <v>1.1559694396396221</v>
      </c>
      <c r="BB17" s="1828">
        <f t="shared" si="48"/>
        <v>53392.06897</v>
      </c>
      <c r="BC17" s="1828">
        <f t="shared" si="48"/>
        <v>0</v>
      </c>
      <c r="BD17" s="1828">
        <f t="shared" si="48"/>
        <v>53576.313206309816</v>
      </c>
      <c r="BE17" s="2716">
        <f t="shared" si="27"/>
        <v>1.159958434835211</v>
      </c>
      <c r="BF17" s="1828">
        <f t="shared" ref="BF17:BG17" si="49">SUM(BF18:BF26)-BF25</f>
        <v>53576.313206309816</v>
      </c>
      <c r="BG17" s="1828">
        <f t="shared" si="49"/>
        <v>0</v>
      </c>
      <c r="BH17" s="1828">
        <f>SUM(BH18:BH26)-BH25</f>
        <v>56590.159999999996</v>
      </c>
      <c r="BI17" s="1828">
        <f t="shared" ref="BI17:BJ17" si="50">SUM(BI18:BI26)-BI25</f>
        <v>56590.159999999996</v>
      </c>
      <c r="BJ17" s="1828">
        <f t="shared" si="50"/>
        <v>0</v>
      </c>
      <c r="BK17" s="1828">
        <f>SUM(BK18:BK26)-BK25</f>
        <v>72363.720000000016</v>
      </c>
      <c r="BL17" s="1828">
        <f t="shared" ref="BL17:BM17" si="51">SUM(BL18:BL26)-BL25</f>
        <v>72363.720000000016</v>
      </c>
      <c r="BM17" s="1828">
        <f t="shared" si="51"/>
        <v>0</v>
      </c>
      <c r="BN17" s="1828">
        <f>SUM(BN18:BN26)-BN25</f>
        <v>77581.809999999983</v>
      </c>
      <c r="BO17" s="1828">
        <f t="shared" ref="BO17" si="52">SUM(BO18:BO26)-BO25</f>
        <v>77581.809999999983</v>
      </c>
      <c r="BP17" s="1828"/>
      <c r="BQ17" s="1828">
        <f>SUM(BQ18:BQ26)-BQ25</f>
        <v>71098.324250721693</v>
      </c>
      <c r="BR17" s="1828">
        <f t="shared" ref="BR17:BS17" si="53">SUM(BR18:BR26)-BR25</f>
        <v>71098.324250721693</v>
      </c>
      <c r="BS17" s="1828">
        <f t="shared" si="53"/>
        <v>0</v>
      </c>
      <c r="BT17" s="2569"/>
    </row>
    <row r="18" spans="1:73" ht="21" customHeight="1" x14ac:dyDescent="0.2">
      <c r="A18" s="1681" t="s">
        <v>1</v>
      </c>
      <c r="B18" s="1723">
        <v>3989.5</v>
      </c>
      <c r="C18" s="1724">
        <v>6013.8</v>
      </c>
      <c r="D18" s="1725">
        <f t="shared" si="7"/>
        <v>150.74069432259682</v>
      </c>
      <c r="E18" s="1724">
        <v>6816.9</v>
      </c>
      <c r="F18" s="1725">
        <f t="shared" si="8"/>
        <v>113.35428514416841</v>
      </c>
      <c r="G18" s="1724">
        <v>6550.5</v>
      </c>
      <c r="H18" s="1725">
        <f t="shared" si="9"/>
        <v>96.092065308277967</v>
      </c>
      <c r="I18" s="1726">
        <v>6178.2</v>
      </c>
      <c r="J18" s="1726">
        <v>3776.7</v>
      </c>
      <c r="K18" s="1726">
        <v>4790</v>
      </c>
      <c r="L18" s="1726">
        <v>7070.5</v>
      </c>
      <c r="M18" s="1727">
        <f t="shared" si="10"/>
        <v>114.44271794373766</v>
      </c>
      <c r="N18" s="1727">
        <f t="shared" si="11"/>
        <v>107.93832531867797</v>
      </c>
      <c r="O18" s="1726">
        <v>7686</v>
      </c>
      <c r="P18" s="1727">
        <f t="shared" si="12"/>
        <v>124.40516655336506</v>
      </c>
      <c r="Q18" s="1728">
        <f>электр!AC11</f>
        <v>6926.0969250000007</v>
      </c>
      <c r="R18" s="1727">
        <f t="shared" si="21"/>
        <v>112.10541784014762</v>
      </c>
      <c r="S18" s="1727">
        <f t="shared" si="22"/>
        <v>97.957668128138053</v>
      </c>
      <c r="T18" s="1726">
        <f>Q18</f>
        <v>6926.0969250000007</v>
      </c>
      <c r="U18" s="1726"/>
      <c r="V18" s="1726">
        <v>5782</v>
      </c>
      <c r="W18" s="1726">
        <v>1930.37</v>
      </c>
      <c r="X18" s="1726">
        <v>0</v>
      </c>
      <c r="Y18" s="1729">
        <v>7979.9</v>
      </c>
      <c r="Z18" s="1718">
        <f t="shared" si="13"/>
        <v>1.1521496286308466</v>
      </c>
      <c r="AA18" s="1729">
        <f>электр!Q50</f>
        <v>6117.2992084997777</v>
      </c>
      <c r="AB18" s="1718">
        <f t="shared" si="1"/>
        <v>0.88322460322770857</v>
      </c>
      <c r="AC18" s="1729">
        <f>AA18</f>
        <v>6117.2992084997777</v>
      </c>
      <c r="AD18" s="1729">
        <v>0</v>
      </c>
      <c r="AE18" s="1694">
        <f>SUM(электр!AG50)</f>
        <v>6145.2</v>
      </c>
      <c r="AF18" s="1689">
        <f>SUM(AE18)</f>
        <v>6145.2</v>
      </c>
      <c r="AG18" s="1764">
        <v>0</v>
      </c>
      <c r="AH18" s="1730">
        <f t="shared" si="15"/>
        <v>5917.63</v>
      </c>
      <c r="AI18" s="1719">
        <f t="shared" si="16"/>
        <v>0.96735990807473593</v>
      </c>
      <c r="AJ18" s="1729">
        <v>5917.63</v>
      </c>
      <c r="AK18" s="1729">
        <v>0</v>
      </c>
      <c r="AL18" s="1766">
        <f t="shared" si="17"/>
        <v>5121.0862883337822</v>
      </c>
      <c r="AM18" s="1719">
        <f t="shared" si="18"/>
        <v>0.83714824365926199</v>
      </c>
      <c r="AN18" s="1689">
        <f>электр!AN50</f>
        <v>5121.0862883337822</v>
      </c>
      <c r="AO18" s="1764">
        <v>0</v>
      </c>
      <c r="AP18" s="1720">
        <f t="shared" si="19"/>
        <v>-1862.6007915002219</v>
      </c>
      <c r="AQ18" s="1720">
        <f t="shared" si="32"/>
        <v>-1862.6007915002219</v>
      </c>
      <c r="AR18" s="1720">
        <f t="shared" si="20"/>
        <v>0</v>
      </c>
      <c r="AS18" s="1720">
        <f t="shared" si="2"/>
        <v>-1862.6007915002219</v>
      </c>
      <c r="AT18" s="1729">
        <v>2722.6</v>
      </c>
      <c r="AU18" s="1729">
        <f>SUM(AT18)</f>
        <v>2722.6</v>
      </c>
      <c r="AV18" s="1729">
        <v>0</v>
      </c>
      <c r="AW18" s="1694">
        <f>AX18+AY18</f>
        <v>6087.79</v>
      </c>
      <c r="AX18" s="1689">
        <v>6087.79</v>
      </c>
      <c r="AY18" s="1764">
        <v>0</v>
      </c>
      <c r="AZ18" s="1729">
        <v>5514.45</v>
      </c>
      <c r="BA18" s="1721">
        <f t="shared" si="26"/>
        <v>1.0768125529464969</v>
      </c>
      <c r="BB18" s="1729">
        <f>SUM(AZ18)</f>
        <v>5514.45</v>
      </c>
      <c r="BC18" s="1729">
        <v>0</v>
      </c>
      <c r="BD18" s="1694">
        <f>SUM(электр!BD50)</f>
        <v>5376.3079941809738</v>
      </c>
      <c r="BE18" s="1721">
        <f t="shared" si="27"/>
        <v>1.0498374156335943</v>
      </c>
      <c r="BF18" s="1689">
        <f>SUM(BD18)</f>
        <v>5376.3079941809738</v>
      </c>
      <c r="BG18" s="1764">
        <v>0</v>
      </c>
      <c r="BH18" s="1694">
        <f t="shared" si="28"/>
        <v>8522.8700000000008</v>
      </c>
      <c r="BI18" s="1689">
        <v>8522.8700000000008</v>
      </c>
      <c r="BJ18" s="1764">
        <v>0</v>
      </c>
      <c r="BK18" s="1694">
        <f t="shared" ref="BK18:BK24" si="54">BL18+BM18</f>
        <v>9131.09</v>
      </c>
      <c r="BL18" s="1689">
        <v>9131.09</v>
      </c>
      <c r="BM18" s="1764"/>
      <c r="BN18" s="1694">
        <f t="shared" ref="BN18:BN24" si="55">BO18+BP18</f>
        <v>6755.79</v>
      </c>
      <c r="BO18" s="1689">
        <v>6755.79</v>
      </c>
      <c r="BP18" s="1764"/>
      <c r="BQ18" s="1694">
        <f t="shared" ref="BQ18:BQ21" si="56">BR18+BS18</f>
        <v>7714.901264777769</v>
      </c>
      <c r="BR18" s="1764">
        <f>'ЭЭ вода'!S46</f>
        <v>7714.901264777769</v>
      </c>
      <c r="BS18" s="1764"/>
      <c r="BT18" s="1788" t="str">
        <f>BT9</f>
        <v>Приложение</v>
      </c>
    </row>
    <row r="19" spans="1:73" ht="21" customHeight="1" x14ac:dyDescent="0.2">
      <c r="A19" s="1681" t="s">
        <v>1929</v>
      </c>
      <c r="B19" s="1723">
        <v>5737.6</v>
      </c>
      <c r="C19" s="1724">
        <v>5889.5</v>
      </c>
      <c r="D19" s="1725">
        <f t="shared" si="7"/>
        <v>102.64744841048521</v>
      </c>
      <c r="E19" s="1724">
        <v>4309.1000000000004</v>
      </c>
      <c r="F19" s="1725">
        <f t="shared" si="8"/>
        <v>73.165803548688345</v>
      </c>
      <c r="G19" s="1724">
        <v>3796.7</v>
      </c>
      <c r="H19" s="1725">
        <f t="shared" si="9"/>
        <v>88.108885846232383</v>
      </c>
      <c r="I19" s="1726">
        <f>6071.7*0.95756</f>
        <v>5814.0170519999992</v>
      </c>
      <c r="J19" s="1726">
        <v>1709.7</v>
      </c>
      <c r="K19" s="1726">
        <v>5672.4</v>
      </c>
      <c r="L19" s="1726">
        <v>8063.5</v>
      </c>
      <c r="M19" s="1727">
        <f t="shared" si="10"/>
        <v>138.69068370252177</v>
      </c>
      <c r="N19" s="1727">
        <f t="shared" si="11"/>
        <v>212.38180525192934</v>
      </c>
      <c r="O19" s="1726">
        <f>ХР!AB15</f>
        <v>6597.94</v>
      </c>
      <c r="P19" s="1727">
        <f t="shared" si="12"/>
        <v>113.48332729313778</v>
      </c>
      <c r="Q19" s="1728">
        <f>ХР!AK15</f>
        <v>5539.7237462399989</v>
      </c>
      <c r="R19" s="1727">
        <f t="shared" si="21"/>
        <v>95.282206720297722</v>
      </c>
      <c r="S19" s="1727">
        <f t="shared" si="22"/>
        <v>68.701230808457851</v>
      </c>
      <c r="T19" s="1726">
        <f t="shared" ref="T19:T26" si="57">Q19</f>
        <v>5539.7237462399989</v>
      </c>
      <c r="U19" s="1726"/>
      <c r="V19" s="1726">
        <v>3670.1</v>
      </c>
      <c r="W19" s="1726">
        <v>4408.3999999999996</v>
      </c>
      <c r="X19" s="1726">
        <v>0</v>
      </c>
      <c r="Y19" s="1729">
        <v>6984.1</v>
      </c>
      <c r="Z19" s="1718">
        <f t="shared" si="13"/>
        <v>1.2607307367520537</v>
      </c>
      <c r="AA19" s="1729">
        <f>ХР!O39</f>
        <v>4253.0293007044547</v>
      </c>
      <c r="AB19" s="1718">
        <f t="shared" si="1"/>
        <v>0.76773310286295993</v>
      </c>
      <c r="AC19" s="1729">
        <f t="shared" ref="AC19:AC26" si="58">AA19</f>
        <v>4253.0293007044547</v>
      </c>
      <c r="AD19" s="1729">
        <v>0</v>
      </c>
      <c r="AE19" s="1694">
        <f>SUM(ХР!AF39)</f>
        <v>4087.3393910999998</v>
      </c>
      <c r="AF19" s="1689">
        <f>SUM(AE19)</f>
        <v>4087.3393910999998</v>
      </c>
      <c r="AG19" s="1764">
        <v>0</v>
      </c>
      <c r="AH19" s="1730">
        <f t="shared" si="15"/>
        <v>4631.88</v>
      </c>
      <c r="AI19" s="1719">
        <f t="shared" si="16"/>
        <v>1.0890778484015602</v>
      </c>
      <c r="AJ19" s="1729">
        <v>4631.88</v>
      </c>
      <c r="AK19" s="1729">
        <v>0</v>
      </c>
      <c r="AL19" s="1766">
        <f t="shared" si="17"/>
        <v>3968.311174693004</v>
      </c>
      <c r="AM19" s="1719">
        <f t="shared" si="18"/>
        <v>0.93305521643965839</v>
      </c>
      <c r="AN19" s="1689">
        <f>ХР!AP39</f>
        <v>3968.311174693004</v>
      </c>
      <c r="AO19" s="1764">
        <v>0</v>
      </c>
      <c r="AP19" s="1720">
        <f t="shared" si="19"/>
        <v>-2731.0706992955456</v>
      </c>
      <c r="AQ19" s="1720">
        <f t="shared" si="32"/>
        <v>-2731.0706992955456</v>
      </c>
      <c r="AR19" s="1720">
        <f t="shared" si="20"/>
        <v>0</v>
      </c>
      <c r="AS19" s="1720">
        <f t="shared" si="2"/>
        <v>-2731.0706992955456</v>
      </c>
      <c r="AT19" s="1729">
        <f>SUM(ХР!AT39)</f>
        <v>2640.0770813999998</v>
      </c>
      <c r="AU19" s="1729">
        <f>SUM(AT19)</f>
        <v>2640.0770813999998</v>
      </c>
      <c r="AV19" s="1729">
        <v>0</v>
      </c>
      <c r="AW19" s="1694">
        <f t="shared" ref="AW19:AW42" si="59">AX19+AY19</f>
        <v>5707.19</v>
      </c>
      <c r="AX19" s="1689">
        <v>5707.19</v>
      </c>
      <c r="AY19" s="1764">
        <v>0</v>
      </c>
      <c r="AZ19" s="1729">
        <v>6791.38</v>
      </c>
      <c r="BA19" s="1721">
        <f t="shared" ref="BA19" si="60">SUM(AZ19/AL19)</f>
        <v>1.711403088374337</v>
      </c>
      <c r="BB19" s="1729">
        <f>SUM(AZ19)</f>
        <v>6791.38</v>
      </c>
      <c r="BC19" s="1729">
        <v>0</v>
      </c>
      <c r="BD19" s="1694">
        <f>SUM(ХР!BH39)</f>
        <v>6985.4283978386675</v>
      </c>
      <c r="BE19" s="1721">
        <f t="shared" ref="BE19" si="61">SUM(BD19/AL19)</f>
        <v>1.7603025796935075</v>
      </c>
      <c r="BF19" s="1689">
        <f>SUM(BD19)</f>
        <v>6985.4283978386675</v>
      </c>
      <c r="BG19" s="1764">
        <v>0</v>
      </c>
      <c r="BH19" s="1694">
        <f t="shared" si="28"/>
        <v>8877.36</v>
      </c>
      <c r="BI19" s="1689">
        <v>8877.36</v>
      </c>
      <c r="BJ19" s="1764">
        <v>0</v>
      </c>
      <c r="BK19" s="1694">
        <f t="shared" si="54"/>
        <v>14052.2</v>
      </c>
      <c r="BL19" s="1689">
        <v>14052.2</v>
      </c>
      <c r="BM19" s="1764"/>
      <c r="BN19" s="1694">
        <f t="shared" si="55"/>
        <v>13684.63</v>
      </c>
      <c r="BO19" s="1689">
        <v>13684.63</v>
      </c>
      <c r="BP19" s="1764"/>
      <c r="BQ19" s="1694">
        <f t="shared" si="56"/>
        <v>11981.832285756163</v>
      </c>
      <c r="BR19" s="1764">
        <f>'хим реагенты'!G44</f>
        <v>11981.832285756163</v>
      </c>
      <c r="BS19" s="1764"/>
      <c r="BT19" s="1788" t="str">
        <f t="shared" ref="BT19" si="62">BT10</f>
        <v>Приложение</v>
      </c>
      <c r="BU19" s="160">
        <f>BD19/BF70</f>
        <v>5.3667614302372997E-2</v>
      </c>
    </row>
    <row r="20" spans="1:73" ht="21" customHeight="1" x14ac:dyDescent="0.2">
      <c r="A20" s="1681" t="s">
        <v>2</v>
      </c>
      <c r="B20" s="1723">
        <v>401</v>
      </c>
      <c r="C20" s="1724">
        <v>472.2</v>
      </c>
      <c r="D20" s="1725">
        <f t="shared" si="7"/>
        <v>117.75561097256858</v>
      </c>
      <c r="E20" s="1724">
        <v>481.5</v>
      </c>
      <c r="F20" s="1725">
        <f t="shared" si="8"/>
        <v>101.96950444726811</v>
      </c>
      <c r="G20" s="1724">
        <v>782.8</v>
      </c>
      <c r="H20" s="1725">
        <f t="shared" si="9"/>
        <v>162.57528556593977</v>
      </c>
      <c r="I20" s="1726">
        <v>542</v>
      </c>
      <c r="J20" s="1726">
        <v>268.7</v>
      </c>
      <c r="K20" s="1726">
        <v>396.5</v>
      </c>
      <c r="L20" s="1726">
        <v>535</v>
      </c>
      <c r="M20" s="1727">
        <f t="shared" si="10"/>
        <v>98.708487084870839</v>
      </c>
      <c r="N20" s="1727">
        <f t="shared" si="11"/>
        <v>68.344404701073074</v>
      </c>
      <c r="O20" s="1726">
        <v>698</v>
      </c>
      <c r="P20" s="1727">
        <f t="shared" si="12"/>
        <v>128.78228782287823</v>
      </c>
      <c r="Q20" s="1728">
        <v>542</v>
      </c>
      <c r="R20" s="1727">
        <f t="shared" si="21"/>
        <v>100</v>
      </c>
      <c r="S20" s="1727">
        <f t="shared" si="22"/>
        <v>101.30841121495327</v>
      </c>
      <c r="T20" s="1726">
        <f t="shared" si="57"/>
        <v>542</v>
      </c>
      <c r="U20" s="1726"/>
      <c r="V20" s="1726">
        <v>461.2</v>
      </c>
      <c r="W20" s="1726">
        <v>635.20000000000005</v>
      </c>
      <c r="X20" s="1726">
        <v>0</v>
      </c>
      <c r="Y20" s="1729">
        <v>575.29999999999995</v>
      </c>
      <c r="Z20" s="1718">
        <f t="shared" si="13"/>
        <v>1.0614391143911439</v>
      </c>
      <c r="AA20" s="1729">
        <f>Аморт!G22</f>
        <v>575.29999999999995</v>
      </c>
      <c r="AB20" s="1718">
        <f t="shared" si="1"/>
        <v>1.0614391143911439</v>
      </c>
      <c r="AC20" s="1729">
        <f t="shared" si="58"/>
        <v>575.29999999999995</v>
      </c>
      <c r="AD20" s="1729">
        <v>0</v>
      </c>
      <c r="AE20" s="1694">
        <f>SUM(Аморт!L22)</f>
        <v>1043.5999999999999</v>
      </c>
      <c r="AF20" s="1689">
        <f>SUM(AE20)</f>
        <v>1043.5999999999999</v>
      </c>
      <c r="AG20" s="1764">
        <v>0</v>
      </c>
      <c r="AH20" s="1730">
        <f t="shared" si="15"/>
        <v>721.2</v>
      </c>
      <c r="AI20" s="1719">
        <f t="shared" si="16"/>
        <v>1.2536068138362595</v>
      </c>
      <c r="AJ20" s="1729">
        <v>721.2</v>
      </c>
      <c r="AK20" s="1729">
        <v>0</v>
      </c>
      <c r="AL20" s="1766">
        <f t="shared" si="17"/>
        <v>721.2</v>
      </c>
      <c r="AM20" s="1719">
        <f t="shared" si="18"/>
        <v>1.2536068138362595</v>
      </c>
      <c r="AN20" s="1689">
        <f>Аморт!O22</f>
        <v>721.2</v>
      </c>
      <c r="AO20" s="1764">
        <v>0</v>
      </c>
      <c r="AP20" s="1720">
        <f t="shared" si="19"/>
        <v>0</v>
      </c>
      <c r="AQ20" s="1720">
        <f t="shared" si="32"/>
        <v>0</v>
      </c>
      <c r="AR20" s="1720">
        <f t="shared" si="20"/>
        <v>0</v>
      </c>
      <c r="AS20" s="1720">
        <f t="shared" si="2"/>
        <v>0</v>
      </c>
      <c r="AT20" s="1729">
        <f>SUM(Аморт!Q22)</f>
        <v>725.7</v>
      </c>
      <c r="AU20" s="1729">
        <f>SUM(AT20)</f>
        <v>725.7</v>
      </c>
      <c r="AV20" s="1729">
        <v>0</v>
      </c>
      <c r="AW20" s="1694">
        <f t="shared" si="59"/>
        <v>1561.14</v>
      </c>
      <c r="AX20" s="1689">
        <v>1561.14</v>
      </c>
      <c r="AY20" s="1764">
        <v>0</v>
      </c>
      <c r="AZ20" s="1729">
        <f>SUM(Аморт!T22)</f>
        <v>721.2</v>
      </c>
      <c r="BA20" s="1721">
        <f t="shared" si="26"/>
        <v>1</v>
      </c>
      <c r="BB20" s="1729">
        <f>SUM(AZ20)</f>
        <v>721.2</v>
      </c>
      <c r="BC20" s="1729">
        <f>SUM(AZ20-BB20)</f>
        <v>0</v>
      </c>
      <c r="BD20" s="1694">
        <f>SUM(Аморт!U22)</f>
        <v>1535.71</v>
      </c>
      <c r="BE20" s="1721">
        <f t="shared" si="27"/>
        <v>2.1293815862451471</v>
      </c>
      <c r="BF20" s="1689">
        <f>SUM(BD20)</f>
        <v>1535.71</v>
      </c>
      <c r="BG20" s="1764">
        <f>SUM(BD20-BF20)</f>
        <v>0</v>
      </c>
      <c r="BH20" s="1694">
        <f t="shared" si="28"/>
        <v>1344.19</v>
      </c>
      <c r="BI20" s="1689">
        <v>1344.19</v>
      </c>
      <c r="BJ20" s="1764">
        <v>0</v>
      </c>
      <c r="BK20" s="1694">
        <f t="shared" si="54"/>
        <v>2802.12</v>
      </c>
      <c r="BL20" s="1689">
        <v>2802.12</v>
      </c>
      <c r="BM20" s="1764"/>
      <c r="BN20" s="1694">
        <f t="shared" si="55"/>
        <v>2802.12</v>
      </c>
      <c r="BO20" s="1689">
        <v>2802.12</v>
      </c>
      <c r="BP20" s="1764"/>
      <c r="BQ20" s="1694">
        <f>Аморт!AL22</f>
        <v>2802.12</v>
      </c>
      <c r="BR20" s="1764">
        <f>Аморт!AL22</f>
        <v>2802.12</v>
      </c>
      <c r="BS20" s="1764"/>
      <c r="BT20" s="1788" t="s">
        <v>976</v>
      </c>
    </row>
    <row r="21" spans="1:73" ht="21" customHeight="1" x14ac:dyDescent="0.2">
      <c r="A21" s="1681" t="s">
        <v>216</v>
      </c>
      <c r="B21" s="1723">
        <v>90.7</v>
      </c>
      <c r="C21" s="1724">
        <v>52.1</v>
      </c>
      <c r="D21" s="1725">
        <f t="shared" si="7"/>
        <v>57.44211686879823</v>
      </c>
      <c r="E21" s="1724">
        <v>49</v>
      </c>
      <c r="F21" s="1725">
        <f t="shared" si="8"/>
        <v>94.049904030710181</v>
      </c>
      <c r="G21" s="1724"/>
      <c r="H21" s="1725">
        <f t="shared" si="9"/>
        <v>0</v>
      </c>
      <c r="I21" s="1726">
        <v>0</v>
      </c>
      <c r="J21" s="1726">
        <v>216.7</v>
      </c>
      <c r="K21" s="1726">
        <v>125.5</v>
      </c>
      <c r="L21" s="1726">
        <v>169.7</v>
      </c>
      <c r="M21" s="1727"/>
      <c r="N21" s="1727"/>
      <c r="O21" s="1726">
        <v>0</v>
      </c>
      <c r="P21" s="1727"/>
      <c r="Q21" s="1728"/>
      <c r="R21" s="1727"/>
      <c r="S21" s="1727">
        <f t="shared" si="22"/>
        <v>0</v>
      </c>
      <c r="T21" s="1726">
        <f t="shared" si="57"/>
        <v>0</v>
      </c>
      <c r="U21" s="1726"/>
      <c r="V21" s="1726">
        <v>0</v>
      </c>
      <c r="W21" s="1726">
        <v>0</v>
      </c>
      <c r="X21" s="1726">
        <v>0</v>
      </c>
      <c r="Y21" s="1729">
        <v>0</v>
      </c>
      <c r="Z21" s="1718"/>
      <c r="AA21" s="1729">
        <v>0</v>
      </c>
      <c r="AB21" s="1718"/>
      <c r="AC21" s="1729">
        <f t="shared" si="58"/>
        <v>0</v>
      </c>
      <c r="AD21" s="1729">
        <v>0</v>
      </c>
      <c r="AE21" s="1694">
        <v>0</v>
      </c>
      <c r="AF21" s="1689">
        <f t="shared" ref="AF21" si="63">AD21</f>
        <v>0</v>
      </c>
      <c r="AG21" s="1764">
        <v>0</v>
      </c>
      <c r="AH21" s="1730">
        <f t="shared" si="15"/>
        <v>0</v>
      </c>
      <c r="AI21" s="1719"/>
      <c r="AJ21" s="1729">
        <v>0</v>
      </c>
      <c r="AK21" s="1729">
        <v>0</v>
      </c>
      <c r="AL21" s="1766">
        <f t="shared" si="17"/>
        <v>0</v>
      </c>
      <c r="AM21" s="1719"/>
      <c r="AN21" s="1689">
        <v>0</v>
      </c>
      <c r="AO21" s="1764">
        <v>0</v>
      </c>
      <c r="AP21" s="1720">
        <f t="shared" si="19"/>
        <v>0</v>
      </c>
      <c r="AQ21" s="1720"/>
      <c r="AR21" s="1720"/>
      <c r="AS21" s="1720">
        <f t="shared" si="2"/>
        <v>0</v>
      </c>
      <c r="AT21" s="1729">
        <v>0</v>
      </c>
      <c r="AU21" s="1729">
        <f t="shared" ref="AU21" si="64">AS21</f>
        <v>0</v>
      </c>
      <c r="AV21" s="1729">
        <v>0</v>
      </c>
      <c r="AW21" s="1694">
        <f t="shared" si="59"/>
        <v>0</v>
      </c>
      <c r="AX21" s="1689">
        <v>0</v>
      </c>
      <c r="AY21" s="1764">
        <v>0</v>
      </c>
      <c r="AZ21" s="1730">
        <f t="shared" ref="AZ21:AZ22" si="65">SUM(BB21+BC21)</f>
        <v>0</v>
      </c>
      <c r="BA21" s="1721"/>
      <c r="BB21" s="1729">
        <v>0</v>
      </c>
      <c r="BC21" s="1729">
        <v>0</v>
      </c>
      <c r="BD21" s="1766">
        <f t="shared" ref="BD21:BD22" si="66">SUM(BF21+BG21)</f>
        <v>0</v>
      </c>
      <c r="BE21" s="1721"/>
      <c r="BF21" s="1689">
        <v>0</v>
      </c>
      <c r="BG21" s="1764">
        <v>0</v>
      </c>
      <c r="BH21" s="1694">
        <f t="shared" si="28"/>
        <v>0</v>
      </c>
      <c r="BI21" s="1689">
        <v>0</v>
      </c>
      <c r="BJ21" s="1764">
        <v>0</v>
      </c>
      <c r="BK21" s="1694">
        <f t="shared" si="54"/>
        <v>0</v>
      </c>
      <c r="BL21" s="1689">
        <v>0</v>
      </c>
      <c r="BM21" s="1764"/>
      <c r="BN21" s="1694">
        <f t="shared" si="55"/>
        <v>0</v>
      </c>
      <c r="BO21" s="1689">
        <v>0</v>
      </c>
      <c r="BP21" s="1764"/>
      <c r="BQ21" s="1694">
        <f t="shared" si="56"/>
        <v>0</v>
      </c>
      <c r="BR21" s="1764">
        <v>0</v>
      </c>
      <c r="BS21" s="1764"/>
      <c r="BT21" s="1788"/>
    </row>
    <row r="22" spans="1:73" s="391" customFormat="1" ht="21" customHeight="1" x14ac:dyDescent="0.2">
      <c r="A22" s="2976" t="s">
        <v>3</v>
      </c>
      <c r="B22" s="2977">
        <v>2355.1999999999998</v>
      </c>
      <c r="C22" s="2978">
        <v>1131.3</v>
      </c>
      <c r="D22" s="2979">
        <f t="shared" si="7"/>
        <v>48.034137228260867</v>
      </c>
      <c r="E22" s="2978">
        <v>1504.8</v>
      </c>
      <c r="F22" s="2979">
        <f t="shared" si="8"/>
        <v>133.0151153540175</v>
      </c>
      <c r="G22" s="2978">
        <v>822.8</v>
      </c>
      <c r="H22" s="2979">
        <f t="shared" si="9"/>
        <v>54.678362573099413</v>
      </c>
      <c r="I22" s="2980">
        <v>864.8</v>
      </c>
      <c r="J22" s="2980">
        <v>479</v>
      </c>
      <c r="K22" s="2980">
        <v>683.2</v>
      </c>
      <c r="L22" s="2980">
        <v>1076.5999999999999</v>
      </c>
      <c r="M22" s="2981">
        <f t="shared" si="10"/>
        <v>124.49121184088807</v>
      </c>
      <c r="N22" s="2981">
        <f t="shared" si="11"/>
        <v>130.84589207583858</v>
      </c>
      <c r="O22" s="2980">
        <v>951.3</v>
      </c>
      <c r="P22" s="2981">
        <f t="shared" si="12"/>
        <v>110.0023126734505</v>
      </c>
      <c r="Q22" s="2982">
        <v>0</v>
      </c>
      <c r="R22" s="2981">
        <f t="shared" si="21"/>
        <v>0</v>
      </c>
      <c r="S22" s="2981">
        <f t="shared" si="22"/>
        <v>0</v>
      </c>
      <c r="T22" s="2980">
        <f t="shared" si="57"/>
        <v>0</v>
      </c>
      <c r="U22" s="2980"/>
      <c r="V22" s="2980">
        <f>936.5+417.8+6.4</f>
        <v>1360.7</v>
      </c>
      <c r="W22" s="2980">
        <v>1500</v>
      </c>
      <c r="X22" s="2980">
        <v>0</v>
      </c>
      <c r="Y22" s="2983">
        <v>1076</v>
      </c>
      <c r="Z22" s="2984"/>
      <c r="AA22" s="2983">
        <v>0</v>
      </c>
      <c r="AB22" s="2984"/>
      <c r="AC22" s="2983">
        <f t="shared" si="58"/>
        <v>0</v>
      </c>
      <c r="AD22" s="2983">
        <v>0</v>
      </c>
      <c r="AE22" s="2983">
        <f>SUM(AF22:AG22)</f>
        <v>1500</v>
      </c>
      <c r="AF22" s="2983">
        <v>1500</v>
      </c>
      <c r="AG22" s="2983">
        <v>0</v>
      </c>
      <c r="AH22" s="2985">
        <f t="shared" si="15"/>
        <v>998</v>
      </c>
      <c r="AI22" s="2986"/>
      <c r="AJ22" s="2983">
        <v>998</v>
      </c>
      <c r="AK22" s="2983">
        <v>0</v>
      </c>
      <c r="AL22" s="2985">
        <f t="shared" si="17"/>
        <v>0</v>
      </c>
      <c r="AM22" s="2986"/>
      <c r="AN22" s="2983">
        <v>0</v>
      </c>
      <c r="AO22" s="2983">
        <v>0</v>
      </c>
      <c r="AP22" s="2987">
        <f t="shared" si="19"/>
        <v>-1076</v>
      </c>
      <c r="AQ22" s="2987">
        <f>AP22</f>
        <v>-1076</v>
      </c>
      <c r="AR22" s="2987">
        <f t="shared" si="20"/>
        <v>0</v>
      </c>
      <c r="AS22" s="2987">
        <f t="shared" si="2"/>
        <v>-1076</v>
      </c>
      <c r="AT22" s="2983">
        <v>2401.02</v>
      </c>
      <c r="AU22" s="2983">
        <v>2401.02</v>
      </c>
      <c r="AV22" s="2983">
        <v>0</v>
      </c>
      <c r="AW22" s="2983">
        <f t="shared" si="59"/>
        <v>2704.14</v>
      </c>
      <c r="AX22" s="2983">
        <v>2704.14</v>
      </c>
      <c r="AY22" s="2983">
        <v>0</v>
      </c>
      <c r="AZ22" s="2985">
        <f t="shared" si="65"/>
        <v>1500</v>
      </c>
      <c r="BA22" s="2988"/>
      <c r="BB22" s="2983">
        <f>SUM(AF22)</f>
        <v>1500</v>
      </c>
      <c r="BC22" s="2983">
        <v>0</v>
      </c>
      <c r="BD22" s="2985">
        <f t="shared" si="66"/>
        <v>0</v>
      </c>
      <c r="BE22" s="2988"/>
      <c r="BF22" s="2983">
        <v>0</v>
      </c>
      <c r="BG22" s="2983">
        <v>0</v>
      </c>
      <c r="BH22" s="2983">
        <f t="shared" si="28"/>
        <v>1296.07</v>
      </c>
      <c r="BI22" s="2983">
        <v>1296.07</v>
      </c>
      <c r="BJ22" s="2983">
        <v>0</v>
      </c>
      <c r="BK22" s="2983">
        <f t="shared" si="54"/>
        <v>4707.6899999999996</v>
      </c>
      <c r="BL22" s="2983">
        <v>4707.6899999999996</v>
      </c>
      <c r="BM22" s="2983"/>
      <c r="BN22" s="2983">
        <f t="shared" si="55"/>
        <v>1398.9</v>
      </c>
      <c r="BO22" s="2983">
        <v>1398.9</v>
      </c>
      <c r="BP22" s="2983"/>
      <c r="BQ22" s="2983">
        <f>BR22</f>
        <v>0</v>
      </c>
      <c r="BR22" s="2983">
        <v>0</v>
      </c>
      <c r="BS22" s="2983"/>
      <c r="BT22" s="2989" t="s">
        <v>1505</v>
      </c>
    </row>
    <row r="23" spans="1:73" ht="21" customHeight="1" x14ac:dyDescent="0.2">
      <c r="A23" s="1681" t="s">
        <v>4</v>
      </c>
      <c r="B23" s="1723">
        <v>10759.4</v>
      </c>
      <c r="C23" s="1724">
        <v>14019.6</v>
      </c>
      <c r="D23" s="1725">
        <f t="shared" si="7"/>
        <v>130.30094614941353</v>
      </c>
      <c r="E23" s="1724">
        <v>14545.3</v>
      </c>
      <c r="F23" s="1725">
        <f t="shared" si="8"/>
        <v>103.74975034951068</v>
      </c>
      <c r="G23" s="1724">
        <v>15741.5</v>
      </c>
      <c r="H23" s="1725">
        <f t="shared" si="9"/>
        <v>108.22396237960028</v>
      </c>
      <c r="I23" s="1726">
        <v>16062.8</v>
      </c>
      <c r="J23" s="1726">
        <v>8015.8</v>
      </c>
      <c r="K23" s="1726">
        <v>11685.6</v>
      </c>
      <c r="L23" s="1726">
        <v>16509</v>
      </c>
      <c r="M23" s="1727">
        <f t="shared" si="10"/>
        <v>102.77784695071843</v>
      </c>
      <c r="N23" s="1727">
        <f t="shared" si="11"/>
        <v>104.87564717466569</v>
      </c>
      <c r="O23" s="1726">
        <v>20707.5</v>
      </c>
      <c r="P23" s="1727">
        <f t="shared" si="12"/>
        <v>128.91588017033146</v>
      </c>
      <c r="Q23" s="1728">
        <f>ЗП!AP10</f>
        <v>17203.258799999996</v>
      </c>
      <c r="R23" s="1727">
        <f t="shared" si="21"/>
        <v>107.09999999999997</v>
      </c>
      <c r="S23" s="1727">
        <f t="shared" si="22"/>
        <v>104.20533527166998</v>
      </c>
      <c r="T23" s="1726">
        <f t="shared" si="57"/>
        <v>17203.258799999996</v>
      </c>
      <c r="U23" s="1726"/>
      <c r="V23" s="1726">
        <v>13934.4</v>
      </c>
      <c r="W23" s="1726">
        <f>18491.5</f>
        <v>18491.5</v>
      </c>
      <c r="X23" s="1726">
        <f>18491.5-W23</f>
        <v>0</v>
      </c>
      <c r="Y23" s="1729">
        <v>21702.3</v>
      </c>
      <c r="Z23" s="1718">
        <f t="shared" si="13"/>
        <v>1.2615226133783446</v>
      </c>
      <c r="AA23" s="1729">
        <f>ЗП!U26</f>
        <v>18166.641292799999</v>
      </c>
      <c r="AB23" s="1718">
        <f t="shared" si="1"/>
        <v>1.0560000000000003</v>
      </c>
      <c r="AC23" s="1729">
        <f t="shared" si="58"/>
        <v>18166.641292799999</v>
      </c>
      <c r="AD23" s="1729">
        <v>0</v>
      </c>
      <c r="AE23" s="1694">
        <f>SUM(ЗП!AS26)</f>
        <v>18581.7</v>
      </c>
      <c r="AF23" s="1689">
        <f>SUM(AE23)</f>
        <v>18581.7</v>
      </c>
      <c r="AG23" s="1764">
        <v>0</v>
      </c>
      <c r="AH23" s="1730">
        <f t="shared" si="15"/>
        <v>19007.599999999999</v>
      </c>
      <c r="AI23" s="1719">
        <f t="shared" si="16"/>
        <v>1.0462913696398739</v>
      </c>
      <c r="AJ23" s="1729">
        <v>19007.599999999999</v>
      </c>
      <c r="AK23" s="1729">
        <v>0</v>
      </c>
      <c r="AL23" s="1766">
        <f t="shared" si="17"/>
        <v>19007.602758620687</v>
      </c>
      <c r="AM23" s="1719">
        <f t="shared" si="18"/>
        <v>1.046291521490766</v>
      </c>
      <c r="AN23" s="1689">
        <f>ЗП!BB26</f>
        <v>19007.602758620687</v>
      </c>
      <c r="AO23" s="1764">
        <v>0</v>
      </c>
      <c r="AP23" s="1720">
        <f t="shared" si="19"/>
        <v>-3535.6587072000002</v>
      </c>
      <c r="AQ23" s="1720">
        <f t="shared" ref="AQ23:AQ29" si="67">AP23*AC23/AA23</f>
        <v>-3535.6587072000002</v>
      </c>
      <c r="AR23" s="1720">
        <f t="shared" si="20"/>
        <v>0</v>
      </c>
      <c r="AS23" s="1720">
        <f t="shared" si="2"/>
        <v>-3535.6587072000002</v>
      </c>
      <c r="AT23" s="1729">
        <f>SUM(ЗП!BG26)</f>
        <v>9180.1</v>
      </c>
      <c r="AU23" s="1729">
        <f>SUM(AT23)</f>
        <v>9180.1</v>
      </c>
      <c r="AV23" s="1729">
        <v>0</v>
      </c>
      <c r="AW23" s="1694">
        <f t="shared" si="59"/>
        <v>19270.03</v>
      </c>
      <c r="AX23" s="1689">
        <v>19270.03</v>
      </c>
      <c r="AY23" s="1764">
        <v>0</v>
      </c>
      <c r="AZ23" s="1729">
        <v>20617.97</v>
      </c>
      <c r="BA23" s="1721">
        <f t="shared" si="26"/>
        <v>1.0847222693902812</v>
      </c>
      <c r="BB23" s="1729">
        <f>SUM(AZ23)</f>
        <v>20617.97</v>
      </c>
      <c r="BC23" s="1729">
        <v>0</v>
      </c>
      <c r="BD23" s="1766">
        <f>SUM(ЗП!BS26)</f>
        <v>22489.748317808218</v>
      </c>
      <c r="BE23" s="1721">
        <f t="shared" si="27"/>
        <v>1.1831975133007366</v>
      </c>
      <c r="BF23" s="1689">
        <f>SUM(BD23)</f>
        <v>22489.748317808218</v>
      </c>
      <c r="BG23" s="1764">
        <v>0</v>
      </c>
      <c r="BH23" s="1694">
        <f t="shared" si="28"/>
        <v>19819.95</v>
      </c>
      <c r="BI23" s="1689">
        <v>19819.95</v>
      </c>
      <c r="BJ23" s="1764">
        <v>0</v>
      </c>
      <c r="BK23" s="1694">
        <f t="shared" si="54"/>
        <v>21790.06</v>
      </c>
      <c r="BL23" s="1689">
        <v>21790.06</v>
      </c>
      <c r="BM23" s="1764"/>
      <c r="BN23" s="1694">
        <f t="shared" si="55"/>
        <v>27149.85</v>
      </c>
      <c r="BO23" s="1689">
        <v>27149.85</v>
      </c>
      <c r="BP23" s="1764"/>
      <c r="BQ23" s="1694">
        <f>ЗП!CO26</f>
        <v>25894.323839999997</v>
      </c>
      <c r="BR23" s="1764">
        <f>BQ23</f>
        <v>25894.323839999997</v>
      </c>
      <c r="BS23" s="1764"/>
      <c r="BT23" s="1788" t="str">
        <f>BT13</f>
        <v>Приложение</v>
      </c>
    </row>
    <row r="24" spans="1:73" ht="21" customHeight="1" x14ac:dyDescent="0.2">
      <c r="A24" s="1681" t="s">
        <v>5</v>
      </c>
      <c r="B24" s="1723">
        <v>2718.6</v>
      </c>
      <c r="C24" s="1724">
        <v>3582.5</v>
      </c>
      <c r="D24" s="1725">
        <f t="shared" si="7"/>
        <v>131.77738541896565</v>
      </c>
      <c r="E24" s="1724">
        <v>3729.7</v>
      </c>
      <c r="F24" s="1725">
        <f t="shared" si="8"/>
        <v>104.10886252616886</v>
      </c>
      <c r="G24" s="1724">
        <v>5216.5</v>
      </c>
      <c r="H24" s="1725">
        <f t="shared" si="9"/>
        <v>139.86379601576536</v>
      </c>
      <c r="I24" s="1726">
        <f>I23*30.2/100</f>
        <v>4850.9655999999995</v>
      </c>
      <c r="J24" s="1726">
        <v>2641.4</v>
      </c>
      <c r="K24" s="1726">
        <v>3470.4</v>
      </c>
      <c r="L24" s="1726">
        <v>4958.8</v>
      </c>
      <c r="M24" s="1727">
        <f t="shared" si="10"/>
        <v>102.22294711799236</v>
      </c>
      <c r="N24" s="1727">
        <f t="shared" si="11"/>
        <v>95.059906067286505</v>
      </c>
      <c r="O24" s="1726">
        <v>6253.7</v>
      </c>
      <c r="P24" s="1727">
        <f t="shared" si="12"/>
        <v>128.91660167616939</v>
      </c>
      <c r="Q24" s="1728">
        <f>Q23*0.302</f>
        <v>5195.3841575999986</v>
      </c>
      <c r="R24" s="1727">
        <f t="shared" si="21"/>
        <v>107.09999999999997</v>
      </c>
      <c r="S24" s="1727">
        <f t="shared" si="22"/>
        <v>104.77099616036134</v>
      </c>
      <c r="T24" s="1726">
        <f t="shared" si="57"/>
        <v>5195.3841575999986</v>
      </c>
      <c r="U24" s="1726"/>
      <c r="V24" s="1726">
        <v>4182.8</v>
      </c>
      <c r="W24" s="1726"/>
      <c r="X24" s="1726">
        <v>0</v>
      </c>
      <c r="Y24" s="1729">
        <v>6554.1</v>
      </c>
      <c r="Z24" s="1718">
        <f t="shared" si="13"/>
        <v>1.2615236527625051</v>
      </c>
      <c r="AA24" s="1729">
        <f>AA23*V25</f>
        <v>5453.2256286258353</v>
      </c>
      <c r="AB24" s="1718">
        <f t="shared" si="1"/>
        <v>1.0496289520089976</v>
      </c>
      <c r="AC24" s="1729">
        <f t="shared" si="58"/>
        <v>5453.2256286258353</v>
      </c>
      <c r="AD24" s="1729">
        <v>0</v>
      </c>
      <c r="AE24" s="1694">
        <v>5541.6</v>
      </c>
      <c r="AF24" s="1689">
        <f>SUM(AE24)</f>
        <v>5541.6</v>
      </c>
      <c r="AG24" s="1764">
        <v>0</v>
      </c>
      <c r="AH24" s="1730">
        <f t="shared" si="15"/>
        <v>5721.29</v>
      </c>
      <c r="AI24" s="1719">
        <f t="shared" si="16"/>
        <v>1.0491570291841592</v>
      </c>
      <c r="AJ24" s="1729">
        <v>5721.29</v>
      </c>
      <c r="AK24" s="1729">
        <v>0</v>
      </c>
      <c r="AL24" s="1766">
        <f t="shared" si="17"/>
        <v>5705.6637400073641</v>
      </c>
      <c r="AM24" s="1719">
        <f t="shared" si="18"/>
        <v>1.046291521490766</v>
      </c>
      <c r="AN24" s="1689">
        <f>AN23*AA25</f>
        <v>5705.6637400073641</v>
      </c>
      <c r="AO24" s="1764">
        <v>0</v>
      </c>
      <c r="AP24" s="1720">
        <f t="shared" si="19"/>
        <v>-1100.8743713741651</v>
      </c>
      <c r="AQ24" s="1720">
        <f t="shared" si="67"/>
        <v>-1100.8743713741651</v>
      </c>
      <c r="AR24" s="1720">
        <f t="shared" si="20"/>
        <v>0</v>
      </c>
      <c r="AS24" s="1720">
        <f t="shared" si="2"/>
        <v>-1100.8743713741651</v>
      </c>
      <c r="AT24" s="1729">
        <v>2693.1</v>
      </c>
      <c r="AU24" s="1729">
        <f>SUM(AT24)</f>
        <v>2693.1</v>
      </c>
      <c r="AV24" s="1729">
        <v>0</v>
      </c>
      <c r="AW24" s="1694">
        <f t="shared" si="59"/>
        <v>5698.26</v>
      </c>
      <c r="AX24" s="1689">
        <v>5698.26</v>
      </c>
      <c r="AY24" s="1764">
        <v>0</v>
      </c>
      <c r="AZ24" s="1730">
        <f t="shared" ref="AZ24" si="68">SUM(BB24+BC24)</f>
        <v>6206.0089699999999</v>
      </c>
      <c r="BA24" s="1721">
        <f t="shared" si="26"/>
        <v>1.0876927300296861</v>
      </c>
      <c r="BB24" s="1729">
        <f>SUM(BB23*AH25)</f>
        <v>6206.0089699999999</v>
      </c>
      <c r="BC24" s="1729">
        <f>SUM(BC23*AH25)</f>
        <v>0</v>
      </c>
      <c r="BD24" s="1766">
        <f t="shared" ref="BD24" si="69">SUM(BF24+BG24)</f>
        <v>6707.09296124499</v>
      </c>
      <c r="BE24" s="1721">
        <f t="shared" si="27"/>
        <v>1.1755149386417107</v>
      </c>
      <c r="BF24" s="1689">
        <f>BF23*BF25</f>
        <v>6707.09296124499</v>
      </c>
      <c r="BG24" s="1764">
        <f>SUM(BG23*AZ25)</f>
        <v>0</v>
      </c>
      <c r="BH24" s="1694">
        <f t="shared" si="28"/>
        <v>5984.48</v>
      </c>
      <c r="BI24" s="1689">
        <v>5984.48</v>
      </c>
      <c r="BJ24" s="1764">
        <f>SUM(BJ23*BC25)</f>
        <v>0</v>
      </c>
      <c r="BK24" s="1694">
        <f t="shared" si="54"/>
        <v>6583.41</v>
      </c>
      <c r="BL24" s="1689">
        <v>6583.41</v>
      </c>
      <c r="BM24" s="1764"/>
      <c r="BN24" s="1694">
        <f t="shared" si="55"/>
        <v>8096.09</v>
      </c>
      <c r="BO24" s="1689">
        <v>8096.09</v>
      </c>
      <c r="BP24" s="1764"/>
      <c r="BQ24" s="1694">
        <f>BQ23*BN25</f>
        <v>7721.6918803523995</v>
      </c>
      <c r="BR24" s="1764">
        <f>BQ24</f>
        <v>7721.6918803523995</v>
      </c>
      <c r="BS24" s="1764"/>
      <c r="BT24" s="1788" t="s">
        <v>247</v>
      </c>
    </row>
    <row r="25" spans="1:73" s="182" customFormat="1" ht="21" customHeight="1" x14ac:dyDescent="0.2">
      <c r="A25" s="1756" t="str">
        <f>A15</f>
        <v>то же в %</v>
      </c>
      <c r="B25" s="1731"/>
      <c r="C25" s="1725"/>
      <c r="D25" s="1725"/>
      <c r="E25" s="1732">
        <f>E24/E23</f>
        <v>0.25641959945824422</v>
      </c>
      <c r="F25" s="1732">
        <f t="shared" ref="F25:AC25" si="70">F24/F23</f>
        <v>1.0034613305135522</v>
      </c>
      <c r="G25" s="1732">
        <f t="shared" si="70"/>
        <v>0.33138519200838545</v>
      </c>
      <c r="H25" s="1732"/>
      <c r="I25" s="1732">
        <f t="shared" si="70"/>
        <v>0.30199999999999999</v>
      </c>
      <c r="J25" s="1732">
        <f t="shared" si="70"/>
        <v>0.32952418972529257</v>
      </c>
      <c r="K25" s="1732">
        <f t="shared" si="70"/>
        <v>0.29698089956869994</v>
      </c>
      <c r="L25" s="1732">
        <f t="shared" si="70"/>
        <v>0.30036949542673697</v>
      </c>
      <c r="M25" s="1732">
        <f t="shared" si="70"/>
        <v>0.99460097823422844</v>
      </c>
      <c r="N25" s="1732">
        <f t="shared" si="70"/>
        <v>0.90640590669222276</v>
      </c>
      <c r="O25" s="1732">
        <f t="shared" si="70"/>
        <v>0.30200169020886153</v>
      </c>
      <c r="P25" s="1732">
        <f t="shared" si="70"/>
        <v>1.0000055967180845</v>
      </c>
      <c r="Q25" s="1733">
        <f t="shared" si="70"/>
        <v>0.30199999999999999</v>
      </c>
      <c r="R25" s="1732">
        <f t="shared" si="70"/>
        <v>1</v>
      </c>
      <c r="S25" s="1732">
        <f t="shared" si="70"/>
        <v>1.0054283294345403</v>
      </c>
      <c r="T25" s="1732">
        <f t="shared" si="70"/>
        <v>0.30199999999999999</v>
      </c>
      <c r="U25" s="1732"/>
      <c r="V25" s="1732">
        <f t="shared" si="70"/>
        <v>0.30017797680560343</v>
      </c>
      <c r="W25" s="1732"/>
      <c r="X25" s="1732">
        <v>0</v>
      </c>
      <c r="Y25" s="1734">
        <f t="shared" si="70"/>
        <v>0.30200024882155352</v>
      </c>
      <c r="Z25" s="1718">
        <f t="shared" si="13"/>
        <v>1.0000008239124289</v>
      </c>
      <c r="AA25" s="1734">
        <f t="shared" si="70"/>
        <v>0.30017797680560343</v>
      </c>
      <c r="AB25" s="1734"/>
      <c r="AC25" s="1734">
        <f t="shared" si="70"/>
        <v>0.30017797680560343</v>
      </c>
      <c r="AD25" s="1734"/>
      <c r="AE25" s="1760">
        <f t="shared" ref="AE25" si="71">AE24/AE23</f>
        <v>0.29822890263000695</v>
      </c>
      <c r="AF25" s="1696">
        <f t="shared" ref="AF25" si="72">AF24/AF23</f>
        <v>0.29822890263000695</v>
      </c>
      <c r="AG25" s="1765"/>
      <c r="AH25" s="1734">
        <v>0.30099999999999999</v>
      </c>
      <c r="AI25" s="1719">
        <f t="shared" si="16"/>
        <v>1.0027384527111025</v>
      </c>
      <c r="AJ25" s="1734">
        <v>0.30099999999999999</v>
      </c>
      <c r="AK25" s="1734">
        <v>0</v>
      </c>
      <c r="AL25" s="1760">
        <f>SUM(AL24/AL23)</f>
        <v>0.30017797680560343</v>
      </c>
      <c r="AM25" s="1719">
        <f t="shared" si="18"/>
        <v>1</v>
      </c>
      <c r="AN25" s="1696">
        <f>AA25</f>
        <v>0.30017797680560343</v>
      </c>
      <c r="AO25" s="1765">
        <v>0</v>
      </c>
      <c r="AP25" s="1720">
        <f t="shared" si="19"/>
        <v>-1.8222720159500883E-3</v>
      </c>
      <c r="AQ25" s="1720">
        <f t="shared" si="67"/>
        <v>-1.8222720159500883E-3</v>
      </c>
      <c r="AR25" s="1720">
        <f t="shared" si="20"/>
        <v>0</v>
      </c>
      <c r="AS25" s="1720">
        <f t="shared" si="2"/>
        <v>-1.8222720159500883E-3</v>
      </c>
      <c r="AT25" s="1734">
        <f>AT24/AT23</f>
        <v>0.29336281739850328</v>
      </c>
      <c r="AU25" s="1734">
        <f t="shared" ref="AU25" si="73">AU24/AU23</f>
        <v>0.29336281739850328</v>
      </c>
      <c r="AV25" s="1734">
        <v>0</v>
      </c>
      <c r="AW25" s="1760">
        <f>AW24/AW23</f>
        <v>0.29570581882851249</v>
      </c>
      <c r="AX25" s="1696">
        <f t="shared" ref="AX25" si="74">AX24/AX23</f>
        <v>0.29570581882851249</v>
      </c>
      <c r="AY25" s="1765">
        <v>0</v>
      </c>
      <c r="AZ25" s="1734">
        <f>SUM(AZ24/AZ23)</f>
        <v>0.30099999999999999</v>
      </c>
      <c r="BA25" s="1721">
        <f t="shared" si="26"/>
        <v>1.0027384527111025</v>
      </c>
      <c r="BB25" s="1734">
        <f>SUM(BB24/BB23)</f>
        <v>0.30099999999999999</v>
      </c>
      <c r="BC25" s="1734"/>
      <c r="BD25" s="1760">
        <f>AF25</f>
        <v>0.29822890263000695</v>
      </c>
      <c r="BE25" s="1721">
        <f t="shared" si="27"/>
        <v>0.99350693812937951</v>
      </c>
      <c r="BF25" s="1696">
        <f>BD25</f>
        <v>0.29822890263000695</v>
      </c>
      <c r="BG25" s="1696"/>
      <c r="BH25" s="1696">
        <f>SUM(BH24/BH23)</f>
        <v>0.3019422349703203</v>
      </c>
      <c r="BI25" s="1696">
        <f>BG25</f>
        <v>0</v>
      </c>
      <c r="BJ25" s="1696">
        <f>BH25</f>
        <v>0.3019422349703203</v>
      </c>
      <c r="BK25" s="1696">
        <f t="shared" ref="BK25:BQ25" si="75">SUM(BK24/BK23)</f>
        <v>0.30212904416050251</v>
      </c>
      <c r="BL25" s="1696">
        <f t="shared" si="75"/>
        <v>0.30212904416050251</v>
      </c>
      <c r="BM25" s="1696"/>
      <c r="BN25" s="1696">
        <f t="shared" si="75"/>
        <v>0.29820017421827377</v>
      </c>
      <c r="BO25" s="1696">
        <f t="shared" si="75"/>
        <v>0.29820017421827377</v>
      </c>
      <c r="BP25" s="1696"/>
      <c r="BQ25" s="1696">
        <f t="shared" si="75"/>
        <v>0.29820017421827377</v>
      </c>
      <c r="BR25" s="1696">
        <f t="shared" ref="BR25" si="76">SUM(BR24/BR23)</f>
        <v>0.29820017421827377</v>
      </c>
      <c r="BS25" s="1696"/>
      <c r="BT25" s="1790"/>
    </row>
    <row r="26" spans="1:73" ht="21" customHeight="1" x14ac:dyDescent="0.2">
      <c r="A26" s="1681" t="s">
        <v>6</v>
      </c>
      <c r="B26" s="1723">
        <v>6189.4</v>
      </c>
      <c r="C26" s="1724">
        <v>7305.4</v>
      </c>
      <c r="D26" s="1725">
        <f t="shared" si="7"/>
        <v>118.03082689759911</v>
      </c>
      <c r="E26" s="1724">
        <v>8983.7999999999993</v>
      </c>
      <c r="F26" s="1725">
        <f t="shared" si="8"/>
        <v>122.97478577490624</v>
      </c>
      <c r="G26" s="1724">
        <v>10591.4</v>
      </c>
      <c r="H26" s="1725">
        <f t="shared" si="9"/>
        <v>117.89443220018256</v>
      </c>
      <c r="I26" s="1726">
        <v>8659.2999999999993</v>
      </c>
      <c r="J26" s="1726">
        <v>5710.6</v>
      </c>
      <c r="K26" s="1726">
        <f>'цех вода'!K48</f>
        <v>7064.2471622034736</v>
      </c>
      <c r="L26" s="1726">
        <v>11296.2</v>
      </c>
      <c r="M26" s="1727">
        <f t="shared" si="10"/>
        <v>130.45165313593478</v>
      </c>
      <c r="N26" s="1727">
        <f t="shared" si="11"/>
        <v>106.65445550163342</v>
      </c>
      <c r="O26" s="1726">
        <v>13061</v>
      </c>
      <c r="P26" s="1727">
        <f t="shared" si="12"/>
        <v>150.83205339923552</v>
      </c>
      <c r="Q26" s="1728">
        <f>'цех вода'!P48</f>
        <v>10441.008114528178</v>
      </c>
      <c r="R26" s="1727">
        <f t="shared" si="21"/>
        <v>120.57565986313188</v>
      </c>
      <c r="S26" s="1727">
        <f t="shared" si="22"/>
        <v>92.42938434631273</v>
      </c>
      <c r="T26" s="1726">
        <f t="shared" si="57"/>
        <v>10441.008114528178</v>
      </c>
      <c r="U26" s="1726"/>
      <c r="V26" s="1726">
        <v>7957</v>
      </c>
      <c r="W26" s="1726"/>
      <c r="X26" s="1726">
        <v>0</v>
      </c>
      <c r="Y26" s="1729">
        <v>13533.8</v>
      </c>
      <c r="Z26" s="1718">
        <f t="shared" si="13"/>
        <v>1.2962158300756748</v>
      </c>
      <c r="AA26" s="1729">
        <f>'цех вода'!W48</f>
        <v>11085.989359774539</v>
      </c>
      <c r="AB26" s="1718">
        <f t="shared" si="1"/>
        <v>1.0617738477138907</v>
      </c>
      <c r="AC26" s="1729">
        <f t="shared" si="58"/>
        <v>11085.989359774539</v>
      </c>
      <c r="AD26" s="1729">
        <v>0</v>
      </c>
      <c r="AE26" s="1694">
        <v>9696.2999999999993</v>
      </c>
      <c r="AF26" s="1689">
        <f>SUM(AE26)</f>
        <v>9696.2999999999993</v>
      </c>
      <c r="AG26" s="1764">
        <v>0</v>
      </c>
      <c r="AH26" s="1730">
        <f t="shared" si="15"/>
        <v>11831.11</v>
      </c>
      <c r="AI26" s="1719">
        <f t="shared" si="16"/>
        <v>1.0672128229645546</v>
      </c>
      <c r="AJ26" s="1729">
        <v>11831.11</v>
      </c>
      <c r="AK26" s="1729">
        <v>0</v>
      </c>
      <c r="AL26" s="1766">
        <f t="shared" si="17"/>
        <v>11664.267955262609</v>
      </c>
      <c r="AM26" s="1719">
        <f t="shared" si="18"/>
        <v>1.0521630119532994</v>
      </c>
      <c r="AN26" s="1689">
        <f>'цех вода'!AB48</f>
        <v>11664.267955262609</v>
      </c>
      <c r="AO26" s="1764">
        <v>0</v>
      </c>
      <c r="AP26" s="1720">
        <f t="shared" si="19"/>
        <v>-2447.8106402254598</v>
      </c>
      <c r="AQ26" s="1720">
        <f t="shared" si="67"/>
        <v>-2447.8106402254598</v>
      </c>
      <c r="AR26" s="1720">
        <f t="shared" si="20"/>
        <v>0</v>
      </c>
      <c r="AS26" s="1720">
        <f t="shared" si="2"/>
        <v>-2447.8106402254598</v>
      </c>
      <c r="AT26" s="1729">
        <v>5322.04</v>
      </c>
      <c r="AU26" s="1729">
        <f>SUM(AT26)</f>
        <v>5322.04</v>
      </c>
      <c r="AV26" s="1729">
        <v>0</v>
      </c>
      <c r="AW26" s="1694">
        <f t="shared" si="59"/>
        <v>9808.8700000000008</v>
      </c>
      <c r="AX26" s="1689">
        <v>9808.8700000000008</v>
      </c>
      <c r="AY26" s="1764">
        <v>0</v>
      </c>
      <c r="AZ26" s="1729">
        <v>12041.06</v>
      </c>
      <c r="BA26" s="1721">
        <f t="shared" ref="BA26" si="77">SUM(AZ26/AL26)</f>
        <v>1.0323031026192597</v>
      </c>
      <c r="BB26" s="1729">
        <f>SUM(AZ26)</f>
        <v>12041.06</v>
      </c>
      <c r="BC26" s="1729">
        <v>0</v>
      </c>
      <c r="BD26" s="1766">
        <f>'цех вода'!AG48</f>
        <v>10482.025535236962</v>
      </c>
      <c r="BE26" s="1721">
        <f t="shared" ref="BE26" si="78">SUM(BD26/AL26)</f>
        <v>0.89864409626390229</v>
      </c>
      <c r="BF26" s="1689">
        <f>SUM(BD26)</f>
        <v>10482.025535236962</v>
      </c>
      <c r="BG26" s="1764">
        <v>0</v>
      </c>
      <c r="BH26" s="1694">
        <f t="shared" si="28"/>
        <v>10745.24</v>
      </c>
      <c r="BI26" s="1689">
        <v>10745.24</v>
      </c>
      <c r="BJ26" s="1764">
        <v>0</v>
      </c>
      <c r="BK26" s="1694">
        <f t="shared" ref="BK26" si="79">BL26+BM26</f>
        <v>13297.15</v>
      </c>
      <c r="BL26" s="1689">
        <v>13297.15</v>
      </c>
      <c r="BM26" s="1764"/>
      <c r="BN26" s="1694">
        <f t="shared" ref="BN26" si="80">BO26+BP26</f>
        <v>17694.43</v>
      </c>
      <c r="BO26" s="1689">
        <v>17694.43</v>
      </c>
      <c r="BP26" s="1764"/>
      <c r="BQ26" s="1694">
        <f t="shared" ref="BQ26" si="81">BR26+BS26</f>
        <v>14983.454979835366</v>
      </c>
      <c r="BR26" s="1764">
        <f>'цех вода'!AK48</f>
        <v>14983.454979835366</v>
      </c>
      <c r="BS26" s="1764"/>
      <c r="BT26" s="1788" t="str">
        <f>BT16</f>
        <v>Приложение</v>
      </c>
    </row>
    <row r="27" spans="1:73" s="2717" customFormat="1" ht="21" customHeight="1" x14ac:dyDescent="0.2">
      <c r="A27" s="1757" t="s">
        <v>16</v>
      </c>
      <c r="B27" s="2548">
        <f>SUM(B28:B34)</f>
        <v>12845.2</v>
      </c>
      <c r="C27" s="2710">
        <f>SUM(C28:C34)</f>
        <v>12180.900000000001</v>
      </c>
      <c r="D27" s="1960">
        <f t="shared" si="7"/>
        <v>94.828418397533724</v>
      </c>
      <c r="E27" s="2710">
        <f>SUM(E28:E34)-E33</f>
        <v>13961.699999999999</v>
      </c>
      <c r="F27" s="2710">
        <f>SUM(F28:F34)-F33</f>
        <v>568.47806769444355</v>
      </c>
      <c r="G27" s="2710">
        <f>SUM(G28:G34)-G33</f>
        <v>16318.199999999999</v>
      </c>
      <c r="H27" s="1960">
        <f t="shared" si="9"/>
        <v>116.87831711038055</v>
      </c>
      <c r="I27" s="1958">
        <f>SUM(I28:I34)-I33</f>
        <v>15689.528200000002</v>
      </c>
      <c r="J27" s="1958">
        <f>SUM(J28:J34)-J33</f>
        <v>8282.6</v>
      </c>
      <c r="K27" s="1958">
        <f>SUM(K28:K34)-K33</f>
        <v>11231.541001831447</v>
      </c>
      <c r="L27" s="1958">
        <f>SUM(L28:L34)-L33</f>
        <v>16770.900000000001</v>
      </c>
      <c r="M27" s="2718">
        <f t="shared" si="10"/>
        <v>106.89231560194396</v>
      </c>
      <c r="N27" s="2719">
        <f t="shared" si="11"/>
        <v>102.7742030370997</v>
      </c>
      <c r="O27" s="1958">
        <f>SUM(O28:O34)</f>
        <v>19432.602000566199</v>
      </c>
      <c r="P27" s="2719">
        <f t="shared" si="12"/>
        <v>123.85714696357917</v>
      </c>
      <c r="Q27" s="2720">
        <f>SUM(Q28:Q34)-Q33</f>
        <v>16138.03883700253</v>
      </c>
      <c r="R27" s="2719">
        <f t="shared" si="21"/>
        <v>102.85866235928323</v>
      </c>
      <c r="S27" s="2719">
        <f t="shared" si="22"/>
        <v>96.226432910592337</v>
      </c>
      <c r="T27" s="1958">
        <f>SUM(T28:T34)-T33</f>
        <v>15936.542324849263</v>
      </c>
      <c r="U27" s="1958">
        <f>SUM(U28:U34)</f>
        <v>201.49651215326776</v>
      </c>
      <c r="V27" s="1958">
        <f>SUM(V28:V34)-V33</f>
        <v>13925.8</v>
      </c>
      <c r="W27" s="1958">
        <f>SUM(W28:W34)-W33</f>
        <v>10238.013705220976</v>
      </c>
      <c r="X27" s="1958">
        <f>SUM(X28:X34)-X33</f>
        <v>58.686294779024138</v>
      </c>
      <c r="Y27" s="1828">
        <f>SUM(Y28:Y34)-Y33</f>
        <v>20746.8</v>
      </c>
      <c r="Z27" s="2721">
        <f t="shared" si="13"/>
        <v>1.2855837199022071</v>
      </c>
      <c r="AA27" s="1828">
        <f>SUM(AA28:AA34)-AA33</f>
        <v>17844.931718610074</v>
      </c>
      <c r="AB27" s="2721">
        <f t="shared" si="1"/>
        <v>1.1057682968077787</v>
      </c>
      <c r="AC27" s="1828">
        <f>SUM(AC28:AC34)-AC33</f>
        <v>17642.358583262347</v>
      </c>
      <c r="AD27" s="1828">
        <f>SUM(AD28:AD34)-AD33</f>
        <v>202.57313534772925</v>
      </c>
      <c r="AE27" s="1828">
        <f>SUM(AE28:AE34)-AE33</f>
        <v>16058.300000000001</v>
      </c>
      <c r="AF27" s="1828">
        <f>SUM(AF28:AF34)-AF33</f>
        <v>15863.911081950979</v>
      </c>
      <c r="AG27" s="1828">
        <f>SUM(AG28:AG34)-AG33</f>
        <v>194.38891804902261</v>
      </c>
      <c r="AH27" s="2713">
        <f t="shared" si="15"/>
        <v>18846.049999999996</v>
      </c>
      <c r="AI27" s="2714">
        <f t="shared" si="16"/>
        <v>1.0561009869455471</v>
      </c>
      <c r="AJ27" s="1828">
        <f>SUM(AJ28:AJ34)-AJ33</f>
        <v>18631.679999999997</v>
      </c>
      <c r="AK27" s="1828">
        <f>SUM(AK28:AK34)-AK33</f>
        <v>214.36999999999998</v>
      </c>
      <c r="AL27" s="2713">
        <f t="shared" si="17"/>
        <v>18173.702953335123</v>
      </c>
      <c r="AM27" s="2714">
        <f t="shared" si="18"/>
        <v>1.0184237877683882</v>
      </c>
      <c r="AN27" s="1828">
        <f>SUM(AN28:AN34)-AN33</f>
        <v>17969.281918178833</v>
      </c>
      <c r="AO27" s="1828">
        <f>SUM(AO28:AO34)-AO33</f>
        <v>204.42103515629208</v>
      </c>
      <c r="AP27" s="2715">
        <f t="shared" si="19"/>
        <v>-2901.868281389925</v>
      </c>
      <c r="AQ27" s="2715">
        <f t="shared" si="67"/>
        <v>-2868.9266839998809</v>
      </c>
      <c r="AR27" s="2715">
        <f t="shared" si="20"/>
        <v>-32.94159739004408</v>
      </c>
      <c r="AS27" s="2715">
        <f t="shared" si="2"/>
        <v>-2901.868281389925</v>
      </c>
      <c r="AT27" s="1828">
        <f t="shared" ref="AT27:AZ27" si="82">SUM(AT28:AT34)-AT33</f>
        <v>7881.34</v>
      </c>
      <c r="AU27" s="1828">
        <f t="shared" si="82"/>
        <v>7828.1401733250268</v>
      </c>
      <c r="AV27" s="1828">
        <f t="shared" si="82"/>
        <v>53.19982667497321</v>
      </c>
      <c r="AW27" s="1828">
        <f t="shared" si="82"/>
        <v>16393.490000000002</v>
      </c>
      <c r="AX27" s="1828">
        <f t="shared" si="82"/>
        <v>16316.11</v>
      </c>
      <c r="AY27" s="1828">
        <f t="shared" si="82"/>
        <v>77.38000000000001</v>
      </c>
      <c r="AZ27" s="1828">
        <f t="shared" si="82"/>
        <v>20142.307000000001</v>
      </c>
      <c r="BA27" s="2716">
        <f t="shared" si="26"/>
        <v>1.1083215705527756</v>
      </c>
      <c r="BB27" s="1828">
        <f>SUM(BB28:BB34)-BB33</f>
        <v>21373.584955906259</v>
      </c>
      <c r="BC27" s="1828">
        <f>SUM(BC28:BC34)-BC33</f>
        <v>106.20804409374369</v>
      </c>
      <c r="BD27" s="1828">
        <f>SUM(BD28:BD34)-BD33</f>
        <v>18282.658427547103</v>
      </c>
      <c r="BE27" s="2716">
        <f t="shared" si="27"/>
        <v>1.0059952269766788</v>
      </c>
      <c r="BF27" s="1828">
        <f t="shared" ref="BF27:BP27" si="83">SUM(BF28:BF34)-BF33</f>
        <v>18186.382405893168</v>
      </c>
      <c r="BG27" s="1828">
        <f t="shared" si="83"/>
        <v>96.276021653932204</v>
      </c>
      <c r="BH27" s="1828">
        <f t="shared" si="83"/>
        <v>16673.330000000002</v>
      </c>
      <c r="BI27" s="1828">
        <f t="shared" si="83"/>
        <v>16662.309999999998</v>
      </c>
      <c r="BJ27" s="1828">
        <f t="shared" si="83"/>
        <v>11.02</v>
      </c>
      <c r="BK27" s="1828">
        <f t="shared" si="83"/>
        <v>14443.529999999999</v>
      </c>
      <c r="BL27" s="1828">
        <f t="shared" si="83"/>
        <v>14436.84</v>
      </c>
      <c r="BM27" s="1828">
        <f t="shared" si="83"/>
        <v>6.69</v>
      </c>
      <c r="BN27" s="1828">
        <f t="shared" si="83"/>
        <v>20387.870000000003</v>
      </c>
      <c r="BO27" s="1828">
        <f t="shared" si="83"/>
        <v>20359.66</v>
      </c>
      <c r="BP27" s="1828">
        <f t="shared" si="83"/>
        <v>28.209999999999997</v>
      </c>
      <c r="BQ27" s="1828">
        <f>SUM(BQ28:BQ34)-BQ33</f>
        <v>19441.441874880904</v>
      </c>
      <c r="BR27" s="1828">
        <f t="shared" ref="BR27" si="84">SUM(BR28:BR34)-BR33</f>
        <v>19432.046014292711</v>
      </c>
      <c r="BS27" s="1828">
        <f t="shared" ref="BS27" si="85">SUM(BS28:BS34)-BS33</f>
        <v>9.3958605881912014</v>
      </c>
      <c r="BT27" s="1869"/>
    </row>
    <row r="28" spans="1:73" s="391" customFormat="1" ht="46.5" customHeight="1" x14ac:dyDescent="0.2">
      <c r="A28" s="2976" t="s">
        <v>3</v>
      </c>
      <c r="B28" s="2977">
        <v>853.3</v>
      </c>
      <c r="C28" s="2978">
        <v>417.9</v>
      </c>
      <c r="D28" s="2979">
        <f t="shared" si="7"/>
        <v>48.974569319114025</v>
      </c>
      <c r="E28" s="2978">
        <v>562.4</v>
      </c>
      <c r="F28" s="2979">
        <f t="shared" si="8"/>
        <v>134.5776501555396</v>
      </c>
      <c r="G28" s="2978">
        <v>623.79999999999995</v>
      </c>
      <c r="H28" s="2979">
        <f t="shared" si="9"/>
        <v>110.91749644381224</v>
      </c>
      <c r="I28" s="2980">
        <v>583.20000000000005</v>
      </c>
      <c r="J28" s="2980">
        <v>332.5</v>
      </c>
      <c r="K28" s="2980">
        <v>504.5</v>
      </c>
      <c r="L28" s="2980">
        <v>710</v>
      </c>
      <c r="M28" s="2981">
        <f t="shared" si="10"/>
        <v>121.7421124828532</v>
      </c>
      <c r="N28" s="2981">
        <f t="shared" si="11"/>
        <v>113.81853158063481</v>
      </c>
      <c r="O28" s="2980">
        <v>686.4</v>
      </c>
      <c r="P28" s="2981">
        <f t="shared" si="12"/>
        <v>117.6954732510288</v>
      </c>
      <c r="Q28" s="2982">
        <v>0</v>
      </c>
      <c r="R28" s="2981">
        <f t="shared" si="21"/>
        <v>0</v>
      </c>
      <c r="S28" s="2981">
        <f t="shared" si="22"/>
        <v>0</v>
      </c>
      <c r="T28" s="2980">
        <f>Q28/Q64*T64</f>
        <v>0</v>
      </c>
      <c r="U28" s="2980">
        <f t="shared" ref="U28:U34" si="86">Q28-T28</f>
        <v>0</v>
      </c>
      <c r="V28" s="2980">
        <v>286</v>
      </c>
      <c r="W28" s="2980">
        <v>300</v>
      </c>
      <c r="X28" s="2980"/>
      <c r="Y28" s="2983">
        <v>780</v>
      </c>
      <c r="Z28" s="2984"/>
      <c r="AA28" s="2983">
        <f>Y28</f>
        <v>780</v>
      </c>
      <c r="AB28" s="2984"/>
      <c r="AC28" s="2983">
        <f>$AC$64/$AA$64*AA28</f>
        <v>771.14555056512506</v>
      </c>
      <c r="AD28" s="2983">
        <f t="shared" si="24"/>
        <v>8.8544494348749367</v>
      </c>
      <c r="AE28" s="2983">
        <f>SUM(AF28:AG28)</f>
        <v>292.5</v>
      </c>
      <c r="AF28" s="2983">
        <v>292.5</v>
      </c>
      <c r="AG28" s="2983">
        <v>0</v>
      </c>
      <c r="AH28" s="2985">
        <f t="shared" si="15"/>
        <v>828.26</v>
      </c>
      <c r="AI28" s="2986">
        <f t="shared" si="16"/>
        <v>1.0618717948717948</v>
      </c>
      <c r="AJ28" s="2983">
        <v>819</v>
      </c>
      <c r="AK28" s="2983">
        <v>9.26</v>
      </c>
      <c r="AL28" s="2985">
        <f t="shared" si="17"/>
        <v>215.84899999999999</v>
      </c>
      <c r="AM28" s="2986">
        <f t="shared" si="18"/>
        <v>0.27672948717948714</v>
      </c>
      <c r="AN28" s="2983">
        <f>'Ремонт вода 2015'!G49/1000</f>
        <v>215.84899999999999</v>
      </c>
      <c r="AO28" s="2983">
        <v>0</v>
      </c>
      <c r="AP28" s="2987">
        <f t="shared" si="19"/>
        <v>0</v>
      </c>
      <c r="AQ28" s="2987">
        <f t="shared" si="67"/>
        <v>0</v>
      </c>
      <c r="AR28" s="2987">
        <f t="shared" si="20"/>
        <v>0</v>
      </c>
      <c r="AS28" s="2987">
        <f t="shared" si="2"/>
        <v>0</v>
      </c>
      <c r="AT28" s="2983">
        <v>151.91</v>
      </c>
      <c r="AU28" s="2983">
        <v>151.91</v>
      </c>
      <c r="AV28" s="2983">
        <v>0</v>
      </c>
      <c r="AW28" s="2983">
        <f t="shared" si="59"/>
        <v>339.39</v>
      </c>
      <c r="AX28" s="2983">
        <v>339.39</v>
      </c>
      <c r="AY28" s="2983"/>
      <c r="AZ28" s="2985">
        <v>256.13</v>
      </c>
      <c r="BA28" s="2988">
        <f t="shared" si="26"/>
        <v>1.1866165699169327</v>
      </c>
      <c r="BB28" s="2983">
        <f>SUM('Ремонт вода 2016'!K191/1000)</f>
        <v>1593.616</v>
      </c>
      <c r="BC28" s="2983">
        <v>0</v>
      </c>
      <c r="BD28" s="2985">
        <f>' текРемвода 2016'!I197/1000</f>
        <v>256.13299999999998</v>
      </c>
      <c r="BE28" s="2988">
        <f t="shared" si="27"/>
        <v>1.186630468521976</v>
      </c>
      <c r="BF28" s="2983">
        <f>BD28</f>
        <v>256.13299999999998</v>
      </c>
      <c r="BG28" s="2983">
        <v>0</v>
      </c>
      <c r="BH28" s="2983">
        <f t="shared" si="28"/>
        <v>291.54000000000002</v>
      </c>
      <c r="BI28" s="2983">
        <v>291.54000000000002</v>
      </c>
      <c r="BJ28" s="2983">
        <v>0</v>
      </c>
      <c r="BK28" s="2983">
        <f t="shared" ref="BK28:BK32" si="87">BL28+BM28</f>
        <v>566.03</v>
      </c>
      <c r="BL28" s="2983">
        <v>566.03</v>
      </c>
      <c r="BM28" s="2983">
        <v>0</v>
      </c>
      <c r="BN28" s="2983">
        <f t="shared" ref="BN28:BN32" si="88">BO28+BP28</f>
        <v>1049.73</v>
      </c>
      <c r="BO28" s="2983">
        <v>1048.27</v>
      </c>
      <c r="BP28" s="2983">
        <v>1.46</v>
      </c>
      <c r="BQ28" s="2983">
        <f>'рем программа'!B21</f>
        <v>1049.5662500000001</v>
      </c>
      <c r="BR28" s="2983">
        <f t="shared" ref="BR28:BR32" si="89">BQ28/$BQ$64*$BR$64</f>
        <v>1049.0590047953215</v>
      </c>
      <c r="BS28" s="2983">
        <f t="shared" ref="BS28:BS32" si="90">BQ28/$BQ$64*$BS$64</f>
        <v>0.50724520467857759</v>
      </c>
      <c r="BT28" s="2989" t="s">
        <v>3570</v>
      </c>
    </row>
    <row r="29" spans="1:73" ht="21" customHeight="1" x14ac:dyDescent="0.2">
      <c r="A29" s="1681" t="s">
        <v>2</v>
      </c>
      <c r="B29" s="1723">
        <v>332.9</v>
      </c>
      <c r="C29" s="1724">
        <v>352.9</v>
      </c>
      <c r="D29" s="1725">
        <f t="shared" si="7"/>
        <v>106.00781015319916</v>
      </c>
      <c r="E29" s="1724">
        <v>309.39999999999998</v>
      </c>
      <c r="F29" s="1725">
        <f t="shared" si="8"/>
        <v>87.673561915556817</v>
      </c>
      <c r="G29" s="1724">
        <v>267</v>
      </c>
      <c r="H29" s="1725">
        <f t="shared" si="9"/>
        <v>86.296056884292184</v>
      </c>
      <c r="I29" s="1726">
        <v>257</v>
      </c>
      <c r="J29" s="1726">
        <v>129.80000000000001</v>
      </c>
      <c r="K29" s="1726">
        <v>203.5</v>
      </c>
      <c r="L29" s="1726">
        <v>272.89999999999998</v>
      </c>
      <c r="M29" s="1727">
        <f t="shared" si="10"/>
        <v>106.18677042801556</v>
      </c>
      <c r="N29" s="1727">
        <f t="shared" si="11"/>
        <v>102.20973782771534</v>
      </c>
      <c r="O29" s="1726">
        <v>257</v>
      </c>
      <c r="P29" s="1727">
        <f t="shared" si="12"/>
        <v>100</v>
      </c>
      <c r="Q29" s="1728">
        <v>257</v>
      </c>
      <c r="R29" s="1727">
        <f t="shared" si="21"/>
        <v>100</v>
      </c>
      <c r="S29" s="1727">
        <f t="shared" si="22"/>
        <v>94.173689996335668</v>
      </c>
      <c r="T29" s="1726">
        <f>Q29/Q64*T64</f>
        <v>253.79114642451759</v>
      </c>
      <c r="U29" s="1726">
        <f t="shared" si="86"/>
        <v>3.2088535754824079</v>
      </c>
      <c r="V29" s="1726">
        <v>205.4</v>
      </c>
      <c r="W29" s="1726">
        <f>272.9*(объемы!$BB$9-объемы!$BB$18)/объемы!$BB$9</f>
        <v>271.29792232984926</v>
      </c>
      <c r="X29" s="1726">
        <f>272.9-W29</f>
        <v>1.6020776701507202</v>
      </c>
      <c r="Y29" s="1729">
        <v>298.89999999999998</v>
      </c>
      <c r="Z29" s="1718">
        <f t="shared" si="13"/>
        <v>1.1630350194552528</v>
      </c>
      <c r="AA29" s="1729">
        <f>Аморт!G23</f>
        <v>272.89999999999998</v>
      </c>
      <c r="AB29" s="1718">
        <f t="shared" si="1"/>
        <v>1.0618677042801556</v>
      </c>
      <c r="AC29" s="1729">
        <f>$AC$64/$AA$64*AA29</f>
        <v>269.80207788361872</v>
      </c>
      <c r="AD29" s="1729">
        <f t="shared" si="24"/>
        <v>3.0979221163812554</v>
      </c>
      <c r="AE29" s="1694">
        <f>SUM(Аморт!L23)</f>
        <v>72.099999999999994</v>
      </c>
      <c r="AF29" s="1689">
        <f>AF64/AE64*AE29</f>
        <v>71.211022530329288</v>
      </c>
      <c r="AG29" s="1764">
        <f>AE29-AF29</f>
        <v>0.88897746967070645</v>
      </c>
      <c r="AH29" s="1730">
        <f t="shared" si="15"/>
        <v>273</v>
      </c>
      <c r="AI29" s="1719">
        <f t="shared" si="16"/>
        <v>1.0003664345914256</v>
      </c>
      <c r="AJ29" s="1729">
        <v>269.89</v>
      </c>
      <c r="AK29" s="1729">
        <v>3.11</v>
      </c>
      <c r="AL29" s="1766">
        <f t="shared" si="17"/>
        <v>273</v>
      </c>
      <c r="AM29" s="1719">
        <f t="shared" si="18"/>
        <v>1.0003664345914256</v>
      </c>
      <c r="AN29" s="1689">
        <f>Аморт!O23*AN64/(AN64+AO64)</f>
        <v>269.89233787385251</v>
      </c>
      <c r="AO29" s="1764">
        <f>-AN29+Аморт!O23</f>
        <v>3.1076621261474884</v>
      </c>
      <c r="AP29" s="1720">
        <f t="shared" si="19"/>
        <v>-26</v>
      </c>
      <c r="AQ29" s="1720">
        <f t="shared" si="67"/>
        <v>-25.70485168550417</v>
      </c>
      <c r="AR29" s="1720">
        <f t="shared" si="20"/>
        <v>-0.29514831449582957</v>
      </c>
      <c r="AS29" s="1720">
        <f t="shared" si="2"/>
        <v>-26</v>
      </c>
      <c r="AT29" s="1729">
        <f>SUM(Аморт!Q23)</f>
        <v>26.95</v>
      </c>
      <c r="AU29" s="1729">
        <f>AU64/AT64*AT29</f>
        <v>26.764509565531931</v>
      </c>
      <c r="AV29" s="1729">
        <f>AT29-AU29</f>
        <v>0.18549043446806834</v>
      </c>
      <c r="AW29" s="1694">
        <f t="shared" si="59"/>
        <v>53.89</v>
      </c>
      <c r="AX29" s="1689">
        <v>53.63</v>
      </c>
      <c r="AY29" s="1764">
        <v>0.26</v>
      </c>
      <c r="AZ29" s="1730">
        <f>SUM(Аморт!T23)</f>
        <v>273</v>
      </c>
      <c r="BA29" s="1721">
        <f t="shared" si="26"/>
        <v>1</v>
      </c>
      <c r="BB29" s="1729">
        <f>BB64/AZ64*AZ29</f>
        <v>271.54196228678882</v>
      </c>
      <c r="BC29" s="1729">
        <f>AZ29-BB29</f>
        <v>1.4580377132111835</v>
      </c>
      <c r="BD29" s="1766">
        <f>SUM(Аморт!U23)</f>
        <v>53.89</v>
      </c>
      <c r="BE29" s="1721">
        <f t="shared" si="27"/>
        <v>0.19739926739926741</v>
      </c>
      <c r="BF29" s="1689">
        <f>BF64/BD64*BD29</f>
        <v>53.602184423571615</v>
      </c>
      <c r="BG29" s="1764">
        <f>BD29-BF29</f>
        <v>0.28781557642838607</v>
      </c>
      <c r="BH29" s="1694">
        <f t="shared" si="28"/>
        <v>53.89</v>
      </c>
      <c r="BI29" s="1689">
        <v>53.85</v>
      </c>
      <c r="BJ29" s="1764">
        <v>0.04</v>
      </c>
      <c r="BK29" s="1694">
        <f t="shared" si="87"/>
        <v>53.88</v>
      </c>
      <c r="BL29" s="1689">
        <v>53.88</v>
      </c>
      <c r="BM29" s="1764">
        <v>0</v>
      </c>
      <c r="BN29" s="1694">
        <f t="shared" si="88"/>
        <v>53.88</v>
      </c>
      <c r="BO29" s="1689">
        <v>53.88</v>
      </c>
      <c r="BP29" s="1764">
        <v>0</v>
      </c>
      <c r="BQ29" s="1694">
        <f>Аморт!AL23</f>
        <v>53.88</v>
      </c>
      <c r="BR29" s="1764">
        <f t="shared" si="89"/>
        <v>53.853960317771197</v>
      </c>
      <c r="BS29" s="1764">
        <f t="shared" si="90"/>
        <v>2.6039682228808099E-2</v>
      </c>
      <c r="BT29" s="1788" t="str">
        <f>BT20</f>
        <v>Приложение</v>
      </c>
    </row>
    <row r="30" spans="1:73" ht="21" customHeight="1" x14ac:dyDescent="0.2">
      <c r="A30" s="1681" t="s">
        <v>216</v>
      </c>
      <c r="B30" s="1723">
        <v>35.4</v>
      </c>
      <c r="C30" s="1745"/>
      <c r="D30" s="1725">
        <f t="shared" si="7"/>
        <v>0</v>
      </c>
      <c r="E30" s="1723">
        <v>8.6999999999999993</v>
      </c>
      <c r="F30" s="1725"/>
      <c r="G30" s="1724"/>
      <c r="H30" s="1725">
        <f t="shared" si="9"/>
        <v>0</v>
      </c>
      <c r="I30" s="1726"/>
      <c r="J30" s="1726"/>
      <c r="K30" s="1726"/>
      <c r="L30" s="1726">
        <v>33.299999999999997</v>
      </c>
      <c r="M30" s="1727"/>
      <c r="N30" s="1727"/>
      <c r="O30" s="1726"/>
      <c r="P30" s="1727"/>
      <c r="Q30" s="1728"/>
      <c r="R30" s="1727"/>
      <c r="S30" s="1727"/>
      <c r="T30" s="1726"/>
      <c r="U30" s="1726">
        <f t="shared" si="86"/>
        <v>0</v>
      </c>
      <c r="V30" s="1726">
        <v>0</v>
      </c>
      <c r="W30" s="1726">
        <v>0</v>
      </c>
      <c r="X30" s="1726">
        <v>0</v>
      </c>
      <c r="Y30" s="1729">
        <v>0</v>
      </c>
      <c r="Z30" s="1718"/>
      <c r="AA30" s="1729">
        <v>0</v>
      </c>
      <c r="AB30" s="1718"/>
      <c r="AC30" s="1729">
        <f>$AC$64/$AA$64*AA30</f>
        <v>0</v>
      </c>
      <c r="AD30" s="1729">
        <f t="shared" si="24"/>
        <v>0</v>
      </c>
      <c r="AE30" s="1694">
        <v>0</v>
      </c>
      <c r="AF30" s="1689">
        <v>0</v>
      </c>
      <c r="AG30" s="1764">
        <v>0</v>
      </c>
      <c r="AH30" s="1730">
        <f t="shared" si="15"/>
        <v>0</v>
      </c>
      <c r="AI30" s="1719"/>
      <c r="AJ30" s="1729">
        <v>0</v>
      </c>
      <c r="AK30" s="1729">
        <v>0</v>
      </c>
      <c r="AL30" s="1766">
        <f t="shared" si="17"/>
        <v>0</v>
      </c>
      <c r="AM30" s="1719"/>
      <c r="AN30" s="1689">
        <v>0</v>
      </c>
      <c r="AO30" s="1764">
        <v>0</v>
      </c>
      <c r="AP30" s="1720">
        <f t="shared" si="19"/>
        <v>0</v>
      </c>
      <c r="AQ30" s="1720"/>
      <c r="AR30" s="1720"/>
      <c r="AS30" s="1720">
        <f t="shared" si="2"/>
        <v>0</v>
      </c>
      <c r="AT30" s="1729">
        <v>0</v>
      </c>
      <c r="AU30" s="1729">
        <v>0</v>
      </c>
      <c r="AV30" s="1729">
        <v>0</v>
      </c>
      <c r="AW30" s="1694">
        <f t="shared" si="59"/>
        <v>0</v>
      </c>
      <c r="AX30" s="1689">
        <v>0</v>
      </c>
      <c r="AY30" s="1764">
        <v>0</v>
      </c>
      <c r="AZ30" s="1730">
        <f t="shared" ref="AZ30" si="91">SUM(BB30+BC30)</f>
        <v>0</v>
      </c>
      <c r="BA30" s="1721"/>
      <c r="BB30" s="1729">
        <v>0</v>
      </c>
      <c r="BC30" s="1729">
        <v>0</v>
      </c>
      <c r="BD30" s="1766">
        <f t="shared" ref="BD30" si="92">SUM(BF30+BG30)</f>
        <v>0</v>
      </c>
      <c r="BE30" s="1721"/>
      <c r="BF30" s="1689">
        <v>0</v>
      </c>
      <c r="BG30" s="1764">
        <v>0</v>
      </c>
      <c r="BH30" s="1694">
        <f t="shared" si="28"/>
        <v>0</v>
      </c>
      <c r="BI30" s="1689">
        <v>0</v>
      </c>
      <c r="BJ30" s="1764">
        <v>0</v>
      </c>
      <c r="BK30" s="1694">
        <f t="shared" si="87"/>
        <v>0</v>
      </c>
      <c r="BL30" s="1689">
        <v>0</v>
      </c>
      <c r="BM30" s="1764">
        <v>0</v>
      </c>
      <c r="BN30" s="1694">
        <f t="shared" si="88"/>
        <v>0</v>
      </c>
      <c r="BO30" s="1689">
        <v>0</v>
      </c>
      <c r="BP30" s="1764">
        <v>0</v>
      </c>
      <c r="BQ30" s="1694">
        <v>0</v>
      </c>
      <c r="BR30" s="1764">
        <f t="shared" si="89"/>
        <v>0</v>
      </c>
      <c r="BS30" s="1764">
        <f t="shared" si="90"/>
        <v>0</v>
      </c>
      <c r="BT30" s="1788"/>
    </row>
    <row r="31" spans="1:73" ht="21" customHeight="1" x14ac:dyDescent="0.2">
      <c r="A31" s="1681" t="s">
        <v>4</v>
      </c>
      <c r="B31" s="1723">
        <v>6114.5</v>
      </c>
      <c r="C31" s="1724">
        <v>6562.1</v>
      </c>
      <c r="D31" s="1725">
        <f t="shared" si="7"/>
        <v>107.32030419494644</v>
      </c>
      <c r="E31" s="1724">
        <v>7516.4</v>
      </c>
      <c r="F31" s="1725">
        <f t="shared" ref="F31:F42" si="93">E31/C31*100</f>
        <v>114.54260069185169</v>
      </c>
      <c r="G31" s="1724">
        <v>8370</v>
      </c>
      <c r="H31" s="1725">
        <f t="shared" si="9"/>
        <v>111.35650045234422</v>
      </c>
      <c r="I31" s="1726">
        <v>8699.1</v>
      </c>
      <c r="J31" s="1726">
        <v>4218.3999999999996</v>
      </c>
      <c r="K31" s="1726">
        <v>5882</v>
      </c>
      <c r="L31" s="1726">
        <v>8778.6</v>
      </c>
      <c r="M31" s="1727">
        <f t="shared" si="10"/>
        <v>100.91388764354934</v>
      </c>
      <c r="N31" s="1727">
        <f t="shared" si="11"/>
        <v>104.88172043010752</v>
      </c>
      <c r="O31" s="1726">
        <v>10597</v>
      </c>
      <c r="P31" s="1727">
        <f t="shared" si="12"/>
        <v>121.81719948040602</v>
      </c>
      <c r="Q31" s="1728">
        <f>ЗП!AP11</f>
        <v>9316.8646200000003</v>
      </c>
      <c r="R31" s="1727">
        <f t="shared" si="21"/>
        <v>107.10147739421319</v>
      </c>
      <c r="S31" s="1727">
        <f t="shared" si="22"/>
        <v>106.13155423416035</v>
      </c>
      <c r="T31" s="1726">
        <f>Q31/Q64*T64</f>
        <v>9200.5360038592498</v>
      </c>
      <c r="U31" s="1726">
        <f t="shared" si="86"/>
        <v>116.32861614075046</v>
      </c>
      <c r="V31" s="1726">
        <v>7252.1</v>
      </c>
      <c r="W31" s="1726">
        <f>9723.8*(объемы!$BB$9-объемы!$BB$18)/объемы!$BB$9</f>
        <v>9666.7157828911259</v>
      </c>
      <c r="X31" s="1726">
        <f>9723.8-W31</f>
        <v>57.084217108873418</v>
      </c>
      <c r="Y31" s="1729">
        <v>11262.6</v>
      </c>
      <c r="Z31" s="1718">
        <f t="shared" si="13"/>
        <v>1.2088401473413273</v>
      </c>
      <c r="AA31" s="1729">
        <f>ЗП!U27</f>
        <v>9838.6090387200002</v>
      </c>
      <c r="AB31" s="1718">
        <f t="shared" si="1"/>
        <v>1.056</v>
      </c>
      <c r="AC31" s="1729">
        <f>$AC$64/$AA$64*AA31</f>
        <v>9726.9225435368589</v>
      </c>
      <c r="AD31" s="1729">
        <f t="shared" si="24"/>
        <v>111.68649518314123</v>
      </c>
      <c r="AE31" s="1694">
        <f>SUM(ЗП!AS27)</f>
        <v>9116.1</v>
      </c>
      <c r="AF31" s="1689">
        <f>AF64/AE64*AE31</f>
        <v>9003.7004506065859</v>
      </c>
      <c r="AG31" s="1764">
        <f>AE31-AF31</f>
        <v>112.39954939341442</v>
      </c>
      <c r="AH31" s="1730">
        <f t="shared" si="15"/>
        <v>10364.799999999999</v>
      </c>
      <c r="AI31" s="1719">
        <f t="shared" si="16"/>
        <v>1.0534822513232476</v>
      </c>
      <c r="AJ31" s="1729">
        <v>10246.81</v>
      </c>
      <c r="AK31" s="1729">
        <v>117.99</v>
      </c>
      <c r="AL31" s="1766">
        <f t="shared" si="17"/>
        <v>10364.799999999999</v>
      </c>
      <c r="AM31" s="1719">
        <f t="shared" si="18"/>
        <v>1.0534822513232476</v>
      </c>
      <c r="AN31" s="1689">
        <f>ЗП!BB27*AN64/(AN64+AO64)</f>
        <v>10246.813566281708</v>
      </c>
      <c r="AO31" s="1764">
        <f>-AN31+ЗП!BB27</f>
        <v>117.98643371829166</v>
      </c>
      <c r="AP31" s="1720">
        <f t="shared" si="19"/>
        <v>-1423.9909612800002</v>
      </c>
      <c r="AQ31" s="1720">
        <f t="shared" ref="AQ31:AQ36" si="94">AP31*AC31/AA31</f>
        <v>-1407.8260177384966</v>
      </c>
      <c r="AR31" s="1720">
        <f t="shared" si="20"/>
        <v>-16.16494354150359</v>
      </c>
      <c r="AS31" s="1720">
        <f t="shared" si="2"/>
        <v>-1423.9909612800002</v>
      </c>
      <c r="AT31" s="1729">
        <f>SUM(ЗП!BG27)</f>
        <v>4499.5</v>
      </c>
      <c r="AU31" s="1729">
        <f>AU64/AT64*AT31</f>
        <v>4468.5310126200711</v>
      </c>
      <c r="AV31" s="1729">
        <f>AT31-AU31</f>
        <v>30.968987379928876</v>
      </c>
      <c r="AW31" s="1694">
        <f t="shared" si="59"/>
        <v>9142.15</v>
      </c>
      <c r="AX31" s="1689">
        <v>9098.09</v>
      </c>
      <c r="AY31" s="1764">
        <v>44.06</v>
      </c>
      <c r="AZ31" s="1730">
        <f>SUM(ЗП!BO27)</f>
        <v>11401.28</v>
      </c>
      <c r="BA31" s="1721">
        <f t="shared" si="26"/>
        <v>1.1000000000000001</v>
      </c>
      <c r="BB31" s="1729">
        <f>BB64/AZ64*AZ31</f>
        <v>11340.388072458316</v>
      </c>
      <c r="BC31" s="1729">
        <f>AZ31-BB31</f>
        <v>60.891927541684709</v>
      </c>
      <c r="BD31" s="1766">
        <f>SUM(ЗП!BS27)</f>
        <v>10629.419452631584</v>
      </c>
      <c r="BE31" s="1721">
        <f t="shared" si="27"/>
        <v>1.0255305893631894</v>
      </c>
      <c r="BF31" s="1689">
        <f>BF64/BD64*BD31</f>
        <v>10572.649875959507</v>
      </c>
      <c r="BG31" s="1764">
        <f>BD31-BF31</f>
        <v>56.769576672077164</v>
      </c>
      <c r="BH31" s="1694">
        <f t="shared" si="28"/>
        <v>9289.84</v>
      </c>
      <c r="BI31" s="1689">
        <v>9283.59</v>
      </c>
      <c r="BJ31" s="1764">
        <v>6.25</v>
      </c>
      <c r="BK31" s="1694">
        <f t="shared" si="87"/>
        <v>8455.32</v>
      </c>
      <c r="BL31" s="1689">
        <v>8451.23</v>
      </c>
      <c r="BM31" s="1764">
        <v>4.09</v>
      </c>
      <c r="BN31" s="1694">
        <f t="shared" si="88"/>
        <v>11936.81</v>
      </c>
      <c r="BO31" s="1689">
        <v>11920.25</v>
      </c>
      <c r="BP31" s="1764">
        <v>16.559999999999999</v>
      </c>
      <c r="BQ31" s="1694">
        <f>ЗП!CO27</f>
        <v>11652.445728000001</v>
      </c>
      <c r="BR31" s="1764">
        <f t="shared" si="89"/>
        <v>11646.814213821352</v>
      </c>
      <c r="BS31" s="1764">
        <f t="shared" si="90"/>
        <v>5.6315141786479668</v>
      </c>
      <c r="BT31" s="1788" t="str">
        <f>BT23</f>
        <v>Приложение</v>
      </c>
    </row>
    <row r="32" spans="1:73" ht="21" customHeight="1" x14ac:dyDescent="0.2">
      <c r="A32" s="1681" t="s">
        <v>5</v>
      </c>
      <c r="B32" s="1723">
        <v>1537.3</v>
      </c>
      <c r="C32" s="1724">
        <v>1692.9</v>
      </c>
      <c r="D32" s="1725">
        <f t="shared" si="7"/>
        <v>110.1216418395889</v>
      </c>
      <c r="E32" s="1724">
        <v>2020.4</v>
      </c>
      <c r="F32" s="1725">
        <f t="shared" si="93"/>
        <v>119.34550180164216</v>
      </c>
      <c r="G32" s="1724">
        <v>2846.8</v>
      </c>
      <c r="H32" s="1725">
        <f t="shared" si="9"/>
        <v>140.90279152643041</v>
      </c>
      <c r="I32" s="1726">
        <f>I31*30.2/100</f>
        <v>2627.1282000000001</v>
      </c>
      <c r="J32" s="1726">
        <v>1433.5</v>
      </c>
      <c r="K32" s="1726">
        <v>1767.4</v>
      </c>
      <c r="L32" s="1726">
        <v>2640.5</v>
      </c>
      <c r="M32" s="1727">
        <f t="shared" si="10"/>
        <v>100.50898924536686</v>
      </c>
      <c r="N32" s="1727">
        <f t="shared" si="11"/>
        <v>92.75326682590979</v>
      </c>
      <c r="O32" s="1726">
        <v>3200.3</v>
      </c>
      <c r="P32" s="1727">
        <f t="shared" si="12"/>
        <v>121.81742786667206</v>
      </c>
      <c r="Q32" s="1728">
        <f>Q31*0.302</f>
        <v>2813.6931152400002</v>
      </c>
      <c r="R32" s="1727">
        <f t="shared" si="21"/>
        <v>107.10147739421321</v>
      </c>
      <c r="S32" s="1727">
        <f t="shared" si="22"/>
        <v>106.5591030198826</v>
      </c>
      <c r="T32" s="1726">
        <f>Q32/Q64*T64</f>
        <v>2778.561873165494</v>
      </c>
      <c r="U32" s="1726">
        <f t="shared" si="86"/>
        <v>35.13124207450619</v>
      </c>
      <c r="V32" s="1726">
        <v>2190.9</v>
      </c>
      <c r="W32" s="1726"/>
      <c r="X32" s="1726"/>
      <c r="Y32" s="1729">
        <v>3401.3</v>
      </c>
      <c r="Z32" s="1718">
        <f t="shared" si="13"/>
        <v>1.2088382992364393</v>
      </c>
      <c r="AA32" s="1729">
        <f>AA31*0.302</f>
        <v>2971.25992969344</v>
      </c>
      <c r="AB32" s="1718">
        <f t="shared" si="1"/>
        <v>1.0559999999999998</v>
      </c>
      <c r="AC32" s="1729">
        <f>$AC$64/$AA$64*AA32</f>
        <v>2937.5306081481317</v>
      </c>
      <c r="AD32" s="1729">
        <f t="shared" si="24"/>
        <v>33.729321545308267</v>
      </c>
      <c r="AE32" s="1694">
        <v>2737.5</v>
      </c>
      <c r="AF32" s="1689">
        <f>AF64/AE64*AE32</f>
        <v>2703.7472146570935</v>
      </c>
      <c r="AG32" s="1764">
        <f>AE32-AF32</f>
        <v>33.752785342906463</v>
      </c>
      <c r="AH32" s="1730">
        <f t="shared" si="15"/>
        <v>3130.17</v>
      </c>
      <c r="AI32" s="1719">
        <f t="shared" si="16"/>
        <v>1.0534823859462727</v>
      </c>
      <c r="AJ32" s="1729">
        <v>3094.54</v>
      </c>
      <c r="AK32" s="1729">
        <v>35.630000000000003</v>
      </c>
      <c r="AL32" s="1766">
        <f t="shared" si="17"/>
        <v>3130.1695999999997</v>
      </c>
      <c r="AM32" s="1719">
        <f t="shared" si="18"/>
        <v>1.0534822513232476</v>
      </c>
      <c r="AN32" s="1689">
        <f>AN31*0.302</f>
        <v>3094.5376970170755</v>
      </c>
      <c r="AO32" s="1764">
        <f>AO31*0.302</f>
        <v>35.631902982924082</v>
      </c>
      <c r="AP32" s="1720">
        <f t="shared" si="19"/>
        <v>-430.04007030656021</v>
      </c>
      <c r="AQ32" s="1720">
        <f t="shared" si="94"/>
        <v>-425.15831638668908</v>
      </c>
      <c r="AR32" s="1720">
        <f t="shared" si="20"/>
        <v>-4.8817539198711302</v>
      </c>
      <c r="AS32" s="1720">
        <f t="shared" si="2"/>
        <v>-430.04007030656021</v>
      </c>
      <c r="AT32" s="1729">
        <v>1349.84</v>
      </c>
      <c r="AU32" s="1729">
        <f>AT32*AU64/(AU64+AV64)</f>
        <v>1340.5493726136408</v>
      </c>
      <c r="AV32" s="1729">
        <f>AT32-AU32</f>
        <v>9.2906273863591196</v>
      </c>
      <c r="AW32" s="1694">
        <f t="shared" si="59"/>
        <v>2748.41</v>
      </c>
      <c r="AX32" s="1689">
        <v>2735.16</v>
      </c>
      <c r="AY32" s="1764">
        <v>13.25</v>
      </c>
      <c r="AZ32" s="1730">
        <f t="shared" ref="AZ32" si="95">SUM(BB32+BC32)</f>
        <v>3443.1870000000008</v>
      </c>
      <c r="BA32" s="1721">
        <f t="shared" si="26"/>
        <v>1.1000001405674635</v>
      </c>
      <c r="BB32" s="1729">
        <f>SUM(BB31*AH33)</f>
        <v>3424.7976355324613</v>
      </c>
      <c r="BC32" s="1729">
        <f>SUM(BC31*AH33)</f>
        <v>18.389364467539679</v>
      </c>
      <c r="BD32" s="1766">
        <f t="shared" ref="BD32" si="96">SUM(BF32+BG32)</f>
        <v>3191.9390695120683</v>
      </c>
      <c r="BE32" s="1721">
        <f t="shared" si="27"/>
        <v>1.0197335855258669</v>
      </c>
      <c r="BF32" s="1689">
        <f>BF31*BF33</f>
        <v>3174.8915693596114</v>
      </c>
      <c r="BG32" s="1764">
        <f>BG31*BG33</f>
        <v>17.047500152456781</v>
      </c>
      <c r="BH32" s="1694">
        <f t="shared" si="28"/>
        <v>2681.4100000000003</v>
      </c>
      <c r="BI32" s="1689">
        <v>2679.61</v>
      </c>
      <c r="BJ32" s="1764">
        <v>1.8</v>
      </c>
      <c r="BK32" s="1694">
        <f t="shared" si="87"/>
        <v>2540.58</v>
      </c>
      <c r="BL32" s="1689">
        <v>2539.35</v>
      </c>
      <c r="BM32" s="1764">
        <v>1.23</v>
      </c>
      <c r="BN32" s="1694">
        <f t="shared" si="88"/>
        <v>3584.62</v>
      </c>
      <c r="BO32" s="1689">
        <v>3579.65</v>
      </c>
      <c r="BP32" s="1764">
        <v>4.97</v>
      </c>
      <c r="BQ32" s="1694">
        <f>BQ31*BN33</f>
        <v>3499.2255054326379</v>
      </c>
      <c r="BR32" s="1764">
        <f t="shared" si="89"/>
        <v>3497.534363632185</v>
      </c>
      <c r="BS32" s="1764">
        <f t="shared" si="90"/>
        <v>1.6911418004529752</v>
      </c>
      <c r="BT32" s="1788" t="s">
        <v>247</v>
      </c>
    </row>
    <row r="33" spans="1:72" s="182" customFormat="1" ht="21" customHeight="1" x14ac:dyDescent="0.2">
      <c r="A33" s="1756" t="str">
        <f>A25</f>
        <v>то же в %</v>
      </c>
      <c r="B33" s="1731"/>
      <c r="C33" s="1725"/>
      <c r="D33" s="1725"/>
      <c r="E33" s="1732">
        <f>E32/E31</f>
        <v>0.26879889308711619</v>
      </c>
      <c r="F33" s="1732">
        <f>F32/F31</f>
        <v>1.0419311337509394</v>
      </c>
      <c r="G33" s="1732">
        <f>G32/G31</f>
        <v>0.3401194743130227</v>
      </c>
      <c r="H33" s="1732"/>
      <c r="I33" s="1732">
        <f t="shared" ref="I33:T33" si="97">I32/I31</f>
        <v>0.30199999999999999</v>
      </c>
      <c r="J33" s="1732">
        <f t="shared" si="97"/>
        <v>0.33982078513180358</v>
      </c>
      <c r="K33" s="1732">
        <f t="shared" si="97"/>
        <v>0.30047602856171374</v>
      </c>
      <c r="L33" s="1732">
        <f t="shared" si="97"/>
        <v>0.30078828059143825</v>
      </c>
      <c r="M33" s="1732">
        <f t="shared" si="97"/>
        <v>0.99598768407761007</v>
      </c>
      <c r="N33" s="1732">
        <f t="shared" si="97"/>
        <v>0.88436065355850024</v>
      </c>
      <c r="O33" s="1732">
        <f t="shared" si="97"/>
        <v>0.3020005661979806</v>
      </c>
      <c r="P33" s="1732">
        <f t="shared" si="97"/>
        <v>1.0000018748277502</v>
      </c>
      <c r="Q33" s="1733">
        <f t="shared" si="97"/>
        <v>0.30199999999999999</v>
      </c>
      <c r="R33" s="1732">
        <f t="shared" si="97"/>
        <v>1.0000000000000002</v>
      </c>
      <c r="S33" s="1732">
        <f t="shared" si="97"/>
        <v>1.0040284794546488</v>
      </c>
      <c r="T33" s="1732">
        <f t="shared" si="97"/>
        <v>0.30200000000000005</v>
      </c>
      <c r="U33" s="1732"/>
      <c r="V33" s="1732">
        <f>V32/V31</f>
        <v>0.3021055969994898</v>
      </c>
      <c r="W33" s="1732"/>
      <c r="X33" s="1732">
        <v>0</v>
      </c>
      <c r="Y33" s="1734">
        <f>Y32/Y31</f>
        <v>0.30199953829488752</v>
      </c>
      <c r="Z33" s="1718">
        <f>Y33/Q33</f>
        <v>0.9999984711751243</v>
      </c>
      <c r="AA33" s="1734">
        <f>AA32/AA31</f>
        <v>0.30199999999999999</v>
      </c>
      <c r="AB33" s="1734"/>
      <c r="AC33" s="1734">
        <f>AC32/AC31</f>
        <v>0.30200000000000005</v>
      </c>
      <c r="AD33" s="1734"/>
      <c r="AE33" s="1760">
        <f>AE32/AE31</f>
        <v>0.30029288840622631</v>
      </c>
      <c r="AF33" s="1696">
        <f>AF32/AF31</f>
        <v>0.30029288840622637</v>
      </c>
      <c r="AG33" s="1765"/>
      <c r="AH33" s="1734">
        <f>AH32/AH31</f>
        <v>0.30200003859215813</v>
      </c>
      <c r="AI33" s="1719">
        <f t="shared" si="16"/>
        <v>1.000000127788603</v>
      </c>
      <c r="AJ33" s="1734">
        <f>AJ32/AJ31</f>
        <v>0.30200032985875608</v>
      </c>
      <c r="AK33" s="1734">
        <f>AK32/AK31</f>
        <v>0.30197474362234089</v>
      </c>
      <c r="AL33" s="1760">
        <f>AL32/AL31</f>
        <v>0.30199999999999999</v>
      </c>
      <c r="AM33" s="1719">
        <f t="shared" si="18"/>
        <v>1</v>
      </c>
      <c r="AN33" s="1696">
        <f>AN32/AN31</f>
        <v>0.30199999999999999</v>
      </c>
      <c r="AO33" s="1765">
        <f>AO32/AO31</f>
        <v>0.30199999999999999</v>
      </c>
      <c r="AP33" s="1720">
        <f>AA33-Y33</f>
        <v>4.6170511247556334E-7</v>
      </c>
      <c r="AQ33" s="1720">
        <f t="shared" si="94"/>
        <v>4.6170511247556339E-7</v>
      </c>
      <c r="AR33" s="1720">
        <f>AP33-AQ33</f>
        <v>0</v>
      </c>
      <c r="AS33" s="1720">
        <f>AQ33+AR33</f>
        <v>4.6170511247556339E-7</v>
      </c>
      <c r="AT33" s="1734">
        <f>AT32/AT31</f>
        <v>0.29999777753083673</v>
      </c>
      <c r="AU33" s="1734">
        <f t="shared" ref="AU33" si="98">AU32/AU31</f>
        <v>0.29999777753083678</v>
      </c>
      <c r="AV33" s="1734">
        <f t="shared" ref="AV33" si="99">AV32/AV31</f>
        <v>0.29999777753083434</v>
      </c>
      <c r="AW33" s="1760">
        <f>AW32/AW31</f>
        <v>0.30063059564763212</v>
      </c>
      <c r="AX33" s="1760">
        <f t="shared" ref="AX33:AY33" si="100">AX32/AX31</f>
        <v>0.30063013225852897</v>
      </c>
      <c r="AY33" s="1760">
        <f t="shared" si="100"/>
        <v>0.30072628234226056</v>
      </c>
      <c r="AZ33" s="1734">
        <f>SUM(AZ32/AZ31)</f>
        <v>0.30200003859215813</v>
      </c>
      <c r="BA33" s="1721">
        <f t="shared" si="26"/>
        <v>1.000000127788603</v>
      </c>
      <c r="BB33" s="1734">
        <f>SUM(BB32/BB31)</f>
        <v>0.30200003859215813</v>
      </c>
      <c r="BC33" s="1734">
        <f>SUM(BC32/BC31)</f>
        <v>0.30200003859215813</v>
      </c>
      <c r="BD33" s="1760">
        <f>AF33</f>
        <v>0.30029288840622637</v>
      </c>
      <c r="BE33" s="1721">
        <f t="shared" si="27"/>
        <v>0.99434731260339859</v>
      </c>
      <c r="BF33" s="1696">
        <f>BD33</f>
        <v>0.30029288840622637</v>
      </c>
      <c r="BG33" s="1765">
        <f>BD33</f>
        <v>0.30029288840622637</v>
      </c>
      <c r="BH33" s="1696">
        <f>SUM(BH32/BH31)</f>
        <v>0.28863898624734119</v>
      </c>
      <c r="BI33" s="1696">
        <f>BI32/BI31</f>
        <v>0.28863941643265162</v>
      </c>
      <c r="BJ33" s="1696">
        <f>BJ32/BJ31</f>
        <v>0.28800000000000003</v>
      </c>
      <c r="BK33" s="1696">
        <f>SUM(BK32/BK31)</f>
        <v>0.30047118264004202</v>
      </c>
      <c r="BL33" s="1696">
        <f>BL32/BL31</f>
        <v>0.300471055692485</v>
      </c>
      <c r="BM33" s="1696">
        <f>BM32/BM31</f>
        <v>0.30073349633251834</v>
      </c>
      <c r="BN33" s="1696">
        <f>SUM(BN32/BN31)</f>
        <v>0.30029966129979452</v>
      </c>
      <c r="BO33" s="1696">
        <f>BO32/BO31</f>
        <v>0.30029990981732768</v>
      </c>
      <c r="BP33" s="1696">
        <f>BP32/BP31</f>
        <v>0.3001207729468599</v>
      </c>
      <c r="BQ33" s="1696">
        <f>SUM(BQ32/BQ31)</f>
        <v>0.30029966129979452</v>
      </c>
      <c r="BR33" s="1696">
        <f t="shared" ref="BR33:BS33" si="101">SUM(BR32/BR31)</f>
        <v>0.30029966129979457</v>
      </c>
      <c r="BS33" s="1696">
        <f t="shared" si="101"/>
        <v>0.30029966129979457</v>
      </c>
      <c r="BT33" s="1790"/>
    </row>
    <row r="34" spans="1:72" ht="21" customHeight="1" x14ac:dyDescent="0.2">
      <c r="A34" s="1681" t="s">
        <v>6</v>
      </c>
      <c r="B34" s="1723">
        <v>3971.8</v>
      </c>
      <c r="C34" s="1724">
        <v>3155.1</v>
      </c>
      <c r="D34" s="1725">
        <f t="shared" si="7"/>
        <v>79.437534619064394</v>
      </c>
      <c r="E34" s="1724">
        <v>3544.4</v>
      </c>
      <c r="F34" s="1725">
        <f t="shared" si="93"/>
        <v>112.33875312985326</v>
      </c>
      <c r="G34" s="1724">
        <v>4210.6000000000004</v>
      </c>
      <c r="H34" s="1725">
        <f t="shared" si="9"/>
        <v>118.79584696986795</v>
      </c>
      <c r="I34" s="1726">
        <v>3523.1</v>
      </c>
      <c r="J34" s="1726">
        <v>2168.4</v>
      </c>
      <c r="K34" s="1726">
        <f>'цех вода'!K49</f>
        <v>2874.1410018314482</v>
      </c>
      <c r="L34" s="1726">
        <v>4335.6000000000004</v>
      </c>
      <c r="M34" s="1727">
        <f t="shared" si="10"/>
        <v>123.06207601260255</v>
      </c>
      <c r="N34" s="1727">
        <f t="shared" si="11"/>
        <v>102.96869804778417</v>
      </c>
      <c r="O34" s="1726">
        <v>4691.6000000000004</v>
      </c>
      <c r="P34" s="1727">
        <f t="shared" si="12"/>
        <v>133.16681331781669</v>
      </c>
      <c r="Q34" s="1728">
        <f>'цех вода'!P49</f>
        <v>3750.4811017625302</v>
      </c>
      <c r="R34" s="1727">
        <f t="shared" si="21"/>
        <v>106.45400646483296</v>
      </c>
      <c r="S34" s="1727">
        <f t="shared" si="22"/>
        <v>86.50431547565573</v>
      </c>
      <c r="T34" s="1726">
        <f>Q34/Q64*T64</f>
        <v>3703.6533014000015</v>
      </c>
      <c r="U34" s="1726">
        <f t="shared" si="86"/>
        <v>46.827800362528706</v>
      </c>
      <c r="V34" s="1726">
        <v>3991.4</v>
      </c>
      <c r="W34" s="1726"/>
      <c r="X34" s="1726"/>
      <c r="Y34" s="1729">
        <v>5004</v>
      </c>
      <c r="Z34" s="1718">
        <f t="shared" si="13"/>
        <v>1.3342288267092937</v>
      </c>
      <c r="AA34" s="1729">
        <f>'цех вода'!W49</f>
        <v>3982.1627501966336</v>
      </c>
      <c r="AB34" s="1718">
        <f t="shared" si="1"/>
        <v>1.0617738477138907</v>
      </c>
      <c r="AC34" s="1729">
        <f>$AC$64/$AA$64*AA34</f>
        <v>3936.9578031286101</v>
      </c>
      <c r="AD34" s="1729">
        <f t="shared" si="24"/>
        <v>45.204947068023557</v>
      </c>
      <c r="AE34" s="1694">
        <v>3840.1</v>
      </c>
      <c r="AF34" s="1689">
        <f>AE34*AF64/(AF64+AG64)</f>
        <v>3792.7523941569689</v>
      </c>
      <c r="AG34" s="1764">
        <f>SUM(AE34-AF34)</f>
        <v>47.347605843031033</v>
      </c>
      <c r="AH34" s="1730">
        <f t="shared" si="15"/>
        <v>4249.82</v>
      </c>
      <c r="AI34" s="1719">
        <f t="shared" si="16"/>
        <v>1.0672140408601205</v>
      </c>
      <c r="AJ34" s="1729">
        <v>4201.4399999999996</v>
      </c>
      <c r="AK34" s="1729">
        <v>48.38</v>
      </c>
      <c r="AL34" s="1766">
        <f t="shared" si="17"/>
        <v>4189.8843533351246</v>
      </c>
      <c r="AM34" s="1719">
        <f t="shared" si="18"/>
        <v>1.0521630119532994</v>
      </c>
      <c r="AN34" s="1689">
        <f>'цех вода'!AB49*AN64/(AN64+AO64)</f>
        <v>4142.1893170061958</v>
      </c>
      <c r="AO34" s="1764">
        <f>'цех вода'!AB49-AN34</f>
        <v>47.695036328928836</v>
      </c>
      <c r="AP34" s="1720">
        <f t="shared" si="19"/>
        <v>-1021.8372498033664</v>
      </c>
      <c r="AQ34" s="1720">
        <f t="shared" si="94"/>
        <v>-1010.2374981891927</v>
      </c>
      <c r="AR34" s="1720">
        <f t="shared" si="20"/>
        <v>-11.59975161417367</v>
      </c>
      <c r="AS34" s="1720">
        <f t="shared" si="2"/>
        <v>-1021.8372498033664</v>
      </c>
      <c r="AT34" s="1729">
        <v>1853.14</v>
      </c>
      <c r="AU34" s="1729">
        <f>AT34*AU64/(AU64+AV64)</f>
        <v>1840.385278525783</v>
      </c>
      <c r="AV34" s="1729">
        <f>SUM(AT34-AU34)</f>
        <v>12.754721474217149</v>
      </c>
      <c r="AW34" s="1694">
        <f t="shared" si="59"/>
        <v>4109.6500000000005</v>
      </c>
      <c r="AX34" s="1689">
        <v>4089.84</v>
      </c>
      <c r="AY34" s="1764">
        <v>19.809999999999999</v>
      </c>
      <c r="AZ34" s="1729">
        <v>4768.71</v>
      </c>
      <c r="BA34" s="1721">
        <f t="shared" si="26"/>
        <v>1.1381483587259713</v>
      </c>
      <c r="BB34" s="1729">
        <f>AZ34*BB64/(BB64+BC64)</f>
        <v>4743.2412856286919</v>
      </c>
      <c r="BC34" s="1729">
        <f>SUM(AZ34-BB34)</f>
        <v>25.468714371308124</v>
      </c>
      <c r="BD34" s="1694">
        <f>SUM('цех вода'!AG49)</f>
        <v>4151.2769054034479</v>
      </c>
      <c r="BE34" s="1721">
        <f t="shared" si="27"/>
        <v>0.99078555762501053</v>
      </c>
      <c r="BF34" s="1689">
        <f>BD34*BF64/(BF64+BG64)</f>
        <v>4129.1057761504781</v>
      </c>
      <c r="BG34" s="1764">
        <f>SUM(BD34-BF34)</f>
        <v>22.171129252969877</v>
      </c>
      <c r="BH34" s="1694">
        <f t="shared" si="28"/>
        <v>4356.6500000000005</v>
      </c>
      <c r="BI34" s="1689">
        <v>4353.72</v>
      </c>
      <c r="BJ34" s="1764">
        <v>2.93</v>
      </c>
      <c r="BK34" s="1694">
        <f t="shared" ref="BK34" si="102">BL34+BM34</f>
        <v>2827.72</v>
      </c>
      <c r="BL34" s="1689">
        <v>2826.35</v>
      </c>
      <c r="BM34" s="1764">
        <v>1.37</v>
      </c>
      <c r="BN34" s="1694">
        <f t="shared" ref="BN34" si="103">BO34+BP34</f>
        <v>3762.83</v>
      </c>
      <c r="BO34" s="1689">
        <v>3757.61</v>
      </c>
      <c r="BP34" s="1764">
        <v>5.22</v>
      </c>
      <c r="BQ34" s="1694">
        <f>'цех вода'!AK49</f>
        <v>3186.3243914482641</v>
      </c>
      <c r="BR34" s="1764">
        <f>BQ34/$BQ$64*$BR$64</f>
        <v>3184.7844717260814</v>
      </c>
      <c r="BS34" s="1764">
        <f>BQ34/$BQ$64*$BS$64</f>
        <v>1.5399197221828722</v>
      </c>
      <c r="BT34" s="1788" t="str">
        <f>BT26</f>
        <v>Приложение</v>
      </c>
    </row>
    <row r="35" spans="1:72" s="2717" customFormat="1" ht="21" customHeight="1" x14ac:dyDescent="0.2">
      <c r="A35" s="1673" t="s">
        <v>532</v>
      </c>
      <c r="B35" s="2548">
        <f>SUM(B36:B42)</f>
        <v>7249.7</v>
      </c>
      <c r="C35" s="2710">
        <f>SUM(C36:C42)</f>
        <v>10354.4</v>
      </c>
      <c r="D35" s="1960">
        <f t="shared" si="7"/>
        <v>142.82522035394567</v>
      </c>
      <c r="E35" s="2710">
        <f>SUM(E36:E42)-E41</f>
        <v>11764.7</v>
      </c>
      <c r="F35" s="2722">
        <f t="shared" si="93"/>
        <v>113.62029668546705</v>
      </c>
      <c r="G35" s="2710">
        <v>16478.3</v>
      </c>
      <c r="H35" s="1960">
        <f t="shared" si="9"/>
        <v>140.06562003280999</v>
      </c>
      <c r="I35" s="2710">
        <f>SUM(I36:I42)-I41</f>
        <v>14063.7084</v>
      </c>
      <c r="J35" s="2710">
        <f>SUM(J36:J42)-J41</f>
        <v>8204.1999999999989</v>
      </c>
      <c r="K35" s="2710">
        <f>SUM(K36:K42)-K41</f>
        <v>10064.388220844954</v>
      </c>
      <c r="L35" s="2710">
        <f>SUM(L36:L42)-L41</f>
        <v>14542.8</v>
      </c>
      <c r="M35" s="2718">
        <f t="shared" si="10"/>
        <v>103.40658087023475</v>
      </c>
      <c r="N35" s="2719">
        <f t="shared" si="11"/>
        <v>88.25424952816735</v>
      </c>
      <c r="O35" s="1958">
        <v>18477</v>
      </c>
      <c r="P35" s="2719">
        <f t="shared" si="12"/>
        <v>131.38071036797095</v>
      </c>
      <c r="Q35" s="2720">
        <f>SUM(Q36:Q42)-Q41</f>
        <v>13651.565713400467</v>
      </c>
      <c r="R35" s="2719">
        <f t="shared" si="21"/>
        <v>97.069459385267592</v>
      </c>
      <c r="S35" s="2719">
        <f t="shared" si="22"/>
        <v>93.871645854996757</v>
      </c>
      <c r="T35" s="1958">
        <f t="shared" ref="T35:Y35" si="104">SUM(T36:T42)-T41</f>
        <v>13470.560579634966</v>
      </c>
      <c r="U35" s="1958">
        <f t="shared" si="104"/>
        <v>181.00513376550026</v>
      </c>
      <c r="V35" s="1958">
        <f t="shared" si="104"/>
        <v>11610.7</v>
      </c>
      <c r="W35" s="1958">
        <f t="shared" si="104"/>
        <v>10720.805947139374</v>
      </c>
      <c r="X35" s="1958">
        <f t="shared" si="104"/>
        <v>55.994052860625288</v>
      </c>
      <c r="Y35" s="1828">
        <f t="shared" si="104"/>
        <v>18050.300000000003</v>
      </c>
      <c r="Z35" s="2721">
        <f t="shared" si="13"/>
        <v>1.3222146366904795</v>
      </c>
      <c r="AA35" s="1828">
        <f>SUM(AA36:AA42)-AA41</f>
        <v>14017.542644702471</v>
      </c>
      <c r="AB35" s="2721">
        <f t="shared" si="1"/>
        <v>1.0268084217580082</v>
      </c>
      <c r="AC35" s="1828">
        <f>SUM(AC36:AC42)-AC41</f>
        <v>13858.417487588729</v>
      </c>
      <c r="AD35" s="1828">
        <f>SUM(AD36:AD42)-AD41</f>
        <v>159.12515711374499</v>
      </c>
      <c r="AE35" s="1828">
        <f>SUM(AE36:AE42)-AE41</f>
        <v>14424.1</v>
      </c>
      <c r="AF35" s="1828">
        <f>SUM(AF36:AF42)-AF41</f>
        <v>14257.620782371874</v>
      </c>
      <c r="AG35" s="1828">
        <f>SUM(AG36:AG42)-AG41</f>
        <v>166.47921762812553</v>
      </c>
      <c r="AH35" s="2713">
        <f t="shared" si="15"/>
        <v>16341.494330000001</v>
      </c>
      <c r="AI35" s="2714">
        <f t="shared" si="16"/>
        <v>1.1657888079388723</v>
      </c>
      <c r="AJ35" s="1828">
        <f>SUM(AJ36:AJ42)-AJ41</f>
        <v>16173.394330000001</v>
      </c>
      <c r="AK35" s="1828">
        <f>SUM(AK36:AK42)-AK41</f>
        <v>168.1</v>
      </c>
      <c r="AL35" s="2713">
        <f t="shared" si="17"/>
        <v>14730.639229466893</v>
      </c>
      <c r="AM35" s="2714">
        <f t="shared" si="18"/>
        <v>1.0508717257253302</v>
      </c>
      <c r="AN35" s="1828">
        <f>SUM(AN36:AN42)-AN41</f>
        <v>14562.954798597455</v>
      </c>
      <c r="AO35" s="1828">
        <f>SUM(AO36:AO42)-AO41</f>
        <v>167.68443086943822</v>
      </c>
      <c r="AP35" s="2715">
        <f t="shared" si="19"/>
        <v>-4032.7573552975318</v>
      </c>
      <c r="AQ35" s="2715">
        <f t="shared" si="94"/>
        <v>-3986.978065444197</v>
      </c>
      <c r="AR35" s="2715">
        <f t="shared" si="20"/>
        <v>-45.779289853334831</v>
      </c>
      <c r="AS35" s="2715">
        <f t="shared" si="2"/>
        <v>-4032.7573552975318</v>
      </c>
      <c r="AT35" s="1828">
        <f t="shared" ref="AT35:AZ35" si="105">SUM(AT36:AT42)-AT41</f>
        <v>6773.28</v>
      </c>
      <c r="AU35" s="1828">
        <f t="shared" si="105"/>
        <v>6728.6354464249835</v>
      </c>
      <c r="AV35" s="1828">
        <f t="shared" si="105"/>
        <v>44.644553575017312</v>
      </c>
      <c r="AW35" s="1828">
        <f t="shared" si="105"/>
        <v>14627.66</v>
      </c>
      <c r="AX35" s="1828">
        <f t="shared" si="105"/>
        <v>14562.61</v>
      </c>
      <c r="AY35" s="1828">
        <f t="shared" si="105"/>
        <v>65.050000000000011</v>
      </c>
      <c r="AZ35" s="1828">
        <f t="shared" si="105"/>
        <v>17093.778010000002</v>
      </c>
      <c r="BA35" s="2716">
        <f t="shared" si="26"/>
        <v>1.1604233695307622</v>
      </c>
      <c r="BB35" s="1828">
        <f>SUM(BB36:BB42)-BB41</f>
        <v>17007.407284607951</v>
      </c>
      <c r="BC35" s="1828">
        <f>SUM(BC36:BC42)-BC41</f>
        <v>86.370725392052066</v>
      </c>
      <c r="BD35" s="1828">
        <f>SUM(BD36:BD42)-BD41</f>
        <v>15209.271831229213</v>
      </c>
      <c r="BE35" s="2716">
        <f t="shared" si="27"/>
        <v>1.0324923171565339</v>
      </c>
      <c r="BF35" s="1828">
        <f t="shared" ref="BF35:BP35" si="106">SUM(BF36:BF42)-BF41</f>
        <v>15129.347517609058</v>
      </c>
      <c r="BG35" s="1828">
        <f t="shared" si="106"/>
        <v>79.924313620153953</v>
      </c>
      <c r="BH35" s="1828">
        <f t="shared" si="106"/>
        <v>14459.76</v>
      </c>
      <c r="BI35" s="1828">
        <f t="shared" si="106"/>
        <v>14450.9</v>
      </c>
      <c r="BJ35" s="1828">
        <f t="shared" si="106"/>
        <v>8.86</v>
      </c>
      <c r="BK35" s="1828">
        <f t="shared" si="106"/>
        <v>14914.53</v>
      </c>
      <c r="BL35" s="1828">
        <f t="shared" si="106"/>
        <v>14908.07</v>
      </c>
      <c r="BM35" s="1828">
        <f t="shared" si="106"/>
        <v>6.46</v>
      </c>
      <c r="BN35" s="1828">
        <f t="shared" si="106"/>
        <v>16784.819999999996</v>
      </c>
      <c r="BO35" s="1828">
        <f t="shared" si="106"/>
        <v>16767.669999999998</v>
      </c>
      <c r="BP35" s="1828">
        <f t="shared" si="106"/>
        <v>17.149999999999995</v>
      </c>
      <c r="BQ35" s="1828">
        <f>SUM(BQ36:BQ42)-BQ41</f>
        <v>15485.369266070755</v>
      </c>
      <c r="BR35" s="1828">
        <f t="shared" ref="BR35" si="107">SUM(BR36:BR42)-BR41</f>
        <v>15479.874461452297</v>
      </c>
      <c r="BS35" s="1828">
        <f t="shared" ref="BS35" si="108">SUM(BS36:BS42)-BS41</f>
        <v>5.4948046184569357</v>
      </c>
      <c r="BT35" s="1869"/>
    </row>
    <row r="36" spans="1:72" ht="21" customHeight="1" x14ac:dyDescent="0.2">
      <c r="A36" s="1681" t="s">
        <v>2</v>
      </c>
      <c r="B36" s="1723">
        <v>928.8</v>
      </c>
      <c r="C36" s="1724">
        <v>1802</v>
      </c>
      <c r="D36" s="1725">
        <f t="shared" si="7"/>
        <v>194.01378122308356</v>
      </c>
      <c r="E36" s="1724">
        <v>1837.4</v>
      </c>
      <c r="F36" s="1725">
        <f t="shared" si="93"/>
        <v>101.96448390677027</v>
      </c>
      <c r="G36" s="1725">
        <v>2253.5</v>
      </c>
      <c r="H36" s="1725">
        <f t="shared" si="9"/>
        <v>122.6461304016545</v>
      </c>
      <c r="I36" s="1726">
        <v>2250</v>
      </c>
      <c r="J36" s="1726">
        <v>949.2</v>
      </c>
      <c r="K36" s="1726">
        <v>1968.8</v>
      </c>
      <c r="L36" s="1726">
        <v>2598.4</v>
      </c>
      <c r="M36" s="1727">
        <f t="shared" si="10"/>
        <v>115.48444444444445</v>
      </c>
      <c r="N36" s="1727">
        <f t="shared" si="11"/>
        <v>115.30508098513424</v>
      </c>
      <c r="O36" s="1726">
        <v>2628</v>
      </c>
      <c r="P36" s="1727">
        <f t="shared" si="12"/>
        <v>116.8</v>
      </c>
      <c r="Q36" s="1728">
        <v>2628</v>
      </c>
      <c r="R36" s="1727">
        <f t="shared" si="21"/>
        <v>116.8</v>
      </c>
      <c r="S36" s="1727">
        <f t="shared" si="22"/>
        <v>101.13916256157636</v>
      </c>
      <c r="T36" s="1726">
        <f>Q36/Q64*T64</f>
        <v>2595.1872871736664</v>
      </c>
      <c r="U36" s="1726">
        <f t="shared" ref="U36:U42" si="109">Q36-T36</f>
        <v>32.812712826333609</v>
      </c>
      <c r="V36" s="1726">
        <v>2012.2</v>
      </c>
      <c r="W36" s="1726">
        <f>2690.2*(объемы!$BB$9-объемы!$BB$18)/объемы!$BB$9</f>
        <v>2674.407001288972</v>
      </c>
      <c r="X36" s="1726">
        <f>2690.2-W36</f>
        <v>15.792998711027849</v>
      </c>
      <c r="Y36" s="1729">
        <v>2715.2</v>
      </c>
      <c r="Z36" s="1718">
        <f t="shared" si="13"/>
        <v>1.0331811263318111</v>
      </c>
      <c r="AA36" s="1729">
        <f>Аморт!G24</f>
        <v>2690.2</v>
      </c>
      <c r="AB36" s="1718">
        <f t="shared" si="1"/>
        <v>1.0236681887366819</v>
      </c>
      <c r="AC36" s="1729">
        <f>$AC$64/$AA$64*AA36</f>
        <v>2659.6612309362813</v>
      </c>
      <c r="AD36" s="1729">
        <f t="shared" si="24"/>
        <v>30.538769063718519</v>
      </c>
      <c r="AE36" s="1694">
        <f>SUM(Аморт!L24)</f>
        <v>2798.4</v>
      </c>
      <c r="AF36" s="1689">
        <f>AF64/AE64*AE36</f>
        <v>2763.8963307749445</v>
      </c>
      <c r="AG36" s="1764">
        <f>AE36-AF36</f>
        <v>34.503669225055546</v>
      </c>
      <c r="AH36" s="1730">
        <f t="shared" si="15"/>
        <v>2797</v>
      </c>
      <c r="AI36" s="1719">
        <f t="shared" si="16"/>
        <v>1.0396996505835998</v>
      </c>
      <c r="AJ36" s="1729">
        <v>2765.16</v>
      </c>
      <c r="AK36" s="1729">
        <v>31.84</v>
      </c>
      <c r="AL36" s="1766">
        <f t="shared" si="17"/>
        <v>2797</v>
      </c>
      <c r="AM36" s="1719">
        <f t="shared" si="18"/>
        <v>1.0396996505835998</v>
      </c>
      <c r="AN36" s="1689">
        <f>Аморт!O24*AN64/(AN64+AO64)</f>
        <v>2765.1606924291777</v>
      </c>
      <c r="AO36" s="1764">
        <f>-AN36+Аморт!O24</f>
        <v>31.839307570822257</v>
      </c>
      <c r="AP36" s="1720">
        <f t="shared" si="19"/>
        <v>-25</v>
      </c>
      <c r="AQ36" s="1720">
        <f t="shared" si="94"/>
        <v>-24.716203543754013</v>
      </c>
      <c r="AR36" s="1720">
        <f t="shared" si="20"/>
        <v>-0.28379645624598737</v>
      </c>
      <c r="AS36" s="1720">
        <f>AQ36+AR36</f>
        <v>-25</v>
      </c>
      <c r="AT36" s="1729">
        <f>SUM(Аморт!Q24)</f>
        <v>1412.82</v>
      </c>
      <c r="AU36" s="1729">
        <f>AU64/AT64*AT36</f>
        <v>1403.0958962662271</v>
      </c>
      <c r="AV36" s="1729">
        <f>AT36-AU36</f>
        <v>9.7241037337728358</v>
      </c>
      <c r="AW36" s="1694">
        <f t="shared" si="59"/>
        <v>3059.78</v>
      </c>
      <c r="AX36" s="1689">
        <v>3045.03</v>
      </c>
      <c r="AY36" s="1764">
        <v>14.75</v>
      </c>
      <c r="AZ36" s="1730">
        <f>SUM(Аморт!T24)</f>
        <v>2797</v>
      </c>
      <c r="BA36" s="1721">
        <f t="shared" si="26"/>
        <v>1</v>
      </c>
      <c r="BB36" s="1729">
        <f>BB64/AZ64*AZ36</f>
        <v>2782.0617894364409</v>
      </c>
      <c r="BC36" s="1729">
        <f>AZ36-BB36</f>
        <v>14.938210563559096</v>
      </c>
      <c r="BD36" s="1766">
        <f>SUM(Аморт!U24)</f>
        <v>2901.95</v>
      </c>
      <c r="BE36" s="1721">
        <f t="shared" si="27"/>
        <v>1.0375223453700393</v>
      </c>
      <c r="BF36" s="1689">
        <f>BF64/BD64*BD36</f>
        <v>2886.4512727404644</v>
      </c>
      <c r="BG36" s="1764">
        <f>BD36-BF36</f>
        <v>15.498727259535372</v>
      </c>
      <c r="BH36" s="1694">
        <f t="shared" si="28"/>
        <v>3533.2400000000002</v>
      </c>
      <c r="BI36" s="1689">
        <v>3530.86</v>
      </c>
      <c r="BJ36" s="1764">
        <v>2.38</v>
      </c>
      <c r="BK36" s="1694">
        <f t="shared" ref="BK36:BK40" si="110">BL36+BM36</f>
        <v>3533.27</v>
      </c>
      <c r="BL36" s="1689">
        <v>3531.56</v>
      </c>
      <c r="BM36" s="1764">
        <v>1.71</v>
      </c>
      <c r="BN36" s="1694">
        <f t="shared" ref="BN36:BN40" si="111">BO36+BP36</f>
        <v>3533.27</v>
      </c>
      <c r="BO36" s="1689">
        <v>3533.27</v>
      </c>
      <c r="BP36" s="1764">
        <v>0</v>
      </c>
      <c r="BQ36" s="1694">
        <f>Аморт!AL24</f>
        <v>3533.27</v>
      </c>
      <c r="BR36" s="1764">
        <f>BQ36</f>
        <v>3533.27</v>
      </c>
      <c r="BS36" s="1764">
        <v>0</v>
      </c>
      <c r="BT36" s="1788" t="str">
        <f>BT29</f>
        <v>Приложение</v>
      </c>
    </row>
    <row r="37" spans="1:72" ht="21" customHeight="1" x14ac:dyDescent="0.2">
      <c r="A37" s="1681" t="s">
        <v>216</v>
      </c>
      <c r="B37" s="1723">
        <v>6.1</v>
      </c>
      <c r="C37" s="1724">
        <v>5.6</v>
      </c>
      <c r="D37" s="1725">
        <f t="shared" si="7"/>
        <v>91.803278688524586</v>
      </c>
      <c r="E37" s="1724">
        <v>33.5</v>
      </c>
      <c r="F37" s="1725">
        <f t="shared" si="93"/>
        <v>598.21428571428578</v>
      </c>
      <c r="G37" s="1725"/>
      <c r="H37" s="1725">
        <f t="shared" si="9"/>
        <v>0</v>
      </c>
      <c r="I37" s="1726"/>
      <c r="J37" s="1726"/>
      <c r="K37" s="1726"/>
      <c r="L37" s="1726">
        <f>K37/9*12</f>
        <v>0</v>
      </c>
      <c r="M37" s="1727"/>
      <c r="N37" s="1727"/>
      <c r="O37" s="1726"/>
      <c r="P37" s="1727"/>
      <c r="Q37" s="1728"/>
      <c r="R37" s="1727"/>
      <c r="S37" s="1727"/>
      <c r="T37" s="1726"/>
      <c r="U37" s="1726">
        <f t="shared" si="109"/>
        <v>0</v>
      </c>
      <c r="V37" s="1726">
        <v>0</v>
      </c>
      <c r="W37" s="1726"/>
      <c r="X37" s="1726">
        <v>0</v>
      </c>
      <c r="Y37" s="1729">
        <v>0</v>
      </c>
      <c r="Z37" s="1718"/>
      <c r="AA37" s="1729">
        <v>0</v>
      </c>
      <c r="AB37" s="1718"/>
      <c r="AC37" s="1729">
        <f>$AC$64/$AA$64*AA37</f>
        <v>0</v>
      </c>
      <c r="AD37" s="1729">
        <f t="shared" si="24"/>
        <v>0</v>
      </c>
      <c r="AE37" s="1694">
        <v>0</v>
      </c>
      <c r="AF37" s="1689">
        <v>0</v>
      </c>
      <c r="AG37" s="1764">
        <v>0</v>
      </c>
      <c r="AH37" s="1730">
        <f t="shared" si="15"/>
        <v>0</v>
      </c>
      <c r="AI37" s="1719"/>
      <c r="AJ37" s="1729">
        <v>0</v>
      </c>
      <c r="AK37" s="1729">
        <v>0</v>
      </c>
      <c r="AL37" s="1766">
        <f t="shared" si="17"/>
        <v>0</v>
      </c>
      <c r="AM37" s="1719"/>
      <c r="AN37" s="1689">
        <v>0</v>
      </c>
      <c r="AO37" s="1764">
        <v>0</v>
      </c>
      <c r="AP37" s="1720">
        <f t="shared" si="19"/>
        <v>0</v>
      </c>
      <c r="AQ37" s="1720"/>
      <c r="AR37" s="1720"/>
      <c r="AS37" s="1720">
        <f t="shared" ref="AS37:AS71" si="112">AQ37+AR37</f>
        <v>0</v>
      </c>
      <c r="AT37" s="1729">
        <v>0</v>
      </c>
      <c r="AU37" s="1729">
        <v>0</v>
      </c>
      <c r="AV37" s="1729">
        <v>0</v>
      </c>
      <c r="AW37" s="1694">
        <f t="shared" si="59"/>
        <v>0</v>
      </c>
      <c r="AX37" s="1689">
        <v>0</v>
      </c>
      <c r="AY37" s="1764">
        <v>0</v>
      </c>
      <c r="AZ37" s="1730">
        <f t="shared" ref="AZ37:AZ38" si="113">SUM(BB37+BC37)</f>
        <v>0</v>
      </c>
      <c r="BA37" s="1721"/>
      <c r="BB37" s="1729">
        <v>0</v>
      </c>
      <c r="BC37" s="1729">
        <v>0</v>
      </c>
      <c r="BD37" s="1766">
        <f t="shared" ref="BD37" si="114">SUM(BF37+BG37)</f>
        <v>0</v>
      </c>
      <c r="BE37" s="1721"/>
      <c r="BF37" s="1689">
        <v>0</v>
      </c>
      <c r="BG37" s="1764">
        <v>0</v>
      </c>
      <c r="BH37" s="1694">
        <f t="shared" si="28"/>
        <v>0</v>
      </c>
      <c r="BI37" s="1689">
        <v>0</v>
      </c>
      <c r="BJ37" s="1764">
        <v>0</v>
      </c>
      <c r="BK37" s="1694">
        <f t="shared" si="110"/>
        <v>0</v>
      </c>
      <c r="BL37" s="1689">
        <v>0</v>
      </c>
      <c r="BM37" s="1764">
        <v>0</v>
      </c>
      <c r="BN37" s="1694">
        <f t="shared" si="111"/>
        <v>0</v>
      </c>
      <c r="BO37" s="1689">
        <v>0</v>
      </c>
      <c r="BP37" s="1764">
        <v>0</v>
      </c>
      <c r="BQ37" s="1694">
        <v>0</v>
      </c>
      <c r="BR37" s="1764">
        <f t="shared" ref="BR37" si="115">BQ37</f>
        <v>0</v>
      </c>
      <c r="BS37" s="1764">
        <v>0</v>
      </c>
      <c r="BT37" s="1788"/>
    </row>
    <row r="38" spans="1:72" s="391" customFormat="1" ht="43.5" customHeight="1" x14ac:dyDescent="0.2">
      <c r="A38" s="2976" t="s">
        <v>3</v>
      </c>
      <c r="B38" s="2977">
        <v>398.6</v>
      </c>
      <c r="C38" s="2978">
        <v>1512.8</v>
      </c>
      <c r="D38" s="2979">
        <f t="shared" si="7"/>
        <v>379.52834922227794</v>
      </c>
      <c r="E38" s="2978">
        <v>1300.3</v>
      </c>
      <c r="F38" s="2979">
        <f t="shared" si="93"/>
        <v>85.953199365415117</v>
      </c>
      <c r="G38" s="2979">
        <f>G35-G36-G39-G40-G42</f>
        <v>3074.9069999999965</v>
      </c>
      <c r="H38" s="2979">
        <f t="shared" si="9"/>
        <v>236.47673613781407</v>
      </c>
      <c r="I38" s="2980">
        <v>1667.9</v>
      </c>
      <c r="J38" s="2980">
        <v>1509.7</v>
      </c>
      <c r="K38" s="2980">
        <v>1071.7</v>
      </c>
      <c r="L38" s="2980">
        <v>2187.1</v>
      </c>
      <c r="M38" s="2981">
        <f t="shared" si="10"/>
        <v>131.12896456622099</v>
      </c>
      <c r="N38" s="2981"/>
      <c r="O38" s="2980">
        <f>O35-O36-O39-O40-O42</f>
        <v>3385.7971999999991</v>
      </c>
      <c r="P38" s="2981">
        <f t="shared" si="12"/>
        <v>202.99761376581324</v>
      </c>
      <c r="Q38" s="2982">
        <v>300</v>
      </c>
      <c r="R38" s="2981">
        <f t="shared" si="21"/>
        <v>17.986689849511361</v>
      </c>
      <c r="S38" s="2981">
        <f t="shared" si="22"/>
        <v>13.716793928032555</v>
      </c>
      <c r="T38" s="2980">
        <v>285.7</v>
      </c>
      <c r="U38" s="2980">
        <v>14.3</v>
      </c>
      <c r="V38" s="2980">
        <v>816.6</v>
      </c>
      <c r="W38" s="2980">
        <f>3058.7-W12-W22-W28</f>
        <v>1238.6999999999998</v>
      </c>
      <c r="X38" s="2980">
        <v>0</v>
      </c>
      <c r="Y38" s="2983">
        <v>2406</v>
      </c>
      <c r="Z38" s="2984">
        <f t="shared" si="13"/>
        <v>8.02</v>
      </c>
      <c r="AA38" s="2983">
        <v>0</v>
      </c>
      <c r="AB38" s="2984">
        <f t="shared" si="1"/>
        <v>0</v>
      </c>
      <c r="AC38" s="2983">
        <f>$AC$64/$AA$64*AA38</f>
        <v>0</v>
      </c>
      <c r="AD38" s="2983">
        <f t="shared" si="24"/>
        <v>0</v>
      </c>
      <c r="AE38" s="2983">
        <v>921.9</v>
      </c>
      <c r="AF38" s="2983">
        <f>SUM(AE38)</f>
        <v>921.9</v>
      </c>
      <c r="AG38" s="2983">
        <v>0</v>
      </c>
      <c r="AH38" s="2985">
        <f t="shared" si="15"/>
        <v>1575</v>
      </c>
      <c r="AI38" s="2986"/>
      <c r="AJ38" s="2983">
        <v>1575</v>
      </c>
      <c r="AK38" s="2983">
        <v>0</v>
      </c>
      <c r="AL38" s="2985">
        <f t="shared" si="17"/>
        <v>0</v>
      </c>
      <c r="AM38" s="2986"/>
      <c r="AN38" s="2983">
        <v>0</v>
      </c>
      <c r="AO38" s="2983">
        <v>0</v>
      </c>
      <c r="AP38" s="2987">
        <f t="shared" si="19"/>
        <v>-2406</v>
      </c>
      <c r="AQ38" s="2987">
        <f>AP38</f>
        <v>-2406</v>
      </c>
      <c r="AR38" s="2987">
        <f t="shared" si="20"/>
        <v>0</v>
      </c>
      <c r="AS38" s="2987">
        <f t="shared" si="112"/>
        <v>-2406</v>
      </c>
      <c r="AT38" s="2983">
        <v>286.85000000000002</v>
      </c>
      <c r="AU38" s="2983">
        <v>286.85000000000002</v>
      </c>
      <c r="AV38" s="2983">
        <v>0</v>
      </c>
      <c r="AW38" s="2983">
        <f t="shared" si="59"/>
        <v>1131.27</v>
      </c>
      <c r="AX38" s="2983">
        <v>1131.27</v>
      </c>
      <c r="AY38" s="2983">
        <v>0</v>
      </c>
      <c r="AZ38" s="2985">
        <f t="shared" si="113"/>
        <v>921.9</v>
      </c>
      <c r="BA38" s="2988"/>
      <c r="BB38" s="2983">
        <v>921.9</v>
      </c>
      <c r="BC38" s="2983">
        <v>0</v>
      </c>
      <c r="BD38" s="2985">
        <f>BF38+BG38</f>
        <v>244.40677966101694</v>
      </c>
      <c r="BE38" s="2988"/>
      <c r="BF38" s="2983">
        <f>'Кап Рем'!G10</f>
        <v>244.40677966101694</v>
      </c>
      <c r="BG38" s="2983">
        <v>0</v>
      </c>
      <c r="BH38" s="2983">
        <f t="shared" si="28"/>
        <v>1283.98</v>
      </c>
      <c r="BI38" s="2983">
        <v>1283.98</v>
      </c>
      <c r="BJ38" s="2983">
        <v>0</v>
      </c>
      <c r="BK38" s="2983">
        <f t="shared" si="110"/>
        <v>1564.17</v>
      </c>
      <c r="BL38" s="2983">
        <v>1564.17</v>
      </c>
      <c r="BM38" s="2983">
        <v>0</v>
      </c>
      <c r="BN38" s="2983">
        <f t="shared" si="111"/>
        <v>880.43</v>
      </c>
      <c r="BO38" s="2983">
        <v>880.43</v>
      </c>
      <c r="BP38" s="2983">
        <v>0</v>
      </c>
      <c r="BQ38" s="2983">
        <f>ремонты!E36</f>
        <v>582.52608000000009</v>
      </c>
      <c r="BR38" s="2983">
        <f>BQ38</f>
        <v>582.52608000000009</v>
      </c>
      <c r="BS38" s="2983">
        <v>0</v>
      </c>
      <c r="BT38" s="2989" t="s">
        <v>3553</v>
      </c>
    </row>
    <row r="39" spans="1:72" ht="21" customHeight="1" x14ac:dyDescent="0.2">
      <c r="A39" s="1681" t="s">
        <v>4</v>
      </c>
      <c r="B39" s="1723">
        <v>3889.5</v>
      </c>
      <c r="C39" s="1724">
        <v>4434.3</v>
      </c>
      <c r="D39" s="1725">
        <f t="shared" si="7"/>
        <v>114.00694176629386</v>
      </c>
      <c r="E39" s="1724">
        <v>5312</v>
      </c>
      <c r="F39" s="1725">
        <f t="shared" si="93"/>
        <v>119.79342850055249</v>
      </c>
      <c r="G39" s="1724">
        <v>6821.5</v>
      </c>
      <c r="H39" s="1725">
        <f t="shared" si="9"/>
        <v>128.4167921686747</v>
      </c>
      <c r="I39" s="1726">
        <v>6174.2</v>
      </c>
      <c r="J39" s="1726">
        <v>3312</v>
      </c>
      <c r="K39" s="1726">
        <v>4099.3</v>
      </c>
      <c r="L39" s="1726">
        <v>5838.5</v>
      </c>
      <c r="M39" s="1727">
        <f t="shared" si="10"/>
        <v>94.562858346020533</v>
      </c>
      <c r="N39" s="1727">
        <f t="shared" si="11"/>
        <v>85.589679689217917</v>
      </c>
      <c r="O39" s="1726">
        <f>ЗП!AF12</f>
        <v>7541.4</v>
      </c>
      <c r="P39" s="1727">
        <f t="shared" si="12"/>
        <v>122.14375951540279</v>
      </c>
      <c r="Q39" s="1728">
        <f>ЗП!AP12</f>
        <v>6612.6753000000008</v>
      </c>
      <c r="R39" s="1727">
        <f t="shared" si="21"/>
        <v>107.10173463768587</v>
      </c>
      <c r="S39" s="1727">
        <f t="shared" si="22"/>
        <v>113.25983214866832</v>
      </c>
      <c r="T39" s="1726">
        <f>Q39/Q64*T64</f>
        <v>6530.1106821793419</v>
      </c>
      <c r="U39" s="1726">
        <f t="shared" si="109"/>
        <v>82.564617820658896</v>
      </c>
      <c r="V39" s="1726">
        <v>5176.6000000000004</v>
      </c>
      <c r="W39" s="1726">
        <f>6847.9*(объемы!$BB$9-объемы!$BB$18)/объемы!$BB$9</f>
        <v>6807.6989458504022</v>
      </c>
      <c r="X39" s="1726">
        <f>6847.9-W39</f>
        <v>40.201054149597439</v>
      </c>
      <c r="Y39" s="1729">
        <v>7766.2</v>
      </c>
      <c r="Z39" s="1718">
        <f t="shared" si="13"/>
        <v>1.174441454882867</v>
      </c>
      <c r="AA39" s="1729">
        <f>ЗП!U28</f>
        <v>6982.9851168000005</v>
      </c>
      <c r="AB39" s="1718">
        <f t="shared" si="1"/>
        <v>1.056</v>
      </c>
      <c r="AC39" s="1729">
        <f>$AC$64/$AA$64*AA39</f>
        <v>6903.7152595933467</v>
      </c>
      <c r="AD39" s="1729">
        <f t="shared" si="24"/>
        <v>79.269857206653796</v>
      </c>
      <c r="AE39" s="1694">
        <f>SUM(ЗП!AS28)</f>
        <v>6448.8</v>
      </c>
      <c r="AF39" s="1689">
        <f>AF64/AE64*AE39</f>
        <v>6369.2876850705625</v>
      </c>
      <c r="AG39" s="1764">
        <f>AE39-AF39</f>
        <v>79.512314929437707</v>
      </c>
      <c r="AH39" s="1730">
        <f t="shared" si="15"/>
        <v>7359.1</v>
      </c>
      <c r="AI39" s="1719">
        <f t="shared" si="16"/>
        <v>1.0538616189078114</v>
      </c>
      <c r="AJ39" s="1729">
        <v>7275.33</v>
      </c>
      <c r="AK39" s="1729">
        <v>83.77</v>
      </c>
      <c r="AL39" s="1766">
        <f t="shared" si="17"/>
        <v>7359.1</v>
      </c>
      <c r="AM39" s="1719">
        <f t="shared" si="18"/>
        <v>1.0538616189078114</v>
      </c>
      <c r="AN39" s="1689">
        <f>ЗП!BB28*AN64/(AN64+AO64)</f>
        <v>7275.3285847892603</v>
      </c>
      <c r="AO39" s="1764">
        <f>-AN39+ЗП!BB28</f>
        <v>83.771415210740088</v>
      </c>
      <c r="AP39" s="1720">
        <f t="shared" si="19"/>
        <v>-783.21488319999935</v>
      </c>
      <c r="AQ39" s="1720">
        <f t="shared" ref="AQ39:AQ52" si="116">AP39*AC39/AA39</f>
        <v>-774.32393886674822</v>
      </c>
      <c r="AR39" s="1720">
        <f t="shared" si="20"/>
        <v>-8.8909443332511273</v>
      </c>
      <c r="AS39" s="1720">
        <f t="shared" si="112"/>
        <v>-783.21488319999935</v>
      </c>
      <c r="AT39" s="1729">
        <f>SUM(ЗП!BG28)</f>
        <v>2995.9</v>
      </c>
      <c r="AU39" s="1729">
        <f>AU64/AT64*AT39</f>
        <v>2975.2799334833808</v>
      </c>
      <c r="AV39" s="1729">
        <f>AT39-AU39</f>
        <v>20.620066516619318</v>
      </c>
      <c r="AW39" s="1694">
        <f t="shared" si="59"/>
        <v>6134.37</v>
      </c>
      <c r="AX39" s="1689">
        <v>6104.8</v>
      </c>
      <c r="AY39" s="1764">
        <v>29.57</v>
      </c>
      <c r="AZ39" s="1730">
        <f>SUM(ЗП!BO28)</f>
        <v>8095.010000000002</v>
      </c>
      <c r="BA39" s="1721">
        <f t="shared" si="26"/>
        <v>1.1000000000000003</v>
      </c>
      <c r="BB39" s="1729">
        <f>BB64/AZ64*AZ39</f>
        <v>8051.7761909566998</v>
      </c>
      <c r="BC39" s="1729">
        <f>AZ39-BB39</f>
        <v>43.233809043302244</v>
      </c>
      <c r="BD39" s="1766">
        <f>SUM(ЗП!BS28)</f>
        <v>7369.5470048780498</v>
      </c>
      <c r="BE39" s="1721">
        <f t="shared" si="27"/>
        <v>1.0014196036034364</v>
      </c>
      <c r="BF39" s="1689">
        <f>BF64/BD64*BD39</f>
        <v>7330.1877467740405</v>
      </c>
      <c r="BG39" s="1764">
        <f>BD39-BF39</f>
        <v>39.359258104009314</v>
      </c>
      <c r="BH39" s="1694">
        <f t="shared" si="28"/>
        <v>5452.53</v>
      </c>
      <c r="BI39" s="1689">
        <v>5448.86</v>
      </c>
      <c r="BJ39" s="1764">
        <v>3.67</v>
      </c>
      <c r="BK39" s="1694">
        <f t="shared" si="110"/>
        <v>5676.66</v>
      </c>
      <c r="BL39" s="1689">
        <v>5673.91</v>
      </c>
      <c r="BM39" s="1764">
        <v>2.75</v>
      </c>
      <c r="BN39" s="1694">
        <f t="shared" si="111"/>
        <v>7051.9299999999994</v>
      </c>
      <c r="BO39" s="1689">
        <v>7042.15</v>
      </c>
      <c r="BP39" s="1764">
        <v>9.7799999999999994</v>
      </c>
      <c r="BQ39" s="1694">
        <f>ЗП!CO28</f>
        <v>6658.5404159999989</v>
      </c>
      <c r="BR39" s="1764">
        <f>BQ39/$BQ$64*$BR$64</f>
        <v>6655.3224078979138</v>
      </c>
      <c r="BS39" s="1764">
        <f>BQ39/$BQ$64*$BS$64</f>
        <v>3.2180081020845517</v>
      </c>
      <c r="BT39" s="1788" t="str">
        <f>BT31</f>
        <v>Приложение</v>
      </c>
    </row>
    <row r="40" spans="1:72" ht="21" customHeight="1" x14ac:dyDescent="0.2">
      <c r="A40" s="1681" t="s">
        <v>5</v>
      </c>
      <c r="B40" s="1723">
        <v>991</v>
      </c>
      <c r="C40" s="1724">
        <v>1109.0999999999999</v>
      </c>
      <c r="D40" s="1725">
        <f t="shared" si="7"/>
        <v>111.91725529767911</v>
      </c>
      <c r="E40" s="1724">
        <v>1349.6</v>
      </c>
      <c r="F40" s="1725">
        <f t="shared" si="93"/>
        <v>121.68424848976649</v>
      </c>
      <c r="G40" s="1724">
        <f>G39*0.302</f>
        <v>2060.0929999999998</v>
      </c>
      <c r="H40" s="1725">
        <f t="shared" si="9"/>
        <v>152.64470954356847</v>
      </c>
      <c r="I40" s="1726">
        <f>I39*30.2/100</f>
        <v>1864.6084000000001</v>
      </c>
      <c r="J40" s="1726">
        <v>1103.4000000000001</v>
      </c>
      <c r="K40" s="1726">
        <v>1205.7</v>
      </c>
      <c r="L40" s="1726">
        <v>1728</v>
      </c>
      <c r="M40" s="1727">
        <f t="shared" si="10"/>
        <v>92.673614470470042</v>
      </c>
      <c r="N40" s="1727"/>
      <c r="O40" s="1726">
        <f>O39*0.302</f>
        <v>2277.5027999999998</v>
      </c>
      <c r="P40" s="1727">
        <f t="shared" si="12"/>
        <v>122.14375951540279</v>
      </c>
      <c r="Q40" s="1728">
        <f>Q39*0.302</f>
        <v>1997.0279406000002</v>
      </c>
      <c r="R40" s="1727">
        <f t="shared" si="21"/>
        <v>107.10173463768587</v>
      </c>
      <c r="S40" s="1727">
        <f t="shared" si="22"/>
        <v>115.5687465625</v>
      </c>
      <c r="T40" s="1726">
        <f>Q40/Q64*T64</f>
        <v>1972.0934260181614</v>
      </c>
      <c r="U40" s="1726">
        <f t="shared" si="109"/>
        <v>24.934514581838812</v>
      </c>
      <c r="V40" s="1726">
        <v>1556.7</v>
      </c>
      <c r="W40" s="1726"/>
      <c r="X40" s="1726">
        <v>0</v>
      </c>
      <c r="Y40" s="1729">
        <v>2345.4</v>
      </c>
      <c r="Z40" s="1718">
        <f t="shared" si="13"/>
        <v>1.1744452605381839</v>
      </c>
      <c r="AA40" s="1729">
        <f>AA39*V41</f>
        <v>2099.9136366191242</v>
      </c>
      <c r="AB40" s="1718">
        <f t="shared" si="1"/>
        <v>1.0515194073790537</v>
      </c>
      <c r="AC40" s="1729">
        <f>$AC$64/$AA$64*AA40</f>
        <v>2076.0757146793185</v>
      </c>
      <c r="AD40" s="1729">
        <f t="shared" si="24"/>
        <v>23.83792193980571</v>
      </c>
      <c r="AE40" s="1694">
        <v>1965.4</v>
      </c>
      <c r="AF40" s="1689">
        <f>AF64/AE64*AE40</f>
        <v>1941.167041346868</v>
      </c>
      <c r="AG40" s="1764">
        <f>AE40-AF40</f>
        <v>24.232958653132073</v>
      </c>
      <c r="AH40" s="1730">
        <f t="shared" si="15"/>
        <v>2215.0943299999999</v>
      </c>
      <c r="AI40" s="1719">
        <f t="shared" si="16"/>
        <v>1.0548502049666755</v>
      </c>
      <c r="AJ40" s="1729">
        <f>AJ39*AJ41</f>
        <v>2189.8743300000001</v>
      </c>
      <c r="AK40" s="1729">
        <v>25.22</v>
      </c>
      <c r="AL40" s="1766">
        <f t="shared" si="17"/>
        <v>2213.0183846540194</v>
      </c>
      <c r="AM40" s="1719">
        <f t="shared" si="18"/>
        <v>1.0538616189078112</v>
      </c>
      <c r="AN40" s="1689">
        <f>AN39*AA41</f>
        <v>2187.8267604105858</v>
      </c>
      <c r="AO40" s="1764">
        <f>AO39*AA41</f>
        <v>25.191624243433733</v>
      </c>
      <c r="AP40" s="1720">
        <f t="shared" si="19"/>
        <v>-245.4863633808759</v>
      </c>
      <c r="AQ40" s="1720">
        <f t="shared" si="116"/>
        <v>-242.69963698150755</v>
      </c>
      <c r="AR40" s="1720">
        <f t="shared" si="20"/>
        <v>-2.786726399368348</v>
      </c>
      <c r="AS40" s="1720">
        <f t="shared" si="112"/>
        <v>-245.4863633808759</v>
      </c>
      <c r="AT40" s="1729">
        <v>927.99</v>
      </c>
      <c r="AU40" s="1729">
        <f>AU64/AT64*AT40</f>
        <v>921.60286574092686</v>
      </c>
      <c r="AV40" s="1729">
        <f>AT40-AU40</f>
        <v>6.3871342590731501</v>
      </c>
      <c r="AW40" s="1694">
        <f t="shared" si="59"/>
        <v>1903.67</v>
      </c>
      <c r="AX40" s="1689">
        <v>1894.5</v>
      </c>
      <c r="AY40" s="1764">
        <v>9.17</v>
      </c>
      <c r="AZ40" s="1730">
        <f t="shared" ref="AZ40" si="117">SUM(BB40+BC40)</f>
        <v>2436.5980100000006</v>
      </c>
      <c r="BA40" s="1721">
        <f t="shared" si="26"/>
        <v>1.1010292670392503</v>
      </c>
      <c r="BB40" s="1729">
        <f>SUM(BB39*AH41)</f>
        <v>2423.5846334779667</v>
      </c>
      <c r="BC40" s="1729">
        <f>SUM(BC39*AH41)</f>
        <v>13.013376522033974</v>
      </c>
      <c r="BD40" s="1766">
        <f t="shared" ref="BD40" si="118">SUM(BF40+BG40)</f>
        <v>2218.2336484682928</v>
      </c>
      <c r="BE40" s="1721">
        <f t="shared" si="27"/>
        <v>1.0023566292311163</v>
      </c>
      <c r="BF40" s="1689">
        <f>SUM(BF39*AZ41)</f>
        <v>2206.386511778986</v>
      </c>
      <c r="BG40" s="1764">
        <f>SUM(BG39*AZ41)</f>
        <v>11.847136689306803</v>
      </c>
      <c r="BH40" s="1694">
        <f t="shared" si="28"/>
        <v>1684.7700000000002</v>
      </c>
      <c r="BI40" s="1689">
        <v>1683.64</v>
      </c>
      <c r="BJ40" s="1764">
        <v>1.1299999999999999</v>
      </c>
      <c r="BK40" s="1694">
        <f t="shared" si="110"/>
        <v>1738.25</v>
      </c>
      <c r="BL40" s="1689">
        <v>1737.41</v>
      </c>
      <c r="BM40" s="1764">
        <v>0.84</v>
      </c>
      <c r="BN40" s="1694">
        <f t="shared" si="111"/>
        <v>2122.63</v>
      </c>
      <c r="BO40" s="1689">
        <v>2119.69</v>
      </c>
      <c r="BP40" s="1764">
        <v>2.94</v>
      </c>
      <c r="BQ40" s="1694">
        <f>BQ39*BN41</f>
        <v>2004.2197870957427</v>
      </c>
      <c r="BR40" s="1764">
        <f>BQ40/$BQ$64*$BR$64</f>
        <v>2003.2511670814024</v>
      </c>
      <c r="BS40" s="1764">
        <f>BQ40/$BQ$64*$BS$64</f>
        <v>0.96862001434043377</v>
      </c>
      <c r="BT40" s="1788" t="s">
        <v>247</v>
      </c>
    </row>
    <row r="41" spans="1:72" s="182" customFormat="1" ht="21" customHeight="1" x14ac:dyDescent="0.2">
      <c r="A41" s="1756" t="str">
        <f>A25</f>
        <v>то же в %</v>
      </c>
      <c r="B41" s="1731"/>
      <c r="C41" s="1725"/>
      <c r="D41" s="1725"/>
      <c r="E41" s="1732">
        <f>E40/E39</f>
        <v>0.25406626506024094</v>
      </c>
      <c r="F41" s="1732">
        <f t="shared" ref="F41:AD41" si="119">F40/F39</f>
        <v>1.0157840042887267</v>
      </c>
      <c r="G41" s="1732">
        <f t="shared" si="119"/>
        <v>0.30199999999999999</v>
      </c>
      <c r="H41" s="1732">
        <f t="shared" si="119"/>
        <v>1.1886662714878482</v>
      </c>
      <c r="I41" s="1732">
        <f t="shared" si="119"/>
        <v>0.30200000000000005</v>
      </c>
      <c r="J41" s="1732">
        <f t="shared" si="119"/>
        <v>0.33315217391304353</v>
      </c>
      <c r="K41" s="1732">
        <f t="shared" si="119"/>
        <v>0.29412338691971801</v>
      </c>
      <c r="L41" s="1732">
        <f t="shared" si="119"/>
        <v>0.29596642973366449</v>
      </c>
      <c r="M41" s="1732">
        <f t="shared" si="119"/>
        <v>0.9800212905088227</v>
      </c>
      <c r="N41" s="1732">
        <f t="shared" si="119"/>
        <v>0</v>
      </c>
      <c r="O41" s="1732">
        <f t="shared" si="119"/>
        <v>0.30199999999999999</v>
      </c>
      <c r="P41" s="1732">
        <f t="shared" si="119"/>
        <v>1</v>
      </c>
      <c r="Q41" s="1733">
        <f t="shared" si="119"/>
        <v>0.30199999999999999</v>
      </c>
      <c r="R41" s="1732">
        <f t="shared" si="119"/>
        <v>1</v>
      </c>
      <c r="S41" s="1732">
        <f t="shared" si="119"/>
        <v>1.0203859953703702</v>
      </c>
      <c r="T41" s="1732">
        <f t="shared" si="119"/>
        <v>0.30200000000000005</v>
      </c>
      <c r="U41" s="1732">
        <f t="shared" si="119"/>
        <v>0.30199999999999788</v>
      </c>
      <c r="V41" s="1732">
        <f t="shared" si="119"/>
        <v>0.30071861839817637</v>
      </c>
      <c r="W41" s="1732"/>
      <c r="X41" s="1732">
        <v>0</v>
      </c>
      <c r="Y41" s="1734">
        <f t="shared" si="119"/>
        <v>0.30200097859957253</v>
      </c>
      <c r="Z41" s="1718">
        <f t="shared" si="13"/>
        <v>1.0000032403959356</v>
      </c>
      <c r="AA41" s="1734">
        <f t="shared" si="119"/>
        <v>0.30071861839817632</v>
      </c>
      <c r="AB41" s="1734">
        <f t="shared" si="119"/>
        <v>0.99575701456349774</v>
      </c>
      <c r="AC41" s="1734">
        <f t="shared" si="119"/>
        <v>0.30071861839817632</v>
      </c>
      <c r="AD41" s="1734">
        <f t="shared" si="119"/>
        <v>0.3007186183981771</v>
      </c>
      <c r="AE41" s="1760">
        <f t="shared" ref="AE41" si="120">AE40/AE39</f>
        <v>0.30476987966753505</v>
      </c>
      <c r="AF41" s="1696">
        <f t="shared" ref="AF41:AG41" si="121">AF40/AF39</f>
        <v>0.30476987966753499</v>
      </c>
      <c r="AG41" s="1765">
        <f t="shared" si="121"/>
        <v>0.30476987966753749</v>
      </c>
      <c r="AH41" s="1734">
        <v>0.30099999999999999</v>
      </c>
      <c r="AI41" s="1719">
        <f t="shared" si="16"/>
        <v>1.0009356973084091</v>
      </c>
      <c r="AJ41" s="1734">
        <v>0.30099999999999999</v>
      </c>
      <c r="AK41" s="1734">
        <v>0.30099999999999999</v>
      </c>
      <c r="AL41" s="1760">
        <f>SUM(AL40/AL39)</f>
        <v>0.30071861839817632</v>
      </c>
      <c r="AM41" s="1719">
        <f t="shared" si="18"/>
        <v>1</v>
      </c>
      <c r="AN41" s="1696">
        <f>AN40/AN39</f>
        <v>0.30071861839817632</v>
      </c>
      <c r="AO41" s="1765">
        <f>AO40/AO39</f>
        <v>0.30071861839817632</v>
      </c>
      <c r="AP41" s="1720">
        <f t="shared" si="19"/>
        <v>-1.2823602013962154E-3</v>
      </c>
      <c r="AQ41" s="1720">
        <f t="shared" si="116"/>
        <v>-1.2823602013962154E-3</v>
      </c>
      <c r="AR41" s="1720">
        <f t="shared" si="20"/>
        <v>0</v>
      </c>
      <c r="AS41" s="1720">
        <f t="shared" si="112"/>
        <v>-1.2823602013962154E-3</v>
      </c>
      <c r="AT41" s="1734">
        <f t="shared" ref="AT41" si="122">AT40/AT39</f>
        <v>0.30975332955038554</v>
      </c>
      <c r="AU41" s="1734">
        <f t="shared" ref="AU41:AW41" si="123">AU40/AU39</f>
        <v>0.30975332955038554</v>
      </c>
      <c r="AV41" s="1734">
        <f t="shared" si="123"/>
        <v>0.30975332955038049</v>
      </c>
      <c r="AW41" s="1760">
        <f t="shared" si="123"/>
        <v>0.31032852599370436</v>
      </c>
      <c r="AX41" s="1696">
        <f t="shared" ref="AX41:AY41" si="124">AX40/AX39</f>
        <v>0.31032957672651029</v>
      </c>
      <c r="AY41" s="1765">
        <f t="shared" si="124"/>
        <v>0.31011159959418327</v>
      </c>
      <c r="AZ41" s="1734">
        <f>SUM(AZ40/AZ39)</f>
        <v>0.30099999999999999</v>
      </c>
      <c r="BA41" s="1721">
        <f t="shared" si="26"/>
        <v>1.0009356973084091</v>
      </c>
      <c r="BB41" s="1734">
        <f>SUM(BB40/BB39)</f>
        <v>0.30099999999999999</v>
      </c>
      <c r="BC41" s="1734">
        <f>SUM(BC40/BC39)</f>
        <v>0.30099999999999999</v>
      </c>
      <c r="BD41" s="1760">
        <f>SUM(BD40/BD39)</f>
        <v>0.30099999999999999</v>
      </c>
      <c r="BE41" s="1721">
        <f t="shared" si="27"/>
        <v>1.0009356973084091</v>
      </c>
      <c r="BF41" s="1696">
        <f>SUM(BF40/BF39)</f>
        <v>0.30099999999999999</v>
      </c>
      <c r="BG41" s="1765">
        <f>SUM(BG40/BG39)</f>
        <v>0.30099999999999999</v>
      </c>
      <c r="BH41" s="1696">
        <f>SUM(BH40/BH39)</f>
        <v>0.30898867131405061</v>
      </c>
      <c r="BI41" s="1696">
        <f t="shared" ref="BI41:BJ41" si="125">SUM(BI40/BI39)</f>
        <v>0.30898940328802726</v>
      </c>
      <c r="BJ41" s="1696">
        <f t="shared" si="125"/>
        <v>0.30790190735694822</v>
      </c>
      <c r="BK41" s="1696">
        <f>SUM(BK40/BK39)</f>
        <v>0.30620998967702839</v>
      </c>
      <c r="BL41" s="1696">
        <f t="shared" ref="BL41:BM41" si="126">SUM(BL40/BL39)</f>
        <v>0.3062103558216468</v>
      </c>
      <c r="BM41" s="1696">
        <f t="shared" si="126"/>
        <v>0.30545454545454542</v>
      </c>
      <c r="BN41" s="1696">
        <f>SUM(BN40/BN39)</f>
        <v>0.30099986812120944</v>
      </c>
      <c r="BO41" s="1696">
        <f t="shared" ref="BO41:BP41" si="127">SUM(BO40/BO39)</f>
        <v>0.30100040470594919</v>
      </c>
      <c r="BP41" s="1696">
        <f t="shared" si="127"/>
        <v>0.30061349693251538</v>
      </c>
      <c r="BQ41" s="1696">
        <f>SUM(BQ40/BQ39)</f>
        <v>0.30099986812120944</v>
      </c>
      <c r="BR41" s="1696">
        <f t="shared" ref="BR41:BS41" si="128">SUM(BR40/BR39)</f>
        <v>0.30099986812120949</v>
      </c>
      <c r="BS41" s="1696">
        <f t="shared" si="128"/>
        <v>0.30099986812120949</v>
      </c>
      <c r="BT41" s="1790"/>
    </row>
    <row r="42" spans="1:72" ht="21" customHeight="1" x14ac:dyDescent="0.2">
      <c r="A42" s="1681" t="s">
        <v>6</v>
      </c>
      <c r="B42" s="1723">
        <v>1035.7</v>
      </c>
      <c r="C42" s="1724">
        <v>1490.6</v>
      </c>
      <c r="D42" s="1725">
        <f t="shared" si="7"/>
        <v>143.92198513082937</v>
      </c>
      <c r="E42" s="1724">
        <v>1931.9</v>
      </c>
      <c r="F42" s="1725">
        <f t="shared" si="93"/>
        <v>129.60552797531199</v>
      </c>
      <c r="G42" s="1724">
        <f>'цех вода'!G45-вода!G16-вода!G26-вода!G34</f>
        <v>2268.3000000000029</v>
      </c>
      <c r="H42" s="1725">
        <f t="shared" si="9"/>
        <v>117.4129095708889</v>
      </c>
      <c r="I42" s="1726">
        <v>2107</v>
      </c>
      <c r="J42" s="1726">
        <v>1329.9</v>
      </c>
      <c r="K42" s="1726">
        <f>'цех вода'!K50</f>
        <v>1718.888220844955</v>
      </c>
      <c r="L42" s="1726">
        <v>2190.8000000000002</v>
      </c>
      <c r="M42" s="1727">
        <f t="shared" si="10"/>
        <v>103.97721879449455</v>
      </c>
      <c r="N42" s="1727"/>
      <c r="O42" s="1726">
        <f>'цех вода'!N50</f>
        <v>2644.3000000000011</v>
      </c>
      <c r="P42" s="1727">
        <f t="shared" si="12"/>
        <v>125.50071191267209</v>
      </c>
      <c r="Q42" s="1728">
        <f>'цех вода'!P50</f>
        <v>2113.8624728004652</v>
      </c>
      <c r="R42" s="1727">
        <f t="shared" si="21"/>
        <v>100.32569875654795</v>
      </c>
      <c r="S42" s="1727">
        <f t="shared" si="22"/>
        <v>96.48815377033344</v>
      </c>
      <c r="T42" s="1726">
        <f>Q42/Q64*T64</f>
        <v>2087.4691842637963</v>
      </c>
      <c r="U42" s="1726">
        <f t="shared" si="109"/>
        <v>26.393288536668933</v>
      </c>
      <c r="V42" s="1726">
        <v>2048.6</v>
      </c>
      <c r="W42" s="1726"/>
      <c r="X42" s="1726"/>
      <c r="Y42" s="1729">
        <v>2817.5</v>
      </c>
      <c r="Z42" s="1718">
        <f t="shared" si="13"/>
        <v>1.3328681672783325</v>
      </c>
      <c r="AA42" s="1729">
        <f>'цех вода'!W50</f>
        <v>2244.4438912833493</v>
      </c>
      <c r="AB42" s="1718">
        <f t="shared" si="1"/>
        <v>1.0617738477138905</v>
      </c>
      <c r="AC42" s="1729">
        <f>$AC$64/$AA$64*AA42</f>
        <v>2218.9652823797824</v>
      </c>
      <c r="AD42" s="1729">
        <f t="shared" si="24"/>
        <v>25.478608903566965</v>
      </c>
      <c r="AE42" s="1694">
        <v>2289.6</v>
      </c>
      <c r="AF42" s="1689">
        <f>AE42*AF64/(AF64+AG64)</f>
        <v>2261.3697251794997</v>
      </c>
      <c r="AG42" s="1764">
        <f>SUM(AE42-AF42)</f>
        <v>28.230274820500199</v>
      </c>
      <c r="AH42" s="1730">
        <f t="shared" si="15"/>
        <v>2395.3000000000002</v>
      </c>
      <c r="AI42" s="1719">
        <f t="shared" si="16"/>
        <v>1.0672131343102513</v>
      </c>
      <c r="AJ42" s="1729">
        <v>2368.0300000000002</v>
      </c>
      <c r="AK42" s="1729">
        <v>27.27</v>
      </c>
      <c r="AL42" s="1766">
        <f t="shared" si="17"/>
        <v>2361.5208448128728</v>
      </c>
      <c r="AM42" s="1719">
        <f t="shared" si="18"/>
        <v>1.0521630119532996</v>
      </c>
      <c r="AN42" s="1689">
        <f>'цех вода'!AB50*AN64/(AN64+AO64)</f>
        <v>2334.6387609684307</v>
      </c>
      <c r="AO42" s="1764">
        <f>'цех вода'!AB50-AN42</f>
        <v>26.88208384444215</v>
      </c>
      <c r="AP42" s="1720">
        <f t="shared" si="19"/>
        <v>-573.05610871665067</v>
      </c>
      <c r="AQ42" s="1720">
        <f t="shared" si="116"/>
        <v>-566.55085700129462</v>
      </c>
      <c r="AR42" s="1720">
        <f t="shared" si="20"/>
        <v>-6.505251715356053</v>
      </c>
      <c r="AS42" s="1720">
        <f t="shared" si="112"/>
        <v>-573.05610871665067</v>
      </c>
      <c r="AT42" s="1729">
        <v>1149.72</v>
      </c>
      <c r="AU42" s="1729">
        <f>AT42*AU64/(AU64+AV64)</f>
        <v>1141.806750934448</v>
      </c>
      <c r="AV42" s="1729">
        <f>SUM(AT42-AU42)</f>
        <v>7.9132490655520087</v>
      </c>
      <c r="AW42" s="1694">
        <f t="shared" si="59"/>
        <v>2398.5700000000002</v>
      </c>
      <c r="AX42" s="1689">
        <v>2387.0100000000002</v>
      </c>
      <c r="AY42" s="1764">
        <v>11.56</v>
      </c>
      <c r="AZ42" s="1729">
        <v>2843.27</v>
      </c>
      <c r="BA42" s="1721">
        <f t="shared" si="26"/>
        <v>1.2039995354033393</v>
      </c>
      <c r="BB42" s="1729">
        <f>AZ42*BB64/(BB64+BC64)</f>
        <v>2828.0846707368432</v>
      </c>
      <c r="BC42" s="1729">
        <f>SUM(AZ42-BB42)</f>
        <v>15.185329263156746</v>
      </c>
      <c r="BD42" s="1694">
        <f>SUM('цех вода'!AG50)</f>
        <v>2475.1343982218523</v>
      </c>
      <c r="BE42" s="1721">
        <f t="shared" si="27"/>
        <v>1.0481103326521695</v>
      </c>
      <c r="BF42" s="1689">
        <f>BD42*BF64/(BF64+BG64)</f>
        <v>2461.9152066545498</v>
      </c>
      <c r="BG42" s="1764">
        <f>SUM(BD42-BF42)</f>
        <v>13.21919156730246</v>
      </c>
      <c r="BH42" s="1694">
        <f t="shared" si="28"/>
        <v>2505.2399999999998</v>
      </c>
      <c r="BI42" s="1689">
        <v>2503.56</v>
      </c>
      <c r="BJ42" s="1764">
        <v>1.68</v>
      </c>
      <c r="BK42" s="1694">
        <f t="shared" ref="BK42" si="129">BL42+BM42</f>
        <v>2402.1799999999998</v>
      </c>
      <c r="BL42" s="1689">
        <v>2401.02</v>
      </c>
      <c r="BM42" s="1764">
        <v>1.1599999999999999</v>
      </c>
      <c r="BN42" s="1694">
        <f t="shared" ref="BN42" si="130">BO42+BP42</f>
        <v>3196.56</v>
      </c>
      <c r="BO42" s="1689">
        <v>3192.13</v>
      </c>
      <c r="BP42" s="1764">
        <v>4.43</v>
      </c>
      <c r="BQ42" s="1694">
        <f>'цех вода'!AK50</f>
        <v>2706.8129829750114</v>
      </c>
      <c r="BR42" s="1764">
        <f>BQ42/$BQ$64*$BR$64</f>
        <v>2705.5048064729795</v>
      </c>
      <c r="BS42" s="1764">
        <f>BQ42/$BQ$64*$BS$64</f>
        <v>1.3081765020319496</v>
      </c>
      <c r="BT42" s="1788" t="str">
        <f>BT34</f>
        <v>Приложение</v>
      </c>
    </row>
    <row r="43" spans="1:72" s="2739" customFormat="1" ht="45" customHeight="1" x14ac:dyDescent="0.2">
      <c r="A43" s="1673" t="s">
        <v>1964</v>
      </c>
      <c r="B43" s="2645"/>
      <c r="C43" s="2710"/>
      <c r="D43" s="2722"/>
      <c r="E43" s="2710"/>
      <c r="F43" s="2722"/>
      <c r="G43" s="2710"/>
      <c r="H43" s="2722"/>
      <c r="I43" s="1958"/>
      <c r="J43" s="1958"/>
      <c r="K43" s="1958"/>
      <c r="L43" s="1958"/>
      <c r="M43" s="2718"/>
      <c r="N43" s="2718"/>
      <c r="O43" s="1958"/>
      <c r="P43" s="2718"/>
      <c r="Q43" s="2720"/>
      <c r="R43" s="2718"/>
      <c r="S43" s="2718"/>
      <c r="T43" s="1958"/>
      <c r="U43" s="1958"/>
      <c r="V43" s="1958"/>
      <c r="W43" s="1958"/>
      <c r="X43" s="1958"/>
      <c r="Y43" s="1828"/>
      <c r="Z43" s="2738"/>
      <c r="AA43" s="1828"/>
      <c r="AB43" s="2738"/>
      <c r="AC43" s="1828"/>
      <c r="AD43" s="1828"/>
      <c r="AE43" s="1828"/>
      <c r="AF43" s="1828"/>
      <c r="AG43" s="1828"/>
      <c r="AH43" s="2713"/>
      <c r="AI43" s="1777"/>
      <c r="AJ43" s="1828"/>
      <c r="AK43" s="1828"/>
      <c r="AL43" s="2713"/>
      <c r="AM43" s="1777"/>
      <c r="AN43" s="1828"/>
      <c r="AO43" s="1828"/>
      <c r="AP43" s="2715"/>
      <c r="AQ43" s="2715"/>
      <c r="AR43" s="2715"/>
      <c r="AS43" s="2715"/>
      <c r="AT43" s="1828"/>
      <c r="AU43" s="1828"/>
      <c r="AV43" s="1828"/>
      <c r="AW43" s="1828"/>
      <c r="AX43" s="1828"/>
      <c r="AY43" s="1828"/>
      <c r="AZ43" s="1828"/>
      <c r="BA43" s="1779"/>
      <c r="BB43" s="1828"/>
      <c r="BC43" s="1828"/>
      <c r="BD43" s="1828"/>
      <c r="BE43" s="1779"/>
      <c r="BF43" s="1828"/>
      <c r="BG43" s="1828"/>
      <c r="BH43" s="1828"/>
      <c r="BI43" s="1828"/>
      <c r="BJ43" s="1828"/>
      <c r="BK43" s="1828"/>
      <c r="BL43" s="1828"/>
      <c r="BM43" s="1828"/>
      <c r="BN43" s="1828">
        <f>BN44+BN45+BN46+BN47+BN48</f>
        <v>8975.7000000000007</v>
      </c>
      <c r="BO43" s="1828">
        <f t="shared" ref="BO43:BS43" si="131">BO44+BO45+BO46+BO47+BO48</f>
        <v>8975.7000000000007</v>
      </c>
      <c r="BP43" s="1828">
        <f t="shared" si="131"/>
        <v>0</v>
      </c>
      <c r="BQ43" s="1828">
        <f>BQ44+BQ45+BQ46+BQ47+BQ48</f>
        <v>4606.540798384136</v>
      </c>
      <c r="BR43" s="1828">
        <f t="shared" si="131"/>
        <v>4606.540798384136</v>
      </c>
      <c r="BS43" s="1828">
        <f t="shared" si="131"/>
        <v>0</v>
      </c>
      <c r="BT43" s="1869"/>
    </row>
    <row r="44" spans="1:72" s="627" customFormat="1" ht="22.5" customHeight="1" x14ac:dyDescent="0.2">
      <c r="A44" s="1674" t="s">
        <v>2</v>
      </c>
      <c r="B44" s="1723"/>
      <c r="C44" s="1724"/>
      <c r="D44" s="1725"/>
      <c r="E44" s="1724"/>
      <c r="F44" s="1725"/>
      <c r="G44" s="1724"/>
      <c r="H44" s="1725"/>
      <c r="I44" s="1726"/>
      <c r="J44" s="1726"/>
      <c r="K44" s="1726"/>
      <c r="L44" s="1726"/>
      <c r="M44" s="1727"/>
      <c r="N44" s="1727"/>
      <c r="O44" s="1726"/>
      <c r="P44" s="1727"/>
      <c r="Q44" s="1728"/>
      <c r="R44" s="1727"/>
      <c r="S44" s="1727"/>
      <c r="T44" s="1726"/>
      <c r="U44" s="1726"/>
      <c r="V44" s="1726"/>
      <c r="W44" s="1726"/>
      <c r="X44" s="1726"/>
      <c r="Y44" s="1729"/>
      <c r="Z44" s="1718"/>
      <c r="AA44" s="1729"/>
      <c r="AB44" s="1718"/>
      <c r="AC44" s="1729"/>
      <c r="AD44" s="1729"/>
      <c r="AE44" s="1694"/>
      <c r="AF44" s="1689"/>
      <c r="AG44" s="1764"/>
      <c r="AH44" s="1730"/>
      <c r="AI44" s="1719"/>
      <c r="AJ44" s="1729"/>
      <c r="AK44" s="1729"/>
      <c r="AL44" s="1766"/>
      <c r="AM44" s="1719"/>
      <c r="AN44" s="1689"/>
      <c r="AO44" s="1764"/>
      <c r="AP44" s="2737"/>
      <c r="AQ44" s="2737"/>
      <c r="AR44" s="2737"/>
      <c r="AS44" s="2737"/>
      <c r="AT44" s="1729"/>
      <c r="AU44" s="1729"/>
      <c r="AV44" s="1729"/>
      <c r="AW44" s="1694"/>
      <c r="AX44" s="1689"/>
      <c r="AY44" s="1764"/>
      <c r="AZ44" s="1729"/>
      <c r="BA44" s="1721"/>
      <c r="BB44" s="1729"/>
      <c r="BC44" s="1729"/>
      <c r="BD44" s="1694"/>
      <c r="BE44" s="1721"/>
      <c r="BF44" s="1689"/>
      <c r="BG44" s="1764"/>
      <c r="BH44" s="1694"/>
      <c r="BI44" s="1689"/>
      <c r="BJ44" s="1764"/>
      <c r="BK44" s="1694"/>
      <c r="BL44" s="1689"/>
      <c r="BM44" s="1764"/>
      <c r="BN44" s="1694">
        <v>2766.9</v>
      </c>
      <c r="BO44" s="1689">
        <f>BN44</f>
        <v>2766.9</v>
      </c>
      <c r="BP44" s="1764"/>
      <c r="BQ44" s="1694">
        <f>BR44</f>
        <v>0</v>
      </c>
      <c r="BR44" s="1764">
        <f>Аморт!AL25</f>
        <v>0</v>
      </c>
      <c r="BS44" s="1764"/>
      <c r="BT44" s="1788"/>
    </row>
    <row r="45" spans="1:72" s="627" customFormat="1" ht="21" customHeight="1" x14ac:dyDescent="0.2">
      <c r="A45" s="1674" t="s">
        <v>1</v>
      </c>
      <c r="B45" s="1723"/>
      <c r="C45" s="1724"/>
      <c r="D45" s="1725"/>
      <c r="E45" s="1724"/>
      <c r="F45" s="1725"/>
      <c r="G45" s="1724"/>
      <c r="H45" s="1725"/>
      <c r="I45" s="1726"/>
      <c r="J45" s="1726"/>
      <c r="K45" s="1726"/>
      <c r="L45" s="1726"/>
      <c r="M45" s="1727"/>
      <c r="N45" s="1727"/>
      <c r="O45" s="1726"/>
      <c r="P45" s="1727"/>
      <c r="Q45" s="1728"/>
      <c r="R45" s="1727"/>
      <c r="S45" s="1727"/>
      <c r="T45" s="1726"/>
      <c r="U45" s="1726"/>
      <c r="V45" s="1726"/>
      <c r="W45" s="1726"/>
      <c r="X45" s="1726"/>
      <c r="Y45" s="1729"/>
      <c r="Z45" s="1718"/>
      <c r="AA45" s="1729"/>
      <c r="AB45" s="1718"/>
      <c r="AC45" s="1729"/>
      <c r="AD45" s="1729"/>
      <c r="AE45" s="1694"/>
      <c r="AF45" s="1689"/>
      <c r="AG45" s="1764"/>
      <c r="AH45" s="1730"/>
      <c r="AI45" s="1719"/>
      <c r="AJ45" s="1729"/>
      <c r="AK45" s="1729"/>
      <c r="AL45" s="1766"/>
      <c r="AM45" s="1719"/>
      <c r="AN45" s="1689"/>
      <c r="AO45" s="1764"/>
      <c r="AP45" s="2737"/>
      <c r="AQ45" s="2737"/>
      <c r="AR45" s="2737"/>
      <c r="AS45" s="2737"/>
      <c r="AT45" s="1729"/>
      <c r="AU45" s="1729"/>
      <c r="AV45" s="1729"/>
      <c r="AW45" s="1694"/>
      <c r="AX45" s="1689"/>
      <c r="AY45" s="1764"/>
      <c r="AZ45" s="1729"/>
      <c r="BA45" s="1721"/>
      <c r="BB45" s="1729"/>
      <c r="BC45" s="1729"/>
      <c r="BD45" s="1694"/>
      <c r="BE45" s="1721"/>
      <c r="BF45" s="1689"/>
      <c r="BG45" s="1764"/>
      <c r="BH45" s="1694"/>
      <c r="BI45" s="1689"/>
      <c r="BJ45" s="1764"/>
      <c r="BK45" s="1694"/>
      <c r="BL45" s="1689"/>
      <c r="BM45" s="1764"/>
      <c r="BN45" s="1694">
        <v>1504.3</v>
      </c>
      <c r="BO45" s="1689">
        <f t="shared" ref="BO45:BO48" si="132">BN45</f>
        <v>1504.3</v>
      </c>
      <c r="BP45" s="1764"/>
      <c r="BQ45" s="1694">
        <f t="shared" ref="BQ45:BQ48" si="133">BR45</f>
        <v>1307.865</v>
      </c>
      <c r="BR45" s="1764">
        <f>'ЭЭ вода'!S28</f>
        <v>1307.865</v>
      </c>
      <c r="BS45" s="1764"/>
      <c r="BT45" s="1788"/>
    </row>
    <row r="46" spans="1:72" s="627" customFormat="1" ht="21" customHeight="1" x14ac:dyDescent="0.2">
      <c r="A46" s="1681" t="s">
        <v>1965</v>
      </c>
      <c r="B46" s="1723"/>
      <c r="C46" s="1724"/>
      <c r="D46" s="1725"/>
      <c r="E46" s="1724"/>
      <c r="F46" s="1725"/>
      <c r="G46" s="1724"/>
      <c r="H46" s="1725"/>
      <c r="I46" s="1726"/>
      <c r="J46" s="1726"/>
      <c r="K46" s="1726"/>
      <c r="L46" s="1726"/>
      <c r="M46" s="1727"/>
      <c r="N46" s="1727"/>
      <c r="O46" s="1726"/>
      <c r="P46" s="1727"/>
      <c r="Q46" s="1728"/>
      <c r="R46" s="1727"/>
      <c r="S46" s="1727"/>
      <c r="T46" s="1726"/>
      <c r="U46" s="1726"/>
      <c r="V46" s="1726"/>
      <c r="W46" s="1726"/>
      <c r="X46" s="1726"/>
      <c r="Y46" s="1729"/>
      <c r="Z46" s="1718"/>
      <c r="AA46" s="1729"/>
      <c r="AB46" s="1718"/>
      <c r="AC46" s="1729"/>
      <c r="AD46" s="1729"/>
      <c r="AE46" s="1694"/>
      <c r="AF46" s="1689"/>
      <c r="AG46" s="1764"/>
      <c r="AH46" s="1730"/>
      <c r="AI46" s="1719"/>
      <c r="AJ46" s="1729"/>
      <c r="AK46" s="1729"/>
      <c r="AL46" s="1766"/>
      <c r="AM46" s="1719"/>
      <c r="AN46" s="1689"/>
      <c r="AO46" s="1764"/>
      <c r="AP46" s="2737"/>
      <c r="AQ46" s="2737"/>
      <c r="AR46" s="2737"/>
      <c r="AS46" s="2737"/>
      <c r="AT46" s="1729"/>
      <c r="AU46" s="1729"/>
      <c r="AV46" s="1729"/>
      <c r="AW46" s="1694"/>
      <c r="AX46" s="1689"/>
      <c r="AY46" s="1764"/>
      <c r="AZ46" s="1729"/>
      <c r="BA46" s="1721"/>
      <c r="BB46" s="1729"/>
      <c r="BC46" s="1729"/>
      <c r="BD46" s="1694"/>
      <c r="BE46" s="1721"/>
      <c r="BF46" s="1689"/>
      <c r="BG46" s="1764"/>
      <c r="BH46" s="1694"/>
      <c r="BI46" s="1689"/>
      <c r="BJ46" s="1764"/>
      <c r="BK46" s="1694"/>
      <c r="BL46" s="1689"/>
      <c r="BM46" s="1764"/>
      <c r="BN46" s="1694">
        <v>322.10000000000002</v>
      </c>
      <c r="BO46" s="1689">
        <f t="shared" si="132"/>
        <v>322.10000000000002</v>
      </c>
      <c r="BP46" s="1764"/>
      <c r="BQ46" s="1694">
        <f t="shared" si="133"/>
        <v>313.61784093</v>
      </c>
      <c r="BR46" s="1764">
        <f>'Тепловая энергия'!H10</f>
        <v>313.61784093</v>
      </c>
      <c r="BS46" s="1764"/>
      <c r="BT46" s="1788"/>
    </row>
    <row r="47" spans="1:72" s="627" customFormat="1" ht="21" customHeight="1" x14ac:dyDescent="0.2">
      <c r="A47" s="1681" t="s">
        <v>4</v>
      </c>
      <c r="B47" s="1723"/>
      <c r="C47" s="1724"/>
      <c r="D47" s="1725"/>
      <c r="E47" s="1724"/>
      <c r="F47" s="1725"/>
      <c r="G47" s="1724"/>
      <c r="H47" s="1725"/>
      <c r="I47" s="1726"/>
      <c r="J47" s="1726"/>
      <c r="K47" s="1726"/>
      <c r="L47" s="1726"/>
      <c r="M47" s="1727"/>
      <c r="N47" s="1727"/>
      <c r="O47" s="1726"/>
      <c r="P47" s="1727"/>
      <c r="Q47" s="1728"/>
      <c r="R47" s="1727"/>
      <c r="S47" s="1727"/>
      <c r="T47" s="1726"/>
      <c r="U47" s="1726"/>
      <c r="V47" s="1726"/>
      <c r="W47" s="1726"/>
      <c r="X47" s="1726"/>
      <c r="Y47" s="1729"/>
      <c r="Z47" s="1718"/>
      <c r="AA47" s="1729"/>
      <c r="AB47" s="1718"/>
      <c r="AC47" s="1729"/>
      <c r="AD47" s="1729"/>
      <c r="AE47" s="1694"/>
      <c r="AF47" s="1689"/>
      <c r="AG47" s="1764"/>
      <c r="AH47" s="1730"/>
      <c r="AI47" s="1719"/>
      <c r="AJ47" s="1729"/>
      <c r="AK47" s="1729"/>
      <c r="AL47" s="1766"/>
      <c r="AM47" s="1719"/>
      <c r="AN47" s="1689"/>
      <c r="AO47" s="1764"/>
      <c r="AP47" s="2737"/>
      <c r="AQ47" s="2737"/>
      <c r="AR47" s="2737"/>
      <c r="AS47" s="2737"/>
      <c r="AT47" s="1729"/>
      <c r="AU47" s="1729"/>
      <c r="AV47" s="1729"/>
      <c r="AW47" s="1694"/>
      <c r="AX47" s="1689"/>
      <c r="AY47" s="1764"/>
      <c r="AZ47" s="1729"/>
      <c r="BA47" s="1721"/>
      <c r="BB47" s="1729"/>
      <c r="BC47" s="1729"/>
      <c r="BD47" s="1694"/>
      <c r="BE47" s="1721"/>
      <c r="BF47" s="1689"/>
      <c r="BG47" s="1764"/>
      <c r="BH47" s="1694"/>
      <c r="BI47" s="1689"/>
      <c r="BJ47" s="1764"/>
      <c r="BK47" s="1694"/>
      <c r="BL47" s="1689"/>
      <c r="BM47" s="1764"/>
      <c r="BN47" s="1694">
        <v>3368.5</v>
      </c>
      <c r="BO47" s="1689">
        <f t="shared" si="132"/>
        <v>3368.5</v>
      </c>
      <c r="BP47" s="1764"/>
      <c r="BQ47" s="1694">
        <f t="shared" si="133"/>
        <v>2294.4431657731507</v>
      </c>
      <c r="BR47" s="1764">
        <f>ЗП!CO29</f>
        <v>2294.4431657731507</v>
      </c>
      <c r="BS47" s="1764"/>
      <c r="BT47" s="1788"/>
    </row>
    <row r="48" spans="1:72" s="627" customFormat="1" ht="21" customHeight="1" x14ac:dyDescent="0.2">
      <c r="A48" s="1681" t="s">
        <v>5</v>
      </c>
      <c r="B48" s="1723"/>
      <c r="C48" s="1724"/>
      <c r="D48" s="1725"/>
      <c r="E48" s="1724"/>
      <c r="F48" s="1725"/>
      <c r="G48" s="1724"/>
      <c r="H48" s="1725"/>
      <c r="I48" s="1726"/>
      <c r="J48" s="1726"/>
      <c r="K48" s="1726"/>
      <c r="L48" s="1726"/>
      <c r="M48" s="1727"/>
      <c r="N48" s="1727"/>
      <c r="O48" s="1726"/>
      <c r="P48" s="1727"/>
      <c r="Q48" s="1728"/>
      <c r="R48" s="1727"/>
      <c r="S48" s="1727"/>
      <c r="T48" s="1726"/>
      <c r="U48" s="1726"/>
      <c r="V48" s="1726"/>
      <c r="W48" s="1726"/>
      <c r="X48" s="1726"/>
      <c r="Y48" s="1729"/>
      <c r="Z48" s="1718"/>
      <c r="AA48" s="1729"/>
      <c r="AB48" s="1718"/>
      <c r="AC48" s="1729"/>
      <c r="AD48" s="1729"/>
      <c r="AE48" s="1694"/>
      <c r="AF48" s="1689"/>
      <c r="AG48" s="1764"/>
      <c r="AH48" s="1730"/>
      <c r="AI48" s="1719"/>
      <c r="AJ48" s="1729"/>
      <c r="AK48" s="1729"/>
      <c r="AL48" s="1766"/>
      <c r="AM48" s="1719"/>
      <c r="AN48" s="1689"/>
      <c r="AO48" s="1764"/>
      <c r="AP48" s="2737"/>
      <c r="AQ48" s="2737"/>
      <c r="AR48" s="2737"/>
      <c r="AS48" s="2737"/>
      <c r="AT48" s="1729"/>
      <c r="AU48" s="1729"/>
      <c r="AV48" s="1729"/>
      <c r="AW48" s="1694"/>
      <c r="AX48" s="1689"/>
      <c r="AY48" s="1764"/>
      <c r="AZ48" s="1729"/>
      <c r="BA48" s="1721"/>
      <c r="BB48" s="1729"/>
      <c r="BC48" s="1729"/>
      <c r="BD48" s="1694"/>
      <c r="BE48" s="1721"/>
      <c r="BF48" s="1689"/>
      <c r="BG48" s="1764"/>
      <c r="BH48" s="1694"/>
      <c r="BI48" s="1689"/>
      <c r="BJ48" s="1764"/>
      <c r="BK48" s="1694"/>
      <c r="BL48" s="1689"/>
      <c r="BM48" s="1764"/>
      <c r="BN48" s="1694">
        <v>1013.9</v>
      </c>
      <c r="BO48" s="1689">
        <f t="shared" si="132"/>
        <v>1013.9</v>
      </c>
      <c r="BP48" s="1764"/>
      <c r="BQ48" s="1694">
        <f t="shared" si="133"/>
        <v>690.61479168098481</v>
      </c>
      <c r="BR48" s="1764">
        <f>BR47*BN49</f>
        <v>690.61479168098481</v>
      </c>
      <c r="BS48" s="1764"/>
      <c r="BT48" s="1788"/>
    </row>
    <row r="49" spans="1:72" s="627" customFormat="1" ht="21" customHeight="1" x14ac:dyDescent="0.2">
      <c r="A49" s="1756" t="str">
        <f>A33</f>
        <v>то же в %</v>
      </c>
      <c r="B49" s="1723"/>
      <c r="C49" s="1724"/>
      <c r="D49" s="1725"/>
      <c r="E49" s="1724"/>
      <c r="F49" s="1725"/>
      <c r="G49" s="1724"/>
      <c r="H49" s="1725"/>
      <c r="I49" s="1726"/>
      <c r="J49" s="1726"/>
      <c r="K49" s="1726"/>
      <c r="L49" s="1726"/>
      <c r="M49" s="1727"/>
      <c r="N49" s="1727"/>
      <c r="O49" s="1726"/>
      <c r="P49" s="1727"/>
      <c r="Q49" s="1728"/>
      <c r="R49" s="1727"/>
      <c r="S49" s="1727"/>
      <c r="T49" s="1726"/>
      <c r="U49" s="1726"/>
      <c r="V49" s="1726"/>
      <c r="W49" s="1726"/>
      <c r="X49" s="1726"/>
      <c r="Y49" s="1729"/>
      <c r="Z49" s="1718"/>
      <c r="AA49" s="1729"/>
      <c r="AB49" s="1718"/>
      <c r="AC49" s="1729"/>
      <c r="AD49" s="1729"/>
      <c r="AE49" s="1694"/>
      <c r="AF49" s="1689"/>
      <c r="AG49" s="1764"/>
      <c r="AH49" s="1730"/>
      <c r="AI49" s="1719"/>
      <c r="AJ49" s="1729"/>
      <c r="AK49" s="1729"/>
      <c r="AL49" s="1766"/>
      <c r="AM49" s="1719"/>
      <c r="AN49" s="1689"/>
      <c r="AO49" s="1764"/>
      <c r="AP49" s="2737"/>
      <c r="AQ49" s="2737"/>
      <c r="AR49" s="2737"/>
      <c r="AS49" s="2737"/>
      <c r="AT49" s="1729"/>
      <c r="AU49" s="1729"/>
      <c r="AV49" s="1729"/>
      <c r="AW49" s="1694"/>
      <c r="AX49" s="1689"/>
      <c r="AY49" s="1764"/>
      <c r="AZ49" s="1729"/>
      <c r="BA49" s="1721"/>
      <c r="BB49" s="1729"/>
      <c r="BC49" s="1729"/>
      <c r="BD49" s="1694"/>
      <c r="BE49" s="1721"/>
      <c r="BF49" s="1689"/>
      <c r="BG49" s="1764"/>
      <c r="BH49" s="1694"/>
      <c r="BI49" s="1689"/>
      <c r="BJ49" s="1764"/>
      <c r="BK49" s="1694"/>
      <c r="BL49" s="1689"/>
      <c r="BM49" s="1764"/>
      <c r="BN49" s="2740">
        <f>BN48/BN47</f>
        <v>0.30099450794122012</v>
      </c>
      <c r="BO49" s="2740">
        <f t="shared" ref="BO49:BR49" si="134">BO48/BO47</f>
        <v>0.30099450794122012</v>
      </c>
      <c r="BP49" s="2740">
        <v>0</v>
      </c>
      <c r="BQ49" s="2740">
        <f t="shared" si="134"/>
        <v>0.30099450794122012</v>
      </c>
      <c r="BR49" s="2740">
        <f t="shared" si="134"/>
        <v>0.30099450794122012</v>
      </c>
      <c r="BS49" s="2740">
        <v>0</v>
      </c>
      <c r="BT49" s="1788"/>
    </row>
    <row r="50" spans="1:72" s="2717" customFormat="1" ht="21" customHeight="1" x14ac:dyDescent="0.2">
      <c r="A50" s="1757" t="s">
        <v>10</v>
      </c>
      <c r="B50" s="2645">
        <v>1494.1</v>
      </c>
      <c r="C50" s="2710">
        <v>1404.8</v>
      </c>
      <c r="D50" s="1960">
        <f>C50/B50*100</f>
        <v>94.02315775383174</v>
      </c>
      <c r="E50" s="2710">
        <v>1410.5</v>
      </c>
      <c r="F50" s="2722">
        <f>E50/C50*100</f>
        <v>100.40575170842826</v>
      </c>
      <c r="G50" s="2710">
        <v>1428.5</v>
      </c>
      <c r="H50" s="1960">
        <f t="shared" si="9"/>
        <v>101.27614321162707</v>
      </c>
      <c r="I50" s="1958">
        <f>SUM(I51:I53)</f>
        <v>1137.367</v>
      </c>
      <c r="J50" s="1958">
        <v>677.2</v>
      </c>
      <c r="K50" s="1958">
        <v>1258.5</v>
      </c>
      <c r="L50" s="1958">
        <v>1566.1</v>
      </c>
      <c r="M50" s="2718">
        <f t="shared" si="10"/>
        <v>137.6952206279943</v>
      </c>
      <c r="N50" s="2719">
        <f t="shared" si="11"/>
        <v>109.63248162408119</v>
      </c>
      <c r="O50" s="1958">
        <v>1885.8</v>
      </c>
      <c r="P50" s="2719">
        <f t="shared" si="12"/>
        <v>165.80400169866013</v>
      </c>
      <c r="Q50" s="2720">
        <f>SUM(Q51:Q54)</f>
        <v>3665.1</v>
      </c>
      <c r="R50" s="1958">
        <f t="shared" ref="R50:AO50" si="135">SUM(R51:R54)</f>
        <v>185.27161278777811</v>
      </c>
      <c r="S50" s="1958">
        <f t="shared" si="135"/>
        <v>0</v>
      </c>
      <c r="T50" s="1958">
        <f t="shared" si="135"/>
        <v>3619.338251986379</v>
      </c>
      <c r="U50" s="1958">
        <f t="shared" si="135"/>
        <v>45.761748013621144</v>
      </c>
      <c r="V50" s="1958" t="e">
        <f t="shared" si="135"/>
        <v>#REF!</v>
      </c>
      <c r="W50" s="1958">
        <f t="shared" si="135"/>
        <v>0</v>
      </c>
      <c r="X50" s="1958">
        <f t="shared" si="135"/>
        <v>0</v>
      </c>
      <c r="Y50" s="1828">
        <f t="shared" si="135"/>
        <v>4337.3</v>
      </c>
      <c r="Z50" s="2721">
        <f t="shared" si="13"/>
        <v>1.1834056369539714</v>
      </c>
      <c r="AA50" s="1828">
        <f t="shared" si="135"/>
        <v>3336.3696133000071</v>
      </c>
      <c r="AB50" s="2721">
        <f t="shared" si="1"/>
        <v>0.91030793519958719</v>
      </c>
      <c r="AC50" s="1828">
        <f t="shared" si="135"/>
        <v>3298.3276878738684</v>
      </c>
      <c r="AD50" s="1828">
        <f t="shared" si="135"/>
        <v>37.856782047233764</v>
      </c>
      <c r="AE50" s="1828">
        <f>SUM(AE51:AE54)</f>
        <v>4024.3500000000004</v>
      </c>
      <c r="AF50" s="1828">
        <f>SUM(AF51:AF54)</f>
        <v>3976.8345704382273</v>
      </c>
      <c r="AG50" s="1828">
        <f>SUM(AG51:AG54)</f>
        <v>47.515429561772656</v>
      </c>
      <c r="AH50" s="2713">
        <f t="shared" si="15"/>
        <v>3223.45</v>
      </c>
      <c r="AI50" s="2714">
        <f t="shared" si="16"/>
        <v>0.96615494492880294</v>
      </c>
      <c r="AJ50" s="1828">
        <f t="shared" si="135"/>
        <v>3186.56</v>
      </c>
      <c r="AK50" s="1828">
        <f t="shared" si="135"/>
        <v>36.89</v>
      </c>
      <c r="AL50" s="2713">
        <f t="shared" si="17"/>
        <v>3223.1722248582328</v>
      </c>
      <c r="AM50" s="2714">
        <f t="shared" si="18"/>
        <v>0.96607168822347278</v>
      </c>
      <c r="AN50" s="1828">
        <f t="shared" si="135"/>
        <v>3186.5738414565994</v>
      </c>
      <c r="AO50" s="1828">
        <f t="shared" si="135"/>
        <v>36.598383401633441</v>
      </c>
      <c r="AP50" s="2715">
        <f t="shared" si="19"/>
        <v>-1000.9303866999931</v>
      </c>
      <c r="AQ50" s="2715">
        <f t="shared" si="116"/>
        <v>-989.51758669851631</v>
      </c>
      <c r="AR50" s="2715">
        <f t="shared" si="20"/>
        <v>-11.412800001476739</v>
      </c>
      <c r="AS50" s="2715">
        <f t="shared" si="112"/>
        <v>-1000.9303866999931</v>
      </c>
      <c r="AT50" s="1828">
        <f t="shared" ref="AT50:AZ50" si="136">SUM(AT51:AT54)</f>
        <v>917.55000000000007</v>
      </c>
      <c r="AU50" s="1828">
        <f t="shared" si="136"/>
        <v>911.23472177565213</v>
      </c>
      <c r="AV50" s="1828">
        <f t="shared" si="136"/>
        <v>6.3152782243478924</v>
      </c>
      <c r="AW50" s="1828">
        <f t="shared" si="136"/>
        <v>4009.77</v>
      </c>
      <c r="AX50" s="1828">
        <f t="shared" si="136"/>
        <v>3990.45</v>
      </c>
      <c r="AY50" s="1828">
        <f t="shared" si="136"/>
        <v>19.32</v>
      </c>
      <c r="AZ50" s="1828">
        <f t="shared" si="136"/>
        <v>4420.8999999999996</v>
      </c>
      <c r="BA50" s="2716">
        <f t="shared" si="26"/>
        <v>1.3715990619131273</v>
      </c>
      <c r="BB50" s="1828">
        <f>SUM(BB51:BB54)</f>
        <v>4381.0563420773306</v>
      </c>
      <c r="BC50" s="1828">
        <f>SUM(BC51:BC54)</f>
        <v>39.843657922669166</v>
      </c>
      <c r="BD50" s="1828">
        <f>SUM(BD51:BD54)</f>
        <v>3154.5307358921218</v>
      </c>
      <c r="BE50" s="2716">
        <f t="shared" si="27"/>
        <v>0.97870374768163992</v>
      </c>
      <c r="BF50" s="1828">
        <f t="shared" ref="BF50:BM50" si="137">SUM(BF51:BF54)</f>
        <v>3136.7529139804451</v>
      </c>
      <c r="BG50" s="1828">
        <f t="shared" si="137"/>
        <v>17.777821911676497</v>
      </c>
      <c r="BH50" s="1828">
        <f t="shared" si="137"/>
        <v>4091.95</v>
      </c>
      <c r="BI50" s="1828">
        <f t="shared" si="137"/>
        <v>4089.2000000000003</v>
      </c>
      <c r="BJ50" s="1828">
        <f t="shared" si="137"/>
        <v>2.75</v>
      </c>
      <c r="BK50" s="1828">
        <f t="shared" si="137"/>
        <v>4236.59</v>
      </c>
      <c r="BL50" s="1828">
        <f t="shared" si="137"/>
        <v>4234.54</v>
      </c>
      <c r="BM50" s="1828">
        <f t="shared" si="137"/>
        <v>2.0500000000000003</v>
      </c>
      <c r="BN50" s="1828">
        <f>SUM(BN51:BN55)</f>
        <v>7289.78</v>
      </c>
      <c r="BO50" s="1828">
        <f t="shared" ref="BO50:BP50" si="138">SUM(BO51:BO55)</f>
        <v>7286.05</v>
      </c>
      <c r="BP50" s="1828">
        <f t="shared" si="138"/>
        <v>3.73</v>
      </c>
      <c r="BQ50" s="1828">
        <f>SUM(BQ51:BQ55)</f>
        <v>6648.9677381678157</v>
      </c>
      <c r="BR50" s="1828">
        <f>SUM(BR51:BR55)</f>
        <v>6646.6681943163603</v>
      </c>
      <c r="BS50" s="1828">
        <f>SUM(BS51:BS55)</f>
        <v>2.2995438514545756</v>
      </c>
      <c r="BT50" s="2757" t="s">
        <v>247</v>
      </c>
    </row>
    <row r="51" spans="1:72" ht="21" customHeight="1" x14ac:dyDescent="0.2">
      <c r="A51" s="1756" t="s">
        <v>840</v>
      </c>
      <c r="B51" s="1731"/>
      <c r="C51" s="1725"/>
      <c r="D51" s="1725"/>
      <c r="E51" s="1725"/>
      <c r="F51" s="1746"/>
      <c r="G51" s="1746"/>
      <c r="H51" s="1725"/>
      <c r="I51" s="1727">
        <v>995.76700000000005</v>
      </c>
      <c r="J51" s="1727"/>
      <c r="K51" s="1727">
        <v>1206</v>
      </c>
      <c r="L51" s="1727">
        <v>1608</v>
      </c>
      <c r="M51" s="1742">
        <f t="shared" si="10"/>
        <v>161.48355990909519</v>
      </c>
      <c r="N51" s="1727"/>
      <c r="O51" s="1727">
        <v>1768.8</v>
      </c>
      <c r="P51" s="1727">
        <f t="shared" si="12"/>
        <v>177.63191590000471</v>
      </c>
      <c r="Q51" s="1747">
        <v>1022.1</v>
      </c>
      <c r="R51" s="1727">
        <f t="shared" si="21"/>
        <v>102.64449414371033</v>
      </c>
      <c r="S51" s="1727"/>
      <c r="T51" s="1726">
        <f>Q51/Q64*T64</f>
        <v>1009.3382519863791</v>
      </c>
      <c r="U51" s="1726">
        <f>Q51-T51</f>
        <v>12.761748013620945</v>
      </c>
      <c r="V51" s="1726">
        <v>1206</v>
      </c>
      <c r="W51" s="1726"/>
      <c r="X51" s="1726"/>
      <c r="Y51" s="1729">
        <v>1688.4</v>
      </c>
      <c r="Z51" s="1718">
        <f t="shared" si="13"/>
        <v>1.6518931611388319</v>
      </c>
      <c r="AA51" s="1729">
        <f>Q51*(объемы!G38/объемы!AZ9)</f>
        <v>890.31961330000718</v>
      </c>
      <c r="AB51" s="1718">
        <f t="shared" si="1"/>
        <v>0.87106898865082394</v>
      </c>
      <c r="AC51" s="1729">
        <f>$AC$64/$AA$64*AA51</f>
        <v>880.21283125277341</v>
      </c>
      <c r="AD51" s="1729">
        <f t="shared" si="24"/>
        <v>10.106782047233764</v>
      </c>
      <c r="AE51" s="1694">
        <v>1608</v>
      </c>
      <c r="AF51" s="1689">
        <f>AF64/AE64*AE51</f>
        <v>1588.1737063629612</v>
      </c>
      <c r="AG51" s="1764">
        <f>AE51-AF51</f>
        <v>19.826293637038816</v>
      </c>
      <c r="AH51" s="1730">
        <f t="shared" si="15"/>
        <v>777.31000000000006</v>
      </c>
      <c r="AI51" s="1719">
        <f t="shared" si="16"/>
        <v>0.87306848954935157</v>
      </c>
      <c r="AJ51" s="1729">
        <v>768.46</v>
      </c>
      <c r="AK51" s="1729">
        <v>8.85</v>
      </c>
      <c r="AL51" s="1766">
        <f t="shared" si="17"/>
        <v>777.30736823713823</v>
      </c>
      <c r="AM51" s="1719">
        <f t="shared" si="18"/>
        <v>0.87306553357396643</v>
      </c>
      <c r="AN51" s="1689">
        <f>вод.налог!D26*AN64/(AN64+AO64)</f>
        <v>768.45898483550479</v>
      </c>
      <c r="AO51" s="1764">
        <f>вод.налог!D26-вода!AN51</f>
        <v>8.8483834016334413</v>
      </c>
      <c r="AP51" s="1720">
        <f t="shared" si="19"/>
        <v>-798.08038669999291</v>
      </c>
      <c r="AQ51" s="1720">
        <f t="shared" si="116"/>
        <v>-789.02069127819743</v>
      </c>
      <c r="AR51" s="1720">
        <f t="shared" si="20"/>
        <v>-9.0596954217954817</v>
      </c>
      <c r="AS51" s="1720">
        <f t="shared" si="112"/>
        <v>-798.08038669999291</v>
      </c>
      <c r="AT51" s="1729">
        <v>872.97</v>
      </c>
      <c r="AU51" s="1729">
        <f>AT51*AU64/(AU64+AV64)</f>
        <v>866.96155530324347</v>
      </c>
      <c r="AV51" s="1729">
        <f>SUM(AT51-AU51)</f>
        <v>6.0084446967565555</v>
      </c>
      <c r="AW51" s="1694">
        <f>AX51+AY51</f>
        <v>1745.8500000000001</v>
      </c>
      <c r="AX51" s="1689">
        <v>1737.44</v>
      </c>
      <c r="AY51" s="1764">
        <v>8.41</v>
      </c>
      <c r="AZ51" s="1729">
        <v>2004.55</v>
      </c>
      <c r="BA51" s="1721">
        <f t="shared" ref="BA51" si="139">SUM(AZ51/AL51)</f>
        <v>2.5788382844564248</v>
      </c>
      <c r="BB51" s="1729">
        <f>AZ51*BB64/(BB64+BC64)</f>
        <v>1993.8441044028666</v>
      </c>
      <c r="BC51" s="1729">
        <f>SUM(AZ51-BB51)</f>
        <v>10.705895597133349</v>
      </c>
      <c r="BD51" s="1767">
        <f>BF51+BG51</f>
        <v>1193.4749305587886</v>
      </c>
      <c r="BE51" s="1748">
        <f t="shared" ref="BE51" si="140">SUM(BD51/AL51)</f>
        <v>1.5353963944346498</v>
      </c>
      <c r="BF51" s="1768">
        <f>вод.налог!D36</f>
        <v>1186.1707105587886</v>
      </c>
      <c r="BG51" s="1769">
        <f>0.341*BG64</f>
        <v>7.3042200000000008</v>
      </c>
      <c r="BH51" s="1694">
        <f t="shared" si="28"/>
        <v>2004.55</v>
      </c>
      <c r="BI51" s="1768">
        <v>2003.2</v>
      </c>
      <c r="BJ51" s="1769">
        <v>1.35</v>
      </c>
      <c r="BK51" s="1694">
        <f t="shared" ref="BK51:BK56" si="141">BL51+BM51</f>
        <v>2304.7199999999998</v>
      </c>
      <c r="BL51" s="1768">
        <v>2303.6</v>
      </c>
      <c r="BM51" s="1769">
        <v>1.1200000000000001</v>
      </c>
      <c r="BN51" s="1694">
        <f t="shared" ref="BN51:BN56" si="142">BO51+BP51</f>
        <v>2304.7199999999998</v>
      </c>
      <c r="BO51" s="1689">
        <v>2303.6</v>
      </c>
      <c r="BP51" s="1764">
        <v>1.1200000000000001</v>
      </c>
      <c r="BQ51" s="1694">
        <f>вод.налог!G68</f>
        <v>1827.8817929780155</v>
      </c>
      <c r="BR51" s="1764">
        <f>вод.налог!G71</f>
        <v>1826.9639063780155</v>
      </c>
      <c r="BS51" s="1764">
        <f>вод.налог!G70</f>
        <v>0.91788659999999989</v>
      </c>
      <c r="BT51" s="1792" t="s">
        <v>976</v>
      </c>
    </row>
    <row r="52" spans="1:72" ht="21" customHeight="1" x14ac:dyDescent="0.2">
      <c r="A52" s="1756" t="s">
        <v>533</v>
      </c>
      <c r="B52" s="1731"/>
      <c r="C52" s="1725"/>
      <c r="D52" s="1725"/>
      <c r="E52" s="1725"/>
      <c r="F52" s="1746"/>
      <c r="G52" s="1746"/>
      <c r="H52" s="1725"/>
      <c r="I52" s="1727">
        <v>141.6</v>
      </c>
      <c r="J52" s="1727"/>
      <c r="K52" s="1727">
        <v>52.5</v>
      </c>
      <c r="L52" s="1727">
        <v>86.5</v>
      </c>
      <c r="M52" s="1742">
        <f t="shared" si="10"/>
        <v>61.087570621468934</v>
      </c>
      <c r="N52" s="1727"/>
      <c r="O52" s="1727">
        <v>117</v>
      </c>
      <c r="P52" s="1727">
        <f t="shared" si="12"/>
        <v>82.627118644067792</v>
      </c>
      <c r="Q52" s="1747">
        <v>117</v>
      </c>
      <c r="R52" s="1727">
        <f t="shared" si="21"/>
        <v>82.627118644067792</v>
      </c>
      <c r="S52" s="1727"/>
      <c r="T52" s="1726">
        <f>Q52/Q64*T64</f>
        <v>115.53916004540295</v>
      </c>
      <c r="U52" s="1726">
        <f>Q52-T52</f>
        <v>1.4608399545970485</v>
      </c>
      <c r="V52" s="1726">
        <v>92.8</v>
      </c>
      <c r="W52" s="1726"/>
      <c r="X52" s="1726"/>
      <c r="Y52" s="1729">
        <v>122.9</v>
      </c>
      <c r="Z52" s="1718">
        <f t="shared" si="13"/>
        <v>1.0504273504273505</v>
      </c>
      <c r="AA52" s="1729">
        <f>Y52</f>
        <v>122.9</v>
      </c>
      <c r="AB52" s="1718">
        <f t="shared" si="1"/>
        <v>1.0504273504273505</v>
      </c>
      <c r="AC52" s="1729">
        <f>$AC$64/$AA$64*AA52</f>
        <v>121.50485662109472</v>
      </c>
      <c r="AD52" s="1729">
        <v>1.21</v>
      </c>
      <c r="AE52" s="1694">
        <v>93.2</v>
      </c>
      <c r="AF52" s="1689">
        <f>AF64/AE64*AE52</f>
        <v>92.050864075266162</v>
      </c>
      <c r="AG52" s="1764">
        <f>AE52-AF52</f>
        <v>1.1491359247338409</v>
      </c>
      <c r="AH52" s="1730">
        <f t="shared" si="15"/>
        <v>123</v>
      </c>
      <c r="AI52" s="1719">
        <f t="shared" si="16"/>
        <v>1.000813669650122</v>
      </c>
      <c r="AJ52" s="1729">
        <v>121.5</v>
      </c>
      <c r="AK52" s="1729">
        <v>1.5</v>
      </c>
      <c r="AL52" s="1766">
        <f t="shared" si="17"/>
        <v>122.71485662109471</v>
      </c>
      <c r="AM52" s="1719">
        <f t="shared" si="18"/>
        <v>0.99849354451663719</v>
      </c>
      <c r="AN52" s="1689">
        <f>AC52</f>
        <v>121.50485662109472</v>
      </c>
      <c r="AO52" s="1764">
        <f>AD52</f>
        <v>1.21</v>
      </c>
      <c r="AP52" s="1720">
        <f t="shared" si="19"/>
        <v>0</v>
      </c>
      <c r="AQ52" s="1720">
        <f t="shared" si="116"/>
        <v>0</v>
      </c>
      <c r="AR52" s="1720">
        <f t="shared" si="20"/>
        <v>0</v>
      </c>
      <c r="AS52" s="1720">
        <f t="shared" si="112"/>
        <v>0</v>
      </c>
      <c r="AT52" s="1729">
        <v>44.58</v>
      </c>
      <c r="AU52" s="1729">
        <f>AT52*AU64/(AU64+AV64)</f>
        <v>44.273166472408661</v>
      </c>
      <c r="AV52" s="1729">
        <f>SUM(AT52-AU52)</f>
        <v>0.30683352759133697</v>
      </c>
      <c r="AW52" s="1694">
        <f t="shared" ref="AW52:AW54" si="143">AX52+AY52</f>
        <v>88.7</v>
      </c>
      <c r="AX52" s="1689">
        <v>88.27</v>
      </c>
      <c r="AY52" s="1764">
        <v>0.43</v>
      </c>
      <c r="AZ52" s="1729">
        <f>SUM(AE52)</f>
        <v>93.2</v>
      </c>
      <c r="BA52" s="1721">
        <f t="shared" ref="BA52" si="144">SUM(AZ52/AL52)</f>
        <v>0.75948424311632123</v>
      </c>
      <c r="BB52" s="1729">
        <f>AZ52*BB64/(BB64+BC64)</f>
        <v>92.702237674464186</v>
      </c>
      <c r="BC52" s="1729">
        <f>SUM(AZ52-BB52)</f>
        <v>0.49776232553581679</v>
      </c>
      <c r="BD52" s="1694">
        <f>AW52/3*4</f>
        <v>118.26666666666667</v>
      </c>
      <c r="BE52" s="1721">
        <f t="shared" ref="BE52" si="145">SUM(BD52/AL52)</f>
        <v>0.96375182209467369</v>
      </c>
      <c r="BF52" s="1689">
        <f>BD52*BF64/(BF64+BG64)</f>
        <v>117.63502835085798</v>
      </c>
      <c r="BG52" s="1764">
        <f>SUM(BD52-BF52)</f>
        <v>0.63163831580868646</v>
      </c>
      <c r="BH52" s="1694">
        <f t="shared" si="28"/>
        <v>91.16</v>
      </c>
      <c r="BI52" s="1689">
        <v>91.1</v>
      </c>
      <c r="BJ52" s="1764">
        <v>0.06</v>
      </c>
      <c r="BK52" s="1694">
        <f t="shared" si="141"/>
        <v>87.11</v>
      </c>
      <c r="BL52" s="1689">
        <v>87.07</v>
      </c>
      <c r="BM52" s="1764">
        <v>0.04</v>
      </c>
      <c r="BN52" s="1694">
        <f t="shared" si="142"/>
        <v>87.11</v>
      </c>
      <c r="BO52" s="1689">
        <v>87.07</v>
      </c>
      <c r="BP52" s="1764">
        <v>0.04</v>
      </c>
      <c r="BQ52" s="1694">
        <f>BK52</f>
        <v>87.11</v>
      </c>
      <c r="BR52" s="1764">
        <f t="shared" ref="BR52:BR53" si="146">BQ52/$BQ$64*$BR$64</f>
        <v>87.067900580568832</v>
      </c>
      <c r="BS52" s="1764">
        <f t="shared" ref="BS52:BS53" si="147">BQ52/$BQ$64*$BS$64</f>
        <v>4.2099419431170626E-2</v>
      </c>
      <c r="BT52" s="1792" t="s">
        <v>2025</v>
      </c>
    </row>
    <row r="53" spans="1:72" ht="21" customHeight="1" x14ac:dyDescent="0.2">
      <c r="A53" s="1756" t="s">
        <v>534</v>
      </c>
      <c r="B53" s="1731"/>
      <c r="C53" s="1725"/>
      <c r="D53" s="1725"/>
      <c r="E53" s="1725"/>
      <c r="F53" s="1746"/>
      <c r="G53" s="1746"/>
      <c r="H53" s="1725"/>
      <c r="I53" s="1727">
        <v>0</v>
      </c>
      <c r="J53" s="1727"/>
      <c r="K53" s="1727">
        <v>0</v>
      </c>
      <c r="L53" s="1727">
        <v>0</v>
      </c>
      <c r="M53" s="1742" t="e">
        <f t="shared" si="10"/>
        <v>#DIV/0!</v>
      </c>
      <c r="N53" s="1727"/>
      <c r="O53" s="1727"/>
      <c r="P53" s="1727"/>
      <c r="Q53" s="1747"/>
      <c r="R53" s="1727"/>
      <c r="S53" s="1727"/>
      <c r="T53" s="1726"/>
      <c r="U53" s="1726">
        <f>Q53-T53</f>
        <v>0</v>
      </c>
      <c r="V53" s="1726"/>
      <c r="W53" s="1726"/>
      <c r="X53" s="1726"/>
      <c r="Y53" s="1729">
        <v>0</v>
      </c>
      <c r="Z53" s="1718"/>
      <c r="AA53" s="1729">
        <v>0</v>
      </c>
      <c r="AB53" s="1718"/>
      <c r="AC53" s="1729">
        <f>$AC$64/$AA$64*AA53</f>
        <v>0</v>
      </c>
      <c r="AD53" s="1729">
        <f t="shared" si="24"/>
        <v>0</v>
      </c>
      <c r="AE53" s="1694">
        <v>0</v>
      </c>
      <c r="AF53" s="1689">
        <f>AE53*AF64/(AF64+AG64)</f>
        <v>0</v>
      </c>
      <c r="AG53" s="1764">
        <f>SUM(AE53-AF53)</f>
        <v>0</v>
      </c>
      <c r="AH53" s="1730">
        <f t="shared" si="15"/>
        <v>0</v>
      </c>
      <c r="AI53" s="1719"/>
      <c r="AJ53" s="1729">
        <v>0</v>
      </c>
      <c r="AK53" s="1729">
        <v>0</v>
      </c>
      <c r="AL53" s="1766">
        <f t="shared" si="17"/>
        <v>0</v>
      </c>
      <c r="AM53" s="1719"/>
      <c r="AN53" s="1689"/>
      <c r="AO53" s="1764"/>
      <c r="AP53" s="1720">
        <f t="shared" si="19"/>
        <v>0</v>
      </c>
      <c r="AQ53" s="1720"/>
      <c r="AR53" s="1720"/>
      <c r="AS53" s="1720">
        <f t="shared" si="112"/>
        <v>0</v>
      </c>
      <c r="AT53" s="1729">
        <v>0</v>
      </c>
      <c r="AU53" s="1729">
        <f>AT53*AU64/(AU64+AV64)</f>
        <v>0</v>
      </c>
      <c r="AV53" s="1729">
        <f>SUM(AT53-AU53)</f>
        <v>0</v>
      </c>
      <c r="AW53" s="1694">
        <f t="shared" si="143"/>
        <v>0</v>
      </c>
      <c r="AX53" s="1689">
        <v>0</v>
      </c>
      <c r="AY53" s="1764">
        <v>0</v>
      </c>
      <c r="AZ53" s="1729">
        <v>0</v>
      </c>
      <c r="BA53" s="1721"/>
      <c r="BB53" s="1729">
        <f>AZ53*BB64/(BB64+BC64)</f>
        <v>0</v>
      </c>
      <c r="BC53" s="1729">
        <f>SUM(AZ53-BB53)</f>
        <v>0</v>
      </c>
      <c r="BD53" s="1694">
        <v>0</v>
      </c>
      <c r="BE53" s="1721"/>
      <c r="BF53" s="1689">
        <f>BD53*BF64/(BF64+BG64)</f>
        <v>0</v>
      </c>
      <c r="BG53" s="1764">
        <f>SUM(BD53-BF53)</f>
        <v>0</v>
      </c>
      <c r="BH53" s="1694">
        <f t="shared" si="28"/>
        <v>0</v>
      </c>
      <c r="BI53" s="1689">
        <f>BG53*BI64/(BI64+BJ64)</f>
        <v>0</v>
      </c>
      <c r="BJ53" s="1764">
        <f>SUM(BG53-BI53)</f>
        <v>0</v>
      </c>
      <c r="BK53" s="1694">
        <f t="shared" si="141"/>
        <v>0</v>
      </c>
      <c r="BL53" s="1689">
        <f>BJ53*BL64/(BL64+BM64)</f>
        <v>0</v>
      </c>
      <c r="BM53" s="1764">
        <f>SUM(BJ53-BL53)</f>
        <v>0</v>
      </c>
      <c r="BN53" s="1694">
        <f t="shared" si="142"/>
        <v>0</v>
      </c>
      <c r="BO53" s="1689">
        <f>BM53*BO64/(BO64+BP64)</f>
        <v>0</v>
      </c>
      <c r="BP53" s="1764">
        <f>SUM(BM53-BO53)</f>
        <v>0</v>
      </c>
      <c r="BQ53" s="1694">
        <v>0</v>
      </c>
      <c r="BR53" s="1764">
        <f t="shared" si="146"/>
        <v>0</v>
      </c>
      <c r="BS53" s="1764">
        <f t="shared" si="147"/>
        <v>0</v>
      </c>
      <c r="BT53" s="1792"/>
    </row>
    <row r="54" spans="1:72" ht="21" customHeight="1" x14ac:dyDescent="0.2">
      <c r="A54" s="1756" t="s">
        <v>535</v>
      </c>
      <c r="B54" s="1731"/>
      <c r="C54" s="1725"/>
      <c r="D54" s="1725"/>
      <c r="E54" s="1725"/>
      <c r="F54" s="1746"/>
      <c r="G54" s="1746"/>
      <c r="H54" s="1725"/>
      <c r="I54" s="1727"/>
      <c r="J54" s="1727"/>
      <c r="K54" s="1727"/>
      <c r="L54" s="1727">
        <v>0</v>
      </c>
      <c r="M54" s="1742"/>
      <c r="N54" s="1727"/>
      <c r="O54" s="1727"/>
      <c r="P54" s="1727"/>
      <c r="Q54" s="1747">
        <v>2526</v>
      </c>
      <c r="R54" s="1727"/>
      <c r="S54" s="1727"/>
      <c r="T54" s="1726">
        <f>Q54/Q64*T64</f>
        <v>2494.4608399545968</v>
      </c>
      <c r="U54" s="1726">
        <f>Q54-T54</f>
        <v>31.53916004540315</v>
      </c>
      <c r="V54" s="1726" t="e">
        <f>3064*#REF!</f>
        <v>#REF!</v>
      </c>
      <c r="W54" s="1726"/>
      <c r="X54" s="1726">
        <v>0</v>
      </c>
      <c r="Y54" s="1729">
        <v>2526</v>
      </c>
      <c r="Z54" s="1718">
        <f t="shared" si="13"/>
        <v>1</v>
      </c>
      <c r="AA54" s="1729">
        <f>AC54+AD54</f>
        <v>2323.15</v>
      </c>
      <c r="AB54" s="1718">
        <f t="shared" si="1"/>
        <v>0.91969517022961211</v>
      </c>
      <c r="AC54" s="1729">
        <v>2296.61</v>
      </c>
      <c r="AD54" s="1729">
        <v>26.54</v>
      </c>
      <c r="AE54" s="1694">
        <v>2323.15</v>
      </c>
      <c r="AF54" s="1689">
        <v>2296.61</v>
      </c>
      <c r="AG54" s="1764">
        <v>26.54</v>
      </c>
      <c r="AH54" s="1730">
        <f t="shared" si="15"/>
        <v>2323.14</v>
      </c>
      <c r="AI54" s="1719">
        <f t="shared" si="16"/>
        <v>0.99999569549964473</v>
      </c>
      <c r="AJ54" s="1729">
        <v>2296.6</v>
      </c>
      <c r="AK54" s="1729">
        <v>26.54</v>
      </c>
      <c r="AL54" s="1766">
        <f t="shared" si="17"/>
        <v>2323.15</v>
      </c>
      <c r="AM54" s="1719">
        <f t="shared" si="18"/>
        <v>1</v>
      </c>
      <c r="AN54" s="1689">
        <f>AC54</f>
        <v>2296.61</v>
      </c>
      <c r="AO54" s="1764">
        <f>AD54</f>
        <v>26.54</v>
      </c>
      <c r="AP54" s="1720">
        <f t="shared" si="19"/>
        <v>-202.84999999999991</v>
      </c>
      <c r="AQ54" s="1720">
        <f>AP54*AC54/AA54</f>
        <v>-200.53261240126545</v>
      </c>
      <c r="AR54" s="1720">
        <f t="shared" si="20"/>
        <v>-2.3173875987344559</v>
      </c>
      <c r="AS54" s="1720">
        <f t="shared" si="112"/>
        <v>-202.84999999999991</v>
      </c>
      <c r="AT54" s="1729">
        <v>0</v>
      </c>
      <c r="AU54" s="1729">
        <f>AT54*AU64/(AU64+AV64)</f>
        <v>0</v>
      </c>
      <c r="AV54" s="1729">
        <f>SUM(AT54-AU54)</f>
        <v>0</v>
      </c>
      <c r="AW54" s="1694">
        <f t="shared" si="143"/>
        <v>2175.2199999999998</v>
      </c>
      <c r="AX54" s="1689">
        <v>2164.7399999999998</v>
      </c>
      <c r="AY54" s="1764">
        <v>10.48</v>
      </c>
      <c r="AZ54" s="1729">
        <f>SUM(BB54:BC54)</f>
        <v>2323.15</v>
      </c>
      <c r="BA54" s="1721">
        <f t="shared" ref="BA54" si="148">SUM(AZ54/AL54)</f>
        <v>1</v>
      </c>
      <c r="BB54" s="1729">
        <v>2294.5100000000002</v>
      </c>
      <c r="BC54" s="1729">
        <v>28.64</v>
      </c>
      <c r="BD54" s="1694">
        <f>'налог на имущ'!C15</f>
        <v>1842.7891386666663</v>
      </c>
      <c r="BE54" s="1721">
        <f t="shared" ref="BE54" si="149">SUM(BD54/AL54)</f>
        <v>0.79322865018043009</v>
      </c>
      <c r="BF54" s="1689">
        <f>BD54*BF64/BD64</f>
        <v>1832.9471750707985</v>
      </c>
      <c r="BG54" s="1764">
        <f>BD54-BF54</f>
        <v>9.84196359586781</v>
      </c>
      <c r="BH54" s="1694">
        <f t="shared" si="28"/>
        <v>1996.24</v>
      </c>
      <c r="BI54" s="1689">
        <v>1994.9</v>
      </c>
      <c r="BJ54" s="1764">
        <v>1.34</v>
      </c>
      <c r="BK54" s="1694">
        <f t="shared" si="141"/>
        <v>1844.76</v>
      </c>
      <c r="BL54" s="1689">
        <v>1843.87</v>
      </c>
      <c r="BM54" s="1764">
        <v>0.89</v>
      </c>
      <c r="BN54" s="1694">
        <f t="shared" si="142"/>
        <v>1854.33</v>
      </c>
      <c r="BO54" s="1689">
        <v>1851.76</v>
      </c>
      <c r="BP54" s="1764">
        <v>2.57</v>
      </c>
      <c r="BQ54" s="1694">
        <f>BR54+BS54</f>
        <v>1846.77021838</v>
      </c>
      <c r="BR54" s="1764">
        <f>имущество!E25/1000-имущество!E34/1000</f>
        <v>1845.4306605479765</v>
      </c>
      <c r="BS54" s="1764">
        <f>'Н 2019-2024'!K17</f>
        <v>1.3395578320234052</v>
      </c>
      <c r="BT54" s="1792" t="s">
        <v>976</v>
      </c>
    </row>
    <row r="55" spans="1:72" ht="21" customHeight="1" x14ac:dyDescent="0.2">
      <c r="A55" s="1756" t="s">
        <v>2026</v>
      </c>
      <c r="B55" s="1731"/>
      <c r="C55" s="1725"/>
      <c r="D55" s="1725"/>
      <c r="E55" s="1725"/>
      <c r="F55" s="1746"/>
      <c r="G55" s="1746"/>
      <c r="H55" s="1725"/>
      <c r="I55" s="1727"/>
      <c r="J55" s="1727"/>
      <c r="K55" s="1727"/>
      <c r="L55" s="1727"/>
      <c r="M55" s="1742"/>
      <c r="N55" s="1727"/>
      <c r="O55" s="1727"/>
      <c r="P55" s="1727"/>
      <c r="Q55" s="1747"/>
      <c r="R55" s="1727"/>
      <c r="S55" s="1727"/>
      <c r="T55" s="1726"/>
      <c r="U55" s="1726"/>
      <c r="V55" s="1726"/>
      <c r="W55" s="1726"/>
      <c r="X55" s="1726"/>
      <c r="Y55" s="1729"/>
      <c r="Z55" s="1718"/>
      <c r="AA55" s="1729"/>
      <c r="AB55" s="1718"/>
      <c r="AC55" s="1729"/>
      <c r="AD55" s="1729"/>
      <c r="AE55" s="1694"/>
      <c r="AF55" s="1689"/>
      <c r="AG55" s="1764"/>
      <c r="AH55" s="1730"/>
      <c r="AI55" s="1719"/>
      <c r="AJ55" s="1729"/>
      <c r="AK55" s="1729"/>
      <c r="AL55" s="1766"/>
      <c r="AM55" s="1719"/>
      <c r="AN55" s="1689"/>
      <c r="AO55" s="1764"/>
      <c r="AP55" s="1720"/>
      <c r="AQ55" s="1720"/>
      <c r="AR55" s="1720"/>
      <c r="AS55" s="1720"/>
      <c r="AT55" s="1729"/>
      <c r="AU55" s="1729"/>
      <c r="AV55" s="1729"/>
      <c r="AW55" s="1694"/>
      <c r="AX55" s="1689"/>
      <c r="AY55" s="1764"/>
      <c r="AZ55" s="1729"/>
      <c r="BA55" s="1721"/>
      <c r="BB55" s="1729"/>
      <c r="BC55" s="1729"/>
      <c r="BD55" s="1694"/>
      <c r="BE55" s="1721"/>
      <c r="BF55" s="1689"/>
      <c r="BG55" s="1764"/>
      <c r="BH55" s="1694"/>
      <c r="BI55" s="1689"/>
      <c r="BJ55" s="1764"/>
      <c r="BK55" s="1694"/>
      <c r="BL55" s="1689"/>
      <c r="BM55" s="1764"/>
      <c r="BN55" s="1694">
        <v>3043.62</v>
      </c>
      <c r="BO55" s="1689">
        <v>3043.62</v>
      </c>
      <c r="BP55" s="1764">
        <v>0</v>
      </c>
      <c r="BQ55" s="1694">
        <f>Аморт!U99/1000</f>
        <v>2887.2057268098001</v>
      </c>
      <c r="BR55" s="1764">
        <f>имущество!E29/1000</f>
        <v>2887.2057268098001</v>
      </c>
      <c r="BS55" s="1764">
        <v>0</v>
      </c>
      <c r="BT55" s="1792"/>
    </row>
    <row r="56" spans="1:72" s="2717" customFormat="1" ht="27.75" customHeight="1" x14ac:dyDescent="0.2">
      <c r="A56" s="1757" t="s">
        <v>11</v>
      </c>
      <c r="B56" s="2645">
        <v>8687.7999999999993</v>
      </c>
      <c r="C56" s="2710">
        <v>9434.2999999999993</v>
      </c>
      <c r="D56" s="2722">
        <f>C56/B56*100</f>
        <v>108.59250903565921</v>
      </c>
      <c r="E56" s="2710">
        <v>9717.6</v>
      </c>
      <c r="F56" s="2722">
        <f>E56/C56*100</f>
        <v>103.00287249716462</v>
      </c>
      <c r="G56" s="2710">
        <v>10985.6</v>
      </c>
      <c r="H56" s="2722">
        <f t="shared" si="9"/>
        <v>113.04848933893142</v>
      </c>
      <c r="I56" s="1958">
        <v>9819.5</v>
      </c>
      <c r="J56" s="1958">
        <v>5737.6</v>
      </c>
      <c r="K56" s="1958">
        <v>8579.1</v>
      </c>
      <c r="L56" s="1958">
        <v>12008</v>
      </c>
      <c r="M56" s="2718">
        <f t="shared" si="10"/>
        <v>122.28728550333521</v>
      </c>
      <c r="N56" s="2718">
        <f t="shared" si="11"/>
        <v>109.3067288086222</v>
      </c>
      <c r="O56" s="1958">
        <v>14719.1</v>
      </c>
      <c r="P56" s="2718">
        <f t="shared" si="12"/>
        <v>149.89663424817965</v>
      </c>
      <c r="Q56" s="2720" t="e">
        <f>#REF!-800</f>
        <v>#REF!</v>
      </c>
      <c r="R56" s="2718" t="e">
        <f t="shared" si="21"/>
        <v>#REF!</v>
      </c>
      <c r="S56" s="2718" t="e">
        <f t="shared" si="22"/>
        <v>#REF!</v>
      </c>
      <c r="T56" s="1958" t="e">
        <f>Q56/Q64*T64</f>
        <v>#REF!</v>
      </c>
      <c r="U56" s="1958" t="e">
        <f>Q56-T56</f>
        <v>#REF!</v>
      </c>
      <c r="V56" s="1958">
        <v>10509.8</v>
      </c>
      <c r="W56" s="1958">
        <f>'ОХР '!X57*(объемы!$BB$9-объемы!$BB$18)/объемы!$BB$9</f>
        <v>13772.470342151944</v>
      </c>
      <c r="X56" s="1958">
        <f>'ОХР '!X57-W56</f>
        <v>81.329657848054921</v>
      </c>
      <c r="Y56" s="1828">
        <v>15517.1</v>
      </c>
      <c r="Z56" s="2738" t="e">
        <f t="shared" si="13"/>
        <v>#REF!</v>
      </c>
      <c r="AA56" s="1828">
        <v>9765</v>
      </c>
      <c r="AB56" s="2738" t="e">
        <f>AA56/Q56</f>
        <v>#REF!</v>
      </c>
      <c r="AC56" s="1828">
        <f>AA56-AD56</f>
        <v>9598.7999999999993</v>
      </c>
      <c r="AD56" s="1828">
        <v>166.2</v>
      </c>
      <c r="AE56" s="1828">
        <f>SUM('ОХР '!AD57)</f>
        <v>14207.04</v>
      </c>
      <c r="AF56" s="1828">
        <f>AF64/AE64*AE56</f>
        <v>14031.870256994307</v>
      </c>
      <c r="AG56" s="1828">
        <f>AE56-AF56</f>
        <v>175.16974300569382</v>
      </c>
      <c r="AH56" s="2713">
        <f t="shared" si="15"/>
        <v>13395.76</v>
      </c>
      <c r="AI56" s="1777">
        <f t="shared" si="16"/>
        <v>1.3718136200716846</v>
      </c>
      <c r="AJ56" s="1828">
        <v>13243.27</v>
      </c>
      <c r="AK56" s="1828">
        <v>152.49</v>
      </c>
      <c r="AL56" s="2713">
        <f t="shared" si="17"/>
        <v>13073.01213648671</v>
      </c>
      <c r="AM56" s="1777">
        <f t="shared" si="18"/>
        <v>1.3387621235521465</v>
      </c>
      <c r="AN56" s="1828">
        <f>'ОХР '!AH57*AN64/(AN64+AO64)</f>
        <v>12924.197100987714</v>
      </c>
      <c r="AO56" s="1828">
        <f>'ОХР '!AD50-вода!AN56</f>
        <v>148.81503549899571</v>
      </c>
      <c r="AP56" s="2715">
        <f t="shared" si="19"/>
        <v>-5752.1</v>
      </c>
      <c r="AQ56" s="2715">
        <f>AP56*AC56/AA56</f>
        <v>-5654.1994347158216</v>
      </c>
      <c r="AR56" s="2715">
        <f t="shared" si="20"/>
        <v>-97.900565284178811</v>
      </c>
      <c r="AS56" s="2715">
        <f t="shared" si="112"/>
        <v>-5752.1</v>
      </c>
      <c r="AT56" s="1828">
        <v>6505.01</v>
      </c>
      <c r="AU56" s="1828">
        <f>AU64/AT64*AT56</f>
        <v>6460.2375647080098</v>
      </c>
      <c r="AV56" s="1828">
        <f>AT56-AU56</f>
        <v>44.772435291990405</v>
      </c>
      <c r="AW56" s="1828">
        <f>AX56+AY56</f>
        <v>12858.359999999999</v>
      </c>
      <c r="AX56" s="1828">
        <v>12796.39</v>
      </c>
      <c r="AY56" s="1828">
        <v>61.97</v>
      </c>
      <c r="AZ56" s="2713">
        <v>14993.56</v>
      </c>
      <c r="BA56" s="1779">
        <f t="shared" ref="BA56:BA60" si="150">SUM(AZ56/AL56)</f>
        <v>1.1469093613210264</v>
      </c>
      <c r="BB56" s="1828">
        <f>BB64/AZ64*AZ56</f>
        <v>14913.482432471448</v>
      </c>
      <c r="BC56" s="1828">
        <f>AZ56-BB56</f>
        <v>80.077567528551299</v>
      </c>
      <c r="BD56" s="2713">
        <f>SUM('ОХР '!AM57)-3000</f>
        <v>9920.4365701392053</v>
      </c>
      <c r="BE56" s="1779">
        <f t="shared" ref="BE56:BE60" si="151">SUM(BD56/AL56)</f>
        <v>0.75884857036515074</v>
      </c>
      <c r="BF56" s="1828">
        <f>BF64/BD64*BD56</f>
        <v>9867.4535274623486</v>
      </c>
      <c r="BG56" s="1828">
        <f>BD56-BF56</f>
        <v>52.983042676856712</v>
      </c>
      <c r="BH56" s="1828">
        <f t="shared" si="28"/>
        <v>12499.66</v>
      </c>
      <c r="BI56" s="1828">
        <v>12491.25</v>
      </c>
      <c r="BJ56" s="1828">
        <v>8.41</v>
      </c>
      <c r="BK56" s="1828">
        <f t="shared" si="141"/>
        <v>13552.08</v>
      </c>
      <c r="BL56" s="1828">
        <v>13545.52</v>
      </c>
      <c r="BM56" s="1828">
        <v>6.56</v>
      </c>
      <c r="BN56" s="1828">
        <f t="shared" si="142"/>
        <v>13338.21</v>
      </c>
      <c r="BO56" s="1828">
        <v>13319.71</v>
      </c>
      <c r="BP56" s="1828">
        <v>18.5</v>
      </c>
      <c r="BQ56" s="1828">
        <f>'ОХР '!BB50-'вода 2018 коррект'!W64</f>
        <v>10331.669406318586</v>
      </c>
      <c r="BR56" s="1828">
        <f>BQ56/BQ64*BR64</f>
        <v>10326.676210545877</v>
      </c>
      <c r="BS56" s="1828">
        <f>BQ56/BQ64*BS64</f>
        <v>4.9931957727103642</v>
      </c>
      <c r="BT56" s="2643" t="s">
        <v>976</v>
      </c>
    </row>
    <row r="57" spans="1:72" s="2717" customFormat="1" ht="27.75" customHeight="1" x14ac:dyDescent="0.2">
      <c r="A57" s="1757" t="s">
        <v>2050</v>
      </c>
      <c r="B57" s="2733"/>
      <c r="C57" s="2710"/>
      <c r="D57" s="2722"/>
      <c r="E57" s="2710"/>
      <c r="F57" s="2722"/>
      <c r="G57" s="2710"/>
      <c r="H57" s="2722"/>
      <c r="I57" s="1958"/>
      <c r="J57" s="1958"/>
      <c r="K57" s="1958"/>
      <c r="L57" s="1958"/>
      <c r="M57" s="2718"/>
      <c r="N57" s="2718"/>
      <c r="O57" s="1958"/>
      <c r="P57" s="2718"/>
      <c r="Q57" s="2720"/>
      <c r="R57" s="2718"/>
      <c r="S57" s="2718"/>
      <c r="T57" s="1958"/>
      <c r="U57" s="1958"/>
      <c r="V57" s="1958"/>
      <c r="W57" s="1958"/>
      <c r="X57" s="1958"/>
      <c r="Y57" s="1828"/>
      <c r="Z57" s="2738"/>
      <c r="AA57" s="1828"/>
      <c r="AB57" s="2738"/>
      <c r="AC57" s="1828"/>
      <c r="AD57" s="1828"/>
      <c r="AE57" s="1828"/>
      <c r="AF57" s="1828"/>
      <c r="AG57" s="1828"/>
      <c r="AH57" s="2713"/>
      <c r="AI57" s="1777"/>
      <c r="AJ57" s="1828"/>
      <c r="AK57" s="1828"/>
      <c r="AL57" s="2713"/>
      <c r="AM57" s="1777"/>
      <c r="AN57" s="1828"/>
      <c r="AO57" s="1828"/>
      <c r="AP57" s="2715"/>
      <c r="AQ57" s="2715"/>
      <c r="AR57" s="2715"/>
      <c r="AS57" s="2715"/>
      <c r="AT57" s="1828"/>
      <c r="AU57" s="1828"/>
      <c r="AV57" s="1828"/>
      <c r="AW57" s="1828"/>
      <c r="AX57" s="1828"/>
      <c r="AY57" s="1828"/>
      <c r="AZ57" s="2713"/>
      <c r="BA57" s="1779"/>
      <c r="BB57" s="1828"/>
      <c r="BC57" s="1828"/>
      <c r="BD57" s="2713"/>
      <c r="BE57" s="1779"/>
      <c r="BF57" s="1828"/>
      <c r="BG57" s="1828"/>
      <c r="BH57" s="1828"/>
      <c r="BI57" s="1828"/>
      <c r="BJ57" s="1828"/>
      <c r="BK57" s="1828"/>
      <c r="BL57" s="1828"/>
      <c r="BM57" s="1828"/>
      <c r="BN57" s="1828"/>
      <c r="BO57" s="1828"/>
      <c r="BP57" s="1828"/>
      <c r="BQ57" s="3256">
        <f>'Аренда земли'!K7</f>
        <v>63.916885499999999</v>
      </c>
      <c r="BR57" s="3256">
        <f>BQ57/BQ64*BR64</f>
        <v>63.885995088205725</v>
      </c>
      <c r="BS57" s="3256">
        <f>BQ57-BR57</f>
        <v>3.0890411794274542E-2</v>
      </c>
      <c r="BT57" s="2729"/>
    </row>
    <row r="58" spans="1:72" s="2717" customFormat="1" ht="27.75" customHeight="1" x14ac:dyDescent="0.2">
      <c r="A58" s="1757" t="s">
        <v>2051</v>
      </c>
      <c r="B58" s="2733"/>
      <c r="C58" s="2710"/>
      <c r="D58" s="2722"/>
      <c r="E58" s="2710"/>
      <c r="F58" s="2722"/>
      <c r="G58" s="2710"/>
      <c r="H58" s="2722"/>
      <c r="I58" s="1958"/>
      <c r="J58" s="1958"/>
      <c r="K58" s="1958"/>
      <c r="L58" s="1958"/>
      <c r="M58" s="2718"/>
      <c r="N58" s="2718"/>
      <c r="O58" s="1958"/>
      <c r="P58" s="2718"/>
      <c r="Q58" s="2720"/>
      <c r="R58" s="2718"/>
      <c r="S58" s="2718"/>
      <c r="T58" s="1958"/>
      <c r="U58" s="1958"/>
      <c r="V58" s="1958"/>
      <c r="W58" s="1958"/>
      <c r="X58" s="1958"/>
      <c r="Y58" s="1828"/>
      <c r="Z58" s="2738"/>
      <c r="AA58" s="1828"/>
      <c r="AB58" s="2738"/>
      <c r="AC58" s="1828"/>
      <c r="AD58" s="1828"/>
      <c r="AE58" s="1828"/>
      <c r="AF58" s="1828"/>
      <c r="AG58" s="1828"/>
      <c r="AH58" s="2713"/>
      <c r="AI58" s="1777"/>
      <c r="AJ58" s="1828"/>
      <c r="AK58" s="1828"/>
      <c r="AL58" s="2713"/>
      <c r="AM58" s="1777"/>
      <c r="AN58" s="1828"/>
      <c r="AO58" s="1828"/>
      <c r="AP58" s="2715"/>
      <c r="AQ58" s="2715"/>
      <c r="AR58" s="2715"/>
      <c r="AS58" s="2715"/>
      <c r="AT58" s="1828"/>
      <c r="AU58" s="1828"/>
      <c r="AV58" s="1828"/>
      <c r="AW58" s="1828"/>
      <c r="AX58" s="1828"/>
      <c r="AY58" s="1828"/>
      <c r="AZ58" s="2713"/>
      <c r="BA58" s="1779"/>
      <c r="BB58" s="1828"/>
      <c r="BC58" s="1828"/>
      <c r="BD58" s="2713"/>
      <c r="BE58" s="1779"/>
      <c r="BF58" s="1828"/>
      <c r="BG58" s="1828"/>
      <c r="BH58" s="1828"/>
      <c r="BI58" s="1828"/>
      <c r="BJ58" s="1828"/>
      <c r="BK58" s="1828"/>
      <c r="BL58" s="1828"/>
      <c r="BM58" s="1828"/>
      <c r="BN58" s="1828"/>
      <c r="BO58" s="1828"/>
      <c r="BP58" s="1828"/>
      <c r="BQ58" s="3256">
        <f>BR58</f>
        <v>30.794479507533907</v>
      </c>
      <c r="BR58" s="3256">
        <f>'[21]индексация вода'!$R$32</f>
        <v>30.794479507533907</v>
      </c>
      <c r="BS58" s="3256"/>
      <c r="BT58" s="2729"/>
    </row>
    <row r="59" spans="1:72" ht="33" customHeight="1" x14ac:dyDescent="0.2">
      <c r="A59" s="1757" t="s">
        <v>2142</v>
      </c>
      <c r="B59" s="1737"/>
      <c r="C59" s="1738"/>
      <c r="D59" s="1746"/>
      <c r="E59" s="1738"/>
      <c r="F59" s="1746"/>
      <c r="G59" s="1738"/>
      <c r="H59" s="1746"/>
      <c r="I59" s="1739"/>
      <c r="J59" s="1739"/>
      <c r="K59" s="1739"/>
      <c r="L59" s="1739"/>
      <c r="M59" s="1742"/>
      <c r="N59" s="1742"/>
      <c r="O59" s="1739"/>
      <c r="P59" s="1742"/>
      <c r="Q59" s="1743"/>
      <c r="R59" s="1742"/>
      <c r="S59" s="1742"/>
      <c r="T59" s="1739"/>
      <c r="U59" s="1739"/>
      <c r="V59" s="1739"/>
      <c r="W59" s="1739"/>
      <c r="X59" s="1739"/>
      <c r="Y59" s="1740"/>
      <c r="Z59" s="1749"/>
      <c r="AA59" s="1740"/>
      <c r="AB59" s="1749"/>
      <c r="AC59" s="1740"/>
      <c r="AD59" s="1740"/>
      <c r="AE59" s="1761"/>
      <c r="AF59" s="1690"/>
      <c r="AG59" s="1687"/>
      <c r="AH59" s="1717"/>
      <c r="AI59" s="1750"/>
      <c r="AJ59" s="1740"/>
      <c r="AK59" s="1740"/>
      <c r="AL59" s="1759"/>
      <c r="AM59" s="1750"/>
      <c r="AN59" s="1690"/>
      <c r="AO59" s="1687"/>
      <c r="AP59" s="1720"/>
      <c r="AQ59" s="1720"/>
      <c r="AR59" s="1720"/>
      <c r="AS59" s="1720"/>
      <c r="AT59" s="1740"/>
      <c r="AU59" s="1740"/>
      <c r="AV59" s="1740"/>
      <c r="AW59" s="1761"/>
      <c r="AX59" s="1690"/>
      <c r="AY59" s="1687"/>
      <c r="AZ59" s="1717">
        <v>1162.33</v>
      </c>
      <c r="BA59" s="1751"/>
      <c r="BB59" s="1740">
        <v>1162.33</v>
      </c>
      <c r="BC59" s="1740"/>
      <c r="BD59" s="1759">
        <f>BF59+BG59</f>
        <v>395.92549126618718</v>
      </c>
      <c r="BE59" s="1751"/>
      <c r="BF59" s="1690">
        <f>'Резерв ДЗ'!F7</f>
        <v>395.92549126618718</v>
      </c>
      <c r="BG59" s="1687"/>
      <c r="BH59" s="1759">
        <v>0</v>
      </c>
      <c r="BI59" s="1690">
        <f>'Резерв ДЗ'!I7</f>
        <v>0</v>
      </c>
      <c r="BJ59" s="1687"/>
      <c r="BK59" s="1759">
        <v>0</v>
      </c>
      <c r="BL59" s="1690">
        <v>0</v>
      </c>
      <c r="BM59" s="1687">
        <v>0</v>
      </c>
      <c r="BN59" s="1759">
        <f>BO59+BP59</f>
        <v>294.81</v>
      </c>
      <c r="BO59" s="1690">
        <v>294.81</v>
      </c>
      <c r="BP59" s="1687">
        <v>0</v>
      </c>
      <c r="BQ59" s="1759">
        <f>BR59+BS59</f>
        <v>294.81</v>
      </c>
      <c r="BR59" s="1687">
        <f>BO59</f>
        <v>294.81</v>
      </c>
      <c r="BS59" s="1687">
        <v>0</v>
      </c>
      <c r="BT59" s="1788" t="s">
        <v>976</v>
      </c>
    </row>
    <row r="60" spans="1:72" ht="42" customHeight="1" x14ac:dyDescent="0.2">
      <c r="A60" s="1673" t="s">
        <v>515</v>
      </c>
      <c r="B60" s="1737"/>
      <c r="C60" s="1738"/>
      <c r="D60" s="1746"/>
      <c r="E60" s="1738"/>
      <c r="F60" s="1746"/>
      <c r="G60" s="1738"/>
      <c r="H60" s="1746"/>
      <c r="I60" s="1739"/>
      <c r="J60" s="1739"/>
      <c r="K60" s="1739"/>
      <c r="L60" s="1739"/>
      <c r="M60" s="1742"/>
      <c r="N60" s="1742"/>
      <c r="O60" s="1739"/>
      <c r="P60" s="1742"/>
      <c r="Q60" s="1743"/>
      <c r="R60" s="1742"/>
      <c r="S60" s="1742"/>
      <c r="T60" s="1739"/>
      <c r="U60" s="1739"/>
      <c r="V60" s="1739"/>
      <c r="W60" s="1739"/>
      <c r="X60" s="1739"/>
      <c r="Y60" s="1740"/>
      <c r="Z60" s="1749"/>
      <c r="AA60" s="1740"/>
      <c r="AB60" s="1749"/>
      <c r="AC60" s="1740"/>
      <c r="AD60" s="1740"/>
      <c r="AE60" s="1761"/>
      <c r="AF60" s="1690"/>
      <c r="AG60" s="1687"/>
      <c r="AH60" s="1717">
        <f t="shared" si="15"/>
        <v>1147.31</v>
      </c>
      <c r="AI60" s="1750"/>
      <c r="AJ60" s="1740">
        <v>1147.31</v>
      </c>
      <c r="AK60" s="1740">
        <v>0</v>
      </c>
      <c r="AL60" s="1759">
        <f t="shared" si="17"/>
        <v>1287.3</v>
      </c>
      <c r="AM60" s="1750"/>
      <c r="AN60" s="1690">
        <v>1269.8</v>
      </c>
      <c r="AO60" s="1687">
        <v>17.5</v>
      </c>
      <c r="AP60" s="1720"/>
      <c r="AQ60" s="1720"/>
      <c r="AR60" s="1720"/>
      <c r="AS60" s="1720"/>
      <c r="AT60" s="1740"/>
      <c r="AU60" s="1740"/>
      <c r="AV60" s="1740"/>
      <c r="AW60" s="1761"/>
      <c r="AX60" s="1690"/>
      <c r="AY60" s="1687"/>
      <c r="AZ60" s="1740">
        <v>1785.8</v>
      </c>
      <c r="BA60" s="1751">
        <f t="shared" si="150"/>
        <v>1.3872446205235764</v>
      </c>
      <c r="BB60" s="1740">
        <f>SUM(AZ60)</f>
        <v>1785.8</v>
      </c>
      <c r="BC60" s="1740">
        <v>0</v>
      </c>
      <c r="BD60" s="1759">
        <f>BF60+BG60</f>
        <v>1785.8</v>
      </c>
      <c r="BE60" s="1751">
        <f t="shared" si="151"/>
        <v>1.3872446205235764</v>
      </c>
      <c r="BF60" s="1690">
        <f>'Выпадающ15-16'!G14</f>
        <v>1785.8</v>
      </c>
      <c r="BG60" s="1687">
        <v>0</v>
      </c>
      <c r="BH60" s="1759">
        <v>0</v>
      </c>
      <c r="BI60" s="1690">
        <f>'Выпадающ15-16'!J14</f>
        <v>0</v>
      </c>
      <c r="BJ60" s="1687">
        <v>0</v>
      </c>
      <c r="BK60" s="1759">
        <v>0</v>
      </c>
      <c r="BL60" s="1690">
        <f>'Выпадающ15-16'!M14</f>
        <v>0</v>
      </c>
      <c r="BM60" s="1687">
        <v>0</v>
      </c>
      <c r="BN60" s="1759">
        <v>0</v>
      </c>
      <c r="BO60" s="1690">
        <f>'Выпадающ15-16'!P14</f>
        <v>0</v>
      </c>
      <c r="BP60" s="1687">
        <v>0</v>
      </c>
      <c r="BQ60" s="1759">
        <v>0</v>
      </c>
      <c r="BR60" s="1687">
        <v>0</v>
      </c>
      <c r="BS60" s="1687">
        <v>0</v>
      </c>
      <c r="BT60" s="1788" t="s">
        <v>976</v>
      </c>
    </row>
    <row r="61" spans="1:72" s="2717" customFormat="1" ht="21" customHeight="1" x14ac:dyDescent="0.2">
      <c r="A61" s="1757" t="s">
        <v>12</v>
      </c>
      <c r="B61" s="2645" t="e">
        <f>#REF!+B17+B27+B35+B50+B56</f>
        <v>#REF!</v>
      </c>
      <c r="C61" s="2710" t="e">
        <f>#REF!+C17+C27+C35+C50+C56</f>
        <v>#REF!</v>
      </c>
      <c r="D61" s="2722" t="e">
        <f>C61/B61*100</f>
        <v>#REF!</v>
      </c>
      <c r="E61" s="2710">
        <f>E8+E17+E27+E35+E50+E56</f>
        <v>91860.9</v>
      </c>
      <c r="F61" s="2710" t="e">
        <f>#REF!+F17+F27+F35+F50+F56</f>
        <v>#REF!</v>
      </c>
      <c r="G61" s="2710">
        <f>G8+G17+G27+G35+G50+G56</f>
        <v>106293.40000000001</v>
      </c>
      <c r="H61" s="2722">
        <f t="shared" si="9"/>
        <v>115.71125473405988</v>
      </c>
      <c r="I61" s="1958">
        <f>I8+I17+I27+I35+I50+I56</f>
        <v>99255.762351999991</v>
      </c>
      <c r="J61" s="1958" t="e">
        <f>#REF!+J17+J27+J35+J50+J56</f>
        <v>#REF!</v>
      </c>
      <c r="K61" s="1958">
        <f>K8+K17+K27+K35+K50+K56</f>
        <v>78008.310588443768</v>
      </c>
      <c r="L61" s="1958">
        <f>L8+L17+L27+L35+L50+L56</f>
        <v>112599.10000000002</v>
      </c>
      <c r="M61" s="1958" t="e">
        <f>#REF!+M17+M27+M35+M50+M56</f>
        <v>#REF!</v>
      </c>
      <c r="N61" s="2718">
        <f t="shared" si="11"/>
        <v>105.93235327875486</v>
      </c>
      <c r="O61" s="1958">
        <f>O8+O17+O27+O35+O50+O56</f>
        <v>131545.64200056618</v>
      </c>
      <c r="P61" s="2718">
        <f t="shared" si="12"/>
        <v>132.53199500302418</v>
      </c>
      <c r="Q61" s="2720" t="e">
        <f t="shared" ref="Q61:Y61" si="152">Q8+Q17+Q27+Q35+Q50+Q56</f>
        <v>#REF!</v>
      </c>
      <c r="R61" s="1958" t="e">
        <f t="shared" si="152"/>
        <v>#REF!</v>
      </c>
      <c r="S61" s="1958" t="e">
        <f t="shared" si="152"/>
        <v>#REF!</v>
      </c>
      <c r="T61" s="1958" t="e">
        <f t="shared" si="152"/>
        <v>#REF!</v>
      </c>
      <c r="U61" s="1958" t="e">
        <f t="shared" si="152"/>
        <v>#REF!</v>
      </c>
      <c r="V61" s="1958" t="e">
        <f t="shared" si="152"/>
        <v>#REF!</v>
      </c>
      <c r="W61" s="1958">
        <f t="shared" si="152"/>
        <v>72136.82706190896</v>
      </c>
      <c r="X61" s="1958">
        <f t="shared" si="152"/>
        <v>257.54293809104547</v>
      </c>
      <c r="Y61" s="1828">
        <f t="shared" si="152"/>
        <v>138793.20000000001</v>
      </c>
      <c r="Z61" s="2738" t="e">
        <f t="shared" si="13"/>
        <v>#REF!</v>
      </c>
      <c r="AA61" s="1828">
        <f>AA8+AA17+AA27+AA35+AA50+AA56</f>
        <v>108660.63350891825</v>
      </c>
      <c r="AB61" s="2738" t="e">
        <f t="shared" ref="AB61:AB68" si="153">AA61/Q61</f>
        <v>#REF!</v>
      </c>
      <c r="AC61" s="1828">
        <f>AC8+AC17+AC27+AC35+AC50+AC56+0.02</f>
        <v>107833.78229935731</v>
      </c>
      <c r="AD61" s="1828">
        <f>AD8+AD17+AD27+AD35+AD50+AD56</f>
        <v>826.68606618206377</v>
      </c>
      <c r="AE61" s="1828">
        <f>AE8+AE17+AE27+AE35+AE50+AE56</f>
        <v>113320.02939110002</v>
      </c>
      <c r="AF61" s="1828">
        <f>AF8+AF17+AF27+AF35+AF50+AF56</f>
        <v>112515.45483007004</v>
      </c>
      <c r="AG61" s="1828">
        <f>AG8+AG17+AG27+AG35+AG50+AG56</f>
        <v>804.57456102995798</v>
      </c>
      <c r="AH61" s="2713">
        <f t="shared" si="15"/>
        <v>121571.42432999999</v>
      </c>
      <c r="AI61" s="1777">
        <f t="shared" si="16"/>
        <v>1.1188175552098367</v>
      </c>
      <c r="AJ61" s="1828">
        <f>AJ8+AJ17+AJ27+AJ35+AJ50+AJ56+AJ60</f>
        <v>120777.48432999999</v>
      </c>
      <c r="AK61" s="1828">
        <f>AK8+AK17+AK27+AK35+AK50+AK56</f>
        <v>793.93999999999994</v>
      </c>
      <c r="AL61" s="2713">
        <f t="shared" si="17"/>
        <v>113823.94399540006</v>
      </c>
      <c r="AM61" s="1777">
        <f t="shared" si="18"/>
        <v>1.0475177653557304</v>
      </c>
      <c r="AN61" s="1828">
        <f>AN8+AN17+AN27+AN35+AN50+AN56+AN60</f>
        <v>113053.72311345986</v>
      </c>
      <c r="AO61" s="1828">
        <f>AO8+AO17+AO27+AO35+AO50+AO56+AO60</f>
        <v>770.2208819402033</v>
      </c>
      <c r="AP61" s="2715">
        <f t="shared" si="19"/>
        <v>-30132.566491081758</v>
      </c>
      <c r="AQ61" s="2715">
        <f>AP61*AC61/AA61</f>
        <v>-29903.273248020723</v>
      </c>
      <c r="AR61" s="2715">
        <f t="shared" si="20"/>
        <v>-229.29324306103445</v>
      </c>
      <c r="AS61" s="2715">
        <f t="shared" si="112"/>
        <v>-30132.566491081758</v>
      </c>
      <c r="AT61" s="1828">
        <f t="shared" ref="AT61:AY61" si="154">AT8+AT17+AT27+AT35+AT50+AT56</f>
        <v>56673.297081399993</v>
      </c>
      <c r="AU61" s="1828">
        <f t="shared" si="154"/>
        <v>56463.165167590261</v>
      </c>
      <c r="AV61" s="1828">
        <f t="shared" si="154"/>
        <v>210.13191380973541</v>
      </c>
      <c r="AW61" s="1828">
        <f t="shared" si="154"/>
        <v>116214.42000000001</v>
      </c>
      <c r="AX61" s="1828">
        <f t="shared" si="154"/>
        <v>115906.65</v>
      </c>
      <c r="AY61" s="1828">
        <f t="shared" si="154"/>
        <v>307.77</v>
      </c>
      <c r="AZ61" s="2713">
        <f t="shared" ref="AZ61" si="155">SUM(BB61+BC61)</f>
        <v>135173.02728099888</v>
      </c>
      <c r="BA61" s="1779">
        <f t="shared" si="26"/>
        <v>1.1875623224447538</v>
      </c>
      <c r="BB61" s="1828">
        <f>BB8+BB17+BB27+BB35+BB50+BB56+BB60+BB59</f>
        <v>134749.65181062307</v>
      </c>
      <c r="BC61" s="1828">
        <f>BC8+BC17+BC27+BC35+BC50+BC56</f>
        <v>423.37547037580555</v>
      </c>
      <c r="BD61" s="1828">
        <f>BD8+BD17+BD27+BD35+BD50+BD56+BD60+BD59</f>
        <v>120520.29484348075</v>
      </c>
      <c r="BE61" s="1779">
        <f t="shared" si="27"/>
        <v>1.0588307750814829</v>
      </c>
      <c r="BF61" s="1828">
        <f t="shared" ref="BF61:BM61" si="156">BF8+BF17+BF27+BF35+BF50+BF56+BF60+BF59</f>
        <v>120176.15591828243</v>
      </c>
      <c r="BG61" s="1828">
        <f t="shared" si="156"/>
        <v>344.13892519829579</v>
      </c>
      <c r="BH61" s="1828">
        <f t="shared" si="156"/>
        <v>120577.87999999999</v>
      </c>
      <c r="BI61" s="1828">
        <f t="shared" si="156"/>
        <v>120535.92999999998</v>
      </c>
      <c r="BJ61" s="1828">
        <f t="shared" si="156"/>
        <v>41.95</v>
      </c>
      <c r="BK61" s="1828">
        <f t="shared" si="156"/>
        <v>134891.4</v>
      </c>
      <c r="BL61" s="1828">
        <f t="shared" si="156"/>
        <v>134862.30000000002</v>
      </c>
      <c r="BM61" s="1828">
        <f t="shared" si="156"/>
        <v>29.1</v>
      </c>
      <c r="BN61" s="1828">
        <f>BN8+BN17+BN27+BN35+BN50+BN56+BN60+BN59+BN43</f>
        <v>167633.91</v>
      </c>
      <c r="BO61" s="1828">
        <f t="shared" ref="BO61:BP61" si="157">BO8+BO17+BO27+BO35+BO50+BO56+BO60+BO59+BO43</f>
        <v>167534.61999999997</v>
      </c>
      <c r="BP61" s="1828">
        <f t="shared" si="157"/>
        <v>99.289999999999992</v>
      </c>
      <c r="BQ61" s="3258">
        <f>BQ8+BQ17+BQ27+BQ35+BQ50+BQ56+BQ60+BQ59+BQ43+BQ57+BQ58</f>
        <v>147574.92935394892</v>
      </c>
      <c r="BR61" s="3258">
        <f t="shared" ref="BR61:BS61" si="158">BR8+BR17+BR27+BR35+BR50+BR56+BR60+BR59+BR43+BR57+BR58</f>
        <v>147544.11811148544</v>
      </c>
      <c r="BS61" s="3258">
        <f t="shared" si="158"/>
        <v>30.811242463479257</v>
      </c>
      <c r="BT61" s="2643"/>
    </row>
    <row r="62" spans="1:72" ht="34.5" hidden="1" customHeight="1" x14ac:dyDescent="0.2">
      <c r="A62" s="1757" t="s">
        <v>1840</v>
      </c>
      <c r="B62" s="1737"/>
      <c r="C62" s="1738"/>
      <c r="D62" s="1746"/>
      <c r="E62" s="1738"/>
      <c r="F62" s="1738"/>
      <c r="G62" s="1738"/>
      <c r="H62" s="1746"/>
      <c r="I62" s="1739"/>
      <c r="J62" s="1739"/>
      <c r="K62" s="1739"/>
      <c r="L62" s="1739"/>
      <c r="M62" s="1739"/>
      <c r="N62" s="1742"/>
      <c r="O62" s="1739"/>
      <c r="P62" s="1742"/>
      <c r="Q62" s="1743"/>
      <c r="R62" s="1739"/>
      <c r="S62" s="1739"/>
      <c r="T62" s="1739"/>
      <c r="U62" s="1739"/>
      <c r="V62" s="1739"/>
      <c r="W62" s="1739"/>
      <c r="X62" s="1739"/>
      <c r="Y62" s="1740"/>
      <c r="Z62" s="1749"/>
      <c r="AA62" s="1740"/>
      <c r="AB62" s="1749"/>
      <c r="AC62" s="1740"/>
      <c r="AD62" s="1740"/>
      <c r="AE62" s="1761"/>
      <c r="AF62" s="1690"/>
      <c r="AG62" s="1687"/>
      <c r="AH62" s="1717"/>
      <c r="AI62" s="1750"/>
      <c r="AJ62" s="1740"/>
      <c r="AK62" s="1740"/>
      <c r="AL62" s="1759"/>
      <c r="AM62" s="1750"/>
      <c r="AN62" s="1690"/>
      <c r="AO62" s="1687"/>
      <c r="AP62" s="1720"/>
      <c r="AQ62" s="1720"/>
      <c r="AR62" s="1720"/>
      <c r="AS62" s="1720"/>
      <c r="AT62" s="1740"/>
      <c r="AU62" s="1740"/>
      <c r="AV62" s="1740"/>
      <c r="AW62" s="1761"/>
      <c r="AX62" s="1690"/>
      <c r="AY62" s="1687"/>
      <c r="AZ62" s="1717"/>
      <c r="BA62" s="1751"/>
      <c r="BB62" s="1740"/>
      <c r="BC62" s="1740"/>
      <c r="BD62" s="1761"/>
      <c r="BE62" s="1751"/>
      <c r="BF62" s="1690"/>
      <c r="BG62" s="1687"/>
      <c r="BH62" s="1761"/>
      <c r="BI62" s="1690"/>
      <c r="BJ62" s="1687"/>
      <c r="BK62" s="1761"/>
      <c r="BL62" s="1690"/>
      <c r="BM62" s="1687"/>
      <c r="BN62" s="1761">
        <f>BO62+BP62</f>
        <v>5605.37</v>
      </c>
      <c r="BO62" s="1690">
        <v>5605.37</v>
      </c>
      <c r="BP62" s="1687">
        <v>0</v>
      </c>
      <c r="BQ62" s="1761">
        <f>BR62+BS62</f>
        <v>0</v>
      </c>
      <c r="BR62" s="1687">
        <f t="shared" ref="BR62:BS62" si="159">BS62+BT62</f>
        <v>0</v>
      </c>
      <c r="BS62" s="1687">
        <f t="shared" si="159"/>
        <v>0</v>
      </c>
      <c r="BT62" s="1788"/>
    </row>
    <row r="63" spans="1:72" ht="21" hidden="1" customHeight="1" x14ac:dyDescent="0.2">
      <c r="A63" s="1757" t="s">
        <v>1841</v>
      </c>
      <c r="B63" s="1737"/>
      <c r="C63" s="1738"/>
      <c r="D63" s="1746"/>
      <c r="E63" s="1738"/>
      <c r="F63" s="1738"/>
      <c r="G63" s="1738"/>
      <c r="H63" s="1746"/>
      <c r="I63" s="1739"/>
      <c r="J63" s="1739"/>
      <c r="K63" s="1739"/>
      <c r="L63" s="1739"/>
      <c r="M63" s="1739"/>
      <c r="N63" s="1742"/>
      <c r="O63" s="1739"/>
      <c r="P63" s="1742"/>
      <c r="Q63" s="1743"/>
      <c r="R63" s="1739"/>
      <c r="S63" s="1739"/>
      <c r="T63" s="1739"/>
      <c r="U63" s="1739"/>
      <c r="V63" s="1739"/>
      <c r="W63" s="1739"/>
      <c r="X63" s="1739"/>
      <c r="Y63" s="1740"/>
      <c r="Z63" s="1749"/>
      <c r="AA63" s="1740"/>
      <c r="AB63" s="1749"/>
      <c r="AC63" s="1740"/>
      <c r="AD63" s="1740"/>
      <c r="AE63" s="1761"/>
      <c r="AF63" s="1690"/>
      <c r="AG63" s="1687"/>
      <c r="AH63" s="1717"/>
      <c r="AI63" s="1750"/>
      <c r="AJ63" s="1740"/>
      <c r="AK63" s="1740"/>
      <c r="AL63" s="1759"/>
      <c r="AM63" s="1750"/>
      <c r="AN63" s="1690"/>
      <c r="AO63" s="1687"/>
      <c r="AP63" s="1720"/>
      <c r="AQ63" s="1720"/>
      <c r="AR63" s="1720"/>
      <c r="AS63" s="1720"/>
      <c r="AT63" s="1740"/>
      <c r="AU63" s="1740"/>
      <c r="AV63" s="1740"/>
      <c r="AW63" s="1761"/>
      <c r="AX63" s="1690"/>
      <c r="AY63" s="1687"/>
      <c r="AZ63" s="1717"/>
      <c r="BA63" s="1751"/>
      <c r="BB63" s="1740"/>
      <c r="BC63" s="1740"/>
      <c r="BD63" s="1761"/>
      <c r="BE63" s="1751"/>
      <c r="BF63" s="1690"/>
      <c r="BG63" s="1687"/>
      <c r="BH63" s="1761"/>
      <c r="BI63" s="1690"/>
      <c r="BJ63" s="1687"/>
      <c r="BK63" s="1761"/>
      <c r="BL63" s="1690"/>
      <c r="BM63" s="1687"/>
      <c r="BN63" s="1761">
        <f>BO63+BP63</f>
        <v>173239.27999999997</v>
      </c>
      <c r="BO63" s="1690">
        <f>BO61+BO62</f>
        <v>173139.98999999996</v>
      </c>
      <c r="BP63" s="1687">
        <f>BP61+BP62</f>
        <v>99.289999999999992</v>
      </c>
      <c r="BQ63" s="1761">
        <f>BR63+BS63</f>
        <v>147574.92935394892</v>
      </c>
      <c r="BR63" s="1761">
        <f>BR61+BR62</f>
        <v>147544.11811148544</v>
      </c>
      <c r="BS63" s="1761">
        <f>BS61+BS62</f>
        <v>30.811242463479257</v>
      </c>
      <c r="BT63" s="1788"/>
    </row>
    <row r="64" spans="1:72" ht="21" hidden="1" customHeight="1" x14ac:dyDescent="0.2">
      <c r="A64" s="1757" t="s">
        <v>13</v>
      </c>
      <c r="B64" s="1737">
        <f>объемы!B15</f>
        <v>5323.9</v>
      </c>
      <c r="C64" s="1738">
        <f>объемы!C15</f>
        <v>5023.2000000000007</v>
      </c>
      <c r="D64" s="1746">
        <f>C64/B64*100</f>
        <v>94.351884896410539</v>
      </c>
      <c r="E64" s="1738">
        <f>объемы!E15</f>
        <v>4902.7999999999993</v>
      </c>
      <c r="F64" s="1746">
        <f>E64/C64*100</f>
        <v>97.603121516164975</v>
      </c>
      <c r="G64" s="1738">
        <f>объемы!G15</f>
        <v>4524.3</v>
      </c>
      <c r="H64" s="1746">
        <f t="shared" si="9"/>
        <v>92.279921677408851</v>
      </c>
      <c r="I64" s="1739">
        <f>объемы!I15</f>
        <v>4645</v>
      </c>
      <c r="J64" s="1739">
        <f>объемы!J15</f>
        <v>0</v>
      </c>
      <c r="K64" s="1739">
        <f>объемы!L15</f>
        <v>3263.8</v>
      </c>
      <c r="L64" s="1739">
        <v>4431.5</v>
      </c>
      <c r="M64" s="1742">
        <f t="shared" si="10"/>
        <v>95.403659849300325</v>
      </c>
      <c r="N64" s="1742">
        <f t="shared" si="11"/>
        <v>97.948853966359422</v>
      </c>
      <c r="O64" s="1739">
        <f>объемы!M15</f>
        <v>4100</v>
      </c>
      <c r="P64" s="1742">
        <f t="shared" si="12"/>
        <v>88.266953713670617</v>
      </c>
      <c r="Q64" s="1743">
        <f>объемы!AZ15</f>
        <v>4405</v>
      </c>
      <c r="R64" s="1742">
        <f t="shared" si="21"/>
        <v>94.833153928955866</v>
      </c>
      <c r="S64" s="1742">
        <f t="shared" si="22"/>
        <v>99.402008349317384</v>
      </c>
      <c r="T64" s="1739">
        <f>объемы!AZ17+объемы!AZ19</f>
        <v>4350</v>
      </c>
      <c r="U64" s="1739">
        <f>объемы!AZ18</f>
        <v>55</v>
      </c>
      <c r="V64" s="1739" t="e">
        <f>объемы!#REF!</f>
        <v>#REF!</v>
      </c>
      <c r="W64" s="1739">
        <f>объемы!BB15-X64</f>
        <v>4181.7</v>
      </c>
      <c r="X64" s="1739">
        <f>объемы!BB18</f>
        <v>46</v>
      </c>
      <c r="Y64" s="1740">
        <f>объемы!E48</f>
        <v>4000</v>
      </c>
      <c r="Z64" s="1749">
        <f t="shared" si="13"/>
        <v>0.90805902383654935</v>
      </c>
      <c r="AA64" s="1740">
        <f>объемы!G48</f>
        <v>4052.2</v>
      </c>
      <c r="AB64" s="1749">
        <f t="shared" si="153"/>
        <v>0.91990919409761629</v>
      </c>
      <c r="AC64" s="1740">
        <f>объемы!G49+объемы!G51</f>
        <v>4006.2</v>
      </c>
      <c r="AD64" s="1740">
        <f>объемы!G50</f>
        <v>46</v>
      </c>
      <c r="AE64" s="1759">
        <f>SUM(AF64+AG64)</f>
        <v>4039</v>
      </c>
      <c r="AF64" s="1690">
        <f>SUM(объемы!K48-объемы!K50)</f>
        <v>3989.2</v>
      </c>
      <c r="AG64" s="1687">
        <f>SUM(объемы!K50)</f>
        <v>49.8</v>
      </c>
      <c r="AH64" s="1717">
        <f t="shared" si="15"/>
        <v>4052.4</v>
      </c>
      <c r="AI64" s="1750">
        <f t="shared" si="16"/>
        <v>1.0000493559054342</v>
      </c>
      <c r="AJ64" s="1740">
        <v>4006.27</v>
      </c>
      <c r="AK64" s="1740">
        <v>46.13</v>
      </c>
      <c r="AL64" s="1759">
        <f t="shared" si="17"/>
        <v>4052.4</v>
      </c>
      <c r="AM64" s="1750">
        <f t="shared" si="18"/>
        <v>1.0000493559054342</v>
      </c>
      <c r="AN64" s="1690">
        <f>SUM(объемы!M48-объемы!M50)</f>
        <v>4006.27</v>
      </c>
      <c r="AO64" s="1687">
        <f>SUM(объемы!M45)</f>
        <v>46.13</v>
      </c>
      <c r="AP64" s="1720">
        <f>объемы!G48-объемы!E48</f>
        <v>52.199999999999818</v>
      </c>
      <c r="AQ64" s="1720">
        <f>AP64-AR64</f>
        <v>31.199999999999818</v>
      </c>
      <c r="AR64" s="1720">
        <f>объемы!G50-объемы!E50</f>
        <v>21</v>
      </c>
      <c r="AS64" s="1720">
        <f t="shared" si="112"/>
        <v>52.199999999999818</v>
      </c>
      <c r="AT64" s="1740">
        <f>SUM(AU64:AV64)</f>
        <v>1990.48</v>
      </c>
      <c r="AU64" s="1740">
        <f>SUM(объемы!P48-объемы!P50)</f>
        <v>1976.78</v>
      </c>
      <c r="AV64" s="1740">
        <f>объемы!Q48</f>
        <v>13.7</v>
      </c>
      <c r="AW64" s="1761">
        <f>SUM(AX64:AY64)</f>
        <v>3780.42</v>
      </c>
      <c r="AX64" s="1690">
        <f>объемы!R48</f>
        <v>3762.2000000000003</v>
      </c>
      <c r="AY64" s="1687">
        <v>18.22</v>
      </c>
      <c r="AZ64" s="1717">
        <f>SUM(BB64+BC64)</f>
        <v>4010.6369999999997</v>
      </c>
      <c r="BA64" s="1751">
        <f t="shared" si="26"/>
        <v>0.98969425525614441</v>
      </c>
      <c r="BB64" s="1740">
        <f>SUM(объемы!T48-объемы!T50)</f>
        <v>3989.2169999999996</v>
      </c>
      <c r="BC64" s="1740">
        <f>SUM(объемы!T50)</f>
        <v>21.42</v>
      </c>
      <c r="BD64" s="1759">
        <f>SUM(BF64+BG64)</f>
        <v>4010.6370000000002</v>
      </c>
      <c r="BE64" s="1751">
        <f t="shared" si="27"/>
        <v>0.98969425525614452</v>
      </c>
      <c r="BF64" s="1690">
        <f>SUM(объемы!AA48-объемы!AA50)</f>
        <v>3989.2170000000001</v>
      </c>
      <c r="BG64" s="1687">
        <f>объемы!AB48</f>
        <v>21.42</v>
      </c>
      <c r="BH64" s="1694">
        <f t="shared" ref="BH64" si="160">BI64+BJ64</f>
        <v>3568.7400000000002</v>
      </c>
      <c r="BI64" s="1690">
        <v>3566.34</v>
      </c>
      <c r="BJ64" s="1687">
        <v>2.4</v>
      </c>
      <c r="BK64" s="1694">
        <f t="shared" ref="BK64" si="161">BL64+BM64</f>
        <v>3657.57</v>
      </c>
      <c r="BL64" s="1690">
        <v>3655.8</v>
      </c>
      <c r="BM64" s="1687">
        <v>1.77</v>
      </c>
      <c r="BN64" s="1761">
        <f t="shared" ref="BN64" si="162">BO64+BP64</f>
        <v>3605</v>
      </c>
      <c r="BO64" s="1690">
        <v>3600</v>
      </c>
      <c r="BP64" s="1687">
        <v>5</v>
      </c>
      <c r="BQ64" s="1761">
        <f t="shared" ref="BQ64" si="163">BR64+BS64</f>
        <v>3662.3949233333333</v>
      </c>
      <c r="BR64" s="1687">
        <f>объемы!AX48</f>
        <v>3660.6249233333333</v>
      </c>
      <c r="BS64" s="1687">
        <f>объемы!AY43</f>
        <v>1.77</v>
      </c>
      <c r="BT64" s="1788"/>
    </row>
    <row r="65" spans="1:72" ht="21" hidden="1" customHeight="1" x14ac:dyDescent="0.2">
      <c r="A65" s="1757" t="s">
        <v>14</v>
      </c>
      <c r="B65" s="1752" t="e">
        <f>B61/B64</f>
        <v>#REF!</v>
      </c>
      <c r="C65" s="1752" t="e">
        <f>C61/C64</f>
        <v>#REF!</v>
      </c>
      <c r="D65" s="1746" t="e">
        <f>C65/B65*100</f>
        <v>#REF!</v>
      </c>
      <c r="E65" s="1752">
        <f>E61/E64</f>
        <v>18.736415925593541</v>
      </c>
      <c r="F65" s="1752" t="e">
        <f>F61/F64</f>
        <v>#REF!</v>
      </c>
      <c r="G65" s="1752">
        <f>G61/G64</f>
        <v>23.49388855734589</v>
      </c>
      <c r="H65" s="1746">
        <f t="shared" si="9"/>
        <v>125.39158316427927</v>
      </c>
      <c r="I65" s="1739" t="e">
        <f>#REF!/#REF!</f>
        <v>#REF!</v>
      </c>
      <c r="J65" s="1739" t="e">
        <f>J61/J64</f>
        <v>#REF!</v>
      </c>
      <c r="K65" s="1739">
        <f>K61/K64</f>
        <v>23.901069486011327</v>
      </c>
      <c r="L65" s="1739">
        <f>L61/L64</f>
        <v>25.40880063184024</v>
      </c>
      <c r="M65" s="1742" t="e">
        <f t="shared" si="10"/>
        <v>#REF!</v>
      </c>
      <c r="N65" s="1742">
        <f t="shared" si="11"/>
        <v>108.1506816967326</v>
      </c>
      <c r="O65" s="1739">
        <f>O61/O64</f>
        <v>32.084302926967361</v>
      </c>
      <c r="P65" s="1742" t="e">
        <f t="shared" si="12"/>
        <v>#REF!</v>
      </c>
      <c r="Q65" s="1743" t="e">
        <f>Q61/Q64</f>
        <v>#REF!</v>
      </c>
      <c r="R65" s="1742" t="e">
        <f t="shared" si="21"/>
        <v>#REF!</v>
      </c>
      <c r="S65" s="1742" t="e">
        <f t="shared" si="22"/>
        <v>#REF!</v>
      </c>
      <c r="T65" s="1739" t="e">
        <f t="shared" ref="T65:Y65" si="164">T61/T64</f>
        <v>#REF!</v>
      </c>
      <c r="U65" s="1739" t="e">
        <f t="shared" si="164"/>
        <v>#REF!</v>
      </c>
      <c r="V65" s="1739" t="e">
        <f t="shared" si="164"/>
        <v>#REF!</v>
      </c>
      <c r="W65" s="1739">
        <f t="shared" si="164"/>
        <v>17.250598336061639</v>
      </c>
      <c r="X65" s="1739">
        <f t="shared" si="164"/>
        <v>5.59875952371838</v>
      </c>
      <c r="Y65" s="1740">
        <f t="shared" si="164"/>
        <v>34.698300000000003</v>
      </c>
      <c r="Z65" s="1749" t="e">
        <f t="shared" si="13"/>
        <v>#REF!</v>
      </c>
      <c r="AA65" s="1740">
        <f>AA61/AA64</f>
        <v>26.815219759369789</v>
      </c>
      <c r="AB65" s="1749" t="e">
        <f t="shared" si="153"/>
        <v>#REF!</v>
      </c>
      <c r="AC65" s="1740">
        <f t="shared" ref="AC65:AH65" si="165">AC61/AC64</f>
        <v>26.916724651629302</v>
      </c>
      <c r="AD65" s="1740">
        <f t="shared" si="165"/>
        <v>17.971436221349212</v>
      </c>
      <c r="AE65" s="1761">
        <f t="shared" si="165"/>
        <v>28.056456893067594</v>
      </c>
      <c r="AF65" s="1690">
        <f t="shared" si="165"/>
        <v>28.205017254103591</v>
      </c>
      <c r="AG65" s="1687">
        <f t="shared" si="165"/>
        <v>16.156115683332491</v>
      </c>
      <c r="AH65" s="1740">
        <f t="shared" si="165"/>
        <v>29.999857943440922</v>
      </c>
      <c r="AI65" s="1750">
        <f t="shared" si="16"/>
        <v>1.1187623376816949</v>
      </c>
      <c r="AJ65" s="1740">
        <f>AJ61/AJ64</f>
        <v>30.147115478986688</v>
      </c>
      <c r="AK65" s="1740">
        <f>AK61/AK64</f>
        <v>17.210925644916539</v>
      </c>
      <c r="AL65" s="1761">
        <f>AL61/AL64</f>
        <v>28.088032769568663</v>
      </c>
      <c r="AM65" s="1750">
        <f t="shared" si="18"/>
        <v>1.0474660667195959</v>
      </c>
      <c r="AN65" s="1690">
        <f>AN61/AN64</f>
        <v>28.219197186774693</v>
      </c>
      <c r="AO65" s="1687">
        <f>AO61/AO64</f>
        <v>16.696745760680756</v>
      </c>
      <c r="AP65" s="1720">
        <f t="shared" si="19"/>
        <v>-7.8830802406302141</v>
      </c>
      <c r="AQ65" s="1720">
        <f t="shared" ref="AQ65" si="166">AP65*AC65/AA65</f>
        <v>-7.9129204290634512</v>
      </c>
      <c r="AR65" s="1720">
        <f t="shared" si="20"/>
        <v>2.9840188433237103E-2</v>
      </c>
      <c r="AS65" s="1720">
        <f t="shared" si="112"/>
        <v>-7.8830802406302141</v>
      </c>
      <c r="AT65" s="1740">
        <f t="shared" ref="AT65:AZ65" si="167">AT61/AT64</f>
        <v>28.472176098930909</v>
      </c>
      <c r="AU65" s="1740">
        <f t="shared" si="167"/>
        <v>28.563201351485883</v>
      </c>
      <c r="AV65" s="1740">
        <f t="shared" si="167"/>
        <v>15.338095898520834</v>
      </c>
      <c r="AW65" s="1761">
        <f t="shared" si="167"/>
        <v>30.741139873347407</v>
      </c>
      <c r="AX65" s="1690">
        <f t="shared" si="167"/>
        <v>30.808210621444896</v>
      </c>
      <c r="AY65" s="1687">
        <f t="shared" si="167"/>
        <v>16.891877058177826</v>
      </c>
      <c r="AZ65" s="1740">
        <f t="shared" si="167"/>
        <v>33.703630440999497</v>
      </c>
      <c r="BA65" s="1751">
        <f t="shared" si="26"/>
        <v>1.1999284790608378</v>
      </c>
      <c r="BB65" s="1740">
        <f>BB61/BB64</f>
        <v>33.77847126657263</v>
      </c>
      <c r="BC65" s="1740">
        <f>BC61/BC64</f>
        <v>19.765428122119772</v>
      </c>
      <c r="BD65" s="1761">
        <f>BD61/BD64</f>
        <v>30.050162815403326</v>
      </c>
      <c r="BE65" s="1751">
        <f t="shared" si="27"/>
        <v>1.0698564424903578</v>
      </c>
      <c r="BF65" s="1690">
        <f t="shared" ref="BF65:BM65" si="168">BF61/BF64</f>
        <v>30.125249119885538</v>
      </c>
      <c r="BG65" s="1687">
        <f t="shared" si="168"/>
        <v>16.066243006456386</v>
      </c>
      <c r="BH65" s="1761">
        <f t="shared" si="168"/>
        <v>33.787241435352527</v>
      </c>
      <c r="BI65" s="1690">
        <f t="shared" si="168"/>
        <v>33.798216098296848</v>
      </c>
      <c r="BJ65" s="1687">
        <f t="shared" si="168"/>
        <v>17.479166666666668</v>
      </c>
      <c r="BK65" s="1761">
        <f t="shared" si="168"/>
        <v>36.88005971177585</v>
      </c>
      <c r="BL65" s="1690">
        <f t="shared" si="168"/>
        <v>36.889955686853767</v>
      </c>
      <c r="BM65" s="1687">
        <f t="shared" si="168"/>
        <v>16.440677966101696</v>
      </c>
      <c r="BN65" s="1761">
        <f>BN63/BN64</f>
        <v>48.055278779472943</v>
      </c>
      <c r="BO65" s="1761">
        <f t="shared" ref="BO65:BP65" si="169">BO63/BO64</f>
        <v>48.094441666666654</v>
      </c>
      <c r="BP65" s="1761">
        <f t="shared" si="169"/>
        <v>19.857999999999997</v>
      </c>
      <c r="BQ65" s="1761">
        <f>BQ63/BQ64</f>
        <v>40.294652117864288</v>
      </c>
      <c r="BR65" s="1761">
        <f>BR63/BR64</f>
        <v>40.305718614059224</v>
      </c>
      <c r="BS65" s="1761">
        <f t="shared" ref="BS65" si="170">BS63/BS64</f>
        <v>17.407481617784892</v>
      </c>
      <c r="BT65" s="1793"/>
    </row>
    <row r="66" spans="1:72" ht="21" hidden="1" customHeight="1" x14ac:dyDescent="0.2">
      <c r="A66" s="1673" t="s">
        <v>430</v>
      </c>
      <c r="B66" s="1753"/>
      <c r="C66" s="1753"/>
      <c r="D66" s="1753"/>
      <c r="E66" s="1753"/>
      <c r="F66" s="1746"/>
      <c r="G66" s="1746"/>
      <c r="H66" s="1746"/>
      <c r="I66" s="1739">
        <v>0</v>
      </c>
      <c r="J66" s="1754"/>
      <c r="K66" s="1754"/>
      <c r="L66" s="1754"/>
      <c r="M66" s="1742" t="e">
        <f t="shared" si="10"/>
        <v>#DIV/0!</v>
      </c>
      <c r="N66" s="1742"/>
      <c r="O66" s="1739"/>
      <c r="P66" s="1742"/>
      <c r="Q66" s="1743">
        <f>T66+U66</f>
        <v>129.11000000000001</v>
      </c>
      <c r="R66" s="1742"/>
      <c r="S66" s="1742"/>
      <c r="T66" s="1739">
        <v>4.16</v>
      </c>
      <c r="U66" s="1739">
        <v>124.95</v>
      </c>
      <c r="V66" s="1739">
        <v>0</v>
      </c>
      <c r="W66" s="1739"/>
      <c r="X66" s="1739"/>
      <c r="Y66" s="1740">
        <f>E104</f>
        <v>0</v>
      </c>
      <c r="Z66" s="1749">
        <f t="shared" si="13"/>
        <v>0</v>
      </c>
      <c r="AA66" s="1740">
        <f>AC66+AD66</f>
        <v>0</v>
      </c>
      <c r="AB66" s="1749">
        <f t="shared" si="153"/>
        <v>0</v>
      </c>
      <c r="AC66" s="1740">
        <f>G97</f>
        <v>0</v>
      </c>
      <c r="AD66" s="1740">
        <v>0</v>
      </c>
      <c r="AE66" s="1761">
        <v>0</v>
      </c>
      <c r="AF66" s="1690">
        <v>0</v>
      </c>
      <c r="AG66" s="1687">
        <v>0</v>
      </c>
      <c r="AH66" s="1717">
        <f t="shared" si="15"/>
        <v>6078.58</v>
      </c>
      <c r="AI66" s="1750"/>
      <c r="AJ66" s="1740">
        <v>6038.88</v>
      </c>
      <c r="AK66" s="1740">
        <v>39.700000000000003</v>
      </c>
      <c r="AL66" s="1759">
        <f t="shared" si="17"/>
        <v>5751.197199770003</v>
      </c>
      <c r="AM66" s="1750"/>
      <c r="AN66" s="1690">
        <f>AN61*0.05</f>
        <v>5652.6861556729928</v>
      </c>
      <c r="AO66" s="1687">
        <f>AO61*0.05+60</f>
        <v>98.511044097010171</v>
      </c>
      <c r="AP66" s="1720">
        <f t="shared" si="19"/>
        <v>0</v>
      </c>
      <c r="AQ66" s="1720">
        <f>AP66</f>
        <v>0</v>
      </c>
      <c r="AR66" s="1720">
        <f t="shared" si="20"/>
        <v>0</v>
      </c>
      <c r="AS66" s="1720">
        <f t="shared" si="112"/>
        <v>0</v>
      </c>
      <c r="AT66" s="1740">
        <v>0</v>
      </c>
      <c r="AU66" s="1740">
        <f>Y97</f>
        <v>0</v>
      </c>
      <c r="AV66" s="1740">
        <v>0</v>
      </c>
      <c r="AW66" s="1761">
        <f>AY66+BW66</f>
        <v>0</v>
      </c>
      <c r="AX66" s="1690">
        <f>AB97</f>
        <v>0</v>
      </c>
      <c r="AY66" s="1687">
        <v>0</v>
      </c>
      <c r="AZ66" s="1717">
        <f t="shared" ref="AZ66" si="171">SUM(BB66+BC66)</f>
        <v>6800.9889110875247</v>
      </c>
      <c r="BA66" s="1751">
        <f t="shared" si="26"/>
        <v>1.182534466277648</v>
      </c>
      <c r="BB66" s="1740">
        <f>SUM(BB61*0.05)</f>
        <v>6737.4825905311536</v>
      </c>
      <c r="BC66" s="1740">
        <f>SUM(BC61*0.15)</f>
        <v>63.506320556370831</v>
      </c>
      <c r="BD66" s="1759">
        <f t="shared" ref="BD66" si="172">SUM(BF66+BG66)</f>
        <v>6008.8077959141219</v>
      </c>
      <c r="BE66" s="1751">
        <f t="shared" si="27"/>
        <v>1.0447925166180045</v>
      </c>
      <c r="BF66" s="1690">
        <f>SUM(BF61*0.05)</f>
        <v>6008.8077959141219</v>
      </c>
      <c r="BG66" s="1687">
        <v>0</v>
      </c>
      <c r="BH66" s="1759">
        <v>0</v>
      </c>
      <c r="BI66" s="1690">
        <v>0</v>
      </c>
      <c r="BJ66" s="1687">
        <v>0</v>
      </c>
      <c r="BK66" s="1759">
        <v>0</v>
      </c>
      <c r="BL66" s="1690">
        <v>0</v>
      </c>
      <c r="BM66" s="1687">
        <v>0</v>
      </c>
      <c r="BN66" s="1759">
        <v>0</v>
      </c>
      <c r="BO66" s="1690">
        <v>0</v>
      </c>
      <c r="BP66" s="1687">
        <v>0</v>
      </c>
      <c r="BQ66" s="1759">
        <v>0</v>
      </c>
      <c r="BR66" s="1687">
        <v>0</v>
      </c>
      <c r="BS66" s="1687">
        <v>0</v>
      </c>
      <c r="BT66" s="1794">
        <v>0.05</v>
      </c>
    </row>
    <row r="67" spans="1:72" ht="21" hidden="1" customHeight="1" x14ac:dyDescent="0.2">
      <c r="A67" s="1673" t="s">
        <v>538</v>
      </c>
      <c r="B67" s="1753"/>
      <c r="C67" s="1753"/>
      <c r="D67" s="1753"/>
      <c r="E67" s="1753"/>
      <c r="F67" s="1746"/>
      <c r="G67" s="1746"/>
      <c r="H67" s="1746"/>
      <c r="I67" s="1739"/>
      <c r="J67" s="1754"/>
      <c r="K67" s="1754"/>
      <c r="L67" s="1754"/>
      <c r="M67" s="1742"/>
      <c r="N67" s="1742"/>
      <c r="O67" s="1739"/>
      <c r="P67" s="1742"/>
      <c r="Q67" s="1743"/>
      <c r="R67" s="1742"/>
      <c r="S67" s="1742"/>
      <c r="T67" s="1739"/>
      <c r="U67" s="1739"/>
      <c r="V67" s="1739"/>
      <c r="W67" s="1739"/>
      <c r="X67" s="1739"/>
      <c r="Y67" s="1717">
        <f>SUM(Y61+Y66)</f>
        <v>138793.20000000001</v>
      </c>
      <c r="Z67" s="1749"/>
      <c r="AA67" s="1717">
        <f>SUM(AA61+AA66)</f>
        <v>108660.63350891825</v>
      </c>
      <c r="AB67" s="1749"/>
      <c r="AC67" s="1717">
        <f t="shared" ref="AC67:AH67" si="173">SUM(AC61+AC66)</f>
        <v>107833.78229935731</v>
      </c>
      <c r="AD67" s="1717">
        <f t="shared" si="173"/>
        <v>826.68606618206377</v>
      </c>
      <c r="AE67" s="1759">
        <f t="shared" si="173"/>
        <v>113320.02939110002</v>
      </c>
      <c r="AF67" s="1762">
        <f t="shared" si="173"/>
        <v>112515.45483007004</v>
      </c>
      <c r="AG67" s="1763">
        <f t="shared" si="173"/>
        <v>804.57456102995798</v>
      </c>
      <c r="AH67" s="1717">
        <f t="shared" si="173"/>
        <v>127650.00433</v>
      </c>
      <c r="AI67" s="1750">
        <f t="shared" si="16"/>
        <v>1.1747585138045713</v>
      </c>
      <c r="AJ67" s="1717">
        <f>SUM(AJ61+AJ66)</f>
        <v>126816.36433</v>
      </c>
      <c r="AK67" s="1717">
        <f>SUM(AK61+AK66)</f>
        <v>833.64</v>
      </c>
      <c r="AL67" s="1759">
        <f>SUM(AL61+AL66)</f>
        <v>119575.14119517006</v>
      </c>
      <c r="AM67" s="1750">
        <f t="shared" si="18"/>
        <v>1.1004458315196184</v>
      </c>
      <c r="AN67" s="1762">
        <f>SUM(AN61+AN66)</f>
        <v>118706.40926913286</v>
      </c>
      <c r="AO67" s="1763">
        <f>SUM(AO61+AO66)</f>
        <v>868.7319260372135</v>
      </c>
      <c r="AP67" s="1720"/>
      <c r="AQ67" s="1720"/>
      <c r="AR67" s="1720"/>
      <c r="AS67" s="1720"/>
      <c r="AT67" s="1717">
        <f t="shared" ref="AT67:AZ67" si="174">SUM(AT61+AT66)</f>
        <v>56673.297081399993</v>
      </c>
      <c r="AU67" s="1717">
        <f t="shared" si="174"/>
        <v>56463.165167590261</v>
      </c>
      <c r="AV67" s="1717">
        <f t="shared" si="174"/>
        <v>210.13191380973541</v>
      </c>
      <c r="AW67" s="1759">
        <f t="shared" si="174"/>
        <v>116214.42000000001</v>
      </c>
      <c r="AX67" s="1762">
        <f t="shared" si="174"/>
        <v>115906.65</v>
      </c>
      <c r="AY67" s="1763">
        <f t="shared" si="174"/>
        <v>307.77</v>
      </c>
      <c r="AZ67" s="1717">
        <f t="shared" si="174"/>
        <v>141974.01619208642</v>
      </c>
      <c r="BA67" s="1751">
        <f t="shared" si="26"/>
        <v>1.1873204979984677</v>
      </c>
      <c r="BB67" s="1717">
        <f>SUM(BB61+BB66)</f>
        <v>141487.13440115421</v>
      </c>
      <c r="BC67" s="1717">
        <f>SUM(BC61+BC66)</f>
        <v>486.88179093217639</v>
      </c>
      <c r="BD67" s="1759">
        <f>SUM(BD61+BD66)</f>
        <v>126529.10263939487</v>
      </c>
      <c r="BE67" s="1751">
        <f t="shared" si="27"/>
        <v>1.0581555779463776</v>
      </c>
      <c r="BF67" s="1762">
        <f t="shared" ref="BF67:BM67" si="175">SUM(BF61+BF66)</f>
        <v>126184.96371419655</v>
      </c>
      <c r="BG67" s="1763">
        <f t="shared" si="175"/>
        <v>344.13892519829579</v>
      </c>
      <c r="BH67" s="1759">
        <f t="shared" si="175"/>
        <v>120577.87999999999</v>
      </c>
      <c r="BI67" s="1762">
        <f t="shared" si="175"/>
        <v>120535.92999999998</v>
      </c>
      <c r="BJ67" s="1763">
        <f t="shared" si="175"/>
        <v>41.95</v>
      </c>
      <c r="BK67" s="1759">
        <f t="shared" si="175"/>
        <v>134891.4</v>
      </c>
      <c r="BL67" s="1762">
        <f t="shared" si="175"/>
        <v>134862.30000000002</v>
      </c>
      <c r="BM67" s="1763">
        <f t="shared" si="175"/>
        <v>29.1</v>
      </c>
      <c r="BN67" s="1759">
        <f>BN63+BN66</f>
        <v>173239.27999999997</v>
      </c>
      <c r="BO67" s="1759">
        <f t="shared" ref="BO67:BP67" si="176">BO63+BO66</f>
        <v>173139.98999999996</v>
      </c>
      <c r="BP67" s="1759">
        <f t="shared" si="176"/>
        <v>99.289999999999992</v>
      </c>
      <c r="BQ67" s="1759">
        <f>BQ63+BQ66</f>
        <v>147574.92935394892</v>
      </c>
      <c r="BR67" s="1759">
        <f>BR63+BR66</f>
        <v>147544.11811148544</v>
      </c>
      <c r="BS67" s="1759">
        <f t="shared" ref="BS67" si="177">BS63+BS66</f>
        <v>30.811242463479257</v>
      </c>
      <c r="BT67" s="1788"/>
    </row>
    <row r="68" spans="1:72" ht="21" hidden="1" customHeight="1" x14ac:dyDescent="0.2">
      <c r="A68" s="1757" t="s">
        <v>70</v>
      </c>
      <c r="B68" s="1753"/>
      <c r="C68" s="1753"/>
      <c r="D68" s="1753"/>
      <c r="E68" s="1753"/>
      <c r="F68" s="1746"/>
      <c r="G68" s="1746"/>
      <c r="H68" s="1746"/>
      <c r="I68" s="1739" t="e">
        <f>(#REF!+I66)/#REF!</f>
        <v>#REF!</v>
      </c>
      <c r="J68" s="1754"/>
      <c r="K68" s="1754"/>
      <c r="L68" s="1754"/>
      <c r="M68" s="1742" t="e">
        <f>L68/I68*100</f>
        <v>#REF!</v>
      </c>
      <c r="N68" s="1742"/>
      <c r="O68" s="1739">
        <f>(O61+O66)/O64</f>
        <v>32.084302926967361</v>
      </c>
      <c r="P68" s="1742" t="e">
        <f t="shared" si="12"/>
        <v>#REF!</v>
      </c>
      <c r="Q68" s="1743" t="e">
        <f>(Q61+Q66)/Q64</f>
        <v>#REF!</v>
      </c>
      <c r="R68" s="1742" t="e">
        <f t="shared" si="21"/>
        <v>#REF!</v>
      </c>
      <c r="S68" s="1742"/>
      <c r="T68" s="1739" t="e">
        <f>T65</f>
        <v>#REF!</v>
      </c>
      <c r="U68" s="1739" t="e">
        <f>(U61+U66)/U64</f>
        <v>#REF!</v>
      </c>
      <c r="V68" s="1739" t="e">
        <f>(V61+V66)/V64</f>
        <v>#REF!</v>
      </c>
      <c r="W68" s="1739">
        <f>(W61+W66)/W64</f>
        <v>17.250598336061639</v>
      </c>
      <c r="X68" s="1739">
        <f>(X61+X66)/X64</f>
        <v>5.59875952371838</v>
      </c>
      <c r="Y68" s="1740">
        <f>(Y61+Y66)/Y64</f>
        <v>34.698300000000003</v>
      </c>
      <c r="Z68" s="1749" t="e">
        <f t="shared" si="13"/>
        <v>#REF!</v>
      </c>
      <c r="AA68" s="1740">
        <f>(AA61+AA66)/AA64</f>
        <v>26.815219759369789</v>
      </c>
      <c r="AB68" s="1749" t="e">
        <f t="shared" si="153"/>
        <v>#REF!</v>
      </c>
      <c r="AC68" s="1740">
        <f>AC65</f>
        <v>26.916724651629302</v>
      </c>
      <c r="AD68" s="1740">
        <f>(AD61+AD66)/AD64</f>
        <v>17.971436221349212</v>
      </c>
      <c r="AE68" s="1761">
        <f>(AE61+AE66)/AE64</f>
        <v>28.056456893067594</v>
      </c>
      <c r="AF68" s="1690">
        <f>AF65</f>
        <v>28.205017254103591</v>
      </c>
      <c r="AG68" s="1687">
        <f>(AG61+AG66)/AG64</f>
        <v>16.156115683332491</v>
      </c>
      <c r="AH68" s="1740">
        <f>(AH61+AH66)/AH64</f>
        <v>31.499853008093968</v>
      </c>
      <c r="AI68" s="1750">
        <f t="shared" si="16"/>
        <v>1.1747005353960327</v>
      </c>
      <c r="AJ68" s="1740">
        <f>(AJ61+AJ66)/AJ64</f>
        <v>31.654472696548162</v>
      </c>
      <c r="AK68" s="1740">
        <f>(AK61+AK66)/AK64</f>
        <v>18.071536960763058</v>
      </c>
      <c r="AL68" s="1761">
        <f>(AL61+AL66)/AL64</f>
        <v>29.507240448911769</v>
      </c>
      <c r="AM68" s="1750">
        <f t="shared" si="18"/>
        <v>1.1003915206997821</v>
      </c>
      <c r="AN68" s="1690">
        <f>(AN61+AN66)/AN64</f>
        <v>29.630157046113432</v>
      </c>
      <c r="AO68" s="1687">
        <f>(AO61+AO66)/AO64</f>
        <v>18.832255062588629</v>
      </c>
      <c r="AP68" s="1720">
        <f t="shared" si="19"/>
        <v>-7.8830802406302141</v>
      </c>
      <c r="AQ68" s="1720">
        <f>AP68</f>
        <v>-7.8830802406302141</v>
      </c>
      <c r="AR68" s="1720">
        <f t="shared" si="20"/>
        <v>0</v>
      </c>
      <c r="AS68" s="1720">
        <f t="shared" si="112"/>
        <v>-7.8830802406302141</v>
      </c>
      <c r="AT68" s="1740">
        <f>(AT61+AT66)/AT64</f>
        <v>28.472176098930909</v>
      </c>
      <c r="AU68" s="1740">
        <f>AU65</f>
        <v>28.563201351485883</v>
      </c>
      <c r="AV68" s="1740">
        <f>(AV61+AV66)/AV64</f>
        <v>15.338095898520834</v>
      </c>
      <c r="AW68" s="1761">
        <f>(AW61+AW66)/AW64</f>
        <v>30.741139873347407</v>
      </c>
      <c r="AX68" s="1690">
        <f>AX65</f>
        <v>30.808210621444896</v>
      </c>
      <c r="AY68" s="1687">
        <f>(AY61+AY66)/AY64</f>
        <v>16.891877058177826</v>
      </c>
      <c r="AZ68" s="1740">
        <f>(AZ61+AZ66)/AZ64</f>
        <v>35.399368277928524</v>
      </c>
      <c r="BA68" s="1751">
        <f t="shared" si="26"/>
        <v>1.1996841364823072</v>
      </c>
      <c r="BB68" s="1740">
        <f>(BB61+BB66)/BB64</f>
        <v>35.467394829901259</v>
      </c>
      <c r="BC68" s="1740">
        <f>(BC61+BC66)/BC64</f>
        <v>22.730242340437737</v>
      </c>
      <c r="BD68" s="1761">
        <f>(BD61+BD66)/BD64</f>
        <v>31.548380628661945</v>
      </c>
      <c r="BE68" s="1751">
        <f t="shared" si="27"/>
        <v>1.0691742144875989</v>
      </c>
      <c r="BF68" s="1690">
        <f t="shared" ref="BF68:BM68" si="178">(BF61+BF66)/BF64</f>
        <v>31.631511575879816</v>
      </c>
      <c r="BG68" s="1687">
        <f t="shared" si="178"/>
        <v>16.066243006456386</v>
      </c>
      <c r="BH68" s="1761">
        <f t="shared" si="178"/>
        <v>33.787241435352527</v>
      </c>
      <c r="BI68" s="1690">
        <f t="shared" si="178"/>
        <v>33.798216098296848</v>
      </c>
      <c r="BJ68" s="1687">
        <f t="shared" si="178"/>
        <v>17.479166666666668</v>
      </c>
      <c r="BK68" s="1761">
        <f t="shared" si="178"/>
        <v>36.88005971177585</v>
      </c>
      <c r="BL68" s="1690">
        <f t="shared" si="178"/>
        <v>36.889955686853767</v>
      </c>
      <c r="BM68" s="1687">
        <f t="shared" si="178"/>
        <v>16.440677966101696</v>
      </c>
      <c r="BN68" s="1761">
        <f>BN67/BN64</f>
        <v>48.055278779472943</v>
      </c>
      <c r="BO68" s="1761">
        <f t="shared" ref="BO68:BP68" si="179">BO67/BO64</f>
        <v>48.094441666666654</v>
      </c>
      <c r="BP68" s="1761">
        <f t="shared" si="179"/>
        <v>19.857999999999997</v>
      </c>
      <c r="BQ68" s="1761">
        <f>BQ67/BQ64</f>
        <v>40.294652117864288</v>
      </c>
      <c r="BR68" s="1761">
        <f t="shared" ref="BR68:BS68" si="180">BR67/BR64</f>
        <v>40.305718614059224</v>
      </c>
      <c r="BS68" s="1761">
        <f t="shared" si="180"/>
        <v>17.407481617784892</v>
      </c>
      <c r="BT68" s="1788"/>
    </row>
    <row r="69" spans="1:72" ht="21" hidden="1" customHeight="1" x14ac:dyDescent="0.2">
      <c r="A69" s="1757" t="s">
        <v>320</v>
      </c>
      <c r="B69" s="1753"/>
      <c r="C69" s="1753"/>
      <c r="D69" s="1753"/>
      <c r="E69" s="1753"/>
      <c r="F69" s="1746"/>
      <c r="G69" s="1746"/>
      <c r="H69" s="1746"/>
      <c r="I69" s="1739"/>
      <c r="J69" s="1754"/>
      <c r="K69" s="1754"/>
      <c r="L69" s="1754"/>
      <c r="M69" s="1742"/>
      <c r="N69" s="1742"/>
      <c r="O69" s="1739"/>
      <c r="P69" s="1742"/>
      <c r="Q69" s="1743"/>
      <c r="R69" s="1742"/>
      <c r="S69" s="1742"/>
      <c r="T69" s="1739"/>
      <c r="U69" s="1739"/>
      <c r="V69" s="1739"/>
      <c r="W69" s="1739"/>
      <c r="X69" s="1739"/>
      <c r="Y69" s="1740">
        <v>4665</v>
      </c>
      <c r="Z69" s="1749"/>
      <c r="AA69" s="1740">
        <f>AC69+AD69</f>
        <v>4665</v>
      </c>
      <c r="AB69" s="1749"/>
      <c r="AC69" s="1740">
        <f>4665</f>
        <v>4665</v>
      </c>
      <c r="AD69" s="1740">
        <v>0</v>
      </c>
      <c r="AE69" s="1761">
        <f>AF69</f>
        <v>824.7</v>
      </c>
      <c r="AF69" s="1690">
        <f>'кап влож'!N16</f>
        <v>824.7</v>
      </c>
      <c r="AG69" s="1687">
        <v>0</v>
      </c>
      <c r="AH69" s="1717">
        <f t="shared" si="15"/>
        <v>4274</v>
      </c>
      <c r="AI69" s="1750">
        <f t="shared" si="16"/>
        <v>0.91618435155412647</v>
      </c>
      <c r="AJ69" s="1740">
        <v>4274</v>
      </c>
      <c r="AK69" s="1740">
        <v>0</v>
      </c>
      <c r="AL69" s="1759">
        <f t="shared" si="17"/>
        <v>4444</v>
      </c>
      <c r="AM69" s="1750">
        <f t="shared" si="18"/>
        <v>0.95262593783494109</v>
      </c>
      <c r="AN69" s="1690">
        <v>4444</v>
      </c>
      <c r="AO69" s="1687">
        <v>0</v>
      </c>
      <c r="AP69" s="1720">
        <f t="shared" si="19"/>
        <v>0</v>
      </c>
      <c r="AQ69" s="1720">
        <f>AP69*AC69/AA69</f>
        <v>0</v>
      </c>
      <c r="AR69" s="1720">
        <f t="shared" si="20"/>
        <v>0</v>
      </c>
      <c r="AS69" s="1720">
        <f t="shared" si="112"/>
        <v>0</v>
      </c>
      <c r="AT69" s="1740">
        <v>0</v>
      </c>
      <c r="AU69" s="1740">
        <v>0</v>
      </c>
      <c r="AV69" s="1740">
        <v>0</v>
      </c>
      <c r="AW69" s="1761">
        <f>AY69+BW69</f>
        <v>0</v>
      </c>
      <c r="AX69" s="1690">
        <v>0</v>
      </c>
      <c r="AY69" s="1687">
        <v>0</v>
      </c>
      <c r="AZ69" s="1717">
        <f t="shared" ref="AZ69" si="181">SUM(BB69+BC69)</f>
        <v>3976</v>
      </c>
      <c r="BA69" s="1751">
        <f t="shared" si="26"/>
        <v>0.89468946894689472</v>
      </c>
      <c r="BB69" s="1740">
        <v>3976</v>
      </c>
      <c r="BC69" s="1740">
        <v>0</v>
      </c>
      <c r="BD69" s="1759">
        <f t="shared" ref="BD69" si="182">SUM(BF69+BG69)</f>
        <v>3976</v>
      </c>
      <c r="BE69" s="1751">
        <f t="shared" si="27"/>
        <v>0.89468946894689472</v>
      </c>
      <c r="BF69" s="1690">
        <f>BB69</f>
        <v>3976</v>
      </c>
      <c r="BG69" s="1687">
        <v>0</v>
      </c>
      <c r="BH69" s="1759">
        <v>0</v>
      </c>
      <c r="BI69" s="1690">
        <v>0</v>
      </c>
      <c r="BJ69" s="1687">
        <v>0</v>
      </c>
      <c r="BK69" s="1759">
        <v>0</v>
      </c>
      <c r="BL69" s="1690">
        <v>0</v>
      </c>
      <c r="BM69" s="1687">
        <v>0</v>
      </c>
      <c r="BN69" s="1759">
        <v>0</v>
      </c>
      <c r="BO69" s="1690">
        <v>0</v>
      </c>
      <c r="BP69" s="1687">
        <v>0</v>
      </c>
      <c r="BQ69" s="1759">
        <v>0</v>
      </c>
      <c r="BR69" s="1687">
        <v>0</v>
      </c>
      <c r="BS69" s="1687">
        <v>0</v>
      </c>
      <c r="BT69" s="1795" t="s">
        <v>977</v>
      </c>
    </row>
    <row r="70" spans="1:72" ht="21" hidden="1" customHeight="1" x14ac:dyDescent="0.2">
      <c r="A70" s="1673" t="s">
        <v>539</v>
      </c>
      <c r="B70" s="1753"/>
      <c r="C70" s="1753"/>
      <c r="D70" s="1753"/>
      <c r="E70" s="1753"/>
      <c r="F70" s="1746"/>
      <c r="G70" s="1746"/>
      <c r="H70" s="1746"/>
      <c r="I70" s="1739"/>
      <c r="J70" s="1754"/>
      <c r="K70" s="1754"/>
      <c r="L70" s="1754"/>
      <c r="M70" s="1742"/>
      <c r="N70" s="1742"/>
      <c r="O70" s="1739"/>
      <c r="P70" s="1742"/>
      <c r="Q70" s="1743"/>
      <c r="R70" s="1742"/>
      <c r="S70" s="1742"/>
      <c r="T70" s="1739"/>
      <c r="U70" s="1739"/>
      <c r="V70" s="1739"/>
      <c r="W70" s="1739"/>
      <c r="X70" s="1739"/>
      <c r="Y70" s="1740">
        <f>Y61+Y66+Y69</f>
        <v>143458.20000000001</v>
      </c>
      <c r="Z70" s="1749"/>
      <c r="AA70" s="1740">
        <f>AC70+AD70</f>
        <v>113325.48836553938</v>
      </c>
      <c r="AB70" s="1749"/>
      <c r="AC70" s="1740">
        <f>AC61+AC66+AC69+0.02</f>
        <v>112498.80229935731</v>
      </c>
      <c r="AD70" s="1740">
        <f>AD61+AD66+AD69</f>
        <v>826.68606618206377</v>
      </c>
      <c r="AE70" s="1761">
        <f>SUM(AF70:AG70)</f>
        <v>114144.7293911</v>
      </c>
      <c r="AF70" s="1690">
        <f>AF61+AF66+AF69</f>
        <v>113340.15483007004</v>
      </c>
      <c r="AG70" s="1687">
        <f>AG61+AG66+AG69</f>
        <v>804.57456102995798</v>
      </c>
      <c r="AH70" s="1740">
        <f>AH61+AH66+AH69</f>
        <v>131924.00433</v>
      </c>
      <c r="AI70" s="1750">
        <f t="shared" si="16"/>
        <v>1.1641159127809781</v>
      </c>
      <c r="AJ70" s="1740">
        <f>AJ61+AJ66+AJ69</f>
        <v>131090.36433000001</v>
      </c>
      <c r="AK70" s="1740">
        <f>AK61+AK66+AK69</f>
        <v>833.64</v>
      </c>
      <c r="AL70" s="1761">
        <f>AL61+AL66+AL69</f>
        <v>124019.14119517006</v>
      </c>
      <c r="AM70" s="1750">
        <f t="shared" si="18"/>
        <v>1.094362292047995</v>
      </c>
      <c r="AN70" s="1690">
        <f>AN61+AN66+AN69</f>
        <v>123150.40926913286</v>
      </c>
      <c r="AO70" s="1687">
        <f>AO61+AO66+AO69</f>
        <v>868.7319260372135</v>
      </c>
      <c r="AP70" s="1720">
        <f t="shared" si="19"/>
        <v>-30132.711634460633</v>
      </c>
      <c r="AQ70" s="1720">
        <f>AP70-AR70</f>
        <v>-29903.418391399598</v>
      </c>
      <c r="AR70" s="1720">
        <f>AR61</f>
        <v>-229.29324306103445</v>
      </c>
      <c r="AS70" s="1720">
        <f t="shared" si="112"/>
        <v>-30132.711634460633</v>
      </c>
      <c r="AT70" s="1740">
        <f>AU70+AV70</f>
        <v>56673.2970814</v>
      </c>
      <c r="AU70" s="1740">
        <f>AU61+AU66+AU69</f>
        <v>56463.165167590261</v>
      </c>
      <c r="AV70" s="1740">
        <f>AV61+AV66+AV69</f>
        <v>210.13191380973541</v>
      </c>
      <c r="AW70" s="1761">
        <f>AX70+AY70</f>
        <v>116214.44</v>
      </c>
      <c r="AX70" s="1690">
        <f>AX61+AX66+AX69+0.02</f>
        <v>115906.67</v>
      </c>
      <c r="AY70" s="1687">
        <f>AY61+AY66+AY69</f>
        <v>307.77</v>
      </c>
      <c r="AZ70" s="1740">
        <f>AZ61+AZ66+AZ69</f>
        <v>145950.01619208642</v>
      </c>
      <c r="BA70" s="1751">
        <f t="shared" si="26"/>
        <v>1.176834598156131</v>
      </c>
      <c r="BB70" s="1740">
        <f>BB61+BB66+BB69</f>
        <v>145463.13440115421</v>
      </c>
      <c r="BC70" s="1740">
        <f>BC61+BC66+BC69</f>
        <v>486.88179093217639</v>
      </c>
      <c r="BD70" s="1761">
        <f>BD61+BD66+BD69</f>
        <v>130505.10263939487</v>
      </c>
      <c r="BE70" s="1751">
        <f t="shared" si="27"/>
        <v>1.0522980677153522</v>
      </c>
      <c r="BF70" s="1690">
        <f t="shared" ref="BF70:BM70" si="183">BF61+BF66+BF69</f>
        <v>130160.96371419655</v>
      </c>
      <c r="BG70" s="1687">
        <f t="shared" si="183"/>
        <v>344.13892519829579</v>
      </c>
      <c r="BH70" s="1761">
        <f t="shared" si="183"/>
        <v>120577.87999999999</v>
      </c>
      <c r="BI70" s="1690">
        <f t="shared" si="183"/>
        <v>120535.92999999998</v>
      </c>
      <c r="BJ70" s="1687">
        <f t="shared" si="183"/>
        <v>41.95</v>
      </c>
      <c r="BK70" s="1761">
        <f t="shared" si="183"/>
        <v>134891.4</v>
      </c>
      <c r="BL70" s="1690">
        <f t="shared" si="183"/>
        <v>134862.30000000002</v>
      </c>
      <c r="BM70" s="1687">
        <f t="shared" si="183"/>
        <v>29.1</v>
      </c>
      <c r="BN70" s="1761">
        <f>(BN67+BN69)/BN64</f>
        <v>48.055278779472943</v>
      </c>
      <c r="BO70" s="1761">
        <f t="shared" ref="BO70:BP70" si="184">(BO67+BO69)/BO64</f>
        <v>48.094441666666654</v>
      </c>
      <c r="BP70" s="1761">
        <f t="shared" si="184"/>
        <v>19.857999999999997</v>
      </c>
      <c r="BQ70" s="1761">
        <f>(BQ67+BQ69)/BQ64</f>
        <v>40.294652117864288</v>
      </c>
      <c r="BR70" s="1761">
        <f t="shared" ref="BR70:BS70" si="185">(BR67+BR69)/BR64</f>
        <v>40.305718614059224</v>
      </c>
      <c r="BS70" s="1761">
        <f t="shared" si="185"/>
        <v>17.407481617784892</v>
      </c>
      <c r="BT70" s="1788"/>
    </row>
    <row r="71" spans="1:72" ht="37.5" hidden="1" customHeight="1" x14ac:dyDescent="0.2">
      <c r="A71" s="1673" t="s">
        <v>321</v>
      </c>
      <c r="B71" s="1753"/>
      <c r="C71" s="1753"/>
      <c r="D71" s="1753"/>
      <c r="E71" s="1753"/>
      <c r="F71" s="1746"/>
      <c r="G71" s="1746"/>
      <c r="H71" s="1746"/>
      <c r="I71" s="1739"/>
      <c r="J71" s="1754"/>
      <c r="K71" s="1754"/>
      <c r="L71" s="1754"/>
      <c r="M71" s="1742"/>
      <c r="N71" s="1742"/>
      <c r="O71" s="1739"/>
      <c r="P71" s="1742"/>
      <c r="Q71" s="1743"/>
      <c r="R71" s="1742"/>
      <c r="S71" s="1742"/>
      <c r="T71" s="1739"/>
      <c r="U71" s="1739"/>
      <c r="V71" s="1739"/>
      <c r="W71" s="1739"/>
      <c r="X71" s="1739"/>
      <c r="Y71" s="1740">
        <f>Y70/Y64</f>
        <v>35.864550000000001</v>
      </c>
      <c r="Z71" s="1749"/>
      <c r="AA71" s="1740">
        <f>AA70/AA64</f>
        <v>27.966410435205415</v>
      </c>
      <c r="AB71" s="1749"/>
      <c r="AC71" s="1740">
        <f>AC70/AC64+0.02</f>
        <v>28.101174753970675</v>
      </c>
      <c r="AD71" s="1740">
        <f>AD70/AD64</f>
        <v>17.971436221349212</v>
      </c>
      <c r="AE71" s="1761">
        <f>AE70/AE64</f>
        <v>28.260641097078484</v>
      </c>
      <c r="AF71" s="1690">
        <f>AF70/AF64+0.02</f>
        <v>28.431750433688467</v>
      </c>
      <c r="AG71" s="1687">
        <f>AG70/AG64</f>
        <v>16.156115683332491</v>
      </c>
      <c r="AH71" s="1740">
        <f>AH70/AH64</f>
        <v>32.554536652354159</v>
      </c>
      <c r="AI71" s="1750">
        <f t="shared" si="16"/>
        <v>1.1640584596217254</v>
      </c>
      <c r="AJ71" s="1740">
        <f>AJ70/AJ64</f>
        <v>32.721300444053945</v>
      </c>
      <c r="AK71" s="1740">
        <f>AK70/AK64</f>
        <v>18.071536960763058</v>
      </c>
      <c r="AL71" s="1761">
        <f>AL70/AL64</f>
        <v>30.603874542288533</v>
      </c>
      <c r="AM71" s="1750">
        <f t="shared" si="18"/>
        <v>1.0943082814719387</v>
      </c>
      <c r="AN71" s="1690">
        <f>AN70/AN64</f>
        <v>30.739418279130678</v>
      </c>
      <c r="AO71" s="1687">
        <f>AO70/AO64</f>
        <v>18.832255062588629</v>
      </c>
      <c r="AP71" s="1720">
        <f t="shared" si="19"/>
        <v>-7.8981395647945867</v>
      </c>
      <c r="AQ71" s="1720">
        <f>AP71</f>
        <v>-7.8981395647945867</v>
      </c>
      <c r="AR71" s="1720">
        <f t="shared" si="20"/>
        <v>0</v>
      </c>
      <c r="AS71" s="1720">
        <f t="shared" si="112"/>
        <v>-7.8981395647945867</v>
      </c>
      <c r="AT71" s="1740">
        <f>AT70/AT64</f>
        <v>28.472176098930913</v>
      </c>
      <c r="AU71" s="1740">
        <f>AU70/AU64+0.02</f>
        <v>28.583201351485883</v>
      </c>
      <c r="AV71" s="1740">
        <f>AV70/AV64</f>
        <v>15.338095898520834</v>
      </c>
      <c r="AW71" s="1761">
        <f>AW70/AW64</f>
        <v>30.741145163764873</v>
      </c>
      <c r="AX71" s="1690">
        <f>AX70/AX64+0.02</f>
        <v>30.828215937483385</v>
      </c>
      <c r="AY71" s="1687">
        <f>AY70/AY64</f>
        <v>16.891877058177826</v>
      </c>
      <c r="AZ71" s="1740">
        <f>AZ70/AZ64</f>
        <v>36.390731993966654</v>
      </c>
      <c r="BA71" s="1751">
        <f t="shared" si="26"/>
        <v>1.1890890463454822</v>
      </c>
      <c r="BB71" s="1740">
        <f>BB70/BB64</f>
        <v>36.464081648392209</v>
      </c>
      <c r="BC71" s="1740">
        <f>BC70/BC64</f>
        <v>22.730242340437737</v>
      </c>
      <c r="BD71" s="1761">
        <f>BD70/BD64</f>
        <v>32.539744344700075</v>
      </c>
      <c r="BE71" s="1751">
        <f t="shared" si="27"/>
        <v>1.0632557096565192</v>
      </c>
      <c r="BF71" s="1690">
        <f t="shared" ref="BF71:BQ71" si="186">BF70/BF64</f>
        <v>32.628198394370763</v>
      </c>
      <c r="BG71" s="1687">
        <f t="shared" si="186"/>
        <v>16.066243006456386</v>
      </c>
      <c r="BH71" s="1761">
        <f t="shared" si="186"/>
        <v>33.787241435352527</v>
      </c>
      <c r="BI71" s="1690">
        <f t="shared" si="186"/>
        <v>33.798216098296848</v>
      </c>
      <c r="BJ71" s="1687">
        <f t="shared" si="186"/>
        <v>17.479166666666668</v>
      </c>
      <c r="BK71" s="1761">
        <f t="shared" si="186"/>
        <v>36.88005971177585</v>
      </c>
      <c r="BL71" s="1690">
        <f t="shared" si="186"/>
        <v>36.889955686853767</v>
      </c>
      <c r="BM71" s="1687">
        <f t="shared" si="186"/>
        <v>16.440677966101696</v>
      </c>
      <c r="BN71" s="1761">
        <f>BN70/BN64</f>
        <v>1.3330174418716489E-2</v>
      </c>
      <c r="BO71" s="1690">
        <f t="shared" si="186"/>
        <v>1.3359567129629626E-2</v>
      </c>
      <c r="BP71" s="1687">
        <f t="shared" si="186"/>
        <v>3.9715999999999996</v>
      </c>
      <c r="BQ71" s="1761">
        <f t="shared" si="186"/>
        <v>1.1002268450391489E-2</v>
      </c>
      <c r="BR71" s="1687"/>
      <c r="BS71" s="1687"/>
      <c r="BT71" s="1788"/>
    </row>
    <row r="72" spans="1:72" hidden="1" x14ac:dyDescent="0.25">
      <c r="A72" s="27"/>
      <c r="Q72" s="26"/>
      <c r="R72" s="26"/>
      <c r="S72" s="26"/>
      <c r="T72" s="26"/>
      <c r="Y72" s="365"/>
      <c r="Z72" s="367"/>
      <c r="AA72" s="365"/>
      <c r="AB72" s="367"/>
      <c r="AC72" s="366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5"/>
      <c r="AO72" s="365"/>
      <c r="BD72" s="156">
        <f>BF64</f>
        <v>3989.2170000000001</v>
      </c>
      <c r="BF72">
        <f>BD72/2</f>
        <v>1994.6085</v>
      </c>
      <c r="BG72">
        <f>BF72</f>
        <v>1994.6085</v>
      </c>
      <c r="BT72" s="162"/>
    </row>
    <row r="73" spans="1:72" hidden="1" x14ac:dyDescent="0.25">
      <c r="A73" s="3991" t="s">
        <v>432</v>
      </c>
      <c r="B73" s="3992"/>
      <c r="C73" s="3992"/>
      <c r="D73" s="3992"/>
      <c r="E73" s="3992"/>
      <c r="F73" s="3992"/>
      <c r="G73" s="3992"/>
      <c r="H73" s="3992"/>
      <c r="K73" s="3992" t="s">
        <v>433</v>
      </c>
      <c r="L73" s="3992"/>
      <c r="M73" s="3992"/>
      <c r="N73" s="3992"/>
      <c r="O73" s="3992"/>
      <c r="P73" s="3992"/>
      <c r="Q73" s="3992"/>
      <c r="R73" s="3992"/>
      <c r="S73" s="3992"/>
      <c r="T73" s="3992"/>
      <c r="Y73" s="365"/>
      <c r="Z73" s="367"/>
      <c r="AA73" s="365"/>
      <c r="AB73" s="367"/>
      <c r="AC73" s="366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5"/>
      <c r="AO73" s="365"/>
      <c r="BT73" s="162"/>
    </row>
    <row r="74" spans="1:72" ht="26.25" hidden="1" x14ac:dyDescent="0.25">
      <c r="A74" s="368" t="s">
        <v>256</v>
      </c>
      <c r="B74" s="25"/>
      <c r="C74" s="25"/>
      <c r="D74" s="25"/>
      <c r="E74" s="155">
        <f>H74/2</f>
        <v>2003.135</v>
      </c>
      <c r="F74" s="155"/>
      <c r="G74" s="155">
        <f>H74-E74</f>
        <v>2003.135</v>
      </c>
      <c r="H74" s="155">
        <f>AN64</f>
        <v>4006.27</v>
      </c>
      <c r="K74" s="183" t="s">
        <v>256</v>
      </c>
      <c r="L74" s="167">
        <f>E74</f>
        <v>2003.135</v>
      </c>
      <c r="M74" s="25"/>
      <c r="N74" s="25"/>
      <c r="O74" s="155">
        <f>BW61/2</f>
        <v>0</v>
      </c>
      <c r="P74" s="155">
        <f>S74/2</f>
        <v>2026.1</v>
      </c>
      <c r="Q74" s="155">
        <f>G74</f>
        <v>2003.135</v>
      </c>
      <c r="R74" s="155">
        <f>BW61</f>
        <v>0</v>
      </c>
      <c r="S74" s="155">
        <f>AA64</f>
        <v>4052.2</v>
      </c>
      <c r="T74" s="155">
        <f>AN64</f>
        <v>4006.27</v>
      </c>
      <c r="X74" s="225" t="s">
        <v>322</v>
      </c>
      <c r="Y74" s="25" t="s">
        <v>258</v>
      </c>
      <c r="Z74" s="25" t="s">
        <v>259</v>
      </c>
      <c r="AA74" s="25">
        <v>2014</v>
      </c>
      <c r="AN74" s="156" t="e">
        <f>#REF!-AN69</f>
        <v>#REF!</v>
      </c>
      <c r="BT74" s="162"/>
    </row>
    <row r="75" spans="1:72" ht="39" hidden="1" x14ac:dyDescent="0.25">
      <c r="A75" s="14" t="s">
        <v>289</v>
      </c>
      <c r="B75" s="25"/>
      <c r="C75" s="25"/>
      <c r="D75" s="25"/>
      <c r="E75" s="228" t="e">
        <f>#REF!</f>
        <v>#REF!</v>
      </c>
      <c r="F75" s="228"/>
      <c r="G75" s="228" t="e">
        <f>G76/G74</f>
        <v>#REF!</v>
      </c>
      <c r="H75" s="228">
        <f>AN68</f>
        <v>29.630157046113432</v>
      </c>
      <c r="K75" s="183" t="s">
        <v>289</v>
      </c>
      <c r="L75" s="228">
        <v>30</v>
      </c>
      <c r="M75" s="229"/>
      <c r="N75" s="229"/>
      <c r="O75" s="228">
        <v>26.38</v>
      </c>
      <c r="P75" s="228">
        <f>P76/P74</f>
        <v>26.272858380898956</v>
      </c>
      <c r="Q75" s="228">
        <f>Q76/Q74</f>
        <v>31.478836558261353</v>
      </c>
      <c r="R75" s="228">
        <f>BW68</f>
        <v>0</v>
      </c>
      <c r="S75" s="228">
        <f>AA71</f>
        <v>27.966410435205415</v>
      </c>
      <c r="T75" s="228">
        <f>AN71</f>
        <v>30.739418279130678</v>
      </c>
      <c r="X75" s="226" t="s">
        <v>256</v>
      </c>
      <c r="Y75" s="155">
        <f>AA75/2</f>
        <v>1400</v>
      </c>
      <c r="Z75" s="155">
        <f>AA75/2</f>
        <v>1400</v>
      </c>
      <c r="AA75" s="155">
        <f>объемы!G49</f>
        <v>2800</v>
      </c>
      <c r="AD75" s="156"/>
      <c r="AE75" s="156"/>
      <c r="AF75" s="156"/>
      <c r="AG75" s="156"/>
      <c r="AH75" s="156"/>
      <c r="AI75" s="156"/>
      <c r="AJ75" s="326"/>
      <c r="AK75" s="32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442"/>
      <c r="BB75" s="156"/>
      <c r="BC75" s="156"/>
      <c r="BD75" s="156"/>
      <c r="BE75" s="1442"/>
      <c r="BF75" s="156"/>
      <c r="BG75" s="156"/>
      <c r="BH75" s="1845"/>
      <c r="BI75" s="1845"/>
      <c r="BJ75" s="1845"/>
      <c r="BK75" s="1845"/>
      <c r="BL75" s="1845"/>
      <c r="BM75" s="1845"/>
      <c r="BN75" s="1845"/>
      <c r="BO75" s="1845"/>
      <c r="BP75" s="1845"/>
      <c r="BQ75" s="1845"/>
      <c r="BR75" s="1845"/>
      <c r="BS75" s="1845"/>
      <c r="BT75" s="230"/>
    </row>
    <row r="76" spans="1:72" hidden="1" x14ac:dyDescent="0.25">
      <c r="A76" s="14" t="s">
        <v>257</v>
      </c>
      <c r="B76" s="25"/>
      <c r="C76" s="25"/>
      <c r="D76" s="25"/>
      <c r="E76" s="155" t="e">
        <f>E74*E75</f>
        <v>#REF!</v>
      </c>
      <c r="F76" s="155"/>
      <c r="G76" s="155" t="e">
        <f>H76-E76</f>
        <v>#REF!</v>
      </c>
      <c r="H76" s="155">
        <f>AN61+AN66</f>
        <v>118706.40926913286</v>
      </c>
      <c r="K76" s="183" t="s">
        <v>257</v>
      </c>
      <c r="L76" s="155">
        <f>L74*L75</f>
        <v>60094.05</v>
      </c>
      <c r="M76" s="25"/>
      <c r="N76" s="25"/>
      <c r="O76" s="155">
        <f>O74*O75</f>
        <v>0</v>
      </c>
      <c r="P76" s="155">
        <f>S76-L76</f>
        <v>53231.438365539376</v>
      </c>
      <c r="Q76" s="155">
        <f>T76-L76</f>
        <v>63056.359269132852</v>
      </c>
      <c r="R76" s="155">
        <f>BW56+BW65</f>
        <v>0</v>
      </c>
      <c r="S76" s="155">
        <f>S74*S75</f>
        <v>113325.48836553938</v>
      </c>
      <c r="T76" s="155">
        <f>AN70</f>
        <v>123150.40926913286</v>
      </c>
      <c r="V76" s="156"/>
      <c r="X76" s="226" t="s">
        <v>115</v>
      </c>
      <c r="Y76" s="155">
        <v>19.14</v>
      </c>
      <c r="Z76" s="155">
        <f>Y76*1.184</f>
        <v>22.661760000000001</v>
      </c>
      <c r="AA76" s="227">
        <f>AA77/AA75</f>
        <v>20.900880000000001</v>
      </c>
      <c r="AD76" s="156"/>
      <c r="AE76" s="156"/>
      <c r="AF76" s="156"/>
      <c r="AG76" s="156"/>
      <c r="AH76" s="156"/>
      <c r="AI76" s="156"/>
      <c r="AJ76" s="326"/>
      <c r="AK76" s="32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442"/>
      <c r="BB76" s="156"/>
      <c r="BC76" s="156"/>
      <c r="BD76" s="156"/>
      <c r="BE76" s="1442"/>
      <c r="BF76" s="156"/>
      <c r="BG76" s="156"/>
      <c r="BH76" s="1845"/>
      <c r="BI76" s="1845"/>
      <c r="BJ76" s="1845"/>
      <c r="BK76" s="1845"/>
      <c r="BL76" s="1845"/>
      <c r="BM76" s="1845"/>
      <c r="BN76" s="1845"/>
      <c r="BO76" s="1845"/>
      <c r="BP76" s="1845"/>
      <c r="BQ76" s="1845"/>
      <c r="BR76" s="1845"/>
      <c r="BS76" s="1845"/>
      <c r="BT76" s="230"/>
    </row>
    <row r="77" spans="1:72" ht="26.25" hidden="1" customHeight="1" x14ac:dyDescent="0.25">
      <c r="A77" s="25"/>
      <c r="B77" s="25"/>
      <c r="C77" s="25"/>
      <c r="D77" s="25"/>
      <c r="E77" s="25"/>
      <c r="F77" s="25"/>
      <c r="G77" s="334" t="e">
        <f>G75/E75</f>
        <v>#REF!</v>
      </c>
      <c r="H77" s="25"/>
      <c r="K77" s="25"/>
      <c r="L77" s="25"/>
      <c r="M77" s="25"/>
      <c r="N77" s="25"/>
      <c r="O77" s="25"/>
      <c r="P77" s="184">
        <f>P75/L75</f>
        <v>0.87576194602996515</v>
      </c>
      <c r="Q77" s="331">
        <f>Q75/L75</f>
        <v>1.0492945519420451</v>
      </c>
      <c r="R77" s="25"/>
      <c r="S77" s="25"/>
      <c r="T77" s="332" t="e">
        <f>G75/L75</f>
        <v>#REF!</v>
      </c>
      <c r="X77" s="226" t="s">
        <v>319</v>
      </c>
      <c r="Y77" s="155">
        <f>Y75*Y76</f>
        <v>26796</v>
      </c>
      <c r="Z77" s="155">
        <f>Z75*Z76</f>
        <v>31726.464</v>
      </c>
      <c r="AA77" s="155">
        <f>Y77+Z77</f>
        <v>58522.464</v>
      </c>
      <c r="AD77" s="156"/>
      <c r="AE77" s="156"/>
      <c r="AF77" s="156"/>
      <c r="AG77" s="156"/>
      <c r="AH77" s="156"/>
      <c r="AI77" s="156"/>
      <c r="AJ77" s="326"/>
      <c r="AK77" s="32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442"/>
      <c r="BB77" s="156"/>
      <c r="BC77" s="156"/>
      <c r="BD77" s="156"/>
      <c r="BE77" s="1442"/>
      <c r="BF77" s="156"/>
      <c r="BG77" s="156"/>
      <c r="BH77" s="1845"/>
      <c r="BI77" s="1845"/>
      <c r="BJ77" s="1845"/>
      <c r="BK77" s="1845"/>
      <c r="BL77" s="1845"/>
      <c r="BM77" s="1845"/>
      <c r="BN77" s="1845"/>
      <c r="BO77" s="1845"/>
      <c r="BP77" s="1845"/>
      <c r="BQ77" s="1845"/>
      <c r="BR77" s="1845"/>
      <c r="BS77" s="1845"/>
      <c r="BT77" s="230"/>
    </row>
    <row r="78" spans="1:72" ht="18" hidden="1" customHeight="1" x14ac:dyDescent="0.25">
      <c r="A78" s="3993" t="s">
        <v>434</v>
      </c>
      <c r="B78" s="3990"/>
      <c r="C78" s="3990"/>
      <c r="D78" s="3990"/>
      <c r="E78" s="3990"/>
      <c r="F78" s="3990"/>
      <c r="G78" s="3990"/>
      <c r="H78" s="3994"/>
      <c r="K78" s="3990" t="s">
        <v>435</v>
      </c>
      <c r="L78" s="3990"/>
      <c r="M78" s="3990"/>
      <c r="N78" s="3990"/>
      <c r="O78" s="3990"/>
      <c r="P78" s="3990"/>
      <c r="Q78" s="3990"/>
      <c r="R78" s="3990"/>
      <c r="S78" s="3990"/>
      <c r="T78" s="3990"/>
      <c r="X78" s="226" t="s">
        <v>357</v>
      </c>
      <c r="Y78" s="25"/>
      <c r="Z78" s="161">
        <f>Z76/Y76</f>
        <v>1.1839999999999999</v>
      </c>
      <c r="AA78" s="25"/>
      <c r="BT78" s="231"/>
    </row>
    <row r="79" spans="1:72" hidden="1" x14ac:dyDescent="0.25">
      <c r="A79" s="25"/>
      <c r="B79" s="25"/>
      <c r="C79" s="25"/>
      <c r="D79" s="25"/>
      <c r="E79" s="25" t="s">
        <v>258</v>
      </c>
      <c r="F79" s="25"/>
      <c r="G79" s="25" t="s">
        <v>259</v>
      </c>
      <c r="H79" s="25" t="s">
        <v>235</v>
      </c>
      <c r="K79" s="25" t="s">
        <v>325</v>
      </c>
      <c r="L79" s="168" t="s">
        <v>258</v>
      </c>
      <c r="M79" s="168"/>
      <c r="N79" s="168"/>
      <c r="O79" s="168" t="s">
        <v>258</v>
      </c>
      <c r="P79" s="168" t="s">
        <v>259</v>
      </c>
      <c r="Q79" s="168" t="s">
        <v>259</v>
      </c>
      <c r="R79" s="168" t="s">
        <v>235</v>
      </c>
      <c r="S79" s="168" t="s">
        <v>235</v>
      </c>
      <c r="T79" s="25">
        <v>2014</v>
      </c>
      <c r="X79" s="226"/>
      <c r="Y79" s="25"/>
      <c r="Z79" s="155">
        <f>Z77-Y77</f>
        <v>4930.4639999999999</v>
      </c>
      <c r="AA79" s="25"/>
      <c r="BT79" s="230"/>
    </row>
    <row r="80" spans="1:72" hidden="1" x14ac:dyDescent="0.25">
      <c r="A80" s="14" t="s">
        <v>256</v>
      </c>
      <c r="B80" s="25"/>
      <c r="C80" s="25"/>
      <c r="D80" s="25"/>
      <c r="E80" s="155">
        <f>H80/2</f>
        <v>23.065000000000001</v>
      </c>
      <c r="F80" s="155"/>
      <c r="G80" s="155">
        <f>H80-E80</f>
        <v>23.065000000000001</v>
      </c>
      <c r="H80" s="155">
        <f>AO64</f>
        <v>46.13</v>
      </c>
      <c r="K80" s="183" t="s">
        <v>256</v>
      </c>
      <c r="L80" s="167">
        <f>T80/2</f>
        <v>1822.35</v>
      </c>
      <c r="M80" s="25"/>
      <c r="N80" s="25"/>
      <c r="O80" s="155" t="e">
        <f>#REF!/2</f>
        <v>#REF!</v>
      </c>
      <c r="P80" s="155">
        <f>S80/2</f>
        <v>13.407609879684895</v>
      </c>
      <c r="Q80" s="155">
        <f>T80/2</f>
        <v>1822.35</v>
      </c>
      <c r="R80" s="155" t="e">
        <f>#REF!</f>
        <v>#REF!</v>
      </c>
      <c r="S80" s="155">
        <f>AA65</f>
        <v>26.815219759369789</v>
      </c>
      <c r="T80" s="155">
        <f>стоки!Z52</f>
        <v>3644.7</v>
      </c>
      <c r="X80" s="226"/>
      <c r="Y80" s="25"/>
      <c r="Z80" s="25"/>
      <c r="AA80" s="25"/>
      <c r="BT80" s="162"/>
    </row>
    <row r="81" spans="1:72" ht="27.75" hidden="1" customHeight="1" x14ac:dyDescent="0.25">
      <c r="A81" s="14" t="s">
        <v>290</v>
      </c>
      <c r="B81" s="25"/>
      <c r="C81" s="25"/>
      <c r="D81" s="25"/>
      <c r="E81" s="228">
        <v>17.57</v>
      </c>
      <c r="F81" s="228"/>
      <c r="G81" s="228">
        <f>G82/G80</f>
        <v>20.094510125177255</v>
      </c>
      <c r="H81" s="228">
        <f>AO71</f>
        <v>18.832255062588629</v>
      </c>
      <c r="K81" s="183" t="s">
        <v>327</v>
      </c>
      <c r="L81" s="228">
        <f>стоки!L104</f>
        <v>0</v>
      </c>
      <c r="M81" s="228"/>
      <c r="N81" s="228"/>
      <c r="O81" s="228">
        <v>26.38</v>
      </c>
      <c r="P81" s="228">
        <f>P82/P80</f>
        <v>117044.928</v>
      </c>
      <c r="Q81" s="228">
        <f>Q82/Q80</f>
        <v>48.580850429656401</v>
      </c>
      <c r="R81" s="228">
        <f>BW74</f>
        <v>0</v>
      </c>
      <c r="S81" s="228">
        <f>AA77</f>
        <v>58522.464</v>
      </c>
      <c r="T81" s="228">
        <f>стоки!AK62</f>
        <v>24.2904252148282</v>
      </c>
      <c r="X81" s="225" t="s">
        <v>323</v>
      </c>
      <c r="Y81" s="25" t="s">
        <v>258</v>
      </c>
      <c r="Z81" s="25" t="s">
        <v>259</v>
      </c>
      <c r="AA81" s="25">
        <v>2014</v>
      </c>
      <c r="BT81" s="162"/>
    </row>
    <row r="82" spans="1:72" hidden="1" x14ac:dyDescent="0.25">
      <c r="A82" s="14" t="s">
        <v>257</v>
      </c>
      <c r="B82" s="25"/>
      <c r="C82" s="25"/>
      <c r="D82" s="25"/>
      <c r="E82" s="155">
        <f>E80*E81</f>
        <v>405.25205000000005</v>
      </c>
      <c r="F82" s="155"/>
      <c r="G82" s="155">
        <f>H82-E82</f>
        <v>463.47987603721344</v>
      </c>
      <c r="H82" s="155">
        <f>AO70</f>
        <v>868.7319260372135</v>
      </c>
      <c r="K82" s="183" t="s">
        <v>257</v>
      </c>
      <c r="L82" s="155">
        <f>L80*L81</f>
        <v>0</v>
      </c>
      <c r="M82" s="25"/>
      <c r="N82" s="25"/>
      <c r="O82" s="155" t="e">
        <f>O80*O81</f>
        <v>#REF!</v>
      </c>
      <c r="P82" s="155">
        <f>S82-L82</f>
        <v>1569292.7330198071</v>
      </c>
      <c r="Q82" s="155">
        <f>T82-L82</f>
        <v>88531.312780484339</v>
      </c>
      <c r="R82" s="155" t="e">
        <f>#REF!+BW72</f>
        <v>#REF!</v>
      </c>
      <c r="S82" s="155">
        <f>S80*S81</f>
        <v>1569292.7330198071</v>
      </c>
      <c r="T82" s="155">
        <f>стоки!AK61</f>
        <v>88531.312780484339</v>
      </c>
      <c r="X82" s="226" t="s">
        <v>256</v>
      </c>
      <c r="Y82" s="155">
        <f>AA82/2</f>
        <v>1300</v>
      </c>
      <c r="Z82" s="155">
        <f>AA82/2</f>
        <v>1300</v>
      </c>
      <c r="AA82" s="155">
        <f>объемы!G59</f>
        <v>2600</v>
      </c>
      <c r="BT82" s="162"/>
    </row>
    <row r="83" spans="1:72" ht="26.25" hidden="1" customHeight="1" x14ac:dyDescent="0.25">
      <c r="A83" s="25"/>
      <c r="B83" s="25"/>
      <c r="C83" s="25"/>
      <c r="D83" s="25"/>
      <c r="E83" s="25"/>
      <c r="F83" s="25"/>
      <c r="G83" s="330">
        <f>G81/E81</f>
        <v>1.1436829894807772</v>
      </c>
      <c r="H83" s="25"/>
      <c r="K83" s="25"/>
      <c r="L83" s="25"/>
      <c r="M83" s="25"/>
      <c r="N83" s="25"/>
      <c r="O83" s="25"/>
      <c r="P83" s="184" t="e">
        <f>P81/L81</f>
        <v>#DIV/0!</v>
      </c>
      <c r="Q83" s="331" t="e">
        <f>Q81/L81</f>
        <v>#DIV/0!</v>
      </c>
      <c r="R83" s="25"/>
      <c r="S83" s="25"/>
      <c r="T83" s="25"/>
      <c r="X83" s="226" t="s">
        <v>115</v>
      </c>
      <c r="Y83" s="155">
        <v>15.5</v>
      </c>
      <c r="Z83" s="155">
        <f>Y83*1.184</f>
        <v>18.352</v>
      </c>
      <c r="AA83" s="227">
        <f>AA84/AA82</f>
        <v>16.926000000000002</v>
      </c>
    </row>
    <row r="84" spans="1:72" hidden="1" x14ac:dyDescent="0.25">
      <c r="A84" s="163"/>
      <c r="B84" s="163"/>
      <c r="C84" s="163"/>
      <c r="D84" s="163"/>
      <c r="E84" s="163"/>
      <c r="F84" s="163"/>
      <c r="G84" s="164"/>
      <c r="H84" s="163"/>
      <c r="X84" s="226" t="s">
        <v>319</v>
      </c>
      <c r="Y84" s="155">
        <f>Y82*Y83</f>
        <v>20150</v>
      </c>
      <c r="Z84" s="155">
        <f>Z82*Z83</f>
        <v>23857.600000000002</v>
      </c>
      <c r="AA84" s="155">
        <f>Y84+Z84</f>
        <v>44007.600000000006</v>
      </c>
    </row>
    <row r="85" spans="1:72" hidden="1" x14ac:dyDescent="0.25">
      <c r="X85" s="25" t="s">
        <v>356</v>
      </c>
      <c r="Y85" s="25"/>
      <c r="Z85" s="161">
        <f>Z83/Y83</f>
        <v>1.1839999999999999</v>
      </c>
      <c r="AA85" s="25"/>
    </row>
    <row r="86" spans="1:72" hidden="1" x14ac:dyDescent="0.25">
      <c r="A86" t="s">
        <v>328</v>
      </c>
      <c r="E86" s="156" t="e">
        <f>E76+стоки!E105</f>
        <v>#REF!</v>
      </c>
      <c r="G86" s="156" t="e">
        <f>G76+стоки!G105</f>
        <v>#REF!</v>
      </c>
      <c r="H86" s="156" t="e">
        <f>E86+G86</f>
        <v>#REF!</v>
      </c>
      <c r="X86" s="25"/>
      <c r="Y86" s="25"/>
      <c r="Z86" s="155">
        <f>Z84-Y84</f>
        <v>3707.6000000000022</v>
      </c>
      <c r="AA86" s="25"/>
    </row>
    <row r="87" spans="1:72" ht="28.5" hidden="1" customHeight="1" x14ac:dyDescent="0.25">
      <c r="G87" s="160" t="e">
        <f>G86/E86</f>
        <v>#REF!</v>
      </c>
    </row>
    <row r="88" spans="1:72" hidden="1" x14ac:dyDescent="0.25"/>
    <row r="89" spans="1:72" hidden="1" x14ac:dyDescent="0.25">
      <c r="A89" t="s">
        <v>329</v>
      </c>
      <c r="E89" s="156">
        <f>L76+L82</f>
        <v>60094.05</v>
      </c>
      <c r="G89" s="156">
        <f>Q76+Q82</f>
        <v>151587.67204961719</v>
      </c>
      <c r="H89" s="156">
        <f>E89+G89</f>
        <v>211681.72204961721</v>
      </c>
      <c r="L89" s="225" t="s">
        <v>326</v>
      </c>
      <c r="M89" s="25"/>
      <c r="N89" s="25"/>
      <c r="O89" s="25"/>
      <c r="P89" s="25"/>
      <c r="Q89" s="25" t="s">
        <v>258</v>
      </c>
      <c r="R89" s="25"/>
      <c r="S89" s="25"/>
      <c r="T89" s="25" t="s">
        <v>259</v>
      </c>
      <c r="U89" s="25" t="s">
        <v>159</v>
      </c>
      <c r="AB89">
        <f>E81*1.048</f>
        <v>18.413360000000001</v>
      </c>
      <c r="AD89">
        <f>(E81+AB89)/2</f>
        <v>17.991680000000002</v>
      </c>
    </row>
    <row r="90" spans="1:72" hidden="1" x14ac:dyDescent="0.25">
      <c r="G90" s="160">
        <f>G89/E89</f>
        <v>2.5225071708366666</v>
      </c>
      <c r="L90" s="25" t="s">
        <v>294</v>
      </c>
      <c r="M90" s="25"/>
      <c r="N90" s="25"/>
      <c r="O90" s="25"/>
      <c r="P90" s="25"/>
      <c r="Q90" s="155">
        <v>8509.5</v>
      </c>
      <c r="R90" s="155"/>
      <c r="S90" s="155"/>
      <c r="T90" s="155">
        <v>11223.9</v>
      </c>
      <c r="U90" s="155">
        <f>T90+Q90</f>
        <v>19733.400000000001</v>
      </c>
    </row>
    <row r="91" spans="1:72" hidden="1" x14ac:dyDescent="0.25">
      <c r="L91" s="25" t="s">
        <v>324</v>
      </c>
      <c r="M91" s="25"/>
      <c r="N91" s="25"/>
      <c r="O91" s="25"/>
      <c r="P91" s="25"/>
      <c r="Q91" s="155">
        <v>6353.75</v>
      </c>
      <c r="R91" s="155"/>
      <c r="S91" s="155"/>
      <c r="T91" s="155">
        <v>7524.4</v>
      </c>
      <c r="U91" s="155">
        <f>T91+Q91</f>
        <v>13878.15</v>
      </c>
    </row>
    <row r="92" spans="1:72" hidden="1" x14ac:dyDescent="0.25">
      <c r="L92" s="25" t="s">
        <v>288</v>
      </c>
      <c r="M92" s="25"/>
      <c r="N92" s="25"/>
      <c r="O92" s="25"/>
      <c r="P92" s="25"/>
      <c r="Q92" s="155">
        <f>Q91+Q90</f>
        <v>14863.25</v>
      </c>
      <c r="R92" s="155">
        <f>R91+R90</f>
        <v>0</v>
      </c>
      <c r="S92" s="155">
        <f>S91+S90</f>
        <v>0</v>
      </c>
      <c r="T92" s="155">
        <f>T91+T90</f>
        <v>18748.3</v>
      </c>
      <c r="U92" s="155">
        <f>U91+U90</f>
        <v>33611.550000000003</v>
      </c>
    </row>
    <row r="93" spans="1:72" hidden="1" x14ac:dyDescent="0.25">
      <c r="L93" s="25"/>
      <c r="M93" s="25"/>
      <c r="N93" s="25"/>
      <c r="O93" s="25"/>
      <c r="P93" s="25"/>
      <c r="Q93" s="25"/>
      <c r="R93" s="25"/>
      <c r="S93" s="25"/>
      <c r="T93" s="25"/>
      <c r="U93" s="25"/>
    </row>
    <row r="94" spans="1:72" hidden="1" x14ac:dyDescent="0.25">
      <c r="L94" s="225" t="s">
        <v>360</v>
      </c>
      <c r="M94" s="25"/>
      <c r="N94" s="25"/>
      <c r="O94" s="25"/>
      <c r="P94" s="25"/>
      <c r="Q94" s="25" t="s">
        <v>258</v>
      </c>
      <c r="R94" s="25"/>
      <c r="S94" s="25"/>
      <c r="T94" s="25" t="s">
        <v>259</v>
      </c>
      <c r="U94" s="25" t="s">
        <v>235</v>
      </c>
    </row>
    <row r="95" spans="1:72" ht="26.25" hidden="1" x14ac:dyDescent="0.25">
      <c r="A95" s="25" t="s">
        <v>277</v>
      </c>
      <c r="B95" s="25"/>
      <c r="C95" s="25"/>
      <c r="D95" s="25"/>
      <c r="E95" s="145" t="s">
        <v>278</v>
      </c>
      <c r="F95" s="145"/>
      <c r="G95" s="145" t="s">
        <v>279</v>
      </c>
      <c r="H95" s="3825" t="s">
        <v>243</v>
      </c>
      <c r="I95" s="3989"/>
      <c r="L95" s="25" t="s">
        <v>294</v>
      </c>
      <c r="M95" s="25"/>
      <c r="N95" s="25"/>
      <c r="O95" s="25"/>
      <c r="P95" s="25"/>
      <c r="Q95" s="155">
        <f>(L75-Y76)*Y75</f>
        <v>15204</v>
      </c>
      <c r="R95" s="155"/>
      <c r="S95" s="155"/>
      <c r="T95" s="155">
        <f>(Q75-Z76)*Z75</f>
        <v>12343.907181565894</v>
      </c>
      <c r="U95" s="155">
        <f>T95+Q95</f>
        <v>27547.907181565894</v>
      </c>
    </row>
    <row r="96" spans="1:72" hidden="1" x14ac:dyDescent="0.25">
      <c r="A96" s="25" t="s">
        <v>280</v>
      </c>
      <c r="B96" s="25"/>
      <c r="C96" s="25"/>
      <c r="D96" s="25"/>
      <c r="E96" s="155">
        <v>0</v>
      </c>
      <c r="F96" s="25"/>
      <c r="G96" s="25"/>
      <c r="H96" s="3825"/>
      <c r="I96" s="3989"/>
      <c r="L96" s="25" t="s">
        <v>324</v>
      </c>
      <c r="M96" s="25"/>
      <c r="N96" s="25"/>
      <c r="O96" s="25"/>
      <c r="P96" s="25"/>
      <c r="Q96" s="155">
        <f>(L81-Y83)*Y82</f>
        <v>-20150</v>
      </c>
      <c r="R96" s="155"/>
      <c r="S96" s="155"/>
      <c r="T96" s="155">
        <f>(Q81-Z83)*Z82</f>
        <v>39297.505558553319</v>
      </c>
      <c r="U96" s="155">
        <f>T96+Q96</f>
        <v>19147.505558553319</v>
      </c>
    </row>
    <row r="97" spans="1:21" ht="31.5" hidden="1" customHeight="1" x14ac:dyDescent="0.25">
      <c r="A97" s="25" t="s">
        <v>281</v>
      </c>
      <c r="B97" s="25"/>
      <c r="C97" s="25"/>
      <c r="D97" s="25"/>
      <c r="E97" s="155">
        <v>0</v>
      </c>
      <c r="F97" s="25"/>
      <c r="G97" s="25">
        <v>0</v>
      </c>
      <c r="H97" s="3987" t="s">
        <v>247</v>
      </c>
      <c r="I97" s="3988"/>
      <c r="L97" s="25" t="s">
        <v>288</v>
      </c>
      <c r="M97" s="25"/>
      <c r="N97" s="25"/>
      <c r="O97" s="25"/>
      <c r="P97" s="25"/>
      <c r="Q97" s="155">
        <f>Q96+Q95</f>
        <v>-4946</v>
      </c>
      <c r="R97" s="155">
        <f>R96+R95</f>
        <v>0</v>
      </c>
      <c r="S97" s="155">
        <f>S96+S95</f>
        <v>0</v>
      </c>
      <c r="T97" s="155">
        <f>T96+T95</f>
        <v>51641.412740119209</v>
      </c>
      <c r="U97" s="155">
        <f>U96+U95</f>
        <v>46695.412740119209</v>
      </c>
    </row>
    <row r="98" spans="1:21" hidden="1" x14ac:dyDescent="0.25">
      <c r="A98" s="25" t="s">
        <v>282</v>
      </c>
      <c r="B98" s="25"/>
      <c r="C98" s="25"/>
      <c r="D98" s="25"/>
      <c r="E98" s="155">
        <v>0</v>
      </c>
      <c r="F98" s="25"/>
      <c r="G98" s="25"/>
      <c r="H98" s="3825"/>
      <c r="I98" s="3989"/>
      <c r="L98" s="225" t="s">
        <v>431</v>
      </c>
      <c r="M98" s="25"/>
      <c r="N98" s="25"/>
      <c r="O98" s="25"/>
      <c r="P98" s="25"/>
      <c r="Q98" s="25" t="s">
        <v>258</v>
      </c>
      <c r="R98" s="25"/>
      <c r="S98" s="25"/>
      <c r="T98" s="25" t="s">
        <v>259</v>
      </c>
      <c r="U98" s="25" t="s">
        <v>373</v>
      </c>
    </row>
    <row r="99" spans="1:21" hidden="1" x14ac:dyDescent="0.25">
      <c r="A99" s="25" t="s">
        <v>283</v>
      </c>
      <c r="B99" s="25"/>
      <c r="C99" s="25"/>
      <c r="D99" s="25"/>
      <c r="E99" s="155">
        <v>0</v>
      </c>
      <c r="F99" s="25"/>
      <c r="G99" s="25"/>
      <c r="H99" s="3825"/>
      <c r="I99" s="3989"/>
      <c r="L99" s="25" t="s">
        <v>294</v>
      </c>
      <c r="M99" s="25"/>
      <c r="N99" s="25"/>
      <c r="O99" s="25"/>
      <c r="P99" s="25"/>
      <c r="Q99" s="155" t="e">
        <f>(L79-Y80)*Y79</f>
        <v>#VALUE!</v>
      </c>
      <c r="R99" s="155"/>
      <c r="S99" s="155"/>
      <c r="T99" s="155" t="e">
        <f>(Q79-Z80)*Z79</f>
        <v>#VALUE!</v>
      </c>
      <c r="U99" s="155" t="e">
        <f>T99+Q99</f>
        <v>#VALUE!</v>
      </c>
    </row>
    <row r="100" spans="1:21" hidden="1" x14ac:dyDescent="0.25">
      <c r="A100" s="25" t="s">
        <v>284</v>
      </c>
      <c r="B100" s="25"/>
      <c r="C100" s="25"/>
      <c r="D100" s="25"/>
      <c r="E100" s="155">
        <v>0</v>
      </c>
      <c r="F100" s="25"/>
      <c r="G100" s="25"/>
      <c r="H100" s="3825"/>
      <c r="I100" s="3989"/>
      <c r="L100" s="25" t="s">
        <v>324</v>
      </c>
      <c r="M100" s="25"/>
      <c r="N100" s="25"/>
      <c r="O100" s="25"/>
      <c r="P100" s="25"/>
      <c r="Q100" s="155">
        <f>(L85-Y87)*Y86</f>
        <v>0</v>
      </c>
      <c r="R100" s="155"/>
      <c r="S100" s="155"/>
      <c r="T100" s="155">
        <f>(Q85-Z87)*Z86</f>
        <v>0</v>
      </c>
      <c r="U100" s="155">
        <f>T100+Q100</f>
        <v>0</v>
      </c>
    </row>
    <row r="101" spans="1:21" hidden="1" x14ac:dyDescent="0.25">
      <c r="A101" s="25" t="s">
        <v>285</v>
      </c>
      <c r="B101" s="25"/>
      <c r="C101" s="25"/>
      <c r="D101" s="25"/>
      <c r="E101" s="155">
        <v>0</v>
      </c>
      <c r="F101" s="25"/>
      <c r="G101" s="25"/>
      <c r="H101" s="3825"/>
      <c r="I101" s="3989"/>
      <c r="L101" s="25" t="s">
        <v>288</v>
      </c>
      <c r="M101" s="25"/>
      <c r="N101" s="25"/>
      <c r="O101" s="25"/>
      <c r="P101" s="25"/>
      <c r="Q101" s="155" t="e">
        <f>Q100+Q99</f>
        <v>#VALUE!</v>
      </c>
      <c r="R101" s="155">
        <f>R100+R99</f>
        <v>0</v>
      </c>
      <c r="S101" s="155">
        <f>S100+S99</f>
        <v>0</v>
      </c>
      <c r="T101" s="155" t="e">
        <f>T100+T99</f>
        <v>#VALUE!</v>
      </c>
      <c r="U101" s="155" t="e">
        <f>U100+U99</f>
        <v>#VALUE!</v>
      </c>
    </row>
    <row r="102" spans="1:21" hidden="1" x14ac:dyDescent="0.25">
      <c r="A102" s="25" t="s">
        <v>286</v>
      </c>
      <c r="B102" s="25"/>
      <c r="C102" s="25"/>
      <c r="D102" s="25"/>
      <c r="E102" s="155">
        <v>0</v>
      </c>
      <c r="F102" s="25"/>
      <c r="G102" s="25"/>
      <c r="H102" s="3825"/>
      <c r="I102" s="3989"/>
      <c r="L102" s="2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idden="1" x14ac:dyDescent="0.25">
      <c r="A103" s="25" t="s">
        <v>287</v>
      </c>
      <c r="B103" s="25"/>
      <c r="C103" s="25"/>
      <c r="D103" s="25"/>
      <c r="E103" s="155">
        <v>0</v>
      </c>
      <c r="F103" s="25"/>
      <c r="G103" s="25"/>
      <c r="H103" s="3825"/>
      <c r="I103" s="3989"/>
    </row>
    <row r="104" spans="1:21" hidden="1" x14ac:dyDescent="0.25">
      <c r="A104" s="25" t="s">
        <v>288</v>
      </c>
      <c r="B104" s="25"/>
      <c r="C104" s="25"/>
      <c r="D104" s="25"/>
      <c r="E104" s="155">
        <f>SUM(E96:E103)</f>
        <v>0</v>
      </c>
      <c r="F104" s="25"/>
      <c r="G104" s="25"/>
      <c r="H104" s="3825"/>
      <c r="I104" s="3989"/>
    </row>
    <row r="105" spans="1:21" hidden="1" x14ac:dyDescent="0.25"/>
    <row r="106" spans="1:21" hidden="1" x14ac:dyDescent="0.25"/>
    <row r="107" spans="1:21" hidden="1" x14ac:dyDescent="0.25"/>
    <row r="108" spans="1:21" hidden="1" x14ac:dyDescent="0.25"/>
    <row r="109" spans="1:21" hidden="1" x14ac:dyDescent="0.25"/>
    <row r="110" spans="1:21" hidden="1" x14ac:dyDescent="0.25"/>
    <row r="111" spans="1:21" hidden="1" x14ac:dyDescent="0.25"/>
    <row r="112" spans="1:21" hidden="1" x14ac:dyDescent="0.25"/>
    <row r="113" spans="1:73" hidden="1" x14ac:dyDescent="0.25">
      <c r="BD113" s="156">
        <f>BF71</f>
        <v>32.628198394370763</v>
      </c>
      <c r="BF113" s="1252">
        <v>31.52</v>
      </c>
      <c r="BG113" s="1252">
        <f>BG114/BG72</f>
        <v>33.736396788741523</v>
      </c>
      <c r="BH113" s="2122"/>
      <c r="BI113" s="2122"/>
      <c r="BJ113" s="2122"/>
      <c r="BK113" s="2122"/>
      <c r="BL113" s="2122"/>
      <c r="BM113" s="2122"/>
      <c r="BN113" s="2122"/>
      <c r="BO113" s="2122"/>
      <c r="BP113" s="2122"/>
      <c r="BQ113" s="2122"/>
      <c r="BR113" s="2122"/>
      <c r="BS113" s="2122"/>
      <c r="BT113" s="1641">
        <f>BG113/BF113</f>
        <v>1.0703171570032208</v>
      </c>
    </row>
    <row r="114" spans="1:73" hidden="1" x14ac:dyDescent="0.25">
      <c r="BD114" s="156">
        <f>BF70</f>
        <v>130160.96371419655</v>
      </c>
      <c r="BF114">
        <f>BF113*BF72</f>
        <v>62870.05992</v>
      </c>
      <c r="BG114" s="156">
        <f>BD114-BF114</f>
        <v>67290.903794196551</v>
      </c>
      <c r="BH114" s="1845"/>
      <c r="BI114" s="1845"/>
      <c r="BJ114" s="1845"/>
      <c r="BK114" s="1845"/>
      <c r="BL114" s="1845"/>
      <c r="BM114" s="1845"/>
      <c r="BN114" s="1845"/>
      <c r="BO114" s="1845"/>
      <c r="BP114" s="1845"/>
      <c r="BQ114" s="1845"/>
      <c r="BR114" s="1845"/>
      <c r="BS114" s="1845"/>
    </row>
    <row r="115" spans="1:73" ht="25.5" x14ac:dyDescent="0.2">
      <c r="A115" s="3986" t="s">
        <v>1838</v>
      </c>
      <c r="B115" s="3986"/>
      <c r="C115" s="3986"/>
      <c r="D115" s="3986"/>
      <c r="E115" s="3986"/>
      <c r="F115" s="3986"/>
      <c r="G115" s="3986"/>
      <c r="H115" s="3986"/>
      <c r="I115" s="3986"/>
      <c r="J115" s="3986"/>
      <c r="K115" s="3986"/>
      <c r="L115" s="3986"/>
      <c r="M115" s="3986"/>
      <c r="N115" s="3986"/>
      <c r="O115" s="3986"/>
      <c r="P115" s="3986"/>
      <c r="Q115" s="3986"/>
      <c r="R115" s="3986"/>
      <c r="S115" s="3986"/>
      <c r="T115" s="3986"/>
      <c r="U115" s="3986"/>
      <c r="V115" s="3986"/>
      <c r="W115" s="3986"/>
      <c r="X115" s="3986"/>
      <c r="Y115" s="3986"/>
      <c r="Z115" s="3986"/>
      <c r="AA115" s="3986"/>
      <c r="AB115" s="3986"/>
      <c r="AC115" s="3986"/>
      <c r="AD115" s="3986"/>
      <c r="AE115" s="3986"/>
      <c r="AF115" s="3986"/>
      <c r="AG115" s="3986"/>
      <c r="AH115" s="3986"/>
      <c r="AI115" s="3986"/>
      <c r="AJ115" s="3986"/>
      <c r="AK115" s="3986"/>
      <c r="AL115" s="3986"/>
      <c r="AM115" s="3986"/>
      <c r="AN115" s="3986"/>
      <c r="AO115" s="3986"/>
      <c r="AP115" s="3986"/>
      <c r="AQ115" s="3986"/>
      <c r="AR115" s="3986"/>
      <c r="AS115" s="3986"/>
      <c r="AT115" s="3986"/>
      <c r="AU115" s="3986"/>
      <c r="AV115" s="3986"/>
      <c r="AW115" s="3986"/>
      <c r="AX115" s="3986"/>
      <c r="AY115" s="3986"/>
      <c r="AZ115" s="3986"/>
      <c r="BA115" s="3986"/>
      <c r="BB115" s="3986"/>
      <c r="BC115" s="3986"/>
      <c r="BD115" s="3986"/>
      <c r="BE115" s="3986"/>
      <c r="BF115" s="3986"/>
      <c r="BG115" s="3986"/>
      <c r="BH115" s="3986"/>
      <c r="BI115" s="3986"/>
      <c r="BJ115" s="3986"/>
      <c r="BK115" s="3986"/>
      <c r="BL115" s="3986"/>
      <c r="BM115" s="3986"/>
      <c r="BN115" s="3986"/>
      <c r="BO115" s="3986"/>
      <c r="BP115" s="3986"/>
      <c r="BQ115" s="3986"/>
      <c r="BR115" s="3986"/>
      <c r="BS115" s="3986"/>
      <c r="BT115" s="3986"/>
    </row>
    <row r="116" spans="1:73" x14ac:dyDescent="0.2">
      <c r="A116" s="928"/>
      <c r="B116" s="928"/>
      <c r="C116" s="928"/>
      <c r="D116" s="928"/>
      <c r="E116" s="928"/>
      <c r="F116" s="928"/>
      <c r="G116" s="928"/>
      <c r="H116" s="928"/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370"/>
      <c r="AK116" s="370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8"/>
      <c r="AX116" s="928"/>
      <c r="AY116" s="928"/>
      <c r="AZ116" s="928"/>
      <c r="BA116" s="1441"/>
      <c r="BB116" s="928"/>
      <c r="BC116" s="928"/>
      <c r="BD116" s="928"/>
      <c r="BE116" s="1441"/>
      <c r="BF116" s="928"/>
      <c r="BG116" s="928"/>
      <c r="BH116" s="1850"/>
      <c r="BI116" s="1850"/>
      <c r="BJ116" s="1850"/>
      <c r="BK116" s="1850"/>
      <c r="BL116" s="1850"/>
      <c r="BM116" s="1850"/>
      <c r="BN116" s="1850"/>
      <c r="BO116" s="1850"/>
      <c r="BP116" s="1850"/>
      <c r="BQ116" s="1850"/>
      <c r="BR116" s="1850"/>
      <c r="BS116" s="1850"/>
      <c r="BT116" s="928"/>
    </row>
    <row r="117" spans="1:73" ht="20.25" x14ac:dyDescent="0.2">
      <c r="A117" s="3785" t="s">
        <v>536</v>
      </c>
      <c r="B117" s="3768" t="s">
        <v>58</v>
      </c>
      <c r="C117" s="3785" t="s">
        <v>59</v>
      </c>
      <c r="D117" s="3785"/>
      <c r="E117" s="3975" t="s">
        <v>67</v>
      </c>
      <c r="F117" s="3975"/>
      <c r="G117" s="3975" t="s">
        <v>95</v>
      </c>
      <c r="H117" s="3975"/>
      <c r="I117" s="3975" t="s">
        <v>120</v>
      </c>
      <c r="J117" s="3975"/>
      <c r="K117" s="3975"/>
      <c r="L117" s="3975"/>
      <c r="M117" s="3975"/>
      <c r="N117" s="3975"/>
      <c r="O117" s="3777" t="s">
        <v>159</v>
      </c>
      <c r="P117" s="3777"/>
      <c r="Q117" s="3777"/>
      <c r="R117" s="3777"/>
      <c r="S117" s="3777"/>
      <c r="T117" s="3777"/>
      <c r="U117" s="3777"/>
      <c r="V117" s="3777"/>
      <c r="W117" s="3777"/>
      <c r="X117" s="3777"/>
      <c r="Y117" s="3976" t="s">
        <v>235</v>
      </c>
      <c r="Z117" s="3976"/>
      <c r="AA117" s="3976"/>
      <c r="AB117" s="3976"/>
      <c r="AC117" s="3976"/>
      <c r="AD117" s="3976"/>
      <c r="AE117" s="3977"/>
      <c r="AF117" s="3977"/>
      <c r="AG117" s="3977"/>
      <c r="AH117" s="3976" t="s">
        <v>373</v>
      </c>
      <c r="AI117" s="3779"/>
      <c r="AJ117" s="3779"/>
      <c r="AK117" s="3779"/>
      <c r="AL117" s="3779"/>
      <c r="AM117" s="3779"/>
      <c r="AN117" s="3779"/>
      <c r="AO117" s="3779"/>
      <c r="AP117" s="3779"/>
      <c r="AQ117" s="3779"/>
      <c r="AR117" s="3779"/>
      <c r="AS117" s="3779"/>
      <c r="AT117" s="3779"/>
      <c r="AU117" s="3779"/>
      <c r="AV117" s="3779"/>
      <c r="AW117" s="3779"/>
      <c r="AX117" s="3779"/>
      <c r="AY117" s="3779"/>
      <c r="AZ117" s="3978" t="s">
        <v>829</v>
      </c>
      <c r="BA117" s="3979"/>
      <c r="BB117" s="3979"/>
      <c r="BC117" s="3979"/>
      <c r="BD117" s="3979"/>
      <c r="BE117" s="3979"/>
      <c r="BF117" s="3979"/>
      <c r="BG117" s="3979"/>
      <c r="BH117" s="3979"/>
      <c r="BI117" s="3979"/>
      <c r="BJ117" s="3980"/>
      <c r="BK117" s="3978" t="s">
        <v>908</v>
      </c>
      <c r="BL117" s="3979"/>
      <c r="BM117" s="3980"/>
      <c r="BN117" s="3978" t="s">
        <v>1819</v>
      </c>
      <c r="BO117" s="3979"/>
      <c r="BP117" s="3979"/>
      <c r="BQ117" s="3979"/>
      <c r="BR117" s="3979"/>
      <c r="BS117" s="3980"/>
      <c r="BT117" s="3785" t="s">
        <v>156</v>
      </c>
    </row>
    <row r="118" spans="1:73" ht="18.75" customHeight="1" x14ac:dyDescent="0.2">
      <c r="A118" s="3785"/>
      <c r="B118" s="3768"/>
      <c r="C118" s="3768" t="s">
        <v>61</v>
      </c>
      <c r="D118" s="3768" t="s">
        <v>62</v>
      </c>
      <c r="E118" s="3768" t="s">
        <v>61</v>
      </c>
      <c r="F118" s="3768" t="s">
        <v>66</v>
      </c>
      <c r="G118" s="3768" t="s">
        <v>61</v>
      </c>
      <c r="H118" s="3768" t="s">
        <v>112</v>
      </c>
      <c r="I118" s="3768" t="s">
        <v>60</v>
      </c>
      <c r="J118" s="3768" t="s">
        <v>116</v>
      </c>
      <c r="K118" s="3768" t="s">
        <v>110</v>
      </c>
      <c r="L118" s="3768" t="s">
        <v>61</v>
      </c>
      <c r="M118" s="3768" t="s">
        <v>65</v>
      </c>
      <c r="N118" s="3768" t="s">
        <v>220</v>
      </c>
      <c r="O118" s="3768" t="s">
        <v>122</v>
      </c>
      <c r="P118" s="3768" t="s">
        <v>97</v>
      </c>
      <c r="Q118" s="3768" t="s">
        <v>123</v>
      </c>
      <c r="R118" s="3768" t="s">
        <v>97</v>
      </c>
      <c r="S118" s="3768" t="s">
        <v>157</v>
      </c>
      <c r="T118" s="3768" t="s">
        <v>23</v>
      </c>
      <c r="U118" s="3768"/>
      <c r="V118" s="3768" t="s">
        <v>110</v>
      </c>
      <c r="W118" s="3973" t="s">
        <v>379</v>
      </c>
      <c r="X118" s="3973"/>
      <c r="Y118" s="3768" t="s">
        <v>122</v>
      </c>
      <c r="Z118" s="3768" t="s">
        <v>97</v>
      </c>
      <c r="AA118" s="3777" t="s">
        <v>123</v>
      </c>
      <c r="AB118" s="3974"/>
      <c r="AC118" s="3974"/>
      <c r="AD118" s="3974"/>
      <c r="AE118" s="3777" t="s">
        <v>828</v>
      </c>
      <c r="AF118" s="3974"/>
      <c r="AG118" s="3974"/>
      <c r="AH118" s="3777" t="str">
        <f>Y118</f>
        <v>предложение предприятия</v>
      </c>
      <c r="AI118" s="3974"/>
      <c r="AJ118" s="3974"/>
      <c r="AK118" s="3974"/>
      <c r="AL118" s="3777" t="str">
        <f>AL5</f>
        <v>утверждено в тарифе</v>
      </c>
      <c r="AM118" s="3974"/>
      <c r="AN118" s="3974"/>
      <c r="AO118" s="3974"/>
      <c r="AP118" s="1710"/>
      <c r="AQ118" s="1710"/>
      <c r="AR118" s="1710"/>
      <c r="AS118" s="1710"/>
      <c r="AT118" s="3777" t="s">
        <v>858</v>
      </c>
      <c r="AU118" s="3974"/>
      <c r="AV118" s="3974"/>
      <c r="AW118" s="3777" t="s">
        <v>61</v>
      </c>
      <c r="AX118" s="3974"/>
      <c r="AY118" s="3974"/>
      <c r="AZ118" s="3777" t="s">
        <v>860</v>
      </c>
      <c r="BA118" s="3777"/>
      <c r="BB118" s="3974"/>
      <c r="BC118" s="3974"/>
      <c r="BD118" s="3777" t="s">
        <v>1602</v>
      </c>
      <c r="BE118" s="3777"/>
      <c r="BF118" s="3974"/>
      <c r="BG118" s="3974"/>
      <c r="BH118" s="3981" t="s">
        <v>61</v>
      </c>
      <c r="BI118" s="3982"/>
      <c r="BJ118" s="3983"/>
      <c r="BK118" s="3981" t="s">
        <v>1692</v>
      </c>
      <c r="BL118" s="3982"/>
      <c r="BM118" s="3983"/>
      <c r="BN118" s="3981" t="s">
        <v>1839</v>
      </c>
      <c r="BO118" s="3982"/>
      <c r="BP118" s="3983"/>
      <c r="BQ118" s="3981" t="s">
        <v>1537</v>
      </c>
      <c r="BR118" s="3982"/>
      <c r="BS118" s="3983"/>
      <c r="BT118" s="3785"/>
    </row>
    <row r="119" spans="1:73" ht="18.75" x14ac:dyDescent="0.2">
      <c r="A119" s="3785"/>
      <c r="B119" s="3768"/>
      <c r="C119" s="3768"/>
      <c r="D119" s="3768"/>
      <c r="E119" s="3768"/>
      <c r="F119" s="3768"/>
      <c r="G119" s="3768"/>
      <c r="H119" s="3768"/>
      <c r="I119" s="3768"/>
      <c r="J119" s="3768"/>
      <c r="K119" s="3768"/>
      <c r="L119" s="3768"/>
      <c r="M119" s="3768"/>
      <c r="N119" s="3768"/>
      <c r="O119" s="3768"/>
      <c r="P119" s="3768"/>
      <c r="Q119" s="3768"/>
      <c r="R119" s="3768"/>
      <c r="S119" s="3768"/>
      <c r="T119" s="3768" t="s">
        <v>160</v>
      </c>
      <c r="U119" s="3768" t="s">
        <v>161</v>
      </c>
      <c r="V119" s="3768"/>
      <c r="W119" s="3973"/>
      <c r="X119" s="3973"/>
      <c r="Y119" s="3768"/>
      <c r="Z119" s="3768"/>
      <c r="AA119" s="3768" t="s">
        <v>296</v>
      </c>
      <c r="AB119" s="1672"/>
      <c r="AC119" s="3768" t="s">
        <v>50</v>
      </c>
      <c r="AD119" s="3779"/>
      <c r="AE119" s="3768" t="s">
        <v>296</v>
      </c>
      <c r="AF119" s="3768" t="s">
        <v>50</v>
      </c>
      <c r="AG119" s="3779"/>
      <c r="AH119" s="3768" t="s">
        <v>296</v>
      </c>
      <c r="AI119" s="3768" t="s">
        <v>97</v>
      </c>
      <c r="AJ119" s="3768" t="s">
        <v>50</v>
      </c>
      <c r="AK119" s="3779"/>
      <c r="AL119" s="3768" t="s">
        <v>296</v>
      </c>
      <c r="AM119" s="3768" t="s">
        <v>97</v>
      </c>
      <c r="AN119" s="3768" t="s">
        <v>50</v>
      </c>
      <c r="AO119" s="3779"/>
      <c r="AP119" s="1710"/>
      <c r="AQ119" s="1710"/>
      <c r="AR119" s="1710"/>
      <c r="AS119" s="1710"/>
      <c r="AT119" s="3768" t="s">
        <v>296</v>
      </c>
      <c r="AU119" s="3768" t="s">
        <v>50</v>
      </c>
      <c r="AV119" s="3779"/>
      <c r="AW119" s="3768" t="s">
        <v>296</v>
      </c>
      <c r="AX119" s="3768" t="s">
        <v>50</v>
      </c>
      <c r="AY119" s="3779"/>
      <c r="AZ119" s="3768" t="s">
        <v>296</v>
      </c>
      <c r="BA119" s="3984" t="s">
        <v>97</v>
      </c>
      <c r="BB119" s="3768" t="s">
        <v>50</v>
      </c>
      <c r="BC119" s="3779"/>
      <c r="BD119" s="3768" t="s">
        <v>296</v>
      </c>
      <c r="BE119" s="3984" t="s">
        <v>97</v>
      </c>
      <c r="BF119" s="3768" t="s">
        <v>50</v>
      </c>
      <c r="BG119" s="3779"/>
      <c r="BH119" s="3768" t="s">
        <v>296</v>
      </c>
      <c r="BI119" s="3768" t="s">
        <v>50</v>
      </c>
      <c r="BJ119" s="3779"/>
      <c r="BK119" s="3768" t="s">
        <v>296</v>
      </c>
      <c r="BL119" s="3768" t="s">
        <v>50</v>
      </c>
      <c r="BM119" s="3779"/>
      <c r="BN119" s="3768" t="s">
        <v>296</v>
      </c>
      <c r="BO119" s="3768" t="s">
        <v>50</v>
      </c>
      <c r="BP119" s="3779"/>
      <c r="BQ119" s="3768" t="s">
        <v>296</v>
      </c>
      <c r="BR119" s="3768" t="s">
        <v>50</v>
      </c>
      <c r="BS119" s="3779"/>
      <c r="BT119" s="3785"/>
    </row>
    <row r="120" spans="1:73" ht="56.25" x14ac:dyDescent="0.2">
      <c r="A120" s="3785"/>
      <c r="B120" s="3768"/>
      <c r="C120" s="3768"/>
      <c r="D120" s="3768"/>
      <c r="E120" s="3768"/>
      <c r="F120" s="3768"/>
      <c r="G120" s="3768"/>
      <c r="H120" s="3768"/>
      <c r="I120" s="3768"/>
      <c r="J120" s="3768"/>
      <c r="K120" s="3768"/>
      <c r="L120" s="3768"/>
      <c r="M120" s="3768"/>
      <c r="N120" s="3768"/>
      <c r="O120" s="3768"/>
      <c r="P120" s="3768"/>
      <c r="Q120" s="3768"/>
      <c r="R120" s="3768"/>
      <c r="S120" s="3768"/>
      <c r="T120" s="3768"/>
      <c r="U120" s="3768"/>
      <c r="V120" s="3768"/>
      <c r="W120" s="1672" t="str">
        <f>T119</f>
        <v>питьевая</v>
      </c>
      <c r="X120" s="1755" t="str">
        <f>U119</f>
        <v>техническая</v>
      </c>
      <c r="Y120" s="3768"/>
      <c r="Z120" s="3768"/>
      <c r="AA120" s="3779"/>
      <c r="AB120" s="1672"/>
      <c r="AC120" s="1672" t="s">
        <v>377</v>
      </c>
      <c r="AD120" s="1672" t="s">
        <v>378</v>
      </c>
      <c r="AE120" s="3768"/>
      <c r="AF120" s="1672" t="s">
        <v>377</v>
      </c>
      <c r="AG120" s="1672" t="s">
        <v>378</v>
      </c>
      <c r="AH120" s="3779"/>
      <c r="AI120" s="3779"/>
      <c r="AJ120" s="1672" t="s">
        <v>377</v>
      </c>
      <c r="AK120" s="1672" t="s">
        <v>378</v>
      </c>
      <c r="AL120" s="3768"/>
      <c r="AM120" s="3779"/>
      <c r="AN120" s="1672" t="s">
        <v>377</v>
      </c>
      <c r="AO120" s="1672" t="s">
        <v>378</v>
      </c>
      <c r="AP120" s="1710"/>
      <c r="AQ120" s="1710" t="s">
        <v>364</v>
      </c>
      <c r="AR120" s="1710" t="s">
        <v>365</v>
      </c>
      <c r="AS120" s="1710"/>
      <c r="AT120" s="3768"/>
      <c r="AU120" s="1672" t="s">
        <v>377</v>
      </c>
      <c r="AV120" s="1672" t="s">
        <v>378</v>
      </c>
      <c r="AW120" s="3768"/>
      <c r="AX120" s="1672" t="s">
        <v>377</v>
      </c>
      <c r="AY120" s="1672" t="s">
        <v>378</v>
      </c>
      <c r="AZ120" s="3779"/>
      <c r="BA120" s="3985"/>
      <c r="BB120" s="1672" t="s">
        <v>377</v>
      </c>
      <c r="BC120" s="1672" t="s">
        <v>378</v>
      </c>
      <c r="BD120" s="3779"/>
      <c r="BE120" s="3985"/>
      <c r="BF120" s="1672" t="s">
        <v>377</v>
      </c>
      <c r="BG120" s="1672" t="s">
        <v>378</v>
      </c>
      <c r="BH120" s="3779"/>
      <c r="BI120" s="2109" t="s">
        <v>377</v>
      </c>
      <c r="BJ120" s="2109" t="s">
        <v>378</v>
      </c>
      <c r="BK120" s="3779"/>
      <c r="BL120" s="2421" t="s">
        <v>377</v>
      </c>
      <c r="BM120" s="2421" t="s">
        <v>378</v>
      </c>
      <c r="BN120" s="3779"/>
      <c r="BO120" s="2421" t="s">
        <v>377</v>
      </c>
      <c r="BP120" s="2421" t="s">
        <v>378</v>
      </c>
      <c r="BQ120" s="3779"/>
      <c r="BR120" s="2421" t="s">
        <v>377</v>
      </c>
      <c r="BS120" s="2421" t="s">
        <v>378</v>
      </c>
      <c r="BT120" s="3785"/>
    </row>
    <row r="121" spans="1:73" ht="21" customHeight="1" x14ac:dyDescent="0.3">
      <c r="A121" s="1681" t="s">
        <v>1</v>
      </c>
      <c r="B121" s="1770"/>
      <c r="C121" s="1770"/>
      <c r="D121" s="1770"/>
      <c r="E121" s="1770"/>
      <c r="F121" s="1770"/>
      <c r="G121" s="1770"/>
      <c r="H121" s="1770"/>
      <c r="I121" s="1770"/>
      <c r="J121" s="1770"/>
      <c r="K121" s="1770"/>
      <c r="L121" s="1770"/>
      <c r="M121" s="1770"/>
      <c r="N121" s="1770"/>
      <c r="O121" s="1770"/>
      <c r="P121" s="1770"/>
      <c r="Q121" s="1770"/>
      <c r="R121" s="1770"/>
      <c r="S121" s="1770"/>
      <c r="T121" s="1770"/>
      <c r="U121" s="1770"/>
      <c r="V121" s="1770"/>
      <c r="W121" s="1770"/>
      <c r="X121" s="1770"/>
      <c r="Y121" s="1771">
        <f>SUM(Y9+Y18)</f>
        <v>14248.9</v>
      </c>
      <c r="Z121" s="1770"/>
      <c r="AA121" s="1771">
        <f t="shared" ref="AA121:AD121" si="187">SUM(AA9+AA18)</f>
        <v>10632.187629227585</v>
      </c>
      <c r="AB121" s="1771">
        <f t="shared" si="187"/>
        <v>1.6968646141716279</v>
      </c>
      <c r="AC121" s="1771">
        <f t="shared" si="187"/>
        <v>10580.935255861641</v>
      </c>
      <c r="AD121" s="1771">
        <f t="shared" si="187"/>
        <v>51.25237336594455</v>
      </c>
      <c r="AE121" s="1784">
        <f t="shared" ref="AE121:AH121" si="188">SUM(AE9+AE18)</f>
        <v>10706.2</v>
      </c>
      <c r="AF121" s="1786">
        <f t="shared" si="188"/>
        <v>10649.963852438723</v>
      </c>
      <c r="AG121" s="1785">
        <f t="shared" si="188"/>
        <v>56.236147561277903</v>
      </c>
      <c r="AH121" s="1771">
        <f t="shared" si="188"/>
        <v>11185.75</v>
      </c>
      <c r="AI121" s="1719">
        <f t="shared" ref="AI121:AI145" si="189">SUM(AH121/AA121)</f>
        <v>1.052064766920656</v>
      </c>
      <c r="AJ121" s="1771">
        <f t="shared" ref="AJ121:AK121" si="190">SUM(AJ9+AJ18)</f>
        <v>11125.779999999999</v>
      </c>
      <c r="AK121" s="1771">
        <f t="shared" si="190"/>
        <v>59.97</v>
      </c>
      <c r="AL121" s="1784">
        <f t="shared" ref="AL121:AO121" si="191">SUM(AL9+AL18)</f>
        <v>9716.918993269308</v>
      </c>
      <c r="AM121" s="1719">
        <f t="shared" ref="AM121:AM145" si="192">SUM(AL121/AA121)</f>
        <v>0.91391530436857327</v>
      </c>
      <c r="AN121" s="1786">
        <f t="shared" si="191"/>
        <v>9664.6028935065297</v>
      </c>
      <c r="AO121" s="1785">
        <f t="shared" si="191"/>
        <v>52.316099762776503</v>
      </c>
      <c r="AP121" s="1770"/>
      <c r="AQ121" s="1770"/>
      <c r="AR121" s="1770"/>
      <c r="AS121" s="1770"/>
      <c r="AT121" s="1771">
        <f t="shared" ref="AT121:AV121" si="193">SUM(AT9+AT18)</f>
        <v>4771</v>
      </c>
      <c r="AU121" s="1771">
        <f t="shared" si="193"/>
        <v>4756.9013504280374</v>
      </c>
      <c r="AV121" s="1771">
        <f t="shared" si="193"/>
        <v>14.098649571962596</v>
      </c>
      <c r="AW121" s="1784">
        <f t="shared" ref="AW121:AY121" si="194">SUM(AW9+AW18)</f>
        <v>9901.2000000000007</v>
      </c>
      <c r="AX121" s="1786">
        <f t="shared" si="194"/>
        <v>9882.82</v>
      </c>
      <c r="AY121" s="1785">
        <f t="shared" si="194"/>
        <v>18.38</v>
      </c>
      <c r="AZ121" s="1771">
        <f t="shared" ref="AZ121:BC121" si="195">SUM(AZ9+AZ18)</f>
        <v>10789.21</v>
      </c>
      <c r="BA121" s="1721">
        <f t="shared" ref="BA121:BA145" si="196">SUM(AZ121/AL121)</f>
        <v>1.1103529840552795</v>
      </c>
      <c r="BB121" s="1771">
        <f t="shared" si="195"/>
        <v>10761.038575061768</v>
      </c>
      <c r="BC121" s="1771">
        <f t="shared" si="195"/>
        <v>28.171424938233031</v>
      </c>
      <c r="BD121" s="1784">
        <f t="shared" ref="BD121:BG121" si="197">SUM(BD9+BD18)</f>
        <v>9240.9366810833944</v>
      </c>
      <c r="BE121" s="1772">
        <f>BD121/AL121</f>
        <v>0.95101509928037731</v>
      </c>
      <c r="BF121" s="1786">
        <f t="shared" si="197"/>
        <v>9220.2964819146728</v>
      </c>
      <c r="BG121" s="1785">
        <f t="shared" si="197"/>
        <v>20.640199168723029</v>
      </c>
      <c r="BH121" s="1784">
        <f t="shared" ref="BH121:BJ121" si="198">SUM(BH9+BH18)</f>
        <v>10452.76</v>
      </c>
      <c r="BI121" s="1786">
        <f t="shared" si="198"/>
        <v>10451.460000000001</v>
      </c>
      <c r="BJ121" s="1785">
        <f t="shared" si="198"/>
        <v>1.3</v>
      </c>
      <c r="BK121" s="1784">
        <f t="shared" ref="BK121:BM121" si="199">SUM(BK9+BK18)</f>
        <v>11334.77</v>
      </c>
      <c r="BL121" s="1786">
        <f t="shared" si="199"/>
        <v>11333.7</v>
      </c>
      <c r="BM121" s="1785">
        <f t="shared" si="199"/>
        <v>1.07</v>
      </c>
      <c r="BN121" s="1784">
        <f t="shared" ref="BN121:BP121" si="200">SUM(BN9+BN18)</f>
        <v>11624.91</v>
      </c>
      <c r="BO121" s="1786">
        <f t="shared" si="200"/>
        <v>11618.16</v>
      </c>
      <c r="BP121" s="1785">
        <f t="shared" si="200"/>
        <v>6.75</v>
      </c>
      <c r="BQ121" s="1784">
        <f>SUM(BQ9+BQ18+BQ45)</f>
        <v>13328.49992347329</v>
      </c>
      <c r="BR121" s="2766">
        <f>SUM(BR9+BR18+BR45)</f>
        <v>13327.281543973289</v>
      </c>
      <c r="BS121" s="2766">
        <f>SUM(BS9+BS18+BS45)</f>
        <v>1.2183794999999999</v>
      </c>
      <c r="BT121" s="1787"/>
      <c r="BU121" s="396"/>
    </row>
    <row r="122" spans="1:73" ht="21" customHeight="1" x14ac:dyDescent="0.3">
      <c r="A122" s="1681" t="s">
        <v>2043</v>
      </c>
      <c r="B122" s="1770"/>
      <c r="C122" s="1770"/>
      <c r="D122" s="1770"/>
      <c r="E122" s="1770"/>
      <c r="F122" s="1770"/>
      <c r="G122" s="1770"/>
      <c r="H122" s="1770"/>
      <c r="I122" s="1770"/>
      <c r="J122" s="1770"/>
      <c r="K122" s="1770"/>
      <c r="L122" s="1770"/>
      <c r="M122" s="1770"/>
      <c r="N122" s="1770"/>
      <c r="O122" s="1770"/>
      <c r="P122" s="1770"/>
      <c r="Q122" s="1770"/>
      <c r="R122" s="1770"/>
      <c r="S122" s="1770"/>
      <c r="T122" s="1770"/>
      <c r="U122" s="1770"/>
      <c r="V122" s="1770"/>
      <c r="W122" s="1770"/>
      <c r="X122" s="1770"/>
      <c r="Y122" s="1771"/>
      <c r="Z122" s="1770"/>
      <c r="AA122" s="1771"/>
      <c r="AB122" s="1771"/>
      <c r="AC122" s="1771"/>
      <c r="AD122" s="1771"/>
      <c r="AE122" s="1784"/>
      <c r="AF122" s="1786"/>
      <c r="AG122" s="1785"/>
      <c r="AH122" s="1771"/>
      <c r="AI122" s="1719"/>
      <c r="AJ122" s="1771"/>
      <c r="AK122" s="1771"/>
      <c r="AL122" s="1784"/>
      <c r="AM122" s="1719"/>
      <c r="AN122" s="1786"/>
      <c r="AO122" s="1785"/>
      <c r="AP122" s="1770"/>
      <c r="AQ122" s="1770"/>
      <c r="AR122" s="1770"/>
      <c r="AS122" s="1770"/>
      <c r="AT122" s="1771"/>
      <c r="AU122" s="1771"/>
      <c r="AV122" s="1771"/>
      <c r="AW122" s="1784"/>
      <c r="AX122" s="1786"/>
      <c r="AY122" s="1785"/>
      <c r="AZ122" s="1771"/>
      <c r="BA122" s="1721"/>
      <c r="BB122" s="1771"/>
      <c r="BC122" s="1771"/>
      <c r="BD122" s="1784"/>
      <c r="BE122" s="1772"/>
      <c r="BF122" s="1786"/>
      <c r="BG122" s="1785"/>
      <c r="BH122" s="1784"/>
      <c r="BI122" s="1786"/>
      <c r="BJ122" s="1785"/>
      <c r="BK122" s="1784"/>
      <c r="BL122" s="1786"/>
      <c r="BM122" s="1785"/>
      <c r="BN122" s="1784"/>
      <c r="BO122" s="1786"/>
      <c r="BP122" s="1785"/>
      <c r="BQ122" s="1784">
        <f>BQ46</f>
        <v>313.61784093</v>
      </c>
      <c r="BR122" s="2766">
        <f>BR46</f>
        <v>313.61784093</v>
      </c>
      <c r="BS122" s="2766"/>
      <c r="BT122" s="1787"/>
      <c r="BU122" s="396"/>
    </row>
    <row r="123" spans="1:73" ht="21" customHeight="1" x14ac:dyDescent="0.3">
      <c r="A123" s="1681" t="s">
        <v>2</v>
      </c>
      <c r="B123" s="1770"/>
      <c r="C123" s="1770"/>
      <c r="D123" s="1770"/>
      <c r="E123" s="1770"/>
      <c r="F123" s="1770"/>
      <c r="G123" s="1770"/>
      <c r="H123" s="1770"/>
      <c r="I123" s="1770"/>
      <c r="J123" s="1770"/>
      <c r="K123" s="1770"/>
      <c r="L123" s="1770"/>
      <c r="M123" s="1770"/>
      <c r="N123" s="1770"/>
      <c r="O123" s="1770"/>
      <c r="P123" s="1770"/>
      <c r="Q123" s="1770"/>
      <c r="R123" s="1770"/>
      <c r="S123" s="1770"/>
      <c r="T123" s="1770"/>
      <c r="U123" s="1770"/>
      <c r="V123" s="1770"/>
      <c r="W123" s="1770"/>
      <c r="X123" s="1770"/>
      <c r="Y123" s="1771">
        <f>SUM(Y10+Y20+Y29+Y36)</f>
        <v>7436.7999999999993</v>
      </c>
      <c r="Z123" s="1770"/>
      <c r="AA123" s="1771">
        <f t="shared" ref="AA123:AD123" si="201">SUM(AA10+AA20+AA29+AA36)</f>
        <v>7295.0999999999995</v>
      </c>
      <c r="AB123" s="1771">
        <f t="shared" si="201"/>
        <v>4.1429188038024671</v>
      </c>
      <c r="AC123" s="1771">
        <f t="shared" si="201"/>
        <v>7218.8177829327269</v>
      </c>
      <c r="AD123" s="1771">
        <f t="shared" si="201"/>
        <v>76.2822170672722</v>
      </c>
      <c r="AE123" s="1784">
        <f t="shared" ref="AE123:AH123" si="202">SUM(AE10+AE20+AE29+AE36)</f>
        <v>7609.7999999999993</v>
      </c>
      <c r="AF123" s="1786">
        <f t="shared" si="202"/>
        <v>7528.8401683585043</v>
      </c>
      <c r="AG123" s="1785">
        <f t="shared" si="202"/>
        <v>80.959831641495228</v>
      </c>
      <c r="AH123" s="1771">
        <f t="shared" si="202"/>
        <v>7550.3</v>
      </c>
      <c r="AI123" s="1719">
        <f t="shared" si="189"/>
        <v>1.0349823854368001</v>
      </c>
      <c r="AJ123" s="1771">
        <f t="shared" ref="AJ123:AK123" si="203">SUM(AJ10+AJ20+AJ29+AJ36)</f>
        <v>7472.56</v>
      </c>
      <c r="AK123" s="1771">
        <f t="shared" si="203"/>
        <v>77.739999999999995</v>
      </c>
      <c r="AL123" s="1784">
        <f t="shared" ref="AL123:AO123" si="204">SUM(AL10+AL20+AL29+AL36)</f>
        <v>7550.3</v>
      </c>
      <c r="AM123" s="1719">
        <f t="shared" si="192"/>
        <v>1.0349823854368001</v>
      </c>
      <c r="AN123" s="1786">
        <f t="shared" si="204"/>
        <v>7472.5617749975318</v>
      </c>
      <c r="AO123" s="1785">
        <f t="shared" si="204"/>
        <v>77.738225002467743</v>
      </c>
      <c r="AP123" s="1770"/>
      <c r="AQ123" s="1770"/>
      <c r="AR123" s="1770"/>
      <c r="AS123" s="1770"/>
      <c r="AT123" s="1771">
        <f t="shared" ref="AT123:AV123" si="205">SUM(AT10+AT20+AT29+AT36)</f>
        <v>3993.2199999999993</v>
      </c>
      <c r="AU123" s="1771">
        <f t="shared" si="205"/>
        <v>3970.7304376833731</v>
      </c>
      <c r="AV123" s="1771">
        <f t="shared" si="205"/>
        <v>22.489562316627246</v>
      </c>
      <c r="AW123" s="1784">
        <f t="shared" ref="AW123:AY123" si="206">SUM(AW10+AW20+AW29+AW36)</f>
        <v>8296.6500000000015</v>
      </c>
      <c r="AX123" s="1786">
        <f t="shared" si="206"/>
        <v>8264.18</v>
      </c>
      <c r="AY123" s="1785">
        <f t="shared" si="206"/>
        <v>32.47</v>
      </c>
      <c r="AZ123" s="1771">
        <f t="shared" ref="AZ123:BC123" si="207">SUM(AZ10+AZ20+AZ29+AZ36)</f>
        <v>7550.3</v>
      </c>
      <c r="BA123" s="1721">
        <f t="shared" si="196"/>
        <v>1</v>
      </c>
      <c r="BB123" s="1771">
        <f t="shared" si="207"/>
        <v>7513.8271599000345</v>
      </c>
      <c r="BC123" s="1771">
        <f t="shared" si="207"/>
        <v>36.472840099964401</v>
      </c>
      <c r="BD123" s="1784">
        <f t="shared" ref="BD123:BG123" si="208">SUM(BD10+BD20+BD29+BD36)</f>
        <v>8136.1</v>
      </c>
      <c r="BE123" s="1772">
        <f t="shared" ref="BE123:BE134" si="209">BD123/AL123</f>
        <v>1.077586321073335</v>
      </c>
      <c r="BF123" s="1786">
        <f t="shared" si="208"/>
        <v>8100.8486536926684</v>
      </c>
      <c r="BG123" s="1785">
        <f t="shared" si="208"/>
        <v>35.251346307332426</v>
      </c>
      <c r="BH123" s="1784">
        <f t="shared" ref="BH123:BJ123" si="210">SUM(BH10+BH20+BH29+BH36)</f>
        <v>8497.9000000000015</v>
      </c>
      <c r="BI123" s="1786">
        <f t="shared" si="210"/>
        <v>8493.08</v>
      </c>
      <c r="BJ123" s="1785">
        <f t="shared" si="210"/>
        <v>4.82</v>
      </c>
      <c r="BK123" s="1784">
        <f t="shared" ref="BK123:BM123" si="211">SUM(BK10+BK20+BK29+BK36)</f>
        <v>9984.3799999999992</v>
      </c>
      <c r="BL123" s="1786">
        <f t="shared" si="211"/>
        <v>9980.93</v>
      </c>
      <c r="BM123" s="1785">
        <f t="shared" si="211"/>
        <v>3.45</v>
      </c>
      <c r="BN123" s="1784">
        <f>SUM(BN10+BN20+BN29+BN36)</f>
        <v>9984.3799999999992</v>
      </c>
      <c r="BO123" s="1786">
        <f>SUM(BO10+BO20+BO29+BO36)</f>
        <v>9979.39</v>
      </c>
      <c r="BP123" s="1785">
        <f>SUM(BP10+BP20+BP29+BP36)</f>
        <v>4.99</v>
      </c>
      <c r="BQ123" s="1784">
        <f>SUM(BQ10+BQ20+BQ29+BQ36+BQ44)</f>
        <v>9984.3799999999992</v>
      </c>
      <c r="BR123" s="2767">
        <f>SUM(BR10+BR20+BR29+BR36+BR44)</f>
        <v>9982.6164784696339</v>
      </c>
      <c r="BS123" s="2767">
        <f>SUM(BS10+BS20+BS29+BS36+BS44)</f>
        <v>1.7635215303655989</v>
      </c>
      <c r="BT123" s="1787"/>
      <c r="BU123" s="396"/>
    </row>
    <row r="124" spans="1:73" ht="21" customHeight="1" x14ac:dyDescent="0.3">
      <c r="A124" s="1681" t="s">
        <v>3</v>
      </c>
      <c r="B124" s="1770"/>
      <c r="C124" s="1770"/>
      <c r="D124" s="1770"/>
      <c r="E124" s="1770"/>
      <c r="F124" s="1770"/>
      <c r="G124" s="1770"/>
      <c r="H124" s="1770"/>
      <c r="I124" s="1770"/>
      <c r="J124" s="1770"/>
      <c r="K124" s="1770"/>
      <c r="L124" s="1770"/>
      <c r="M124" s="1770"/>
      <c r="N124" s="1770"/>
      <c r="O124" s="1770"/>
      <c r="P124" s="1770"/>
      <c r="Q124" s="1770"/>
      <c r="R124" s="1770"/>
      <c r="S124" s="1770"/>
      <c r="T124" s="1770"/>
      <c r="U124" s="1770"/>
      <c r="V124" s="1770"/>
      <c r="W124" s="1770"/>
      <c r="X124" s="1770"/>
      <c r="Y124" s="1771">
        <f>SUM(Y12+Y22+Y28+Y38)</f>
        <v>4740</v>
      </c>
      <c r="Z124" s="1770"/>
      <c r="AA124" s="1771">
        <f t="shared" ref="AA124:AD124" si="212">SUM(AA12+AA22+AA28+AA38)</f>
        <v>780</v>
      </c>
      <c r="AB124" s="1771">
        <f t="shared" si="212"/>
        <v>0</v>
      </c>
      <c r="AC124" s="1771">
        <f t="shared" si="212"/>
        <v>771.14555056512506</v>
      </c>
      <c r="AD124" s="1771">
        <f t="shared" si="212"/>
        <v>8.8544494348749367</v>
      </c>
      <c r="AE124" s="1784">
        <f t="shared" ref="AE124:AH124" si="213">SUM(AE12+AE22+AE28+AE38)</f>
        <v>2799.1</v>
      </c>
      <c r="AF124" s="1786">
        <f t="shared" si="213"/>
        <v>2799.1</v>
      </c>
      <c r="AG124" s="1785">
        <f t="shared" si="213"/>
        <v>0</v>
      </c>
      <c r="AH124" s="1771">
        <f t="shared" si="213"/>
        <v>3679.26</v>
      </c>
      <c r="AI124" s="1719">
        <f t="shared" si="189"/>
        <v>4.7170000000000005</v>
      </c>
      <c r="AJ124" s="1771">
        <f t="shared" ref="AJ124:AK124" si="214">SUM(AJ12+AJ22+AJ28+AJ38)</f>
        <v>3670</v>
      </c>
      <c r="AK124" s="1771">
        <f t="shared" si="214"/>
        <v>9.26</v>
      </c>
      <c r="AL124" s="1784">
        <f t="shared" ref="AL124:AO124" si="215">SUM(AL12+AL22+AL28+AL38)</f>
        <v>215.84899999999999</v>
      </c>
      <c r="AM124" s="1719">
        <f t="shared" si="192"/>
        <v>0.27672948717948714</v>
      </c>
      <c r="AN124" s="1786">
        <f t="shared" si="215"/>
        <v>215.84899999999999</v>
      </c>
      <c r="AO124" s="1785">
        <f t="shared" si="215"/>
        <v>0</v>
      </c>
      <c r="AP124" s="1770"/>
      <c r="AQ124" s="1770"/>
      <c r="AR124" s="1770"/>
      <c r="AS124" s="1770"/>
      <c r="AT124" s="1771">
        <f t="shared" ref="AT124:AV124" si="216">SUM(AT12+AT22+AT28+AT38)</f>
        <v>2859.89</v>
      </c>
      <c r="AU124" s="1771">
        <f t="shared" si="216"/>
        <v>2859.89</v>
      </c>
      <c r="AV124" s="1771">
        <f t="shared" si="216"/>
        <v>0</v>
      </c>
      <c r="AW124" s="1784">
        <f t="shared" ref="AW124:AY124" si="217">SUM(AW12+AW22+AW28+AW38)</f>
        <v>4225</v>
      </c>
      <c r="AX124" s="1786">
        <f t="shared" si="217"/>
        <v>4225</v>
      </c>
      <c r="AY124" s="1785">
        <f t="shared" si="217"/>
        <v>0</v>
      </c>
      <c r="AZ124" s="1771">
        <f t="shared" ref="AZ124:BC124" si="218">SUM(AZ12+AZ22+AZ28+AZ38)</f>
        <v>2762.73</v>
      </c>
      <c r="BA124" s="1721">
        <f t="shared" si="196"/>
        <v>12.799364370462685</v>
      </c>
      <c r="BB124" s="1771">
        <f t="shared" si="218"/>
        <v>4100.2159999999994</v>
      </c>
      <c r="BC124" s="1771">
        <f t="shared" si="218"/>
        <v>0</v>
      </c>
      <c r="BD124" s="1784">
        <f t="shared" ref="BD124:BG124" si="219">SUM(BD12+BD22+BD28+BD38)</f>
        <v>500.53977966101695</v>
      </c>
      <c r="BE124" s="1772">
        <f t="shared" si="209"/>
        <v>2.3189349019963816</v>
      </c>
      <c r="BF124" s="1786">
        <f t="shared" si="219"/>
        <v>500.53977966101695</v>
      </c>
      <c r="BG124" s="1785">
        <f t="shared" si="219"/>
        <v>0</v>
      </c>
      <c r="BH124" s="1784">
        <f t="shared" ref="BH124:BJ124" si="220">SUM(BH12+BH22+BH28+BH38)</f>
        <v>2916.66</v>
      </c>
      <c r="BI124" s="1786">
        <f t="shared" si="220"/>
        <v>2916.66</v>
      </c>
      <c r="BJ124" s="1785">
        <f t="shared" si="220"/>
        <v>0</v>
      </c>
      <c r="BK124" s="1784">
        <f t="shared" ref="BK124:BM124" si="221">SUM(BK12+BK22+BK28+BK38)</f>
        <v>7047.5399999999991</v>
      </c>
      <c r="BL124" s="1786">
        <f t="shared" si="221"/>
        <v>7047.5399999999991</v>
      </c>
      <c r="BM124" s="1785">
        <f t="shared" si="221"/>
        <v>0</v>
      </c>
      <c r="BN124" s="1784">
        <f>SUM(BN12+BN22+BN28+BN38)</f>
        <v>3460.57</v>
      </c>
      <c r="BO124" s="1786">
        <f>SUM(BO12+BO22+BO28+BO38)</f>
        <v>3459.11</v>
      </c>
      <c r="BP124" s="1785">
        <f>SUM(BP12+BP22+BP28+BP38)</f>
        <v>1.46</v>
      </c>
      <c r="BQ124" s="1784">
        <f>BQ12+BQ22+BQ28+BQ38</f>
        <v>1632.0923300000002</v>
      </c>
      <c r="BR124" s="2768">
        <f t="shared" ref="BR124:BS124" si="222">BR12+BR22+BR28+BR38</f>
        <v>1631.5850847953216</v>
      </c>
      <c r="BS124" s="2768">
        <f t="shared" si="222"/>
        <v>0.50724520467857759</v>
      </c>
      <c r="BT124" s="1787"/>
      <c r="BU124" s="396"/>
    </row>
    <row r="125" spans="1:73" ht="21" customHeight="1" x14ac:dyDescent="0.3">
      <c r="A125" s="1681" t="s">
        <v>4</v>
      </c>
      <c r="B125" s="1770"/>
      <c r="C125" s="1770"/>
      <c r="D125" s="1770"/>
      <c r="E125" s="1770"/>
      <c r="F125" s="1770"/>
      <c r="G125" s="1770"/>
      <c r="H125" s="1770"/>
      <c r="I125" s="1770"/>
      <c r="J125" s="1770"/>
      <c r="K125" s="1770"/>
      <c r="L125" s="1770"/>
      <c r="M125" s="1770"/>
      <c r="N125" s="1770"/>
      <c r="O125" s="1770"/>
      <c r="P125" s="1770"/>
      <c r="Q125" s="1770"/>
      <c r="R125" s="1770"/>
      <c r="S125" s="1770"/>
      <c r="T125" s="1770"/>
      <c r="U125" s="1770"/>
      <c r="V125" s="1770"/>
      <c r="W125" s="1770"/>
      <c r="X125" s="1770"/>
      <c r="Y125" s="1771">
        <f>SUM(Y13+Y23+Y31+Y39)</f>
        <v>47903.399999999994</v>
      </c>
      <c r="Z125" s="1770"/>
      <c r="AA125" s="1771">
        <f t="shared" ref="AA125:AD125" si="223">SUM(AA13+AA23+AA31+AA39)</f>
        <v>41422.018619520008</v>
      </c>
      <c r="AB125" s="1771">
        <f t="shared" si="223"/>
        <v>4.2240000000000002</v>
      </c>
      <c r="AC125" s="1771">
        <f t="shared" si="223"/>
        <v>41158.026872560535</v>
      </c>
      <c r="AD125" s="1771">
        <f t="shared" si="223"/>
        <v>263.99174695946112</v>
      </c>
      <c r="AE125" s="1784">
        <f t="shared" ref="AE125:AH125" si="224">SUM(AE13+AE23+AE31+AE39)</f>
        <v>40440.100000000006</v>
      </c>
      <c r="AF125" s="1786">
        <f t="shared" si="224"/>
        <v>40170.590636296118</v>
      </c>
      <c r="AG125" s="1785">
        <f t="shared" si="224"/>
        <v>269.50936370388717</v>
      </c>
      <c r="AH125" s="1771">
        <f t="shared" si="224"/>
        <v>43632.09</v>
      </c>
      <c r="AI125" s="1719">
        <f t="shared" si="189"/>
        <v>1.053354989788897</v>
      </c>
      <c r="AJ125" s="1771">
        <f t="shared" ref="AJ125:AK125" si="225">SUM(AJ13+AJ23+AJ31+AJ39)</f>
        <v>43351.78</v>
      </c>
      <c r="AK125" s="1771">
        <f t="shared" si="225"/>
        <v>280.31</v>
      </c>
      <c r="AL125" s="1784">
        <f t="shared" ref="AL125:AO125" si="226">SUM(AL13+AL23+AL31+AL39)</f>
        <v>42354.204645413141</v>
      </c>
      <c r="AM125" s="1719">
        <f t="shared" si="192"/>
        <v>1.0225046015853472</v>
      </c>
      <c r="AN125" s="1786">
        <f t="shared" si="226"/>
        <v>42088.441456922927</v>
      </c>
      <c r="AO125" s="1785">
        <f t="shared" si="226"/>
        <v>265.76318849021391</v>
      </c>
      <c r="AP125" s="1770"/>
      <c r="AQ125" s="1770"/>
      <c r="AR125" s="1770"/>
      <c r="AS125" s="1770"/>
      <c r="AT125" s="1771">
        <f t="shared" ref="AT125:AV125" si="227">SUM(AT13+AT23+AT31+AT39)</f>
        <v>19727</v>
      </c>
      <c r="AU125" s="1771">
        <f t="shared" si="227"/>
        <v>19654.408198022586</v>
      </c>
      <c r="AV125" s="1771">
        <f t="shared" si="227"/>
        <v>72.59180197741307</v>
      </c>
      <c r="AW125" s="1784">
        <f t="shared" ref="AW125:AY125" si="228">SUM(AW13+AW23+AW31+AW39)</f>
        <v>40773.21</v>
      </c>
      <c r="AX125" s="1786">
        <f t="shared" si="228"/>
        <v>40669.570000000007</v>
      </c>
      <c r="AY125" s="1785">
        <f t="shared" si="228"/>
        <v>103.64000000000001</v>
      </c>
      <c r="AZ125" s="1771">
        <f t="shared" ref="AZ125:BC125" si="229">SUM(AZ13+AZ23+AZ31+AZ39)</f>
        <v>47704.91</v>
      </c>
      <c r="BA125" s="1721">
        <f t="shared" si="196"/>
        <v>1.1263323299158288</v>
      </c>
      <c r="BB125" s="1771">
        <f t="shared" si="229"/>
        <v>47560.244138990885</v>
      </c>
      <c r="BC125" s="1771">
        <f t="shared" si="229"/>
        <v>144.66586100911263</v>
      </c>
      <c r="BD125" s="1784">
        <f t="shared" ref="BD125:BG125" si="230">SUM(BD13+BD23+BD31+BD39)</f>
        <v>47464.129975317854</v>
      </c>
      <c r="BE125" s="1772">
        <f t="shared" si="209"/>
        <v>1.1206474155915498</v>
      </c>
      <c r="BF125" s="1786">
        <f t="shared" si="230"/>
        <v>47330.74686058973</v>
      </c>
      <c r="BG125" s="1785">
        <f t="shared" si="230"/>
        <v>133.38311472812438</v>
      </c>
      <c r="BH125" s="1784">
        <f t="shared" ref="BH125:BJ125" si="231">SUM(BH13+BH23+BH31+BH39)</f>
        <v>41402.899999999994</v>
      </c>
      <c r="BI125" s="1786">
        <f t="shared" si="231"/>
        <v>41388.380000000005</v>
      </c>
      <c r="BJ125" s="1785">
        <f t="shared" si="231"/>
        <v>14.52</v>
      </c>
      <c r="BK125" s="1784">
        <f t="shared" ref="BK125:BM125" si="232">SUM(BK13+BK23+BK31+BK39)</f>
        <v>42122.06</v>
      </c>
      <c r="BL125" s="1786">
        <f t="shared" si="232"/>
        <v>42112.22</v>
      </c>
      <c r="BM125" s="1785">
        <f t="shared" si="232"/>
        <v>9.84</v>
      </c>
      <c r="BN125" s="1784">
        <f t="shared" ref="BN125:BP126" si="233">SUM(BN13+BN23+BN31+BN39)</f>
        <v>55856.31</v>
      </c>
      <c r="BO125" s="1786">
        <f t="shared" si="233"/>
        <v>55816.49</v>
      </c>
      <c r="BP125" s="1785">
        <f t="shared" si="233"/>
        <v>39.82</v>
      </c>
      <c r="BQ125" s="1784">
        <f t="shared" ref="BQ125:BS126" si="234">BQ13+BQ23+BQ31+BQ39+BQ47</f>
        <v>54337.410097773143</v>
      </c>
      <c r="BR125" s="2768">
        <f t="shared" si="234"/>
        <v>54324.772711788915</v>
      </c>
      <c r="BS125" s="2768">
        <f t="shared" si="234"/>
        <v>12.637385984227878</v>
      </c>
      <c r="BT125" s="1787"/>
      <c r="BU125" s="396"/>
    </row>
    <row r="126" spans="1:73" ht="21" customHeight="1" x14ac:dyDescent="0.3">
      <c r="A126" s="1681" t="s">
        <v>5</v>
      </c>
      <c r="B126" s="1770"/>
      <c r="C126" s="1770"/>
      <c r="D126" s="1770"/>
      <c r="E126" s="1770"/>
      <c r="F126" s="1770"/>
      <c r="G126" s="1770"/>
      <c r="H126" s="1770"/>
      <c r="I126" s="1770"/>
      <c r="J126" s="1770"/>
      <c r="K126" s="1770"/>
      <c r="L126" s="1770"/>
      <c r="M126" s="1770"/>
      <c r="N126" s="1770"/>
      <c r="O126" s="1770"/>
      <c r="P126" s="1770"/>
      <c r="Q126" s="1770"/>
      <c r="R126" s="1770"/>
      <c r="S126" s="1770"/>
      <c r="T126" s="1770"/>
      <c r="U126" s="1770"/>
      <c r="V126" s="1770"/>
      <c r="W126" s="1770"/>
      <c r="X126" s="1770"/>
      <c r="Y126" s="1771">
        <f>SUM(Y14+Y24+Y32+Y40)</f>
        <v>14466.800000000001</v>
      </c>
      <c r="Z126" s="1770"/>
      <c r="AA126" s="1771">
        <f t="shared" ref="AA126:AD126" si="235">SUM(AA14+AA24+AA32+AA40)</f>
        <v>12453.395960809921</v>
      </c>
      <c r="AB126" s="1771">
        <f t="shared" si="235"/>
        <v>4.2055363909018268</v>
      </c>
      <c r="AC126" s="1771">
        <f t="shared" si="235"/>
        <v>12373.931019474236</v>
      </c>
      <c r="AD126" s="1771">
        <f t="shared" si="235"/>
        <v>79.464941335686717</v>
      </c>
      <c r="AE126" s="1784">
        <f t="shared" ref="AE126:AH126" si="236">SUM(AE14+AE24+AE32+AE40)</f>
        <v>12129.699999999999</v>
      </c>
      <c r="AF126" s="1786">
        <f t="shared" si="236"/>
        <v>12048.470146075761</v>
      </c>
      <c r="AG126" s="1785">
        <f t="shared" si="236"/>
        <v>81.229853924238569</v>
      </c>
      <c r="AH126" s="1771">
        <f t="shared" si="236"/>
        <v>13143.624329999999</v>
      </c>
      <c r="AI126" s="1719">
        <f t="shared" si="189"/>
        <v>1.0554249115150747</v>
      </c>
      <c r="AJ126" s="1771">
        <f t="shared" ref="AJ126:AK126" si="237">SUM(AJ14+AJ24+AJ32+AJ40)</f>
        <v>13059.134329999999</v>
      </c>
      <c r="AK126" s="1771">
        <f t="shared" si="237"/>
        <v>84.490000000000009</v>
      </c>
      <c r="AL126" s="1784">
        <f t="shared" ref="AL126:AO126" si="238">SUM(AL14+AL24+AL32+AL40)</f>
        <v>12734.667591698035</v>
      </c>
      <c r="AM126" s="1719">
        <f t="shared" si="192"/>
        <v>1.0225859381467721</v>
      </c>
      <c r="AN126" s="1786">
        <f t="shared" si="238"/>
        <v>12654.653785637802</v>
      </c>
      <c r="AO126" s="1785">
        <f t="shared" si="238"/>
        <v>80.013806060234131</v>
      </c>
      <c r="AP126" s="1770"/>
      <c r="AQ126" s="1770"/>
      <c r="AR126" s="1770"/>
      <c r="AS126" s="1770"/>
      <c r="AT126" s="1771">
        <f t="shared" ref="AT126:AV126" si="239">SUM(AT14+AT24+AT32+AT40)</f>
        <v>5887.33</v>
      </c>
      <c r="AU126" s="1771">
        <f t="shared" si="239"/>
        <v>5865.3422383545676</v>
      </c>
      <c r="AV126" s="1771">
        <f t="shared" si="239"/>
        <v>21.987761645432215</v>
      </c>
      <c r="AW126" s="1784">
        <f t="shared" ref="AW126:AY126" si="240">SUM(AW14+AW24+AW32+AW40)</f>
        <v>12222.1</v>
      </c>
      <c r="AX126" s="1786">
        <f t="shared" si="240"/>
        <v>12190.66</v>
      </c>
      <c r="AY126" s="1785">
        <f t="shared" si="240"/>
        <v>31.439999999999998</v>
      </c>
      <c r="AZ126" s="1771">
        <f t="shared" ref="AZ126:BC126" si="241">SUM(AZ14+AZ24+AZ32+AZ40)</f>
        <v>14370.571280998902</v>
      </c>
      <c r="BA126" s="1721">
        <f t="shared" si="196"/>
        <v>1.1284606510159199</v>
      </c>
      <c r="BB126" s="1771">
        <f t="shared" si="241"/>
        <v>14326.96600714799</v>
      </c>
      <c r="BC126" s="1771">
        <f t="shared" si="241"/>
        <v>43.605273850911409</v>
      </c>
      <c r="BD126" s="1784">
        <f t="shared" ref="BD126:BG126" si="242">SUM(BD14+BD24+BD32+BD40)</f>
        <v>14216.857982124668</v>
      </c>
      <c r="BE126" s="1772">
        <f t="shared" si="209"/>
        <v>1.1163901907728553</v>
      </c>
      <c r="BF126" s="1786">
        <f t="shared" si="242"/>
        <v>14176.749847993546</v>
      </c>
      <c r="BG126" s="1785">
        <f t="shared" si="242"/>
        <v>40.108134131122803</v>
      </c>
      <c r="BH126" s="1784">
        <f t="shared" ref="BH126:BJ126" si="243">SUM(BH14+BH24+BH32+BH40)</f>
        <v>12414.38</v>
      </c>
      <c r="BI126" s="1786">
        <f t="shared" si="243"/>
        <v>12410.06</v>
      </c>
      <c r="BJ126" s="1785">
        <f t="shared" si="243"/>
        <v>4.32</v>
      </c>
      <c r="BK126" s="1784">
        <f t="shared" ref="BK126:BM126" si="244">SUM(BK14+BK24+BK32+BK40)</f>
        <v>12725.33</v>
      </c>
      <c r="BL126" s="1786">
        <f t="shared" si="244"/>
        <v>12722.36</v>
      </c>
      <c r="BM126" s="1785">
        <f t="shared" si="244"/>
        <v>2.9699999999999998</v>
      </c>
      <c r="BN126" s="1784">
        <f t="shared" si="233"/>
        <v>16728.38</v>
      </c>
      <c r="BO126" s="1786">
        <f t="shared" si="233"/>
        <v>16716.41</v>
      </c>
      <c r="BP126" s="1785">
        <f t="shared" si="233"/>
        <v>11.969999999999999</v>
      </c>
      <c r="BQ126" s="1784">
        <f t="shared" si="234"/>
        <v>16274.891770933826</v>
      </c>
      <c r="BR126" s="2768">
        <f t="shared" si="234"/>
        <v>16271.091859696404</v>
      </c>
      <c r="BS126" s="2768">
        <f t="shared" si="234"/>
        <v>3.7999112374225921</v>
      </c>
      <c r="BT126" s="1787"/>
      <c r="BU126" s="396"/>
    </row>
    <row r="127" spans="1:73" ht="21" customHeight="1" x14ac:dyDescent="0.3">
      <c r="A127" s="1681" t="s">
        <v>8</v>
      </c>
      <c r="B127" s="1770"/>
      <c r="C127" s="1770"/>
      <c r="D127" s="1770"/>
      <c r="E127" s="1770"/>
      <c r="F127" s="1770"/>
      <c r="G127" s="1770"/>
      <c r="H127" s="1770"/>
      <c r="I127" s="1770"/>
      <c r="J127" s="1770"/>
      <c r="K127" s="1770"/>
      <c r="L127" s="1770"/>
      <c r="M127" s="1770"/>
      <c r="N127" s="1770"/>
      <c r="O127" s="1770"/>
      <c r="P127" s="1770"/>
      <c r="Q127" s="1770"/>
      <c r="R127" s="1770"/>
      <c r="S127" s="1770"/>
      <c r="T127" s="1770"/>
      <c r="U127" s="1770"/>
      <c r="V127" s="1770"/>
      <c r="W127" s="1770"/>
      <c r="X127" s="1770"/>
      <c r="Y127" s="1771">
        <f>SUM(Y19)</f>
        <v>6984.1</v>
      </c>
      <c r="Z127" s="1770"/>
      <c r="AA127" s="1771">
        <f t="shared" ref="AA127:AD127" si="245">SUM(AA19)</f>
        <v>4253.0293007044547</v>
      </c>
      <c r="AB127" s="1771">
        <f t="shared" si="245"/>
        <v>0.76773310286295993</v>
      </c>
      <c r="AC127" s="1771">
        <f t="shared" si="245"/>
        <v>4253.0293007044547</v>
      </c>
      <c r="AD127" s="1771">
        <f t="shared" si="245"/>
        <v>0</v>
      </c>
      <c r="AE127" s="1784">
        <f t="shared" ref="AE127:AH127" si="246">SUM(AE19)</f>
        <v>4087.3393910999998</v>
      </c>
      <c r="AF127" s="1786">
        <f t="shared" si="246"/>
        <v>4087.3393910999998</v>
      </c>
      <c r="AG127" s="1785">
        <f t="shared" si="246"/>
        <v>0</v>
      </c>
      <c r="AH127" s="1771">
        <f t="shared" si="246"/>
        <v>4631.88</v>
      </c>
      <c r="AI127" s="1719">
        <f t="shared" si="189"/>
        <v>1.0890778484015602</v>
      </c>
      <c r="AJ127" s="1771">
        <f t="shared" ref="AJ127:AK127" si="247">SUM(AJ19)</f>
        <v>4631.88</v>
      </c>
      <c r="AK127" s="1771">
        <f t="shared" si="247"/>
        <v>0</v>
      </c>
      <c r="AL127" s="1784">
        <f t="shared" ref="AL127:AO127" si="248">SUM(AL19)</f>
        <v>3968.311174693004</v>
      </c>
      <c r="AM127" s="1719">
        <f t="shared" si="192"/>
        <v>0.93305521643965839</v>
      </c>
      <c r="AN127" s="1786">
        <f t="shared" si="248"/>
        <v>3968.311174693004</v>
      </c>
      <c r="AO127" s="1785">
        <f t="shared" si="248"/>
        <v>0</v>
      </c>
      <c r="AP127" s="1770"/>
      <c r="AQ127" s="1770"/>
      <c r="AR127" s="1770"/>
      <c r="AS127" s="1770"/>
      <c r="AT127" s="1771">
        <f t="shared" ref="AT127:AV127" si="249">SUM(AT19)</f>
        <v>2640.0770813999998</v>
      </c>
      <c r="AU127" s="1771">
        <f t="shared" si="249"/>
        <v>2640.0770813999998</v>
      </c>
      <c r="AV127" s="1771">
        <f t="shared" si="249"/>
        <v>0</v>
      </c>
      <c r="AW127" s="1784">
        <f t="shared" ref="AW127:AY127" si="250">SUM(AW19)</f>
        <v>5707.19</v>
      </c>
      <c r="AX127" s="1786">
        <f t="shared" si="250"/>
        <v>5707.19</v>
      </c>
      <c r="AY127" s="1785">
        <f t="shared" si="250"/>
        <v>0</v>
      </c>
      <c r="AZ127" s="1771">
        <f t="shared" ref="AZ127:BC127" si="251">SUM(AZ19)</f>
        <v>6791.38</v>
      </c>
      <c r="BA127" s="1721">
        <f t="shared" si="196"/>
        <v>1.711403088374337</v>
      </c>
      <c r="BB127" s="1771">
        <f t="shared" si="251"/>
        <v>6791.38</v>
      </c>
      <c r="BC127" s="1771">
        <f t="shared" si="251"/>
        <v>0</v>
      </c>
      <c r="BD127" s="1784">
        <f t="shared" ref="BD127:BG127" si="252">SUM(BD19)</f>
        <v>6985.4283978386675</v>
      </c>
      <c r="BE127" s="1772">
        <f t="shared" si="209"/>
        <v>1.7603025796935075</v>
      </c>
      <c r="BF127" s="1786">
        <f t="shared" si="252"/>
        <v>6985.4283978386675</v>
      </c>
      <c r="BG127" s="1785">
        <f t="shared" si="252"/>
        <v>0</v>
      </c>
      <c r="BH127" s="1784">
        <f t="shared" ref="BH127:BJ127" si="253">SUM(BH19)</f>
        <v>8877.36</v>
      </c>
      <c r="BI127" s="1786">
        <f t="shared" si="253"/>
        <v>8877.36</v>
      </c>
      <c r="BJ127" s="1785">
        <f t="shared" si="253"/>
        <v>0</v>
      </c>
      <c r="BK127" s="1784">
        <f t="shared" ref="BK127:BM127" si="254">SUM(BK19)</f>
        <v>14052.2</v>
      </c>
      <c r="BL127" s="1786">
        <f t="shared" si="254"/>
        <v>14052.2</v>
      </c>
      <c r="BM127" s="1785">
        <f t="shared" si="254"/>
        <v>0</v>
      </c>
      <c r="BN127" s="1784">
        <f>SUM(BN19)</f>
        <v>13684.63</v>
      </c>
      <c r="BO127" s="1786">
        <f>SUM(BO19)</f>
        <v>13684.63</v>
      </c>
      <c r="BP127" s="1785">
        <f>SUM(BP19)</f>
        <v>0</v>
      </c>
      <c r="BQ127" s="1784">
        <f>BQ19</f>
        <v>11981.832285756163</v>
      </c>
      <c r="BR127" s="2768">
        <f>BR19</f>
        <v>11981.832285756163</v>
      </c>
      <c r="BS127" s="2768">
        <f>BS19</f>
        <v>0</v>
      </c>
      <c r="BT127" s="1787"/>
      <c r="BU127" s="396"/>
    </row>
    <row r="128" spans="1:73" ht="21" customHeight="1" x14ac:dyDescent="0.3">
      <c r="A128" s="1681" t="s">
        <v>6</v>
      </c>
      <c r="B128" s="1770"/>
      <c r="C128" s="1770"/>
      <c r="D128" s="1770"/>
      <c r="E128" s="1770"/>
      <c r="F128" s="1770"/>
      <c r="G128" s="1770"/>
      <c r="H128" s="1770"/>
      <c r="I128" s="1770"/>
      <c r="J128" s="1770"/>
      <c r="K128" s="1770"/>
      <c r="L128" s="1770"/>
      <c r="M128" s="1770"/>
      <c r="N128" s="1770"/>
      <c r="O128" s="1770"/>
      <c r="P128" s="1770"/>
      <c r="Q128" s="1770"/>
      <c r="R128" s="1770"/>
      <c r="S128" s="1770"/>
      <c r="T128" s="1770"/>
      <c r="U128" s="1770"/>
      <c r="V128" s="1770"/>
      <c r="W128" s="1770"/>
      <c r="X128" s="1770"/>
      <c r="Y128" s="1771">
        <f>SUM(Y16+Y26+Y34+Y42)</f>
        <v>23158.799999999999</v>
      </c>
      <c r="Z128" s="1770"/>
      <c r="AA128" s="1771">
        <f t="shared" ref="AA128:AD128" si="255">SUM(AA16+AA26+AA34+AA42)</f>
        <v>18723.532385356291</v>
      </c>
      <c r="AB128" s="1771">
        <f t="shared" si="255"/>
        <v>4.2470953908555629</v>
      </c>
      <c r="AC128" s="1771">
        <f t="shared" si="255"/>
        <v>18580.748829384705</v>
      </c>
      <c r="AD128" s="1771">
        <f t="shared" si="255"/>
        <v>142.78355597159052</v>
      </c>
      <c r="AE128" s="1784">
        <f t="shared" ref="AE128:AH128" si="256">SUM(AE16+AE26+AE34+AE42)</f>
        <v>17316.399999999998</v>
      </c>
      <c r="AF128" s="1786">
        <f t="shared" si="256"/>
        <v>17222.445808368408</v>
      </c>
      <c r="AG128" s="1785">
        <f t="shared" si="256"/>
        <v>93.954191631592721</v>
      </c>
      <c r="AH128" s="1771">
        <f t="shared" si="256"/>
        <v>19982</v>
      </c>
      <c r="AI128" s="1719">
        <f t="shared" si="189"/>
        <v>1.0672131512763028</v>
      </c>
      <c r="AJ128" s="1771">
        <f t="shared" ref="AJ128:AK128" si="257">SUM(AJ16+AJ26+AJ34+AJ42)</f>
        <v>19889.21</v>
      </c>
      <c r="AK128" s="1771">
        <f t="shared" si="257"/>
        <v>92.79</v>
      </c>
      <c r="AL128" s="1784">
        <f t="shared" ref="AL128:AO128" si="258">SUM(AL16+AL26+AL34+AL42)</f>
        <v>19700.208228981621</v>
      </c>
      <c r="AM128" s="1719">
        <f t="shared" si="192"/>
        <v>1.0521630119532994</v>
      </c>
      <c r="AN128" s="1786">
        <f t="shared" si="258"/>
        <v>19608.73208525774</v>
      </c>
      <c r="AO128" s="1785">
        <f t="shared" si="258"/>
        <v>91.476143723881933</v>
      </c>
      <c r="AP128" s="1770"/>
      <c r="AQ128" s="1770"/>
      <c r="AR128" s="1770"/>
      <c r="AS128" s="1770"/>
      <c r="AT128" s="1771">
        <f t="shared" ref="AT128:AV128" si="259">SUM(AT16+AT26+AT34+AT42)</f>
        <v>9372.2199999999993</v>
      </c>
      <c r="AU128" s="1771">
        <f t="shared" si="259"/>
        <v>9344.3435752180376</v>
      </c>
      <c r="AV128" s="1771">
        <f t="shared" si="259"/>
        <v>27.876424781961987</v>
      </c>
      <c r="AW128" s="1784">
        <f t="shared" ref="AW128:AY128" si="260">SUM(AW16+AW26+AW34+AW42)</f>
        <v>18220.940000000002</v>
      </c>
      <c r="AX128" s="1786">
        <f t="shared" si="260"/>
        <v>18180.39</v>
      </c>
      <c r="AY128" s="1785">
        <f t="shared" si="260"/>
        <v>40.549999999999997</v>
      </c>
      <c r="AZ128" s="1771">
        <f t="shared" ref="AZ128:BC128" si="261">SUM(AZ16+AZ26+AZ34+AZ42)</f>
        <v>21503.85</v>
      </c>
      <c r="BA128" s="1721">
        <f t="shared" si="196"/>
        <v>1.0915544521181753</v>
      </c>
      <c r="BB128" s="1771">
        <f t="shared" si="261"/>
        <v>21453.311154973639</v>
      </c>
      <c r="BC128" s="1771">
        <f t="shared" si="261"/>
        <v>50.53884502636356</v>
      </c>
      <c r="BD128" s="1784">
        <f t="shared" ref="BD128:BG128" si="262">SUM(BD16+BD26+BD34+BD42)</f>
        <v>18719.609230157621</v>
      </c>
      <c r="BE128" s="1772">
        <f t="shared" si="209"/>
        <v>0.95022392720796689</v>
      </c>
      <c r="BF128" s="1786">
        <f t="shared" si="262"/>
        <v>18675.613963883159</v>
      </c>
      <c r="BG128" s="1785">
        <f t="shared" si="262"/>
        <v>43.995266274459937</v>
      </c>
      <c r="BH128" s="1784">
        <f t="shared" ref="BH128:BJ128" si="263">SUM(BH16+BH26+BH34+BH42)</f>
        <v>19424.309999999998</v>
      </c>
      <c r="BI128" s="1786">
        <f t="shared" si="263"/>
        <v>19418.480000000003</v>
      </c>
      <c r="BJ128" s="1785">
        <f t="shared" si="263"/>
        <v>5.83</v>
      </c>
      <c r="BK128" s="1784">
        <f t="shared" ref="BK128:BM128" si="264">SUM(BK16+BK26+BK34+BK42)</f>
        <v>19836.45</v>
      </c>
      <c r="BL128" s="1786">
        <f t="shared" si="264"/>
        <v>19833.29</v>
      </c>
      <c r="BM128" s="1785">
        <f t="shared" si="264"/>
        <v>3.16</v>
      </c>
      <c r="BN128" s="1784">
        <f>SUM(BN16+BN26+BN34+BN42)</f>
        <v>26396.23</v>
      </c>
      <c r="BO128" s="1786">
        <f>SUM(BO16+BO26+BO34+BO42)</f>
        <v>26384.160000000003</v>
      </c>
      <c r="BP128" s="1785">
        <f>SUM(BP16+BP26+BP34+BP42)</f>
        <v>12.07</v>
      </c>
      <c r="BQ128" s="1784">
        <f>BQ16+BQ26+BQ34+BQ42</f>
        <v>22352.046595588534</v>
      </c>
      <c r="BR128" s="2768">
        <f>BR16+BR26+BR34+BR42</f>
        <v>22348.48542661771</v>
      </c>
      <c r="BS128" s="2768">
        <f>BS16+BS26+BS34+BS42</f>
        <v>3.5611689708253937</v>
      </c>
      <c r="BT128" s="1787"/>
      <c r="BU128" s="396"/>
    </row>
    <row r="129" spans="1:73" ht="21" customHeight="1" x14ac:dyDescent="0.3">
      <c r="A129" s="1681" t="s">
        <v>10</v>
      </c>
      <c r="B129" s="1770"/>
      <c r="C129" s="1770"/>
      <c r="D129" s="1770"/>
      <c r="E129" s="1770"/>
      <c r="F129" s="1770"/>
      <c r="G129" s="1770"/>
      <c r="H129" s="1770"/>
      <c r="I129" s="1770"/>
      <c r="J129" s="1770"/>
      <c r="K129" s="1770"/>
      <c r="L129" s="1770"/>
      <c r="M129" s="1770"/>
      <c r="N129" s="1770"/>
      <c r="O129" s="1770"/>
      <c r="P129" s="1770"/>
      <c r="Q129" s="1770"/>
      <c r="R129" s="1770"/>
      <c r="S129" s="1770"/>
      <c r="T129" s="1770"/>
      <c r="U129" s="1770"/>
      <c r="V129" s="1770"/>
      <c r="W129" s="1770"/>
      <c r="X129" s="1770"/>
      <c r="Y129" s="1771">
        <f>SUM(Y50)</f>
        <v>4337.3</v>
      </c>
      <c r="Z129" s="1770"/>
      <c r="AA129" s="1771">
        <f t="shared" ref="AA129:AD129" si="265">SUM(AA50)</f>
        <v>3336.3696133000071</v>
      </c>
      <c r="AB129" s="1771">
        <f t="shared" si="265"/>
        <v>0.91030793519958719</v>
      </c>
      <c r="AC129" s="1771">
        <f t="shared" si="265"/>
        <v>3298.3276878738684</v>
      </c>
      <c r="AD129" s="1771">
        <f t="shared" si="265"/>
        <v>37.856782047233764</v>
      </c>
      <c r="AE129" s="1784">
        <f t="shared" ref="AE129:AH129" si="266">SUM(AE50)</f>
        <v>4024.3500000000004</v>
      </c>
      <c r="AF129" s="1786">
        <f t="shared" si="266"/>
        <v>3976.8345704382273</v>
      </c>
      <c r="AG129" s="1785">
        <f t="shared" si="266"/>
        <v>47.515429561772656</v>
      </c>
      <c r="AH129" s="1771">
        <f t="shared" si="266"/>
        <v>3223.45</v>
      </c>
      <c r="AI129" s="1719">
        <f t="shared" si="189"/>
        <v>0.96615494492880294</v>
      </c>
      <c r="AJ129" s="1771">
        <f t="shared" ref="AJ129:AK129" si="267">SUM(AJ50)</f>
        <v>3186.56</v>
      </c>
      <c r="AK129" s="1771">
        <f t="shared" si="267"/>
        <v>36.89</v>
      </c>
      <c r="AL129" s="1784">
        <f t="shared" ref="AL129:AO129" si="268">SUM(AL50)</f>
        <v>3223.1722248582328</v>
      </c>
      <c r="AM129" s="1719">
        <f t="shared" si="192"/>
        <v>0.96607168822347278</v>
      </c>
      <c r="AN129" s="1786">
        <f t="shared" si="268"/>
        <v>3186.5738414565994</v>
      </c>
      <c r="AO129" s="1785">
        <f t="shared" si="268"/>
        <v>36.598383401633441</v>
      </c>
      <c r="AP129" s="1770"/>
      <c r="AQ129" s="1770"/>
      <c r="AR129" s="1770"/>
      <c r="AS129" s="1770"/>
      <c r="AT129" s="1771">
        <f t="shared" ref="AT129:AV129" si="269">SUM(AT50)</f>
        <v>917.55000000000007</v>
      </c>
      <c r="AU129" s="1771">
        <f t="shared" si="269"/>
        <v>911.23472177565213</v>
      </c>
      <c r="AV129" s="1771">
        <f t="shared" si="269"/>
        <v>6.3152782243478924</v>
      </c>
      <c r="AW129" s="1784">
        <f t="shared" ref="AW129:AY129" si="270">SUM(AW50)</f>
        <v>4009.77</v>
      </c>
      <c r="AX129" s="1786">
        <f t="shared" si="270"/>
        <v>3990.45</v>
      </c>
      <c r="AY129" s="1785">
        <f t="shared" si="270"/>
        <v>19.32</v>
      </c>
      <c r="AZ129" s="1771">
        <f t="shared" ref="AZ129:BC129" si="271">SUM(AZ50)</f>
        <v>4420.8999999999996</v>
      </c>
      <c r="BA129" s="1721">
        <f t="shared" si="196"/>
        <v>1.3715990619131273</v>
      </c>
      <c r="BB129" s="1771">
        <f t="shared" si="271"/>
        <v>4381.0563420773306</v>
      </c>
      <c r="BC129" s="1771">
        <f t="shared" si="271"/>
        <v>39.843657922669166</v>
      </c>
      <c r="BD129" s="1784">
        <f t="shared" ref="BD129:BG129" si="272">SUM(BD50)</f>
        <v>3154.5307358921218</v>
      </c>
      <c r="BE129" s="1772">
        <f t="shared" si="209"/>
        <v>0.97870374768163992</v>
      </c>
      <c r="BF129" s="1786">
        <f t="shared" si="272"/>
        <v>3136.7529139804451</v>
      </c>
      <c r="BG129" s="1785">
        <f t="shared" si="272"/>
        <v>17.777821911676497</v>
      </c>
      <c r="BH129" s="1784">
        <f t="shared" ref="BH129:BJ129" si="273">SUM(BH50)</f>
        <v>4091.95</v>
      </c>
      <c r="BI129" s="1786">
        <f t="shared" si="273"/>
        <v>4089.2000000000003</v>
      </c>
      <c r="BJ129" s="1785">
        <f t="shared" si="273"/>
        <v>2.75</v>
      </c>
      <c r="BK129" s="1784">
        <f t="shared" ref="BK129:BM129" si="274">SUM(BK50)</f>
        <v>4236.59</v>
      </c>
      <c r="BL129" s="1786">
        <f t="shared" si="274"/>
        <v>4234.54</v>
      </c>
      <c r="BM129" s="1785">
        <f t="shared" si="274"/>
        <v>2.0500000000000003</v>
      </c>
      <c r="BN129" s="1784">
        <f>SUM(BN50)</f>
        <v>7289.78</v>
      </c>
      <c r="BO129" s="1786">
        <f>SUM(BO50)</f>
        <v>7286.05</v>
      </c>
      <c r="BP129" s="1785">
        <f>SUM(BP50)</f>
        <v>3.73</v>
      </c>
      <c r="BQ129" s="1786">
        <f>BQ50</f>
        <v>6648.9677381678157</v>
      </c>
      <c r="BR129" s="2769">
        <f>BR50</f>
        <v>6646.6681943163603</v>
      </c>
      <c r="BS129" s="2769">
        <f>BS50</f>
        <v>2.2995438514545756</v>
      </c>
      <c r="BT129" s="1787"/>
      <c r="BU129" s="396"/>
    </row>
    <row r="130" spans="1:73" ht="21" customHeight="1" x14ac:dyDescent="0.3">
      <c r="A130" s="1681" t="s">
        <v>11</v>
      </c>
      <c r="B130" s="1770"/>
      <c r="C130" s="1770"/>
      <c r="D130" s="1770"/>
      <c r="E130" s="1770"/>
      <c r="F130" s="1770"/>
      <c r="G130" s="1770"/>
      <c r="H130" s="1770"/>
      <c r="I130" s="1770"/>
      <c r="J130" s="1770"/>
      <c r="K130" s="1770"/>
      <c r="L130" s="1770"/>
      <c r="M130" s="1770"/>
      <c r="N130" s="1770"/>
      <c r="O130" s="1770"/>
      <c r="P130" s="1770"/>
      <c r="Q130" s="1770"/>
      <c r="R130" s="1770"/>
      <c r="S130" s="1770"/>
      <c r="T130" s="1770"/>
      <c r="U130" s="1770"/>
      <c r="V130" s="1770"/>
      <c r="W130" s="1770"/>
      <c r="X130" s="1770"/>
      <c r="Y130" s="1771">
        <f>SUM(Y56)</f>
        <v>15517.1</v>
      </c>
      <c r="Z130" s="1770"/>
      <c r="AA130" s="1771">
        <f t="shared" ref="AA130:AD130" si="275">SUM(AA56)</f>
        <v>9765</v>
      </c>
      <c r="AB130" s="1771" t="e">
        <f t="shared" si="275"/>
        <v>#REF!</v>
      </c>
      <c r="AC130" s="1771">
        <f t="shared" si="275"/>
        <v>9598.7999999999993</v>
      </c>
      <c r="AD130" s="1771">
        <f t="shared" si="275"/>
        <v>166.2</v>
      </c>
      <c r="AE130" s="1784">
        <f t="shared" ref="AE130:AH130" si="276">SUM(AE56)</f>
        <v>14207.04</v>
      </c>
      <c r="AF130" s="1786">
        <f t="shared" si="276"/>
        <v>14031.870256994307</v>
      </c>
      <c r="AG130" s="1785">
        <f t="shared" si="276"/>
        <v>175.16974300569382</v>
      </c>
      <c r="AH130" s="1771">
        <f t="shared" si="276"/>
        <v>13395.76</v>
      </c>
      <c r="AI130" s="1719">
        <f t="shared" si="189"/>
        <v>1.3718136200716846</v>
      </c>
      <c r="AJ130" s="1771">
        <f t="shared" ref="AJ130:AK130" si="277">SUM(AJ56)</f>
        <v>13243.27</v>
      </c>
      <c r="AK130" s="1771">
        <f t="shared" si="277"/>
        <v>152.49</v>
      </c>
      <c r="AL130" s="1784">
        <f t="shared" ref="AL130:AO130" si="278">SUM(AL56)</f>
        <v>13073.01213648671</v>
      </c>
      <c r="AM130" s="1719">
        <f t="shared" si="192"/>
        <v>1.3387621235521465</v>
      </c>
      <c r="AN130" s="1786">
        <f t="shared" si="278"/>
        <v>12924.197100987714</v>
      </c>
      <c r="AO130" s="1785">
        <f t="shared" si="278"/>
        <v>148.81503549899571</v>
      </c>
      <c r="AP130" s="1770"/>
      <c r="AQ130" s="1770"/>
      <c r="AR130" s="1770"/>
      <c r="AS130" s="1770"/>
      <c r="AT130" s="1771">
        <f t="shared" ref="AT130:AV130" si="279">SUM(AT56)</f>
        <v>6505.01</v>
      </c>
      <c r="AU130" s="1771">
        <f t="shared" si="279"/>
        <v>6460.2375647080098</v>
      </c>
      <c r="AV130" s="1771">
        <f t="shared" si="279"/>
        <v>44.772435291990405</v>
      </c>
      <c r="AW130" s="1784">
        <f t="shared" ref="AW130:AY130" si="280">SUM(AW56)</f>
        <v>12858.359999999999</v>
      </c>
      <c r="AX130" s="1786">
        <f t="shared" si="280"/>
        <v>12796.39</v>
      </c>
      <c r="AY130" s="1785">
        <f t="shared" si="280"/>
        <v>61.97</v>
      </c>
      <c r="AZ130" s="1771">
        <f t="shared" ref="AZ130:BC130" si="281">SUM(AZ56)</f>
        <v>14993.56</v>
      </c>
      <c r="BA130" s="1721">
        <f t="shared" si="196"/>
        <v>1.1469093613210264</v>
      </c>
      <c r="BB130" s="1771">
        <f t="shared" si="281"/>
        <v>14913.482432471448</v>
      </c>
      <c r="BC130" s="1771">
        <f t="shared" si="281"/>
        <v>80.077567528551299</v>
      </c>
      <c r="BD130" s="1784">
        <f t="shared" ref="BD130:BG130" si="282">SUM(BD56)</f>
        <v>9920.4365701392053</v>
      </c>
      <c r="BE130" s="1772">
        <f t="shared" si="209"/>
        <v>0.75884857036515074</v>
      </c>
      <c r="BF130" s="1786">
        <f t="shared" si="282"/>
        <v>9867.4535274623486</v>
      </c>
      <c r="BG130" s="1785">
        <f t="shared" si="282"/>
        <v>52.983042676856712</v>
      </c>
      <c r="BH130" s="1784">
        <f t="shared" ref="BH130:BJ130" si="283">SUM(BH56)</f>
        <v>12499.66</v>
      </c>
      <c r="BI130" s="1786">
        <f t="shared" si="283"/>
        <v>12491.25</v>
      </c>
      <c r="BJ130" s="1785">
        <f t="shared" si="283"/>
        <v>8.41</v>
      </c>
      <c r="BK130" s="1784">
        <f t="shared" ref="BK130:BM130" si="284">SUM(BK56)</f>
        <v>13552.08</v>
      </c>
      <c r="BL130" s="1786">
        <f t="shared" si="284"/>
        <v>13545.52</v>
      </c>
      <c r="BM130" s="1785">
        <f t="shared" si="284"/>
        <v>6.56</v>
      </c>
      <c r="BN130" s="1784">
        <f>SUM(BN56)</f>
        <v>13338.21</v>
      </c>
      <c r="BO130" s="1786">
        <f>SUM(BO56)</f>
        <v>13319.71</v>
      </c>
      <c r="BP130" s="1785">
        <f>SUM(BP56)</f>
        <v>18.5</v>
      </c>
      <c r="BQ130" s="1786">
        <f>BQ56</f>
        <v>10331.669406318586</v>
      </c>
      <c r="BR130" s="2768">
        <f t="shared" ref="BR130:BS130" si="285">BR56</f>
        <v>10326.676210545877</v>
      </c>
      <c r="BS130" s="2768">
        <f t="shared" si="285"/>
        <v>4.9931957727103642</v>
      </c>
      <c r="BT130" s="1787"/>
      <c r="BU130" s="396"/>
    </row>
    <row r="131" spans="1:73" ht="21" customHeight="1" x14ac:dyDescent="0.3">
      <c r="A131" s="1681" t="s">
        <v>904</v>
      </c>
      <c r="B131" s="1770"/>
      <c r="C131" s="1770"/>
      <c r="D131" s="1770"/>
      <c r="E131" s="1770"/>
      <c r="F131" s="1770"/>
      <c r="G131" s="1770"/>
      <c r="H131" s="1770"/>
      <c r="I131" s="1770"/>
      <c r="J131" s="1770"/>
      <c r="K131" s="1770"/>
      <c r="L131" s="1770"/>
      <c r="M131" s="1770"/>
      <c r="N131" s="1770"/>
      <c r="O131" s="1770"/>
      <c r="P131" s="1770"/>
      <c r="Q131" s="1770"/>
      <c r="R131" s="1770"/>
      <c r="S131" s="1770"/>
      <c r="T131" s="1770"/>
      <c r="U131" s="1770"/>
      <c r="V131" s="1770"/>
      <c r="W131" s="1770"/>
      <c r="X131" s="1770"/>
      <c r="Y131" s="1771"/>
      <c r="Z131" s="1770"/>
      <c r="AA131" s="1771"/>
      <c r="AB131" s="1771"/>
      <c r="AC131" s="1771"/>
      <c r="AD131" s="1771"/>
      <c r="AE131" s="1784"/>
      <c r="AF131" s="1786"/>
      <c r="AG131" s="1785"/>
      <c r="AH131" s="1771"/>
      <c r="AI131" s="1719"/>
      <c r="AJ131" s="1771"/>
      <c r="AK131" s="1771"/>
      <c r="AL131" s="1784"/>
      <c r="AM131" s="1719"/>
      <c r="AN131" s="1786"/>
      <c r="AO131" s="1785"/>
      <c r="AP131" s="1770"/>
      <c r="AQ131" s="1770"/>
      <c r="AR131" s="1770"/>
      <c r="AS131" s="1770"/>
      <c r="AT131" s="1771"/>
      <c r="AU131" s="1771"/>
      <c r="AV131" s="1771"/>
      <c r="AW131" s="1784"/>
      <c r="AX131" s="1786"/>
      <c r="AY131" s="1785"/>
      <c r="AZ131" s="1771"/>
      <c r="BA131" s="1721"/>
      <c r="BB131" s="1771"/>
      <c r="BC131" s="1771"/>
      <c r="BD131" s="1784">
        <f>BD59</f>
        <v>395.92549126618718</v>
      </c>
      <c r="BE131" s="1772"/>
      <c r="BF131" s="1786">
        <f t="shared" ref="BF131:BM131" si="286">BF59</f>
        <v>395.92549126618718</v>
      </c>
      <c r="BG131" s="1785">
        <f t="shared" si="286"/>
        <v>0</v>
      </c>
      <c r="BH131" s="1784">
        <f t="shared" si="286"/>
        <v>0</v>
      </c>
      <c r="BI131" s="1786">
        <f t="shared" si="286"/>
        <v>0</v>
      </c>
      <c r="BJ131" s="1785">
        <f t="shared" si="286"/>
        <v>0</v>
      </c>
      <c r="BK131" s="1784">
        <f t="shared" si="286"/>
        <v>0</v>
      </c>
      <c r="BL131" s="1786">
        <f t="shared" si="286"/>
        <v>0</v>
      </c>
      <c r="BM131" s="1785">
        <f t="shared" si="286"/>
        <v>0</v>
      </c>
      <c r="BN131" s="1784">
        <f t="shared" ref="BN131:BS131" si="287">BN59</f>
        <v>294.81</v>
      </c>
      <c r="BO131" s="1786">
        <f t="shared" si="287"/>
        <v>294.81</v>
      </c>
      <c r="BP131" s="1785">
        <f t="shared" si="287"/>
        <v>0</v>
      </c>
      <c r="BQ131" s="1784">
        <f t="shared" si="287"/>
        <v>294.81</v>
      </c>
      <c r="BR131" s="2769">
        <f t="shared" si="287"/>
        <v>294.81</v>
      </c>
      <c r="BS131" s="2769">
        <f t="shared" si="287"/>
        <v>0</v>
      </c>
      <c r="BT131" s="1787"/>
      <c r="BU131" s="396"/>
    </row>
    <row r="132" spans="1:73" ht="21" customHeight="1" x14ac:dyDescent="0.3">
      <c r="A132" s="1681" t="s">
        <v>2050</v>
      </c>
      <c r="B132" s="1770"/>
      <c r="C132" s="1770"/>
      <c r="D132" s="1770"/>
      <c r="E132" s="1770"/>
      <c r="F132" s="1770"/>
      <c r="G132" s="1770"/>
      <c r="H132" s="1770"/>
      <c r="I132" s="1770"/>
      <c r="J132" s="1770"/>
      <c r="K132" s="1770"/>
      <c r="L132" s="1770"/>
      <c r="M132" s="1770"/>
      <c r="N132" s="1770"/>
      <c r="O132" s="1770"/>
      <c r="P132" s="1770"/>
      <c r="Q132" s="1770"/>
      <c r="R132" s="1770"/>
      <c r="S132" s="1770"/>
      <c r="T132" s="1770"/>
      <c r="U132" s="1770"/>
      <c r="V132" s="1770"/>
      <c r="W132" s="1770"/>
      <c r="X132" s="1770"/>
      <c r="Y132" s="1771"/>
      <c r="Z132" s="1770"/>
      <c r="AA132" s="1771"/>
      <c r="AB132" s="1771"/>
      <c r="AC132" s="1771"/>
      <c r="AD132" s="1771"/>
      <c r="AE132" s="1784"/>
      <c r="AF132" s="1786"/>
      <c r="AG132" s="1785"/>
      <c r="AH132" s="1771"/>
      <c r="AI132" s="1719"/>
      <c r="AJ132" s="1771"/>
      <c r="AK132" s="1771"/>
      <c r="AL132" s="1784"/>
      <c r="AM132" s="1719"/>
      <c r="AN132" s="1786"/>
      <c r="AO132" s="1785"/>
      <c r="AP132" s="1770"/>
      <c r="AQ132" s="1770"/>
      <c r="AR132" s="1770"/>
      <c r="AS132" s="1770"/>
      <c r="AT132" s="1771"/>
      <c r="AU132" s="1771"/>
      <c r="AV132" s="1771"/>
      <c r="AW132" s="1784"/>
      <c r="AX132" s="1786"/>
      <c r="AY132" s="1785"/>
      <c r="AZ132" s="1771"/>
      <c r="BA132" s="1721"/>
      <c r="BB132" s="1771"/>
      <c r="BC132" s="1771"/>
      <c r="BD132" s="1784"/>
      <c r="BE132" s="1772"/>
      <c r="BF132" s="1786"/>
      <c r="BG132" s="1785"/>
      <c r="BH132" s="1784"/>
      <c r="BI132" s="1786"/>
      <c r="BJ132" s="1785"/>
      <c r="BK132" s="1784"/>
      <c r="BL132" s="1786"/>
      <c r="BM132" s="1785"/>
      <c r="BN132" s="1784"/>
      <c r="BO132" s="1786"/>
      <c r="BP132" s="1785"/>
      <c r="BQ132" s="1786">
        <f t="shared" ref="BQ132:BS133" si="288">BQ57</f>
        <v>63.916885499999999</v>
      </c>
      <c r="BR132" s="2769">
        <f t="shared" si="288"/>
        <v>63.885995088205725</v>
      </c>
      <c r="BS132" s="2769">
        <f t="shared" si="288"/>
        <v>3.0890411794274542E-2</v>
      </c>
      <c r="BT132" s="1787"/>
      <c r="BU132" s="396"/>
    </row>
    <row r="133" spans="1:73" ht="21" customHeight="1" x14ac:dyDescent="0.3">
      <c r="A133" s="1681" t="s">
        <v>2051</v>
      </c>
      <c r="B133" s="1770"/>
      <c r="C133" s="1770"/>
      <c r="D133" s="1770"/>
      <c r="E133" s="1770"/>
      <c r="F133" s="1770"/>
      <c r="G133" s="1770"/>
      <c r="H133" s="1770"/>
      <c r="I133" s="1770"/>
      <c r="J133" s="1770"/>
      <c r="K133" s="1770"/>
      <c r="L133" s="1770"/>
      <c r="M133" s="1770"/>
      <c r="N133" s="1770"/>
      <c r="O133" s="1770"/>
      <c r="P133" s="1770"/>
      <c r="Q133" s="1770"/>
      <c r="R133" s="1770"/>
      <c r="S133" s="1770"/>
      <c r="T133" s="1770"/>
      <c r="U133" s="1770"/>
      <c r="V133" s="1770"/>
      <c r="W133" s="1770"/>
      <c r="X133" s="1770"/>
      <c r="Y133" s="1771"/>
      <c r="Z133" s="1770"/>
      <c r="AA133" s="1771"/>
      <c r="AB133" s="1771"/>
      <c r="AC133" s="1771"/>
      <c r="AD133" s="1771"/>
      <c r="AE133" s="1784"/>
      <c r="AF133" s="1786"/>
      <c r="AG133" s="1785"/>
      <c r="AH133" s="1771"/>
      <c r="AI133" s="1719"/>
      <c r="AJ133" s="1771"/>
      <c r="AK133" s="1771"/>
      <c r="AL133" s="1784"/>
      <c r="AM133" s="1719"/>
      <c r="AN133" s="1786"/>
      <c r="AO133" s="1785"/>
      <c r="AP133" s="1770"/>
      <c r="AQ133" s="1770"/>
      <c r="AR133" s="1770"/>
      <c r="AS133" s="1770"/>
      <c r="AT133" s="1771"/>
      <c r="AU133" s="1771"/>
      <c r="AV133" s="1771"/>
      <c r="AW133" s="1784"/>
      <c r="AX133" s="1786"/>
      <c r="AY133" s="1785"/>
      <c r="AZ133" s="1771"/>
      <c r="BA133" s="1721"/>
      <c r="BB133" s="1771"/>
      <c r="BC133" s="1771"/>
      <c r="BD133" s="1784"/>
      <c r="BE133" s="1772"/>
      <c r="BF133" s="1786"/>
      <c r="BG133" s="1785"/>
      <c r="BH133" s="1784"/>
      <c r="BI133" s="1786"/>
      <c r="BJ133" s="1785"/>
      <c r="BK133" s="1784"/>
      <c r="BL133" s="1786"/>
      <c r="BM133" s="1785"/>
      <c r="BN133" s="1784"/>
      <c r="BO133" s="1786"/>
      <c r="BP133" s="1785"/>
      <c r="BQ133" s="1786">
        <f t="shared" si="288"/>
        <v>30.794479507533907</v>
      </c>
      <c r="BR133" s="2769">
        <f t="shared" si="288"/>
        <v>30.794479507533907</v>
      </c>
      <c r="BS133" s="2769">
        <f t="shared" si="288"/>
        <v>0</v>
      </c>
      <c r="BT133" s="1787"/>
      <c r="BU133" s="396"/>
    </row>
    <row r="134" spans="1:73" ht="21" customHeight="1" x14ac:dyDescent="0.3">
      <c r="A134" s="1674" t="s">
        <v>515</v>
      </c>
      <c r="B134" s="1770"/>
      <c r="C134" s="1770"/>
      <c r="D134" s="1770"/>
      <c r="E134" s="1770"/>
      <c r="F134" s="1770"/>
      <c r="G134" s="1770"/>
      <c r="H134" s="1770"/>
      <c r="I134" s="1770"/>
      <c r="J134" s="1770"/>
      <c r="K134" s="1770"/>
      <c r="L134" s="1770"/>
      <c r="M134" s="1770"/>
      <c r="N134" s="1770"/>
      <c r="O134" s="1770"/>
      <c r="P134" s="1770"/>
      <c r="Q134" s="1770"/>
      <c r="R134" s="1770"/>
      <c r="S134" s="1770"/>
      <c r="T134" s="1770"/>
      <c r="U134" s="1770"/>
      <c r="V134" s="1770"/>
      <c r="W134" s="1770"/>
      <c r="X134" s="1770"/>
      <c r="Y134" s="1771">
        <f>SUM(Y60)</f>
        <v>0</v>
      </c>
      <c r="Z134" s="1770"/>
      <c r="AA134" s="1771">
        <f t="shared" ref="AA134:AD134" si="289">SUM(AA60)</f>
        <v>0</v>
      </c>
      <c r="AB134" s="1771">
        <f t="shared" si="289"/>
        <v>0</v>
      </c>
      <c r="AC134" s="1771">
        <f t="shared" si="289"/>
        <v>0</v>
      </c>
      <c r="AD134" s="1771">
        <f t="shared" si="289"/>
        <v>0</v>
      </c>
      <c r="AE134" s="1784">
        <f t="shared" ref="AE134:AH134" si="290">SUM(AE60)</f>
        <v>0</v>
      </c>
      <c r="AF134" s="1786">
        <f t="shared" si="290"/>
        <v>0</v>
      </c>
      <c r="AG134" s="1785">
        <f t="shared" si="290"/>
        <v>0</v>
      </c>
      <c r="AH134" s="1771">
        <f t="shared" si="290"/>
        <v>1147.31</v>
      </c>
      <c r="AI134" s="1719" t="e">
        <f t="shared" si="189"/>
        <v>#DIV/0!</v>
      </c>
      <c r="AJ134" s="1771">
        <f t="shared" ref="AJ134:AK134" si="291">SUM(AJ60)</f>
        <v>1147.31</v>
      </c>
      <c r="AK134" s="1771">
        <f t="shared" si="291"/>
        <v>0</v>
      </c>
      <c r="AL134" s="1784">
        <f t="shared" ref="AL134:AO134" si="292">SUM(AL60)</f>
        <v>1287.3</v>
      </c>
      <c r="AM134" s="1719" t="e">
        <f t="shared" si="192"/>
        <v>#DIV/0!</v>
      </c>
      <c r="AN134" s="1786">
        <f t="shared" si="292"/>
        <v>1269.8</v>
      </c>
      <c r="AO134" s="1785">
        <f t="shared" si="292"/>
        <v>17.5</v>
      </c>
      <c r="AP134" s="1770"/>
      <c r="AQ134" s="1770"/>
      <c r="AR134" s="1770"/>
      <c r="AS134" s="1770"/>
      <c r="AT134" s="1771">
        <f t="shared" ref="AT134:AV134" si="293">SUM(AT60)</f>
        <v>0</v>
      </c>
      <c r="AU134" s="1771">
        <f t="shared" si="293"/>
        <v>0</v>
      </c>
      <c r="AV134" s="1771">
        <f t="shared" si="293"/>
        <v>0</v>
      </c>
      <c r="AW134" s="1784">
        <f t="shared" ref="AW134:AY134" si="294">SUM(AW60)</f>
        <v>0</v>
      </c>
      <c r="AX134" s="1786">
        <f t="shared" si="294"/>
        <v>0</v>
      </c>
      <c r="AY134" s="1785">
        <f t="shared" si="294"/>
        <v>0</v>
      </c>
      <c r="AZ134" s="1771">
        <f t="shared" ref="AZ134:BC134" si="295">SUM(AZ60)</f>
        <v>1785.8</v>
      </c>
      <c r="BA134" s="1721">
        <f t="shared" si="196"/>
        <v>1.3872446205235764</v>
      </c>
      <c r="BB134" s="1771">
        <f t="shared" si="295"/>
        <v>1785.8</v>
      </c>
      <c r="BC134" s="1771">
        <f t="shared" si="295"/>
        <v>0</v>
      </c>
      <c r="BD134" s="1784">
        <f t="shared" ref="BD134:BG134" si="296">SUM(BD60)</f>
        <v>1785.8</v>
      </c>
      <c r="BE134" s="1772">
        <f t="shared" si="209"/>
        <v>1.3872446205235764</v>
      </c>
      <c r="BF134" s="1786">
        <f t="shared" si="296"/>
        <v>1785.8</v>
      </c>
      <c r="BG134" s="1785">
        <f t="shared" si="296"/>
        <v>0</v>
      </c>
      <c r="BH134" s="1784">
        <f t="shared" ref="BH134:BJ134" si="297">SUM(BH60)</f>
        <v>0</v>
      </c>
      <c r="BI134" s="1786">
        <f t="shared" si="297"/>
        <v>0</v>
      </c>
      <c r="BJ134" s="1785">
        <f t="shared" si="297"/>
        <v>0</v>
      </c>
      <c r="BK134" s="1784">
        <f t="shared" ref="BK134:BM134" si="298">SUM(BK60)</f>
        <v>0</v>
      </c>
      <c r="BL134" s="1786">
        <f t="shared" si="298"/>
        <v>0</v>
      </c>
      <c r="BM134" s="1785">
        <f t="shared" si="298"/>
        <v>0</v>
      </c>
      <c r="BN134" s="1784">
        <f t="shared" ref="BN134:BS134" si="299">SUM(BN60)</f>
        <v>0</v>
      </c>
      <c r="BO134" s="1786">
        <f t="shared" si="299"/>
        <v>0</v>
      </c>
      <c r="BP134" s="1785">
        <f t="shared" si="299"/>
        <v>0</v>
      </c>
      <c r="BQ134" s="1784">
        <f t="shared" si="299"/>
        <v>0</v>
      </c>
      <c r="BR134" s="1786">
        <f t="shared" si="299"/>
        <v>0</v>
      </c>
      <c r="BS134" s="1785">
        <f t="shared" si="299"/>
        <v>0</v>
      </c>
      <c r="BT134" s="1787"/>
      <c r="BU134" s="396"/>
    </row>
    <row r="135" spans="1:73" ht="21" customHeight="1" x14ac:dyDescent="0.3">
      <c r="A135" s="1757" t="s">
        <v>12</v>
      </c>
      <c r="B135" s="1773"/>
      <c r="C135" s="1773"/>
      <c r="D135" s="1773"/>
      <c r="E135" s="1773"/>
      <c r="F135" s="1773"/>
      <c r="G135" s="1773"/>
      <c r="H135" s="1773"/>
      <c r="I135" s="1773"/>
      <c r="J135" s="1773"/>
      <c r="K135" s="1773"/>
      <c r="L135" s="1773"/>
      <c r="M135" s="1773"/>
      <c r="N135" s="1773"/>
      <c r="O135" s="1773"/>
      <c r="P135" s="1773"/>
      <c r="Q135" s="1773"/>
      <c r="R135" s="1773"/>
      <c r="S135" s="1773"/>
      <c r="T135" s="1773"/>
      <c r="U135" s="1773"/>
      <c r="V135" s="1773"/>
      <c r="W135" s="1773"/>
      <c r="X135" s="1773"/>
      <c r="Y135" s="1774">
        <f>SUM(Y121:Y134)</f>
        <v>138793.20000000001</v>
      </c>
      <c r="Z135" s="1773"/>
      <c r="AA135" s="1774">
        <f t="shared" ref="AA135:AE135" si="300">SUM(AA121:AA134)</f>
        <v>108660.63350891825</v>
      </c>
      <c r="AB135" s="1774" t="e">
        <f t="shared" si="300"/>
        <v>#REF!</v>
      </c>
      <c r="AC135" s="1774">
        <f t="shared" si="300"/>
        <v>107833.7622993573</v>
      </c>
      <c r="AD135" s="1774">
        <f t="shared" si="300"/>
        <v>826.68606618206377</v>
      </c>
      <c r="AE135" s="1776">
        <f t="shared" si="300"/>
        <v>113320.02939110002</v>
      </c>
      <c r="AF135" s="1776">
        <f t="shared" ref="AF135" si="301">SUM(AF121:AF134)</f>
        <v>112515.45483007004</v>
      </c>
      <c r="AG135" s="1776">
        <f t="shared" ref="AG135" si="302">SUM(AG121:AG134)</f>
        <v>804.57456102995798</v>
      </c>
      <c r="AH135" s="1776">
        <f t="shared" ref="AH135:AJ135" si="303">SUM(AH121:AH134)</f>
        <v>121571.42432999998</v>
      </c>
      <c r="AI135" s="1777">
        <f t="shared" si="189"/>
        <v>1.1188175552098367</v>
      </c>
      <c r="AJ135" s="1776">
        <f t="shared" si="303"/>
        <v>120777.48432999999</v>
      </c>
      <c r="AK135" s="1776">
        <f t="shared" ref="AK135:AL135" si="304">SUM(AK121:AK134)</f>
        <v>793.93999999999994</v>
      </c>
      <c r="AL135" s="1776">
        <f t="shared" si="304"/>
        <v>113823.94399540006</v>
      </c>
      <c r="AM135" s="1777">
        <f t="shared" si="192"/>
        <v>1.0475177653557304</v>
      </c>
      <c r="AN135" s="1776">
        <f t="shared" ref="AN135" si="305">SUM(AN121:AN134)</f>
        <v>113053.72311345986</v>
      </c>
      <c r="AO135" s="1776">
        <f t="shared" ref="AO135" si="306">SUM(AO121:AO134)</f>
        <v>770.22088194020341</v>
      </c>
      <c r="AP135" s="1778"/>
      <c r="AQ135" s="1778"/>
      <c r="AR135" s="1778"/>
      <c r="AS135" s="1778"/>
      <c r="AT135" s="1776">
        <f t="shared" ref="AT135" si="307">SUM(AT121:AT134)</f>
        <v>56673.297081400007</v>
      </c>
      <c r="AU135" s="1776">
        <f t="shared" ref="AU135" si="308">SUM(AU121:AU134)</f>
        <v>56463.165167590269</v>
      </c>
      <c r="AV135" s="1776">
        <f t="shared" ref="AV135" si="309">SUM(AV121:AV134)</f>
        <v>210.13191380973541</v>
      </c>
      <c r="AW135" s="1776">
        <f t="shared" ref="AW135" si="310">SUM(AW121:AW134)</f>
        <v>116214.42000000001</v>
      </c>
      <c r="AX135" s="1776">
        <f t="shared" ref="AX135" si="311">SUM(AX121:AX134)</f>
        <v>115906.65000000001</v>
      </c>
      <c r="AY135" s="1776">
        <f t="shared" ref="AY135:AZ135" si="312">SUM(AY121:AY134)</f>
        <v>307.77</v>
      </c>
      <c r="AZ135" s="1776">
        <f t="shared" si="312"/>
        <v>132673.21128099889</v>
      </c>
      <c r="BA135" s="1779">
        <f t="shared" si="196"/>
        <v>1.1656001946862831</v>
      </c>
      <c r="BB135" s="1776">
        <f t="shared" ref="BB135" si="313">SUM(BB121:BB134)</f>
        <v>133587.32181062308</v>
      </c>
      <c r="BC135" s="1776">
        <f t="shared" ref="BC135" si="314">SUM(BC121:BC134)</f>
        <v>423.37547037580555</v>
      </c>
      <c r="BD135" s="1776">
        <f t="shared" ref="BD135" si="315">SUM(BD121:BD134)</f>
        <v>120520.29484348075</v>
      </c>
      <c r="BE135" s="1780">
        <f>BD135/AL135</f>
        <v>1.0588307750814829</v>
      </c>
      <c r="BF135" s="1776">
        <f t="shared" ref="BF135" si="316">SUM(BF121:BF134)</f>
        <v>120176.15591828243</v>
      </c>
      <c r="BG135" s="1776">
        <f t="shared" ref="BG135:BI135" si="317">SUM(BG121:BG134)</f>
        <v>344.13892519829574</v>
      </c>
      <c r="BH135" s="1776">
        <f t="shared" si="317"/>
        <v>120577.88</v>
      </c>
      <c r="BI135" s="1776">
        <f t="shared" si="317"/>
        <v>120535.93000000001</v>
      </c>
      <c r="BJ135" s="1776">
        <f>SUM(BJ121:BJ134)</f>
        <v>41.95</v>
      </c>
      <c r="BK135" s="1776">
        <f>SUM(BK121:BK134)</f>
        <v>134891.4</v>
      </c>
      <c r="BL135" s="1776">
        <f>SUM(BL121:BL134)</f>
        <v>134862.29999999999</v>
      </c>
      <c r="BM135" s="1776">
        <f t="shared" ref="BM135" si="318">SUM(BM121:BM134)</f>
        <v>29.099999999999998</v>
      </c>
      <c r="BN135" s="1776">
        <f t="shared" ref="BN135:BS135" si="319">SUM(BN121:BN134)</f>
        <v>158658.21</v>
      </c>
      <c r="BO135" s="1776">
        <f t="shared" si="319"/>
        <v>158558.91999999998</v>
      </c>
      <c r="BP135" s="1776">
        <f t="shared" si="319"/>
        <v>99.29</v>
      </c>
      <c r="BQ135" s="1776">
        <f>SUM(BQ121:BQ134)</f>
        <v>147574.92935394889</v>
      </c>
      <c r="BR135" s="1776">
        <f t="shared" si="319"/>
        <v>147544.11811148541</v>
      </c>
      <c r="BS135" s="1776">
        <f t="shared" si="319"/>
        <v>30.811242463479257</v>
      </c>
      <c r="BT135" s="1781"/>
      <c r="BU135" s="396"/>
    </row>
    <row r="136" spans="1:73" ht="21" customHeight="1" x14ac:dyDescent="0.3">
      <c r="A136" s="1757" t="s">
        <v>13</v>
      </c>
      <c r="B136" s="1773"/>
      <c r="C136" s="1773"/>
      <c r="D136" s="1773"/>
      <c r="E136" s="1773"/>
      <c r="F136" s="1773"/>
      <c r="G136" s="1773"/>
      <c r="H136" s="1773"/>
      <c r="I136" s="1773"/>
      <c r="J136" s="1773"/>
      <c r="K136" s="1773"/>
      <c r="L136" s="1773"/>
      <c r="M136" s="1773"/>
      <c r="N136" s="1773"/>
      <c r="O136" s="1773"/>
      <c r="P136" s="1773"/>
      <c r="Q136" s="1773"/>
      <c r="R136" s="1773"/>
      <c r="S136" s="1773"/>
      <c r="T136" s="1773"/>
      <c r="U136" s="1773"/>
      <c r="V136" s="1773"/>
      <c r="W136" s="1773"/>
      <c r="X136" s="1773"/>
      <c r="Y136" s="1774">
        <f>SUM(Y64)</f>
        <v>4000</v>
      </c>
      <c r="Z136" s="1773"/>
      <c r="AA136" s="1774">
        <f t="shared" ref="AA136:AD136" si="320">SUM(AA64)</f>
        <v>4052.2</v>
      </c>
      <c r="AB136" s="1774">
        <f t="shared" si="320"/>
        <v>0.91990919409761629</v>
      </c>
      <c r="AC136" s="1774">
        <f t="shared" si="320"/>
        <v>4006.2</v>
      </c>
      <c r="AD136" s="1774">
        <f t="shared" si="320"/>
        <v>46</v>
      </c>
      <c r="AE136" s="1776">
        <f t="shared" ref="AE136:AH136" si="321">SUM(AE64)</f>
        <v>4039</v>
      </c>
      <c r="AF136" s="1776">
        <f t="shared" si="321"/>
        <v>3989.2</v>
      </c>
      <c r="AG136" s="1776">
        <f t="shared" si="321"/>
        <v>49.8</v>
      </c>
      <c r="AH136" s="1776">
        <f t="shared" si="321"/>
        <v>4052.4</v>
      </c>
      <c r="AI136" s="1777">
        <f t="shared" si="189"/>
        <v>1.0000493559054342</v>
      </c>
      <c r="AJ136" s="1776">
        <f t="shared" ref="AJ136:AK136" si="322">SUM(AJ64)</f>
        <v>4006.27</v>
      </c>
      <c r="AK136" s="1776">
        <f t="shared" si="322"/>
        <v>46.13</v>
      </c>
      <c r="AL136" s="1776">
        <f t="shared" ref="AL136:AO136" si="323">SUM(AL64)</f>
        <v>4052.4</v>
      </c>
      <c r="AM136" s="1777">
        <f t="shared" si="192"/>
        <v>1.0000493559054342</v>
      </c>
      <c r="AN136" s="1776">
        <f t="shared" si="323"/>
        <v>4006.27</v>
      </c>
      <c r="AO136" s="1776">
        <f t="shared" si="323"/>
        <v>46.13</v>
      </c>
      <c r="AP136" s="1778"/>
      <c r="AQ136" s="1778"/>
      <c r="AR136" s="1778"/>
      <c r="AS136" s="1778"/>
      <c r="AT136" s="1776">
        <f t="shared" ref="AT136:AV136" si="324">SUM(AT64)</f>
        <v>1990.48</v>
      </c>
      <c r="AU136" s="1776">
        <f t="shared" si="324"/>
        <v>1976.78</v>
      </c>
      <c r="AV136" s="1776">
        <f t="shared" si="324"/>
        <v>13.7</v>
      </c>
      <c r="AW136" s="1776">
        <f t="shared" ref="AW136:AY136" si="325">SUM(AW64)</f>
        <v>3780.42</v>
      </c>
      <c r="AX136" s="1776">
        <f t="shared" si="325"/>
        <v>3762.2000000000003</v>
      </c>
      <c r="AY136" s="1776">
        <f t="shared" si="325"/>
        <v>18.22</v>
      </c>
      <c r="AZ136" s="1776">
        <f t="shared" ref="AZ136:BC136" si="326">SUM(AZ64)</f>
        <v>4010.6369999999997</v>
      </c>
      <c r="BA136" s="1779">
        <f t="shared" si="196"/>
        <v>0.98969425525614441</v>
      </c>
      <c r="BB136" s="1776">
        <f t="shared" si="326"/>
        <v>3989.2169999999996</v>
      </c>
      <c r="BC136" s="1776">
        <f t="shared" si="326"/>
        <v>21.42</v>
      </c>
      <c r="BD136" s="1776">
        <f t="shared" ref="BD136:BG136" si="327">SUM(BD64)</f>
        <v>4010.6370000000002</v>
      </c>
      <c r="BE136" s="1780">
        <f t="shared" ref="BE136:BE145" si="328">BD136/AL136</f>
        <v>0.98969425525614452</v>
      </c>
      <c r="BF136" s="1776">
        <f t="shared" si="327"/>
        <v>3989.2170000000001</v>
      </c>
      <c r="BG136" s="1776">
        <f t="shared" si="327"/>
        <v>21.42</v>
      </c>
      <c r="BH136" s="1776">
        <f t="shared" ref="BH136:BJ136" si="329">SUM(BH64)</f>
        <v>3568.7400000000002</v>
      </c>
      <c r="BI136" s="1776">
        <f t="shared" si="329"/>
        <v>3566.34</v>
      </c>
      <c r="BJ136" s="1776">
        <f t="shared" si="329"/>
        <v>2.4</v>
      </c>
      <c r="BK136" s="1776">
        <f t="shared" ref="BK136:BP136" si="330">SUM(BK64)</f>
        <v>3657.57</v>
      </c>
      <c r="BL136" s="1776">
        <f t="shared" si="330"/>
        <v>3655.8</v>
      </c>
      <c r="BM136" s="1776">
        <f t="shared" si="330"/>
        <v>1.77</v>
      </c>
      <c r="BN136" s="1776">
        <f t="shared" si="330"/>
        <v>3605</v>
      </c>
      <c r="BO136" s="1776">
        <f t="shared" si="330"/>
        <v>3600</v>
      </c>
      <c r="BP136" s="1776">
        <f t="shared" si="330"/>
        <v>5</v>
      </c>
      <c r="BQ136" s="1776">
        <f>BQ64</f>
        <v>3662.3949233333333</v>
      </c>
      <c r="BR136" s="1776">
        <f t="shared" ref="BR136:BS136" si="331">BR64</f>
        <v>3660.6249233333333</v>
      </c>
      <c r="BS136" s="1776">
        <f t="shared" si="331"/>
        <v>1.77</v>
      </c>
      <c r="BT136" s="1781"/>
      <c r="BU136" s="396"/>
    </row>
    <row r="137" spans="1:73" ht="21" hidden="1" customHeight="1" x14ac:dyDescent="0.3">
      <c r="A137" s="1757" t="s">
        <v>1840</v>
      </c>
      <c r="B137" s="1773"/>
      <c r="C137" s="1773"/>
      <c r="D137" s="1773"/>
      <c r="E137" s="1773"/>
      <c r="F137" s="1773"/>
      <c r="G137" s="1773"/>
      <c r="H137" s="1773"/>
      <c r="I137" s="1773"/>
      <c r="J137" s="1773"/>
      <c r="K137" s="1773"/>
      <c r="L137" s="1773"/>
      <c r="M137" s="1773"/>
      <c r="N137" s="1773"/>
      <c r="O137" s="1773"/>
      <c r="P137" s="1773"/>
      <c r="Q137" s="1773"/>
      <c r="R137" s="1773"/>
      <c r="S137" s="1773"/>
      <c r="T137" s="1773"/>
      <c r="U137" s="1773"/>
      <c r="V137" s="1773"/>
      <c r="W137" s="1773"/>
      <c r="X137" s="1773"/>
      <c r="Y137" s="1774"/>
      <c r="Z137" s="1773"/>
      <c r="AA137" s="1774"/>
      <c r="AB137" s="1774"/>
      <c r="AC137" s="1774"/>
      <c r="AD137" s="1774"/>
      <c r="AE137" s="1776"/>
      <c r="AF137" s="1776"/>
      <c r="AG137" s="1776"/>
      <c r="AH137" s="1776"/>
      <c r="AI137" s="1777"/>
      <c r="AJ137" s="1776"/>
      <c r="AK137" s="1776"/>
      <c r="AL137" s="1776"/>
      <c r="AM137" s="1777"/>
      <c r="AN137" s="1776"/>
      <c r="AO137" s="1776"/>
      <c r="AP137" s="1778"/>
      <c r="AQ137" s="1778"/>
      <c r="AR137" s="1778"/>
      <c r="AS137" s="1778"/>
      <c r="AT137" s="1776"/>
      <c r="AU137" s="1776"/>
      <c r="AV137" s="1776"/>
      <c r="AW137" s="1776"/>
      <c r="AX137" s="1776"/>
      <c r="AY137" s="1776"/>
      <c r="AZ137" s="1776"/>
      <c r="BA137" s="1779"/>
      <c r="BB137" s="1776"/>
      <c r="BC137" s="1776"/>
      <c r="BD137" s="1776"/>
      <c r="BE137" s="1780"/>
      <c r="BF137" s="1776"/>
      <c r="BG137" s="1776"/>
      <c r="BH137" s="1776"/>
      <c r="BI137" s="1776"/>
      <c r="BJ137" s="1776"/>
      <c r="BK137" s="1776"/>
      <c r="BL137" s="1776"/>
      <c r="BM137" s="1776"/>
      <c r="BN137" s="1776">
        <f t="shared" ref="BN137:BS138" si="332">BN62</f>
        <v>5605.37</v>
      </c>
      <c r="BO137" s="1776">
        <f t="shared" si="332"/>
        <v>5605.37</v>
      </c>
      <c r="BP137" s="1776">
        <f t="shared" si="332"/>
        <v>0</v>
      </c>
      <c r="BQ137" s="1776">
        <f t="shared" si="332"/>
        <v>0</v>
      </c>
      <c r="BR137" s="1776">
        <f t="shared" si="332"/>
        <v>0</v>
      </c>
      <c r="BS137" s="1776">
        <f t="shared" si="332"/>
        <v>0</v>
      </c>
      <c r="BT137" s="1781"/>
      <c r="BU137" s="396"/>
    </row>
    <row r="138" spans="1:73" ht="21" hidden="1" customHeight="1" x14ac:dyDescent="0.3">
      <c r="A138" s="1757" t="s">
        <v>1841</v>
      </c>
      <c r="B138" s="1773"/>
      <c r="C138" s="1773"/>
      <c r="D138" s="1773"/>
      <c r="E138" s="1773"/>
      <c r="F138" s="1773"/>
      <c r="G138" s="1773"/>
      <c r="H138" s="1773"/>
      <c r="I138" s="1773"/>
      <c r="J138" s="1773"/>
      <c r="K138" s="1773"/>
      <c r="L138" s="1773"/>
      <c r="M138" s="1773"/>
      <c r="N138" s="1773"/>
      <c r="O138" s="1773"/>
      <c r="P138" s="1773"/>
      <c r="Q138" s="1773"/>
      <c r="R138" s="1773"/>
      <c r="S138" s="1773"/>
      <c r="T138" s="1773"/>
      <c r="U138" s="1773"/>
      <c r="V138" s="1773"/>
      <c r="W138" s="1773"/>
      <c r="X138" s="1773"/>
      <c r="Y138" s="1774"/>
      <c r="Z138" s="1773"/>
      <c r="AA138" s="1774"/>
      <c r="AB138" s="1774"/>
      <c r="AC138" s="1774"/>
      <c r="AD138" s="1774"/>
      <c r="AE138" s="1776"/>
      <c r="AF138" s="1776"/>
      <c r="AG138" s="1776"/>
      <c r="AH138" s="1776"/>
      <c r="AI138" s="1777"/>
      <c r="AJ138" s="1776"/>
      <c r="AK138" s="1776"/>
      <c r="AL138" s="1776"/>
      <c r="AM138" s="1777"/>
      <c r="AN138" s="1776"/>
      <c r="AO138" s="1776"/>
      <c r="AP138" s="1778"/>
      <c r="AQ138" s="1778"/>
      <c r="AR138" s="1778"/>
      <c r="AS138" s="1778"/>
      <c r="AT138" s="1776"/>
      <c r="AU138" s="1776"/>
      <c r="AV138" s="1776"/>
      <c r="AW138" s="1776"/>
      <c r="AX138" s="1776"/>
      <c r="AY138" s="1776"/>
      <c r="AZ138" s="1776"/>
      <c r="BA138" s="1779"/>
      <c r="BB138" s="1776"/>
      <c r="BC138" s="1776"/>
      <c r="BD138" s="1776"/>
      <c r="BE138" s="1780"/>
      <c r="BF138" s="1776"/>
      <c r="BG138" s="1776"/>
      <c r="BH138" s="1776"/>
      <c r="BI138" s="1776"/>
      <c r="BJ138" s="1776"/>
      <c r="BK138" s="1776"/>
      <c r="BL138" s="1776"/>
      <c r="BM138" s="1776"/>
      <c r="BN138" s="1776">
        <f t="shared" si="332"/>
        <v>173239.27999999997</v>
      </c>
      <c r="BO138" s="1776">
        <f t="shared" si="332"/>
        <v>173139.98999999996</v>
      </c>
      <c r="BP138" s="1776">
        <f t="shared" si="332"/>
        <v>99.289999999999992</v>
      </c>
      <c r="BQ138" s="1776">
        <f t="shared" si="332"/>
        <v>147574.92935394892</v>
      </c>
      <c r="BR138" s="1776">
        <f t="shared" si="332"/>
        <v>147544.11811148544</v>
      </c>
      <c r="BS138" s="1776">
        <f t="shared" si="332"/>
        <v>30.811242463479257</v>
      </c>
      <c r="BT138" s="1781"/>
      <c r="BU138" s="396"/>
    </row>
    <row r="139" spans="1:73" ht="21" hidden="1" customHeight="1" x14ac:dyDescent="0.3">
      <c r="A139" s="1757" t="s">
        <v>14</v>
      </c>
      <c r="B139" s="1773"/>
      <c r="C139" s="1773"/>
      <c r="D139" s="1773"/>
      <c r="E139" s="1773"/>
      <c r="F139" s="1773"/>
      <c r="G139" s="1773"/>
      <c r="H139" s="1773"/>
      <c r="I139" s="1773"/>
      <c r="J139" s="1773"/>
      <c r="K139" s="1773"/>
      <c r="L139" s="1773"/>
      <c r="M139" s="1773"/>
      <c r="N139" s="1773"/>
      <c r="O139" s="1773"/>
      <c r="P139" s="1773"/>
      <c r="Q139" s="1773"/>
      <c r="R139" s="1773"/>
      <c r="S139" s="1773"/>
      <c r="T139" s="1773"/>
      <c r="U139" s="1773"/>
      <c r="V139" s="1773"/>
      <c r="W139" s="1773"/>
      <c r="X139" s="1773"/>
      <c r="Y139" s="1775">
        <f>SUM(Y135/Y136)</f>
        <v>34.698300000000003</v>
      </c>
      <c r="Z139" s="1773"/>
      <c r="AA139" s="1775">
        <f t="shared" ref="AA139:AE139" si="333">SUM(AA135/AA136)</f>
        <v>26.815219759369789</v>
      </c>
      <c r="AB139" s="1775" t="e">
        <f t="shared" si="333"/>
        <v>#REF!</v>
      </c>
      <c r="AC139" s="1775">
        <f t="shared" si="333"/>
        <v>26.916719659367306</v>
      </c>
      <c r="AD139" s="1775">
        <f t="shared" si="333"/>
        <v>17.971436221349212</v>
      </c>
      <c r="AE139" s="1782">
        <f t="shared" si="333"/>
        <v>28.056456893067594</v>
      </c>
      <c r="AF139" s="1782">
        <f t="shared" ref="AF139" si="334">SUM(AF135/AF136)</f>
        <v>28.205017254103591</v>
      </c>
      <c r="AG139" s="1782">
        <f t="shared" ref="AG139" si="335">SUM(AG135/AG136)</f>
        <v>16.156115683332491</v>
      </c>
      <c r="AH139" s="1782">
        <f t="shared" ref="AH139:AJ139" si="336">SUM(AH135/AH136)</f>
        <v>29.999857943440919</v>
      </c>
      <c r="AI139" s="1777">
        <f t="shared" si="189"/>
        <v>1.1187623376816949</v>
      </c>
      <c r="AJ139" s="1782">
        <f t="shared" si="336"/>
        <v>30.147115478986688</v>
      </c>
      <c r="AK139" s="1782">
        <f t="shared" ref="AK139:AL139" si="337">SUM(AK135/AK136)</f>
        <v>17.210925644916539</v>
      </c>
      <c r="AL139" s="1782">
        <f t="shared" si="337"/>
        <v>28.088032769568663</v>
      </c>
      <c r="AM139" s="1777">
        <f t="shared" si="192"/>
        <v>1.0474660667195959</v>
      </c>
      <c r="AN139" s="1782">
        <f t="shared" ref="AN139" si="338">SUM(AN135/AN136)</f>
        <v>28.219197186774693</v>
      </c>
      <c r="AO139" s="1782">
        <f t="shared" ref="AO139" si="339">SUM(AO135/AO136)</f>
        <v>16.696745760680759</v>
      </c>
      <c r="AP139" s="1778"/>
      <c r="AQ139" s="1778"/>
      <c r="AR139" s="1778"/>
      <c r="AS139" s="1778"/>
      <c r="AT139" s="1782">
        <f t="shared" ref="AT139" si="340">SUM(AT135/AT136)</f>
        <v>28.472176098930916</v>
      </c>
      <c r="AU139" s="1782">
        <f t="shared" ref="AU139" si="341">SUM(AU135/AU136)</f>
        <v>28.563201351485887</v>
      </c>
      <c r="AV139" s="1782">
        <f t="shared" ref="AV139" si="342">SUM(AV135/AV136)</f>
        <v>15.338095898520834</v>
      </c>
      <c r="AW139" s="1782">
        <f t="shared" ref="AW139" si="343">SUM(AW135/AW136)</f>
        <v>30.741139873347407</v>
      </c>
      <c r="AX139" s="1782">
        <f t="shared" ref="AX139" si="344">SUM(AX135/AX136)</f>
        <v>30.8082106214449</v>
      </c>
      <c r="AY139" s="1782">
        <f t="shared" ref="AY139:AZ139" si="345">SUM(AY135/AY136)</f>
        <v>16.891877058177826</v>
      </c>
      <c r="AZ139" s="1782">
        <f t="shared" si="345"/>
        <v>33.08033394221389</v>
      </c>
      <c r="BA139" s="1779">
        <f t="shared" si="196"/>
        <v>1.1777376583686567</v>
      </c>
      <c r="BB139" s="1782">
        <f t="shared" ref="BB139" si="346">SUM(BB135/BB136)</f>
        <v>33.487103311407502</v>
      </c>
      <c r="BC139" s="1782">
        <f t="shared" ref="BC139" si="347">SUM(BC135/BC136)</f>
        <v>19.765428122119772</v>
      </c>
      <c r="BD139" s="1782">
        <f t="shared" ref="BD139" si="348">SUM(BD135/BD136)</f>
        <v>30.050162815403326</v>
      </c>
      <c r="BE139" s="1780">
        <f t="shared" si="328"/>
        <v>1.0698564424903578</v>
      </c>
      <c r="BF139" s="1782">
        <f t="shared" ref="BF139" si="349">SUM(BF135/BF136)</f>
        <v>30.125249119885538</v>
      </c>
      <c r="BG139" s="1782">
        <f t="shared" ref="BG139:BI139" si="350">SUM(BG135/BG136)</f>
        <v>16.066243006456382</v>
      </c>
      <c r="BH139" s="1782">
        <f t="shared" si="350"/>
        <v>33.787241435352534</v>
      </c>
      <c r="BI139" s="1782">
        <f t="shared" si="350"/>
        <v>33.798216098296855</v>
      </c>
      <c r="BJ139" s="1782">
        <f t="shared" ref="BJ139:BL139" si="351">SUM(BJ135/BJ136)</f>
        <v>17.479166666666668</v>
      </c>
      <c r="BK139" s="1782">
        <f t="shared" si="351"/>
        <v>36.88005971177585</v>
      </c>
      <c r="BL139" s="1782">
        <f t="shared" si="351"/>
        <v>36.88995568685376</v>
      </c>
      <c r="BM139" s="1782">
        <f>SUM(BM135/BM136)</f>
        <v>16.440677966101692</v>
      </c>
      <c r="BN139" s="1782">
        <f>BN138/BN136</f>
        <v>48.055278779472943</v>
      </c>
      <c r="BO139" s="1782">
        <f t="shared" ref="BO139:BS139" si="352">BO138/BO136</f>
        <v>48.094441666666654</v>
      </c>
      <c r="BP139" s="1782">
        <f t="shared" si="352"/>
        <v>19.857999999999997</v>
      </c>
      <c r="BQ139" s="1782">
        <f t="shared" si="352"/>
        <v>40.294652117864288</v>
      </c>
      <c r="BR139" s="1782">
        <f t="shared" si="352"/>
        <v>40.305718614059224</v>
      </c>
      <c r="BS139" s="1782">
        <f t="shared" si="352"/>
        <v>17.407481617784892</v>
      </c>
      <c r="BT139" s="1783"/>
    </row>
    <row r="140" spans="1:73" ht="21" hidden="1" customHeight="1" x14ac:dyDescent="0.3">
      <c r="A140" s="1673" t="s">
        <v>430</v>
      </c>
      <c r="B140" s="1773"/>
      <c r="C140" s="1773"/>
      <c r="D140" s="1773"/>
      <c r="E140" s="1773"/>
      <c r="F140" s="1773"/>
      <c r="G140" s="1773"/>
      <c r="H140" s="1773"/>
      <c r="I140" s="1773"/>
      <c r="J140" s="1773"/>
      <c r="K140" s="1773"/>
      <c r="L140" s="1773"/>
      <c r="M140" s="1773"/>
      <c r="N140" s="1773"/>
      <c r="O140" s="1773"/>
      <c r="P140" s="1773"/>
      <c r="Q140" s="1773"/>
      <c r="R140" s="1773"/>
      <c r="S140" s="1773"/>
      <c r="T140" s="1773"/>
      <c r="U140" s="1773"/>
      <c r="V140" s="1773"/>
      <c r="W140" s="1773"/>
      <c r="X140" s="1773"/>
      <c r="Y140" s="1774">
        <f>SUM(Y66)</f>
        <v>0</v>
      </c>
      <c r="Z140" s="1773"/>
      <c r="AA140" s="1774">
        <f t="shared" ref="AA140:AD140" si="353">SUM(AA66)</f>
        <v>0</v>
      </c>
      <c r="AB140" s="1774">
        <f t="shared" si="353"/>
        <v>0</v>
      </c>
      <c r="AC140" s="1774">
        <f t="shared" si="353"/>
        <v>0</v>
      </c>
      <c r="AD140" s="1774">
        <f t="shared" si="353"/>
        <v>0</v>
      </c>
      <c r="AE140" s="1776">
        <f t="shared" ref="AE140:AH140" si="354">SUM(AE66)</f>
        <v>0</v>
      </c>
      <c r="AF140" s="1776">
        <f t="shared" si="354"/>
        <v>0</v>
      </c>
      <c r="AG140" s="1776">
        <f t="shared" si="354"/>
        <v>0</v>
      </c>
      <c r="AH140" s="1776">
        <f t="shared" si="354"/>
        <v>6078.58</v>
      </c>
      <c r="AI140" s="1777" t="e">
        <f t="shared" si="189"/>
        <v>#DIV/0!</v>
      </c>
      <c r="AJ140" s="1776">
        <f t="shared" ref="AJ140:AK140" si="355">SUM(AJ66)</f>
        <v>6038.88</v>
      </c>
      <c r="AK140" s="1776">
        <f t="shared" si="355"/>
        <v>39.700000000000003</v>
      </c>
      <c r="AL140" s="1776">
        <f t="shared" ref="AL140:AO140" si="356">SUM(AL66)</f>
        <v>5751.197199770003</v>
      </c>
      <c r="AM140" s="1777" t="e">
        <f t="shared" si="192"/>
        <v>#DIV/0!</v>
      </c>
      <c r="AN140" s="1776">
        <f t="shared" si="356"/>
        <v>5652.6861556729928</v>
      </c>
      <c r="AO140" s="1776">
        <f t="shared" si="356"/>
        <v>98.511044097010171</v>
      </c>
      <c r="AP140" s="1778"/>
      <c r="AQ140" s="1778"/>
      <c r="AR140" s="1778"/>
      <c r="AS140" s="1778"/>
      <c r="AT140" s="1776">
        <f t="shared" ref="AT140:AV140" si="357">SUM(AT66)</f>
        <v>0</v>
      </c>
      <c r="AU140" s="1776">
        <f t="shared" si="357"/>
        <v>0</v>
      </c>
      <c r="AV140" s="1776">
        <f t="shared" si="357"/>
        <v>0</v>
      </c>
      <c r="AW140" s="1776">
        <f t="shared" ref="AW140:AY140" si="358">SUM(AW66)</f>
        <v>0</v>
      </c>
      <c r="AX140" s="1776">
        <f t="shared" si="358"/>
        <v>0</v>
      </c>
      <c r="AY140" s="1776">
        <f t="shared" si="358"/>
        <v>0</v>
      </c>
      <c r="AZ140" s="1776">
        <f t="shared" ref="AZ140:BC140" si="359">SUM(AZ66)</f>
        <v>6800.9889110875247</v>
      </c>
      <c r="BA140" s="1779">
        <f t="shared" si="196"/>
        <v>1.182534466277648</v>
      </c>
      <c r="BB140" s="1776">
        <f t="shared" si="359"/>
        <v>6737.4825905311536</v>
      </c>
      <c r="BC140" s="1776">
        <f t="shared" si="359"/>
        <v>63.506320556370831</v>
      </c>
      <c r="BD140" s="1776">
        <f t="shared" ref="BD140:BG140" si="360">SUM(BD66)</f>
        <v>6008.8077959141219</v>
      </c>
      <c r="BE140" s="1780">
        <f t="shared" si="328"/>
        <v>1.0447925166180045</v>
      </c>
      <c r="BF140" s="1776">
        <f t="shared" si="360"/>
        <v>6008.8077959141219</v>
      </c>
      <c r="BG140" s="1776">
        <f t="shared" si="360"/>
        <v>0</v>
      </c>
      <c r="BH140" s="1776">
        <f t="shared" ref="BH140:BJ140" si="361">SUM(BH66)</f>
        <v>0</v>
      </c>
      <c r="BI140" s="1776">
        <f t="shared" si="361"/>
        <v>0</v>
      </c>
      <c r="BJ140" s="1776">
        <f t="shared" si="361"/>
        <v>0</v>
      </c>
      <c r="BK140" s="1776">
        <f t="shared" ref="BK140:BS140" si="362">SUM(BK66)</f>
        <v>0</v>
      </c>
      <c r="BL140" s="1776">
        <f t="shared" si="362"/>
        <v>0</v>
      </c>
      <c r="BM140" s="1776">
        <f t="shared" si="362"/>
        <v>0</v>
      </c>
      <c r="BN140" s="1776">
        <f t="shared" si="362"/>
        <v>0</v>
      </c>
      <c r="BO140" s="1776">
        <f t="shared" si="362"/>
        <v>0</v>
      </c>
      <c r="BP140" s="1776">
        <f t="shared" si="362"/>
        <v>0</v>
      </c>
      <c r="BQ140" s="1776">
        <f t="shared" si="362"/>
        <v>0</v>
      </c>
      <c r="BR140" s="1776">
        <f t="shared" si="362"/>
        <v>0</v>
      </c>
      <c r="BS140" s="1776">
        <f t="shared" si="362"/>
        <v>0</v>
      </c>
      <c r="BT140" s="1783"/>
    </row>
    <row r="141" spans="1:73" ht="21" hidden="1" customHeight="1" x14ac:dyDescent="0.3">
      <c r="A141" s="1673" t="s">
        <v>538</v>
      </c>
      <c r="B141" s="1773"/>
      <c r="C141" s="1773"/>
      <c r="D141" s="1773"/>
      <c r="E141" s="1773"/>
      <c r="F141" s="1773"/>
      <c r="G141" s="1773"/>
      <c r="H141" s="1773"/>
      <c r="I141" s="1773"/>
      <c r="J141" s="1773"/>
      <c r="K141" s="1773"/>
      <c r="L141" s="1773"/>
      <c r="M141" s="1773"/>
      <c r="N141" s="1773"/>
      <c r="O141" s="1773"/>
      <c r="P141" s="1773"/>
      <c r="Q141" s="1773"/>
      <c r="R141" s="1773"/>
      <c r="S141" s="1773"/>
      <c r="T141" s="1773"/>
      <c r="U141" s="1773"/>
      <c r="V141" s="1773"/>
      <c r="W141" s="1773"/>
      <c r="X141" s="1773"/>
      <c r="Y141" s="1774">
        <f>SUM(Y135+Y140)</f>
        <v>138793.20000000001</v>
      </c>
      <c r="Z141" s="1773"/>
      <c r="AA141" s="1774">
        <f t="shared" ref="AA141:AE141" si="363">SUM(AA135+AA140)</f>
        <v>108660.63350891825</v>
      </c>
      <c r="AB141" s="1774" t="e">
        <f t="shared" si="363"/>
        <v>#REF!</v>
      </c>
      <c r="AC141" s="1774">
        <f t="shared" si="363"/>
        <v>107833.7622993573</v>
      </c>
      <c r="AD141" s="1774">
        <f t="shared" si="363"/>
        <v>826.68606618206377</v>
      </c>
      <c r="AE141" s="1776">
        <f t="shared" si="363"/>
        <v>113320.02939110002</v>
      </c>
      <c r="AF141" s="1776">
        <f t="shared" ref="AF141" si="364">SUM(AF135+AF140)</f>
        <v>112515.45483007004</v>
      </c>
      <c r="AG141" s="1776">
        <f t="shared" ref="AG141" si="365">SUM(AG135+AG140)</f>
        <v>804.57456102995798</v>
      </c>
      <c r="AH141" s="1776">
        <f t="shared" ref="AH141:AJ141" si="366">SUM(AH135+AH140)</f>
        <v>127650.00432999998</v>
      </c>
      <c r="AI141" s="1777">
        <f t="shared" si="189"/>
        <v>1.1747585138045711</v>
      </c>
      <c r="AJ141" s="1776">
        <f t="shared" si="366"/>
        <v>126816.36433</v>
      </c>
      <c r="AK141" s="1776">
        <f t="shared" ref="AK141:AL141" si="367">SUM(AK135+AK140)</f>
        <v>833.64</v>
      </c>
      <c r="AL141" s="1776">
        <f t="shared" si="367"/>
        <v>119575.14119517006</v>
      </c>
      <c r="AM141" s="1777">
        <f t="shared" si="192"/>
        <v>1.1004458315196184</v>
      </c>
      <c r="AN141" s="1776">
        <f t="shared" ref="AN141" si="368">SUM(AN135+AN140)</f>
        <v>118706.40926913286</v>
      </c>
      <c r="AO141" s="1776">
        <f t="shared" ref="AO141" si="369">SUM(AO135+AO140)</f>
        <v>868.73192603721361</v>
      </c>
      <c r="AP141" s="1778"/>
      <c r="AQ141" s="1778"/>
      <c r="AR141" s="1778"/>
      <c r="AS141" s="1778"/>
      <c r="AT141" s="1776">
        <f t="shared" ref="AT141" si="370">SUM(AT135+AT140)</f>
        <v>56673.297081400007</v>
      </c>
      <c r="AU141" s="1776">
        <f t="shared" ref="AU141" si="371">SUM(AU135+AU140)</f>
        <v>56463.165167590269</v>
      </c>
      <c r="AV141" s="1776">
        <f t="shared" ref="AV141" si="372">SUM(AV135+AV140)</f>
        <v>210.13191380973541</v>
      </c>
      <c r="AW141" s="1776">
        <f t="shared" ref="AW141" si="373">SUM(AW135+AW140)</f>
        <v>116214.42000000001</v>
      </c>
      <c r="AX141" s="1776">
        <f t="shared" ref="AX141" si="374">SUM(AX135+AX140)</f>
        <v>115906.65000000001</v>
      </c>
      <c r="AY141" s="1776">
        <f t="shared" ref="AY141:AZ141" si="375">SUM(AY135+AY140)</f>
        <v>307.77</v>
      </c>
      <c r="AZ141" s="1776">
        <f t="shared" si="375"/>
        <v>139474.20019208643</v>
      </c>
      <c r="BA141" s="1779">
        <f t="shared" si="196"/>
        <v>1.1664146811621758</v>
      </c>
      <c r="BB141" s="1776">
        <f t="shared" ref="BB141" si="376">SUM(BB135+BB140)</f>
        <v>140324.80440115422</v>
      </c>
      <c r="BC141" s="1776">
        <f t="shared" ref="BC141" si="377">SUM(BC135+BC140)</f>
        <v>486.88179093217639</v>
      </c>
      <c r="BD141" s="1776">
        <f t="shared" ref="BD141" si="378">SUM(BD135+BD140)</f>
        <v>126529.10263939487</v>
      </c>
      <c r="BE141" s="1780">
        <f t="shared" si="328"/>
        <v>1.0581555779463776</v>
      </c>
      <c r="BF141" s="1776">
        <f t="shared" ref="BF141" si="379">SUM(BF135+BF140)</f>
        <v>126184.96371419655</v>
      </c>
      <c r="BG141" s="1776">
        <f t="shared" ref="BG141:BI141" si="380">SUM(BG135+BG140)</f>
        <v>344.13892519829574</v>
      </c>
      <c r="BH141" s="1776">
        <f t="shared" si="380"/>
        <v>120577.88</v>
      </c>
      <c r="BI141" s="1776">
        <f t="shared" si="380"/>
        <v>120535.93000000001</v>
      </c>
      <c r="BJ141" s="1776">
        <f t="shared" ref="BJ141:BL141" si="381">SUM(BJ135+BJ140)</f>
        <v>41.95</v>
      </c>
      <c r="BK141" s="1776">
        <f t="shared" si="381"/>
        <v>134891.4</v>
      </c>
      <c r="BL141" s="1776">
        <f t="shared" si="381"/>
        <v>134862.29999999999</v>
      </c>
      <c r="BM141" s="1776">
        <f>SUM(BM135+BM140)</f>
        <v>29.099999999999998</v>
      </c>
      <c r="BN141" s="1776">
        <f>BN138+BN140</f>
        <v>173239.27999999997</v>
      </c>
      <c r="BO141" s="1776">
        <f t="shared" ref="BO141:BS141" si="382">BO138+BO140</f>
        <v>173139.98999999996</v>
      </c>
      <c r="BP141" s="1776">
        <f t="shared" si="382"/>
        <v>99.289999999999992</v>
      </c>
      <c r="BQ141" s="1776">
        <f t="shared" si="382"/>
        <v>147574.92935394892</v>
      </c>
      <c r="BR141" s="1776">
        <f t="shared" si="382"/>
        <v>147544.11811148544</v>
      </c>
      <c r="BS141" s="1776">
        <f t="shared" si="382"/>
        <v>30.811242463479257</v>
      </c>
      <c r="BT141" s="1783"/>
    </row>
    <row r="142" spans="1:73" ht="21" customHeight="1" x14ac:dyDescent="0.3">
      <c r="A142" s="1757" t="s">
        <v>70</v>
      </c>
      <c r="B142" s="1773"/>
      <c r="C142" s="1773"/>
      <c r="D142" s="1773"/>
      <c r="E142" s="1773"/>
      <c r="F142" s="1773"/>
      <c r="G142" s="1773"/>
      <c r="H142" s="1773"/>
      <c r="I142" s="1773"/>
      <c r="J142" s="1773"/>
      <c r="K142" s="1773"/>
      <c r="L142" s="1773"/>
      <c r="M142" s="1773"/>
      <c r="N142" s="1773"/>
      <c r="O142" s="1773"/>
      <c r="P142" s="1773"/>
      <c r="Q142" s="1773"/>
      <c r="R142" s="1773"/>
      <c r="S142" s="1773"/>
      <c r="T142" s="1773"/>
      <c r="U142" s="1773"/>
      <c r="V142" s="1773"/>
      <c r="W142" s="1773"/>
      <c r="X142" s="1773"/>
      <c r="Y142" s="1775">
        <f>SUM(Y141/Y136)</f>
        <v>34.698300000000003</v>
      </c>
      <c r="Z142" s="1773"/>
      <c r="AA142" s="1775">
        <f t="shared" ref="AA142:AE142" si="383">SUM(AA141/AA136)</f>
        <v>26.815219759369789</v>
      </c>
      <c r="AB142" s="1775" t="e">
        <f t="shared" si="383"/>
        <v>#REF!</v>
      </c>
      <c r="AC142" s="1775">
        <f t="shared" si="383"/>
        <v>26.916719659367306</v>
      </c>
      <c r="AD142" s="1775">
        <f t="shared" si="383"/>
        <v>17.971436221349212</v>
      </c>
      <c r="AE142" s="1782">
        <f t="shared" si="383"/>
        <v>28.056456893067594</v>
      </c>
      <c r="AF142" s="1782">
        <f t="shared" ref="AF142" si="384">SUM(AF141/AF136)</f>
        <v>28.205017254103591</v>
      </c>
      <c r="AG142" s="1782">
        <f t="shared" ref="AG142" si="385">SUM(AG141/AG136)</f>
        <v>16.156115683332491</v>
      </c>
      <c r="AH142" s="1782">
        <f t="shared" ref="AH142:AJ142" si="386">SUM(AH141/AH136)</f>
        <v>31.499853008093964</v>
      </c>
      <c r="AI142" s="1777">
        <f t="shared" si="189"/>
        <v>1.1747005353960327</v>
      </c>
      <c r="AJ142" s="1782">
        <f t="shared" si="386"/>
        <v>31.654472696548162</v>
      </c>
      <c r="AK142" s="1782">
        <f t="shared" ref="AK142:AL142" si="387">SUM(AK141/AK136)</f>
        <v>18.071536960763058</v>
      </c>
      <c r="AL142" s="1782">
        <f t="shared" si="387"/>
        <v>29.507240448911769</v>
      </c>
      <c r="AM142" s="1777">
        <f t="shared" si="192"/>
        <v>1.1003915206997821</v>
      </c>
      <c r="AN142" s="1782">
        <f t="shared" ref="AN142" si="388">SUM(AN141/AN136)</f>
        <v>29.630157046113432</v>
      </c>
      <c r="AO142" s="1782">
        <f t="shared" ref="AO142" si="389">SUM(AO141/AO136)</f>
        <v>18.832255062588633</v>
      </c>
      <c r="AP142" s="1778"/>
      <c r="AQ142" s="1778"/>
      <c r="AR142" s="1778"/>
      <c r="AS142" s="1778"/>
      <c r="AT142" s="1782">
        <f t="shared" ref="AT142" si="390">SUM(AT141/AT136)</f>
        <v>28.472176098930916</v>
      </c>
      <c r="AU142" s="1782">
        <f t="shared" ref="AU142" si="391">SUM(AU141/AU136)</f>
        <v>28.563201351485887</v>
      </c>
      <c r="AV142" s="1782">
        <f t="shared" ref="AV142" si="392">SUM(AV141/AV136)</f>
        <v>15.338095898520834</v>
      </c>
      <c r="AW142" s="1782">
        <f t="shared" ref="AW142" si="393">SUM(AW141/AW136)</f>
        <v>30.741139873347407</v>
      </c>
      <c r="AX142" s="1782">
        <f t="shared" ref="AX142" si="394">SUM(AX141/AX136)</f>
        <v>30.8082106214449</v>
      </c>
      <c r="AY142" s="1782">
        <f t="shared" ref="AY142:AZ142" si="395">SUM(AY141/AY136)</f>
        <v>16.891877058177826</v>
      </c>
      <c r="AZ142" s="1782">
        <f t="shared" si="395"/>
        <v>34.776071779142924</v>
      </c>
      <c r="BA142" s="1779">
        <f t="shared" si="196"/>
        <v>1.1785606261403367</v>
      </c>
      <c r="BB142" s="1782">
        <f t="shared" ref="BB142" si="396">SUM(BB141/BB136)</f>
        <v>35.176026874736131</v>
      </c>
      <c r="BC142" s="1782">
        <f t="shared" ref="BC142" si="397">SUM(BC141/BC136)</f>
        <v>22.730242340437737</v>
      </c>
      <c r="BD142" s="1782">
        <f t="shared" ref="BD142" si="398">SUM(BD141/BD136)</f>
        <v>31.548380628661945</v>
      </c>
      <c r="BE142" s="1780">
        <f t="shared" si="328"/>
        <v>1.0691742144875989</v>
      </c>
      <c r="BF142" s="1782">
        <f t="shared" ref="BF142" si="399">SUM(BF141/BF136)</f>
        <v>31.631511575879816</v>
      </c>
      <c r="BG142" s="1782">
        <f t="shared" ref="BG142:BI142" si="400">SUM(BG141/BG136)</f>
        <v>16.066243006456382</v>
      </c>
      <c r="BH142" s="1782">
        <f t="shared" si="400"/>
        <v>33.787241435352534</v>
      </c>
      <c r="BI142" s="1782">
        <f t="shared" si="400"/>
        <v>33.798216098296855</v>
      </c>
      <c r="BJ142" s="1782">
        <f t="shared" ref="BJ142:BL142" si="401">SUM(BJ141/BJ136)</f>
        <v>17.479166666666668</v>
      </c>
      <c r="BK142" s="1782">
        <f t="shared" si="401"/>
        <v>36.88005971177585</v>
      </c>
      <c r="BL142" s="1782">
        <f t="shared" si="401"/>
        <v>36.88995568685376</v>
      </c>
      <c r="BM142" s="1782">
        <f t="shared" ref="BM142:BS142" si="402">SUM(BM141/BM136)</f>
        <v>16.440677966101692</v>
      </c>
      <c r="BN142" s="1782">
        <f t="shared" si="402"/>
        <v>48.055278779472943</v>
      </c>
      <c r="BO142" s="1782">
        <f t="shared" si="402"/>
        <v>48.094441666666654</v>
      </c>
      <c r="BP142" s="1782">
        <f t="shared" si="402"/>
        <v>19.857999999999997</v>
      </c>
      <c r="BQ142" s="1782">
        <f t="shared" si="402"/>
        <v>40.294652117864288</v>
      </c>
      <c r="BR142" s="1782">
        <f t="shared" si="402"/>
        <v>40.305718614059224</v>
      </c>
      <c r="BS142" s="1782">
        <f t="shared" si="402"/>
        <v>17.407481617784892</v>
      </c>
      <c r="BT142" s="1783"/>
    </row>
    <row r="143" spans="1:73" ht="21" hidden="1" customHeight="1" x14ac:dyDescent="0.3">
      <c r="A143" s="1757" t="s">
        <v>320</v>
      </c>
      <c r="B143" s="1773"/>
      <c r="C143" s="1773"/>
      <c r="D143" s="1773"/>
      <c r="E143" s="1773"/>
      <c r="F143" s="1773"/>
      <c r="G143" s="1773"/>
      <c r="H143" s="1773"/>
      <c r="I143" s="1773"/>
      <c r="J143" s="1773"/>
      <c r="K143" s="1773"/>
      <c r="L143" s="1773"/>
      <c r="M143" s="1773"/>
      <c r="N143" s="1773"/>
      <c r="O143" s="1773"/>
      <c r="P143" s="1773"/>
      <c r="Q143" s="1773"/>
      <c r="R143" s="1773"/>
      <c r="S143" s="1773"/>
      <c r="T143" s="1773"/>
      <c r="U143" s="1773"/>
      <c r="V143" s="1773"/>
      <c r="W143" s="1773"/>
      <c r="X143" s="1773"/>
      <c r="Y143" s="1774">
        <f>SUM(Y69)</f>
        <v>4665</v>
      </c>
      <c r="Z143" s="1773"/>
      <c r="AA143" s="1774">
        <f t="shared" ref="AA143:AD143" si="403">SUM(AA69)</f>
        <v>4665</v>
      </c>
      <c r="AB143" s="1774">
        <f t="shared" si="403"/>
        <v>0</v>
      </c>
      <c r="AC143" s="1774">
        <f t="shared" si="403"/>
        <v>4665</v>
      </c>
      <c r="AD143" s="1774">
        <f t="shared" si="403"/>
        <v>0</v>
      </c>
      <c r="AE143" s="1776">
        <f t="shared" ref="AE143:AH143" si="404">SUM(AE69)</f>
        <v>824.7</v>
      </c>
      <c r="AF143" s="1776">
        <f t="shared" si="404"/>
        <v>824.7</v>
      </c>
      <c r="AG143" s="1776">
        <f t="shared" si="404"/>
        <v>0</v>
      </c>
      <c r="AH143" s="1776">
        <f t="shared" si="404"/>
        <v>4274</v>
      </c>
      <c r="AI143" s="1777">
        <f t="shared" si="189"/>
        <v>0.91618435155412647</v>
      </c>
      <c r="AJ143" s="1776">
        <f t="shared" ref="AJ143:AK143" si="405">SUM(AJ69)</f>
        <v>4274</v>
      </c>
      <c r="AK143" s="1776">
        <f t="shared" si="405"/>
        <v>0</v>
      </c>
      <c r="AL143" s="1776">
        <f t="shared" ref="AL143:AO143" si="406">SUM(AL69)</f>
        <v>4444</v>
      </c>
      <c r="AM143" s="1777">
        <f t="shared" si="192"/>
        <v>0.95262593783494109</v>
      </c>
      <c r="AN143" s="1776">
        <f t="shared" si="406"/>
        <v>4444</v>
      </c>
      <c r="AO143" s="1776">
        <f t="shared" si="406"/>
        <v>0</v>
      </c>
      <c r="AP143" s="1778"/>
      <c r="AQ143" s="1778"/>
      <c r="AR143" s="1778"/>
      <c r="AS143" s="1778"/>
      <c r="AT143" s="1776">
        <f t="shared" ref="AT143:AV143" si="407">SUM(AT69)</f>
        <v>0</v>
      </c>
      <c r="AU143" s="1776">
        <f t="shared" si="407"/>
        <v>0</v>
      </c>
      <c r="AV143" s="1776">
        <f t="shared" si="407"/>
        <v>0</v>
      </c>
      <c r="AW143" s="1776">
        <f t="shared" ref="AW143:AY143" si="408">SUM(AW69)</f>
        <v>0</v>
      </c>
      <c r="AX143" s="1776">
        <f t="shared" si="408"/>
        <v>0</v>
      </c>
      <c r="AY143" s="1776">
        <f t="shared" si="408"/>
        <v>0</v>
      </c>
      <c r="AZ143" s="1776">
        <f t="shared" ref="AZ143:BC143" si="409">SUM(AZ69)</f>
        <v>3976</v>
      </c>
      <c r="BA143" s="1779">
        <f t="shared" si="196"/>
        <v>0.89468946894689472</v>
      </c>
      <c r="BB143" s="1776">
        <f t="shared" si="409"/>
        <v>3976</v>
      </c>
      <c r="BC143" s="1776">
        <f t="shared" si="409"/>
        <v>0</v>
      </c>
      <c r="BD143" s="1776">
        <f t="shared" ref="BD143:BG143" si="410">SUM(BD69)</f>
        <v>3976</v>
      </c>
      <c r="BE143" s="1780">
        <f t="shared" si="328"/>
        <v>0.89468946894689472</v>
      </c>
      <c r="BF143" s="1776">
        <f t="shared" si="410"/>
        <v>3976</v>
      </c>
      <c r="BG143" s="1776">
        <f t="shared" si="410"/>
        <v>0</v>
      </c>
      <c r="BH143" s="1776">
        <f t="shared" ref="BH143:BJ143" si="411">SUM(BH69)</f>
        <v>0</v>
      </c>
      <c r="BI143" s="1776">
        <f t="shared" si="411"/>
        <v>0</v>
      </c>
      <c r="BJ143" s="1776">
        <f t="shared" si="411"/>
        <v>0</v>
      </c>
      <c r="BK143" s="1776">
        <f t="shared" ref="BK143:BS143" si="412">SUM(BK69)</f>
        <v>0</v>
      </c>
      <c r="BL143" s="1776">
        <f t="shared" si="412"/>
        <v>0</v>
      </c>
      <c r="BM143" s="1776">
        <f t="shared" si="412"/>
        <v>0</v>
      </c>
      <c r="BN143" s="1776">
        <f t="shared" si="412"/>
        <v>0</v>
      </c>
      <c r="BO143" s="1776">
        <f t="shared" si="412"/>
        <v>0</v>
      </c>
      <c r="BP143" s="1776">
        <f t="shared" si="412"/>
        <v>0</v>
      </c>
      <c r="BQ143" s="1776">
        <f t="shared" si="412"/>
        <v>0</v>
      </c>
      <c r="BR143" s="1776">
        <f t="shared" si="412"/>
        <v>0</v>
      </c>
      <c r="BS143" s="1776">
        <f t="shared" si="412"/>
        <v>0</v>
      </c>
      <c r="BT143" s="1783"/>
    </row>
    <row r="144" spans="1:73" ht="21" hidden="1" customHeight="1" x14ac:dyDescent="0.3">
      <c r="A144" s="1673" t="s">
        <v>539</v>
      </c>
      <c r="B144" s="1773"/>
      <c r="C144" s="1773"/>
      <c r="D144" s="1773"/>
      <c r="E144" s="1773"/>
      <c r="F144" s="1773"/>
      <c r="G144" s="1773"/>
      <c r="H144" s="1773"/>
      <c r="I144" s="1773"/>
      <c r="J144" s="1773"/>
      <c r="K144" s="1773"/>
      <c r="L144" s="1773"/>
      <c r="M144" s="1773"/>
      <c r="N144" s="1773"/>
      <c r="O144" s="1773"/>
      <c r="P144" s="1773"/>
      <c r="Q144" s="1773"/>
      <c r="R144" s="1773"/>
      <c r="S144" s="1773"/>
      <c r="T144" s="1773"/>
      <c r="U144" s="1773"/>
      <c r="V144" s="1773"/>
      <c r="W144" s="1773"/>
      <c r="X144" s="1773"/>
      <c r="Y144" s="1774">
        <f>SUM(Y141+Y143)</f>
        <v>143458.20000000001</v>
      </c>
      <c r="Z144" s="1773"/>
      <c r="AA144" s="1774">
        <f t="shared" ref="AA144:AE144" si="413">SUM(AA141+AA143)</f>
        <v>113325.63350891825</v>
      </c>
      <c r="AB144" s="1774" t="e">
        <f t="shared" si="413"/>
        <v>#REF!</v>
      </c>
      <c r="AC144" s="1774">
        <f t="shared" si="413"/>
        <v>112498.7622993573</v>
      </c>
      <c r="AD144" s="1774">
        <f t="shared" si="413"/>
        <v>826.68606618206377</v>
      </c>
      <c r="AE144" s="1776">
        <f t="shared" si="413"/>
        <v>114144.72939110002</v>
      </c>
      <c r="AF144" s="1776">
        <f t="shared" ref="AF144" si="414">SUM(AF141+AF143)</f>
        <v>113340.15483007004</v>
      </c>
      <c r="AG144" s="1776">
        <f t="shared" ref="AG144" si="415">SUM(AG141+AG143)</f>
        <v>804.57456102995798</v>
      </c>
      <c r="AH144" s="1776">
        <f t="shared" ref="AH144:AJ144" si="416">SUM(AH141+AH143)</f>
        <v>131924.00432999997</v>
      </c>
      <c r="AI144" s="1777">
        <f t="shared" si="189"/>
        <v>1.1641144218233566</v>
      </c>
      <c r="AJ144" s="1776">
        <f t="shared" si="416"/>
        <v>131090.36433000001</v>
      </c>
      <c r="AK144" s="1776">
        <f t="shared" ref="AK144:AL144" si="417">SUM(AK141+AK143)</f>
        <v>833.64</v>
      </c>
      <c r="AL144" s="1776">
        <f t="shared" si="417"/>
        <v>124019.14119517006</v>
      </c>
      <c r="AM144" s="1777">
        <f t="shared" si="192"/>
        <v>1.094360890428292</v>
      </c>
      <c r="AN144" s="1776">
        <f t="shared" ref="AN144" si="418">SUM(AN141+AN143)</f>
        <v>123150.40926913286</v>
      </c>
      <c r="AO144" s="1776">
        <f t="shared" ref="AO144" si="419">SUM(AO141+AO143)</f>
        <v>868.73192603721361</v>
      </c>
      <c r="AP144" s="1778"/>
      <c r="AQ144" s="1778"/>
      <c r="AR144" s="1778"/>
      <c r="AS144" s="1778"/>
      <c r="AT144" s="1776">
        <f t="shared" ref="AT144" si="420">SUM(AT141+AT143)</f>
        <v>56673.297081400007</v>
      </c>
      <c r="AU144" s="1776">
        <f t="shared" ref="AU144" si="421">SUM(AU141+AU143)</f>
        <v>56463.165167590269</v>
      </c>
      <c r="AV144" s="1776">
        <f t="shared" ref="AV144" si="422">SUM(AV141+AV143)</f>
        <v>210.13191380973541</v>
      </c>
      <c r="AW144" s="1776">
        <f t="shared" ref="AW144" si="423">SUM(AW141+AW143)</f>
        <v>116214.42000000001</v>
      </c>
      <c r="AX144" s="1776">
        <f t="shared" ref="AX144" si="424">SUM(AX141+AX143)</f>
        <v>115906.65000000001</v>
      </c>
      <c r="AY144" s="1776">
        <f t="shared" ref="AY144:AZ144" si="425">SUM(AY141+AY143)</f>
        <v>307.77</v>
      </c>
      <c r="AZ144" s="1776">
        <f t="shared" si="425"/>
        <v>143450.20019208643</v>
      </c>
      <c r="BA144" s="1779">
        <f t="shared" si="196"/>
        <v>1.1566779031821994</v>
      </c>
      <c r="BB144" s="1776">
        <f t="shared" ref="BB144" si="426">SUM(BB141+BB143)</f>
        <v>144300.80440115422</v>
      </c>
      <c r="BC144" s="1776">
        <f t="shared" ref="BC144" si="427">SUM(BC141+BC143)</f>
        <v>486.88179093217639</v>
      </c>
      <c r="BD144" s="1776">
        <f t="shared" ref="BD144" si="428">SUM(BD141+BD143)</f>
        <v>130505.10263939487</v>
      </c>
      <c r="BE144" s="1780">
        <f t="shared" si="328"/>
        <v>1.0522980677153522</v>
      </c>
      <c r="BF144" s="1776">
        <f t="shared" ref="BF144" si="429">SUM(BF141+BF143)</f>
        <v>130160.96371419655</v>
      </c>
      <c r="BG144" s="1776">
        <f t="shared" ref="BG144:BI144" si="430">SUM(BG141+BG143)</f>
        <v>344.13892519829574</v>
      </c>
      <c r="BH144" s="1776">
        <f t="shared" si="430"/>
        <v>120577.88</v>
      </c>
      <c r="BI144" s="1776">
        <f t="shared" si="430"/>
        <v>120535.93000000001</v>
      </c>
      <c r="BJ144" s="1776">
        <f t="shared" ref="BJ144:BL144" si="431">SUM(BJ141+BJ143)</f>
        <v>41.95</v>
      </c>
      <c r="BK144" s="1776">
        <f t="shared" si="431"/>
        <v>134891.4</v>
      </c>
      <c r="BL144" s="1776">
        <f t="shared" si="431"/>
        <v>134862.29999999999</v>
      </c>
      <c r="BM144" s="1776">
        <f t="shared" ref="BM144:BS144" si="432">SUM(BM141+BM143)</f>
        <v>29.099999999999998</v>
      </c>
      <c r="BN144" s="1776">
        <f>SUM(BN141+BN143)</f>
        <v>173239.27999999997</v>
      </c>
      <c r="BO144" s="1776">
        <f t="shared" si="432"/>
        <v>173139.98999999996</v>
      </c>
      <c r="BP144" s="1776">
        <f t="shared" si="432"/>
        <v>99.289999999999992</v>
      </c>
      <c r="BQ144" s="1776">
        <f t="shared" si="432"/>
        <v>147574.92935394892</v>
      </c>
      <c r="BR144" s="1776">
        <f t="shared" si="432"/>
        <v>147544.11811148544</v>
      </c>
      <c r="BS144" s="1776">
        <f t="shared" si="432"/>
        <v>30.811242463479257</v>
      </c>
      <c r="BT144" s="1783"/>
    </row>
    <row r="145" spans="1:72" ht="21" hidden="1" customHeight="1" x14ac:dyDescent="0.3">
      <c r="A145" s="1673" t="s">
        <v>321</v>
      </c>
      <c r="B145" s="1773"/>
      <c r="C145" s="1773"/>
      <c r="D145" s="1773"/>
      <c r="E145" s="1773"/>
      <c r="F145" s="1773"/>
      <c r="G145" s="1773"/>
      <c r="H145" s="1773"/>
      <c r="I145" s="1773"/>
      <c r="J145" s="1773"/>
      <c r="K145" s="1773"/>
      <c r="L145" s="1773"/>
      <c r="M145" s="1773"/>
      <c r="N145" s="1773"/>
      <c r="O145" s="1773"/>
      <c r="P145" s="1773"/>
      <c r="Q145" s="1773"/>
      <c r="R145" s="1773"/>
      <c r="S145" s="1773"/>
      <c r="T145" s="1773"/>
      <c r="U145" s="1773"/>
      <c r="V145" s="1773"/>
      <c r="W145" s="1773"/>
      <c r="X145" s="1773"/>
      <c r="Y145" s="1775">
        <f>SUM(Y144/Y136)</f>
        <v>35.864550000000001</v>
      </c>
      <c r="Z145" s="1773"/>
      <c r="AA145" s="1775">
        <f t="shared" ref="AA145:AE145" si="433">SUM(AA144/AA136)</f>
        <v>27.966446253619825</v>
      </c>
      <c r="AB145" s="1775" t="e">
        <f t="shared" si="433"/>
        <v>#REF!</v>
      </c>
      <c r="AC145" s="1775">
        <f t="shared" si="433"/>
        <v>28.081164769446683</v>
      </c>
      <c r="AD145" s="1775">
        <f t="shared" si="433"/>
        <v>17.971436221349212</v>
      </c>
      <c r="AE145" s="1796">
        <f t="shared" si="433"/>
        <v>28.260641097078487</v>
      </c>
      <c r="AF145" s="1796">
        <f t="shared" ref="AF145" si="434">SUM(AF144/AF136)</f>
        <v>28.411750433688468</v>
      </c>
      <c r="AG145" s="1796">
        <f t="shared" ref="AG145" si="435">SUM(AG144/AG136)</f>
        <v>16.156115683332491</v>
      </c>
      <c r="AH145" s="1796">
        <f t="shared" ref="AH145:AJ145" si="436">SUM(AH144/AH136)</f>
        <v>32.554536652354152</v>
      </c>
      <c r="AI145" s="1797">
        <f t="shared" si="189"/>
        <v>1.1640569687376876</v>
      </c>
      <c r="AJ145" s="1796">
        <f t="shared" si="436"/>
        <v>32.721300444053945</v>
      </c>
      <c r="AK145" s="1796">
        <f t="shared" ref="AK145:AL145" si="437">SUM(AK144/AK136)</f>
        <v>18.071536960763058</v>
      </c>
      <c r="AL145" s="1796">
        <f t="shared" si="437"/>
        <v>30.603874542288533</v>
      </c>
      <c r="AM145" s="1797">
        <f t="shared" si="192"/>
        <v>1.0943068799214106</v>
      </c>
      <c r="AN145" s="1796">
        <f t="shared" ref="AN145" si="438">SUM(AN144/AN136)</f>
        <v>30.739418279130678</v>
      </c>
      <c r="AO145" s="1796">
        <f t="shared" ref="AO145" si="439">SUM(AO144/AO136)</f>
        <v>18.832255062588633</v>
      </c>
      <c r="AP145" s="1798"/>
      <c r="AQ145" s="1798"/>
      <c r="AR145" s="1798"/>
      <c r="AS145" s="1798"/>
      <c r="AT145" s="1796">
        <f t="shared" ref="AT145" si="440">SUM(AT144/AT136)</f>
        <v>28.472176098930916</v>
      </c>
      <c r="AU145" s="1796">
        <f t="shared" ref="AU145" si="441">SUM(AU144/AU136)</f>
        <v>28.563201351485887</v>
      </c>
      <c r="AV145" s="1796">
        <f t="shared" ref="AV145" si="442">SUM(AV144/AV136)</f>
        <v>15.338095898520834</v>
      </c>
      <c r="AW145" s="1796">
        <f t="shared" ref="AW145" si="443">SUM(AW144/AW136)</f>
        <v>30.741139873347407</v>
      </c>
      <c r="AX145" s="1796">
        <f t="shared" ref="AX145" si="444">SUM(AX144/AX136)</f>
        <v>30.8082106214449</v>
      </c>
      <c r="AY145" s="1796">
        <f t="shared" ref="AY145:AZ145" si="445">SUM(AY144/AY136)</f>
        <v>16.891877058177826</v>
      </c>
      <c r="AZ145" s="1796">
        <f t="shared" si="445"/>
        <v>35.767435495181047</v>
      </c>
      <c r="BA145" s="1799">
        <f t="shared" si="196"/>
        <v>1.1687224585160774</v>
      </c>
      <c r="BB145" s="1796">
        <f t="shared" ref="BB145" si="446">SUM(BB144/BB136)</f>
        <v>36.172713693227074</v>
      </c>
      <c r="BC145" s="1796">
        <f t="shared" ref="BC145" si="447">SUM(BC144/BC136)</f>
        <v>22.730242340437737</v>
      </c>
      <c r="BD145" s="1796">
        <f t="shared" ref="BD145" si="448">SUM(BD144/BD136)</f>
        <v>32.539744344700075</v>
      </c>
      <c r="BE145" s="1800">
        <f t="shared" si="328"/>
        <v>1.0632557096565192</v>
      </c>
      <c r="BF145" s="1796">
        <f t="shared" ref="BF145" si="449">SUM(BF144/BF136)</f>
        <v>32.628198394370763</v>
      </c>
      <c r="BG145" s="1796">
        <f t="shared" ref="BG145:BI145" si="450">SUM(BG144/BG136)</f>
        <v>16.066243006456382</v>
      </c>
      <c r="BH145" s="1796">
        <f t="shared" si="450"/>
        <v>33.787241435352534</v>
      </c>
      <c r="BI145" s="1796">
        <f t="shared" si="450"/>
        <v>33.798216098296855</v>
      </c>
      <c r="BJ145" s="1796">
        <f t="shared" ref="BJ145:BL145" si="451">SUM(BJ144/BJ136)</f>
        <v>17.479166666666668</v>
      </c>
      <c r="BK145" s="1796">
        <f t="shared" si="451"/>
        <v>36.88005971177585</v>
      </c>
      <c r="BL145" s="1796">
        <f t="shared" si="451"/>
        <v>36.88995568685376</v>
      </c>
      <c r="BM145" s="1796">
        <f t="shared" ref="BM145:BS145" si="452">SUM(BM144/BM136)</f>
        <v>16.440677966101692</v>
      </c>
      <c r="BN145" s="1796">
        <f t="shared" si="452"/>
        <v>48.055278779472943</v>
      </c>
      <c r="BO145" s="1796">
        <f t="shared" si="452"/>
        <v>48.094441666666654</v>
      </c>
      <c r="BP145" s="1796">
        <f t="shared" si="452"/>
        <v>19.857999999999997</v>
      </c>
      <c r="BQ145" s="1796">
        <f t="shared" si="452"/>
        <v>40.294652117864288</v>
      </c>
      <c r="BR145" s="1796">
        <f t="shared" si="452"/>
        <v>40.305718614059224</v>
      </c>
      <c r="BS145" s="1796">
        <f t="shared" si="452"/>
        <v>17.407481617784892</v>
      </c>
      <c r="BT145" s="1801"/>
    </row>
    <row r="146" spans="1:72" ht="18.75" x14ac:dyDescent="0.3">
      <c r="A146" s="396"/>
      <c r="B146" s="396"/>
      <c r="C146" s="396"/>
      <c r="D146" s="396"/>
      <c r="E146" s="396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939"/>
      <c r="AK146" s="939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1443"/>
      <c r="BB146" s="396">
        <f>BF146</f>
        <v>31.52</v>
      </c>
      <c r="BC146" s="396"/>
      <c r="BD146" s="396"/>
      <c r="BE146" s="1443"/>
      <c r="BF146" s="396">
        <v>31.52</v>
      </c>
      <c r="BG146" s="396"/>
    </row>
    <row r="147" spans="1:72" ht="18.75" x14ac:dyDescent="0.3">
      <c r="A147" s="396"/>
      <c r="B147" s="396"/>
      <c r="C147" s="396"/>
      <c r="D147" s="396"/>
      <c r="E147" s="396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939"/>
      <c r="AK147" s="939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1443"/>
      <c r="BB147" s="1257">
        <f>BB145*2-BB146</f>
        <v>40.825427386454152</v>
      </c>
      <c r="BC147" s="396"/>
      <c r="BD147" s="396"/>
      <c r="BE147" s="1443"/>
      <c r="BF147" s="1257">
        <f>BF145*2-BF146</f>
        <v>33.73639678874153</v>
      </c>
      <c r="BG147" s="396"/>
      <c r="BP147" s="1846" t="s">
        <v>2045</v>
      </c>
      <c r="BR147" s="1845">
        <f>BR124+BR125+BR126+BR127+BR128+BR130</f>
        <v>116884.44357920038</v>
      </c>
      <c r="BS147" s="1845">
        <f>BS124+BS125+BS126+BS127+BS128+BS130</f>
        <v>25.498907169864808</v>
      </c>
    </row>
    <row r="148" spans="1:72" x14ac:dyDescent="0.25">
      <c r="BP148" s="1846" t="s">
        <v>2046</v>
      </c>
      <c r="BR148" s="1845">
        <f>BR121+BR122</f>
        <v>13640.899384903289</v>
      </c>
      <c r="BS148" s="1845">
        <f>BS121+BS122</f>
        <v>1.2183794999999999</v>
      </c>
    </row>
    <row r="149" spans="1:72" x14ac:dyDescent="0.25">
      <c r="AG149">
        <f>AF126/AF125</f>
        <v>0.29993261127680237</v>
      </c>
      <c r="BB149" s="1325">
        <f>BB147/BB146</f>
        <v>1.2952229500778603</v>
      </c>
      <c r="BF149" s="1325">
        <f>BF147/BF146</f>
        <v>1.0703171570032211</v>
      </c>
      <c r="BP149" s="1846" t="s">
        <v>2047</v>
      </c>
      <c r="BR149" s="2770"/>
      <c r="BS149" s="2770"/>
    </row>
    <row r="150" spans="1:72" x14ac:dyDescent="0.25">
      <c r="BP150" s="1846" t="s">
        <v>2048</v>
      </c>
      <c r="BR150" s="1845">
        <f>BR133</f>
        <v>30.794479507533907</v>
      </c>
      <c r="BS150" s="1845">
        <f>BS133</f>
        <v>0</v>
      </c>
    </row>
    <row r="151" spans="1:72" x14ac:dyDescent="0.25">
      <c r="BP151" s="1846" t="s">
        <v>2049</v>
      </c>
      <c r="BR151" s="1845">
        <f>BR129</f>
        <v>6646.6681943163603</v>
      </c>
      <c r="BS151" s="1845">
        <f>BS129</f>
        <v>2.2995438514545756</v>
      </c>
    </row>
    <row r="152" spans="1:72" x14ac:dyDescent="0.25">
      <c r="BP152" s="1846" t="s">
        <v>2050</v>
      </c>
      <c r="BR152" s="1845">
        <f>BR57</f>
        <v>63.885995088205725</v>
      </c>
      <c r="BS152" s="1845">
        <f>BS57</f>
        <v>3.0890411794274542E-2</v>
      </c>
    </row>
    <row r="153" spans="1:72" x14ac:dyDescent="0.25">
      <c r="BP153" s="1846" t="s">
        <v>2143</v>
      </c>
      <c r="BR153" s="1845">
        <f>BR59</f>
        <v>294.81</v>
      </c>
      <c r="BS153" s="1845">
        <f>BS59</f>
        <v>0</v>
      </c>
    </row>
    <row r="154" spans="1:72" x14ac:dyDescent="0.25">
      <c r="BP154" s="1846" t="s">
        <v>2</v>
      </c>
      <c r="BR154" s="1845">
        <f>BR123</f>
        <v>9982.6164784696339</v>
      </c>
      <c r="BS154" s="1845">
        <f>BS123</f>
        <v>1.7635215303655989</v>
      </c>
    </row>
    <row r="155" spans="1:72" x14ac:dyDescent="0.25">
      <c r="BR155" s="1845">
        <f>SUM(BR147:BR154)</f>
        <v>147544.11811148538</v>
      </c>
      <c r="BS155" s="1845">
        <f>SUM(BS147:BS154)</f>
        <v>30.811242463479257</v>
      </c>
    </row>
  </sheetData>
  <mergeCells count="170">
    <mergeCell ref="BK4:BM4"/>
    <mergeCell ref="BK5:BM5"/>
    <mergeCell ref="BK6:BK7"/>
    <mergeCell ref="BL6:BM6"/>
    <mergeCell ref="BK117:BM117"/>
    <mergeCell ref="BK118:BM118"/>
    <mergeCell ref="BK119:BK120"/>
    <mergeCell ref="BL119:BM119"/>
    <mergeCell ref="BN4:BS4"/>
    <mergeCell ref="BN5:BP5"/>
    <mergeCell ref="BN6:BN7"/>
    <mergeCell ref="BO6:BP6"/>
    <mergeCell ref="BQ5:BS5"/>
    <mergeCell ref="BQ6:BQ7"/>
    <mergeCell ref="BR6:BS6"/>
    <mergeCell ref="BN117:BS117"/>
    <mergeCell ref="BN118:BP118"/>
    <mergeCell ref="BQ118:BS118"/>
    <mergeCell ref="BN119:BN120"/>
    <mergeCell ref="BO119:BP119"/>
    <mergeCell ref="BQ119:BQ120"/>
    <mergeCell ref="BR119:BS119"/>
    <mergeCell ref="A2:BT2"/>
    <mergeCell ref="G5:G7"/>
    <mergeCell ref="H5:H7"/>
    <mergeCell ref="BT4:BT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K5:K7"/>
    <mergeCell ref="L5:L7"/>
    <mergeCell ref="V5:V7"/>
    <mergeCell ref="Y5:Y7"/>
    <mergeCell ref="AH6:AH7"/>
    <mergeCell ref="AL6:AL7"/>
    <mergeCell ref="AI6:AI7"/>
    <mergeCell ref="AM6:AM7"/>
    <mergeCell ref="AJ6:AK6"/>
    <mergeCell ref="AN6:AO6"/>
    <mergeCell ref="Y4:AG4"/>
    <mergeCell ref="K78:T78"/>
    <mergeCell ref="H103:I103"/>
    <mergeCell ref="A73:H73"/>
    <mergeCell ref="J5:J7"/>
    <mergeCell ref="E4:F4"/>
    <mergeCell ref="G4:H4"/>
    <mergeCell ref="I4:N4"/>
    <mergeCell ref="C4:D4"/>
    <mergeCell ref="B4:B7"/>
    <mergeCell ref="F5:F7"/>
    <mergeCell ref="K73:T73"/>
    <mergeCell ref="N5:N7"/>
    <mergeCell ref="Q5:Q7"/>
    <mergeCell ref="P5:P7"/>
    <mergeCell ref="A78:H78"/>
    <mergeCell ref="H99:I99"/>
    <mergeCell ref="H100:I100"/>
    <mergeCell ref="H102:I102"/>
    <mergeCell ref="I5:I7"/>
    <mergeCell ref="A4:A7"/>
    <mergeCell ref="E5:E7"/>
    <mergeCell ref="M5:M7"/>
    <mergeCell ref="H95:I95"/>
    <mergeCell ref="H98:I98"/>
    <mergeCell ref="AF6:AG6"/>
    <mergeCell ref="AE5:AG5"/>
    <mergeCell ref="AE6:AE7"/>
    <mergeCell ref="AC6:AD6"/>
    <mergeCell ref="AA6:AA7"/>
    <mergeCell ref="AA5:AD5"/>
    <mergeCell ref="Z5:Z7"/>
    <mergeCell ref="W5:X6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H97:I97"/>
    <mergeCell ref="H96:I96"/>
    <mergeCell ref="H104:I104"/>
    <mergeCell ref="J118:J120"/>
    <mergeCell ref="K118:K120"/>
    <mergeCell ref="L118:L120"/>
    <mergeCell ref="M118:M120"/>
    <mergeCell ref="H101:I101"/>
    <mergeCell ref="I118:I120"/>
    <mergeCell ref="BT117:BT120"/>
    <mergeCell ref="C118:C120"/>
    <mergeCell ref="D118:D120"/>
    <mergeCell ref="E118:E120"/>
    <mergeCell ref="F118:F120"/>
    <mergeCell ref="G118:G120"/>
    <mergeCell ref="H118:H120"/>
    <mergeCell ref="AW119:AW120"/>
    <mergeCell ref="AL118:AO118"/>
    <mergeCell ref="AT118:AV118"/>
    <mergeCell ref="AW118:AY118"/>
    <mergeCell ref="AZ118:BC118"/>
    <mergeCell ref="BD118:BG118"/>
    <mergeCell ref="AA119:AA120"/>
    <mergeCell ref="AZ119:AZ120"/>
    <mergeCell ref="AT119:AT120"/>
    <mergeCell ref="AU119:AV119"/>
    <mergeCell ref="O118:O120"/>
    <mergeCell ref="P118:P120"/>
    <mergeCell ref="AH117:AY117"/>
    <mergeCell ref="AC119:AD119"/>
    <mergeCell ref="AE119:AE120"/>
    <mergeCell ref="AF119:AG119"/>
    <mergeCell ref="AH119:AH120"/>
    <mergeCell ref="AN119:AO119"/>
    <mergeCell ref="AX119:AY119"/>
    <mergeCell ref="AZ4:BJ4"/>
    <mergeCell ref="BH5:BJ5"/>
    <mergeCell ref="BH6:BH7"/>
    <mergeCell ref="BI6:BJ6"/>
    <mergeCell ref="AZ117:BJ117"/>
    <mergeCell ref="BH118:BJ118"/>
    <mergeCell ref="BH119:BH120"/>
    <mergeCell ref="BI119:BJ119"/>
    <mergeCell ref="BA119:BA120"/>
    <mergeCell ref="BB119:BC119"/>
    <mergeCell ref="BD119:BD120"/>
    <mergeCell ref="BE119:BE120"/>
    <mergeCell ref="BF119:BG119"/>
    <mergeCell ref="AZ5:BC5"/>
    <mergeCell ref="AZ6:AZ7"/>
    <mergeCell ref="BA6:BA7"/>
    <mergeCell ref="BB6:BC6"/>
    <mergeCell ref="BD5:BG5"/>
    <mergeCell ref="BD6:BD7"/>
    <mergeCell ref="BE6:BE7"/>
    <mergeCell ref="BF6:BG6"/>
    <mergeCell ref="A115:BT115"/>
    <mergeCell ref="A117:A120"/>
    <mergeCell ref="B117:B120"/>
    <mergeCell ref="C117:D117"/>
    <mergeCell ref="E117:F117"/>
    <mergeCell ref="G117:H117"/>
    <mergeCell ref="I117:N117"/>
    <mergeCell ref="O117:X117"/>
    <mergeCell ref="Y117:AG117"/>
    <mergeCell ref="AI119:AI120"/>
    <mergeCell ref="Q118:Q120"/>
    <mergeCell ref="R118:R120"/>
    <mergeCell ref="S118:S120"/>
    <mergeCell ref="T118:U118"/>
    <mergeCell ref="V118:V120"/>
    <mergeCell ref="N118:N120"/>
    <mergeCell ref="AL119:AL120"/>
    <mergeCell ref="AM119:AM120"/>
    <mergeCell ref="W118:X119"/>
    <mergeCell ref="Y118:Y120"/>
    <mergeCell ref="T119:T120"/>
    <mergeCell ref="U119:U120"/>
    <mergeCell ref="Z118:Z120"/>
    <mergeCell ref="AA118:AD118"/>
    <mergeCell ref="AE118:AG118"/>
    <mergeCell ref="AH118:AK118"/>
    <mergeCell ref="AJ119:AK119"/>
  </mergeCells>
  <phoneticPr fontId="8" type="noConversion"/>
  <printOptions horizontalCentered="1" verticalCentered="1"/>
  <pageMargins left="0" right="0" top="0" bottom="0" header="0" footer="0"/>
  <pageSetup paperSize="9" scale="40" orientation="landscape" r:id="rId1"/>
  <headerFooter scaleWithDoc="0" alignWithMargins="0"/>
  <rowBreaks count="1" manualBreakCount="1">
    <brk id="114" max="59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T183"/>
  <sheetViews>
    <sheetView zoomScale="65" zoomScaleNormal="65" zoomScaleSheetLayoutView="75" zoomScalePageLayoutView="80" workbookViewId="0">
      <pane xSplit="22" ySplit="7" topLeftCell="BI12" activePane="bottomRight" state="frozen"/>
      <selection pane="topRight" activeCell="W1" sqref="W1"/>
      <selection pane="bottomLeft" activeCell="A7" sqref="A7"/>
      <selection pane="bottomRight" activeCell="BJ6" sqref="BJ6:BJ7"/>
    </sheetView>
  </sheetViews>
  <sheetFormatPr defaultRowHeight="12.75" outlineLevelCol="1" x14ac:dyDescent="0.2"/>
  <cols>
    <col min="1" max="1" width="54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932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4.5703125" style="5" customWidth="1" outlineLevel="1"/>
    <col min="53" max="53" width="12" style="1932" hidden="1" customWidth="1" outlineLevel="1"/>
    <col min="54" max="54" width="13.140625" style="5" customWidth="1" outlineLevel="1"/>
    <col min="55" max="59" width="13.28515625" style="5" customWidth="1" outlineLevel="1"/>
    <col min="60" max="60" width="19" style="5" customWidth="1" outlineLevel="1"/>
    <col min="61" max="67" width="22.7109375" style="5" customWidth="1" outlineLevel="1"/>
    <col min="68" max="68" width="47.42578125" style="5" customWidth="1"/>
    <col min="69" max="69" width="16.85546875" style="5" customWidth="1"/>
    <col min="70" max="70" width="20.140625" style="5" customWidth="1"/>
    <col min="71" max="71" width="20.85546875" style="5" customWidth="1"/>
    <col min="72" max="72" width="15.5703125" style="5" customWidth="1"/>
    <col min="73" max="16384" width="9.140625" style="5"/>
  </cols>
  <sheetData>
    <row r="1" spans="1:68" x14ac:dyDescent="0.2">
      <c r="BP1" s="5" t="s">
        <v>1509</v>
      </c>
    </row>
    <row r="2" spans="1:68" ht="21" customHeight="1" x14ac:dyDescent="0.2">
      <c r="A2" s="3986" t="s">
        <v>2071</v>
      </c>
      <c r="B2" s="3986"/>
      <c r="C2" s="3986"/>
      <c r="D2" s="3986"/>
      <c r="E2" s="3986"/>
      <c r="F2" s="3986"/>
      <c r="G2" s="3986"/>
      <c r="H2" s="3986"/>
      <c r="I2" s="3986"/>
      <c r="J2" s="3986"/>
      <c r="K2" s="3986"/>
      <c r="L2" s="3986"/>
      <c r="M2" s="3986"/>
      <c r="N2" s="3986"/>
      <c r="O2" s="3986"/>
      <c r="P2" s="3986"/>
      <c r="Q2" s="3986"/>
      <c r="R2" s="3986"/>
      <c r="S2" s="3986"/>
      <c r="T2" s="3986"/>
      <c r="U2" s="3986"/>
      <c r="V2" s="3986"/>
      <c r="W2" s="3986"/>
      <c r="X2" s="3986"/>
      <c r="Y2" s="3986"/>
      <c r="Z2" s="3986"/>
      <c r="AA2" s="3986"/>
      <c r="AB2" s="3986"/>
      <c r="AC2" s="3986"/>
      <c r="AD2" s="3986"/>
      <c r="AE2" s="3986"/>
      <c r="AF2" s="3986"/>
      <c r="AG2" s="3986"/>
      <c r="AH2" s="3986"/>
      <c r="AI2" s="3986"/>
      <c r="AJ2" s="3986"/>
      <c r="AK2" s="3986"/>
      <c r="AL2" s="3986"/>
      <c r="AM2" s="3986"/>
      <c r="AN2" s="3986"/>
      <c r="AO2" s="3986"/>
      <c r="AP2" s="3986"/>
      <c r="AQ2" s="3986"/>
      <c r="AR2" s="3986"/>
      <c r="AS2" s="3986"/>
      <c r="AT2" s="3986"/>
      <c r="AU2" s="3986"/>
      <c r="AV2" s="3986"/>
      <c r="AW2" s="3986"/>
      <c r="AX2" s="3986"/>
      <c r="AY2" s="3986"/>
      <c r="AZ2" s="3986"/>
      <c r="BA2" s="3986"/>
      <c r="BB2" s="3986"/>
      <c r="BC2" s="3986"/>
      <c r="BD2" s="3986"/>
      <c r="BE2" s="3986"/>
      <c r="BF2" s="3986"/>
      <c r="BG2" s="3986"/>
      <c r="BH2" s="3986"/>
      <c r="BI2" s="3986"/>
      <c r="BJ2" s="3986"/>
      <c r="BK2" s="3986"/>
      <c r="BL2" s="3986"/>
      <c r="BM2" s="3986"/>
      <c r="BN2" s="3986"/>
      <c r="BO2" s="3986"/>
      <c r="BP2" s="3986"/>
    </row>
    <row r="3" spans="1:68" x14ac:dyDescent="0.2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1446"/>
      <c r="AX3" s="375"/>
      <c r="AY3" s="375"/>
      <c r="AZ3" s="375"/>
      <c r="BA3" s="1446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</row>
    <row r="4" spans="1:68" s="2392" customFormat="1" ht="39" customHeight="1" x14ac:dyDescent="0.2">
      <c r="A4" s="3785" t="s">
        <v>536</v>
      </c>
      <c r="B4" s="3768" t="s">
        <v>58</v>
      </c>
      <c r="C4" s="3785" t="s">
        <v>59</v>
      </c>
      <c r="D4" s="3785"/>
      <c r="E4" s="3975" t="s">
        <v>67</v>
      </c>
      <c r="F4" s="3975"/>
      <c r="G4" s="3975" t="s">
        <v>95</v>
      </c>
      <c r="H4" s="3975"/>
      <c r="I4" s="3975" t="s">
        <v>120</v>
      </c>
      <c r="J4" s="3975"/>
      <c r="K4" s="3975"/>
      <c r="L4" s="3975"/>
      <c r="M4" s="3975"/>
      <c r="N4" s="3777" t="s">
        <v>158</v>
      </c>
      <c r="O4" s="3777"/>
      <c r="P4" s="3777"/>
      <c r="Q4" s="3777"/>
      <c r="R4" s="3777"/>
      <c r="S4" s="3777"/>
      <c r="T4" s="3777"/>
      <c r="U4" s="3777"/>
      <c r="V4" s="3777"/>
      <c r="W4" s="3976" t="s">
        <v>235</v>
      </c>
      <c r="X4" s="3976"/>
      <c r="Y4" s="3976"/>
      <c r="Z4" s="3976"/>
      <c r="AA4" s="3976"/>
      <c r="AB4" s="3977"/>
      <c r="AC4" s="3977"/>
      <c r="AD4" s="3977"/>
      <c r="AE4" s="3976" t="s">
        <v>373</v>
      </c>
      <c r="AF4" s="3997"/>
      <c r="AG4" s="3997"/>
      <c r="AH4" s="3997"/>
      <c r="AI4" s="3997"/>
      <c r="AJ4" s="3997"/>
      <c r="AK4" s="3997"/>
      <c r="AL4" s="3997"/>
      <c r="AM4" s="3997"/>
      <c r="AN4" s="3997"/>
      <c r="AO4" s="3997"/>
      <c r="AP4" s="3997"/>
      <c r="AQ4" s="3997"/>
      <c r="AR4" s="3997"/>
      <c r="AS4" s="3997"/>
      <c r="AT4" s="3997"/>
      <c r="AU4" s="3997"/>
      <c r="AV4" s="3978" t="s">
        <v>829</v>
      </c>
      <c r="AW4" s="3979"/>
      <c r="AX4" s="3979"/>
      <c r="AY4" s="3979"/>
      <c r="AZ4" s="3979"/>
      <c r="BA4" s="3979"/>
      <c r="BB4" s="3979"/>
      <c r="BC4" s="3979"/>
      <c r="BD4" s="3979"/>
      <c r="BE4" s="3979"/>
      <c r="BF4" s="3980"/>
      <c r="BG4" s="3978" t="s">
        <v>2072</v>
      </c>
      <c r="BH4" s="3979"/>
      <c r="BI4" s="3980"/>
      <c r="BJ4" s="3978" t="s">
        <v>1819</v>
      </c>
      <c r="BK4" s="3979"/>
      <c r="BL4" s="3979"/>
      <c r="BM4" s="3979"/>
      <c r="BN4" s="3979"/>
      <c r="BO4" s="3980"/>
      <c r="BP4" s="3971" t="s">
        <v>156</v>
      </c>
    </row>
    <row r="5" spans="1:68" s="2392" customFormat="1" ht="18.75" customHeight="1" x14ac:dyDescent="0.3">
      <c r="A5" s="3785"/>
      <c r="B5" s="3768"/>
      <c r="C5" s="3768" t="s">
        <v>61</v>
      </c>
      <c r="D5" s="3768" t="s">
        <v>62</v>
      </c>
      <c r="E5" s="3768" t="s">
        <v>61</v>
      </c>
      <c r="F5" s="3768" t="s">
        <v>66</v>
      </c>
      <c r="G5" s="3768" t="s">
        <v>61</v>
      </c>
      <c r="H5" s="3768" t="s">
        <v>112</v>
      </c>
      <c r="I5" s="3768" t="s">
        <v>60</v>
      </c>
      <c r="J5" s="3768" t="s">
        <v>63</v>
      </c>
      <c r="K5" s="3768" t="s">
        <v>110</v>
      </c>
      <c r="L5" s="3768" t="s">
        <v>61</v>
      </c>
      <c r="M5" s="3768" t="s">
        <v>119</v>
      </c>
      <c r="N5" s="3768" t="s">
        <v>122</v>
      </c>
      <c r="O5" s="3768" t="s">
        <v>97</v>
      </c>
      <c r="P5" s="3768" t="s">
        <v>123</v>
      </c>
      <c r="Q5" s="3768" t="s">
        <v>97</v>
      </c>
      <c r="R5" s="3768" t="s">
        <v>157</v>
      </c>
      <c r="S5" s="3785" t="s">
        <v>23</v>
      </c>
      <c r="T5" s="3785"/>
      <c r="U5" s="3768" t="s">
        <v>110</v>
      </c>
      <c r="V5" s="3768" t="s">
        <v>402</v>
      </c>
      <c r="W5" s="3768" t="s">
        <v>122</v>
      </c>
      <c r="X5" s="3768" t="s">
        <v>97</v>
      </c>
      <c r="Y5" s="3777" t="s">
        <v>123</v>
      </c>
      <c r="Z5" s="3996"/>
      <c r="AA5" s="3996"/>
      <c r="AB5" s="3777" t="s">
        <v>828</v>
      </c>
      <c r="AC5" s="3777"/>
      <c r="AD5" s="3777"/>
      <c r="AE5" s="3777" t="s">
        <v>122</v>
      </c>
      <c r="AF5" s="3998"/>
      <c r="AG5" s="3998"/>
      <c r="AH5" s="3998"/>
      <c r="AI5" s="3777" t="s">
        <v>123</v>
      </c>
      <c r="AJ5" s="3999"/>
      <c r="AK5" s="3999"/>
      <c r="AL5" s="3999"/>
      <c r="AM5" s="2730"/>
      <c r="AN5" s="2730"/>
      <c r="AO5" s="2732"/>
      <c r="AP5" s="3777" t="s">
        <v>858</v>
      </c>
      <c r="AQ5" s="3777"/>
      <c r="AR5" s="3777"/>
      <c r="AS5" s="3777" t="s">
        <v>859</v>
      </c>
      <c r="AT5" s="3768"/>
      <c r="AU5" s="3768"/>
      <c r="AV5" s="3777" t="s">
        <v>122</v>
      </c>
      <c r="AW5" s="3995"/>
      <c r="AX5" s="3995"/>
      <c r="AY5" s="3995"/>
      <c r="AZ5" s="3777" t="s">
        <v>1602</v>
      </c>
      <c r="BA5" s="3777"/>
      <c r="BB5" s="3777"/>
      <c r="BC5" s="3777"/>
      <c r="BD5" s="3769" t="s">
        <v>1532</v>
      </c>
      <c r="BE5" s="3778"/>
      <c r="BF5" s="3770"/>
      <c r="BG5" s="3769" t="s">
        <v>61</v>
      </c>
      <c r="BH5" s="3778"/>
      <c r="BI5" s="3770"/>
      <c r="BJ5" s="3769" t="s">
        <v>122</v>
      </c>
      <c r="BK5" s="3778"/>
      <c r="BL5" s="3770"/>
      <c r="BM5" s="3769" t="s">
        <v>1537</v>
      </c>
      <c r="BN5" s="3778"/>
      <c r="BO5" s="3770"/>
      <c r="BP5" s="3971"/>
    </row>
    <row r="6" spans="1:68" s="2392" customFormat="1" ht="20.25" customHeight="1" x14ac:dyDescent="0.2">
      <c r="A6" s="3785"/>
      <c r="B6" s="3768"/>
      <c r="C6" s="3768"/>
      <c r="D6" s="3768"/>
      <c r="E6" s="3768"/>
      <c r="F6" s="3768"/>
      <c r="G6" s="3768"/>
      <c r="H6" s="3768"/>
      <c r="I6" s="3768"/>
      <c r="J6" s="3768"/>
      <c r="K6" s="3768"/>
      <c r="L6" s="3768"/>
      <c r="M6" s="3768"/>
      <c r="N6" s="3768"/>
      <c r="O6" s="3768"/>
      <c r="P6" s="3768"/>
      <c r="Q6" s="3768"/>
      <c r="R6" s="3768"/>
      <c r="S6" s="3768" t="s">
        <v>47</v>
      </c>
      <c r="T6" s="3768" t="s">
        <v>208</v>
      </c>
      <c r="U6" s="3768"/>
      <c r="V6" s="3768"/>
      <c r="W6" s="3768"/>
      <c r="X6" s="3768"/>
      <c r="Y6" s="3785" t="s">
        <v>296</v>
      </c>
      <c r="Z6" s="3785" t="s">
        <v>50</v>
      </c>
      <c r="AA6" s="3785"/>
      <c r="AB6" s="3785" t="s">
        <v>296</v>
      </c>
      <c r="AC6" s="3785" t="s">
        <v>50</v>
      </c>
      <c r="AD6" s="3971"/>
      <c r="AE6" s="3785" t="s">
        <v>296</v>
      </c>
      <c r="AF6" s="3768" t="s">
        <v>97</v>
      </c>
      <c r="AG6" s="3785" t="s">
        <v>50</v>
      </c>
      <c r="AH6" s="3971"/>
      <c r="AI6" s="3785" t="s">
        <v>296</v>
      </c>
      <c r="AJ6" s="3768" t="s">
        <v>97</v>
      </c>
      <c r="AK6" s="3785" t="s">
        <v>50</v>
      </c>
      <c r="AL6" s="3971"/>
      <c r="AM6" s="2730"/>
      <c r="AN6" s="2730"/>
      <c r="AO6" s="2732"/>
      <c r="AP6" s="3785" t="s">
        <v>296</v>
      </c>
      <c r="AQ6" s="3785" t="s">
        <v>50</v>
      </c>
      <c r="AR6" s="3971"/>
      <c r="AS6" s="3785" t="s">
        <v>296</v>
      </c>
      <c r="AT6" s="3785" t="s">
        <v>50</v>
      </c>
      <c r="AU6" s="3971"/>
      <c r="AV6" s="3785" t="s">
        <v>296</v>
      </c>
      <c r="AW6" s="3984" t="s">
        <v>97</v>
      </c>
      <c r="AX6" s="3785" t="s">
        <v>50</v>
      </c>
      <c r="AY6" s="3785"/>
      <c r="AZ6" s="3785" t="s">
        <v>296</v>
      </c>
      <c r="BA6" s="3984" t="s">
        <v>97</v>
      </c>
      <c r="BB6" s="3785" t="s">
        <v>50</v>
      </c>
      <c r="BC6" s="3785"/>
      <c r="BD6" s="3785" t="s">
        <v>296</v>
      </c>
      <c r="BE6" s="3785" t="s">
        <v>50</v>
      </c>
      <c r="BF6" s="3785"/>
      <c r="BG6" s="4003" t="s">
        <v>296</v>
      </c>
      <c r="BH6" s="3785" t="s">
        <v>50</v>
      </c>
      <c r="BI6" s="3785"/>
      <c r="BJ6" s="4003" t="s">
        <v>296</v>
      </c>
      <c r="BK6" s="3785" t="s">
        <v>50</v>
      </c>
      <c r="BL6" s="3785"/>
      <c r="BM6" s="4003" t="s">
        <v>296</v>
      </c>
      <c r="BN6" s="3785" t="s">
        <v>50</v>
      </c>
      <c r="BO6" s="3785"/>
      <c r="BP6" s="3971"/>
    </row>
    <row r="7" spans="1:68" s="2392" customFormat="1" ht="42.75" customHeight="1" x14ac:dyDescent="0.2">
      <c r="A7" s="3785"/>
      <c r="B7" s="3768"/>
      <c r="C7" s="3768"/>
      <c r="D7" s="3768"/>
      <c r="E7" s="3768"/>
      <c r="F7" s="3768"/>
      <c r="G7" s="3768"/>
      <c r="H7" s="3768"/>
      <c r="I7" s="3768"/>
      <c r="J7" s="3768"/>
      <c r="K7" s="3768"/>
      <c r="L7" s="3768"/>
      <c r="M7" s="3768"/>
      <c r="N7" s="3768"/>
      <c r="O7" s="3768"/>
      <c r="P7" s="3768"/>
      <c r="Q7" s="3768"/>
      <c r="R7" s="3768"/>
      <c r="S7" s="3768"/>
      <c r="T7" s="3768"/>
      <c r="U7" s="3768"/>
      <c r="V7" s="3768"/>
      <c r="W7" s="3768"/>
      <c r="X7" s="3768"/>
      <c r="Y7" s="3785"/>
      <c r="Z7" s="2724" t="s">
        <v>47</v>
      </c>
      <c r="AA7" s="2724" t="s">
        <v>537</v>
      </c>
      <c r="AB7" s="3785"/>
      <c r="AC7" s="2724" t="s">
        <v>47</v>
      </c>
      <c r="AD7" s="2724" t="s">
        <v>537</v>
      </c>
      <c r="AE7" s="3971"/>
      <c r="AF7" s="3960"/>
      <c r="AG7" s="2724" t="s">
        <v>47</v>
      </c>
      <c r="AH7" s="2724" t="s">
        <v>537</v>
      </c>
      <c r="AI7" s="3971"/>
      <c r="AJ7" s="3960"/>
      <c r="AK7" s="2724" t="s">
        <v>47</v>
      </c>
      <c r="AL7" s="2724" t="s">
        <v>537</v>
      </c>
      <c r="AM7" s="2776" t="s">
        <v>254</v>
      </c>
      <c r="AN7" s="2732" t="s">
        <v>366</v>
      </c>
      <c r="AO7" s="2732"/>
      <c r="AP7" s="3785"/>
      <c r="AQ7" s="2724" t="s">
        <v>47</v>
      </c>
      <c r="AR7" s="2724" t="s">
        <v>537</v>
      </c>
      <c r="AS7" s="3785"/>
      <c r="AT7" s="2724" t="s">
        <v>47</v>
      </c>
      <c r="AU7" s="2724" t="s">
        <v>537</v>
      </c>
      <c r="AV7" s="3785"/>
      <c r="AW7" s="3984"/>
      <c r="AX7" s="2724" t="s">
        <v>47</v>
      </c>
      <c r="AY7" s="2724" t="s">
        <v>537</v>
      </c>
      <c r="AZ7" s="3785"/>
      <c r="BA7" s="3984"/>
      <c r="BB7" s="2724" t="s">
        <v>47</v>
      </c>
      <c r="BC7" s="2724" t="s">
        <v>537</v>
      </c>
      <c r="BD7" s="3785"/>
      <c r="BE7" s="2724" t="s">
        <v>47</v>
      </c>
      <c r="BF7" s="2724" t="s">
        <v>537</v>
      </c>
      <c r="BG7" s="4004"/>
      <c r="BH7" s="2724" t="s">
        <v>47</v>
      </c>
      <c r="BI7" s="2724" t="s">
        <v>537</v>
      </c>
      <c r="BJ7" s="4004"/>
      <c r="BK7" s="2724" t="s">
        <v>47</v>
      </c>
      <c r="BL7" s="2724" t="s">
        <v>537</v>
      </c>
      <c r="BM7" s="4004"/>
      <c r="BN7" s="2724" t="s">
        <v>47</v>
      </c>
      <c r="BO7" s="2724" t="s">
        <v>537</v>
      </c>
      <c r="BP7" s="3971"/>
    </row>
    <row r="8" spans="1:68" ht="21" customHeight="1" x14ac:dyDescent="0.2">
      <c r="A8" s="1673" t="s">
        <v>0</v>
      </c>
      <c r="B8" s="1914">
        <f>SUM(B9:B16)</f>
        <v>7787.0999999999995</v>
      </c>
      <c r="C8" s="1915">
        <f>SUM(C9:C16)</f>
        <v>8710.3000000000011</v>
      </c>
      <c r="D8" s="1916">
        <f t="shared" ref="D8:D42" si="0">C8/B8*100</f>
        <v>111.85550461660954</v>
      </c>
      <c r="E8" s="1740">
        <f>SUM(E9:E16)-E15</f>
        <v>9918.1</v>
      </c>
      <c r="F8" s="1740">
        <f t="shared" ref="F8:Z8" si="1">SUM(F9:F16)-F15</f>
        <v>718.50644173639284</v>
      </c>
      <c r="G8" s="1740">
        <f t="shared" si="1"/>
        <v>11143.8</v>
      </c>
      <c r="H8" s="1917">
        <f t="shared" ref="H8:H55" si="2">G8/E8*100</f>
        <v>112.3582137707827</v>
      </c>
      <c r="I8" s="1740">
        <f t="shared" si="1"/>
        <v>12086.737939999999</v>
      </c>
      <c r="J8" s="1740">
        <f t="shared" si="1"/>
        <v>5759.5</v>
      </c>
      <c r="K8" s="1740">
        <f t="shared" si="1"/>
        <v>8100.2438109153081</v>
      </c>
      <c r="L8" s="1740">
        <f t="shared" si="1"/>
        <v>12055.1</v>
      </c>
      <c r="M8" s="1740">
        <f t="shared" si="1"/>
        <v>750.7566538578908</v>
      </c>
      <c r="N8" s="1740">
        <f t="shared" si="1"/>
        <v>15356.929999999998</v>
      </c>
      <c r="O8" s="1740">
        <f t="shared" si="1"/>
        <v>730.28673534554662</v>
      </c>
      <c r="P8" s="1740">
        <f t="shared" si="1"/>
        <v>13234.673073668328</v>
      </c>
      <c r="Q8" s="1740">
        <f t="shared" si="1"/>
        <v>655.62774311949238</v>
      </c>
      <c r="R8" s="1740">
        <f t="shared" si="1"/>
        <v>607.54124587044987</v>
      </c>
      <c r="S8" s="1740">
        <f t="shared" si="1"/>
        <v>13172.8958</v>
      </c>
      <c r="T8" s="1740">
        <f t="shared" si="1"/>
        <v>0</v>
      </c>
      <c r="U8" s="1740">
        <f t="shared" si="1"/>
        <v>9205.5</v>
      </c>
      <c r="V8" s="1740">
        <f t="shared" si="1"/>
        <v>0</v>
      </c>
      <c r="W8" s="1740">
        <f t="shared" si="1"/>
        <v>16520.07</v>
      </c>
      <c r="X8" s="1740"/>
      <c r="Y8" s="1740">
        <f t="shared" si="1"/>
        <v>12416.762545040288</v>
      </c>
      <c r="Z8" s="1740">
        <f t="shared" si="1"/>
        <v>12416.762545040288</v>
      </c>
      <c r="AA8" s="1740">
        <f>AA9+AA10+AA12+AA13+AA14+AA16</f>
        <v>0</v>
      </c>
      <c r="AB8" s="1740">
        <f t="shared" ref="AB8:AC8" si="3">SUM(AB9:AB16)-AB15</f>
        <v>11735.1</v>
      </c>
      <c r="AC8" s="1740">
        <f t="shared" si="3"/>
        <v>11735.1</v>
      </c>
      <c r="AD8" s="1740">
        <f>AD9+AD10+AD12+AD13+AD14+AD16</f>
        <v>0</v>
      </c>
      <c r="AE8" s="1740">
        <v>15636.95</v>
      </c>
      <c r="AF8" s="1729">
        <f>SUM(AE8/Y8)</f>
        <v>1.2593419535308721</v>
      </c>
      <c r="AG8" s="1740">
        <v>15786.34</v>
      </c>
      <c r="AH8" s="1740">
        <v>0</v>
      </c>
      <c r="AI8" s="1740">
        <f>AI9+AI10+AI12+AI13+AI14+AI16</f>
        <v>13472.574404759991</v>
      </c>
      <c r="AJ8" s="1729">
        <f>SUM(AI8/Y8)</f>
        <v>1.0850311710391396</v>
      </c>
      <c r="AK8" s="1740">
        <f>AK9+AK10+AK12+AK13+AK14+AK16</f>
        <v>13472.574404759991</v>
      </c>
      <c r="AL8" s="1740">
        <f>AL9+AL10+AL12+AL13+AL14+AL16</f>
        <v>0</v>
      </c>
      <c r="AM8" s="1740" t="e">
        <f>#REF!</f>
        <v>#REF!</v>
      </c>
      <c r="AN8" s="1740">
        <v>0</v>
      </c>
      <c r="AO8" s="1740" t="e">
        <f>AM8+AN8</f>
        <v>#REF!</v>
      </c>
      <c r="AP8" s="1740">
        <f t="shared" ref="AP8:BF8" si="4">SUM(AP9:AP16)-AP15</f>
        <v>4689.5500000000011</v>
      </c>
      <c r="AQ8" s="1740">
        <f t="shared" si="4"/>
        <v>4689.5500000000011</v>
      </c>
      <c r="AR8" s="1740">
        <f>AR9+AR10+AR12+AR13+AR14+AR16</f>
        <v>0</v>
      </c>
      <c r="AS8" s="1740">
        <f t="shared" si="4"/>
        <v>7398.74</v>
      </c>
      <c r="AT8" s="1740">
        <f t="shared" si="4"/>
        <v>7398.74</v>
      </c>
      <c r="AU8" s="1740">
        <f>AU9+AU10+AU12+AU13+AU14+AU16</f>
        <v>0</v>
      </c>
      <c r="AV8" s="1740">
        <f t="shared" si="4"/>
        <v>15273.137040000001</v>
      </c>
      <c r="AW8" s="1735">
        <f>SUM(AV8/AI8)</f>
        <v>1.133646516333497</v>
      </c>
      <c r="AX8" s="1740">
        <f t="shared" si="4"/>
        <v>15273.137040000001</v>
      </c>
      <c r="AY8" s="1740">
        <f>AY9+AY10+AY12+AY13+AY14+AY16</f>
        <v>0</v>
      </c>
      <c r="AZ8" s="1828">
        <f t="shared" si="4"/>
        <v>12994.681352801486</v>
      </c>
      <c r="BA8" s="2721">
        <f>SUM(AZ8/AI8)</f>
        <v>0.96452845331552517</v>
      </c>
      <c r="BB8" s="1828">
        <f t="shared" si="4"/>
        <v>12994.681352801486</v>
      </c>
      <c r="BC8" s="1828">
        <f>BC9+BC10+BC12+BC13+BC14+BC16</f>
        <v>0</v>
      </c>
      <c r="BD8" s="1828">
        <f t="shared" si="4"/>
        <v>12644.29</v>
      </c>
      <c r="BE8" s="1828">
        <f t="shared" si="4"/>
        <v>12644.29</v>
      </c>
      <c r="BF8" s="1828">
        <f t="shared" si="4"/>
        <v>0</v>
      </c>
      <c r="BG8" s="1828">
        <f t="shared" ref="BG8:BI8" si="5">SUM(BG9:BG16)-BG15</f>
        <v>12494.119999999999</v>
      </c>
      <c r="BH8" s="1828">
        <f t="shared" si="5"/>
        <v>12494.119999999999</v>
      </c>
      <c r="BI8" s="1828">
        <f t="shared" si="5"/>
        <v>0</v>
      </c>
      <c r="BJ8" s="1828">
        <f t="shared" ref="BJ8:BL8" si="6">SUM(BJ9:BJ16)-BJ15</f>
        <v>17894.62</v>
      </c>
      <c r="BK8" s="1828">
        <f t="shared" si="6"/>
        <v>17894.62</v>
      </c>
      <c r="BL8" s="1828">
        <f t="shared" si="6"/>
        <v>0</v>
      </c>
      <c r="BM8" s="1828">
        <f t="shared" ref="BM8:BO8" si="7">SUM(BM9:BM16)-BM15</f>
        <v>15512.260745856393</v>
      </c>
      <c r="BN8" s="1828">
        <f t="shared" si="7"/>
        <v>15512.260745856393</v>
      </c>
      <c r="BO8" s="1828">
        <f t="shared" si="7"/>
        <v>0</v>
      </c>
      <c r="BP8" s="2731"/>
    </row>
    <row r="9" spans="1:68" ht="21" customHeight="1" x14ac:dyDescent="0.2">
      <c r="A9" s="1674" t="s">
        <v>1</v>
      </c>
      <c r="B9" s="1806">
        <v>1474.6</v>
      </c>
      <c r="C9" s="1919">
        <v>1358.2</v>
      </c>
      <c r="D9" s="1917">
        <f t="shared" si="0"/>
        <v>92.106333921063339</v>
      </c>
      <c r="E9" s="1919">
        <v>1536.5</v>
      </c>
      <c r="F9" s="1917">
        <f t="shared" ref="F9:F30" si="8">E9/C9*100</f>
        <v>113.12766897364158</v>
      </c>
      <c r="G9" s="1919">
        <v>1642.6</v>
      </c>
      <c r="H9" s="1917">
        <f t="shared" si="2"/>
        <v>106.90530426293523</v>
      </c>
      <c r="I9" s="1729">
        <f>1775.3*0.9518</f>
        <v>1689.73054</v>
      </c>
      <c r="J9" s="1729">
        <v>974.8</v>
      </c>
      <c r="K9" s="1729">
        <v>1253.0999999999999</v>
      </c>
      <c r="L9" s="1729">
        <v>1864.4</v>
      </c>
      <c r="M9" s="1735">
        <f t="shared" ref="M9:M55" si="9">L9/G9*100</f>
        <v>113.50298307561184</v>
      </c>
      <c r="N9" s="1729">
        <v>2192.4</v>
      </c>
      <c r="O9" s="1735">
        <f t="shared" ref="O9:O52" si="10">N9/I9*100</f>
        <v>129.74849824280267</v>
      </c>
      <c r="P9" s="1729">
        <f>электр!AC14</f>
        <v>2037.2023482683303</v>
      </c>
      <c r="Q9" s="1735">
        <f t="shared" ref="Q9:Q58" si="11">P9/I9*100</f>
        <v>120.56374078841768</v>
      </c>
      <c r="R9" s="1735">
        <f t="shared" ref="R9:R26" si="12">P9/L9*100</f>
        <v>109.26852329265877</v>
      </c>
      <c r="S9" s="1729">
        <v>2037.2</v>
      </c>
      <c r="T9" s="1729"/>
      <c r="U9" s="1729">
        <v>1316.9</v>
      </c>
      <c r="V9" s="1729"/>
      <c r="W9" s="1729">
        <v>2285.4</v>
      </c>
      <c r="X9" s="1729"/>
      <c r="Y9" s="1729">
        <f>электр!Q52</f>
        <v>2047.0527990000001</v>
      </c>
      <c r="Z9" s="1729">
        <f>Y9</f>
        <v>2047.0527990000001</v>
      </c>
      <c r="AA9" s="1729">
        <v>0</v>
      </c>
      <c r="AB9" s="1729">
        <f>SUM(электр!AG52)</f>
        <v>1542.6</v>
      </c>
      <c r="AC9" s="1729">
        <f>AB9</f>
        <v>1542.6</v>
      </c>
      <c r="AD9" s="1729">
        <v>0</v>
      </c>
      <c r="AE9" s="1729">
        <v>2169.88</v>
      </c>
      <c r="AF9" s="1729">
        <f t="shared" ref="AF9:AF62" si="13">SUM(AE9/Y9)</f>
        <v>1.0600019701787868</v>
      </c>
      <c r="AG9" s="1729">
        <v>2169.88</v>
      </c>
      <c r="AH9" s="1729">
        <v>0</v>
      </c>
      <c r="AI9" s="1729">
        <f>электр!AN52</f>
        <v>1886.3204777318492</v>
      </c>
      <c r="AJ9" s="1729">
        <f t="shared" ref="AJ9:AJ62" si="14">SUM(AI9/Y9)</f>
        <v>0.92148110622907742</v>
      </c>
      <c r="AK9" s="1729">
        <f>AI9</f>
        <v>1886.3204777318492</v>
      </c>
      <c r="AL9" s="1729">
        <f>AA9*1.084</f>
        <v>0</v>
      </c>
      <c r="AM9" s="1740" t="e">
        <f>#REF!</f>
        <v>#REF!</v>
      </c>
      <c r="AN9" s="1740">
        <v>0</v>
      </c>
      <c r="AO9" s="1740" t="e">
        <f t="shared" ref="AO9:AO62" si="15">AM9+AN9</f>
        <v>#REF!</v>
      </c>
      <c r="AP9" s="1729">
        <f>SUM(электр!AT52)</f>
        <v>732.2</v>
      </c>
      <c r="AQ9" s="1729">
        <f>SUM(AP9)</f>
        <v>732.2</v>
      </c>
      <c r="AR9" s="1729">
        <v>0</v>
      </c>
      <c r="AS9" s="1729">
        <f>SUM(электр!AW52)</f>
        <v>972.9</v>
      </c>
      <c r="AT9" s="1729">
        <f>SUM(AS9)</f>
        <v>972.9</v>
      </c>
      <c r="AU9" s="1729">
        <v>0</v>
      </c>
      <c r="AV9" s="1729">
        <v>1999.86</v>
      </c>
      <c r="AW9" s="1735">
        <f>SUM(AV9/AI9)</f>
        <v>1.060191003389134</v>
      </c>
      <c r="AX9" s="1729">
        <f>SUM(AV9)</f>
        <v>1999.86</v>
      </c>
      <c r="AY9" s="1729">
        <v>0</v>
      </c>
      <c r="AZ9" s="1689">
        <f>SUM(электр!BD52)</f>
        <v>1609.8550127319788</v>
      </c>
      <c r="BA9" s="2648">
        <f>SUM(AZ9/AI9)</f>
        <v>0.85343664119455553</v>
      </c>
      <c r="BB9" s="1689">
        <f>SUM(AZ9)</f>
        <v>1609.8550127319788</v>
      </c>
      <c r="BC9" s="1689">
        <v>0</v>
      </c>
      <c r="BD9" s="1689">
        <f>BE9+BF9</f>
        <v>698.03</v>
      </c>
      <c r="BE9" s="1689">
        <v>698.03</v>
      </c>
      <c r="BF9" s="1689">
        <v>0</v>
      </c>
      <c r="BG9" s="1689">
        <f>BH9+BI9</f>
        <v>887.01</v>
      </c>
      <c r="BH9" s="1689">
        <v>887.01</v>
      </c>
      <c r="BI9" s="1689">
        <v>0</v>
      </c>
      <c r="BJ9" s="1689">
        <f>BK9+BL9</f>
        <v>2034.65</v>
      </c>
      <c r="BK9" s="1689">
        <v>2034.65</v>
      </c>
      <c r="BL9" s="1689">
        <v>0</v>
      </c>
      <c r="BM9" s="1689">
        <f>BN9+BO9</f>
        <v>1711.5300750192755</v>
      </c>
      <c r="BN9" s="1689">
        <f>'ЭЭ стоки'!S19</f>
        <v>1711.5300750192755</v>
      </c>
      <c r="BO9" s="1689">
        <v>0</v>
      </c>
      <c r="BP9" s="1788" t="s">
        <v>1499</v>
      </c>
    </row>
    <row r="10" spans="1:68" ht="21" customHeight="1" x14ac:dyDescent="0.2">
      <c r="A10" s="1674" t="s">
        <v>2</v>
      </c>
      <c r="B10" s="1806">
        <v>207.4</v>
      </c>
      <c r="C10" s="1919">
        <v>234.2</v>
      </c>
      <c r="D10" s="1917">
        <f t="shared" si="0"/>
        <v>112.92189006750239</v>
      </c>
      <c r="E10" s="1919">
        <v>211</v>
      </c>
      <c r="F10" s="1917">
        <f t="shared" si="8"/>
        <v>90.093936806148605</v>
      </c>
      <c r="G10" s="1919">
        <v>222</v>
      </c>
      <c r="H10" s="1917">
        <f t="shared" si="2"/>
        <v>105.21327014218009</v>
      </c>
      <c r="I10" s="1729">
        <v>206.5</v>
      </c>
      <c r="J10" s="1729">
        <v>112.2</v>
      </c>
      <c r="K10" s="1729">
        <v>181.3</v>
      </c>
      <c r="L10" s="1729">
        <v>247.9</v>
      </c>
      <c r="M10" s="1735">
        <f t="shared" si="9"/>
        <v>111.66666666666667</v>
      </c>
      <c r="N10" s="1729">
        <v>216.83</v>
      </c>
      <c r="O10" s="1735">
        <f t="shared" si="10"/>
        <v>105.00242130750605</v>
      </c>
      <c r="P10" s="1729">
        <v>206.5</v>
      </c>
      <c r="Q10" s="1735">
        <f t="shared" si="11"/>
        <v>100</v>
      </c>
      <c r="R10" s="1735">
        <f t="shared" si="12"/>
        <v>83.299717628075825</v>
      </c>
      <c r="S10" s="1729">
        <v>206.5</v>
      </c>
      <c r="T10" s="1729"/>
      <c r="U10" s="1729">
        <v>192.7</v>
      </c>
      <c r="V10" s="1729"/>
      <c r="W10" s="1729">
        <v>267.89999999999998</v>
      </c>
      <c r="X10" s="1729"/>
      <c r="Y10" s="1729">
        <f>Аморт!G28</f>
        <v>256.93</v>
      </c>
      <c r="Z10" s="1729">
        <f t="shared" ref="Z10:Z16" si="16">Y10</f>
        <v>256.93</v>
      </c>
      <c r="AA10" s="1729">
        <v>0</v>
      </c>
      <c r="AB10" s="1729">
        <f>SUM(Аморт!L28)</f>
        <v>275.8</v>
      </c>
      <c r="AC10" s="1729">
        <f t="shared" ref="AC10" si="17">AB10</f>
        <v>275.8</v>
      </c>
      <c r="AD10" s="1729">
        <v>0</v>
      </c>
      <c r="AE10" s="1729">
        <v>273.60000000000002</v>
      </c>
      <c r="AF10" s="1729">
        <f t="shared" si="13"/>
        <v>1.0648814852294399</v>
      </c>
      <c r="AG10" s="1729">
        <v>273.60000000000002</v>
      </c>
      <c r="AH10" s="1729">
        <v>0</v>
      </c>
      <c r="AI10" s="1729">
        <f>Аморт!O28</f>
        <v>273.60000000000002</v>
      </c>
      <c r="AJ10" s="1729">
        <f t="shared" si="14"/>
        <v>1.0648814852294399</v>
      </c>
      <c r="AK10" s="1729">
        <f>AI10</f>
        <v>273.60000000000002</v>
      </c>
      <c r="AL10" s="1729"/>
      <c r="AM10" s="1740" t="e">
        <f>#REF!</f>
        <v>#REF!</v>
      </c>
      <c r="AN10" s="1740">
        <v>0</v>
      </c>
      <c r="AO10" s="1740" t="e">
        <f t="shared" si="15"/>
        <v>#REF!</v>
      </c>
      <c r="AP10" s="1729">
        <f>SUM(Аморт!Q28)</f>
        <v>189.68</v>
      </c>
      <c r="AQ10" s="1729">
        <f t="shared" ref="AQ10" si="18">AP10</f>
        <v>189.68</v>
      </c>
      <c r="AR10" s="1729">
        <v>0</v>
      </c>
      <c r="AS10" s="1729">
        <f>SUM(Аморт!R28)</f>
        <v>307.45999999999998</v>
      </c>
      <c r="AT10" s="1729">
        <f t="shared" ref="AT10" si="19">AS10</f>
        <v>307.45999999999998</v>
      </c>
      <c r="AU10" s="1729">
        <v>0</v>
      </c>
      <c r="AV10" s="1729">
        <f>SUM(Аморт!T28)</f>
        <v>273.60000000000002</v>
      </c>
      <c r="AW10" s="1735">
        <f>SUM(AV10/AI10)</f>
        <v>1</v>
      </c>
      <c r="AX10" s="1729">
        <f>SUM(AV10)</f>
        <v>273.60000000000002</v>
      </c>
      <c r="AY10" s="1729">
        <v>0</v>
      </c>
      <c r="AZ10" s="1689">
        <f>SUM(Аморт!U28)</f>
        <v>273.60000000000002</v>
      </c>
      <c r="BA10" s="2648">
        <f t="shared" ref="BA10:BA62" si="20">SUM(AZ10/AI10)</f>
        <v>1</v>
      </c>
      <c r="BB10" s="1689">
        <f>SUM(AZ10)</f>
        <v>273.60000000000002</v>
      </c>
      <c r="BC10" s="1689">
        <v>0</v>
      </c>
      <c r="BD10" s="1689">
        <f t="shared" ref="BD10:BD16" si="21">BE10+BF10</f>
        <v>498.59</v>
      </c>
      <c r="BE10" s="1689">
        <v>498.59</v>
      </c>
      <c r="BF10" s="1689">
        <v>0</v>
      </c>
      <c r="BG10" s="1689">
        <f t="shared" ref="BG10:BG14" si="22">BH10+BI10</f>
        <v>498.89</v>
      </c>
      <c r="BH10" s="1689">
        <v>498.89</v>
      </c>
      <c r="BI10" s="1689">
        <v>0</v>
      </c>
      <c r="BJ10" s="1689">
        <f t="shared" ref="BJ10:BJ14" si="23">BK10+BL10</f>
        <v>498.89</v>
      </c>
      <c r="BK10" s="1689">
        <v>498.89</v>
      </c>
      <c r="BL10" s="1689">
        <v>0</v>
      </c>
      <c r="BM10" s="1689">
        <f t="shared" ref="BM10:BM14" si="24">BN10+BO10</f>
        <v>498.89</v>
      </c>
      <c r="BN10" s="1689">
        <f>Аморт!AL28</f>
        <v>498.89</v>
      </c>
      <c r="BO10" s="1689">
        <v>0</v>
      </c>
      <c r="BP10" s="1788" t="str">
        <f>вода!BT10</f>
        <v>Приложение</v>
      </c>
    </row>
    <row r="11" spans="1:68" ht="21" customHeight="1" x14ac:dyDescent="0.2">
      <c r="A11" s="1674" t="s">
        <v>216</v>
      </c>
      <c r="B11" s="1806"/>
      <c r="C11" s="1919"/>
      <c r="D11" s="1917"/>
      <c r="E11" s="1919"/>
      <c r="F11" s="1917"/>
      <c r="G11" s="1919"/>
      <c r="H11" s="1917"/>
      <c r="I11" s="1729"/>
      <c r="J11" s="1729"/>
      <c r="K11" s="1729">
        <v>31.8</v>
      </c>
      <c r="L11" s="1729">
        <v>31.8</v>
      </c>
      <c r="M11" s="1735"/>
      <c r="N11" s="1729"/>
      <c r="O11" s="1735"/>
      <c r="P11" s="1729"/>
      <c r="Q11" s="1735"/>
      <c r="R11" s="1735"/>
      <c r="S11" s="1729"/>
      <c r="T11" s="1729"/>
      <c r="U11" s="1729"/>
      <c r="V11" s="1729"/>
      <c r="W11" s="1729">
        <v>0</v>
      </c>
      <c r="X11" s="1729"/>
      <c r="Y11" s="1729">
        <v>0</v>
      </c>
      <c r="Z11" s="1729">
        <f t="shared" si="16"/>
        <v>0</v>
      </c>
      <c r="AA11" s="1729">
        <v>0</v>
      </c>
      <c r="AB11" s="1729">
        <v>0</v>
      </c>
      <c r="AC11" s="1729">
        <v>0</v>
      </c>
      <c r="AD11" s="1729">
        <v>0</v>
      </c>
      <c r="AE11" s="1729">
        <v>0</v>
      </c>
      <c r="AF11" s="1729"/>
      <c r="AG11" s="1729">
        <v>0</v>
      </c>
      <c r="AH11" s="1729">
        <v>0</v>
      </c>
      <c r="AI11" s="1729">
        <f>Y11</f>
        <v>0</v>
      </c>
      <c r="AJ11" s="1729"/>
      <c r="AK11" s="1729">
        <f>Z11</f>
        <v>0</v>
      </c>
      <c r="AL11" s="1729">
        <f>AA11</f>
        <v>0</v>
      </c>
      <c r="AM11" s="1740" t="e">
        <f>#REF!</f>
        <v>#REF!</v>
      </c>
      <c r="AN11" s="1740">
        <v>0</v>
      </c>
      <c r="AO11" s="1740" t="e">
        <f t="shared" si="15"/>
        <v>#REF!</v>
      </c>
      <c r="AP11" s="1729">
        <v>0</v>
      </c>
      <c r="AQ11" s="1729">
        <v>0</v>
      </c>
      <c r="AR11" s="1729">
        <v>0</v>
      </c>
      <c r="AS11" s="1729">
        <v>0</v>
      </c>
      <c r="AT11" s="1729">
        <v>0</v>
      </c>
      <c r="AU11" s="1729">
        <v>0</v>
      </c>
      <c r="AV11" s="1729">
        <v>0</v>
      </c>
      <c r="AW11" s="1735">
        <v>0</v>
      </c>
      <c r="AX11" s="1729">
        <v>0</v>
      </c>
      <c r="AY11" s="1729">
        <v>0</v>
      </c>
      <c r="AZ11" s="1689">
        <v>0</v>
      </c>
      <c r="BA11" s="2648">
        <v>0</v>
      </c>
      <c r="BB11" s="1689">
        <v>0</v>
      </c>
      <c r="BC11" s="1689">
        <v>0</v>
      </c>
      <c r="BD11" s="1689">
        <f t="shared" si="21"/>
        <v>0</v>
      </c>
      <c r="BE11" s="1689">
        <v>0</v>
      </c>
      <c r="BF11" s="1689">
        <v>0</v>
      </c>
      <c r="BG11" s="1689">
        <f t="shared" si="22"/>
        <v>0</v>
      </c>
      <c r="BH11" s="1689">
        <v>0</v>
      </c>
      <c r="BI11" s="1689">
        <v>0</v>
      </c>
      <c r="BJ11" s="1689">
        <f t="shared" si="23"/>
        <v>0</v>
      </c>
      <c r="BK11" s="1689">
        <v>0</v>
      </c>
      <c r="BL11" s="1689">
        <v>0</v>
      </c>
      <c r="BM11" s="1689">
        <f t="shared" si="24"/>
        <v>0</v>
      </c>
      <c r="BN11" s="1689">
        <v>0</v>
      </c>
      <c r="BO11" s="1689">
        <v>0</v>
      </c>
      <c r="BP11" s="1795"/>
    </row>
    <row r="12" spans="1:68" s="2996" customFormat="1" ht="29.25" customHeight="1" x14ac:dyDescent="0.2">
      <c r="A12" s="2990" t="s">
        <v>3</v>
      </c>
      <c r="B12" s="2991">
        <v>201.5</v>
      </c>
      <c r="C12" s="2992">
        <v>136.69999999999999</v>
      </c>
      <c r="D12" s="2993">
        <f t="shared" si="0"/>
        <v>67.84119106699751</v>
      </c>
      <c r="E12" s="2992">
        <v>189</v>
      </c>
      <c r="F12" s="2993">
        <f t="shared" si="8"/>
        <v>138.25896122896856</v>
      </c>
      <c r="G12" s="2992">
        <v>244.1</v>
      </c>
      <c r="H12" s="2993">
        <f t="shared" si="2"/>
        <v>129.15343915343917</v>
      </c>
      <c r="I12" s="2983">
        <v>430</v>
      </c>
      <c r="J12" s="2983">
        <v>33.4</v>
      </c>
      <c r="K12" s="2983">
        <v>329.8</v>
      </c>
      <c r="L12" s="2983">
        <v>427</v>
      </c>
      <c r="M12" s="2994">
        <f t="shared" si="9"/>
        <v>174.92830807046295</v>
      </c>
      <c r="N12" s="2983">
        <v>473</v>
      </c>
      <c r="O12" s="2994">
        <f t="shared" si="10"/>
        <v>110.00000000000001</v>
      </c>
      <c r="P12" s="2983">
        <v>451</v>
      </c>
      <c r="Q12" s="2994">
        <f t="shared" si="11"/>
        <v>104.88372093023256</v>
      </c>
      <c r="R12" s="2994">
        <f t="shared" si="12"/>
        <v>105.62060889929742</v>
      </c>
      <c r="S12" s="2983">
        <v>451.07</v>
      </c>
      <c r="T12" s="2983"/>
      <c r="U12" s="2983">
        <v>242.4</v>
      </c>
      <c r="V12" s="2983"/>
      <c r="W12" s="2983">
        <v>484</v>
      </c>
      <c r="X12" s="2983"/>
      <c r="Y12" s="2983">
        <f>U12/3*4*1.048</f>
        <v>338.71359999999999</v>
      </c>
      <c r="Z12" s="2983">
        <f t="shared" si="16"/>
        <v>338.71359999999999</v>
      </c>
      <c r="AA12" s="2983">
        <v>0</v>
      </c>
      <c r="AB12" s="2983">
        <f>SUM(AC12:AD12)</f>
        <v>152.4</v>
      </c>
      <c r="AC12" s="2983">
        <v>152.4</v>
      </c>
      <c r="AD12" s="2983">
        <v>0</v>
      </c>
      <c r="AE12" s="2983">
        <v>320</v>
      </c>
      <c r="AF12" s="2983">
        <f t="shared" si="13"/>
        <v>0.94475096364598299</v>
      </c>
      <c r="AG12" s="2983">
        <v>320</v>
      </c>
      <c r="AH12" s="2983">
        <v>0</v>
      </c>
      <c r="AI12" s="2983">
        <v>0</v>
      </c>
      <c r="AJ12" s="2983"/>
      <c r="AK12" s="2983">
        <f>AI12</f>
        <v>0</v>
      </c>
      <c r="AL12" s="2983">
        <f>AA12*1.046</f>
        <v>0</v>
      </c>
      <c r="AM12" s="2995" t="e">
        <f>#REF!</f>
        <v>#REF!</v>
      </c>
      <c r="AN12" s="2995">
        <v>0</v>
      </c>
      <c r="AO12" s="2995" t="e">
        <f t="shared" si="15"/>
        <v>#REF!</v>
      </c>
      <c r="AP12" s="2983">
        <f>SUM(AQ12:AR12)</f>
        <v>0</v>
      </c>
      <c r="AQ12" s="2983">
        <v>0</v>
      </c>
      <c r="AR12" s="2983">
        <v>0</v>
      </c>
      <c r="AS12" s="2983">
        <f>SUM(AT12:AU12)</f>
        <v>0</v>
      </c>
      <c r="AT12" s="2983">
        <v>0</v>
      </c>
      <c r="AU12" s="2983">
        <v>0</v>
      </c>
      <c r="AV12" s="2983">
        <f>SUM(AX12:AY12)</f>
        <v>152.4</v>
      </c>
      <c r="AW12" s="2994"/>
      <c r="AX12" s="2983">
        <f>SUM(AC12)</f>
        <v>152.4</v>
      </c>
      <c r="AY12" s="2983">
        <v>0</v>
      </c>
      <c r="AZ12" s="2983">
        <f>SUM(BB12:BC12)</f>
        <v>0</v>
      </c>
      <c r="BA12" s="2984">
        <v>0</v>
      </c>
      <c r="BB12" s="2983">
        <v>0</v>
      </c>
      <c r="BC12" s="2983">
        <v>0</v>
      </c>
      <c r="BD12" s="2983">
        <f t="shared" si="21"/>
        <v>441.31</v>
      </c>
      <c r="BE12" s="2983">
        <v>441.31</v>
      </c>
      <c r="BF12" s="2983">
        <v>0</v>
      </c>
      <c r="BG12" s="2983">
        <f t="shared" si="22"/>
        <v>304.98</v>
      </c>
      <c r="BH12" s="2983">
        <v>304.98</v>
      </c>
      <c r="BI12" s="2983">
        <v>0</v>
      </c>
      <c r="BJ12" s="2983">
        <f t="shared" si="23"/>
        <v>422.65</v>
      </c>
      <c r="BK12" s="2983">
        <v>422.65</v>
      </c>
      <c r="BL12" s="2983">
        <v>0</v>
      </c>
      <c r="BM12" s="2983">
        <v>0</v>
      </c>
      <c r="BN12" s="2983">
        <f>BM12</f>
        <v>0</v>
      </c>
      <c r="BO12" s="2983">
        <v>0</v>
      </c>
      <c r="BP12" s="2989" t="str">
        <f>вода!BT12</f>
        <v>Выполнять за счет амортизации</v>
      </c>
    </row>
    <row r="13" spans="1:68" ht="21" customHeight="1" x14ac:dyDescent="0.2">
      <c r="A13" s="1674" t="s">
        <v>4</v>
      </c>
      <c r="B13" s="1806">
        <v>4232.3999999999996</v>
      </c>
      <c r="C13" s="1919">
        <v>5099.2</v>
      </c>
      <c r="D13" s="1917">
        <f t="shared" si="0"/>
        <v>120.48010585010869</v>
      </c>
      <c r="E13" s="1919">
        <v>5650.1</v>
      </c>
      <c r="F13" s="1917">
        <f t="shared" si="8"/>
        <v>110.8036554753687</v>
      </c>
      <c r="G13" s="1919">
        <v>6020.2</v>
      </c>
      <c r="H13" s="1917">
        <f t="shared" si="2"/>
        <v>106.55032654289303</v>
      </c>
      <c r="I13" s="1729">
        <v>6748.7</v>
      </c>
      <c r="J13" s="1729">
        <v>3090.2</v>
      </c>
      <c r="K13" s="1729">
        <v>4364.5</v>
      </c>
      <c r="L13" s="1729">
        <v>6047.4</v>
      </c>
      <c r="M13" s="1735">
        <f t="shared" si="9"/>
        <v>100.45181223215177</v>
      </c>
      <c r="N13" s="1729">
        <v>8605.1</v>
      </c>
      <c r="O13" s="1735">
        <f t="shared" si="10"/>
        <v>127.50751996680843</v>
      </c>
      <c r="P13" s="1729">
        <f>ЗП!AP15</f>
        <v>7227.8576999999987</v>
      </c>
      <c r="Q13" s="1735">
        <f t="shared" si="11"/>
        <v>107.09999999999997</v>
      </c>
      <c r="R13" s="1735">
        <f t="shared" si="12"/>
        <v>119.52008631808711</v>
      </c>
      <c r="S13" s="1729">
        <v>7227.9</v>
      </c>
      <c r="T13" s="1729"/>
      <c r="U13" s="1729">
        <v>5255.2</v>
      </c>
      <c r="V13" s="1729"/>
      <c r="W13" s="1729">
        <v>9055.6</v>
      </c>
      <c r="X13" s="1729"/>
      <c r="Y13" s="1729">
        <f>ЗП!U31</f>
        <v>6614.9353670399987</v>
      </c>
      <c r="Z13" s="1729">
        <f t="shared" si="16"/>
        <v>6614.9353670399987</v>
      </c>
      <c r="AA13" s="1729">
        <v>0</v>
      </c>
      <c r="AB13" s="1729">
        <v>6921.7</v>
      </c>
      <c r="AC13" s="1729">
        <f>SUM(AB13)</f>
        <v>6921.7</v>
      </c>
      <c r="AD13" s="1729">
        <v>0</v>
      </c>
      <c r="AE13" s="1729">
        <v>9055.6</v>
      </c>
      <c r="AF13" s="1729">
        <f t="shared" si="13"/>
        <v>1.3689627331993315</v>
      </c>
      <c r="AG13" s="1729">
        <v>9055.6</v>
      </c>
      <c r="AH13" s="1729">
        <v>0</v>
      </c>
      <c r="AI13" s="1729">
        <f>ЗП!BB31</f>
        <v>7848.1866666666683</v>
      </c>
      <c r="AJ13" s="1729">
        <f t="shared" si="14"/>
        <v>1.1864343687727543</v>
      </c>
      <c r="AK13" s="1729">
        <f>AI13</f>
        <v>7848.1866666666683</v>
      </c>
      <c r="AL13" s="1729">
        <f>AA13*1.05</f>
        <v>0</v>
      </c>
      <c r="AM13" s="1740" t="e">
        <f>#REF!</f>
        <v>#REF!</v>
      </c>
      <c r="AN13" s="1740">
        <v>0</v>
      </c>
      <c r="AO13" s="1740" t="e">
        <f t="shared" si="15"/>
        <v>#REF!</v>
      </c>
      <c r="AP13" s="1729">
        <f>SUM(ЗП!BG31)</f>
        <v>3420.4</v>
      </c>
      <c r="AQ13" s="1729">
        <f>SUM(AP13)</f>
        <v>3420.4</v>
      </c>
      <c r="AR13" s="1729">
        <v>0</v>
      </c>
      <c r="AS13" s="1729">
        <f>SUM(ЗП!BK31)</f>
        <v>5249.4</v>
      </c>
      <c r="AT13" s="1729">
        <f>SUM(AS13)</f>
        <v>5249.4</v>
      </c>
      <c r="AU13" s="1729">
        <v>0</v>
      </c>
      <c r="AV13" s="1729">
        <v>8965.0400000000009</v>
      </c>
      <c r="AW13" s="1735">
        <f t="shared" ref="AW13:AW62" si="25">SUM(AV13/AI13)</f>
        <v>1.1423071826358189</v>
      </c>
      <c r="AX13" s="1729">
        <f>SUM(AV13)</f>
        <v>8965.0400000000009</v>
      </c>
      <c r="AY13" s="1729">
        <v>0</v>
      </c>
      <c r="AZ13" s="1689">
        <f>SUM(ЗП!BS31)</f>
        <v>7857.3839999999982</v>
      </c>
      <c r="BA13" s="2648">
        <f t="shared" si="20"/>
        <v>1.0011719055272212</v>
      </c>
      <c r="BB13" s="1689">
        <f>SUM(AZ13)</f>
        <v>7857.3839999999982</v>
      </c>
      <c r="BC13" s="1689">
        <v>0</v>
      </c>
      <c r="BD13" s="1689">
        <f t="shared" si="21"/>
        <v>7796.33</v>
      </c>
      <c r="BE13" s="1689">
        <v>7796.33</v>
      </c>
      <c r="BF13" s="1689">
        <v>0</v>
      </c>
      <c r="BG13" s="1689">
        <f t="shared" si="22"/>
        <v>8127.57</v>
      </c>
      <c r="BH13" s="1689">
        <v>8127.57</v>
      </c>
      <c r="BI13" s="1689">
        <v>0</v>
      </c>
      <c r="BJ13" s="1689">
        <f t="shared" si="23"/>
        <v>11074.97</v>
      </c>
      <c r="BK13" s="1689">
        <v>11074.97</v>
      </c>
      <c r="BL13" s="1689">
        <v>0</v>
      </c>
      <c r="BM13" s="1689">
        <f>ЗП!CO31</f>
        <v>9987.8106239999979</v>
      </c>
      <c r="BN13" s="1689">
        <f>BM13</f>
        <v>9987.8106239999979</v>
      </c>
      <c r="BO13" s="1689">
        <v>0</v>
      </c>
      <c r="BP13" s="1788" t="str">
        <f>вода!BT13</f>
        <v>Приложение</v>
      </c>
    </row>
    <row r="14" spans="1:68" ht="28.5" customHeight="1" x14ac:dyDescent="0.2">
      <c r="A14" s="1674" t="s">
        <v>117</v>
      </c>
      <c r="B14" s="1806">
        <v>1085</v>
      </c>
      <c r="C14" s="1919">
        <v>1303.3</v>
      </c>
      <c r="D14" s="1917">
        <f t="shared" si="0"/>
        <v>120.11981566820276</v>
      </c>
      <c r="E14" s="1919">
        <v>1422.5</v>
      </c>
      <c r="F14" s="1917">
        <f t="shared" si="8"/>
        <v>109.14601396455153</v>
      </c>
      <c r="G14" s="1919">
        <v>1998.5</v>
      </c>
      <c r="H14" s="1917">
        <f t="shared" si="2"/>
        <v>140.49209138840069</v>
      </c>
      <c r="I14" s="1729">
        <f>I13*30.2/100</f>
        <v>2038.1073999999999</v>
      </c>
      <c r="J14" s="1729">
        <v>1023.4</v>
      </c>
      <c r="K14" s="1729">
        <v>1279.4000000000001</v>
      </c>
      <c r="L14" s="1729">
        <v>1818.2</v>
      </c>
      <c r="M14" s="1735">
        <f t="shared" si="9"/>
        <v>90.978233675256448</v>
      </c>
      <c r="N14" s="1729">
        <v>2598.6999999999998</v>
      </c>
      <c r="O14" s="1735">
        <f t="shared" si="10"/>
        <v>127.50554754867187</v>
      </c>
      <c r="P14" s="1729">
        <f>P13*30.2/100</f>
        <v>2182.8130253999993</v>
      </c>
      <c r="Q14" s="1735">
        <f t="shared" si="11"/>
        <v>107.09999999999997</v>
      </c>
      <c r="R14" s="1735">
        <f t="shared" si="12"/>
        <v>120.05351586184135</v>
      </c>
      <c r="S14" s="1729">
        <f>S13*30.2/100</f>
        <v>2182.8258000000001</v>
      </c>
      <c r="T14" s="1729"/>
      <c r="U14" s="1729">
        <v>1570.4</v>
      </c>
      <c r="V14" s="1729"/>
      <c r="W14" s="1729">
        <v>2734.79</v>
      </c>
      <c r="X14" s="1729"/>
      <c r="Y14" s="1729">
        <f>Y13*U15</f>
        <v>1976.7267659460372</v>
      </c>
      <c r="Z14" s="1729">
        <f t="shared" si="16"/>
        <v>1976.7267659460372</v>
      </c>
      <c r="AA14" s="1729">
        <v>0</v>
      </c>
      <c r="AB14" s="1729">
        <v>2065.6999999999998</v>
      </c>
      <c r="AC14" s="1729">
        <f>SUM(AB14)</f>
        <v>2065.6999999999998</v>
      </c>
      <c r="AD14" s="1729">
        <v>0</v>
      </c>
      <c r="AE14" s="1729">
        <v>2725.74</v>
      </c>
      <c r="AF14" s="1729">
        <f t="shared" si="13"/>
        <v>1.3789159164319273</v>
      </c>
      <c r="AG14" s="1729">
        <v>2725.74</v>
      </c>
      <c r="AH14" s="1729">
        <v>0</v>
      </c>
      <c r="AI14" s="1729">
        <f>AI13*AI15</f>
        <v>2345.2565727913948</v>
      </c>
      <c r="AJ14" s="1729">
        <f t="shared" si="14"/>
        <v>1.1864343687727543</v>
      </c>
      <c r="AK14" s="1729">
        <f>AK13*AK15</f>
        <v>2345.2565727913948</v>
      </c>
      <c r="AL14" s="1729">
        <f>AA14*1.05</f>
        <v>0</v>
      </c>
      <c r="AM14" s="1740" t="e">
        <f>#REF!</f>
        <v>#REF!</v>
      </c>
      <c r="AN14" s="1740">
        <v>0</v>
      </c>
      <c r="AO14" s="1740" t="e">
        <f t="shared" si="15"/>
        <v>#REF!</v>
      </c>
      <c r="AP14" s="1729">
        <v>0</v>
      </c>
      <c r="AQ14" s="1729">
        <f>SUM(AP14)</f>
        <v>0</v>
      </c>
      <c r="AR14" s="1729">
        <v>0</v>
      </c>
      <c r="AS14" s="1729">
        <v>0</v>
      </c>
      <c r="AT14" s="1729">
        <f>SUM(AS14)</f>
        <v>0</v>
      </c>
      <c r="AU14" s="1729">
        <v>0</v>
      </c>
      <c r="AV14" s="1730">
        <f t="shared" ref="AV14" si="26">SUM(AX14+AY14)</f>
        <v>2698.4770400000002</v>
      </c>
      <c r="AW14" s="1735">
        <f t="shared" si="25"/>
        <v>1.150610586196201</v>
      </c>
      <c r="AX14" s="1729">
        <f>SUM(AX13*AE15)/100</f>
        <v>2698.4770400000002</v>
      </c>
      <c r="AY14" s="1729">
        <f>SUM(AY13*AE15)/100</f>
        <v>0</v>
      </c>
      <c r="AZ14" s="2777">
        <f t="shared" ref="AZ14" si="27">SUM(BB14+BC14)</f>
        <v>2348.0049919318008</v>
      </c>
      <c r="BA14" s="2648">
        <f t="shared" si="20"/>
        <v>1.0011719055272212</v>
      </c>
      <c r="BB14" s="1689">
        <f>BB13*BB15</f>
        <v>2348.0049919318008</v>
      </c>
      <c r="BC14" s="1689">
        <f>SUM(BC13*AV15)</f>
        <v>0</v>
      </c>
      <c r="BD14" s="1689">
        <f t="shared" si="21"/>
        <v>2348.37</v>
      </c>
      <c r="BE14" s="1689">
        <v>2348.37</v>
      </c>
      <c r="BF14" s="1689">
        <v>0</v>
      </c>
      <c r="BG14" s="1689">
        <f t="shared" si="22"/>
        <v>2434.46</v>
      </c>
      <c r="BH14" s="1689">
        <v>2434.46</v>
      </c>
      <c r="BI14" s="1689">
        <v>0</v>
      </c>
      <c r="BJ14" s="1689">
        <f t="shared" si="23"/>
        <v>3309.2</v>
      </c>
      <c r="BK14" s="1689">
        <v>3309.2</v>
      </c>
      <c r="BL14" s="1689">
        <v>0</v>
      </c>
      <c r="BM14" s="1689">
        <f t="shared" si="24"/>
        <v>2991.6599243935198</v>
      </c>
      <c r="BN14" s="1689">
        <f>BN13*BG15</f>
        <v>2991.6599243935198</v>
      </c>
      <c r="BO14" s="1689">
        <v>0</v>
      </c>
      <c r="BP14" s="1788" t="str">
        <f>вода!BT14</f>
        <v xml:space="preserve"> </v>
      </c>
    </row>
    <row r="15" spans="1:68" s="1932" customFormat="1" ht="21" customHeight="1" x14ac:dyDescent="0.2">
      <c r="A15" s="1675" t="s">
        <v>318</v>
      </c>
      <c r="B15" s="1920"/>
      <c r="C15" s="1917"/>
      <c r="D15" s="1917"/>
      <c r="E15" s="1734">
        <f>E14/E13</f>
        <v>0.25176545547866408</v>
      </c>
      <c r="F15" s="1734">
        <f t="shared" ref="F15:Z15" si="28">F14/F13</f>
        <v>0.98503983010573459</v>
      </c>
      <c r="G15" s="1734">
        <f t="shared" si="28"/>
        <v>0.33196571542473674</v>
      </c>
      <c r="H15" s="1734">
        <f t="shared" si="28"/>
        <v>1.3185514859200738</v>
      </c>
      <c r="I15" s="1734">
        <f t="shared" si="28"/>
        <v>0.30199999999999999</v>
      </c>
      <c r="J15" s="1734">
        <f t="shared" si="28"/>
        <v>0.33117597566500551</v>
      </c>
      <c r="K15" s="1734">
        <f t="shared" si="28"/>
        <v>0.29313781647382292</v>
      </c>
      <c r="L15" s="1734">
        <f t="shared" si="28"/>
        <v>0.3006581340741476</v>
      </c>
      <c r="M15" s="1734">
        <f t="shared" si="28"/>
        <v>0.90569031711442738</v>
      </c>
      <c r="N15" s="1734">
        <f t="shared" si="28"/>
        <v>0.30199532835179133</v>
      </c>
      <c r="O15" s="1734">
        <f t="shared" si="28"/>
        <v>0.99998453096619655</v>
      </c>
      <c r="P15" s="1734">
        <f t="shared" si="28"/>
        <v>0.30199999999999999</v>
      </c>
      <c r="Q15" s="1734">
        <f t="shared" si="28"/>
        <v>1</v>
      </c>
      <c r="R15" s="1734">
        <f t="shared" si="28"/>
        <v>1.0044630953690461</v>
      </c>
      <c r="S15" s="1734">
        <f t="shared" si="28"/>
        <v>0.30200000000000005</v>
      </c>
      <c r="T15" s="1734"/>
      <c r="U15" s="1734">
        <f t="shared" si="28"/>
        <v>0.2988278276754453</v>
      </c>
      <c r="V15" s="1734"/>
      <c r="W15" s="1734">
        <f t="shared" si="28"/>
        <v>0.30199986748531293</v>
      </c>
      <c r="X15" s="1734"/>
      <c r="Y15" s="1734">
        <f t="shared" si="28"/>
        <v>0.2988278276754453</v>
      </c>
      <c r="Z15" s="1734">
        <f t="shared" si="28"/>
        <v>0.2988278276754453</v>
      </c>
      <c r="AA15" s="1734"/>
      <c r="AB15" s="1734">
        <f t="shared" ref="AB15:AC15" si="29">AB14/AB13</f>
        <v>0.2984382449398269</v>
      </c>
      <c r="AC15" s="1734">
        <f t="shared" si="29"/>
        <v>0.2984382449398269</v>
      </c>
      <c r="AD15" s="1734"/>
      <c r="AE15" s="1734">
        <v>30.1</v>
      </c>
      <c r="AF15" s="1921"/>
      <c r="AG15" s="1734">
        <v>30.1</v>
      </c>
      <c r="AH15" s="1734">
        <v>0</v>
      </c>
      <c r="AI15" s="1734">
        <f>Y15</f>
        <v>0.2988278276754453</v>
      </c>
      <c r="AJ15" s="1921"/>
      <c r="AK15" s="1734">
        <f>AI15</f>
        <v>0.2988278276754453</v>
      </c>
      <c r="AL15" s="1734"/>
      <c r="AM15" s="1922" t="e">
        <f>#REF!</f>
        <v>#REF!</v>
      </c>
      <c r="AN15" s="1922">
        <v>0</v>
      </c>
      <c r="AO15" s="1922" t="e">
        <f t="shared" si="15"/>
        <v>#REF!</v>
      </c>
      <c r="AP15" s="1734">
        <f>AP14/AP13</f>
        <v>0</v>
      </c>
      <c r="AQ15" s="1734">
        <f t="shared" ref="AQ15" si="30">AQ14/AQ13</f>
        <v>0</v>
      </c>
      <c r="AR15" s="1734"/>
      <c r="AS15" s="1734">
        <f>AS14/AS13</f>
        <v>0</v>
      </c>
      <c r="AT15" s="1734">
        <f t="shared" ref="AT15" si="31">AT14/AT13</f>
        <v>0</v>
      </c>
      <c r="AU15" s="1734"/>
      <c r="AV15" s="1734">
        <f>SUM(AV14/AV13)</f>
        <v>0.30099999999999999</v>
      </c>
      <c r="AW15" s="1734">
        <f t="shared" si="25"/>
        <v>1.0072689760570555</v>
      </c>
      <c r="AX15" s="1734">
        <f>SUM(AX14/AX13)</f>
        <v>0.30099999999999999</v>
      </c>
      <c r="AY15" s="1734">
        <v>0</v>
      </c>
      <c r="AZ15" s="1760">
        <f>Y15</f>
        <v>0.2988278276754453</v>
      </c>
      <c r="BA15" s="2780">
        <f t="shared" si="20"/>
        <v>1</v>
      </c>
      <c r="BB15" s="1760">
        <f>Z15</f>
        <v>0.2988278276754453</v>
      </c>
      <c r="BC15" s="1760">
        <v>0</v>
      </c>
      <c r="BD15" s="1760">
        <f>BD14/BD13</f>
        <v>0.30121480234931047</v>
      </c>
      <c r="BE15" s="1760">
        <f>BE14/BE13</f>
        <v>0.30121480234931047</v>
      </c>
      <c r="BF15" s="1760">
        <v>0</v>
      </c>
      <c r="BG15" s="1760">
        <f>BG14/BG13</f>
        <v>0.2995311021621469</v>
      </c>
      <c r="BH15" s="1760">
        <f>BH14/BH13</f>
        <v>0.2995311021621469</v>
      </c>
      <c r="BI15" s="1760">
        <v>0</v>
      </c>
      <c r="BJ15" s="1760">
        <f>BJ14/BJ13</f>
        <v>0.29879990645572857</v>
      </c>
      <c r="BK15" s="1760">
        <f>BK14/BK13</f>
        <v>0.29879990645572857</v>
      </c>
      <c r="BL15" s="1760">
        <v>0</v>
      </c>
      <c r="BM15" s="1760">
        <f>BM14/BM13</f>
        <v>0.2995311021621469</v>
      </c>
      <c r="BN15" s="1760">
        <f>BN14/BN13</f>
        <v>0.2995311021621469</v>
      </c>
      <c r="BO15" s="1760">
        <v>0</v>
      </c>
      <c r="BP15" s="2778"/>
    </row>
    <row r="16" spans="1:68" ht="21" customHeight="1" x14ac:dyDescent="0.2">
      <c r="A16" s="1674" t="s">
        <v>6</v>
      </c>
      <c r="B16" s="1806">
        <v>586.20000000000005</v>
      </c>
      <c r="C16" s="1919">
        <v>578.70000000000005</v>
      </c>
      <c r="D16" s="1917">
        <f t="shared" si="0"/>
        <v>98.720573183213929</v>
      </c>
      <c r="E16" s="1919">
        <v>909</v>
      </c>
      <c r="F16" s="1917">
        <f t="shared" si="8"/>
        <v>157.07620528771383</v>
      </c>
      <c r="G16" s="1919">
        <v>1016.4</v>
      </c>
      <c r="H16" s="1917">
        <f t="shared" si="2"/>
        <v>111.81518151815182</v>
      </c>
      <c r="I16" s="1729">
        <v>973.7</v>
      </c>
      <c r="J16" s="1729">
        <v>525.5</v>
      </c>
      <c r="K16" s="1729">
        <f>'цех стоки'!K47</f>
        <v>660.34381091530884</v>
      </c>
      <c r="L16" s="1729">
        <f>'цех стоки'!L47</f>
        <v>1618.4</v>
      </c>
      <c r="M16" s="1735">
        <f t="shared" si="9"/>
        <v>159.22865013774106</v>
      </c>
      <c r="N16" s="1729">
        <v>1270.9000000000001</v>
      </c>
      <c r="O16" s="1735">
        <f t="shared" si="10"/>
        <v>130.52274827975762</v>
      </c>
      <c r="P16" s="1729">
        <f>'цех стоки'!P47</f>
        <v>1129.3</v>
      </c>
      <c r="Q16" s="1735">
        <f t="shared" si="11"/>
        <v>115.98028140084213</v>
      </c>
      <c r="R16" s="1735">
        <f t="shared" si="12"/>
        <v>69.778793870489366</v>
      </c>
      <c r="S16" s="1729">
        <v>1067.4000000000001</v>
      </c>
      <c r="T16" s="1729"/>
      <c r="U16" s="1729">
        <v>627.9</v>
      </c>
      <c r="V16" s="1729"/>
      <c r="W16" s="1729">
        <v>1692.38</v>
      </c>
      <c r="X16" s="1729"/>
      <c r="Y16" s="1729">
        <f>'цех стоки'!X47</f>
        <v>1182.4040130542526</v>
      </c>
      <c r="Z16" s="1729">
        <f t="shared" si="16"/>
        <v>1182.4040130542526</v>
      </c>
      <c r="AA16" s="1729">
        <v>0</v>
      </c>
      <c r="AB16" s="1729">
        <f>'цех стоки'!AA47</f>
        <v>776.9</v>
      </c>
      <c r="AC16" s="1729">
        <f t="shared" ref="AC16" si="32">AB16</f>
        <v>776.9</v>
      </c>
      <c r="AD16" s="1729">
        <v>0</v>
      </c>
      <c r="AE16" s="1729">
        <v>1092.1400000000001</v>
      </c>
      <c r="AF16" s="1729">
        <f t="shared" si="13"/>
        <v>0.92366059988151372</v>
      </c>
      <c r="AG16" s="1729">
        <v>1241.52</v>
      </c>
      <c r="AH16" s="1729">
        <v>0</v>
      </c>
      <c r="AI16" s="1729">
        <f>'цех стоки'!AC47</f>
        <v>1119.2106875700802</v>
      </c>
      <c r="AJ16" s="1729">
        <f t="shared" si="14"/>
        <v>0.94655521734830839</v>
      </c>
      <c r="AK16" s="1729">
        <f>SUM('цех стоки'!AC47)</f>
        <v>1119.2106875700802</v>
      </c>
      <c r="AL16" s="1729">
        <f>SUM('цех стоки'!Y64)</f>
        <v>0</v>
      </c>
      <c r="AM16" s="1729">
        <f>AK16*1.05</f>
        <v>1175.1712219485842</v>
      </c>
      <c r="AN16" s="1729">
        <f>AL16*1.05</f>
        <v>0</v>
      </c>
      <c r="AO16" s="1729" t="e">
        <f>#REF!*1.05</f>
        <v>#REF!</v>
      </c>
      <c r="AP16" s="1729">
        <f>SUM('цех стоки'!AE47)</f>
        <v>347.27</v>
      </c>
      <c r="AQ16" s="1729">
        <f>SUM(AP16)</f>
        <v>347.27</v>
      </c>
      <c r="AR16" s="1729">
        <v>0</v>
      </c>
      <c r="AS16" s="1729">
        <f>SUM('цех стоки'!AF47)</f>
        <v>868.98</v>
      </c>
      <c r="AT16" s="1729">
        <f>SUM(AS16)</f>
        <v>868.98</v>
      </c>
      <c r="AU16" s="1729">
        <v>0</v>
      </c>
      <c r="AV16" s="1729">
        <v>1183.76</v>
      </c>
      <c r="AW16" s="1735">
        <f>SUM(AV16/AI16)</f>
        <v>1.0576739600030651</v>
      </c>
      <c r="AX16" s="1729">
        <f>SUM(AV16)</f>
        <v>1183.76</v>
      </c>
      <c r="AY16" s="1729">
        <v>0</v>
      </c>
      <c r="AZ16" s="1689">
        <f>SUM('цех стоки'!AH47)</f>
        <v>905.83734813770843</v>
      </c>
      <c r="BA16" s="2648">
        <f t="shared" si="20"/>
        <v>0.80935373312452286</v>
      </c>
      <c r="BB16" s="1689">
        <f>SUM(AZ16)</f>
        <v>905.83734813770843</v>
      </c>
      <c r="BC16" s="1689">
        <v>0</v>
      </c>
      <c r="BD16" s="1689">
        <f t="shared" si="21"/>
        <v>861.66</v>
      </c>
      <c r="BE16" s="1689">
        <v>861.66</v>
      </c>
      <c r="BF16" s="1689">
        <v>0</v>
      </c>
      <c r="BG16" s="1689">
        <f t="shared" ref="BG16" si="33">BH16+BI16</f>
        <v>241.21</v>
      </c>
      <c r="BH16" s="1689">
        <v>241.21</v>
      </c>
      <c r="BI16" s="1689">
        <v>0</v>
      </c>
      <c r="BJ16" s="1689">
        <f t="shared" ref="BJ16" si="34">BK16+BL16</f>
        <v>554.26</v>
      </c>
      <c r="BK16" s="1689">
        <v>554.26</v>
      </c>
      <c r="BL16" s="1689">
        <v>0</v>
      </c>
      <c r="BM16" s="1689">
        <f t="shared" ref="BM16" si="35">BN16+BO16</f>
        <v>322.3701224435992</v>
      </c>
      <c r="BN16" s="1689">
        <f>'цех стоки'!AL47</f>
        <v>322.3701224435992</v>
      </c>
      <c r="BO16" s="1689">
        <v>0</v>
      </c>
      <c r="BP16" s="1795" t="str">
        <f>вода!BT34</f>
        <v>Приложение</v>
      </c>
    </row>
    <row r="17" spans="1:72" ht="21" customHeight="1" x14ac:dyDescent="0.2">
      <c r="A17" s="1673" t="s">
        <v>7</v>
      </c>
      <c r="B17" s="1914">
        <f>SUM(B18:B26)</f>
        <v>26653.700000000004</v>
      </c>
      <c r="C17" s="1915">
        <f>SUM(C18:C26)</f>
        <v>29414</v>
      </c>
      <c r="D17" s="1916">
        <f t="shared" si="0"/>
        <v>110.35616068313216</v>
      </c>
      <c r="E17" s="1740">
        <f>SUM(E18:E26)</f>
        <v>33364.957532963468</v>
      </c>
      <c r="F17" s="1740">
        <f>SUM(F18:F26)</f>
        <v>851.66176001421229</v>
      </c>
      <c r="G17" s="1740">
        <f>SUM(G18:G26)</f>
        <v>33031.655567248337</v>
      </c>
      <c r="H17" s="1917">
        <f t="shared" si="2"/>
        <v>99.001041840422417</v>
      </c>
      <c r="I17" s="1740">
        <f>I18+I19+I20+I22+I23+I24+I26</f>
        <v>35984.4516</v>
      </c>
      <c r="J17" s="1740">
        <f>SUM(J18:J26)</f>
        <v>17728.514742148349</v>
      </c>
      <c r="K17" s="1740">
        <f>SUM(K18:K26)</f>
        <v>23132.282033012896</v>
      </c>
      <c r="L17" s="1740">
        <f>SUM(L18:L26)</f>
        <v>33260.600222854184</v>
      </c>
      <c r="M17" s="1923">
        <f t="shared" si="9"/>
        <v>100.69310681427923</v>
      </c>
      <c r="N17" s="1740">
        <f>SUM(N18:N26)</f>
        <v>42496.001997885767</v>
      </c>
      <c r="O17" s="1735">
        <f t="shared" si="10"/>
        <v>118.09545542132361</v>
      </c>
      <c r="P17" s="1740">
        <f>P18+P19+P20+P22+P23+P24+P26</f>
        <v>38718.071481984</v>
      </c>
      <c r="Q17" s="1740">
        <f t="shared" ref="Q17:V17" si="36">Q18+Q19+Q20+Q22+Q23+Q24+Q26</f>
        <v>740.67165557457076</v>
      </c>
      <c r="R17" s="1740">
        <f t="shared" si="36"/>
        <v>1070.1957656123591</v>
      </c>
      <c r="S17" s="1740">
        <f t="shared" si="36"/>
        <v>38309.462691168781</v>
      </c>
      <c r="T17" s="1740">
        <f t="shared" si="36"/>
        <v>267.10879081522074</v>
      </c>
      <c r="U17" s="1740">
        <f t="shared" si="36"/>
        <v>27749.199999999997</v>
      </c>
      <c r="V17" s="1740">
        <f t="shared" si="36"/>
        <v>0</v>
      </c>
      <c r="W17" s="1740">
        <f>W18+W19+W20+W22+W23+W24+W26+W21</f>
        <v>44820.57</v>
      </c>
      <c r="X17" s="1740"/>
      <c r="Y17" s="1740">
        <f t="shared" ref="Y17:AL17" si="37">Y18+Y19+Y20+Y22+Y23+Y24+Y26+Y21</f>
        <v>36235.315577079971</v>
      </c>
      <c r="Z17" s="1740">
        <f t="shared" si="37"/>
        <v>35960.164869963985</v>
      </c>
      <c r="AA17" s="1740">
        <f t="shared" si="37"/>
        <v>275.45070711599271</v>
      </c>
      <c r="AB17" s="1740">
        <f t="shared" ref="AB17:AD17" si="38">AB18+AB19+AB20+AB22+AB23+AB24+AB26+AB21</f>
        <v>33167.799500000001</v>
      </c>
      <c r="AC17" s="1740">
        <f t="shared" si="38"/>
        <v>32881.346918186529</v>
      </c>
      <c r="AD17" s="1740">
        <f t="shared" si="38"/>
        <v>286.45258181347208</v>
      </c>
      <c r="AE17" s="1740">
        <v>38355.11</v>
      </c>
      <c r="AF17" s="1729">
        <f t="shared" si="13"/>
        <v>1.058500785467448</v>
      </c>
      <c r="AG17" s="1740">
        <v>38068.36</v>
      </c>
      <c r="AH17" s="1740">
        <v>286.76</v>
      </c>
      <c r="AI17" s="1740">
        <f t="shared" si="37"/>
        <v>37373.673441835519</v>
      </c>
      <c r="AJ17" s="1729">
        <f t="shared" si="14"/>
        <v>1.0314157016884267</v>
      </c>
      <c r="AK17" s="1740">
        <f t="shared" si="37"/>
        <v>37149.950083212862</v>
      </c>
      <c r="AL17" s="1740">
        <f t="shared" si="37"/>
        <v>223.72335862265243</v>
      </c>
      <c r="AM17" s="1740" t="e">
        <f>AM18+AM19+AM20+AM21+AM22+AM23+AM24+AM26</f>
        <v>#REF!</v>
      </c>
      <c r="AN17" s="1740" t="e">
        <f>AN18+AN19+AN20+AN21+AN22+AN23+AN24+AN26</f>
        <v>#REF!</v>
      </c>
      <c r="AO17" s="1740" t="e">
        <f t="shared" si="15"/>
        <v>#REF!</v>
      </c>
      <c r="AP17" s="1740">
        <f t="shared" ref="AP17:AV17" si="39">AP18+AP19+AP20+AP22+AP23+AP24+AP26+AP21</f>
        <v>14375.140000000001</v>
      </c>
      <c r="AQ17" s="1740">
        <f t="shared" si="39"/>
        <v>14291.938781498018</v>
      </c>
      <c r="AR17" s="1740">
        <f t="shared" si="39"/>
        <v>83.201218501982225</v>
      </c>
      <c r="AS17" s="1740">
        <f t="shared" si="39"/>
        <v>21766.959999999999</v>
      </c>
      <c r="AT17" s="1740">
        <f t="shared" si="39"/>
        <v>21608.418114674678</v>
      </c>
      <c r="AU17" s="1740">
        <f t="shared" si="39"/>
        <v>158.54188532531862</v>
      </c>
      <c r="AV17" s="1740">
        <f t="shared" si="39"/>
        <v>42309.236673061234</v>
      </c>
      <c r="AW17" s="1735">
        <f t="shared" si="25"/>
        <v>1.1320598907385144</v>
      </c>
      <c r="AX17" s="1740">
        <f t="shared" ref="AX17:BC17" si="40">AX18+AX19+AX20+AX22+AX23+AX24+AX26+AX21</f>
        <v>41969.706748832701</v>
      </c>
      <c r="AY17" s="1740">
        <f t="shared" si="40"/>
        <v>339.52992422853498</v>
      </c>
      <c r="AZ17" s="1828">
        <f t="shared" si="40"/>
        <v>36922.745803928265</v>
      </c>
      <c r="BA17" s="2721">
        <f t="shared" si="20"/>
        <v>0.98793461823844986</v>
      </c>
      <c r="BB17" s="1828">
        <f t="shared" si="40"/>
        <v>36669.222631048906</v>
      </c>
      <c r="BC17" s="1828">
        <f t="shared" si="40"/>
        <v>253.52317287935199</v>
      </c>
      <c r="BD17" s="1828">
        <f>BD18+BD19+BD20+BD22+BD23+BD24+BD26+BD21</f>
        <v>40277.32</v>
      </c>
      <c r="BE17" s="1828">
        <f t="shared" ref="BE17:BF17" si="41">BE18+BE19+BE20+BE22+BE23+BE24+BE26+BE21</f>
        <v>40007.99</v>
      </c>
      <c r="BF17" s="1828">
        <f t="shared" si="41"/>
        <v>269.33</v>
      </c>
      <c r="BG17" s="1828">
        <f>BG18+BG19+BG20+BG22+BG23+BG24+BG26+BG21</f>
        <v>40387.450000000004</v>
      </c>
      <c r="BH17" s="1828">
        <f t="shared" ref="BH17:BI17" si="42">BH18+BH19+BH20+BH22+BH23+BH24+BH26+BH21</f>
        <v>40150.44</v>
      </c>
      <c r="BI17" s="1828">
        <f t="shared" si="42"/>
        <v>237.01</v>
      </c>
      <c r="BJ17" s="1828">
        <f>BJ18+BJ19+BJ20+BJ22+BJ23+BJ24+BJ26+BJ21</f>
        <v>52473.119999999995</v>
      </c>
      <c r="BK17" s="1828">
        <f t="shared" ref="BK17:BL17" si="43">BK18+BK19+BK20+BK22+BK23+BK24+BK26+BK21</f>
        <v>52172.82</v>
      </c>
      <c r="BL17" s="1828">
        <f t="shared" si="43"/>
        <v>300.3</v>
      </c>
      <c r="BM17" s="1828">
        <f>BM18+BM19+BM20+BM22+BM23+BM24+BM26+BM21</f>
        <v>45028.887045802388</v>
      </c>
      <c r="BN17" s="1828">
        <f t="shared" ref="BN17:BO17" si="44">BN18+BN19+BN20+BN22+BN23+BN24+BN26+BN21</f>
        <v>44771.973210494754</v>
      </c>
      <c r="BO17" s="1828">
        <f t="shared" si="44"/>
        <v>256.91383530763579</v>
      </c>
      <c r="BP17" s="2731"/>
    </row>
    <row r="18" spans="1:72" ht="21" customHeight="1" x14ac:dyDescent="0.2">
      <c r="A18" s="1674" t="s">
        <v>1</v>
      </c>
      <c r="B18" s="1806">
        <v>4310.6000000000004</v>
      </c>
      <c r="C18" s="1919">
        <v>4957.8</v>
      </c>
      <c r="D18" s="1917">
        <f t="shared" si="0"/>
        <v>115.0141511622512</v>
      </c>
      <c r="E18" s="1919">
        <v>6244.2</v>
      </c>
      <c r="F18" s="1917">
        <f t="shared" si="8"/>
        <v>125.94699261769333</v>
      </c>
      <c r="G18" s="1919">
        <v>7235</v>
      </c>
      <c r="H18" s="1917">
        <f t="shared" si="2"/>
        <v>115.8675250632587</v>
      </c>
      <c r="I18" s="1729">
        <v>7455.3</v>
      </c>
      <c r="J18" s="1729">
        <v>4034.7</v>
      </c>
      <c r="K18" s="1729">
        <v>4952.3</v>
      </c>
      <c r="L18" s="1729">
        <v>6865.9</v>
      </c>
      <c r="M18" s="1735">
        <f t="shared" si="9"/>
        <v>94.898410504492048</v>
      </c>
      <c r="N18" s="1729">
        <v>9016</v>
      </c>
      <c r="O18" s="1735">
        <f t="shared" si="10"/>
        <v>120.9341005727469</v>
      </c>
      <c r="P18" s="1729">
        <f>электр!AC15</f>
        <v>8582.7999999999993</v>
      </c>
      <c r="Q18" s="1735">
        <f t="shared" si="11"/>
        <v>115.12346920982388</v>
      </c>
      <c r="R18" s="1735">
        <f t="shared" si="12"/>
        <v>125.00619001150612</v>
      </c>
      <c r="S18" s="1729">
        <f>P18/P52*S52</f>
        <v>8522.9895470383253</v>
      </c>
      <c r="T18" s="1729">
        <f>P18-S18</f>
        <v>59.810452961673946</v>
      </c>
      <c r="U18" s="1729">
        <v>6066.2</v>
      </c>
      <c r="V18" s="1729"/>
      <c r="W18" s="1729">
        <v>9664.9</v>
      </c>
      <c r="X18" s="1729"/>
      <c r="Y18" s="1729">
        <f>электр!Q54</f>
        <v>6188.2733022666562</v>
      </c>
      <c r="Z18" s="1729">
        <f>($Z$52/$Y$52)*Y18</f>
        <v>6141.0950267572307</v>
      </c>
      <c r="AA18" s="1729">
        <f>Y18-Z18</f>
        <v>47.178275509425475</v>
      </c>
      <c r="AB18" s="1729">
        <f>SUM(электр!AG54)</f>
        <v>7103.9</v>
      </c>
      <c r="AC18" s="1729">
        <f>SUM(AC52/AB52)*AB18</f>
        <v>7042.1838214141881</v>
      </c>
      <c r="AD18" s="1729">
        <f>AB18-AC18</f>
        <v>61.716178585811576</v>
      </c>
      <c r="AE18" s="1729">
        <v>6559.57</v>
      </c>
      <c r="AF18" s="1729">
        <f t="shared" si="13"/>
        <v>1.0600000484137222</v>
      </c>
      <c r="AG18" s="1729">
        <v>6508.9</v>
      </c>
      <c r="AH18" s="1729">
        <v>50.67</v>
      </c>
      <c r="AI18" s="1729">
        <f>электр!AN54</f>
        <v>5760.2649333677646</v>
      </c>
      <c r="AJ18" s="1729">
        <f t="shared" si="14"/>
        <v>0.93083557432052655</v>
      </c>
      <c r="AK18" s="1729">
        <f>AI18-AL18</f>
        <v>5709.595465470642</v>
      </c>
      <c r="AL18" s="1729">
        <f>AA18*1.074</f>
        <v>50.669467897122964</v>
      </c>
      <c r="AM18" s="1740" t="e">
        <f>#REF!*Z18/Y18</f>
        <v>#REF!</v>
      </c>
      <c r="AN18" s="1740" t="e">
        <f>#REF!-AM18</f>
        <v>#REF!</v>
      </c>
      <c r="AO18" s="1740" t="e">
        <f t="shared" si="15"/>
        <v>#REF!</v>
      </c>
      <c r="AP18" s="1729">
        <f>SUM(электр!AT54)</f>
        <v>3477.1</v>
      </c>
      <c r="AQ18" s="1729">
        <f>SUM(AQ52/AP52)*AP18</f>
        <v>3456.975051174928</v>
      </c>
      <c r="AR18" s="1729">
        <f>AP18-AQ18</f>
        <v>20.124948825071897</v>
      </c>
      <c r="AS18" s="1729">
        <f>SUM(электр!AW54)</f>
        <v>5259.9</v>
      </c>
      <c r="AT18" s="1729">
        <f>SUM(AT52/AS52)*AS18</f>
        <v>5221.5889789560579</v>
      </c>
      <c r="AU18" s="1729">
        <f>AS18-AT18</f>
        <v>38.311021043941764</v>
      </c>
      <c r="AV18" s="1729">
        <v>5986.43</v>
      </c>
      <c r="AW18" s="1735">
        <f t="shared" si="25"/>
        <v>1.0392629625977996</v>
      </c>
      <c r="AX18" s="1729">
        <f>SUM(AX52/AV52)*AV18</f>
        <v>5938.1662395623389</v>
      </c>
      <c r="AY18" s="1729">
        <f>AV18-AX18</f>
        <v>48.263760437661404</v>
      </c>
      <c r="AZ18" s="1689">
        <f>SUM(электр!BD54)</f>
        <v>5992.9087872277805</v>
      </c>
      <c r="BA18" s="2648">
        <f t="shared" si="20"/>
        <v>1.0403877003143325</v>
      </c>
      <c r="BB18" s="1689">
        <f>SUM(BB52/AZ52)*AZ18</f>
        <v>5960.1581937278479</v>
      </c>
      <c r="BC18" s="1689">
        <f>AZ18-BB18</f>
        <v>32.75059349993262</v>
      </c>
      <c r="BD18" s="1689">
        <f>BE18+BF18</f>
        <v>9297.1999999999989</v>
      </c>
      <c r="BE18" s="1689">
        <v>9234.49</v>
      </c>
      <c r="BF18" s="1689">
        <v>62.71</v>
      </c>
      <c r="BG18" s="1689">
        <f>BH18+BI18</f>
        <v>10318.94</v>
      </c>
      <c r="BH18" s="1689">
        <v>10256.91</v>
      </c>
      <c r="BI18" s="1689">
        <v>62.03</v>
      </c>
      <c r="BJ18" s="1689">
        <f>BK18+BL18</f>
        <v>10053.02</v>
      </c>
      <c r="BK18" s="1689">
        <v>9994.4500000000007</v>
      </c>
      <c r="BL18" s="1689">
        <v>58.57</v>
      </c>
      <c r="BM18" s="1689">
        <f>BN18+BO18</f>
        <v>7212.7397251141701</v>
      </c>
      <c r="BN18" s="1689">
        <f>'ЭЭ стоки'!S36</f>
        <v>7170.5460447304722</v>
      </c>
      <c r="BO18" s="1689">
        <f>'ЭЭ стоки'!S37</f>
        <v>42.193680383698222</v>
      </c>
      <c r="BP18" s="2731" t="str">
        <f>BP9</f>
        <v xml:space="preserve">Приложение </v>
      </c>
      <c r="BQ18" s="5">
        <f>объемы!AJ57</f>
        <v>3272.75</v>
      </c>
      <c r="BR18" s="5">
        <v>23</v>
      </c>
    </row>
    <row r="19" spans="1:72" ht="21" customHeight="1" x14ac:dyDescent="0.2">
      <c r="A19" s="1674" t="s">
        <v>8</v>
      </c>
      <c r="B19" s="1806">
        <v>559</v>
      </c>
      <c r="C19" s="1919">
        <v>481.5</v>
      </c>
      <c r="D19" s="1917">
        <f t="shared" si="0"/>
        <v>86.135957066189633</v>
      </c>
      <c r="E19" s="1919">
        <v>479.1</v>
      </c>
      <c r="F19" s="1917">
        <f t="shared" si="8"/>
        <v>99.501557632398757</v>
      </c>
      <c r="G19" s="1919">
        <v>467.5</v>
      </c>
      <c r="H19" s="1917">
        <f t="shared" si="2"/>
        <v>97.578793571279476</v>
      </c>
      <c r="I19" s="1729">
        <v>537.5</v>
      </c>
      <c r="J19" s="1729">
        <v>238.7</v>
      </c>
      <c r="K19" s="1729">
        <v>240.2</v>
      </c>
      <c r="L19" s="1729">
        <v>320.7</v>
      </c>
      <c r="M19" s="1735">
        <f t="shared" si="9"/>
        <v>68.598930481283418</v>
      </c>
      <c r="N19" s="1729">
        <v>591.25</v>
      </c>
      <c r="O19" s="1735">
        <f t="shared" si="10"/>
        <v>110.00000000000001</v>
      </c>
      <c r="P19" s="1729">
        <f>ХР!AK22</f>
        <v>544.14002998399985</v>
      </c>
      <c r="Q19" s="1735">
        <f t="shared" si="11"/>
        <v>101.23535441562788</v>
      </c>
      <c r="R19" s="1735">
        <f t="shared" si="12"/>
        <v>169.67260055628307</v>
      </c>
      <c r="S19" s="1729">
        <f>P19/P52*S52</f>
        <v>540.34811339874545</v>
      </c>
      <c r="T19" s="1729">
        <f t="shared" ref="T19:T24" si="45">P19-S19</f>
        <v>3.7919165852543983</v>
      </c>
      <c r="U19" s="1729">
        <v>221.6</v>
      </c>
      <c r="V19" s="1729"/>
      <c r="W19" s="1729">
        <v>598.5</v>
      </c>
      <c r="X19" s="1729"/>
      <c r="Y19" s="1729">
        <f>ХР!O45</f>
        <v>489.28469176470583</v>
      </c>
      <c r="Z19" s="1729">
        <f>($Z$52/$Y$52)*Y19</f>
        <v>485.55447384072301</v>
      </c>
      <c r="AA19" s="1729">
        <f>Y19-Z19</f>
        <v>3.7302179239828206</v>
      </c>
      <c r="AB19" s="1729">
        <f>SUM(ХР!AF45)</f>
        <v>368.69950000000006</v>
      </c>
      <c r="AC19" s="1729">
        <f>SUM(AC52/AB52)*AB19</f>
        <v>365.49636873597615</v>
      </c>
      <c r="AD19" s="1729">
        <f>AB19-AC19</f>
        <v>3.2031312640239094</v>
      </c>
      <c r="AE19" s="1729">
        <v>473.71</v>
      </c>
      <c r="AF19" s="1729">
        <f t="shared" si="13"/>
        <v>0.96816844665928026</v>
      </c>
      <c r="AG19" s="1729">
        <v>469.69</v>
      </c>
      <c r="AH19" s="1729">
        <v>4.01</v>
      </c>
      <c r="AI19" s="1729">
        <f>ХР!AP45</f>
        <v>406.01364163361512</v>
      </c>
      <c r="AJ19" s="1729">
        <f t="shared" si="14"/>
        <v>0.82981063676699851</v>
      </c>
      <c r="AK19" s="1729">
        <f>AI19-AL19</f>
        <v>401.99992714740961</v>
      </c>
      <c r="AL19" s="1729">
        <f>AA19*1.076</f>
        <v>4.0137144862055152</v>
      </c>
      <c r="AM19" s="1740" t="e">
        <f>#REF!*Z19/Y19</f>
        <v>#REF!</v>
      </c>
      <c r="AN19" s="1740" t="e">
        <f>#REF!-AM19</f>
        <v>#REF!</v>
      </c>
      <c r="AO19" s="1740" t="e">
        <f t="shared" si="15"/>
        <v>#REF!</v>
      </c>
      <c r="AP19" s="1729">
        <f>SUM(ХР!AT45)</f>
        <v>0</v>
      </c>
      <c r="AQ19" s="1729">
        <f>SUM(AQ52/AP52)*AP19</f>
        <v>0</v>
      </c>
      <c r="AR19" s="1729">
        <f>AP19-AQ19</f>
        <v>0</v>
      </c>
      <c r="AS19" s="1729">
        <f>SUM(ХР!AX45)</f>
        <v>0</v>
      </c>
      <c r="AT19" s="1729">
        <f>SUM(AT52/AS52)*AS19</f>
        <v>0</v>
      </c>
      <c r="AU19" s="1729">
        <f>AS19-AT19</f>
        <v>0</v>
      </c>
      <c r="AV19" s="1729">
        <v>347.67</v>
      </c>
      <c r="AW19" s="1735">
        <f t="shared" ref="AW19" si="46">SUM(AV19/AI19)</f>
        <v>0.8563012774672627</v>
      </c>
      <c r="AX19" s="1729">
        <f>SUM(AX52/AV52)*AV19</f>
        <v>344.86701698819468</v>
      </c>
      <c r="AY19" s="1729">
        <f>AV19-AX19</f>
        <v>2.8029830118053383</v>
      </c>
      <c r="AZ19" s="1689">
        <f>SUM(ХР!BH45)</f>
        <v>229.75931518119856</v>
      </c>
      <c r="BA19" s="2648">
        <f t="shared" si="20"/>
        <v>0.56589062933144574</v>
      </c>
      <c r="BB19" s="1689">
        <f>AZ19-BC19</f>
        <v>176.75931518119856</v>
      </c>
      <c r="BC19" s="1689">
        <v>53</v>
      </c>
      <c r="BD19" s="1689">
        <f t="shared" ref="BD19:BD23" si="47">BE19+BF19</f>
        <v>652.05999999999995</v>
      </c>
      <c r="BE19" s="1689">
        <v>647.66</v>
      </c>
      <c r="BF19" s="1689">
        <v>4.4000000000000004</v>
      </c>
      <c r="BG19" s="1689">
        <f t="shared" ref="BG19:BG23" si="48">BH19+BI19</f>
        <v>806.69</v>
      </c>
      <c r="BH19" s="1689">
        <v>801.84</v>
      </c>
      <c r="BI19" s="1689">
        <v>4.8499999999999996</v>
      </c>
      <c r="BJ19" s="1689">
        <f t="shared" ref="BJ19:BJ23" si="49">BK19+BL19</f>
        <v>876.38</v>
      </c>
      <c r="BK19" s="1689">
        <v>871.27</v>
      </c>
      <c r="BL19" s="1689">
        <v>5.1100000000000003</v>
      </c>
      <c r="BM19" s="1689">
        <f t="shared" ref="BM19:BM21" si="50">BN19+BO19</f>
        <v>1110.5582713405854</v>
      </c>
      <c r="BN19" s="1689">
        <f>'хим реагенты'!G62</f>
        <v>1110.5582713405854</v>
      </c>
      <c r="BO19" s="1689">
        <v>0</v>
      </c>
      <c r="BP19" s="2729" t="str">
        <f>вода!BT19</f>
        <v>Приложение</v>
      </c>
      <c r="BQ19" s="5">
        <f>BQ18/(BQ18+BR18)</f>
        <v>0.99302131533034965</v>
      </c>
    </row>
    <row r="20" spans="1:72" ht="21" customHeight="1" x14ac:dyDescent="0.2">
      <c r="A20" s="1674" t="s">
        <v>2</v>
      </c>
      <c r="B20" s="1806">
        <v>1528</v>
      </c>
      <c r="C20" s="1919">
        <v>1086.5999999999999</v>
      </c>
      <c r="D20" s="1917">
        <f t="shared" si="0"/>
        <v>71.112565445026178</v>
      </c>
      <c r="E20" s="1919">
        <v>1110.8</v>
      </c>
      <c r="F20" s="1917">
        <f t="shared" si="8"/>
        <v>102.2271304988036</v>
      </c>
      <c r="G20" s="1919">
        <v>1206.3</v>
      </c>
      <c r="H20" s="1917">
        <f t="shared" si="2"/>
        <v>108.59740727403673</v>
      </c>
      <c r="I20" s="1729">
        <v>1250</v>
      </c>
      <c r="J20" s="1729">
        <v>602.20000000000005</v>
      </c>
      <c r="K20" s="1729">
        <v>752.7</v>
      </c>
      <c r="L20" s="1729">
        <v>994.7</v>
      </c>
      <c r="M20" s="1735">
        <f t="shared" si="9"/>
        <v>82.458758186189186</v>
      </c>
      <c r="N20" s="1729">
        <v>1346.6</v>
      </c>
      <c r="O20" s="1735">
        <f t="shared" si="10"/>
        <v>107.72800000000001</v>
      </c>
      <c r="P20" s="1729">
        <v>1281</v>
      </c>
      <c r="Q20" s="1735">
        <f t="shared" si="11"/>
        <v>102.47999999999999</v>
      </c>
      <c r="R20" s="1735">
        <f t="shared" si="12"/>
        <v>128.78254750175932</v>
      </c>
      <c r="S20" s="1729">
        <f>P20/P52*S52</f>
        <v>1272.0731707317073</v>
      </c>
      <c r="T20" s="1729">
        <f t="shared" si="45"/>
        <v>8.9268292682927495</v>
      </c>
      <c r="U20" s="1729">
        <v>720.7</v>
      </c>
      <c r="V20" s="1729"/>
      <c r="W20" s="1729">
        <v>1281</v>
      </c>
      <c r="X20" s="1729"/>
      <c r="Y20" s="1729">
        <f>Аморт!G29</f>
        <v>960.93</v>
      </c>
      <c r="Z20" s="1729">
        <f>($Z$52/$Y$52)*Y20</f>
        <v>953.60404361913572</v>
      </c>
      <c r="AA20" s="1729">
        <f>Y20-Z20</f>
        <v>7.325956380864227</v>
      </c>
      <c r="AB20" s="1729">
        <f>SUM(Аморт!L29)</f>
        <v>833.9</v>
      </c>
      <c r="AC20" s="1729">
        <f>SUM(AC52/AB52)*AB20</f>
        <v>826.65537080720333</v>
      </c>
      <c r="AD20" s="1729">
        <f>AB20-AC20</f>
        <v>7.2446291927966513</v>
      </c>
      <c r="AE20" s="1729">
        <v>960.9</v>
      </c>
      <c r="AF20" s="1729">
        <f t="shared" si="13"/>
        <v>0.99996878024413849</v>
      </c>
      <c r="AG20" s="1729">
        <v>960.9</v>
      </c>
      <c r="AH20" s="1729">
        <v>0</v>
      </c>
      <c r="AI20" s="1729">
        <f>Аморт!O29</f>
        <v>960.9</v>
      </c>
      <c r="AJ20" s="1729">
        <f t="shared" si="14"/>
        <v>0.99996878024413849</v>
      </c>
      <c r="AK20" s="1729">
        <f>AI20</f>
        <v>960.9</v>
      </c>
      <c r="AL20" s="1729"/>
      <c r="AM20" s="1740" t="e">
        <f>#REF!*Z20/Y20</f>
        <v>#REF!</v>
      </c>
      <c r="AN20" s="1740" t="e">
        <f>#REF!-AM20</f>
        <v>#REF!</v>
      </c>
      <c r="AO20" s="1740" t="e">
        <f t="shared" si="15"/>
        <v>#REF!</v>
      </c>
      <c r="AP20" s="1729">
        <f>SUM(Аморт!Q29)</f>
        <v>407.8</v>
      </c>
      <c r="AQ20" s="1729">
        <f>SUM(AQ52/AP52)*AP20</f>
        <v>405.4397129415708</v>
      </c>
      <c r="AR20" s="1729">
        <f>AP20-AQ20</f>
        <v>2.3602870584292077</v>
      </c>
      <c r="AS20" s="1729">
        <f>SUM(Аморт!R29)</f>
        <v>588.73</v>
      </c>
      <c r="AT20" s="1729">
        <f>SUM(AT52/AS52)*AS20</f>
        <v>584.44192467172388</v>
      </c>
      <c r="AU20" s="1729">
        <f>AS20-AT20</f>
        <v>4.2880753282761361</v>
      </c>
      <c r="AV20" s="1729">
        <f>SUM(Аморт!T29)</f>
        <v>960.9</v>
      </c>
      <c r="AW20" s="1735">
        <f t="shared" si="25"/>
        <v>1</v>
      </c>
      <c r="AX20" s="1729">
        <f>SUM(AX52/AV52)*AV20</f>
        <v>953.15303771955087</v>
      </c>
      <c r="AY20" s="1729">
        <f>AV20-AX20</f>
        <v>7.7469622804491109</v>
      </c>
      <c r="AZ20" s="1689">
        <f>SUM(Аморт!U29)</f>
        <v>960.9</v>
      </c>
      <c r="BA20" s="2648">
        <f t="shared" si="20"/>
        <v>1</v>
      </c>
      <c r="BB20" s="1689">
        <f>SUM(BB52/AZ52)*AZ20</f>
        <v>955.64878620526395</v>
      </c>
      <c r="BC20" s="1689">
        <f>AZ20-BB20</f>
        <v>5.2512137947360316</v>
      </c>
      <c r="BD20" s="1689">
        <f t="shared" si="47"/>
        <v>588.47</v>
      </c>
      <c r="BE20" s="1689">
        <v>584.5</v>
      </c>
      <c r="BF20" s="1689">
        <v>3.97</v>
      </c>
      <c r="BG20" s="1689">
        <f t="shared" si="48"/>
        <v>513.41</v>
      </c>
      <c r="BH20" s="1689">
        <v>510.32</v>
      </c>
      <c r="BI20" s="1689">
        <v>3.09</v>
      </c>
      <c r="BJ20" s="1689">
        <f t="shared" si="49"/>
        <v>513.41</v>
      </c>
      <c r="BK20" s="1689">
        <v>510.42</v>
      </c>
      <c r="BL20" s="1689">
        <v>2.99</v>
      </c>
      <c r="BM20" s="1689">
        <f>Аморт!AL29</f>
        <v>513.41</v>
      </c>
      <c r="BN20" s="1689">
        <f>BM20/BM52*BN52</f>
        <v>510.40661179088897</v>
      </c>
      <c r="BO20" s="1689">
        <f>BM20/BM52*BO52</f>
        <v>3.0033882091110118</v>
      </c>
      <c r="BP20" s="2731" t="str">
        <f>BP10</f>
        <v>Приложение</v>
      </c>
    </row>
    <row r="21" spans="1:72" ht="21" customHeight="1" x14ac:dyDescent="0.2">
      <c r="A21" s="1674" t="s">
        <v>69</v>
      </c>
      <c r="B21" s="1806">
        <v>56.9</v>
      </c>
      <c r="C21" s="1806">
        <v>110.1</v>
      </c>
      <c r="D21" s="1917">
        <f t="shared" si="0"/>
        <v>193.49736379613356</v>
      </c>
      <c r="E21" s="1806">
        <v>25.8</v>
      </c>
      <c r="F21" s="1917">
        <f t="shared" si="8"/>
        <v>23.43324250681199</v>
      </c>
      <c r="G21" s="1919"/>
      <c r="H21" s="1917">
        <f t="shared" si="2"/>
        <v>0</v>
      </c>
      <c r="I21" s="1729">
        <v>0</v>
      </c>
      <c r="J21" s="1729">
        <v>31</v>
      </c>
      <c r="K21" s="1729">
        <v>42.2</v>
      </c>
      <c r="L21" s="1729">
        <v>51.9</v>
      </c>
      <c r="M21" s="1735"/>
      <c r="N21" s="1729"/>
      <c r="O21" s="1735"/>
      <c r="P21" s="1729"/>
      <c r="Q21" s="1735"/>
      <c r="R21" s="1735"/>
      <c r="S21" s="1729"/>
      <c r="T21" s="1729">
        <f t="shared" si="45"/>
        <v>0</v>
      </c>
      <c r="U21" s="1729"/>
      <c r="V21" s="1729"/>
      <c r="W21" s="1729">
        <v>55.65</v>
      </c>
      <c r="X21" s="1729"/>
      <c r="Y21" s="1729">
        <v>0</v>
      </c>
      <c r="Z21" s="1729">
        <f>($Z$52/$Y$52)*Y21</f>
        <v>0</v>
      </c>
      <c r="AA21" s="1729">
        <f>Y21-Z21</f>
        <v>0</v>
      </c>
      <c r="AB21" s="1729">
        <v>0</v>
      </c>
      <c r="AC21" s="1729">
        <v>0</v>
      </c>
      <c r="AD21" s="1729">
        <v>0</v>
      </c>
      <c r="AE21" s="1729">
        <v>0</v>
      </c>
      <c r="AF21" s="1729"/>
      <c r="AG21" s="1729">
        <v>290</v>
      </c>
      <c r="AH21" s="1729">
        <v>0</v>
      </c>
      <c r="AI21" s="1729">
        <v>0</v>
      </c>
      <c r="AJ21" s="1729"/>
      <c r="AK21" s="1729">
        <v>0</v>
      </c>
      <c r="AL21" s="1729">
        <v>0</v>
      </c>
      <c r="AM21" s="1740" t="e">
        <f>#REF!</f>
        <v>#REF!</v>
      </c>
      <c r="AN21" s="1740" t="e">
        <f>#REF!-AM21</f>
        <v>#REF!</v>
      </c>
      <c r="AO21" s="1740" t="e">
        <f t="shared" si="15"/>
        <v>#REF!</v>
      </c>
      <c r="AP21" s="1729">
        <v>0</v>
      </c>
      <c r="AQ21" s="1729">
        <v>0</v>
      </c>
      <c r="AR21" s="1729">
        <v>0</v>
      </c>
      <c r="AS21" s="1729">
        <v>0</v>
      </c>
      <c r="AT21" s="1729">
        <v>0</v>
      </c>
      <c r="AU21" s="1729">
        <v>0</v>
      </c>
      <c r="AV21" s="1729">
        <v>0</v>
      </c>
      <c r="AW21" s="1735">
        <v>0</v>
      </c>
      <c r="AX21" s="1729">
        <v>0</v>
      </c>
      <c r="AY21" s="1729">
        <v>0</v>
      </c>
      <c r="AZ21" s="1689">
        <v>0</v>
      </c>
      <c r="BA21" s="2648">
        <v>0</v>
      </c>
      <c r="BB21" s="1689">
        <v>0</v>
      </c>
      <c r="BC21" s="1689">
        <v>0</v>
      </c>
      <c r="BD21" s="1689">
        <f t="shared" si="47"/>
        <v>0</v>
      </c>
      <c r="BE21" s="1689">
        <v>0</v>
      </c>
      <c r="BF21" s="1689">
        <v>0</v>
      </c>
      <c r="BG21" s="1689">
        <f t="shared" si="48"/>
        <v>0</v>
      </c>
      <c r="BH21" s="1689">
        <v>0</v>
      </c>
      <c r="BI21" s="1689">
        <v>0</v>
      </c>
      <c r="BJ21" s="1689">
        <f t="shared" si="49"/>
        <v>0</v>
      </c>
      <c r="BK21" s="1689">
        <v>0</v>
      </c>
      <c r="BL21" s="1689">
        <v>0</v>
      </c>
      <c r="BM21" s="1689">
        <f t="shared" si="50"/>
        <v>0</v>
      </c>
      <c r="BN21" s="1689">
        <v>0</v>
      </c>
      <c r="BO21" s="1689">
        <v>0</v>
      </c>
      <c r="BP21" s="2731" t="s">
        <v>247</v>
      </c>
    </row>
    <row r="22" spans="1:72" s="2996" customFormat="1" ht="30" customHeight="1" x14ac:dyDescent="0.2">
      <c r="A22" s="2990" t="s">
        <v>3</v>
      </c>
      <c r="B22" s="2991">
        <v>1425.1</v>
      </c>
      <c r="C22" s="2992">
        <v>504.9</v>
      </c>
      <c r="D22" s="2993">
        <f t="shared" si="0"/>
        <v>35.429092695249459</v>
      </c>
      <c r="E22" s="2992">
        <v>828</v>
      </c>
      <c r="F22" s="2993">
        <f t="shared" si="8"/>
        <v>163.99286987522282</v>
      </c>
      <c r="G22" s="2992">
        <v>514.29999999999995</v>
      </c>
      <c r="H22" s="2993">
        <f t="shared" si="2"/>
        <v>62.113526570048307</v>
      </c>
      <c r="I22" s="2983">
        <v>841.5</v>
      </c>
      <c r="J22" s="2983">
        <v>339.9</v>
      </c>
      <c r="K22" s="2983">
        <v>245.3</v>
      </c>
      <c r="L22" s="2983">
        <v>279.7</v>
      </c>
      <c r="M22" s="2994">
        <f t="shared" si="9"/>
        <v>54.384600427765896</v>
      </c>
      <c r="N22" s="2983">
        <v>925.65</v>
      </c>
      <c r="O22" s="2994">
        <f t="shared" si="10"/>
        <v>109.99999999999999</v>
      </c>
      <c r="P22" s="2983">
        <v>882.7</v>
      </c>
      <c r="Q22" s="2994">
        <f t="shared" si="11"/>
        <v>104.89601901366608</v>
      </c>
      <c r="R22" s="2994">
        <f t="shared" si="12"/>
        <v>315.58813013943512</v>
      </c>
      <c r="S22" s="2983">
        <f>P22/P52*S52</f>
        <v>876.54878048780495</v>
      </c>
      <c r="T22" s="2983">
        <f t="shared" si="45"/>
        <v>6.1512195121950981</v>
      </c>
      <c r="U22" s="2983">
        <v>102.4</v>
      </c>
      <c r="V22" s="2983"/>
      <c r="W22" s="2983">
        <v>906</v>
      </c>
      <c r="X22" s="2983"/>
      <c r="Y22" s="2983">
        <f>U22/3*4*1.048+1.3</f>
        <v>144.38693333333336</v>
      </c>
      <c r="Z22" s="2983">
        <f>Y22</f>
        <v>144.38693333333336</v>
      </c>
      <c r="AA22" s="2983">
        <v>0.3</v>
      </c>
      <c r="AB22" s="2983">
        <f>SUM(AC22:AD22)</f>
        <v>195.4</v>
      </c>
      <c r="AC22" s="2983">
        <v>195.4</v>
      </c>
      <c r="AD22" s="2983">
        <v>0</v>
      </c>
      <c r="AE22" s="2983">
        <v>290</v>
      </c>
      <c r="AF22" s="2983">
        <f t="shared" si="13"/>
        <v>2.0084919965056853</v>
      </c>
      <c r="AG22" s="2983">
        <v>290</v>
      </c>
      <c r="AH22" s="2983">
        <v>0</v>
      </c>
      <c r="AI22" s="2983">
        <v>0</v>
      </c>
      <c r="AJ22" s="2983"/>
      <c r="AK22" s="2983">
        <f>AI22-AL22</f>
        <v>0</v>
      </c>
      <c r="AL22" s="2983">
        <v>0</v>
      </c>
      <c r="AM22" s="2995" t="e">
        <f>#REF!*Z22/Y22</f>
        <v>#REF!</v>
      </c>
      <c r="AN22" s="2995" t="e">
        <f>#REF!-AM22</f>
        <v>#REF!</v>
      </c>
      <c r="AO22" s="2995" t="e">
        <f t="shared" si="15"/>
        <v>#REF!</v>
      </c>
      <c r="AP22" s="2983">
        <f>SUM(AQ22:AR22)</f>
        <v>0</v>
      </c>
      <c r="AQ22" s="2983">
        <v>0</v>
      </c>
      <c r="AR22" s="2983">
        <v>0</v>
      </c>
      <c r="AS22" s="2983">
        <f>SUM(AT22:AU22)</f>
        <v>0</v>
      </c>
      <c r="AT22" s="2983">
        <v>0</v>
      </c>
      <c r="AU22" s="2983">
        <v>0</v>
      </c>
      <c r="AV22" s="2983">
        <f>SUM(AX22:AY22)</f>
        <v>195.4</v>
      </c>
      <c r="AW22" s="2994"/>
      <c r="AX22" s="2983">
        <f>SUM(AC22)</f>
        <v>195.4</v>
      </c>
      <c r="AY22" s="2983">
        <v>0</v>
      </c>
      <c r="AZ22" s="2983">
        <f>SUM(BB22:BC22)</f>
        <v>0</v>
      </c>
      <c r="BA22" s="2984">
        <v>0</v>
      </c>
      <c r="BB22" s="2983">
        <v>0</v>
      </c>
      <c r="BC22" s="2983">
        <v>0</v>
      </c>
      <c r="BD22" s="2983">
        <f t="shared" si="47"/>
        <v>347.32</v>
      </c>
      <c r="BE22" s="2983">
        <v>347.32</v>
      </c>
      <c r="BF22" s="2983">
        <v>0</v>
      </c>
      <c r="BG22" s="2983">
        <f t="shared" si="48"/>
        <v>960.04</v>
      </c>
      <c r="BH22" s="2983">
        <v>960.04</v>
      </c>
      <c r="BI22" s="2983">
        <v>0</v>
      </c>
      <c r="BJ22" s="2983">
        <f t="shared" si="49"/>
        <v>934.15</v>
      </c>
      <c r="BK22" s="2983">
        <v>934.15</v>
      </c>
      <c r="BL22" s="2983">
        <v>0</v>
      </c>
      <c r="BM22" s="2983">
        <v>0</v>
      </c>
      <c r="BN22" s="2983">
        <f>BM22</f>
        <v>0</v>
      </c>
      <c r="BO22" s="2983">
        <v>0</v>
      </c>
      <c r="BP22" s="2989" t="str">
        <f>BP12</f>
        <v>Выполнять за счет амортизации</v>
      </c>
    </row>
    <row r="23" spans="1:72" ht="21" customHeight="1" x14ac:dyDescent="0.2">
      <c r="A23" s="1674" t="s">
        <v>4</v>
      </c>
      <c r="B23" s="1806">
        <v>10755.2</v>
      </c>
      <c r="C23" s="1919">
        <v>13034.8</v>
      </c>
      <c r="D23" s="1917">
        <f t="shared" si="0"/>
        <v>121.19532877119903</v>
      </c>
      <c r="E23" s="1919">
        <v>13879</v>
      </c>
      <c r="F23" s="1917">
        <f t="shared" si="8"/>
        <v>106.47650903734618</v>
      </c>
      <c r="G23" s="1919">
        <v>13019.43</v>
      </c>
      <c r="H23" s="1917">
        <f t="shared" si="2"/>
        <v>93.806686360688815</v>
      </c>
      <c r="I23" s="1729">
        <v>14405.8</v>
      </c>
      <c r="J23" s="1729">
        <v>6804.3</v>
      </c>
      <c r="K23" s="1729">
        <v>9271.6</v>
      </c>
      <c r="L23" s="1729">
        <v>13327.1</v>
      </c>
      <c r="M23" s="1735">
        <f t="shared" si="9"/>
        <v>102.36316029196362</v>
      </c>
      <c r="N23" s="1729">
        <v>16932.900000000001</v>
      </c>
      <c r="O23" s="1735">
        <f t="shared" si="10"/>
        <v>117.54223993113885</v>
      </c>
      <c r="P23" s="1729">
        <f>ЗП!AP16</f>
        <v>15428.825999999999</v>
      </c>
      <c r="Q23" s="1735">
        <f t="shared" si="11"/>
        <v>107.10148690110928</v>
      </c>
      <c r="R23" s="1735">
        <f t="shared" si="12"/>
        <v>115.77031762348898</v>
      </c>
      <c r="S23" s="1729">
        <f>P23/P52*S52</f>
        <v>15321.308048780487</v>
      </c>
      <c r="T23" s="1729">
        <f t="shared" si="45"/>
        <v>107.51795121951181</v>
      </c>
      <c r="U23" s="1729">
        <v>11392.9</v>
      </c>
      <c r="V23" s="1729"/>
      <c r="W23" s="1729">
        <v>17655.599999999999</v>
      </c>
      <c r="X23" s="1729"/>
      <c r="Y23" s="1729">
        <f>ЗП!U32</f>
        <v>15960.333312000001</v>
      </c>
      <c r="Z23" s="1729">
        <f>($Z$52/$Y$52)*Y23</f>
        <v>15838.654619829118</v>
      </c>
      <c r="AA23" s="1729">
        <f>Y23-Z23</f>
        <v>121.67869217088264</v>
      </c>
      <c r="AB23" s="1729">
        <v>14386.3</v>
      </c>
      <c r="AC23" s="1729">
        <f>SUM(AC52/AB52)*AB23</f>
        <v>14261.316897761924</v>
      </c>
      <c r="AD23" s="1729">
        <f>AB23-AC23</f>
        <v>124.98310223807493</v>
      </c>
      <c r="AE23" s="1729">
        <v>17655.599999999999</v>
      </c>
      <c r="AF23" s="1729">
        <f t="shared" si="13"/>
        <v>1.1062174990246216</v>
      </c>
      <c r="AG23" s="1729">
        <v>17525.77</v>
      </c>
      <c r="AH23" s="1729">
        <v>129.83000000000001</v>
      </c>
      <c r="AI23" s="1729">
        <f>ЗП!BB32</f>
        <v>17655.599999999999</v>
      </c>
      <c r="AJ23" s="1729">
        <f t="shared" si="14"/>
        <v>1.1062174990246216</v>
      </c>
      <c r="AK23" s="1729">
        <f>AI23-AL23</f>
        <v>17525.768835453666</v>
      </c>
      <c r="AL23" s="1729">
        <f>AA23*1.067</f>
        <v>129.83116454633176</v>
      </c>
      <c r="AM23" s="1740" t="e">
        <f>#REF!*Z23/Y23</f>
        <v>#REF!</v>
      </c>
      <c r="AN23" s="1740" t="e">
        <f>#REF!-AM23</f>
        <v>#REF!</v>
      </c>
      <c r="AO23" s="1740" t="e">
        <f t="shared" si="15"/>
        <v>#REF!</v>
      </c>
      <c r="AP23" s="1729">
        <f>SUM(ЗП!BG32)</f>
        <v>7216.8</v>
      </c>
      <c r="AQ23" s="1729">
        <f>SUM(AQ52/AP52)*AP23</f>
        <v>7175.0302117624524</v>
      </c>
      <c r="AR23" s="1729">
        <f>AP23-AQ23</f>
        <v>41.7697882375478</v>
      </c>
      <c r="AS23" s="1729">
        <f>SUM(ЗП!BK32)</f>
        <v>11302.5</v>
      </c>
      <c r="AT23" s="1729">
        <f>SUM(AT52/AS52)*AS23</f>
        <v>11220.177082197541</v>
      </c>
      <c r="AU23" s="1729">
        <f>AS23-AT23</f>
        <v>82.322917802459415</v>
      </c>
      <c r="AV23" s="1729">
        <v>19817.509999999998</v>
      </c>
      <c r="AW23" s="1735">
        <f t="shared" si="25"/>
        <v>1.1224489680328054</v>
      </c>
      <c r="AX23" s="1729">
        <f>SUM(AX52/AV52)*AV23</f>
        <v>19657.737388424994</v>
      </c>
      <c r="AY23" s="1729">
        <f>AV23-AX23</f>
        <v>159.7726115750047</v>
      </c>
      <c r="AZ23" s="1689">
        <f>SUM(ЗП!BS32)</f>
        <v>17552.1672</v>
      </c>
      <c r="BA23" s="2648">
        <f t="shared" si="20"/>
        <v>0.9941416434445729</v>
      </c>
      <c r="BB23" s="1689">
        <f>SUM(BB52/AZ52)*AZ23</f>
        <v>17456.24651883843</v>
      </c>
      <c r="BC23" s="1689">
        <f>AZ23-BB23</f>
        <v>95.920681161569519</v>
      </c>
      <c r="BD23" s="1689">
        <f t="shared" si="47"/>
        <v>16390.27</v>
      </c>
      <c r="BE23" s="1689">
        <v>16279.72</v>
      </c>
      <c r="BF23" s="1689">
        <v>110.55</v>
      </c>
      <c r="BG23" s="1689">
        <f t="shared" si="48"/>
        <v>15801.96</v>
      </c>
      <c r="BH23" s="1689">
        <v>15706.97</v>
      </c>
      <c r="BI23" s="1689">
        <v>94.99</v>
      </c>
      <c r="BJ23" s="1689">
        <f t="shared" si="49"/>
        <v>20711.75</v>
      </c>
      <c r="BK23" s="1689">
        <v>20591.07</v>
      </c>
      <c r="BL23" s="1689">
        <v>120.68</v>
      </c>
      <c r="BM23" s="1689">
        <f>ЗП!CO32</f>
        <v>20391.780024</v>
      </c>
      <c r="BN23" s="1689">
        <f>BM23/BM52*BN52</f>
        <v>20272.490505512113</v>
      </c>
      <c r="BO23" s="1689">
        <f>BM23/BM52*BO52</f>
        <v>119.28951848788896</v>
      </c>
      <c r="BP23" s="2731" t="str">
        <f>BP13</f>
        <v>Приложение</v>
      </c>
    </row>
    <row r="24" spans="1:72" ht="27.75" customHeight="1" x14ac:dyDescent="0.2">
      <c r="A24" s="1674" t="s">
        <v>117</v>
      </c>
      <c r="B24" s="1806">
        <v>2761</v>
      </c>
      <c r="C24" s="1919">
        <v>3376.4</v>
      </c>
      <c r="D24" s="1917">
        <f t="shared" si="0"/>
        <v>122.28902571532055</v>
      </c>
      <c r="E24" s="1919">
        <v>3574.3</v>
      </c>
      <c r="F24" s="1917">
        <f t="shared" si="8"/>
        <v>105.86127236109466</v>
      </c>
      <c r="G24" s="1919">
        <v>4238.7</v>
      </c>
      <c r="H24" s="1917">
        <f t="shared" si="2"/>
        <v>118.58825504294546</v>
      </c>
      <c r="I24" s="1729">
        <f>I23*30.2/100</f>
        <v>4350.5515999999998</v>
      </c>
      <c r="J24" s="1729">
        <v>2141.6</v>
      </c>
      <c r="K24" s="1729">
        <v>2782.9</v>
      </c>
      <c r="L24" s="1729">
        <v>4001.1</v>
      </c>
      <c r="M24" s="1735">
        <f t="shared" si="9"/>
        <v>94.394507750017695</v>
      </c>
      <c r="N24" s="1729">
        <v>5113.7</v>
      </c>
      <c r="O24" s="1735">
        <f t="shared" si="10"/>
        <v>117.54141704697861</v>
      </c>
      <c r="P24" s="1729">
        <f>P23*30.2/100</f>
        <v>4659.5054519999994</v>
      </c>
      <c r="Q24" s="1735">
        <f t="shared" si="11"/>
        <v>107.10148690110928</v>
      </c>
      <c r="R24" s="1735">
        <f t="shared" si="12"/>
        <v>116.45561100697309</v>
      </c>
      <c r="S24" s="1729">
        <f>P24/P52*S52</f>
        <v>4627.0350307317067</v>
      </c>
      <c r="T24" s="1729">
        <f t="shared" si="45"/>
        <v>32.470421268292739</v>
      </c>
      <c r="U24" s="1729">
        <v>3432</v>
      </c>
      <c r="V24" s="1729"/>
      <c r="W24" s="1729">
        <v>5331.99</v>
      </c>
      <c r="X24" s="1729"/>
      <c r="Y24" s="1729">
        <f>Y23*U25</f>
        <v>4807.8947350353292</v>
      </c>
      <c r="Z24" s="1729">
        <f>($Z$52/$Y$52)*Y24</f>
        <v>4771.2402158584327</v>
      </c>
      <c r="AA24" s="1729">
        <f>Y24-Z24</f>
        <v>36.654519176896429</v>
      </c>
      <c r="AB24" s="1729">
        <v>4362.1000000000004</v>
      </c>
      <c r="AC24" s="1729">
        <f>SUM(AC52/AB52)*AB24</f>
        <v>4324.2036131407867</v>
      </c>
      <c r="AD24" s="1729">
        <f>AB24-AC24</f>
        <v>37.896386859213635</v>
      </c>
      <c r="AE24" s="1729">
        <v>5331.99</v>
      </c>
      <c r="AF24" s="1729">
        <f t="shared" si="13"/>
        <v>1.1090072253757068</v>
      </c>
      <c r="AG24" s="1729">
        <v>5292.78</v>
      </c>
      <c r="AH24" s="1729">
        <v>39.21</v>
      </c>
      <c r="AI24" s="1729">
        <f>AI23*0.302</f>
        <v>5331.9911999999995</v>
      </c>
      <c r="AJ24" s="1729">
        <f t="shared" si="14"/>
        <v>1.1090074749651979</v>
      </c>
      <c r="AK24" s="1729">
        <f>AI24-AL24</f>
        <v>5292.7821883070073</v>
      </c>
      <c r="AL24" s="1729">
        <f>AL23*0.302</f>
        <v>39.209011692992192</v>
      </c>
      <c r="AM24" s="1740" t="e">
        <f>#REF!*Z24/Y24</f>
        <v>#REF!</v>
      </c>
      <c r="AN24" s="1740" t="e">
        <f>#REF!-AM24</f>
        <v>#REF!</v>
      </c>
      <c r="AO24" s="1740" t="e">
        <f t="shared" si="15"/>
        <v>#REF!</v>
      </c>
      <c r="AP24" s="1729">
        <v>0</v>
      </c>
      <c r="AQ24" s="1729">
        <f>SUM(AQ52/AP52)*AP24</f>
        <v>0</v>
      </c>
      <c r="AR24" s="1729">
        <f>AP24-AQ24</f>
        <v>0</v>
      </c>
      <c r="AS24" s="1729">
        <v>0</v>
      </c>
      <c r="AT24" s="1729">
        <f>SUM(AT52/AS52)*AS24</f>
        <v>0</v>
      </c>
      <c r="AU24" s="1729">
        <f>AS24-AT24</f>
        <v>0</v>
      </c>
      <c r="AV24" s="1730">
        <f t="shared" ref="AV24" si="51">SUM(AX24+AY24)</f>
        <v>5984.8866730612381</v>
      </c>
      <c r="AW24" s="1735">
        <f t="shared" si="25"/>
        <v>1.1224487154182172</v>
      </c>
      <c r="AX24" s="1729">
        <f>SUM(AX23*AE25)</f>
        <v>5936.6353552248684</v>
      </c>
      <c r="AY24" s="1729">
        <f>SUM(AY23*AE25)</f>
        <v>48.251317836369729</v>
      </c>
      <c r="AZ24" s="2777">
        <f t="shared" ref="AZ24" si="52">SUM(BB24+BC24)</f>
        <v>5287.4191672357347</v>
      </c>
      <c r="BA24" s="2648">
        <f t="shared" si="20"/>
        <v>0.99164064022381271</v>
      </c>
      <c r="BB24" s="1689">
        <f>BB23*BB25</f>
        <v>5258.5239976347984</v>
      </c>
      <c r="BC24" s="1689">
        <f>BC23*BC25</f>
        <v>28.895169600935841</v>
      </c>
      <c r="BD24" s="2777">
        <f>BE24+BF24</f>
        <v>4948.43</v>
      </c>
      <c r="BE24" s="1689">
        <v>4915.05</v>
      </c>
      <c r="BF24" s="1689">
        <v>33.380000000000003</v>
      </c>
      <c r="BG24" s="2777">
        <f>BH24+BI24</f>
        <v>4761.4799999999996</v>
      </c>
      <c r="BH24" s="1689">
        <v>4732.8599999999997</v>
      </c>
      <c r="BI24" s="1689">
        <v>28.62</v>
      </c>
      <c r="BJ24" s="2777">
        <f>BK24+BL24</f>
        <v>6238.38</v>
      </c>
      <c r="BK24" s="1689">
        <v>6202.03</v>
      </c>
      <c r="BL24" s="1689">
        <v>36.35</v>
      </c>
      <c r="BM24" s="2777">
        <f>BN24+BO24</f>
        <v>6144.4910250722141</v>
      </c>
      <c r="BN24" s="1689">
        <f>BN23*BG25</f>
        <v>6108.5497047319323</v>
      </c>
      <c r="BO24" s="1689">
        <f>BO23*BI25</f>
        <v>35.941320340281948</v>
      </c>
      <c r="BP24" s="2729" t="s">
        <v>1010</v>
      </c>
      <c r="BR24" s="5" t="s">
        <v>1547</v>
      </c>
      <c r="BS24" s="1860">
        <f>BH9+BH18</f>
        <v>11143.92</v>
      </c>
    </row>
    <row r="25" spans="1:72" s="1932" customFormat="1" ht="21" customHeight="1" x14ac:dyDescent="0.2">
      <c r="A25" s="1675" t="str">
        <f>A15</f>
        <v>то же в %</v>
      </c>
      <c r="B25" s="1920"/>
      <c r="C25" s="1917"/>
      <c r="D25" s="1917"/>
      <c r="E25" s="1734">
        <f>E24/E23</f>
        <v>0.25753296346999066</v>
      </c>
      <c r="F25" s="1734">
        <f t="shared" ref="F25:W25" si="53">F24/F23</f>
        <v>0.99422185530110008</v>
      </c>
      <c r="G25" s="1734">
        <f t="shared" si="53"/>
        <v>0.32556724833575662</v>
      </c>
      <c r="H25" s="1734"/>
      <c r="I25" s="1734">
        <f t="shared" si="53"/>
        <v>0.30199999999999999</v>
      </c>
      <c r="J25" s="1734">
        <f t="shared" si="53"/>
        <v>0.31474214834736858</v>
      </c>
      <c r="K25" s="1734">
        <f t="shared" si="53"/>
        <v>0.30015315587385133</v>
      </c>
      <c r="L25" s="1734">
        <f t="shared" si="53"/>
        <v>0.30022285418433114</v>
      </c>
      <c r="M25" s="1734">
        <f t="shared" si="53"/>
        <v>0.92215312111097902</v>
      </c>
      <c r="N25" s="1734">
        <f t="shared" si="53"/>
        <v>0.3019978857726674</v>
      </c>
      <c r="O25" s="1734">
        <f t="shared" si="53"/>
        <v>0.99999299924724316</v>
      </c>
      <c r="P25" s="1734">
        <f t="shared" si="53"/>
        <v>0.30199999999999999</v>
      </c>
      <c r="Q25" s="1734">
        <f t="shared" si="53"/>
        <v>1</v>
      </c>
      <c r="R25" s="1734">
        <f t="shared" si="53"/>
        <v>1.0059194221589063</v>
      </c>
      <c r="S25" s="1734">
        <f t="shared" si="53"/>
        <v>0.30199999999999999</v>
      </c>
      <c r="T25" s="1734">
        <f t="shared" si="53"/>
        <v>0.3020000000000016</v>
      </c>
      <c r="U25" s="1734">
        <f t="shared" si="53"/>
        <v>0.30124024611819644</v>
      </c>
      <c r="V25" s="1734"/>
      <c r="W25" s="1718">
        <f t="shared" si="53"/>
        <v>0.3019999320328961</v>
      </c>
      <c r="X25" s="1718"/>
      <c r="Y25" s="1718">
        <f t="shared" ref="Y25:AL25" si="54">Y24/Y23</f>
        <v>0.30124024611819644</v>
      </c>
      <c r="Z25" s="1718">
        <f t="shared" si="54"/>
        <v>0.30124024611819644</v>
      </c>
      <c r="AA25" s="1718">
        <f t="shared" si="54"/>
        <v>0.30124024611819217</v>
      </c>
      <c r="AB25" s="1718">
        <f t="shared" ref="AB25:AD25" si="55">AB24/AB23</f>
        <v>0.30321208371853781</v>
      </c>
      <c r="AC25" s="1718">
        <f t="shared" si="55"/>
        <v>0.30321208371853781</v>
      </c>
      <c r="AD25" s="1718">
        <f t="shared" si="55"/>
        <v>0.30321208371853692</v>
      </c>
      <c r="AE25" s="1718">
        <f t="shared" si="54"/>
        <v>0.3019999320328961</v>
      </c>
      <c r="AF25" s="1924"/>
      <c r="AG25" s="1718">
        <v>0</v>
      </c>
      <c r="AH25" s="1718">
        <v>0</v>
      </c>
      <c r="AI25" s="1718">
        <f t="shared" si="54"/>
        <v>0.30199999999999999</v>
      </c>
      <c r="AJ25" s="1924"/>
      <c r="AK25" s="1718">
        <f t="shared" si="54"/>
        <v>0.30199999999999999</v>
      </c>
      <c r="AL25" s="1718">
        <f t="shared" si="54"/>
        <v>0.30199999999999999</v>
      </c>
      <c r="AM25" s="1925"/>
      <c r="AN25" s="1925" t="e">
        <f>#REF!-AM25</f>
        <v>#REF!</v>
      </c>
      <c r="AO25" s="1925" t="e">
        <f t="shared" si="15"/>
        <v>#REF!</v>
      </c>
      <c r="AP25" s="1718">
        <f>AP24/AP23</f>
        <v>0</v>
      </c>
      <c r="AQ25" s="1718">
        <f t="shared" ref="AQ25" si="56">AQ24/AQ23</f>
        <v>0</v>
      </c>
      <c r="AR25" s="1718">
        <f t="shared" ref="AR25" si="57">AR24/AR23</f>
        <v>0</v>
      </c>
      <c r="AS25" s="1718">
        <f>AS24/AS23</f>
        <v>0</v>
      </c>
      <c r="AT25" s="1718">
        <f t="shared" ref="AT25" si="58">AT24/AT23</f>
        <v>0</v>
      </c>
      <c r="AU25" s="1718">
        <f t="shared" ref="AU25" si="59">AU24/AU23</f>
        <v>0</v>
      </c>
      <c r="AV25" s="1718">
        <f>SUM(AV24/AV23)</f>
        <v>0.3019999320328961</v>
      </c>
      <c r="AW25" s="1718">
        <f t="shared" si="25"/>
        <v>0.99999977494336456</v>
      </c>
      <c r="AX25" s="1718">
        <f>SUM(AX24/AX23)</f>
        <v>0.3019999320328961</v>
      </c>
      <c r="AY25" s="1718">
        <f>SUM(AY24/AY23)</f>
        <v>0.3019999320328961</v>
      </c>
      <c r="AZ25" s="2780">
        <f>Y25</f>
        <v>0.30124024611819644</v>
      </c>
      <c r="BA25" s="2780">
        <f t="shared" si="20"/>
        <v>0.99748425866952473</v>
      </c>
      <c r="BB25" s="2780">
        <f>Z25</f>
        <v>0.30124024611819644</v>
      </c>
      <c r="BC25" s="2780">
        <f>AA25</f>
        <v>0.30124024611819217</v>
      </c>
      <c r="BD25" s="1760">
        <f t="shared" ref="BD25:BO25" si="60">BD24/BD23</f>
        <v>0.30191265915692667</v>
      </c>
      <c r="BE25" s="1760">
        <f t="shared" si="60"/>
        <v>0.30191244075450929</v>
      </c>
      <c r="BF25" s="1760">
        <f t="shared" si="60"/>
        <v>0.30194482134780648</v>
      </c>
      <c r="BG25" s="1760">
        <f t="shared" si="60"/>
        <v>0.30132211447187562</v>
      </c>
      <c r="BH25" s="1760">
        <f t="shared" si="60"/>
        <v>0.30132227921744292</v>
      </c>
      <c r="BI25" s="1760">
        <f t="shared" si="60"/>
        <v>0.30129487314454156</v>
      </c>
      <c r="BJ25" s="1760">
        <f t="shared" si="60"/>
        <v>0.30120004345359519</v>
      </c>
      <c r="BK25" s="1760">
        <f t="shared" si="60"/>
        <v>0.30119998620761329</v>
      </c>
      <c r="BL25" s="1760">
        <f t="shared" si="60"/>
        <v>0.30120981107059991</v>
      </c>
      <c r="BM25" s="1760">
        <f t="shared" si="60"/>
        <v>0.30132195511330973</v>
      </c>
      <c r="BN25" s="1760">
        <f t="shared" si="60"/>
        <v>0.30132211447187562</v>
      </c>
      <c r="BO25" s="1760">
        <f t="shared" si="60"/>
        <v>0.30129487314454156</v>
      </c>
      <c r="BP25" s="2779"/>
      <c r="BR25" s="1932" t="s">
        <v>1548</v>
      </c>
      <c r="BS25" s="1934">
        <f>BH10+BH20+BH35+BH32</f>
        <v>5003.2</v>
      </c>
      <c r="BT25" s="1934">
        <f>BI20</f>
        <v>3.09</v>
      </c>
    </row>
    <row r="26" spans="1:72" ht="21" customHeight="1" x14ac:dyDescent="0.2">
      <c r="A26" s="1674" t="s">
        <v>6</v>
      </c>
      <c r="B26" s="1806">
        <v>5257.9</v>
      </c>
      <c r="C26" s="1919">
        <v>5861.9</v>
      </c>
      <c r="D26" s="1917">
        <f t="shared" si="0"/>
        <v>111.48747598851251</v>
      </c>
      <c r="E26" s="1919">
        <v>7223.5</v>
      </c>
      <c r="F26" s="1917">
        <f t="shared" si="8"/>
        <v>123.22796362953991</v>
      </c>
      <c r="G26" s="1919">
        <v>6350.1</v>
      </c>
      <c r="H26" s="1917">
        <f t="shared" si="2"/>
        <v>87.908908423894232</v>
      </c>
      <c r="I26" s="1729">
        <v>7143.8</v>
      </c>
      <c r="J26" s="1729">
        <v>3535.8</v>
      </c>
      <c r="K26" s="1729">
        <f>'цех стоки'!K48</f>
        <v>4844.7818798570233</v>
      </c>
      <c r="L26" s="1729">
        <v>7419.2</v>
      </c>
      <c r="M26" s="1735">
        <f t="shared" si="9"/>
        <v>116.83595533928599</v>
      </c>
      <c r="N26" s="1729">
        <v>8569.6</v>
      </c>
      <c r="O26" s="1735">
        <f t="shared" si="10"/>
        <v>119.95856546935804</v>
      </c>
      <c r="P26" s="1729">
        <f>'цех стоки'!P48</f>
        <v>7339.1</v>
      </c>
      <c r="Q26" s="1735">
        <f t="shared" si="11"/>
        <v>102.73383913323441</v>
      </c>
      <c r="R26" s="1735">
        <f t="shared" si="12"/>
        <v>98.92036877291352</v>
      </c>
      <c r="S26" s="1729">
        <v>7149.16</v>
      </c>
      <c r="T26" s="1729">
        <v>48.44</v>
      </c>
      <c r="U26" s="1729">
        <v>5813.4</v>
      </c>
      <c r="V26" s="1729"/>
      <c r="W26" s="1729">
        <v>9326.93</v>
      </c>
      <c r="X26" s="1729"/>
      <c r="Y26" s="1729">
        <f>'цех стоки'!X48</f>
        <v>7684.2126026799478</v>
      </c>
      <c r="Z26" s="1729">
        <f>($Z$52/$Y$52)*Y26</f>
        <v>7625.6295567260067</v>
      </c>
      <c r="AA26" s="1729">
        <f>Y26-Z26</f>
        <v>58.583045953941109</v>
      </c>
      <c r="AB26" s="1729">
        <f>'цех стоки'!AA48</f>
        <v>5917.5</v>
      </c>
      <c r="AC26" s="1729">
        <f>SUM(AC52/AB52)*AB26</f>
        <v>5866.0908463264486</v>
      </c>
      <c r="AD26" s="1729">
        <f>AB26-AC26</f>
        <v>51.409153673551373</v>
      </c>
      <c r="AE26" s="1729">
        <v>7083.35</v>
      </c>
      <c r="AF26" s="1729">
        <f t="shared" si="13"/>
        <v>0.92180557283508913</v>
      </c>
      <c r="AG26" s="1729">
        <v>7020.31</v>
      </c>
      <c r="AH26" s="1729">
        <v>63.04</v>
      </c>
      <c r="AI26" s="1729">
        <f>'цех стоки'!AC48</f>
        <v>7258.9036668341378</v>
      </c>
      <c r="AJ26" s="1729">
        <f t="shared" si="14"/>
        <v>0.94465159179777514</v>
      </c>
      <c r="AK26" s="1729">
        <f>SUM('цех стоки'!X74)</f>
        <v>7258.9036668341378</v>
      </c>
      <c r="AL26" s="1729">
        <f>SUM('цех стоки'!Y74)</f>
        <v>0</v>
      </c>
      <c r="AM26" s="1740" t="e">
        <f>#REF!*Z26/Y26</f>
        <v>#REF!</v>
      </c>
      <c r="AN26" s="1740" t="e">
        <f>#REF!-AM26</f>
        <v>#REF!</v>
      </c>
      <c r="AO26" s="1740" t="e">
        <f t="shared" si="15"/>
        <v>#REF!</v>
      </c>
      <c r="AP26" s="1729">
        <f>SUM('цех стоки'!AE48)</f>
        <v>3273.44</v>
      </c>
      <c r="AQ26" s="1729">
        <f>SUM(AQ52/AP52)*AP26</f>
        <v>3254.4938056190667</v>
      </c>
      <c r="AR26" s="1729">
        <f>AP26-AQ26</f>
        <v>18.946194380933321</v>
      </c>
      <c r="AS26" s="1729">
        <f>SUM('цех стоки'!AF48)</f>
        <v>4615.83</v>
      </c>
      <c r="AT26" s="1729">
        <f>SUM(AT52/AS52)*AS26</f>
        <v>4582.2101288493586</v>
      </c>
      <c r="AU26" s="1729">
        <f>AS26-AT26</f>
        <v>33.619871150641302</v>
      </c>
      <c r="AV26" s="1729">
        <v>9016.44</v>
      </c>
      <c r="AW26" s="1735">
        <f t="shared" ref="AW26" si="61">SUM(AV26/AI26)</f>
        <v>1.2421214571555799</v>
      </c>
      <c r="AX26" s="1729">
        <f>SUM(AX52/AV52)*AV26</f>
        <v>8943.7477109127558</v>
      </c>
      <c r="AY26" s="1729">
        <f>AV26-AX26</f>
        <v>72.692289087244717</v>
      </c>
      <c r="AZ26" s="1689">
        <f>SUM('цех стоки'!AH48)</f>
        <v>6899.5913342835493</v>
      </c>
      <c r="BA26" s="2648">
        <f t="shared" si="20"/>
        <v>0.95050046824670187</v>
      </c>
      <c r="BB26" s="1689">
        <f>SUM(BB52/AZ52)*AZ26</f>
        <v>6861.8858194613713</v>
      </c>
      <c r="BC26" s="1689">
        <f>AZ26-BB26</f>
        <v>37.705514822177975</v>
      </c>
      <c r="BD26" s="2777">
        <f>BE26+BF26</f>
        <v>8053.57</v>
      </c>
      <c r="BE26" s="1689">
        <v>7999.25</v>
      </c>
      <c r="BF26" s="1689">
        <v>54.32</v>
      </c>
      <c r="BG26" s="2777">
        <f>BH26+BI26</f>
        <v>7224.93</v>
      </c>
      <c r="BH26" s="1689">
        <v>7181.5</v>
      </c>
      <c r="BI26" s="1689">
        <v>43.43</v>
      </c>
      <c r="BJ26" s="2777">
        <f>BK26+BL26</f>
        <v>13146.03</v>
      </c>
      <c r="BK26" s="1689">
        <v>13069.43</v>
      </c>
      <c r="BL26" s="1689">
        <v>76.599999999999994</v>
      </c>
      <c r="BM26" s="2777">
        <f>'цех стоки'!AL48</f>
        <v>9655.9080002754163</v>
      </c>
      <c r="BN26" s="1689">
        <f>BM26/BM52*BN52</f>
        <v>9599.4220723887611</v>
      </c>
      <c r="BO26" s="1689">
        <f>BM26/BM52*BO52</f>
        <v>56.485927886655645</v>
      </c>
      <c r="BP26" s="2731" t="str">
        <f>BP16</f>
        <v>Приложение</v>
      </c>
    </row>
    <row r="27" spans="1:72" ht="20.25" customHeight="1" x14ac:dyDescent="0.2">
      <c r="A27" s="1673" t="s">
        <v>540</v>
      </c>
      <c r="B27" s="1914">
        <f>SUM(B28:B33)</f>
        <v>2395.8000000000002</v>
      </c>
      <c r="C27" s="1915">
        <f>SUM(C28:C33)</f>
        <v>2601</v>
      </c>
      <c r="D27" s="1916">
        <f t="shared" si="0"/>
        <v>108.56498873027797</v>
      </c>
      <c r="E27" s="1740">
        <f>SUM(E28:E33)-E31</f>
        <v>2392.9000000000005</v>
      </c>
      <c r="F27" s="1740">
        <f>SUM(F28:F33)</f>
        <v>339.98834519956017</v>
      </c>
      <c r="G27" s="1740">
        <f>SUM(G28:G33)-G31</f>
        <v>3044</v>
      </c>
      <c r="H27" s="1917"/>
      <c r="I27" s="1740">
        <f>SUM(I28:I33)-I31</f>
        <v>3337.4</v>
      </c>
      <c r="J27" s="1740">
        <f>SUM(J28:J33)</f>
        <v>1546.7365654205605</v>
      </c>
      <c r="K27" s="1740">
        <f>SUM(K28:K33)-K31</f>
        <v>2079.5081315642897</v>
      </c>
      <c r="L27" s="1740">
        <f>SUM(L28:L33)-L31</f>
        <v>3384.9</v>
      </c>
      <c r="M27" s="1923">
        <f t="shared" si="9"/>
        <v>111.19908015768725</v>
      </c>
      <c r="N27" s="1740">
        <f>SUM(N28:N33)</f>
        <v>4176.4219929086685</v>
      </c>
      <c r="O27" s="1735">
        <f t="shared" si="10"/>
        <v>125.13998900067922</v>
      </c>
      <c r="P27" s="1740">
        <f>SUM(P28:P33)-P31</f>
        <v>3618.2853557039994</v>
      </c>
      <c r="Q27" s="1740">
        <f>SUM(Q28:Q33)</f>
        <v>535.52937492418869</v>
      </c>
      <c r="R27" s="1740">
        <f>SUM(R28:R33)</f>
        <v>498.49512913534039</v>
      </c>
      <c r="S27" s="1740">
        <f>SUM(S28:S33)-S31</f>
        <v>3539.4</v>
      </c>
      <c r="T27" s="1740">
        <f>SUM(T28:T33)</f>
        <v>0</v>
      </c>
      <c r="U27" s="1740">
        <f>SUM(U28:U33)-U31</f>
        <v>2712</v>
      </c>
      <c r="V27" s="1740">
        <f>SUM(V28:V33)-V31</f>
        <v>0</v>
      </c>
      <c r="W27" s="1740">
        <f>SUM(W28:W33)-W31</f>
        <v>4744.9500000000007</v>
      </c>
      <c r="X27" s="1740"/>
      <c r="Y27" s="1740">
        <f>SUM(Y28:Y33)-Y31</f>
        <v>3810.3137653314348</v>
      </c>
      <c r="Z27" s="1740">
        <f>SUM(Z28:Z33)-Z31</f>
        <v>3810.3137653314348</v>
      </c>
      <c r="AA27" s="1740">
        <f>SUM(AA28:AA33)</f>
        <v>0</v>
      </c>
      <c r="AB27" s="1740">
        <f>SUM(AB28:AB33)-AB31</f>
        <v>2449.9</v>
      </c>
      <c r="AC27" s="1740">
        <f>SUM(AC28:AC33)-AC31</f>
        <v>2444.1835279903339</v>
      </c>
      <c r="AD27" s="1740">
        <f>SUM(AD28:AD33)</f>
        <v>5.716472009665722</v>
      </c>
      <c r="AE27" s="1740">
        <v>3908.46</v>
      </c>
      <c r="AF27" s="1729">
        <f t="shared" si="13"/>
        <v>1.0257580453246553</v>
      </c>
      <c r="AG27" s="1740">
        <v>3908.46</v>
      </c>
      <c r="AH27" s="1740">
        <v>0</v>
      </c>
      <c r="AI27" s="1740">
        <f>SUM(AI28:AI33)</f>
        <v>4015.8612375136295</v>
      </c>
      <c r="AJ27" s="1729">
        <f t="shared" si="14"/>
        <v>1.0539450252240095</v>
      </c>
      <c r="AK27" s="1740">
        <f>SUM(AK28:AK33)-AK31</f>
        <v>4015.5592361464714</v>
      </c>
      <c r="AL27" s="1740">
        <f>SUM(AL28:AL33)</f>
        <v>0</v>
      </c>
      <c r="AM27" s="1740" t="e">
        <f>#REF!</f>
        <v>#REF!</v>
      </c>
      <c r="AN27" s="1740">
        <v>0</v>
      </c>
      <c r="AO27" s="1740" t="e">
        <f t="shared" si="15"/>
        <v>#REF!</v>
      </c>
      <c r="AP27" s="1740">
        <f>SUM(AP28:AP33)-AP31</f>
        <v>1054.58</v>
      </c>
      <c r="AQ27" s="1740">
        <f>SUM(AQ28:AQ33)-AQ31</f>
        <v>1052.5220704597962</v>
      </c>
      <c r="AR27" s="1740"/>
      <c r="AS27" s="1740">
        <f>SUM(AS28:AS33)-AS31</f>
        <v>1686.55</v>
      </c>
      <c r="AT27" s="1740">
        <f>SUM(AT28:AT33)-AT31</f>
        <v>1682.5473690555928</v>
      </c>
      <c r="AU27" s="1740"/>
      <c r="AV27" s="1740">
        <f>SUM(AV28:AV33)-AV31</f>
        <v>5342.0712213395909</v>
      </c>
      <c r="AW27" s="1735">
        <f t="shared" si="25"/>
        <v>1.3302429803692788</v>
      </c>
      <c r="AX27" s="1740">
        <f>SUM(AX28:AX33)-AX31</f>
        <v>5333.9881461884252</v>
      </c>
      <c r="AY27" s="1740">
        <f>SUM(AY28:AY33)</f>
        <v>8.0830751511660992</v>
      </c>
      <c r="AZ27" s="1828">
        <f>SUM(AZ28:AZ33)-AZ31</f>
        <v>3068.8808562007616</v>
      </c>
      <c r="BA27" s="2721">
        <f t="shared" si="20"/>
        <v>0.76418996441740128</v>
      </c>
      <c r="BB27" s="1828">
        <f>SUM(BB28:BB33)-BB31</f>
        <v>3064.6881686210413</v>
      </c>
      <c r="BC27" s="1828">
        <f>SUM(BC28:BC33)</f>
        <v>4.1926875797199727</v>
      </c>
      <c r="BD27" s="1828">
        <f>SUM(BD28:BD33)-BD31</f>
        <v>2886.7500000000005</v>
      </c>
      <c r="BE27" s="1828">
        <f t="shared" ref="BE27:BF27" si="62">SUM(BE28:BE33)-BE31</f>
        <v>2881.03</v>
      </c>
      <c r="BF27" s="1828">
        <f t="shared" si="62"/>
        <v>5.72</v>
      </c>
      <c r="BG27" s="1828">
        <f>SUM(BG28:BG33)-BG31</f>
        <v>2964.45</v>
      </c>
      <c r="BH27" s="1828">
        <f t="shared" ref="BH27" si="63">SUM(BH28:BH33)-BH31</f>
        <v>2958.8299999999995</v>
      </c>
      <c r="BI27" s="1828">
        <f t="shared" ref="BI27" si="64">SUM(BI28:BI33)-BI31</f>
        <v>5.62</v>
      </c>
      <c r="BJ27" s="1828">
        <f>SUM(BJ28:BJ33)-BJ31</f>
        <v>4714.82</v>
      </c>
      <c r="BK27" s="1828">
        <f t="shared" ref="BK27" si="65">SUM(BK28:BK33)-BK31</f>
        <v>4704.5899999999992</v>
      </c>
      <c r="BL27" s="1828">
        <f t="shared" ref="BL27" si="66">SUM(BL28:BL33)-BL31</f>
        <v>10.23</v>
      </c>
      <c r="BM27" s="1828">
        <f>SUM(BM28:BM33)-BM31</f>
        <v>4511.7311866989621</v>
      </c>
      <c r="BN27" s="1828">
        <f t="shared" ref="BN27" si="67">SUM(BN28:BN33)-BN31</f>
        <v>4511.7311866989621</v>
      </c>
      <c r="BO27" s="1828">
        <f t="shared" ref="BO27" si="68">SUM(BO28:BO33)-BO31</f>
        <v>0</v>
      </c>
      <c r="BP27" s="2731"/>
    </row>
    <row r="28" spans="1:72" s="2996" customFormat="1" ht="44.25" customHeight="1" x14ac:dyDescent="0.2">
      <c r="A28" s="2990" t="s">
        <v>3</v>
      </c>
      <c r="B28" s="2991">
        <v>136.30000000000001</v>
      </c>
      <c r="C28" s="2992">
        <v>303.60000000000002</v>
      </c>
      <c r="D28" s="2993">
        <f t="shared" si="0"/>
        <v>222.74394717534852</v>
      </c>
      <c r="E28" s="2992">
        <v>107.7</v>
      </c>
      <c r="F28" s="2993">
        <f t="shared" si="8"/>
        <v>35.474308300395258</v>
      </c>
      <c r="G28" s="2992">
        <v>238.5</v>
      </c>
      <c r="H28" s="2993">
        <f t="shared" si="2"/>
        <v>221.44846796657382</v>
      </c>
      <c r="I28" s="2983">
        <v>196.9</v>
      </c>
      <c r="J28" s="2983">
        <v>93.1</v>
      </c>
      <c r="K28" s="2983">
        <v>136.4</v>
      </c>
      <c r="L28" s="2983">
        <v>300.60000000000002</v>
      </c>
      <c r="M28" s="2994">
        <f t="shared" si="9"/>
        <v>126.03773584905662</v>
      </c>
      <c r="N28" s="2983">
        <v>216.7</v>
      </c>
      <c r="O28" s="2994">
        <f t="shared" si="10"/>
        <v>110.05586592178771</v>
      </c>
      <c r="P28" s="2983">
        <v>206.7</v>
      </c>
      <c r="Q28" s="2994">
        <f t="shared" si="11"/>
        <v>104.97714575926867</v>
      </c>
      <c r="R28" s="2994">
        <f t="shared" ref="R28:R42" si="69">P28/L28*100</f>
        <v>68.762475049900189</v>
      </c>
      <c r="S28" s="2983">
        <v>206.7</v>
      </c>
      <c r="T28" s="2983"/>
      <c r="U28" s="2983">
        <v>268.8</v>
      </c>
      <c r="V28" s="2983"/>
      <c r="W28" s="2983">
        <v>309</v>
      </c>
      <c r="X28" s="2983"/>
      <c r="Y28" s="2983">
        <f>P28*1.048</f>
        <v>216.6216</v>
      </c>
      <c r="Z28" s="2983">
        <f>Y28</f>
        <v>216.6216</v>
      </c>
      <c r="AA28" s="2983"/>
      <c r="AB28" s="2983">
        <f>SUM(AC28:AD28)</f>
        <v>259.89999999999998</v>
      </c>
      <c r="AC28" s="2983">
        <v>259.89999999999998</v>
      </c>
      <c r="AD28" s="2983">
        <v>0</v>
      </c>
      <c r="AE28" s="2983">
        <v>230</v>
      </c>
      <c r="AF28" s="2983">
        <f t="shared" si="13"/>
        <v>1.0617593074744163</v>
      </c>
      <c r="AG28" s="2983">
        <v>230</v>
      </c>
      <c r="AH28" s="2983">
        <v>0</v>
      </c>
      <c r="AI28" s="2983">
        <f>AK28+AL28</f>
        <v>361.53</v>
      </c>
      <c r="AJ28" s="2983">
        <f t="shared" si="14"/>
        <v>1.6689471410053289</v>
      </c>
      <c r="AK28" s="2983">
        <f>'Ремонт стоки 2015'!G19/1000</f>
        <v>361.53</v>
      </c>
      <c r="AL28" s="2983">
        <f>AA28*1.046</f>
        <v>0</v>
      </c>
      <c r="AM28" s="2983">
        <f>AK28*1.046</f>
        <v>378.16037999999998</v>
      </c>
      <c r="AN28" s="2983">
        <f>AL28*1.046</f>
        <v>0</v>
      </c>
      <c r="AO28" s="2983" t="e">
        <f>#REF!*1.046</f>
        <v>#REF!</v>
      </c>
      <c r="AP28" s="2983">
        <f>SUM(AQ28:AR28)</f>
        <v>0</v>
      </c>
      <c r="AQ28" s="2983">
        <v>0</v>
      </c>
      <c r="AR28" s="2983">
        <v>0</v>
      </c>
      <c r="AS28" s="2983">
        <f>SUM(AT28:AU28)</f>
        <v>0</v>
      </c>
      <c r="AT28" s="2983">
        <v>0</v>
      </c>
      <c r="AU28" s="2983">
        <v>0</v>
      </c>
      <c r="AV28" s="2983">
        <f>SUM(AX28:AY28)</f>
        <v>1081.7670000000001</v>
      </c>
      <c r="AW28" s="2994">
        <f t="shared" si="25"/>
        <v>2.9921915193759858</v>
      </c>
      <c r="AX28" s="2983">
        <f>SUM('Ремонт стоки 2016'!K88/1000)</f>
        <v>1081.7670000000001</v>
      </c>
      <c r="AY28" s="2983">
        <v>0</v>
      </c>
      <c r="AZ28" s="2983">
        <f>'  текРемстоки 2016'!I91/1000</f>
        <v>132.46199999999999</v>
      </c>
      <c r="BA28" s="2984">
        <f t="shared" si="20"/>
        <v>0.36639283047050036</v>
      </c>
      <c r="BB28" s="2983">
        <f>AZ28</f>
        <v>132.46199999999999</v>
      </c>
      <c r="BC28" s="2983">
        <v>0</v>
      </c>
      <c r="BD28" s="2983">
        <f>BE28+BF28</f>
        <v>122.56</v>
      </c>
      <c r="BE28" s="2983">
        <v>122.56</v>
      </c>
      <c r="BF28" s="2983">
        <v>0</v>
      </c>
      <c r="BG28" s="2983">
        <f>BH28+BI28</f>
        <v>300.22000000000003</v>
      </c>
      <c r="BH28" s="2983">
        <v>300.22000000000003</v>
      </c>
      <c r="BI28" s="2983">
        <v>0</v>
      </c>
      <c r="BJ28" s="2983">
        <f>BK28+BL28</f>
        <v>1108.3499999999999</v>
      </c>
      <c r="BK28" s="2983">
        <v>1108.3499999999999</v>
      </c>
      <c r="BL28" s="2983">
        <v>0</v>
      </c>
      <c r="BM28" s="2983">
        <f>'рем программа'!B22</f>
        <v>1027.0439899999999</v>
      </c>
      <c r="BN28" s="2983">
        <f>BM28</f>
        <v>1027.0439899999999</v>
      </c>
      <c r="BO28" s="2983">
        <v>0</v>
      </c>
      <c r="BP28" s="2989" t="s">
        <v>3548</v>
      </c>
    </row>
    <row r="29" spans="1:72" ht="21" customHeight="1" x14ac:dyDescent="0.2">
      <c r="A29" s="1674" t="s">
        <v>4</v>
      </c>
      <c r="B29" s="1806">
        <v>1216.9000000000001</v>
      </c>
      <c r="C29" s="1919">
        <v>1404.6</v>
      </c>
      <c r="D29" s="1917">
        <f t="shared" si="0"/>
        <v>115.4244391486564</v>
      </c>
      <c r="E29" s="1919">
        <v>1305.4000000000001</v>
      </c>
      <c r="F29" s="1917">
        <f t="shared" si="8"/>
        <v>92.937491100669249</v>
      </c>
      <c r="G29" s="1919">
        <v>1610.2</v>
      </c>
      <c r="H29" s="1917">
        <f t="shared" si="2"/>
        <v>123.34916500689444</v>
      </c>
      <c r="I29" s="1729">
        <v>1927.2</v>
      </c>
      <c r="J29" s="1729">
        <v>856</v>
      </c>
      <c r="K29" s="1729">
        <v>1159.5</v>
      </c>
      <c r="L29" s="1729">
        <v>1696.9</v>
      </c>
      <c r="M29" s="1735">
        <f t="shared" si="9"/>
        <v>105.38442429511863</v>
      </c>
      <c r="N29" s="1729">
        <v>2453.6999999999998</v>
      </c>
      <c r="O29" s="1735">
        <f t="shared" si="10"/>
        <v>127.31942714819426</v>
      </c>
      <c r="P29" s="1729">
        <f>ЗП!AP17</f>
        <v>2064.0440519999997</v>
      </c>
      <c r="Q29" s="1735">
        <f t="shared" si="11"/>
        <v>107.10066687422166</v>
      </c>
      <c r="R29" s="1735">
        <f t="shared" si="69"/>
        <v>121.6361631209853</v>
      </c>
      <c r="S29" s="1729">
        <v>2064</v>
      </c>
      <c r="T29" s="1729"/>
      <c r="U29" s="1729">
        <v>1288.8</v>
      </c>
      <c r="V29" s="1729"/>
      <c r="W29" s="1729">
        <v>2633.2</v>
      </c>
      <c r="X29" s="1729"/>
      <c r="Y29" s="1729">
        <f>ЗП!U33</f>
        <v>2179.6305189119998</v>
      </c>
      <c r="Z29" s="1729">
        <f>Y29</f>
        <v>2179.6305189119998</v>
      </c>
      <c r="AA29" s="1729"/>
      <c r="AB29" s="1729">
        <v>1158.3</v>
      </c>
      <c r="AC29" s="1729">
        <f>SUM(AB29)</f>
        <v>1158.3</v>
      </c>
      <c r="AD29" s="1729">
        <v>0</v>
      </c>
      <c r="AE29" s="1729">
        <v>2288.61</v>
      </c>
      <c r="AF29" s="1729">
        <f t="shared" si="13"/>
        <v>1.0499990618329198</v>
      </c>
      <c r="AG29" s="1729">
        <v>2288.61</v>
      </c>
      <c r="AH29" s="1729">
        <v>0</v>
      </c>
      <c r="AI29" s="1729">
        <f>ЗП!BB33</f>
        <v>2257.028571428571</v>
      </c>
      <c r="AJ29" s="1729">
        <f t="shared" si="14"/>
        <v>1.0355097122402221</v>
      </c>
      <c r="AK29" s="1729">
        <f>AI29</f>
        <v>2257.028571428571</v>
      </c>
      <c r="AL29" s="1729">
        <f>AA29*1.05</f>
        <v>0</v>
      </c>
      <c r="AM29" s="1740" t="e">
        <f>#REF!</f>
        <v>#REF!</v>
      </c>
      <c r="AN29" s="1740">
        <v>0</v>
      </c>
      <c r="AO29" s="1740" t="e">
        <f t="shared" si="15"/>
        <v>#REF!</v>
      </c>
      <c r="AP29" s="1729">
        <f>SUM(ЗП!BG33)</f>
        <v>686.3</v>
      </c>
      <c r="AQ29" s="1729">
        <f>SUM(AP29)</f>
        <v>686.3</v>
      </c>
      <c r="AR29" s="1729">
        <v>0</v>
      </c>
      <c r="AS29" s="1729">
        <f>SUM(ЗП!BK33)</f>
        <v>1117.9000000000001</v>
      </c>
      <c r="AT29" s="1729">
        <f>SUM(AS29)</f>
        <v>1117.9000000000001</v>
      </c>
      <c r="AU29" s="1729">
        <v>0</v>
      </c>
      <c r="AV29" s="1729">
        <v>2482.73</v>
      </c>
      <c r="AW29" s="1735">
        <f t="shared" si="25"/>
        <v>1.09999936705656</v>
      </c>
      <c r="AX29" s="1729">
        <f>SUM(AV29)</f>
        <v>2482.73</v>
      </c>
      <c r="AY29" s="1729">
        <v>0</v>
      </c>
      <c r="AZ29" s="1689">
        <f>SUM(ЗП!BS33)</f>
        <v>1648.136533333334</v>
      </c>
      <c r="BA29" s="2648">
        <f t="shared" si="20"/>
        <v>0.73022404509933037</v>
      </c>
      <c r="BB29" s="1689">
        <f>SUM(AZ29)</f>
        <v>1648.136533333334</v>
      </c>
      <c r="BC29" s="1689">
        <v>0</v>
      </c>
      <c r="BD29" s="1689">
        <f t="shared" ref="BD29:BD45" si="70">BE29+BF29</f>
        <v>1443.68</v>
      </c>
      <c r="BE29" s="1689">
        <v>1443.68</v>
      </c>
      <c r="BF29" s="1689">
        <v>0</v>
      </c>
      <c r="BG29" s="1689">
        <f t="shared" ref="BG29:BG30" si="71">BH29+BI29</f>
        <v>1275.97</v>
      </c>
      <c r="BH29" s="1689">
        <v>1275.97</v>
      </c>
      <c r="BI29" s="1689">
        <v>0</v>
      </c>
      <c r="BJ29" s="1689">
        <f t="shared" ref="BJ29:BJ30" si="72">BK29+BL29</f>
        <v>1369.43</v>
      </c>
      <c r="BK29" s="1689">
        <v>1369.43</v>
      </c>
      <c r="BL29" s="1689">
        <v>0</v>
      </c>
      <c r="BM29" s="1689">
        <f t="shared" ref="BM29:BM30" si="73">BN29+BO29</f>
        <v>1664.635104</v>
      </c>
      <c r="BN29" s="1689">
        <f>ЗП!CO33</f>
        <v>1664.635104</v>
      </c>
      <c r="BO29" s="1689">
        <v>0</v>
      </c>
      <c r="BP29" s="1788" t="str">
        <f>BP23</f>
        <v>Приложение</v>
      </c>
    </row>
    <row r="30" spans="1:72" ht="31.5" customHeight="1" x14ac:dyDescent="0.2">
      <c r="A30" s="1674" t="s">
        <v>117</v>
      </c>
      <c r="B30" s="1806">
        <v>293.3</v>
      </c>
      <c r="C30" s="1919">
        <v>366.3</v>
      </c>
      <c r="D30" s="1917">
        <f t="shared" si="0"/>
        <v>124.88919195363108</v>
      </c>
      <c r="E30" s="1919">
        <v>338</v>
      </c>
      <c r="F30" s="1917">
        <f t="shared" si="8"/>
        <v>92.274092274092268</v>
      </c>
      <c r="G30" s="1919">
        <v>535.70000000000005</v>
      </c>
      <c r="H30" s="1917">
        <f t="shared" si="2"/>
        <v>158.49112426035506</v>
      </c>
      <c r="I30" s="1729">
        <v>578.20000000000005</v>
      </c>
      <c r="J30" s="1729">
        <v>288.10000000000002</v>
      </c>
      <c r="K30" s="1729">
        <v>351.9</v>
      </c>
      <c r="L30" s="1729">
        <v>514</v>
      </c>
      <c r="M30" s="1735">
        <f t="shared" si="9"/>
        <v>95.949225312674997</v>
      </c>
      <c r="N30" s="1729">
        <v>741</v>
      </c>
      <c r="O30" s="1735">
        <f t="shared" si="10"/>
        <v>128.15634728467657</v>
      </c>
      <c r="P30" s="1729">
        <f>P29*30.2/100</f>
        <v>623.34130370399987</v>
      </c>
      <c r="Q30" s="1735">
        <f t="shared" si="11"/>
        <v>107.80721267796606</v>
      </c>
      <c r="R30" s="1735">
        <f t="shared" si="69"/>
        <v>121.2726271797665</v>
      </c>
      <c r="S30" s="1729">
        <v>623.29999999999995</v>
      </c>
      <c r="T30" s="1729"/>
      <c r="U30" s="1729">
        <v>389.6</v>
      </c>
      <c r="V30" s="1729"/>
      <c r="W30" s="1729">
        <v>795.23</v>
      </c>
      <c r="X30" s="1729"/>
      <c r="Y30" s="1729">
        <f>Y29*0.302</f>
        <v>658.24841671142394</v>
      </c>
      <c r="Z30" s="1729">
        <f>Y30</f>
        <v>658.24841671142394</v>
      </c>
      <c r="AA30" s="1729"/>
      <c r="AB30" s="1729">
        <v>348.5</v>
      </c>
      <c r="AC30" s="1729">
        <f>SUM(AB30)</f>
        <v>348.5</v>
      </c>
      <c r="AD30" s="1729">
        <v>0</v>
      </c>
      <c r="AE30" s="1729">
        <v>691.16</v>
      </c>
      <c r="AF30" s="1729">
        <f t="shared" si="13"/>
        <v>1.0499987276125944</v>
      </c>
      <c r="AG30" s="1729">
        <v>691.16</v>
      </c>
      <c r="AH30" s="1729">
        <v>0</v>
      </c>
      <c r="AI30" s="1729">
        <f>AI29*W31</f>
        <v>681.62571428571425</v>
      </c>
      <c r="AJ30" s="1729">
        <f t="shared" si="14"/>
        <v>1.0355144000058247</v>
      </c>
      <c r="AK30" s="1729">
        <f>AK29*W31</f>
        <v>681.62571428571425</v>
      </c>
      <c r="AL30" s="1729">
        <f>AA30*1.05</f>
        <v>0</v>
      </c>
      <c r="AM30" s="1740" t="e">
        <f>#REF!</f>
        <v>#REF!</v>
      </c>
      <c r="AN30" s="1740">
        <v>0</v>
      </c>
      <c r="AO30" s="1740" t="e">
        <f t="shared" si="15"/>
        <v>#REF!</v>
      </c>
      <c r="AP30" s="1729">
        <v>0</v>
      </c>
      <c r="AQ30" s="1729">
        <f>SUM(AP30)</f>
        <v>0</v>
      </c>
      <c r="AR30" s="1729">
        <v>0</v>
      </c>
      <c r="AS30" s="1729">
        <v>0</v>
      </c>
      <c r="AT30" s="1729">
        <f>SUM(AS30)</f>
        <v>0</v>
      </c>
      <c r="AU30" s="1729">
        <v>0</v>
      </c>
      <c r="AV30" s="1730">
        <f t="shared" ref="AV30" si="74">SUM(AX30+AY30)</f>
        <v>749.78422133959032</v>
      </c>
      <c r="AW30" s="1735">
        <f t="shared" si="25"/>
        <v>1.0999940372339099</v>
      </c>
      <c r="AX30" s="1729">
        <f>SUM(AX29*AE31)</f>
        <v>749.78422133959032</v>
      </c>
      <c r="AY30" s="1729">
        <f>SUM(AY29*AE31)</f>
        <v>0</v>
      </c>
      <c r="AZ30" s="2777">
        <f t="shared" ref="AZ30" si="75">SUM(BB30+BC30)</f>
        <v>495.87808155630398</v>
      </c>
      <c r="BA30" s="2648">
        <f t="shared" si="20"/>
        <v>0.72749321389076704</v>
      </c>
      <c r="BB30" s="1689">
        <f>BB29*BB31</f>
        <v>495.87808155630398</v>
      </c>
      <c r="BC30" s="1689">
        <f>SUM(BC29*AV31)</f>
        <v>0</v>
      </c>
      <c r="BD30" s="1689">
        <f t="shared" si="70"/>
        <v>435.99</v>
      </c>
      <c r="BE30" s="1689">
        <v>435.99</v>
      </c>
      <c r="BF30" s="1689">
        <v>0</v>
      </c>
      <c r="BG30" s="1689">
        <f t="shared" si="71"/>
        <v>384.57</v>
      </c>
      <c r="BH30" s="1689">
        <v>384.57</v>
      </c>
      <c r="BI30" s="1689">
        <v>0</v>
      </c>
      <c r="BJ30" s="1689">
        <f t="shared" si="72"/>
        <v>412.06</v>
      </c>
      <c r="BK30" s="1689">
        <v>412.06</v>
      </c>
      <c r="BL30" s="1689">
        <v>0</v>
      </c>
      <c r="BM30" s="1689">
        <f t="shared" si="73"/>
        <v>501.71142107203144</v>
      </c>
      <c r="BN30" s="1689">
        <f>BN29*BG31</f>
        <v>501.71142107203144</v>
      </c>
      <c r="BO30" s="1689">
        <v>0</v>
      </c>
      <c r="BP30" s="1788" t="str">
        <f>BP24</f>
        <v xml:space="preserve">В размере 30,10% (на уровне факт.за 2014 год) от скорректированного ФОТ </v>
      </c>
    </row>
    <row r="31" spans="1:72" s="1932" customFormat="1" ht="21" customHeight="1" x14ac:dyDescent="0.2">
      <c r="A31" s="1675" t="str">
        <f>A25</f>
        <v>то же в %</v>
      </c>
      <c r="B31" s="1920"/>
      <c r="C31" s="1917"/>
      <c r="D31" s="1917"/>
      <c r="E31" s="1734">
        <f>E30/E29</f>
        <v>0.25892446759613907</v>
      </c>
      <c r="F31" s="1734">
        <f t="shared" ref="F31:AE31" si="76">F30/F29</f>
        <v>0.99286188147839727</v>
      </c>
      <c r="G31" s="1734">
        <f t="shared" si="76"/>
        <v>0.33269159110669483</v>
      </c>
      <c r="H31" s="1734"/>
      <c r="I31" s="1734">
        <f t="shared" si="76"/>
        <v>0.30002075550020757</v>
      </c>
      <c r="J31" s="1734">
        <f t="shared" si="76"/>
        <v>0.33656542056074767</v>
      </c>
      <c r="K31" s="1734">
        <f t="shared" si="76"/>
        <v>0.30349288486416559</v>
      </c>
      <c r="L31" s="1734">
        <f t="shared" si="76"/>
        <v>0.30290529789616355</v>
      </c>
      <c r="M31" s="1734">
        <f t="shared" si="76"/>
        <v>0.91046875242188263</v>
      </c>
      <c r="N31" s="1734">
        <f t="shared" si="76"/>
        <v>0.30199290866854139</v>
      </c>
      <c r="O31" s="1734">
        <f t="shared" si="76"/>
        <v>1.0065733891145157</v>
      </c>
      <c r="P31" s="1734">
        <f t="shared" si="76"/>
        <v>0.30199999999999999</v>
      </c>
      <c r="Q31" s="1734">
        <f t="shared" si="76"/>
        <v>1.0065970252507781</v>
      </c>
      <c r="R31" s="1734">
        <f t="shared" si="76"/>
        <v>0.99701128404669248</v>
      </c>
      <c r="S31" s="1734">
        <f t="shared" si="76"/>
        <v>0.3019864341085271</v>
      </c>
      <c r="T31" s="1734"/>
      <c r="U31" s="1734">
        <f t="shared" si="76"/>
        <v>0.30229671011793918</v>
      </c>
      <c r="V31" s="1734"/>
      <c r="W31" s="1718">
        <f t="shared" si="76"/>
        <v>0.30200136715783082</v>
      </c>
      <c r="X31" s="1718"/>
      <c r="Y31" s="1718">
        <f t="shared" si="76"/>
        <v>0.30199999999999999</v>
      </c>
      <c r="Z31" s="1718">
        <f t="shared" si="76"/>
        <v>0.30199999999999999</v>
      </c>
      <c r="AA31" s="1741"/>
      <c r="AB31" s="1718">
        <f t="shared" ref="AB31:AC31" si="77">AB30/AB29</f>
        <v>0.30087196753863421</v>
      </c>
      <c r="AC31" s="1718">
        <f t="shared" si="77"/>
        <v>0.30087196753863421</v>
      </c>
      <c r="AD31" s="1735"/>
      <c r="AE31" s="1741">
        <f t="shared" si="76"/>
        <v>0.30199990387178238</v>
      </c>
      <c r="AF31" s="1729"/>
      <c r="AG31" s="1741">
        <v>0</v>
      </c>
      <c r="AH31" s="1741">
        <v>0</v>
      </c>
      <c r="AI31" s="1718">
        <f>AI30/AI29</f>
        <v>0.30200136715783082</v>
      </c>
      <c r="AJ31" s="1729"/>
      <c r="AK31" s="1718">
        <f>AK30/AK29</f>
        <v>0.30200136715783082</v>
      </c>
      <c r="AL31" s="1741"/>
      <c r="AM31" s="1740" t="e">
        <f>#REF!</f>
        <v>#REF!</v>
      </c>
      <c r="AN31" s="1740">
        <v>0</v>
      </c>
      <c r="AO31" s="1740" t="e">
        <f t="shared" si="15"/>
        <v>#REF!</v>
      </c>
      <c r="AP31" s="1741">
        <f>AP30/AP29</f>
        <v>0</v>
      </c>
      <c r="AQ31" s="1741">
        <f t="shared" ref="AQ31" si="78">AQ30/AQ29</f>
        <v>0</v>
      </c>
      <c r="AR31" s="1741"/>
      <c r="AS31" s="1741">
        <f>AS30/AS29</f>
        <v>0</v>
      </c>
      <c r="AT31" s="1741">
        <f t="shared" ref="AT31" si="79">AT30/AT29</f>
        <v>0</v>
      </c>
      <c r="AU31" s="1741"/>
      <c r="AV31" s="1718">
        <f>SUM(AV30/AV29)</f>
        <v>0.30199990387178238</v>
      </c>
      <c r="AW31" s="1735">
        <f t="shared" si="25"/>
        <v>0.99999515470389355</v>
      </c>
      <c r="AX31" s="1718">
        <f>SUM(AX30/AX29)</f>
        <v>0.30199990387178238</v>
      </c>
      <c r="AY31" s="1741"/>
      <c r="AZ31" s="2780">
        <f>AB31</f>
        <v>0.30087196753863421</v>
      </c>
      <c r="BA31" s="2780">
        <f t="shared" si="20"/>
        <v>0.99626028309134651</v>
      </c>
      <c r="BB31" s="2780">
        <f>AZ31</f>
        <v>0.30087196753863421</v>
      </c>
      <c r="BC31" s="2781"/>
      <c r="BD31" s="1760">
        <f>BD30/BD29</f>
        <v>0.30199905796298349</v>
      </c>
      <c r="BE31" s="1760">
        <f t="shared" ref="BE31" si="80">BE30/BE29</f>
        <v>0.30199905796298349</v>
      </c>
      <c r="BF31" s="1760">
        <v>0</v>
      </c>
      <c r="BG31" s="1760">
        <f>BG30/BG29</f>
        <v>0.30139423340674154</v>
      </c>
      <c r="BH31" s="1760">
        <f t="shared" ref="BH31" si="81">BH30/BH29</f>
        <v>0.30139423340674154</v>
      </c>
      <c r="BI31" s="1760">
        <v>0</v>
      </c>
      <c r="BJ31" s="1760">
        <f>BJ30/BJ29</f>
        <v>0.30089891414676179</v>
      </c>
      <c r="BK31" s="1760">
        <f t="shared" ref="BK31" si="82">BK30/BK29</f>
        <v>0.30089891414676179</v>
      </c>
      <c r="BL31" s="1760">
        <v>0</v>
      </c>
      <c r="BM31" s="1760">
        <f>BM30/BM29</f>
        <v>0.30139423340674154</v>
      </c>
      <c r="BN31" s="1760">
        <f t="shared" ref="BN31" si="83">BN30/BN29</f>
        <v>0.30139423340674154</v>
      </c>
      <c r="BO31" s="1760">
        <v>0</v>
      </c>
      <c r="BP31" s="2782"/>
    </row>
    <row r="32" spans="1:72" ht="21" customHeight="1" x14ac:dyDescent="0.2">
      <c r="A32" s="1674" t="s">
        <v>2</v>
      </c>
      <c r="B32" s="1806">
        <v>46.2</v>
      </c>
      <c r="C32" s="1919">
        <v>0</v>
      </c>
      <c r="D32" s="1917">
        <f t="shared" si="0"/>
        <v>0</v>
      </c>
      <c r="E32" s="1919">
        <v>18.899999999999999</v>
      </c>
      <c r="F32" s="1917"/>
      <c r="G32" s="1919">
        <v>25.5</v>
      </c>
      <c r="H32" s="1917">
        <f t="shared" si="2"/>
        <v>134.92063492063494</v>
      </c>
      <c r="I32" s="1729">
        <v>26.4</v>
      </c>
      <c r="J32" s="1729">
        <v>12.6</v>
      </c>
      <c r="K32" s="1729">
        <v>18.899999999999999</v>
      </c>
      <c r="L32" s="1729">
        <v>25.5</v>
      </c>
      <c r="M32" s="1735">
        <f t="shared" si="9"/>
        <v>100</v>
      </c>
      <c r="N32" s="1729">
        <v>27.72</v>
      </c>
      <c r="O32" s="1735">
        <f t="shared" si="10"/>
        <v>105</v>
      </c>
      <c r="P32" s="1729">
        <v>26.4</v>
      </c>
      <c r="Q32" s="1735">
        <f t="shared" si="11"/>
        <v>100</v>
      </c>
      <c r="R32" s="1735">
        <f t="shared" si="69"/>
        <v>103.52941176470587</v>
      </c>
      <c r="S32" s="1729">
        <v>26.4</v>
      </c>
      <c r="T32" s="1729"/>
      <c r="U32" s="1729">
        <v>18.899999999999999</v>
      </c>
      <c r="V32" s="1729"/>
      <c r="W32" s="1729">
        <v>26.4</v>
      </c>
      <c r="X32" s="1729"/>
      <c r="Y32" s="1729">
        <f>Аморт!G30</f>
        <v>25.2</v>
      </c>
      <c r="Z32" s="1729">
        <f>Y32</f>
        <v>25.2</v>
      </c>
      <c r="AA32" s="1729"/>
      <c r="AB32" s="1729">
        <f>SUM(Аморт!L30)</f>
        <v>25.2</v>
      </c>
      <c r="AC32" s="1729">
        <f>AB32</f>
        <v>25.2</v>
      </c>
      <c r="AD32" s="1729">
        <v>0</v>
      </c>
      <c r="AE32" s="1729">
        <v>25.2</v>
      </c>
      <c r="AF32" s="1729">
        <f t="shared" si="13"/>
        <v>1</v>
      </c>
      <c r="AG32" s="1729">
        <v>25.2</v>
      </c>
      <c r="AH32" s="1729">
        <v>0</v>
      </c>
      <c r="AI32" s="1729">
        <f>Аморт!O30</f>
        <v>25.2</v>
      </c>
      <c r="AJ32" s="1729">
        <f t="shared" si="14"/>
        <v>1</v>
      </c>
      <c r="AK32" s="1729">
        <f>AI32</f>
        <v>25.2</v>
      </c>
      <c r="AL32" s="1729"/>
      <c r="AM32" s="1740" t="e">
        <f>#REF!</f>
        <v>#REF!</v>
      </c>
      <c r="AN32" s="1740">
        <v>0</v>
      </c>
      <c r="AO32" s="1740" t="e">
        <f t="shared" si="15"/>
        <v>#REF!</v>
      </c>
      <c r="AP32" s="1729">
        <f>SUM(Аморт!Q30)</f>
        <v>12.72</v>
      </c>
      <c r="AQ32" s="1729">
        <f>AP32</f>
        <v>12.72</v>
      </c>
      <c r="AR32" s="1729">
        <v>0</v>
      </c>
      <c r="AS32" s="1729">
        <f>SUM(Аморт!R30)</f>
        <v>19.11</v>
      </c>
      <c r="AT32" s="1729">
        <f>AS32</f>
        <v>19.11</v>
      </c>
      <c r="AU32" s="1729">
        <v>0</v>
      </c>
      <c r="AV32" s="1729">
        <f>SUM(Аморт!T30)</f>
        <v>25.2</v>
      </c>
      <c r="AW32" s="1735">
        <f t="shared" si="25"/>
        <v>1</v>
      </c>
      <c r="AX32" s="1729">
        <f>SUM(AV32)</f>
        <v>25.2</v>
      </c>
      <c r="AY32" s="1729">
        <v>0</v>
      </c>
      <c r="AZ32" s="1689">
        <f>SUM(Аморт!U30)</f>
        <v>25.2</v>
      </c>
      <c r="BA32" s="2648">
        <f t="shared" si="20"/>
        <v>1</v>
      </c>
      <c r="BB32" s="1689">
        <f>SUM(AZ32)</f>
        <v>25.2</v>
      </c>
      <c r="BC32" s="1689">
        <v>0</v>
      </c>
      <c r="BD32" s="1689">
        <f t="shared" si="70"/>
        <v>36.94</v>
      </c>
      <c r="BE32" s="1689">
        <v>36.94</v>
      </c>
      <c r="BF32" s="1689">
        <v>0</v>
      </c>
      <c r="BG32" s="1689">
        <f t="shared" ref="BG32:BG33" si="84">BH32+BI32</f>
        <v>68.540000000000006</v>
      </c>
      <c r="BH32" s="1689">
        <v>68.540000000000006</v>
      </c>
      <c r="BI32" s="1689">
        <v>0</v>
      </c>
      <c r="BJ32" s="1689">
        <f t="shared" ref="BJ32:BJ33" si="85">BK32+BL32</f>
        <v>68.540000000000006</v>
      </c>
      <c r="BK32" s="1689">
        <v>68.540000000000006</v>
      </c>
      <c r="BL32" s="1689">
        <v>0</v>
      </c>
      <c r="BM32" s="1689">
        <f t="shared" ref="BM32" si="86">BN32+BO32</f>
        <v>68.540000000000006</v>
      </c>
      <c r="BN32" s="1689">
        <f>Аморт!AL30</f>
        <v>68.540000000000006</v>
      </c>
      <c r="BO32" s="1689">
        <v>0</v>
      </c>
      <c r="BP32" s="1788" t="str">
        <f>BP20</f>
        <v>Приложение</v>
      </c>
    </row>
    <row r="33" spans="1:68" ht="21" customHeight="1" x14ac:dyDescent="0.2">
      <c r="A33" s="1674" t="s">
        <v>6</v>
      </c>
      <c r="B33" s="1806">
        <v>703.1</v>
      </c>
      <c r="C33" s="1919">
        <v>526.5</v>
      </c>
      <c r="D33" s="1917">
        <f t="shared" si="0"/>
        <v>74.882662494666477</v>
      </c>
      <c r="E33" s="1919">
        <v>622.9</v>
      </c>
      <c r="F33" s="1917">
        <f t="shared" ref="F33:F42" si="87">E33/C33*100</f>
        <v>118.30959164292499</v>
      </c>
      <c r="G33" s="1919">
        <v>634.1</v>
      </c>
      <c r="H33" s="1917">
        <f t="shared" si="2"/>
        <v>101.79804141916841</v>
      </c>
      <c r="I33" s="1729">
        <v>608.70000000000005</v>
      </c>
      <c r="J33" s="1729">
        <v>296.60000000000002</v>
      </c>
      <c r="K33" s="1729">
        <f>'цех стоки'!K49</f>
        <v>412.80813156428934</v>
      </c>
      <c r="L33" s="1729">
        <f>'цех стоки'!L49</f>
        <v>847.9</v>
      </c>
      <c r="M33" s="1923">
        <f t="shared" si="9"/>
        <v>133.71707932502758</v>
      </c>
      <c r="N33" s="1729">
        <v>737</v>
      </c>
      <c r="O33" s="1735">
        <f t="shared" si="10"/>
        <v>121.07770658781007</v>
      </c>
      <c r="P33" s="1729">
        <f>'цех стоки'!P49</f>
        <v>697.8</v>
      </c>
      <c r="Q33" s="1735">
        <f t="shared" si="11"/>
        <v>114.6377525874815</v>
      </c>
      <c r="R33" s="1735">
        <f t="shared" si="69"/>
        <v>82.297440735935837</v>
      </c>
      <c r="S33" s="1729">
        <v>619</v>
      </c>
      <c r="T33" s="1729"/>
      <c r="U33" s="1729">
        <v>745.9</v>
      </c>
      <c r="V33" s="1729"/>
      <c r="W33" s="1729">
        <v>981.12</v>
      </c>
      <c r="X33" s="1729"/>
      <c r="Y33" s="1729">
        <f>'цех стоки'!X49</f>
        <v>730.61322970801143</v>
      </c>
      <c r="Z33" s="1729">
        <f>Y33</f>
        <v>730.61322970801143</v>
      </c>
      <c r="AA33" s="1729"/>
      <c r="AB33" s="1729">
        <f>'цех стоки'!AA49</f>
        <v>658</v>
      </c>
      <c r="AC33" s="1729">
        <f>SUM(AC52/AB52)*AB33</f>
        <v>652.28352799033428</v>
      </c>
      <c r="AD33" s="1729">
        <f>AB33-AC33</f>
        <v>5.716472009665722</v>
      </c>
      <c r="AE33" s="1729">
        <v>673.48</v>
      </c>
      <c r="AF33" s="1729">
        <f t="shared" si="13"/>
        <v>0.92180099211884703</v>
      </c>
      <c r="AG33" s="1729">
        <v>673.48</v>
      </c>
      <c r="AH33" s="1729">
        <v>0</v>
      </c>
      <c r="AI33" s="1729">
        <f>'цех стоки'!AC49</f>
        <v>690.17495043218662</v>
      </c>
      <c r="AJ33" s="1729">
        <f t="shared" si="14"/>
        <v>0.94465159179777525</v>
      </c>
      <c r="AK33" s="1729">
        <f>SUM('цех стоки'!X100)</f>
        <v>690.17495043218662</v>
      </c>
      <c r="AL33" s="1729">
        <f>SUM('цех стоки'!Y100)</f>
        <v>0</v>
      </c>
      <c r="AM33" s="1926" t="e">
        <f>#REF!</f>
        <v>#REF!</v>
      </c>
      <c r="AN33" s="1926">
        <v>0</v>
      </c>
      <c r="AO33" s="1926" t="e">
        <f t="shared" si="15"/>
        <v>#REF!</v>
      </c>
      <c r="AP33" s="1729">
        <f>SUM('цех стоки'!AE49)</f>
        <v>355.56</v>
      </c>
      <c r="AQ33" s="1729">
        <f>SUM(AQ52/AP52)*AP33</f>
        <v>353.50207045979624</v>
      </c>
      <c r="AR33" s="1729">
        <f>AP33-AQ33</f>
        <v>2.0579295402037587</v>
      </c>
      <c r="AS33" s="1729">
        <f>SUM('цех стоки'!AF49)</f>
        <v>549.54</v>
      </c>
      <c r="AT33" s="1729">
        <f>SUM(AT52/AS52)*AS33</f>
        <v>545.53736905559265</v>
      </c>
      <c r="AU33" s="1729">
        <f>AS33-AT33</f>
        <v>4.0026309444073149</v>
      </c>
      <c r="AV33" s="1729">
        <v>1002.59</v>
      </c>
      <c r="AW33" s="1735">
        <f t="shared" ref="AW33" si="88">SUM(AV33/AI33)</f>
        <v>1.4526606614340023</v>
      </c>
      <c r="AX33" s="1729">
        <f>SUM(AX52/AV52)*AV33</f>
        <v>994.50692484883393</v>
      </c>
      <c r="AY33" s="1729">
        <f>AV33-AX33</f>
        <v>8.0830751511660992</v>
      </c>
      <c r="AZ33" s="1689">
        <f>SUM('цех стоки'!AH49)</f>
        <v>767.20424131112384</v>
      </c>
      <c r="BA33" s="2648">
        <f t="shared" si="20"/>
        <v>1.1116083549985429</v>
      </c>
      <c r="BB33" s="1689">
        <f>SUM(BB52/AZ52)*AZ33</f>
        <v>763.01155373140386</v>
      </c>
      <c r="BC33" s="1689">
        <f>AZ33-BB33</f>
        <v>4.1926875797199727</v>
      </c>
      <c r="BD33" s="1689">
        <f t="shared" si="70"/>
        <v>847.58</v>
      </c>
      <c r="BE33" s="1689">
        <v>841.86</v>
      </c>
      <c r="BF33" s="1689">
        <v>5.72</v>
      </c>
      <c r="BG33" s="1689">
        <f t="shared" si="84"/>
        <v>935.15</v>
      </c>
      <c r="BH33" s="1689">
        <v>929.53</v>
      </c>
      <c r="BI33" s="1689">
        <v>5.62</v>
      </c>
      <c r="BJ33" s="1689">
        <f t="shared" si="85"/>
        <v>1756.44</v>
      </c>
      <c r="BK33" s="1689">
        <v>1746.21</v>
      </c>
      <c r="BL33" s="1689">
        <v>10.23</v>
      </c>
      <c r="BM33" s="1689">
        <f>'цех стоки'!AL49</f>
        <v>1249.8006716269299</v>
      </c>
      <c r="BN33" s="1689">
        <f>BM33</f>
        <v>1249.8006716269299</v>
      </c>
      <c r="BO33" s="1689">
        <v>0</v>
      </c>
      <c r="BP33" s="1788" t="str">
        <f>BP26</f>
        <v>Приложение</v>
      </c>
    </row>
    <row r="34" spans="1:68" ht="20.25" customHeight="1" x14ac:dyDescent="0.2">
      <c r="A34" s="1673" t="s">
        <v>532</v>
      </c>
      <c r="B34" s="1914">
        <f>SUM(B35:B41)</f>
        <v>5314.8</v>
      </c>
      <c r="C34" s="1915">
        <f>SUM(C35:C41)</f>
        <v>5623.9</v>
      </c>
      <c r="D34" s="1916">
        <f t="shared" si="0"/>
        <v>105.81583502671783</v>
      </c>
      <c r="E34" s="1740">
        <f>SUM(E35:E41)-E40</f>
        <v>7123.4000000000005</v>
      </c>
      <c r="F34" s="1740">
        <f>SUM(F35:F41)</f>
        <v>913.65189698036852</v>
      </c>
      <c r="G34" s="1740">
        <v>12529.9</v>
      </c>
      <c r="H34" s="1735"/>
      <c r="I34" s="1740">
        <f>I35+I37+I38+I39+I41</f>
        <v>11227.5098</v>
      </c>
      <c r="J34" s="1740">
        <f>SUM(J35:J41)</f>
        <v>5757.3238488674342</v>
      </c>
      <c r="K34" s="1740">
        <f>SUM(K35:K41)-K40</f>
        <v>8391.3600740438869</v>
      </c>
      <c r="L34" s="1740">
        <f>SUM(L35:L41)-L40</f>
        <v>11925.999999999998</v>
      </c>
      <c r="M34" s="1735">
        <f t="shared" si="9"/>
        <v>95.180328653859959</v>
      </c>
      <c r="N34" s="1740">
        <v>16741.8</v>
      </c>
      <c r="O34" s="1735">
        <f t="shared" si="10"/>
        <v>149.11409830165545</v>
      </c>
      <c r="P34" s="1740">
        <f>P35+P37+P38+P39+P41</f>
        <v>12235.25798464</v>
      </c>
      <c r="Q34" s="1740">
        <f t="shared" ref="Q34:AK34" si="89">Q35+Q37+Q38+Q39+Q41</f>
        <v>543.11165966081455</v>
      </c>
      <c r="R34" s="1740">
        <f t="shared" si="89"/>
        <v>719.07045660461495</v>
      </c>
      <c r="S34" s="1740">
        <f t="shared" si="89"/>
        <v>12517.6</v>
      </c>
      <c r="T34" s="1740">
        <f t="shared" si="89"/>
        <v>0</v>
      </c>
      <c r="U34" s="1740">
        <f t="shared" si="89"/>
        <v>9500.4</v>
      </c>
      <c r="V34" s="1740">
        <f t="shared" si="89"/>
        <v>0</v>
      </c>
      <c r="W34" s="1740">
        <f t="shared" si="89"/>
        <v>17090.59</v>
      </c>
      <c r="X34" s="1740"/>
      <c r="Y34" s="1740">
        <f t="shared" si="89"/>
        <v>11977.560558241828</v>
      </c>
      <c r="Z34" s="1740">
        <f t="shared" si="89"/>
        <v>11977.560558241828</v>
      </c>
      <c r="AA34" s="1740">
        <f t="shared" si="89"/>
        <v>0</v>
      </c>
      <c r="AB34" s="1740">
        <f t="shared" ref="AB34:AD34" si="90">AB35+AB37+AB38+AB39+AB41</f>
        <v>11982.7</v>
      </c>
      <c r="AC34" s="1740">
        <f t="shared" si="90"/>
        <v>11982.7</v>
      </c>
      <c r="AD34" s="1740">
        <f t="shared" si="90"/>
        <v>0</v>
      </c>
      <c r="AE34" s="1740">
        <v>15733.22</v>
      </c>
      <c r="AF34" s="1729">
        <f t="shared" si="13"/>
        <v>1.3135579589429736</v>
      </c>
      <c r="AG34" s="1740">
        <v>15733.22</v>
      </c>
      <c r="AH34" s="1740">
        <v>0</v>
      </c>
      <c r="AI34" s="1740">
        <f>AI35+AI37+AI38+AI39+AI41</f>
        <v>14124.397647353169</v>
      </c>
      <c r="AJ34" s="1729">
        <f t="shared" si="14"/>
        <v>1.179238257963479</v>
      </c>
      <c r="AK34" s="1740">
        <f t="shared" si="89"/>
        <v>14124.397647353169</v>
      </c>
      <c r="AL34" s="1740">
        <f>AL35+AL37+AL38+AL39+AL41</f>
        <v>0</v>
      </c>
      <c r="AM34" s="1740" t="e">
        <f>#REF!</f>
        <v>#REF!</v>
      </c>
      <c r="AN34" s="1740">
        <v>0</v>
      </c>
      <c r="AO34" s="1740" t="e">
        <f t="shared" si="15"/>
        <v>#REF!</v>
      </c>
      <c r="AP34" s="1740">
        <f t="shared" ref="AP34:BC34" si="91">AP35+AP37+AP38+AP39+AP41</f>
        <v>5196.55</v>
      </c>
      <c r="AQ34" s="1740">
        <f t="shared" si="91"/>
        <v>5196.55</v>
      </c>
      <c r="AR34" s="1740">
        <f t="shared" si="91"/>
        <v>0</v>
      </c>
      <c r="AS34" s="1740">
        <f t="shared" si="91"/>
        <v>7853.18</v>
      </c>
      <c r="AT34" s="1740">
        <f t="shared" si="91"/>
        <v>7853.18</v>
      </c>
      <c r="AU34" s="1740">
        <f t="shared" si="91"/>
        <v>0</v>
      </c>
      <c r="AV34" s="1740">
        <f t="shared" si="91"/>
        <v>16901.098910000001</v>
      </c>
      <c r="AW34" s="1735">
        <f t="shared" si="25"/>
        <v>1.1965890037914055</v>
      </c>
      <c r="AX34" s="1740">
        <f t="shared" si="91"/>
        <v>16901.098910000001</v>
      </c>
      <c r="AY34" s="1740">
        <f t="shared" si="91"/>
        <v>0</v>
      </c>
      <c r="AZ34" s="1828">
        <f t="shared" si="91"/>
        <v>13151.996497389971</v>
      </c>
      <c r="BA34" s="2721">
        <f t="shared" si="20"/>
        <v>0.93115450483331441</v>
      </c>
      <c r="BB34" s="1828">
        <f t="shared" si="91"/>
        <v>13151.996497389971</v>
      </c>
      <c r="BC34" s="1828">
        <f t="shared" si="91"/>
        <v>0</v>
      </c>
      <c r="BD34" s="1828">
        <f t="shared" ref="BD34:BF34" si="92">BD35+BD37+BD38+BD39+BD41</f>
        <v>12825.269999999999</v>
      </c>
      <c r="BE34" s="1828">
        <f t="shared" si="92"/>
        <v>12825.269999999999</v>
      </c>
      <c r="BF34" s="1828">
        <f t="shared" si="92"/>
        <v>0</v>
      </c>
      <c r="BG34" s="1828">
        <f t="shared" ref="BG34:BI34" si="93">BG35+BG37+BG38+BG39+BG41</f>
        <v>12698.41</v>
      </c>
      <c r="BH34" s="1828">
        <f t="shared" si="93"/>
        <v>12698.41</v>
      </c>
      <c r="BI34" s="1828">
        <f t="shared" si="93"/>
        <v>0</v>
      </c>
      <c r="BJ34" s="1828">
        <f t="shared" ref="BJ34:BL34" si="94">BJ35+BJ37+BJ38+BJ39+BJ41</f>
        <v>17091.93</v>
      </c>
      <c r="BK34" s="1828">
        <f t="shared" si="94"/>
        <v>17091.93</v>
      </c>
      <c r="BL34" s="1828">
        <f t="shared" si="94"/>
        <v>0</v>
      </c>
      <c r="BM34" s="1828">
        <f t="shared" ref="BM34:BO34" si="95">BM35+BM37+BM38+BM39+BM41</f>
        <v>15059.4956506622</v>
      </c>
      <c r="BN34" s="1828">
        <f t="shared" si="95"/>
        <v>15059.4956506622</v>
      </c>
      <c r="BO34" s="1828">
        <f t="shared" si="95"/>
        <v>0</v>
      </c>
      <c r="BP34" s="2729"/>
    </row>
    <row r="35" spans="1:68" ht="21" customHeight="1" x14ac:dyDescent="0.2">
      <c r="A35" s="1674" t="s">
        <v>2</v>
      </c>
      <c r="B35" s="1806">
        <v>1184.9000000000001</v>
      </c>
      <c r="C35" s="1919">
        <v>1102.8</v>
      </c>
      <c r="D35" s="1917">
        <f t="shared" si="0"/>
        <v>93.071145244324399</v>
      </c>
      <c r="E35" s="1919">
        <v>1090</v>
      </c>
      <c r="F35" s="1917">
        <f t="shared" si="87"/>
        <v>98.839318099383391</v>
      </c>
      <c r="G35" s="1919">
        <f>Аморт!G14</f>
        <v>3280</v>
      </c>
      <c r="H35" s="1917">
        <f t="shared" si="2"/>
        <v>300.91743119266056</v>
      </c>
      <c r="I35" s="1729">
        <v>2025</v>
      </c>
      <c r="J35" s="1729">
        <v>1460.8</v>
      </c>
      <c r="K35" s="1729">
        <v>2699.1</v>
      </c>
      <c r="L35" s="1729">
        <v>3595</v>
      </c>
      <c r="M35" s="1735">
        <f t="shared" si="9"/>
        <v>109.60365853658536</v>
      </c>
      <c r="N35" s="1729">
        <f>Аморт!O14</f>
        <v>3791.1</v>
      </c>
      <c r="O35" s="1735">
        <f t="shared" si="10"/>
        <v>187.21481481481482</v>
      </c>
      <c r="P35" s="1729">
        <v>2025</v>
      </c>
      <c r="Q35" s="1735">
        <f t="shared" si="11"/>
        <v>100</v>
      </c>
      <c r="R35" s="1735">
        <f t="shared" si="69"/>
        <v>56.328233657858142</v>
      </c>
      <c r="S35" s="1729">
        <v>2025</v>
      </c>
      <c r="T35" s="1729"/>
      <c r="U35" s="1729">
        <v>2658.5</v>
      </c>
      <c r="V35" s="1729"/>
      <c r="W35" s="1729">
        <v>3595</v>
      </c>
      <c r="X35" s="1729"/>
      <c r="Y35" s="1729">
        <f>Аморт!G31</f>
        <v>3544.67</v>
      </c>
      <c r="Z35" s="1729">
        <f t="shared" ref="Z35:Z41" si="96">Y35</f>
        <v>3544.67</v>
      </c>
      <c r="AA35" s="1729"/>
      <c r="AB35" s="1729">
        <f>SUM(Аморт!L31)</f>
        <v>3567.6</v>
      </c>
      <c r="AC35" s="1729">
        <f t="shared" ref="AC35" si="97">AB35</f>
        <v>3567.6</v>
      </c>
      <c r="AD35" s="1729">
        <v>0</v>
      </c>
      <c r="AE35" s="1729">
        <v>3562.4</v>
      </c>
      <c r="AF35" s="1729">
        <f t="shared" si="13"/>
        <v>1.0050018760561632</v>
      </c>
      <c r="AG35" s="1729">
        <v>3562.4</v>
      </c>
      <c r="AH35" s="1729">
        <v>0</v>
      </c>
      <c r="AI35" s="1729">
        <f>Аморт!O31</f>
        <v>3562.4</v>
      </c>
      <c r="AJ35" s="1729">
        <f t="shared" si="14"/>
        <v>1.0050018760561632</v>
      </c>
      <c r="AK35" s="1729">
        <f>AI35</f>
        <v>3562.4</v>
      </c>
      <c r="AL35" s="1729"/>
      <c r="AM35" s="1740" t="e">
        <f>#REF!</f>
        <v>#REF!</v>
      </c>
      <c r="AN35" s="1740">
        <v>0</v>
      </c>
      <c r="AO35" s="1740" t="e">
        <f t="shared" si="15"/>
        <v>#REF!</v>
      </c>
      <c r="AP35" s="1729">
        <f>SUM(Аморт!Q31)</f>
        <v>1790.52</v>
      </c>
      <c r="AQ35" s="1729">
        <f t="shared" ref="AQ35" si="98">AP35</f>
        <v>1790.52</v>
      </c>
      <c r="AR35" s="1729">
        <v>0</v>
      </c>
      <c r="AS35" s="1729">
        <f>SUM(Аморт!R31)</f>
        <v>2713.05</v>
      </c>
      <c r="AT35" s="1729">
        <f t="shared" ref="AT35" si="99">AS35</f>
        <v>2713.05</v>
      </c>
      <c r="AU35" s="1729">
        <v>0</v>
      </c>
      <c r="AV35" s="1729">
        <f>SUM(Аморт!T31)</f>
        <v>3562.4</v>
      </c>
      <c r="AW35" s="1735">
        <f t="shared" si="25"/>
        <v>1</v>
      </c>
      <c r="AX35" s="1729">
        <f>SUM(AV35)</f>
        <v>3562.4</v>
      </c>
      <c r="AY35" s="1729">
        <v>0</v>
      </c>
      <c r="AZ35" s="1689">
        <f>SUM(Аморт!U31)</f>
        <v>3562.4</v>
      </c>
      <c r="BA35" s="2648">
        <f t="shared" si="20"/>
        <v>1</v>
      </c>
      <c r="BB35" s="1689">
        <f>SUM(AZ35)</f>
        <v>3562.4</v>
      </c>
      <c r="BC35" s="1689">
        <v>0</v>
      </c>
      <c r="BD35" s="1689">
        <f t="shared" si="70"/>
        <v>3912.88</v>
      </c>
      <c r="BE35" s="1689">
        <v>3912.88</v>
      </c>
      <c r="BF35" s="1689">
        <v>0</v>
      </c>
      <c r="BG35" s="1689">
        <f t="shared" ref="BG35:BG39" si="100">BH35+BI35</f>
        <v>3925.45</v>
      </c>
      <c r="BH35" s="1689">
        <v>3925.45</v>
      </c>
      <c r="BI35" s="1689">
        <v>0</v>
      </c>
      <c r="BJ35" s="1689">
        <f t="shared" ref="BJ35:BJ39" si="101">BK35+BL35</f>
        <v>3925.45</v>
      </c>
      <c r="BK35" s="1689">
        <v>3925.45</v>
      </c>
      <c r="BL35" s="1689">
        <v>0</v>
      </c>
      <c r="BM35" s="1689">
        <f t="shared" ref="BM35:BM39" si="102">BN35+BO35</f>
        <v>3925.45</v>
      </c>
      <c r="BN35" s="1689">
        <f>Аморт!AL31</f>
        <v>3925.45</v>
      </c>
      <c r="BO35" s="1689">
        <v>0</v>
      </c>
      <c r="BP35" s="1788" t="str">
        <f>BP32</f>
        <v>Приложение</v>
      </c>
    </row>
    <row r="36" spans="1:68" ht="21" customHeight="1" x14ac:dyDescent="0.2">
      <c r="A36" s="1674" t="s">
        <v>69</v>
      </c>
      <c r="B36" s="1806">
        <v>9.1</v>
      </c>
      <c r="C36" s="1919">
        <v>9</v>
      </c>
      <c r="D36" s="1917">
        <f t="shared" si="0"/>
        <v>98.901098901098905</v>
      </c>
      <c r="E36" s="1919">
        <v>9.8000000000000007</v>
      </c>
      <c r="F36" s="1917">
        <f t="shared" si="87"/>
        <v>108.8888888888889</v>
      </c>
      <c r="G36" s="1919"/>
      <c r="H36" s="1917">
        <f t="shared" si="2"/>
        <v>0</v>
      </c>
      <c r="I36" s="1729"/>
      <c r="J36" s="1729">
        <v>14.8</v>
      </c>
      <c r="K36" s="1729">
        <v>7.8</v>
      </c>
      <c r="L36" s="1729">
        <v>10.1</v>
      </c>
      <c r="M36" s="1735"/>
      <c r="N36" s="1729"/>
      <c r="O36" s="1735"/>
      <c r="P36" s="1729"/>
      <c r="Q36" s="1735"/>
      <c r="R36" s="1735">
        <f t="shared" si="69"/>
        <v>0</v>
      </c>
      <c r="S36" s="1729"/>
      <c r="T36" s="1729"/>
      <c r="U36" s="1729"/>
      <c r="V36" s="1729"/>
      <c r="W36" s="1729">
        <v>0</v>
      </c>
      <c r="X36" s="1729"/>
      <c r="Y36" s="1729">
        <v>0</v>
      </c>
      <c r="Z36" s="1729">
        <f t="shared" si="96"/>
        <v>0</v>
      </c>
      <c r="AA36" s="1729"/>
      <c r="AB36" s="1729">
        <v>0</v>
      </c>
      <c r="AC36" s="1729">
        <v>0</v>
      </c>
      <c r="AD36" s="1729">
        <v>0</v>
      </c>
      <c r="AE36" s="1729">
        <v>0</v>
      </c>
      <c r="AF36" s="1729"/>
      <c r="AG36" s="1729">
        <v>0</v>
      </c>
      <c r="AH36" s="1729">
        <v>0</v>
      </c>
      <c r="AI36" s="1729">
        <f>Y36</f>
        <v>0</v>
      </c>
      <c r="AJ36" s="1729"/>
      <c r="AK36" s="1729"/>
      <c r="AL36" s="1729"/>
      <c r="AM36" s="1740" t="e">
        <f>#REF!</f>
        <v>#REF!</v>
      </c>
      <c r="AN36" s="1740">
        <v>0</v>
      </c>
      <c r="AO36" s="1740" t="e">
        <f t="shared" si="15"/>
        <v>#REF!</v>
      </c>
      <c r="AP36" s="1729">
        <v>0</v>
      </c>
      <c r="AQ36" s="1729">
        <v>0</v>
      </c>
      <c r="AR36" s="1729">
        <v>0</v>
      </c>
      <c r="AS36" s="1729">
        <v>0</v>
      </c>
      <c r="AT36" s="1729">
        <v>0</v>
      </c>
      <c r="AU36" s="1729">
        <v>0</v>
      </c>
      <c r="AV36" s="1729">
        <v>0</v>
      </c>
      <c r="AW36" s="1735">
        <v>0</v>
      </c>
      <c r="AX36" s="1729">
        <v>0</v>
      </c>
      <c r="AY36" s="1729">
        <v>0</v>
      </c>
      <c r="AZ36" s="1689">
        <v>0</v>
      </c>
      <c r="BA36" s="2648">
        <v>0</v>
      </c>
      <c r="BB36" s="1689">
        <v>0</v>
      </c>
      <c r="BC36" s="1689">
        <v>0</v>
      </c>
      <c r="BD36" s="1689">
        <f t="shared" si="70"/>
        <v>0</v>
      </c>
      <c r="BE36" s="1689">
        <v>0</v>
      </c>
      <c r="BF36" s="1689">
        <v>0</v>
      </c>
      <c r="BG36" s="1689">
        <f t="shared" si="100"/>
        <v>0</v>
      </c>
      <c r="BH36" s="1689">
        <v>0</v>
      </c>
      <c r="BI36" s="1689">
        <v>0</v>
      </c>
      <c r="BJ36" s="1689">
        <f t="shared" si="101"/>
        <v>0</v>
      </c>
      <c r="BK36" s="1689">
        <v>0</v>
      </c>
      <c r="BL36" s="1689">
        <v>0</v>
      </c>
      <c r="BM36" s="1689">
        <f t="shared" si="102"/>
        <v>0</v>
      </c>
      <c r="BN36" s="1689">
        <v>0</v>
      </c>
      <c r="BO36" s="1689">
        <v>0</v>
      </c>
      <c r="BP36" s="1788"/>
    </row>
    <row r="37" spans="1:68" s="2996" customFormat="1" ht="27.75" customHeight="1" x14ac:dyDescent="0.2">
      <c r="A37" s="2990" t="s">
        <v>3</v>
      </c>
      <c r="B37" s="2991">
        <v>160.5</v>
      </c>
      <c r="C37" s="2992">
        <v>209.5</v>
      </c>
      <c r="D37" s="2993">
        <f t="shared" si="0"/>
        <v>130.52959501557632</v>
      </c>
      <c r="E37" s="2992">
        <v>596.1</v>
      </c>
      <c r="F37" s="2993">
        <f t="shared" si="87"/>
        <v>284.53460620525061</v>
      </c>
      <c r="G37" s="2992">
        <f>G34-G35-G38-G39-G41</f>
        <v>1328.0449999999987</v>
      </c>
      <c r="H37" s="2993">
        <f t="shared" si="2"/>
        <v>222.78896158362667</v>
      </c>
      <c r="I37" s="2983">
        <v>735.9</v>
      </c>
      <c r="J37" s="2983">
        <v>344.8</v>
      </c>
      <c r="K37" s="2983">
        <v>224.8</v>
      </c>
      <c r="L37" s="2983">
        <v>250.9</v>
      </c>
      <c r="M37" s="2994">
        <f t="shared" si="9"/>
        <v>18.892432108851754</v>
      </c>
      <c r="N37" s="2983">
        <f>N34-N35-N38-N39-N41</f>
        <v>809.46099199999662</v>
      </c>
      <c r="O37" s="2994">
        <f t="shared" si="10"/>
        <v>109.99605816007565</v>
      </c>
      <c r="P37" s="2983">
        <f>I37*1.049</f>
        <v>771.95909999999992</v>
      </c>
      <c r="Q37" s="2994">
        <f t="shared" si="11"/>
        <v>104.89999999999999</v>
      </c>
      <c r="R37" s="2994">
        <f t="shared" si="69"/>
        <v>307.6760063770426</v>
      </c>
      <c r="S37" s="2983">
        <v>772</v>
      </c>
      <c r="T37" s="2983"/>
      <c r="U37" s="2983">
        <v>114.9</v>
      </c>
      <c r="V37" s="2983"/>
      <c r="W37" s="2983">
        <v>842</v>
      </c>
      <c r="X37" s="2983"/>
      <c r="Y37" s="2983">
        <v>0</v>
      </c>
      <c r="Z37" s="2983">
        <f t="shared" si="96"/>
        <v>0</v>
      </c>
      <c r="AA37" s="2983"/>
      <c r="AB37" s="2983">
        <f>SUM(AC37:AD37)</f>
        <v>50.4</v>
      </c>
      <c r="AC37" s="2983">
        <v>50.4</v>
      </c>
      <c r="AD37" s="2983">
        <v>0</v>
      </c>
      <c r="AE37" s="2983">
        <v>730</v>
      </c>
      <c r="AF37" s="2983"/>
      <c r="AG37" s="2983">
        <v>730</v>
      </c>
      <c r="AH37" s="2983">
        <v>0</v>
      </c>
      <c r="AI37" s="2983">
        <v>0</v>
      </c>
      <c r="AJ37" s="2983"/>
      <c r="AK37" s="2983">
        <f>AI37</f>
        <v>0</v>
      </c>
      <c r="AL37" s="2983"/>
      <c r="AM37" s="2995" t="e">
        <f>#REF!</f>
        <v>#REF!</v>
      </c>
      <c r="AN37" s="2995">
        <v>0</v>
      </c>
      <c r="AO37" s="2995" t="e">
        <f t="shared" si="15"/>
        <v>#REF!</v>
      </c>
      <c r="AP37" s="2983">
        <f>SUM(AQ37:AR37)</f>
        <v>0</v>
      </c>
      <c r="AQ37" s="2983">
        <v>0</v>
      </c>
      <c r="AR37" s="2983">
        <v>0</v>
      </c>
      <c r="AS37" s="2983">
        <f>SUM(AT37:AU37)</f>
        <v>0</v>
      </c>
      <c r="AT37" s="2983">
        <v>0</v>
      </c>
      <c r="AU37" s="2983">
        <v>0</v>
      </c>
      <c r="AV37" s="2983">
        <v>168.81</v>
      </c>
      <c r="AW37" s="2994"/>
      <c r="AX37" s="2983">
        <v>168.81</v>
      </c>
      <c r="AY37" s="2983">
        <v>0</v>
      </c>
      <c r="AZ37" s="2983">
        <f>SUM(BB37:BC37)</f>
        <v>168.81355932203391</v>
      </c>
      <c r="BA37" s="2984"/>
      <c r="BB37" s="2983">
        <f>'Кап Рем'!G13</f>
        <v>168.81355932203391</v>
      </c>
      <c r="BC37" s="2983">
        <v>0</v>
      </c>
      <c r="BD37" s="2983">
        <f t="shared" si="70"/>
        <v>335.88</v>
      </c>
      <c r="BE37" s="2983">
        <v>335.88</v>
      </c>
      <c r="BF37" s="2983">
        <v>0</v>
      </c>
      <c r="BG37" s="2983">
        <f t="shared" si="100"/>
        <v>174.81</v>
      </c>
      <c r="BH37" s="2983">
        <v>174.81</v>
      </c>
      <c r="BI37" s="2983">
        <v>0</v>
      </c>
      <c r="BJ37" s="2983">
        <f t="shared" si="101"/>
        <v>1202.8599999999999</v>
      </c>
      <c r="BK37" s="2983">
        <v>1202.8599999999999</v>
      </c>
      <c r="BL37" s="2983">
        <v>0</v>
      </c>
      <c r="BM37" s="2983">
        <f>ремонты!E43</f>
        <v>752.84633000000008</v>
      </c>
      <c r="BN37" s="2983">
        <f>BM37</f>
        <v>752.84633000000008</v>
      </c>
      <c r="BO37" s="2983">
        <v>0</v>
      </c>
      <c r="BP37" s="2989" t="s">
        <v>3554</v>
      </c>
    </row>
    <row r="38" spans="1:68" ht="21" customHeight="1" x14ac:dyDescent="0.2">
      <c r="A38" s="1674" t="s">
        <v>4</v>
      </c>
      <c r="B38" s="1806">
        <v>2374.9</v>
      </c>
      <c r="C38" s="1919">
        <v>2766.9</v>
      </c>
      <c r="D38" s="1917">
        <f t="shared" si="0"/>
        <v>116.50595814560614</v>
      </c>
      <c r="E38" s="1919">
        <v>2966.8</v>
      </c>
      <c r="F38" s="1917">
        <f t="shared" si="87"/>
        <v>107.22469189345478</v>
      </c>
      <c r="G38" s="1919">
        <v>4252.5</v>
      </c>
      <c r="H38" s="1917">
        <f t="shared" si="2"/>
        <v>143.33625455035727</v>
      </c>
      <c r="I38" s="1729">
        <v>4819.8999999999996</v>
      </c>
      <c r="J38" s="1729">
        <v>2154.4</v>
      </c>
      <c r="K38" s="1729">
        <v>3078.5</v>
      </c>
      <c r="L38" s="1729">
        <v>4557.5</v>
      </c>
      <c r="M38" s="1735">
        <f t="shared" si="9"/>
        <v>107.17225161669606</v>
      </c>
      <c r="N38" s="1729">
        <f>ЗП!AF18</f>
        <v>6581.9040000000005</v>
      </c>
      <c r="O38" s="1735">
        <f t="shared" si="10"/>
        <v>136.55685802610014</v>
      </c>
      <c r="P38" s="1729">
        <f>ЗП!AP18</f>
        <v>5162.1343200000001</v>
      </c>
      <c r="Q38" s="1735">
        <f t="shared" si="11"/>
        <v>107.10044440756033</v>
      </c>
      <c r="R38" s="1735">
        <f t="shared" si="69"/>
        <v>113.26679802523314</v>
      </c>
      <c r="S38" s="1729">
        <v>5162.1000000000004</v>
      </c>
      <c r="T38" s="1729"/>
      <c r="U38" s="1729">
        <v>3781.1</v>
      </c>
      <c r="V38" s="1729"/>
      <c r="W38" s="1729">
        <v>6778.1</v>
      </c>
      <c r="X38" s="1729"/>
      <c r="Y38" s="1729">
        <f>ЗП!U34</f>
        <v>4303.5898752000003</v>
      </c>
      <c r="Z38" s="1729">
        <f t="shared" si="96"/>
        <v>4303.5898752000003</v>
      </c>
      <c r="AA38" s="1729"/>
      <c r="AB38" s="1729">
        <v>4690</v>
      </c>
      <c r="AC38" s="1729">
        <f>SUM(AB38)</f>
        <v>4690</v>
      </c>
      <c r="AD38" s="1729">
        <v>0</v>
      </c>
      <c r="AE38" s="1729">
        <v>6778.1</v>
      </c>
      <c r="AF38" s="1729">
        <f t="shared" si="13"/>
        <v>1.5749874399184012</v>
      </c>
      <c r="AG38" s="1729">
        <v>6778.1</v>
      </c>
      <c r="AH38" s="1729">
        <v>0</v>
      </c>
      <c r="AI38" s="1729">
        <f>ЗП!BB34</f>
        <v>6064.6157894736843</v>
      </c>
      <c r="AJ38" s="1729">
        <f t="shared" si="14"/>
        <v>1.4091992883480431</v>
      </c>
      <c r="AK38" s="1729">
        <f>AI38</f>
        <v>6064.6157894736843</v>
      </c>
      <c r="AL38" s="1729">
        <f>AA38*1.05</f>
        <v>0</v>
      </c>
      <c r="AM38" s="1740" t="e">
        <f>#REF!</f>
        <v>#REF!</v>
      </c>
      <c r="AN38" s="1740">
        <v>0</v>
      </c>
      <c r="AO38" s="1740" t="e">
        <f t="shared" si="15"/>
        <v>#REF!</v>
      </c>
      <c r="AP38" s="1729">
        <f>SUM(ЗП!BG34)</f>
        <v>2164</v>
      </c>
      <c r="AQ38" s="1729">
        <f>SUM(AP38)</f>
        <v>2164</v>
      </c>
      <c r="AR38" s="1729">
        <v>0</v>
      </c>
      <c r="AS38" s="1729">
        <f>SUM(ЗП!BK34)</f>
        <v>3339</v>
      </c>
      <c r="AT38" s="1729">
        <f>SUM(AS38)</f>
        <v>3339</v>
      </c>
      <c r="AU38" s="1729">
        <v>0</v>
      </c>
      <c r="AV38" s="1729">
        <f>SUM(ЗП!BO34)</f>
        <v>7455.91</v>
      </c>
      <c r="AW38" s="1735">
        <f t="shared" si="25"/>
        <v>1.2294117647058822</v>
      </c>
      <c r="AX38" s="1729">
        <f>SUM(AV38)</f>
        <v>7455.91</v>
      </c>
      <c r="AY38" s="1729">
        <v>0</v>
      </c>
      <c r="AZ38" s="1689">
        <f>SUM(ЗП!BS34)</f>
        <v>5210.6322580645156</v>
      </c>
      <c r="BA38" s="2648">
        <f t="shared" si="20"/>
        <v>0.85918588067995627</v>
      </c>
      <c r="BB38" s="1689">
        <f>SUM(AZ38)</f>
        <v>5210.6322580645156</v>
      </c>
      <c r="BC38" s="1689">
        <v>0</v>
      </c>
      <c r="BD38" s="1689">
        <f t="shared" si="70"/>
        <v>4641.97</v>
      </c>
      <c r="BE38" s="1689">
        <v>4641.97</v>
      </c>
      <c r="BF38" s="1689">
        <v>0</v>
      </c>
      <c r="BG38" s="1689">
        <f t="shared" si="100"/>
        <v>4788.53</v>
      </c>
      <c r="BH38" s="1689">
        <v>4788.53</v>
      </c>
      <c r="BI38" s="1689">
        <v>0</v>
      </c>
      <c r="BJ38" s="1689">
        <f t="shared" si="101"/>
        <v>6087.71</v>
      </c>
      <c r="BK38" s="1689">
        <v>6087.71</v>
      </c>
      <c r="BL38" s="1689">
        <v>0</v>
      </c>
      <c r="BM38" s="1689">
        <f t="shared" si="102"/>
        <v>5548.7836799999995</v>
      </c>
      <c r="BN38" s="1689">
        <f>ЗП!CO34</f>
        <v>5548.7836799999995</v>
      </c>
      <c r="BO38" s="1689">
        <v>0</v>
      </c>
      <c r="BP38" s="1788" t="str">
        <f>BP29</f>
        <v>Приложение</v>
      </c>
    </row>
    <row r="39" spans="1:68" ht="21" customHeight="1" x14ac:dyDescent="0.2">
      <c r="A39" s="1674" t="s">
        <v>117</v>
      </c>
      <c r="B39" s="1806">
        <v>606.79999999999995</v>
      </c>
      <c r="C39" s="1919">
        <v>710.5</v>
      </c>
      <c r="D39" s="1917">
        <f t="shared" si="0"/>
        <v>117.08965062623599</v>
      </c>
      <c r="E39" s="1919">
        <v>765</v>
      </c>
      <c r="F39" s="1917">
        <f t="shared" si="87"/>
        <v>107.67065446868402</v>
      </c>
      <c r="G39" s="1919">
        <f>G38*0.302</f>
        <v>1284.2549999999999</v>
      </c>
      <c r="H39" s="1917">
        <f t="shared" si="2"/>
        <v>167.87647058823526</v>
      </c>
      <c r="I39" s="1729">
        <f>I38*30.2/100</f>
        <v>1455.6097999999997</v>
      </c>
      <c r="J39" s="1729">
        <v>697.7</v>
      </c>
      <c r="K39" s="1729">
        <v>895.2</v>
      </c>
      <c r="L39" s="1729">
        <v>1327.3</v>
      </c>
      <c r="M39" s="1735">
        <f t="shared" si="9"/>
        <v>103.35174867919534</v>
      </c>
      <c r="N39" s="1729">
        <f>N38*0.302</f>
        <v>1987.7350080000001</v>
      </c>
      <c r="O39" s="1735">
        <f t="shared" si="10"/>
        <v>136.55685802610014</v>
      </c>
      <c r="P39" s="1729">
        <f>P38*30.2/100</f>
        <v>1558.9645646399999</v>
      </c>
      <c r="Q39" s="1735">
        <f t="shared" si="11"/>
        <v>107.10044440756035</v>
      </c>
      <c r="R39" s="1735">
        <f t="shared" si="69"/>
        <v>117.45382088751602</v>
      </c>
      <c r="S39" s="1729">
        <v>1559</v>
      </c>
      <c r="T39" s="1729"/>
      <c r="U39" s="1729">
        <v>1128.4000000000001</v>
      </c>
      <c r="V39" s="1729"/>
      <c r="W39" s="1729">
        <v>2046.99</v>
      </c>
      <c r="X39" s="1729"/>
      <c r="Y39" s="1729">
        <f>Y38*U40</f>
        <v>1284.3275277500413</v>
      </c>
      <c r="Z39" s="1729">
        <f t="shared" si="96"/>
        <v>1284.3275277500413</v>
      </c>
      <c r="AA39" s="1729"/>
      <c r="AB39" s="1729">
        <v>1397.5</v>
      </c>
      <c r="AC39" s="1729">
        <f>SUM(AB39)</f>
        <v>1397.5</v>
      </c>
      <c r="AD39" s="1729">
        <v>0</v>
      </c>
      <c r="AE39" s="1729">
        <v>2040.21</v>
      </c>
      <c r="AF39" s="1729">
        <f t="shared" si="13"/>
        <v>1.5885433862607905</v>
      </c>
      <c r="AG39" s="1729">
        <v>2040.21</v>
      </c>
      <c r="AH39" s="1729">
        <v>0</v>
      </c>
      <c r="AI39" s="1729">
        <f>AI38*Y40</f>
        <v>1809.8734381111599</v>
      </c>
      <c r="AJ39" s="1729">
        <f t="shared" si="14"/>
        <v>1.4091992883480431</v>
      </c>
      <c r="AK39" s="1729">
        <f>AK38*Z40</f>
        <v>1809.8734381111599</v>
      </c>
      <c r="AL39" s="1729">
        <f>AA39*1.05</f>
        <v>0</v>
      </c>
      <c r="AM39" s="1740" t="e">
        <f>#REF!</f>
        <v>#REF!</v>
      </c>
      <c r="AN39" s="1740">
        <v>0</v>
      </c>
      <c r="AO39" s="1740" t="e">
        <f t="shared" si="15"/>
        <v>#REF!</v>
      </c>
      <c r="AP39" s="1729">
        <v>0</v>
      </c>
      <c r="AQ39" s="1729">
        <f>SUM(AP39)</f>
        <v>0</v>
      </c>
      <c r="AR39" s="1729">
        <v>0</v>
      </c>
      <c r="AS39" s="1729">
        <v>0</v>
      </c>
      <c r="AT39" s="1729">
        <f>SUM(AS39)</f>
        <v>0</v>
      </c>
      <c r="AU39" s="1729">
        <v>0</v>
      </c>
      <c r="AV39" s="1730">
        <f t="shared" ref="AV39" si="103">SUM(AX39+AY39)</f>
        <v>2244.2289099999998</v>
      </c>
      <c r="AW39" s="1735">
        <f t="shared" ref="AW39:AW40" si="104">SUM(AV39/AI39)</f>
        <v>1.2399921799737261</v>
      </c>
      <c r="AX39" s="1729">
        <f>SUM(AX38*AE40)</f>
        <v>2244.2289099999998</v>
      </c>
      <c r="AY39" s="1729">
        <f>SUM(AY38*AE40)</f>
        <v>0</v>
      </c>
      <c r="AZ39" s="2777">
        <f t="shared" ref="AZ39" si="105">SUM(BB39+BC39)</f>
        <v>1555.0177038427971</v>
      </c>
      <c r="BA39" s="2648">
        <f t="shared" si="20"/>
        <v>0.85918588067995616</v>
      </c>
      <c r="BB39" s="1689">
        <f>BB38*BB40</f>
        <v>1555.0177038427971</v>
      </c>
      <c r="BC39" s="1689">
        <f>SUM(BC38*AV40)</f>
        <v>0</v>
      </c>
      <c r="BD39" s="1689">
        <f t="shared" si="70"/>
        <v>1416.48</v>
      </c>
      <c r="BE39" s="1689">
        <v>1416.48</v>
      </c>
      <c r="BF39" s="1689">
        <v>0</v>
      </c>
      <c r="BG39" s="1689">
        <f t="shared" si="100"/>
        <v>1457.64</v>
      </c>
      <c r="BH39" s="1689">
        <v>1457.64</v>
      </c>
      <c r="BI39" s="1689">
        <v>0</v>
      </c>
      <c r="BJ39" s="1689">
        <f t="shared" si="101"/>
        <v>1816.57</v>
      </c>
      <c r="BK39" s="1689">
        <v>1816.57</v>
      </c>
      <c r="BL39" s="1689">
        <v>0</v>
      </c>
      <c r="BM39" s="1689">
        <f t="shared" si="102"/>
        <v>1689.0630409155212</v>
      </c>
      <c r="BN39" s="1689">
        <f>BN38*BG40</f>
        <v>1689.0630409155212</v>
      </c>
      <c r="BO39" s="1689">
        <v>0</v>
      </c>
      <c r="BP39" s="1788" t="s">
        <v>247</v>
      </c>
    </row>
    <row r="40" spans="1:68" s="1932" customFormat="1" ht="21" customHeight="1" x14ac:dyDescent="0.2">
      <c r="A40" s="1675" t="str">
        <f>A31</f>
        <v>то же в %</v>
      </c>
      <c r="B40" s="1920"/>
      <c r="C40" s="1917"/>
      <c r="D40" s="1917"/>
      <c r="E40" s="1734">
        <f>E39/E38</f>
        <v>0.25785357961439936</v>
      </c>
      <c r="F40" s="1734">
        <f t="shared" ref="F40:Z40" si="106">F39/F38</f>
        <v>1.0041591406545833</v>
      </c>
      <c r="G40" s="1734">
        <f t="shared" si="106"/>
        <v>0.30199999999999999</v>
      </c>
      <c r="H40" s="1734"/>
      <c r="I40" s="1734">
        <f t="shared" si="106"/>
        <v>0.30199999999999999</v>
      </c>
      <c r="J40" s="1734">
        <f t="shared" si="106"/>
        <v>0.32384886743408836</v>
      </c>
      <c r="K40" s="1734">
        <f t="shared" si="106"/>
        <v>0.29079096962806561</v>
      </c>
      <c r="L40" s="1734">
        <f t="shared" si="106"/>
        <v>0.29123422929237519</v>
      </c>
      <c r="M40" s="1734">
        <f t="shared" si="106"/>
        <v>0.96435175262375905</v>
      </c>
      <c r="N40" s="1734">
        <f t="shared" si="106"/>
        <v>0.30199999999999999</v>
      </c>
      <c r="O40" s="1734">
        <f t="shared" si="106"/>
        <v>1</v>
      </c>
      <c r="P40" s="1734">
        <f t="shared" si="106"/>
        <v>0.30199999999999999</v>
      </c>
      <c r="Q40" s="1734">
        <f t="shared" si="106"/>
        <v>1.0000000000000002</v>
      </c>
      <c r="R40" s="1734">
        <f t="shared" si="106"/>
        <v>1.0369660212461387</v>
      </c>
      <c r="S40" s="1734">
        <f t="shared" si="106"/>
        <v>0.30200887235814877</v>
      </c>
      <c r="T40" s="1734"/>
      <c r="U40" s="1734">
        <f t="shared" si="106"/>
        <v>0.29843167332257814</v>
      </c>
      <c r="V40" s="1734"/>
      <c r="W40" s="1734">
        <f t="shared" si="106"/>
        <v>0.30200056062908481</v>
      </c>
      <c r="X40" s="1734"/>
      <c r="Y40" s="1734">
        <f t="shared" si="106"/>
        <v>0.29843167332257814</v>
      </c>
      <c r="Z40" s="1734">
        <f t="shared" si="106"/>
        <v>0.29843167332257814</v>
      </c>
      <c r="AA40" s="1734"/>
      <c r="AB40" s="1734">
        <f t="shared" ref="AB40:AC40" si="107">AB39/AB38</f>
        <v>0.29797441364605542</v>
      </c>
      <c r="AC40" s="1734">
        <f t="shared" si="107"/>
        <v>0.29797441364605542</v>
      </c>
      <c r="AD40" s="1734"/>
      <c r="AE40" s="1734">
        <v>0.30099999999999999</v>
      </c>
      <c r="AF40" s="1921"/>
      <c r="AG40" s="1734">
        <v>0.30099999999999999</v>
      </c>
      <c r="AH40" s="1734">
        <v>0</v>
      </c>
      <c r="AI40" s="1734">
        <f>AI39/AI38</f>
        <v>0.29843167332257814</v>
      </c>
      <c r="AJ40" s="1921"/>
      <c r="AK40" s="1734">
        <f>AK39/AK38</f>
        <v>0.29843167332257814</v>
      </c>
      <c r="AL40" s="1734"/>
      <c r="AM40" s="1922" t="e">
        <f>#REF!</f>
        <v>#REF!</v>
      </c>
      <c r="AN40" s="1922">
        <v>0</v>
      </c>
      <c r="AO40" s="1922" t="e">
        <f t="shared" si="15"/>
        <v>#REF!</v>
      </c>
      <c r="AP40" s="1734">
        <f>AP39/AP38</f>
        <v>0</v>
      </c>
      <c r="AQ40" s="1734">
        <f t="shared" ref="AQ40" si="108">AQ39/AQ38</f>
        <v>0</v>
      </c>
      <c r="AR40" s="1734"/>
      <c r="AS40" s="1734">
        <f>AS39/AS38</f>
        <v>0</v>
      </c>
      <c r="AT40" s="1734">
        <f t="shared" ref="AT40" si="109">AT39/AT38</f>
        <v>0</v>
      </c>
      <c r="AU40" s="1734"/>
      <c r="AV40" s="1734">
        <f>SUM(AV39/AV38)</f>
        <v>0.30099999999999999</v>
      </c>
      <c r="AW40" s="1734">
        <f t="shared" si="104"/>
        <v>1.0086060794044662</v>
      </c>
      <c r="AX40" s="1734">
        <f>SUM(AX39/AX38)</f>
        <v>0.30099999999999999</v>
      </c>
      <c r="AY40" s="1734"/>
      <c r="AZ40" s="1760">
        <f>Y40</f>
        <v>0.29843167332257814</v>
      </c>
      <c r="BA40" s="2780">
        <f t="shared" si="20"/>
        <v>1</v>
      </c>
      <c r="BB40" s="1760">
        <f>Z40</f>
        <v>0.29843167332257814</v>
      </c>
      <c r="BC40" s="1760"/>
      <c r="BD40" s="1760">
        <f>BD39/BD38</f>
        <v>0.30514630641731849</v>
      </c>
      <c r="BE40" s="1760">
        <f t="shared" ref="BE40" si="110">BE39/BE38</f>
        <v>0.30514630641731849</v>
      </c>
      <c r="BF40" s="1760">
        <v>0</v>
      </c>
      <c r="BG40" s="1760">
        <f>BG39/BG38</f>
        <v>0.30440239488945464</v>
      </c>
      <c r="BH40" s="1760">
        <f t="shared" ref="BH40" si="111">BH39/BH38</f>
        <v>0.30440239488945464</v>
      </c>
      <c r="BI40" s="1760">
        <v>0</v>
      </c>
      <c r="BJ40" s="1760">
        <f>BJ39/BJ38</f>
        <v>0.29839956239702614</v>
      </c>
      <c r="BK40" s="1760">
        <f t="shared" ref="BK40" si="112">BK39/BK38</f>
        <v>0.29839956239702614</v>
      </c>
      <c r="BL40" s="1760">
        <v>0</v>
      </c>
      <c r="BM40" s="1760">
        <f>BM39/BM38</f>
        <v>0.30440239488945464</v>
      </c>
      <c r="BN40" s="1760">
        <f t="shared" ref="BN40" si="113">BN39/BN38</f>
        <v>0.30440239488945464</v>
      </c>
      <c r="BO40" s="1760">
        <v>0</v>
      </c>
      <c r="BP40" s="2782"/>
    </row>
    <row r="41" spans="1:68" ht="21" customHeight="1" x14ac:dyDescent="0.2">
      <c r="A41" s="1674" t="s">
        <v>6</v>
      </c>
      <c r="B41" s="1806">
        <v>978.6</v>
      </c>
      <c r="C41" s="1919">
        <v>825.2</v>
      </c>
      <c r="D41" s="1917">
        <f t="shared" si="0"/>
        <v>84.32454526875128</v>
      </c>
      <c r="E41" s="1919">
        <v>1695.7</v>
      </c>
      <c r="F41" s="1917">
        <f t="shared" si="87"/>
        <v>205.48957828405236</v>
      </c>
      <c r="G41" s="1919">
        <f>'цех стоки'!G45-стоки!G16-стоки!G26-стоки!G33</f>
        <v>2385.1000000000008</v>
      </c>
      <c r="H41" s="1917">
        <f t="shared" si="2"/>
        <v>140.65577637553815</v>
      </c>
      <c r="I41" s="1729">
        <v>2191.1</v>
      </c>
      <c r="J41" s="1729">
        <v>1084.5</v>
      </c>
      <c r="K41" s="1729">
        <f>'цех стоки'!K50</f>
        <v>1485.9600740438873</v>
      </c>
      <c r="L41" s="1729">
        <f>'цех стоки'!L50</f>
        <v>2185.1999999999998</v>
      </c>
      <c r="M41" s="1735">
        <f t="shared" si="9"/>
        <v>91.618800050312316</v>
      </c>
      <c r="N41" s="1729">
        <f>'цех стоки'!N50</f>
        <v>3571.6000000000022</v>
      </c>
      <c r="O41" s="1735">
        <f t="shared" si="10"/>
        <v>163.00488339190372</v>
      </c>
      <c r="P41" s="1729">
        <v>2717.2</v>
      </c>
      <c r="Q41" s="1735">
        <f t="shared" si="11"/>
        <v>124.01077084569394</v>
      </c>
      <c r="R41" s="1735">
        <f t="shared" si="69"/>
        <v>124.34559765696504</v>
      </c>
      <c r="S41" s="1729">
        <v>2999.5</v>
      </c>
      <c r="T41" s="1729"/>
      <c r="U41" s="1729">
        <v>1817.5</v>
      </c>
      <c r="V41" s="1729"/>
      <c r="W41" s="1729">
        <v>3828.5</v>
      </c>
      <c r="X41" s="1729"/>
      <c r="Y41" s="1729">
        <f>'цех стоки'!X50</f>
        <v>2844.973155291787</v>
      </c>
      <c r="Z41" s="1729">
        <f t="shared" si="96"/>
        <v>2844.973155291787</v>
      </c>
      <c r="AA41" s="1729"/>
      <c r="AB41" s="1729">
        <f>'цех стоки'!AA50</f>
        <v>2277.1999999999998</v>
      </c>
      <c r="AC41" s="1729">
        <f t="shared" ref="AC41" si="114">AB41</f>
        <v>2277.1999999999998</v>
      </c>
      <c r="AD41" s="1729">
        <v>0</v>
      </c>
      <c r="AE41" s="1729">
        <v>2622.51</v>
      </c>
      <c r="AF41" s="1729">
        <f t="shared" si="13"/>
        <v>0.92180483148742742</v>
      </c>
      <c r="AG41" s="1729">
        <v>2622.51</v>
      </c>
      <c r="AH41" s="1729">
        <v>0</v>
      </c>
      <c r="AI41" s="1729">
        <f>'цех стоки'!AC50</f>
        <v>2687.5084197683254</v>
      </c>
      <c r="AJ41" s="1729">
        <f t="shared" si="14"/>
        <v>0.94465159179777514</v>
      </c>
      <c r="AK41" s="1729">
        <f>SUM('цех стоки'!X113)</f>
        <v>2687.5084197683254</v>
      </c>
      <c r="AL41" s="1729">
        <f>SUM('цех стоки'!Y113)</f>
        <v>0</v>
      </c>
      <c r="AM41" s="1740" t="e">
        <f>#REF!</f>
        <v>#REF!</v>
      </c>
      <c r="AN41" s="1740">
        <v>0</v>
      </c>
      <c r="AO41" s="1740" t="e">
        <f t="shared" si="15"/>
        <v>#REF!</v>
      </c>
      <c r="AP41" s="1729">
        <f>SUM('цех стоки'!AE50)</f>
        <v>1242.03</v>
      </c>
      <c r="AQ41" s="1729">
        <f>SUM(AP41)</f>
        <v>1242.03</v>
      </c>
      <c r="AR41" s="1729">
        <v>0</v>
      </c>
      <c r="AS41" s="1729">
        <f>SUM('цех стоки'!AF50)</f>
        <v>1801.13</v>
      </c>
      <c r="AT41" s="1729">
        <f>SUM(AS41)</f>
        <v>1801.13</v>
      </c>
      <c r="AU41" s="1729">
        <v>0</v>
      </c>
      <c r="AV41" s="1729">
        <v>3469.75</v>
      </c>
      <c r="AW41" s="1735">
        <f>SUM(AV41/AI41)</f>
        <v>1.2910657226142224</v>
      </c>
      <c r="AX41" s="1729">
        <f>SUM(AV41)</f>
        <v>3469.75</v>
      </c>
      <c r="AY41" s="1729">
        <v>0</v>
      </c>
      <c r="AZ41" s="1689">
        <f>SUM('цех стоки'!AH50)</f>
        <v>2655.1329761606248</v>
      </c>
      <c r="BA41" s="2648">
        <f t="shared" si="20"/>
        <v>0.9879533610501241</v>
      </c>
      <c r="BB41" s="1689">
        <f>SUM(AZ41)</f>
        <v>2655.1329761606248</v>
      </c>
      <c r="BC41" s="1689">
        <v>0</v>
      </c>
      <c r="BD41" s="1689">
        <f t="shared" si="70"/>
        <v>2518.06</v>
      </c>
      <c r="BE41" s="1689">
        <v>2518.06</v>
      </c>
      <c r="BF41" s="1689">
        <v>0</v>
      </c>
      <c r="BG41" s="1689">
        <f t="shared" ref="BG41" si="115">BH41+BI41</f>
        <v>2351.98</v>
      </c>
      <c r="BH41" s="1689">
        <v>2351.98</v>
      </c>
      <c r="BI41" s="1689">
        <v>0</v>
      </c>
      <c r="BJ41" s="1689">
        <f t="shared" ref="BJ41" si="116">BK41+BL41</f>
        <v>4059.34</v>
      </c>
      <c r="BK41" s="1689">
        <v>4059.34</v>
      </c>
      <c r="BL41" s="1689">
        <v>0</v>
      </c>
      <c r="BM41" s="1689">
        <f t="shared" ref="BM41" si="117">BN41+BO41</f>
        <v>3143.3525997466791</v>
      </c>
      <c r="BN41" s="1689">
        <f>'цех стоки'!AL50</f>
        <v>3143.3525997466791</v>
      </c>
      <c r="BO41" s="1689">
        <v>0</v>
      </c>
      <c r="BP41" s="1788" t="str">
        <f>BP33</f>
        <v>Приложение</v>
      </c>
    </row>
    <row r="42" spans="1:68" s="2151" customFormat="1" ht="21" customHeight="1" x14ac:dyDescent="0.2">
      <c r="A42" s="1673" t="s">
        <v>10</v>
      </c>
      <c r="B42" s="2727">
        <v>87.2</v>
      </c>
      <c r="C42" s="1915">
        <v>78.3</v>
      </c>
      <c r="D42" s="1916">
        <f t="shared" si="0"/>
        <v>89.793577981651367</v>
      </c>
      <c r="E42" s="1915">
        <v>159.30000000000001</v>
      </c>
      <c r="F42" s="1916">
        <f t="shared" si="87"/>
        <v>203.44827586206898</v>
      </c>
      <c r="G42" s="1915">
        <v>151.1</v>
      </c>
      <c r="H42" s="1916">
        <f t="shared" si="2"/>
        <v>94.852479598242297</v>
      </c>
      <c r="I42" s="1740">
        <v>217.2</v>
      </c>
      <c r="J42" s="1740">
        <v>72.400000000000006</v>
      </c>
      <c r="K42" s="1740">
        <v>258.60000000000002</v>
      </c>
      <c r="L42" s="1740">
        <f>L43+L44</f>
        <v>338.40000000000003</v>
      </c>
      <c r="M42" s="1923">
        <f t="shared" si="9"/>
        <v>223.95764394440772</v>
      </c>
      <c r="N42" s="1740">
        <v>250</v>
      </c>
      <c r="O42" s="1923">
        <f t="shared" si="10"/>
        <v>115.10128913443832</v>
      </c>
      <c r="P42" s="1740">
        <f>227.84+P45</f>
        <v>1927.1399999999999</v>
      </c>
      <c r="Q42" s="1923">
        <f t="shared" si="11"/>
        <v>887.26519337016578</v>
      </c>
      <c r="R42" s="1923">
        <f t="shared" si="69"/>
        <v>569.48581560283685</v>
      </c>
      <c r="S42" s="1740">
        <f>1927.14</f>
        <v>1927.14</v>
      </c>
      <c r="T42" s="1740">
        <v>0</v>
      </c>
      <c r="U42" s="1740">
        <f>U43+U44+U45</f>
        <v>188.8</v>
      </c>
      <c r="V42" s="1740"/>
      <c r="W42" s="1740">
        <f>W43+W44+W45</f>
        <v>2157</v>
      </c>
      <c r="X42" s="1740"/>
      <c r="Y42" s="1740">
        <f t="shared" ref="Y42:AL42" si="118">Y43+Y44+Y45</f>
        <v>1927.84</v>
      </c>
      <c r="Z42" s="1740">
        <f t="shared" si="118"/>
        <v>1927.04</v>
      </c>
      <c r="AA42" s="1740">
        <f t="shared" si="118"/>
        <v>0.8</v>
      </c>
      <c r="AB42" s="1740">
        <f t="shared" ref="AB42:AD42" si="119">AB43+AB44+AB45</f>
        <v>1970.4</v>
      </c>
      <c r="AC42" s="1740">
        <f t="shared" si="119"/>
        <v>1969.1630113342155</v>
      </c>
      <c r="AD42" s="1740">
        <f t="shared" si="119"/>
        <v>1.2369886657844305</v>
      </c>
      <c r="AE42" s="1740">
        <v>1927.84</v>
      </c>
      <c r="AF42" s="1740">
        <f t="shared" si="13"/>
        <v>1</v>
      </c>
      <c r="AG42" s="1740">
        <v>1927.04</v>
      </c>
      <c r="AH42" s="1740">
        <v>0.8</v>
      </c>
      <c r="AI42" s="1740">
        <f t="shared" si="118"/>
        <v>1927.84</v>
      </c>
      <c r="AJ42" s="1740">
        <f t="shared" si="14"/>
        <v>1</v>
      </c>
      <c r="AK42" s="1740">
        <f t="shared" si="118"/>
        <v>1927.04</v>
      </c>
      <c r="AL42" s="1740">
        <f t="shared" si="118"/>
        <v>0.8</v>
      </c>
      <c r="AM42" s="1740" t="e">
        <f>#REF!*Z42/Y42</f>
        <v>#REF!</v>
      </c>
      <c r="AN42" s="1740" t="e">
        <f>#REF!-AM42</f>
        <v>#REF!</v>
      </c>
      <c r="AO42" s="1740" t="e">
        <f t="shared" si="15"/>
        <v>#REF!</v>
      </c>
      <c r="AP42" s="1740">
        <f t="shared" ref="AP42:BC42" si="120">AP43+AP44+AP45</f>
        <v>209.94</v>
      </c>
      <c r="AQ42" s="1740">
        <f t="shared" si="120"/>
        <v>209.88906688054394</v>
      </c>
      <c r="AR42" s="1740">
        <f t="shared" si="120"/>
        <v>5.0933119456050946E-2</v>
      </c>
      <c r="AS42" s="1740">
        <f t="shared" si="120"/>
        <v>1548.24</v>
      </c>
      <c r="AT42" s="1740">
        <f t="shared" si="120"/>
        <v>1539.1544341812178</v>
      </c>
      <c r="AU42" s="1740">
        <f t="shared" si="120"/>
        <v>9.0855658187824382</v>
      </c>
      <c r="AV42" s="1740">
        <f t="shared" si="120"/>
        <v>2116.7799999999997</v>
      </c>
      <c r="AW42" s="1923">
        <f t="shared" si="25"/>
        <v>1.0980060585940741</v>
      </c>
      <c r="AX42" s="1740">
        <f t="shared" si="120"/>
        <v>2103.3719090123814</v>
      </c>
      <c r="AY42" s="1740">
        <f t="shared" si="120"/>
        <v>13.408090987618772</v>
      </c>
      <c r="AZ42" s="1828">
        <f t="shared" si="120"/>
        <v>1684.7746853333333</v>
      </c>
      <c r="BA42" s="2738">
        <f t="shared" si="20"/>
        <v>0.87391831548952892</v>
      </c>
      <c r="BB42" s="1828">
        <f t="shared" si="120"/>
        <v>1676.7703977774761</v>
      </c>
      <c r="BC42" s="1828">
        <f t="shared" si="120"/>
        <v>8.0042875558570898</v>
      </c>
      <c r="BD42" s="1828">
        <f t="shared" ref="BD42:BF42" si="121">BD43+BD44+BD45</f>
        <v>3612.81</v>
      </c>
      <c r="BE42" s="1828">
        <f t="shared" si="121"/>
        <v>3603.6299999999997</v>
      </c>
      <c r="BF42" s="1828">
        <f t="shared" si="121"/>
        <v>9.18</v>
      </c>
      <c r="BG42" s="1828">
        <f t="shared" ref="BG42:BI42" si="122">BG43+BG44+BG45</f>
        <v>1274.3600000000001</v>
      </c>
      <c r="BH42" s="1828">
        <f t="shared" si="122"/>
        <v>1266.71</v>
      </c>
      <c r="BI42" s="1828">
        <f t="shared" si="122"/>
        <v>7.6499999999999995</v>
      </c>
      <c r="BJ42" s="1828">
        <f t="shared" ref="BJ42:BL42" si="123">BJ43+BJ44+BJ45</f>
        <v>5916.76</v>
      </c>
      <c r="BK42" s="1828">
        <f t="shared" si="123"/>
        <v>5882.2799999999988</v>
      </c>
      <c r="BL42" s="1828">
        <f t="shared" si="123"/>
        <v>34.480000000000004</v>
      </c>
      <c r="BM42" s="1828">
        <f t="shared" ref="BM42:BO42" si="124">BM43+BM44+BM45</f>
        <v>1009.6646202997873</v>
      </c>
      <c r="BN42" s="1828">
        <f t="shared" si="124"/>
        <v>1003.7504477745384</v>
      </c>
      <c r="BO42" s="1828">
        <f t="shared" si="124"/>
        <v>5.9141725252489437</v>
      </c>
      <c r="BP42" s="1869" t="s">
        <v>247</v>
      </c>
    </row>
    <row r="43" spans="1:68" ht="39" customHeight="1" x14ac:dyDescent="0.2">
      <c r="A43" s="1675" t="s">
        <v>81</v>
      </c>
      <c r="B43" s="1914"/>
      <c r="C43" s="1915"/>
      <c r="D43" s="1917"/>
      <c r="E43" s="1915"/>
      <c r="F43" s="1916"/>
      <c r="G43" s="1915"/>
      <c r="H43" s="1917"/>
      <c r="I43" s="1729"/>
      <c r="J43" s="1729">
        <v>44.4</v>
      </c>
      <c r="K43" s="1729">
        <v>236.1</v>
      </c>
      <c r="L43" s="1729">
        <v>303.3</v>
      </c>
      <c r="M43" s="1923"/>
      <c r="N43" s="1729"/>
      <c r="O43" s="1735"/>
      <c r="P43" s="1729">
        <v>227.84</v>
      </c>
      <c r="Q43" s="1735"/>
      <c r="R43" s="1735"/>
      <c r="S43" s="1729">
        <v>227.84</v>
      </c>
      <c r="T43" s="1729"/>
      <c r="U43" s="1729">
        <v>138.5</v>
      </c>
      <c r="V43" s="1729"/>
      <c r="W43" s="1729">
        <v>418</v>
      </c>
      <c r="X43" s="1729"/>
      <c r="Y43" s="1729">
        <f>P43</f>
        <v>227.84</v>
      </c>
      <c r="Z43" s="1729">
        <f>Y43</f>
        <v>227.84</v>
      </c>
      <c r="AA43" s="1729">
        <v>0</v>
      </c>
      <c r="AB43" s="1729">
        <v>220.1</v>
      </c>
      <c r="AC43" s="1729">
        <f>AB43</f>
        <v>220.1</v>
      </c>
      <c r="AD43" s="1729">
        <v>0</v>
      </c>
      <c r="AE43" s="1729">
        <v>227.84</v>
      </c>
      <c r="AF43" s="1729">
        <f t="shared" si="13"/>
        <v>1</v>
      </c>
      <c r="AG43" s="1729">
        <v>227.84</v>
      </c>
      <c r="AH43" s="1729">
        <v>0</v>
      </c>
      <c r="AI43" s="1729">
        <f>Y43</f>
        <v>227.84</v>
      </c>
      <c r="AJ43" s="1729">
        <f t="shared" si="14"/>
        <v>1</v>
      </c>
      <c r="AK43" s="1729">
        <f>AI43</f>
        <v>227.84</v>
      </c>
      <c r="AL43" s="1729">
        <f>AA43*1.046</f>
        <v>0</v>
      </c>
      <c r="AM43" s="1729" t="e">
        <f>#REF!</f>
        <v>#REF!</v>
      </c>
      <c r="AN43" s="1729" t="e">
        <f>#REF!-AM43</f>
        <v>#REF!</v>
      </c>
      <c r="AO43" s="1740" t="e">
        <f t="shared" si="15"/>
        <v>#REF!</v>
      </c>
      <c r="AP43" s="1729">
        <v>201.14</v>
      </c>
      <c r="AQ43" s="1729">
        <f>SUM(AP43)</f>
        <v>201.14</v>
      </c>
      <c r="AR43" s="1729">
        <v>0</v>
      </c>
      <c r="AS43" s="1729">
        <v>300.83999999999997</v>
      </c>
      <c r="AT43" s="1729">
        <f>SUM(AS43)</f>
        <v>300.83999999999997</v>
      </c>
      <c r="AU43" s="1729">
        <v>0</v>
      </c>
      <c r="AV43" s="1729">
        <v>453.58</v>
      </c>
      <c r="AW43" s="1735">
        <f>SUM(AV43/AI43)</f>
        <v>1.9907830056179774</v>
      </c>
      <c r="AX43" s="1729">
        <f>SUM(AV43)</f>
        <v>453.58</v>
      </c>
      <c r="AY43" s="1729">
        <v>0</v>
      </c>
      <c r="AZ43" s="1689">
        <v>220.1</v>
      </c>
      <c r="BA43" s="2648">
        <f t="shared" si="20"/>
        <v>0.96602879213483139</v>
      </c>
      <c r="BB43" s="1689">
        <f>SUM(AZ43)</f>
        <v>220.1</v>
      </c>
      <c r="BC43" s="1689">
        <v>0</v>
      </c>
      <c r="BD43" s="1689">
        <f t="shared" si="70"/>
        <v>2252.29</v>
      </c>
      <c r="BE43" s="1689">
        <v>2252.29</v>
      </c>
      <c r="BF43" s="1689">
        <v>0</v>
      </c>
      <c r="BG43" s="1689">
        <f t="shared" ref="BG43:BG45" si="125">BH43+BI43</f>
        <v>1.4</v>
      </c>
      <c r="BH43" s="1689">
        <v>1.4</v>
      </c>
      <c r="BI43" s="1689">
        <v>0</v>
      </c>
      <c r="BJ43" s="1689">
        <f t="shared" ref="BJ43:BJ45" si="126">BK43+BL43</f>
        <v>4637.42</v>
      </c>
      <c r="BK43" s="1689">
        <v>4610.3999999999996</v>
      </c>
      <c r="BL43" s="1689">
        <v>27.02</v>
      </c>
      <c r="BM43" s="1689">
        <f t="shared" ref="BM43:BM45" si="127">BN43+BO43</f>
        <v>18.438712679787201</v>
      </c>
      <c r="BN43" s="1689">
        <f>'Н 2019-2024'!K27</f>
        <v>18.330848375909873</v>
      </c>
      <c r="BO43" s="1689">
        <f>'Н 2019-2024'!K35</f>
        <v>0.10786430387732723</v>
      </c>
      <c r="BP43" s="1788" t="s">
        <v>247</v>
      </c>
    </row>
    <row r="44" spans="1:68" ht="21" customHeight="1" x14ac:dyDescent="0.2">
      <c r="A44" s="1675" t="s">
        <v>533</v>
      </c>
      <c r="B44" s="1914"/>
      <c r="C44" s="1915"/>
      <c r="D44" s="1917"/>
      <c r="E44" s="1915"/>
      <c r="F44" s="1916"/>
      <c r="G44" s="1915"/>
      <c r="H44" s="1917"/>
      <c r="I44" s="1729"/>
      <c r="J44" s="1729">
        <v>28</v>
      </c>
      <c r="K44" s="1729">
        <v>22.5</v>
      </c>
      <c r="L44" s="1729">
        <v>35.1</v>
      </c>
      <c r="M44" s="1923"/>
      <c r="N44" s="1729"/>
      <c r="O44" s="1735"/>
      <c r="P44" s="1729"/>
      <c r="Q44" s="1735"/>
      <c r="R44" s="1735"/>
      <c r="S44" s="1729"/>
      <c r="T44" s="1729"/>
      <c r="U44" s="1729">
        <v>50.3</v>
      </c>
      <c r="V44" s="1729"/>
      <c r="W44" s="1729">
        <v>39</v>
      </c>
      <c r="X44" s="1729"/>
      <c r="Y44" s="1729">
        <v>0</v>
      </c>
      <c r="Z44" s="1729">
        <v>0</v>
      </c>
      <c r="AA44" s="1729">
        <v>0</v>
      </c>
      <c r="AB44" s="1729">
        <v>50.3</v>
      </c>
      <c r="AC44" s="1729">
        <f>SUM(AC52/AB52)*AB44</f>
        <v>49.863011334215521</v>
      </c>
      <c r="AD44" s="1729">
        <f>AB44-AC44</f>
        <v>0.43698866578447593</v>
      </c>
      <c r="AE44" s="1729">
        <v>0</v>
      </c>
      <c r="AF44" s="1729"/>
      <c r="AG44" s="1729">
        <v>0</v>
      </c>
      <c r="AH44" s="1729">
        <v>0</v>
      </c>
      <c r="AI44" s="1729">
        <f>Y44</f>
        <v>0</v>
      </c>
      <c r="AJ44" s="1729"/>
      <c r="AK44" s="1729"/>
      <c r="AL44" s="1729"/>
      <c r="AM44" s="1729" t="e">
        <f>#REF!</f>
        <v>#REF!</v>
      </c>
      <c r="AN44" s="1729" t="e">
        <f>#REF!-AM44</f>
        <v>#REF!</v>
      </c>
      <c r="AO44" s="1740" t="e">
        <f t="shared" si="15"/>
        <v>#REF!</v>
      </c>
      <c r="AP44" s="1729">
        <v>8.8000000000000007</v>
      </c>
      <c r="AQ44" s="1729">
        <f>SUM(AQ52/AP52)*AP44</f>
        <v>8.7490668805439498</v>
      </c>
      <c r="AR44" s="1729">
        <f>AP44-AQ44</f>
        <v>5.0933119456050946E-2</v>
      </c>
      <c r="AS44" s="1729">
        <v>17.5</v>
      </c>
      <c r="AT44" s="1729">
        <f>SUM(AT52/AS52)*AS44</f>
        <v>17.372536955404289</v>
      </c>
      <c r="AU44" s="1729">
        <f>AS44-AT44</f>
        <v>0.12746304459571078</v>
      </c>
      <c r="AV44" s="1729">
        <v>23.33</v>
      </c>
      <c r="AW44" s="1735"/>
      <c r="AX44" s="1729">
        <f>SUM(AX52/AV52)*AV44</f>
        <v>23.141909012381227</v>
      </c>
      <c r="AY44" s="1729">
        <f>AV44-AX44</f>
        <v>0.18809098761877152</v>
      </c>
      <c r="AZ44" s="1689">
        <f>AS44/3*4</f>
        <v>23.333333333333332</v>
      </c>
      <c r="BA44" s="2648"/>
      <c r="BB44" s="1689">
        <f>SUM(BB52/AZ52)*AZ44</f>
        <v>23.205819209202648</v>
      </c>
      <c r="BC44" s="1689">
        <f>AZ44-BB44</f>
        <v>0.12751412413068408</v>
      </c>
      <c r="BD44" s="1689">
        <f t="shared" si="70"/>
        <v>29.689999999999998</v>
      </c>
      <c r="BE44" s="1689">
        <v>29.49</v>
      </c>
      <c r="BF44" s="1689">
        <v>0.2</v>
      </c>
      <c r="BG44" s="1689">
        <f t="shared" si="125"/>
        <v>43.12</v>
      </c>
      <c r="BH44" s="1689">
        <v>42.86</v>
      </c>
      <c r="BI44" s="1689">
        <v>0.26</v>
      </c>
      <c r="BJ44" s="1689">
        <f t="shared" si="126"/>
        <v>43.12</v>
      </c>
      <c r="BK44" s="1689">
        <v>42.86</v>
      </c>
      <c r="BL44" s="1689">
        <v>0.26</v>
      </c>
      <c r="BM44" s="1689">
        <f t="shared" si="127"/>
        <v>43.12</v>
      </c>
      <c r="BN44" s="1689">
        <f>'Н 2019-2024'!K28</f>
        <v>42.86</v>
      </c>
      <c r="BO44" s="1689">
        <f>'Н 2019-2024'!K36</f>
        <v>0.26</v>
      </c>
      <c r="BP44" s="1792" t="s">
        <v>1009</v>
      </c>
    </row>
    <row r="45" spans="1:68" ht="21" customHeight="1" x14ac:dyDescent="0.2">
      <c r="A45" s="1675" t="s">
        <v>535</v>
      </c>
      <c r="B45" s="1914"/>
      <c r="C45" s="1915"/>
      <c r="D45" s="1917"/>
      <c r="E45" s="1915"/>
      <c r="F45" s="1916"/>
      <c r="G45" s="1915"/>
      <c r="H45" s="1917"/>
      <c r="I45" s="1729"/>
      <c r="J45" s="1729"/>
      <c r="K45" s="1729"/>
      <c r="L45" s="1729">
        <v>0</v>
      </c>
      <c r="M45" s="1923"/>
      <c r="N45" s="1729"/>
      <c r="O45" s="1735"/>
      <c r="P45" s="1729">
        <v>1699.3</v>
      </c>
      <c r="Q45" s="1735"/>
      <c r="R45" s="1735"/>
      <c r="S45" s="1729">
        <v>1699.3</v>
      </c>
      <c r="T45" s="1729"/>
      <c r="U45" s="1729">
        <v>0</v>
      </c>
      <c r="V45" s="1729"/>
      <c r="W45" s="1729">
        <v>1700</v>
      </c>
      <c r="X45" s="1729"/>
      <c r="Y45" s="1729">
        <v>1700</v>
      </c>
      <c r="Z45" s="1729">
        <f>Y45-AA45</f>
        <v>1699.2</v>
      </c>
      <c r="AA45" s="1729">
        <v>0.8</v>
      </c>
      <c r="AB45" s="1729">
        <v>1700</v>
      </c>
      <c r="AC45" s="1729">
        <v>1699.2</v>
      </c>
      <c r="AD45" s="1729">
        <f>AB45-AC45</f>
        <v>0.79999999999995453</v>
      </c>
      <c r="AE45" s="1729">
        <v>1700</v>
      </c>
      <c r="AF45" s="1729">
        <f t="shared" si="13"/>
        <v>1</v>
      </c>
      <c r="AG45" s="1729">
        <v>1699.2</v>
      </c>
      <c r="AH45" s="1729">
        <v>0.8</v>
      </c>
      <c r="AI45" s="1729">
        <f>Y45</f>
        <v>1700</v>
      </c>
      <c r="AJ45" s="1729">
        <f t="shared" si="14"/>
        <v>1</v>
      </c>
      <c r="AK45" s="1729">
        <f>Z45</f>
        <v>1699.2</v>
      </c>
      <c r="AL45" s="1729">
        <f>AA45</f>
        <v>0.8</v>
      </c>
      <c r="AM45" s="1740" t="e">
        <f>#REF!*Z45/Y45</f>
        <v>#REF!</v>
      </c>
      <c r="AN45" s="1729" t="e">
        <f>#REF!-AM45</f>
        <v>#REF!</v>
      </c>
      <c r="AO45" s="1740" t="e">
        <f t="shared" si="15"/>
        <v>#REF!</v>
      </c>
      <c r="AP45" s="1729">
        <v>0</v>
      </c>
      <c r="AQ45" s="1729">
        <f>SUM(AQ52/AP52)*AP45</f>
        <v>0</v>
      </c>
      <c r="AR45" s="1729">
        <f>AP45-AQ45</f>
        <v>0</v>
      </c>
      <c r="AS45" s="1729">
        <v>1229.9000000000001</v>
      </c>
      <c r="AT45" s="1729">
        <f>SUM(AT52/AS52)*AS45</f>
        <v>1220.9418972258134</v>
      </c>
      <c r="AU45" s="1729">
        <f>AS45-AT45</f>
        <v>8.9581027741867274</v>
      </c>
      <c r="AV45" s="1729">
        <v>1639.87</v>
      </c>
      <c r="AW45" s="1735">
        <f t="shared" si="25"/>
        <v>0.96462941176470585</v>
      </c>
      <c r="AX45" s="1729">
        <v>1626.65</v>
      </c>
      <c r="AY45" s="1729">
        <v>13.22</v>
      </c>
      <c r="AZ45" s="1689">
        <f>'налог на имущ'!D15</f>
        <v>1441.3413519999999</v>
      </c>
      <c r="BA45" s="2648">
        <f t="shared" si="20"/>
        <v>0.84784785411764696</v>
      </c>
      <c r="BB45" s="1689">
        <f>SUM(BB52/AZ52)*AZ45</f>
        <v>1433.4645785682735</v>
      </c>
      <c r="BC45" s="1689">
        <f>AZ45-BB45</f>
        <v>7.8767734317264058</v>
      </c>
      <c r="BD45" s="1689">
        <f t="shared" si="70"/>
        <v>1330.83</v>
      </c>
      <c r="BE45" s="1689">
        <v>1321.85</v>
      </c>
      <c r="BF45" s="1689">
        <v>8.98</v>
      </c>
      <c r="BG45" s="1689">
        <f t="shared" si="125"/>
        <v>1229.8400000000001</v>
      </c>
      <c r="BH45" s="1689">
        <v>1222.45</v>
      </c>
      <c r="BI45" s="1689">
        <v>7.39</v>
      </c>
      <c r="BJ45" s="1689">
        <f t="shared" si="126"/>
        <v>1236.22</v>
      </c>
      <c r="BK45" s="1689">
        <v>1229.02</v>
      </c>
      <c r="BL45" s="1689">
        <v>7.2</v>
      </c>
      <c r="BM45" s="1689">
        <f t="shared" si="127"/>
        <v>948.10590762000015</v>
      </c>
      <c r="BN45" s="1689">
        <f>'Н 2019-2024'!K26</f>
        <v>942.55959939862851</v>
      </c>
      <c r="BO45" s="1689">
        <f>'Н 2019-2024'!K34</f>
        <v>5.5463082213716168</v>
      </c>
      <c r="BP45" s="1792" t="s">
        <v>976</v>
      </c>
    </row>
    <row r="46" spans="1:68" ht="21" customHeight="1" x14ac:dyDescent="0.2">
      <c r="A46" s="1673" t="s">
        <v>11</v>
      </c>
      <c r="B46" s="1914">
        <v>6566.2</v>
      </c>
      <c r="C46" s="1915">
        <v>7034.8</v>
      </c>
      <c r="D46" s="1917">
        <f>C46/B46*100</f>
        <v>107.13654777496879</v>
      </c>
      <c r="E46" s="1740">
        <v>7166.7</v>
      </c>
      <c r="F46" s="1740">
        <f>E46/C46*100</f>
        <v>101.87496446238697</v>
      </c>
      <c r="G46" s="1740">
        <v>7614.1</v>
      </c>
      <c r="H46" s="1917">
        <f t="shared" si="2"/>
        <v>106.24276166157367</v>
      </c>
      <c r="I46" s="1740">
        <v>8986</v>
      </c>
      <c r="J46" s="1740">
        <v>4011.7</v>
      </c>
      <c r="K46" s="1740">
        <v>6062.9</v>
      </c>
      <c r="L46" s="1740">
        <v>8448.7000000000007</v>
      </c>
      <c r="M46" s="1740">
        <f t="shared" si="9"/>
        <v>110.96124295714529</v>
      </c>
      <c r="N46" s="1740">
        <v>10151.1</v>
      </c>
      <c r="O46" s="1740">
        <f t="shared" si="10"/>
        <v>112.96572446027153</v>
      </c>
      <c r="P46" s="1740">
        <v>8915.7999999999993</v>
      </c>
      <c r="Q46" s="1740">
        <f t="shared" si="11"/>
        <v>99.218784776318714</v>
      </c>
      <c r="R46" s="1740">
        <f>P46/L46*100</f>
        <v>105.52866121415127</v>
      </c>
      <c r="S46" s="1740">
        <f>P46-T46</f>
        <v>8876.5</v>
      </c>
      <c r="T46" s="1740">
        <v>39.299999999999997</v>
      </c>
      <c r="U46" s="1740">
        <v>7513.6</v>
      </c>
      <c r="V46" s="1740"/>
      <c r="W46" s="1740">
        <v>10701.5</v>
      </c>
      <c r="X46" s="1740"/>
      <c r="Y46" s="1740">
        <v>10806.57</v>
      </c>
      <c r="Z46" s="1740">
        <f>Y46-AA46</f>
        <v>10753.369999999999</v>
      </c>
      <c r="AA46" s="1740">
        <v>53.2</v>
      </c>
      <c r="AB46" s="1740">
        <f>SUM('ОХР '!AD58)</f>
        <v>9591.77</v>
      </c>
      <c r="AC46" s="1740">
        <f>SUM(AC52/AB52)*AB46</f>
        <v>9508.4400839997706</v>
      </c>
      <c r="AD46" s="1740">
        <f>AB46-AC46</f>
        <v>83.329916000229787</v>
      </c>
      <c r="AE46" s="1740">
        <v>9051.4500000000007</v>
      </c>
      <c r="AF46" s="1740">
        <f t="shared" si="13"/>
        <v>0.83758768971098152</v>
      </c>
      <c r="AG46" s="1740">
        <v>8995.59</v>
      </c>
      <c r="AH46" s="1740">
        <v>55.86</v>
      </c>
      <c r="AI46" s="1740">
        <f>SUM('ОХР '!AH58)</f>
        <v>8833.3841337506801</v>
      </c>
      <c r="AJ46" s="1740">
        <f t="shared" si="14"/>
        <v>0.8174086813624194</v>
      </c>
      <c r="AK46" s="1740">
        <f>AI46-AL46</f>
        <v>8777.5241337506795</v>
      </c>
      <c r="AL46" s="1740">
        <f>AA46*1.05</f>
        <v>55.860000000000007</v>
      </c>
      <c r="AM46" s="1740" t="e">
        <f>#REF!*Z46/Y46</f>
        <v>#REF!</v>
      </c>
      <c r="AN46" s="1740" t="e">
        <f>#REF!-AM46</f>
        <v>#REF!</v>
      </c>
      <c r="AO46" s="1740" t="e">
        <f t="shared" si="15"/>
        <v>#REF!</v>
      </c>
      <c r="AP46" s="1740">
        <v>0</v>
      </c>
      <c r="AQ46" s="1740">
        <f>SUM(AQ52/AP52)*AP46</f>
        <v>0</v>
      </c>
      <c r="AR46" s="1740">
        <f>AP46-AQ46</f>
        <v>0</v>
      </c>
      <c r="AS46" s="1740">
        <f>SUM('цех стоки'!AF62)</f>
        <v>0</v>
      </c>
      <c r="AT46" s="1740">
        <f>SUM(AT52/AS52)*AS46</f>
        <v>0</v>
      </c>
      <c r="AU46" s="1740">
        <f>AS46-AT46</f>
        <v>0</v>
      </c>
      <c r="AV46" s="1740">
        <v>10189.549999999999</v>
      </c>
      <c r="AW46" s="1923">
        <f t="shared" ref="AW46" si="128">SUM(AV46/AI46)</f>
        <v>1.1535273283392791</v>
      </c>
      <c r="AX46" s="1740">
        <v>10189.549999999999</v>
      </c>
      <c r="AY46" s="1740">
        <v>0</v>
      </c>
      <c r="AZ46" s="1828">
        <f>SUM('ОХР '!AM58)+2500</f>
        <v>13195.647202096725</v>
      </c>
      <c r="BA46" s="2738">
        <f t="shared" si="20"/>
        <v>1.4938382620176867</v>
      </c>
      <c r="BB46" s="1828">
        <f>SUM(AZ46-BC46)</f>
        <v>13195.647202096725</v>
      </c>
      <c r="BC46" s="1828">
        <v>0</v>
      </c>
      <c r="BD46" s="1828">
        <f>BE46+BF46</f>
        <v>9307.77</v>
      </c>
      <c r="BE46" s="1828">
        <v>9244.99</v>
      </c>
      <c r="BF46" s="1828">
        <v>62.78</v>
      </c>
      <c r="BG46" s="1828">
        <f>BH46+BI46</f>
        <v>9770.4</v>
      </c>
      <c r="BH46" s="1828">
        <v>9711.67</v>
      </c>
      <c r="BI46" s="1828">
        <v>58.73</v>
      </c>
      <c r="BJ46" s="1828">
        <f>BK46+BL46</f>
        <v>18419.43</v>
      </c>
      <c r="BK46" s="1828">
        <v>18312.11</v>
      </c>
      <c r="BL46" s="1828">
        <v>107.32</v>
      </c>
      <c r="BM46" s="1828">
        <f>'ОХР '!BC50+'вода 2018 коррект'!W64</f>
        <v>14542.724168003919</v>
      </c>
      <c r="BN46" s="1828">
        <f>BM46/BM52*BN52+28.6+3.31+16.935+6.95+27.89</f>
        <v>14541.335939405846</v>
      </c>
      <c r="BO46" s="1828">
        <f>BM46/BM52*BO52-28.6-3.31-16.935-6.95-27.89</f>
        <v>1.3882285980731162</v>
      </c>
      <c r="BP46" s="2729" t="str">
        <f>вода!BT56</f>
        <v>Приложение</v>
      </c>
    </row>
    <row r="47" spans="1:68" ht="21" customHeight="1" x14ac:dyDescent="0.2">
      <c r="A47" s="1673" t="s">
        <v>904</v>
      </c>
      <c r="B47" s="1914"/>
      <c r="C47" s="1915"/>
      <c r="D47" s="1917"/>
      <c r="E47" s="1740"/>
      <c r="F47" s="1740"/>
      <c r="G47" s="1740"/>
      <c r="H47" s="1917"/>
      <c r="I47" s="1740"/>
      <c r="J47" s="1740"/>
      <c r="K47" s="1740"/>
      <c r="L47" s="1740"/>
      <c r="M47" s="1740"/>
      <c r="N47" s="1740"/>
      <c r="O47" s="1740"/>
      <c r="P47" s="1740"/>
      <c r="Q47" s="1740"/>
      <c r="R47" s="1740"/>
      <c r="S47" s="1740"/>
      <c r="T47" s="1740"/>
      <c r="U47" s="1740"/>
      <c r="V47" s="1740"/>
      <c r="W47" s="1740"/>
      <c r="X47" s="1740"/>
      <c r="Y47" s="1740"/>
      <c r="Z47" s="1740"/>
      <c r="AA47" s="1740"/>
      <c r="AB47" s="1740"/>
      <c r="AC47" s="1740"/>
      <c r="AD47" s="1740"/>
      <c r="AE47" s="1740"/>
      <c r="AF47" s="1740"/>
      <c r="AG47" s="1740"/>
      <c r="AH47" s="1740"/>
      <c r="AI47" s="1740"/>
      <c r="AJ47" s="1740"/>
      <c r="AK47" s="1740"/>
      <c r="AL47" s="1740"/>
      <c r="AM47" s="1740"/>
      <c r="AN47" s="1740"/>
      <c r="AO47" s="1740"/>
      <c r="AP47" s="1740"/>
      <c r="AQ47" s="1740"/>
      <c r="AR47" s="1740"/>
      <c r="AS47" s="1740"/>
      <c r="AT47" s="1740"/>
      <c r="AU47" s="1740"/>
      <c r="AV47" s="1740">
        <v>828.88</v>
      </c>
      <c r="AW47" s="1923"/>
      <c r="AX47" s="1926">
        <v>828.88</v>
      </c>
      <c r="AY47" s="1740"/>
      <c r="AZ47" s="1687">
        <f>BB47+BC47</f>
        <v>286.40476017160813</v>
      </c>
      <c r="BA47" s="2784"/>
      <c r="BB47" s="1687">
        <f>'Резерв ДЗ'!F12</f>
        <v>286.40476017160813</v>
      </c>
      <c r="BC47" s="1687"/>
      <c r="BD47" s="1687">
        <v>0</v>
      </c>
      <c r="BE47" s="1687"/>
      <c r="BF47" s="1687"/>
      <c r="BG47" s="1687">
        <v>0</v>
      </c>
      <c r="BH47" s="1687"/>
      <c r="BI47" s="1687"/>
      <c r="BJ47" s="1687">
        <v>241.01</v>
      </c>
      <c r="BK47" s="1687">
        <v>241.01</v>
      </c>
      <c r="BL47" s="1687"/>
      <c r="BM47" s="1687">
        <f>BJ47</f>
        <v>241.01</v>
      </c>
      <c r="BN47" s="1687">
        <f>BM47</f>
        <v>241.01</v>
      </c>
      <c r="BO47" s="1687">
        <v>0</v>
      </c>
      <c r="BP47" s="2745" t="s">
        <v>976</v>
      </c>
    </row>
    <row r="48" spans="1:68" ht="21" customHeight="1" x14ac:dyDescent="0.2">
      <c r="A48" s="1673" t="s">
        <v>2050</v>
      </c>
      <c r="B48" s="2727"/>
      <c r="C48" s="1915"/>
      <c r="D48" s="1917"/>
      <c r="E48" s="1740"/>
      <c r="F48" s="1740"/>
      <c r="G48" s="1740"/>
      <c r="H48" s="1917"/>
      <c r="I48" s="1740"/>
      <c r="J48" s="1740"/>
      <c r="K48" s="1740"/>
      <c r="L48" s="1740"/>
      <c r="M48" s="1740"/>
      <c r="N48" s="1740"/>
      <c r="O48" s="1740"/>
      <c r="P48" s="1740"/>
      <c r="Q48" s="1740"/>
      <c r="R48" s="1740"/>
      <c r="S48" s="1740"/>
      <c r="T48" s="1740"/>
      <c r="U48" s="1740"/>
      <c r="V48" s="1740"/>
      <c r="W48" s="1740"/>
      <c r="X48" s="1740"/>
      <c r="Y48" s="1740"/>
      <c r="Z48" s="1740"/>
      <c r="AA48" s="1740"/>
      <c r="AB48" s="1740"/>
      <c r="AC48" s="1740"/>
      <c r="AD48" s="1740"/>
      <c r="AE48" s="1740"/>
      <c r="AF48" s="1740"/>
      <c r="AG48" s="1740"/>
      <c r="AH48" s="1740"/>
      <c r="AI48" s="1740"/>
      <c r="AJ48" s="1740"/>
      <c r="AK48" s="1740"/>
      <c r="AL48" s="1740"/>
      <c r="AM48" s="1740"/>
      <c r="AN48" s="1740"/>
      <c r="AO48" s="1740"/>
      <c r="AP48" s="1740"/>
      <c r="AQ48" s="1740"/>
      <c r="AR48" s="1740"/>
      <c r="AS48" s="1740"/>
      <c r="AT48" s="1740"/>
      <c r="AU48" s="1740"/>
      <c r="AV48" s="1740"/>
      <c r="AW48" s="1923"/>
      <c r="AX48" s="1926"/>
      <c r="AY48" s="1740"/>
      <c r="AZ48" s="1687"/>
      <c r="BA48" s="2784"/>
      <c r="BB48" s="1687"/>
      <c r="BC48" s="1687"/>
      <c r="BD48" s="1687"/>
      <c r="BE48" s="1687"/>
      <c r="BF48" s="1687"/>
      <c r="BG48" s="1687"/>
      <c r="BH48" s="1687"/>
      <c r="BI48" s="1687"/>
      <c r="BJ48" s="1687"/>
      <c r="BK48" s="1687"/>
      <c r="BL48" s="1687"/>
      <c r="BM48" s="1687">
        <f>'Аренда земли'!K11</f>
        <v>105.48881849999999</v>
      </c>
      <c r="BN48" s="1687">
        <f>BM48</f>
        <v>105.48881849999999</v>
      </c>
      <c r="BO48" s="1687">
        <v>0</v>
      </c>
      <c r="BP48" s="2745"/>
    </row>
    <row r="49" spans="1:68" ht="21" customHeight="1" x14ac:dyDescent="0.2">
      <c r="A49" s="1673" t="s">
        <v>636</v>
      </c>
      <c r="B49" s="2727"/>
      <c r="C49" s="1915"/>
      <c r="D49" s="1917"/>
      <c r="E49" s="1740"/>
      <c r="F49" s="1740"/>
      <c r="G49" s="1740"/>
      <c r="H49" s="1917"/>
      <c r="I49" s="1740"/>
      <c r="J49" s="1740"/>
      <c r="K49" s="1740"/>
      <c r="L49" s="1740"/>
      <c r="M49" s="1740"/>
      <c r="N49" s="1740"/>
      <c r="O49" s="1740"/>
      <c r="P49" s="1740"/>
      <c r="Q49" s="1740"/>
      <c r="R49" s="1740"/>
      <c r="S49" s="1740"/>
      <c r="T49" s="1740"/>
      <c r="U49" s="1740"/>
      <c r="V49" s="1740"/>
      <c r="W49" s="1740"/>
      <c r="X49" s="1740"/>
      <c r="Y49" s="1740"/>
      <c r="Z49" s="1740"/>
      <c r="AA49" s="1740"/>
      <c r="AB49" s="1740"/>
      <c r="AC49" s="1740"/>
      <c r="AD49" s="1740"/>
      <c r="AE49" s="1740"/>
      <c r="AF49" s="1740"/>
      <c r="AG49" s="1740"/>
      <c r="AH49" s="1740"/>
      <c r="AI49" s="1740"/>
      <c r="AJ49" s="1740"/>
      <c r="AK49" s="1740"/>
      <c r="AL49" s="1740"/>
      <c r="AM49" s="1740"/>
      <c r="AN49" s="1740"/>
      <c r="AO49" s="1740"/>
      <c r="AP49" s="1740"/>
      <c r="AQ49" s="1740"/>
      <c r="AR49" s="1740"/>
      <c r="AS49" s="1740"/>
      <c r="AT49" s="1740"/>
      <c r="AU49" s="1740"/>
      <c r="AV49" s="1740"/>
      <c r="AW49" s="1923"/>
      <c r="AX49" s="1926"/>
      <c r="AY49" s="1740"/>
      <c r="AZ49" s="1687"/>
      <c r="BA49" s="2784"/>
      <c r="BB49" s="1687"/>
      <c r="BC49" s="1687"/>
      <c r="BD49" s="1687"/>
      <c r="BE49" s="1687"/>
      <c r="BF49" s="1687"/>
      <c r="BG49" s="1687"/>
      <c r="BH49" s="1687"/>
      <c r="BI49" s="1687"/>
      <c r="BJ49" s="1687"/>
      <c r="BK49" s="1687"/>
      <c r="BL49" s="1687"/>
      <c r="BM49" s="1687">
        <f>BN49</f>
        <v>517.29666900000007</v>
      </c>
      <c r="BN49" s="1687">
        <f>'Транспортировка КЭМЗ'!C12</f>
        <v>517.29666900000007</v>
      </c>
      <c r="BO49" s="1687">
        <v>0</v>
      </c>
      <c r="BP49" s="2745"/>
    </row>
    <row r="50" spans="1:68" ht="21" customHeight="1" x14ac:dyDescent="0.2">
      <c r="A50" s="1673" t="str">
        <f>вода!A60</f>
        <v>Выпадающие расходы прошлых периодов</v>
      </c>
      <c r="B50" s="1914"/>
      <c r="C50" s="1915"/>
      <c r="D50" s="1917"/>
      <c r="E50" s="1740"/>
      <c r="F50" s="1740"/>
      <c r="G50" s="1740"/>
      <c r="H50" s="1917"/>
      <c r="I50" s="1740"/>
      <c r="J50" s="1740"/>
      <c r="K50" s="1740"/>
      <c r="L50" s="1740"/>
      <c r="M50" s="1740"/>
      <c r="N50" s="1740"/>
      <c r="O50" s="1740"/>
      <c r="P50" s="1740"/>
      <c r="Q50" s="1740"/>
      <c r="R50" s="1740"/>
      <c r="S50" s="1740"/>
      <c r="T50" s="1740"/>
      <c r="U50" s="1740"/>
      <c r="V50" s="1740"/>
      <c r="W50" s="1740"/>
      <c r="X50" s="1740"/>
      <c r="Y50" s="1740"/>
      <c r="Z50" s="1740"/>
      <c r="AA50" s="1740"/>
      <c r="AB50" s="1740"/>
      <c r="AC50" s="1740"/>
      <c r="AD50" s="1740"/>
      <c r="AE50" s="1740">
        <v>885.62</v>
      </c>
      <c r="AF50" s="1740"/>
      <c r="AG50" s="1740">
        <v>885.62</v>
      </c>
      <c r="AH50" s="1740">
        <v>0</v>
      </c>
      <c r="AI50" s="1740">
        <f>SUM(AK50+AL50)</f>
        <v>1458.3999999999999</v>
      </c>
      <c r="AJ50" s="1740"/>
      <c r="AK50" s="1740">
        <v>1450.3</v>
      </c>
      <c r="AL50" s="1740">
        <v>8.1</v>
      </c>
      <c r="AM50" s="1740"/>
      <c r="AN50" s="1740"/>
      <c r="AO50" s="1740"/>
      <c r="AP50" s="1740">
        <f>SUM(AQ50:AR50)</f>
        <v>0</v>
      </c>
      <c r="AQ50" s="1740">
        <v>0</v>
      </c>
      <c r="AR50" s="1740">
        <v>0</v>
      </c>
      <c r="AS50" s="1740">
        <f>SUM(AT50:AU50)</f>
        <v>0</v>
      </c>
      <c r="AT50" s="1740">
        <v>0</v>
      </c>
      <c r="AU50" s="1740">
        <v>0</v>
      </c>
      <c r="AV50" s="1740">
        <v>26.1</v>
      </c>
      <c r="AW50" s="1923">
        <f t="shared" si="25"/>
        <v>1.7896324739440486E-2</v>
      </c>
      <c r="AX50" s="1740">
        <v>26.1</v>
      </c>
      <c r="AY50" s="1740">
        <v>0</v>
      </c>
      <c r="AZ50" s="1687">
        <f>SUM(BB50:BC50)</f>
        <v>26.100000000000009</v>
      </c>
      <c r="BA50" s="2784">
        <f t="shared" si="20"/>
        <v>1.789632473944049E-2</v>
      </c>
      <c r="BB50" s="1687">
        <f>'Выпадающ15-16'!G25</f>
        <v>26.100000000000009</v>
      </c>
      <c r="BC50" s="1687">
        <v>0</v>
      </c>
      <c r="BD50" s="1687">
        <v>0</v>
      </c>
      <c r="BE50" s="1687"/>
      <c r="BF50" s="1687"/>
      <c r="BG50" s="1687">
        <v>0</v>
      </c>
      <c r="BH50" s="1687"/>
      <c r="BI50" s="1687"/>
      <c r="BJ50" s="1687">
        <f>BK50+BL50</f>
        <v>0</v>
      </c>
      <c r="BK50" s="1687">
        <v>0</v>
      </c>
      <c r="BL50" s="1687">
        <v>0</v>
      </c>
      <c r="BM50" s="1687">
        <f>BN50+BO50</f>
        <v>0</v>
      </c>
      <c r="BN50" s="1687">
        <v>0</v>
      </c>
      <c r="BO50" s="1687">
        <v>0</v>
      </c>
      <c r="BP50" s="2745" t="s">
        <v>976</v>
      </c>
    </row>
    <row r="51" spans="1:68" ht="21" customHeight="1" x14ac:dyDescent="0.2">
      <c r="A51" s="1673" t="s">
        <v>12</v>
      </c>
      <c r="B51" s="1914">
        <f>B8+B17+B27+B34+B42+B46</f>
        <v>48804.800000000003</v>
      </c>
      <c r="C51" s="1915">
        <f>C8+C17+C27+C34+C42+C46</f>
        <v>53462.30000000001</v>
      </c>
      <c r="D51" s="1917">
        <f>C51/B51*100</f>
        <v>109.54311870963514</v>
      </c>
      <c r="E51" s="1740">
        <f>E8+E17+E27+E34+E42+E46</f>
        <v>60125.35753296347</v>
      </c>
      <c r="F51" s="1740">
        <f>F8+F17+F27+F34+F42+F46</f>
        <v>3129.1316842549895</v>
      </c>
      <c r="G51" s="1740">
        <f>G8+G17+G27+G34+G42+G46</f>
        <v>67514.555567248346</v>
      </c>
      <c r="H51" s="1917">
        <f t="shared" si="2"/>
        <v>112.28965337999659</v>
      </c>
      <c r="I51" s="1740">
        <f>I8+I17+I27+I34+I42+I46</f>
        <v>71839.299339999998</v>
      </c>
      <c r="J51" s="1740" t="e">
        <f>J8+J17+J27+J34+J42+J46+#REF!</f>
        <v>#REF!</v>
      </c>
      <c r="K51" s="1740">
        <f>K8+K17+K27+K34+K42+K46</f>
        <v>48024.894049536379</v>
      </c>
      <c r="L51" s="1740">
        <f>L8+L17+L27+L34+L42+L46</f>
        <v>69413.700222854182</v>
      </c>
      <c r="M51" s="1740">
        <f t="shared" si="9"/>
        <v>102.81294106085639</v>
      </c>
      <c r="N51" s="1740">
        <f>N8+N17+N27+N34+N42+N46</f>
        <v>89172.253990794445</v>
      </c>
      <c r="O51" s="1740">
        <f t="shared" si="10"/>
        <v>124.12739936223667</v>
      </c>
      <c r="P51" s="1740">
        <f>P8+P17+P27+P34+P42+P46</f>
        <v>78649.22789599633</v>
      </c>
      <c r="Q51" s="1740">
        <f t="shared" ref="Q51:AA51" si="129">Q8+Q17+Q27+Q34+Q42+Q46</f>
        <v>3461.4244114255512</v>
      </c>
      <c r="R51" s="1740">
        <f t="shared" si="129"/>
        <v>3570.3170740397522</v>
      </c>
      <c r="S51" s="1740">
        <f t="shared" si="129"/>
        <v>78342.998491168779</v>
      </c>
      <c r="T51" s="1740">
        <f t="shared" si="129"/>
        <v>306.40879081522075</v>
      </c>
      <c r="U51" s="1740">
        <f>U8+U17+U27+U34+U42+U46</f>
        <v>56869.5</v>
      </c>
      <c r="V51" s="1740">
        <f>V8+V17+V27+V34+V42+V46</f>
        <v>0</v>
      </c>
      <c r="W51" s="1740">
        <f>W8+W17+W27+W34+W42+W46</f>
        <v>96034.68</v>
      </c>
      <c r="X51" s="1740"/>
      <c r="Y51" s="1740">
        <f t="shared" si="129"/>
        <v>77174.362445693521</v>
      </c>
      <c r="Z51" s="1740">
        <f t="shared" si="129"/>
        <v>76845.211738577535</v>
      </c>
      <c r="AA51" s="1740">
        <f t="shared" si="129"/>
        <v>329.45070711599271</v>
      </c>
      <c r="AB51" s="1740">
        <f t="shared" ref="AB51:AD51" si="130">AB8+AB17+AB27+AB34+AB42+AB46</f>
        <v>70897.669500000004</v>
      </c>
      <c r="AC51" s="1740">
        <f t="shared" si="130"/>
        <v>70520.933541510851</v>
      </c>
      <c r="AD51" s="1740">
        <f t="shared" si="130"/>
        <v>376.73595848915204</v>
      </c>
      <c r="AE51" s="1740">
        <v>85498.66</v>
      </c>
      <c r="AF51" s="1740">
        <f t="shared" si="13"/>
        <v>1.1078635092083096</v>
      </c>
      <c r="AG51" s="1740">
        <v>85304.62</v>
      </c>
      <c r="AH51" s="1740">
        <v>343.42</v>
      </c>
      <c r="AI51" s="1740">
        <f>AI8+AI17+AI27+AI34+AI42+AI46+AI50</f>
        <v>81206.130865212966</v>
      </c>
      <c r="AJ51" s="1740">
        <f t="shared" si="14"/>
        <v>1.052242328822043</v>
      </c>
      <c r="AK51" s="1740">
        <f>AK8+AK17+AK27+AK34+AK42+AK46+AK50</f>
        <v>80917.345505223173</v>
      </c>
      <c r="AL51" s="1740">
        <f>AL8+AL17+AL27+AL34+AL42+AL46+AL50</f>
        <v>288.48335862265247</v>
      </c>
      <c r="AM51" s="1740" t="e">
        <f>AM46+AM42+AM34+AM27+AM17+AM8</f>
        <v>#REF!</v>
      </c>
      <c r="AN51" s="1740" t="e">
        <f>#REF!-AM51</f>
        <v>#REF!</v>
      </c>
      <c r="AO51" s="1740" t="e">
        <f t="shared" si="15"/>
        <v>#REF!</v>
      </c>
      <c r="AP51" s="1740">
        <f t="shared" ref="AP51:BC51" si="131">AP8+AP17+AP27+AP34+AP42+AP46</f>
        <v>25525.760000000002</v>
      </c>
      <c r="AQ51" s="1740">
        <f t="shared" si="131"/>
        <v>25440.449918838356</v>
      </c>
      <c r="AR51" s="1740">
        <f t="shared" si="131"/>
        <v>83.252151621438273</v>
      </c>
      <c r="AS51" s="1740">
        <f t="shared" si="131"/>
        <v>40253.669999999991</v>
      </c>
      <c r="AT51" s="1740">
        <f t="shared" si="131"/>
        <v>40082.039917911483</v>
      </c>
      <c r="AU51" s="1740">
        <f t="shared" si="131"/>
        <v>167.62745114410106</v>
      </c>
      <c r="AV51" s="1740">
        <f>AV8+AV17+AV27+AV34+AV42+AV46+AV47+AV50</f>
        <v>92986.85384440083</v>
      </c>
      <c r="AW51" s="1923">
        <f t="shared" si="25"/>
        <v>1.1450718419123018</v>
      </c>
      <c r="AX51" s="1740">
        <f>AX8+AX17+AX27+AX34+AX42+AX46+AX47+AX50</f>
        <v>92625.832754033516</v>
      </c>
      <c r="AY51" s="1740">
        <f>AY8+AY17+AY27+AY34+AY42+AY46+AY50</f>
        <v>361.02109036731986</v>
      </c>
      <c r="AZ51" s="1828">
        <f>AZ8+AZ17+AZ27+AZ34+AZ42+AZ46+AZ47+AZ50</f>
        <v>81331.231157922157</v>
      </c>
      <c r="BA51" s="2738">
        <f t="shared" si="20"/>
        <v>1.0015405276840099</v>
      </c>
      <c r="BB51" s="1828">
        <f>BB8+BB17+BB27+BB34+BB42+BB46+BB47+BB50</f>
        <v>81065.511009907219</v>
      </c>
      <c r="BC51" s="1828">
        <f t="shared" si="131"/>
        <v>265.72014801492907</v>
      </c>
      <c r="BD51" s="1828">
        <f t="shared" ref="BD51:BL51" si="132">BD8+BD17+BD27+BD34+BD42+BD46+BD47+BD50</f>
        <v>81554.210000000006</v>
      </c>
      <c r="BE51" s="1828">
        <f t="shared" si="132"/>
        <v>81207.200000000012</v>
      </c>
      <c r="BF51" s="1828">
        <f t="shared" si="132"/>
        <v>347.01</v>
      </c>
      <c r="BG51" s="1828">
        <f t="shared" si="132"/>
        <v>79589.19</v>
      </c>
      <c r="BH51" s="1828">
        <f t="shared" si="132"/>
        <v>79280.180000000008</v>
      </c>
      <c r="BI51" s="1828">
        <f t="shared" si="132"/>
        <v>309.01</v>
      </c>
      <c r="BJ51" s="1828">
        <f t="shared" si="132"/>
        <v>116751.68999999999</v>
      </c>
      <c r="BK51" s="1828">
        <f t="shared" si="132"/>
        <v>116299.35999999999</v>
      </c>
      <c r="BL51" s="1828">
        <f t="shared" si="132"/>
        <v>452.33000000000004</v>
      </c>
      <c r="BM51" s="1828">
        <f>BM8+BM17+BM27+BM34+BM42+BM46+BM47+BM50+BM48+BM49+BM50</f>
        <v>96528.558904823658</v>
      </c>
      <c r="BN51" s="1828">
        <f t="shared" ref="BN51:BO51" si="133">BN8+BN17+BN27+BN34+BN42+BN46+BN47+BN50+BN48+BN49+BN50</f>
        <v>96264.342668392695</v>
      </c>
      <c r="BO51" s="1828">
        <f t="shared" si="133"/>
        <v>264.21623643095785</v>
      </c>
      <c r="BP51" s="2731"/>
    </row>
    <row r="52" spans="1:68" ht="21" customHeight="1" x14ac:dyDescent="0.2">
      <c r="A52" s="1673" t="s">
        <v>13</v>
      </c>
      <c r="B52" s="1914">
        <f>объемы!B21</f>
        <v>4738.2</v>
      </c>
      <c r="C52" s="1915">
        <f>объемы!C21</f>
        <v>4585.8</v>
      </c>
      <c r="D52" s="1917">
        <f>C52/B52*100</f>
        <v>96.783588704571372</v>
      </c>
      <c r="E52" s="1740">
        <f>объемы!E21</f>
        <v>4415.2</v>
      </c>
      <c r="F52" s="1740">
        <f>E52/C52*100</f>
        <v>96.279820314885072</v>
      </c>
      <c r="G52" s="1740">
        <f>объемы!G21</f>
        <v>4093.2000000000003</v>
      </c>
      <c r="H52" s="1917">
        <f t="shared" si="2"/>
        <v>92.707012139880419</v>
      </c>
      <c r="I52" s="1740">
        <v>4224.5</v>
      </c>
      <c r="J52" s="1740">
        <f>объемы!J21</f>
        <v>0</v>
      </c>
      <c r="K52" s="1740">
        <f>объемы!L21</f>
        <v>2958.3</v>
      </c>
      <c r="L52" s="1740">
        <v>4006.6</v>
      </c>
      <c r="M52" s="1740">
        <f t="shared" si="9"/>
        <v>97.884295905404073</v>
      </c>
      <c r="N52" s="1740">
        <f>объемы!M21</f>
        <v>3695</v>
      </c>
      <c r="O52" s="1740">
        <f t="shared" si="10"/>
        <v>87.46597230441472</v>
      </c>
      <c r="P52" s="1740">
        <f>объемы!AZ21</f>
        <v>4018</v>
      </c>
      <c r="Q52" s="1740">
        <f t="shared" si="11"/>
        <v>95.111847555923774</v>
      </c>
      <c r="R52" s="1740">
        <f>P52/L52*100</f>
        <v>100.28453052463435</v>
      </c>
      <c r="S52" s="1740">
        <f>P52-T52</f>
        <v>3990</v>
      </c>
      <c r="T52" s="1740">
        <v>28</v>
      </c>
      <c r="U52" s="1740" t="e">
        <f>объемы!#REF!</f>
        <v>#REF!</v>
      </c>
      <c r="V52" s="1740">
        <f>объемы!BB21</f>
        <v>3805.3</v>
      </c>
      <c r="W52" s="1740">
        <f>объемы!E58</f>
        <v>3600</v>
      </c>
      <c r="X52" s="1740"/>
      <c r="Y52" s="1740">
        <f>объемы!G58</f>
        <v>3672.7</v>
      </c>
      <c r="Z52" s="1740">
        <f>Y52-AA52</f>
        <v>3644.7</v>
      </c>
      <c r="AA52" s="1740">
        <f>объемы!G61</f>
        <v>28</v>
      </c>
      <c r="AB52" s="1740">
        <f>SUM(объемы!K58)</f>
        <v>3476.2</v>
      </c>
      <c r="AC52" s="1740">
        <f>AB52-AD52</f>
        <v>3446</v>
      </c>
      <c r="AD52" s="1740">
        <f>SUM(объемы!K61)</f>
        <v>30.2</v>
      </c>
      <c r="AE52" s="1740">
        <v>3672.7</v>
      </c>
      <c r="AF52" s="1740">
        <f t="shared" si="13"/>
        <v>1</v>
      </c>
      <c r="AG52" s="1740">
        <v>3644.7</v>
      </c>
      <c r="AH52" s="1740">
        <v>28</v>
      </c>
      <c r="AI52" s="1740">
        <f>объемы!M58</f>
        <v>3644.7</v>
      </c>
      <c r="AJ52" s="1740">
        <f t="shared" si="14"/>
        <v>0.99237618101124514</v>
      </c>
      <c r="AK52" s="1740">
        <f>объемы!M58-объемы!M61</f>
        <v>3644.7</v>
      </c>
      <c r="AL52" s="1740">
        <f>объемы!M61</f>
        <v>0</v>
      </c>
      <c r="AM52" s="1740" t="e">
        <f>#REF!</f>
        <v>#REF!</v>
      </c>
      <c r="AN52" s="1740" t="e">
        <f>#REF!-AM52</f>
        <v>#REF!</v>
      </c>
      <c r="AO52" s="1740" t="e">
        <f t="shared" si="15"/>
        <v>#REF!</v>
      </c>
      <c r="AP52" s="1740">
        <f>SUM(объемы!P58)</f>
        <v>1670.74</v>
      </c>
      <c r="AQ52" s="1740">
        <f>AP52-AR52</f>
        <v>1661.07</v>
      </c>
      <c r="AR52" s="1740">
        <f>SUM(объемы!P61)</f>
        <v>9.67</v>
      </c>
      <c r="AS52" s="1740">
        <f>объемы!R58+объемы!S58</f>
        <v>3209.95</v>
      </c>
      <c r="AT52" s="1740">
        <f>AS52-AU52</f>
        <v>3186.5699999999997</v>
      </c>
      <c r="AU52" s="1740">
        <f>SUM(объемы!S61)</f>
        <v>23.38</v>
      </c>
      <c r="AV52" s="1740">
        <f>SUM(объемы!T58)</f>
        <v>3473</v>
      </c>
      <c r="AW52" s="1923">
        <f t="shared" si="25"/>
        <v>0.95289049853211516</v>
      </c>
      <c r="AX52" s="1740">
        <f>AV52-AY52</f>
        <v>3445</v>
      </c>
      <c r="AY52" s="1740">
        <f>SUM(объемы!T61)</f>
        <v>28</v>
      </c>
      <c r="AZ52" s="1690">
        <f>объемы!AA58+объемы!AB58</f>
        <v>3463.93</v>
      </c>
      <c r="BA52" s="2785">
        <f t="shared" si="20"/>
        <v>0.95040195352155188</v>
      </c>
      <c r="BB52" s="1690">
        <f>AZ52-BC52</f>
        <v>3445</v>
      </c>
      <c r="BC52" s="1690">
        <f>объемы!AB58</f>
        <v>18.93</v>
      </c>
      <c r="BD52" s="1690">
        <f>BE52+BF52</f>
        <v>3061.4900000000002</v>
      </c>
      <c r="BE52" s="1690">
        <v>3040.84</v>
      </c>
      <c r="BF52" s="1690">
        <v>20.65</v>
      </c>
      <c r="BG52" s="1690">
        <f>BH52+BI52</f>
        <v>3197.3199999999997</v>
      </c>
      <c r="BH52" s="1690">
        <v>3178.1</v>
      </c>
      <c r="BI52" s="1690">
        <v>19.22</v>
      </c>
      <c r="BJ52" s="1690">
        <f>BK52+BL52</f>
        <v>3248.93</v>
      </c>
      <c r="BK52" s="1690">
        <v>3230</v>
      </c>
      <c r="BL52" s="1690">
        <v>18.93</v>
      </c>
      <c r="BM52" s="1690">
        <f>BN52+BO52</f>
        <v>3020.0036431580988</v>
      </c>
      <c r="BN52" s="1690">
        <f>объемы!AX58</f>
        <v>3002.3369764914323</v>
      </c>
      <c r="BO52" s="1690">
        <f>объемы!AY58</f>
        <v>17.666666666666668</v>
      </c>
      <c r="BP52" s="1795"/>
    </row>
    <row r="53" spans="1:68" s="2668" customFormat="1" ht="21" hidden="1" customHeight="1" x14ac:dyDescent="0.2">
      <c r="A53" s="2786" t="s">
        <v>1840</v>
      </c>
      <c r="B53" s="2787"/>
      <c r="C53" s="1817"/>
      <c r="D53" s="2788"/>
      <c r="E53" s="1761"/>
      <c r="F53" s="1761"/>
      <c r="G53" s="1761"/>
      <c r="H53" s="2788"/>
      <c r="I53" s="1761">
        <v>28</v>
      </c>
      <c r="J53" s="1761"/>
      <c r="K53" s="1761"/>
      <c r="L53" s="1761"/>
      <c r="M53" s="1761" t="e">
        <f t="shared" si="9"/>
        <v>#DIV/0!</v>
      </c>
      <c r="N53" s="1761"/>
      <c r="O53" s="1761"/>
      <c r="P53" s="1761">
        <f>объемы!AZ26</f>
        <v>28</v>
      </c>
      <c r="Q53" s="1761">
        <f t="shared" si="11"/>
        <v>100</v>
      </c>
      <c r="R53" s="1761"/>
      <c r="S53" s="1761"/>
      <c r="T53" s="1761"/>
      <c r="U53" s="1761"/>
      <c r="V53" s="1761"/>
      <c r="W53" s="1761"/>
      <c r="X53" s="1761"/>
      <c r="Y53" s="1761"/>
      <c r="Z53" s="1761"/>
      <c r="AA53" s="1761"/>
      <c r="AB53" s="1761"/>
      <c r="AC53" s="1761"/>
      <c r="AD53" s="1761"/>
      <c r="AE53" s="1761"/>
      <c r="AF53" s="1761" t="e">
        <f t="shared" si="13"/>
        <v>#DIV/0!</v>
      </c>
      <c r="AG53" s="1761"/>
      <c r="AH53" s="1761"/>
      <c r="AI53" s="1761"/>
      <c r="AJ53" s="1761" t="e">
        <f t="shared" si="14"/>
        <v>#DIV/0!</v>
      </c>
      <c r="AK53" s="1761"/>
      <c r="AL53" s="1761"/>
      <c r="AM53" s="1761" t="e">
        <f>#REF!*Z53/Y53</f>
        <v>#REF!</v>
      </c>
      <c r="AN53" s="1761" t="e">
        <f>#REF!-AM53</f>
        <v>#REF!</v>
      </c>
      <c r="AO53" s="1761" t="e">
        <f t="shared" si="15"/>
        <v>#REF!</v>
      </c>
      <c r="AP53" s="1761"/>
      <c r="AQ53" s="1761"/>
      <c r="AR53" s="1761"/>
      <c r="AS53" s="1761"/>
      <c r="AT53" s="1761"/>
      <c r="AU53" s="1761"/>
      <c r="AV53" s="1761"/>
      <c r="AW53" s="2789" t="e">
        <f t="shared" si="25"/>
        <v>#DIV/0!</v>
      </c>
      <c r="AX53" s="1761"/>
      <c r="AY53" s="1761"/>
      <c r="AZ53" s="1761"/>
      <c r="BA53" s="2783" t="e">
        <f t="shared" si="20"/>
        <v>#DIV/0!</v>
      </c>
      <c r="BB53" s="1761"/>
      <c r="BC53" s="1761"/>
      <c r="BD53" s="1761"/>
      <c r="BE53" s="1761"/>
      <c r="BF53" s="1761"/>
      <c r="BG53" s="1761"/>
      <c r="BH53" s="1761"/>
      <c r="BI53" s="1761"/>
      <c r="BJ53" s="1761">
        <v>7731.78</v>
      </c>
      <c r="BK53" s="1761">
        <v>7731.78</v>
      </c>
      <c r="BL53" s="1761"/>
      <c r="BM53" s="1761"/>
      <c r="BN53" s="1761"/>
      <c r="BO53" s="1761"/>
      <c r="BP53" s="2661"/>
    </row>
    <row r="54" spans="1:68" s="2668" customFormat="1" ht="21" hidden="1" customHeight="1" x14ac:dyDescent="0.2">
      <c r="A54" s="2786" t="s">
        <v>2073</v>
      </c>
      <c r="B54" s="2787"/>
      <c r="C54" s="1817"/>
      <c r="D54" s="2788"/>
      <c r="E54" s="1761"/>
      <c r="F54" s="1761"/>
      <c r="G54" s="1761"/>
      <c r="H54" s="2788"/>
      <c r="I54" s="1761"/>
      <c r="J54" s="1761"/>
      <c r="K54" s="1761"/>
      <c r="L54" s="1761"/>
      <c r="M54" s="1761"/>
      <c r="N54" s="1761"/>
      <c r="O54" s="1761"/>
      <c r="P54" s="1761"/>
      <c r="Q54" s="1761"/>
      <c r="R54" s="1761"/>
      <c r="S54" s="1761"/>
      <c r="T54" s="1761"/>
      <c r="U54" s="1761"/>
      <c r="V54" s="1761"/>
      <c r="W54" s="1761"/>
      <c r="X54" s="1761"/>
      <c r="Y54" s="1761"/>
      <c r="Z54" s="1761"/>
      <c r="AA54" s="1761"/>
      <c r="AB54" s="1761"/>
      <c r="AC54" s="1761"/>
      <c r="AD54" s="1761"/>
      <c r="AE54" s="1761"/>
      <c r="AF54" s="1761"/>
      <c r="AG54" s="1761"/>
      <c r="AH54" s="1761"/>
      <c r="AI54" s="1761"/>
      <c r="AJ54" s="1761"/>
      <c r="AK54" s="1761"/>
      <c r="AL54" s="1761"/>
      <c r="AM54" s="1761"/>
      <c r="AN54" s="1761"/>
      <c r="AO54" s="1761"/>
      <c r="AP54" s="1761"/>
      <c r="AQ54" s="1761"/>
      <c r="AR54" s="1761"/>
      <c r="AS54" s="1761"/>
      <c r="AT54" s="1761"/>
      <c r="AU54" s="1761"/>
      <c r="AV54" s="1761"/>
      <c r="AW54" s="2789"/>
      <c r="AX54" s="1761"/>
      <c r="AY54" s="1761"/>
      <c r="AZ54" s="1761"/>
      <c r="BA54" s="2783"/>
      <c r="BB54" s="1761"/>
      <c r="BC54" s="1761"/>
      <c r="BD54" s="1761"/>
      <c r="BE54" s="1761"/>
      <c r="BF54" s="1761"/>
      <c r="BG54" s="1761"/>
      <c r="BH54" s="1761"/>
      <c r="BI54" s="1761"/>
      <c r="BJ54" s="1761">
        <v>-2903.83</v>
      </c>
      <c r="BK54" s="1761">
        <v>-2903.83</v>
      </c>
      <c r="BL54" s="1761"/>
      <c r="BM54" s="1761"/>
      <c r="BN54" s="1761"/>
      <c r="BO54" s="1761"/>
      <c r="BP54" s="2661"/>
    </row>
    <row r="55" spans="1:68" ht="21" customHeight="1" x14ac:dyDescent="0.2">
      <c r="A55" s="1673" t="s">
        <v>14</v>
      </c>
      <c r="B55" s="1927">
        <f>B51/B52</f>
        <v>10.300282807817316</v>
      </c>
      <c r="C55" s="1927">
        <f>C51/C52</f>
        <v>11.658227572070306</v>
      </c>
      <c r="D55" s="1917">
        <f>C55/B55*100</f>
        <v>113.18356776789069</v>
      </c>
      <c r="E55" s="1740">
        <f>E51/E52</f>
        <v>13.617810638920881</v>
      </c>
      <c r="F55" s="1740">
        <f>F51/F52</f>
        <v>32.500389739211208</v>
      </c>
      <c r="G55" s="1740">
        <f>G51/G52</f>
        <v>16.494321207673298</v>
      </c>
      <c r="H55" s="1917">
        <f t="shared" si="2"/>
        <v>121.12315000570723</v>
      </c>
      <c r="I55" s="1740" t="e">
        <f>#REF!/#REF!</f>
        <v>#REF!</v>
      </c>
      <c r="J55" s="1740" t="e">
        <f>J51/J52</f>
        <v>#REF!</v>
      </c>
      <c r="K55" s="1740">
        <f>K51/K52</f>
        <v>16.233949920405767</v>
      </c>
      <c r="L55" s="1740">
        <f>L51/L52</f>
        <v>17.324839071245989</v>
      </c>
      <c r="M55" s="1740">
        <f t="shared" si="9"/>
        <v>105.03517454956757</v>
      </c>
      <c r="N55" s="1740">
        <f>N51/N52</f>
        <v>24.133221648388211</v>
      </c>
      <c r="O55" s="1740"/>
      <c r="P55" s="1740">
        <f>P51/P52</f>
        <v>19.57422297063124</v>
      </c>
      <c r="Q55" s="1740" t="e">
        <f t="shared" si="11"/>
        <v>#REF!</v>
      </c>
      <c r="R55" s="1740"/>
      <c r="S55" s="1740">
        <f>S51/S52</f>
        <v>19.63483671457864</v>
      </c>
      <c r="T55" s="1740">
        <f>T51/T52</f>
        <v>10.943171100543598</v>
      </c>
      <c r="U55" s="1740" t="e">
        <f>U51/U52</f>
        <v>#REF!</v>
      </c>
      <c r="V55" s="1740">
        <f>V51/V52</f>
        <v>0</v>
      </c>
      <c r="W55" s="1740">
        <f>W51/W52</f>
        <v>26.676299999999998</v>
      </c>
      <c r="X55" s="1740"/>
      <c r="Y55" s="1740">
        <f t="shared" ref="Y55:AL55" si="134">Y51/Y52</f>
        <v>21.012977494947457</v>
      </c>
      <c r="Z55" s="1740">
        <f t="shared" si="134"/>
        <v>21.084097933596055</v>
      </c>
      <c r="AA55" s="1740">
        <f t="shared" si="134"/>
        <v>11.766096682714025</v>
      </c>
      <c r="AB55" s="1740">
        <f t="shared" ref="AB55:AD55" si="135">AB51/AB52</f>
        <v>20.395164115988724</v>
      </c>
      <c r="AC55" s="1740">
        <f t="shared" si="135"/>
        <v>20.464577348087886</v>
      </c>
      <c r="AD55" s="1740">
        <f t="shared" si="135"/>
        <v>12.474700612223577</v>
      </c>
      <c r="AE55" s="1740">
        <f>AE51/AE52</f>
        <v>23.279510986467724</v>
      </c>
      <c r="AF55" s="1740">
        <f t="shared" si="13"/>
        <v>1.1078635092083096</v>
      </c>
      <c r="AG55" s="1740">
        <f>AG51/AG52</f>
        <v>23.405114275523363</v>
      </c>
      <c r="AH55" s="1740">
        <f>AH51/AH52</f>
        <v>12.265000000000001</v>
      </c>
      <c r="AI55" s="1740">
        <f t="shared" si="134"/>
        <v>22.280607694793254</v>
      </c>
      <c r="AJ55" s="1740">
        <f t="shared" si="14"/>
        <v>1.0603260627938424</v>
      </c>
      <c r="AK55" s="1740">
        <f t="shared" si="134"/>
        <v>22.201373365495975</v>
      </c>
      <c r="AL55" s="1740" t="e">
        <f t="shared" si="134"/>
        <v>#DIV/0!</v>
      </c>
      <c r="AM55" s="1740" t="e">
        <f>#REF!</f>
        <v>#REF!</v>
      </c>
      <c r="AN55" s="1740" t="e">
        <f>#REF!-AM55</f>
        <v>#REF!</v>
      </c>
      <c r="AO55" s="1740" t="e">
        <f t="shared" si="15"/>
        <v>#REF!</v>
      </c>
      <c r="AP55" s="1740">
        <f t="shared" ref="AP55:AV55" si="136">AP51/AP52</f>
        <v>15.278116283802389</v>
      </c>
      <c r="AQ55" s="1740">
        <f t="shared" si="136"/>
        <v>15.315700072145278</v>
      </c>
      <c r="AR55" s="1740">
        <f t="shared" si="136"/>
        <v>8.6093228150401515</v>
      </c>
      <c r="AS55" s="1740">
        <f t="shared" si="136"/>
        <v>12.540279443605039</v>
      </c>
      <c r="AT55" s="1740">
        <f t="shared" si="136"/>
        <v>12.578427562523807</v>
      </c>
      <c r="AU55" s="1740">
        <f t="shared" si="136"/>
        <v>7.1696942319974797</v>
      </c>
      <c r="AV55" s="1740">
        <f t="shared" si="136"/>
        <v>26.774216482695316</v>
      </c>
      <c r="AW55" s="1923">
        <f t="shared" si="25"/>
        <v>1.2016825056774449</v>
      </c>
      <c r="AX55" s="1740">
        <f t="shared" ref="AX55:BC55" si="137">AX51/AX52</f>
        <v>26.887034181141804</v>
      </c>
      <c r="AY55" s="1740">
        <f t="shared" si="137"/>
        <v>12.893610370261424</v>
      </c>
      <c r="AZ55" s="1828">
        <f t="shared" si="137"/>
        <v>23.479467298104222</v>
      </c>
      <c r="BA55" s="2738">
        <f t="shared" si="20"/>
        <v>1.0538073117095064</v>
      </c>
      <c r="BB55" s="1828">
        <f t="shared" si="137"/>
        <v>23.531352978202385</v>
      </c>
      <c r="BC55" s="1828">
        <f t="shared" si="137"/>
        <v>14.036986160323776</v>
      </c>
      <c r="BD55" s="1828">
        <f>BD51/BD52</f>
        <v>26.638731467357399</v>
      </c>
      <c r="BE55" s="1828">
        <f t="shared" ref="BE55:BF55" si="138">BE51/BE52</f>
        <v>26.705515581220983</v>
      </c>
      <c r="BF55" s="1828">
        <f t="shared" si="138"/>
        <v>16.804358353510896</v>
      </c>
      <c r="BG55" s="1828">
        <f>BG51/BG52</f>
        <v>24.892469318053873</v>
      </c>
      <c r="BH55" s="1828">
        <f t="shared" ref="BH55:BI55" si="139">BH51/BH52</f>
        <v>24.945778924514649</v>
      </c>
      <c r="BI55" s="1828">
        <f t="shared" si="139"/>
        <v>16.077523413111344</v>
      </c>
      <c r="BJ55" s="1828">
        <f>BJ51/BJ52</f>
        <v>35.93542797167067</v>
      </c>
      <c r="BK55" s="1828">
        <f t="shared" ref="BK55:BL55" si="140">BK51/BK52</f>
        <v>36.005993808049531</v>
      </c>
      <c r="BL55" s="1828">
        <f t="shared" si="140"/>
        <v>23.894875858425781</v>
      </c>
      <c r="BM55" s="1828">
        <f>BM51/BM52</f>
        <v>31.963060416669283</v>
      </c>
      <c r="BN55" s="1828">
        <f t="shared" ref="BN55:BO55" si="141">BN51/BN52</f>
        <v>32.063137290101388</v>
      </c>
      <c r="BO55" s="1828">
        <f t="shared" si="141"/>
        <v>14.95563602439384</v>
      </c>
      <c r="BP55" s="2731"/>
    </row>
    <row r="56" spans="1:68" ht="21" customHeight="1" x14ac:dyDescent="0.2">
      <c r="A56" s="1673" t="s">
        <v>429</v>
      </c>
      <c r="B56" s="1722"/>
      <c r="C56" s="1722"/>
      <c r="D56" s="1722"/>
      <c r="E56" s="1722"/>
      <c r="F56" s="1722"/>
      <c r="G56" s="1722"/>
      <c r="H56" s="1722"/>
      <c r="I56" s="1729">
        <v>0</v>
      </c>
      <c r="J56" s="1928"/>
      <c r="K56" s="1928"/>
      <c r="L56" s="1928"/>
      <c r="M56" s="1928"/>
      <c r="N56" s="1729">
        <v>0</v>
      </c>
      <c r="O56" s="1923"/>
      <c r="P56" s="1729">
        <f>S56+T56</f>
        <v>184.96</v>
      </c>
      <c r="Q56" s="1735"/>
      <c r="R56" s="1928"/>
      <c r="S56" s="1729">
        <v>180.3</v>
      </c>
      <c r="T56" s="1729">
        <v>4.66</v>
      </c>
      <c r="U56" s="1729"/>
      <c r="V56" s="1729"/>
      <c r="W56" s="1740">
        <v>0</v>
      </c>
      <c r="X56" s="1740"/>
      <c r="Y56" s="1740">
        <f>Z56+AA56</f>
        <v>0</v>
      </c>
      <c r="Z56" s="1740">
        <f>G116</f>
        <v>0</v>
      </c>
      <c r="AA56" s="1740">
        <v>0</v>
      </c>
      <c r="AB56" s="1740">
        <f>AC56+AD56</f>
        <v>0</v>
      </c>
      <c r="AC56" s="1740">
        <f>J116</f>
        <v>0</v>
      </c>
      <c r="AD56" s="1740">
        <v>0</v>
      </c>
      <c r="AE56" s="1740">
        <v>4275.2299999999996</v>
      </c>
      <c r="AF56" s="1740"/>
      <c r="AG56" s="1740">
        <v>4265.2299999999996</v>
      </c>
      <c r="AH56" s="1740">
        <v>10</v>
      </c>
      <c r="AI56" s="1740">
        <f>AK56+AL56</f>
        <v>4058.2972752611586</v>
      </c>
      <c r="AJ56" s="1740"/>
      <c r="AK56" s="1740">
        <f>AK51*0.05</f>
        <v>4045.8672752611587</v>
      </c>
      <c r="AL56" s="1740">
        <v>12.43</v>
      </c>
      <c r="AM56" s="1740">
        <v>0</v>
      </c>
      <c r="AN56" s="1740">
        <v>0</v>
      </c>
      <c r="AO56" s="1740">
        <f t="shared" si="15"/>
        <v>0</v>
      </c>
      <c r="AP56" s="1740">
        <f>AQ56+AR56</f>
        <v>0</v>
      </c>
      <c r="AQ56" s="1740">
        <f>X116</f>
        <v>0</v>
      </c>
      <c r="AR56" s="1740">
        <v>0</v>
      </c>
      <c r="AS56" s="1740">
        <f>AT56+AU56</f>
        <v>0</v>
      </c>
      <c r="AT56" s="1740">
        <f>AA116</f>
        <v>0</v>
      </c>
      <c r="AU56" s="1740">
        <v>0</v>
      </c>
      <c r="AV56" s="1740">
        <f>SUM(AX56:AY56)</f>
        <v>4649.3426922200424</v>
      </c>
      <c r="AW56" s="1923">
        <f t="shared" si="25"/>
        <v>1.1456387683972336</v>
      </c>
      <c r="AX56" s="1740">
        <f>AX51*0.05</f>
        <v>4631.2916377016763</v>
      </c>
      <c r="AY56" s="1740">
        <f>AY51*0.05</f>
        <v>18.051054518365994</v>
      </c>
      <c r="AZ56" s="1690">
        <f>SUM(BB56:BC56)</f>
        <v>4053.2755504953611</v>
      </c>
      <c r="BA56" s="2785">
        <f t="shared" si="20"/>
        <v>0.99876260302654285</v>
      </c>
      <c r="BB56" s="1690">
        <f>BB51*0.05</f>
        <v>4053.2755504953611</v>
      </c>
      <c r="BC56" s="1690">
        <v>0</v>
      </c>
      <c r="BD56" s="1690">
        <f>SUM(BF56:BG56)</f>
        <v>0</v>
      </c>
      <c r="BE56" s="1690"/>
      <c r="BF56" s="1690"/>
      <c r="BG56" s="1690">
        <f>SUM(BI56:BP56)</f>
        <v>0</v>
      </c>
      <c r="BH56" s="1690"/>
      <c r="BI56" s="1690"/>
      <c r="BJ56" s="1690">
        <f>SUM(BL56:BS56)</f>
        <v>0</v>
      </c>
      <c r="BK56" s="1690">
        <v>0</v>
      </c>
      <c r="BL56" s="1690">
        <v>0</v>
      </c>
      <c r="BM56" s="1690">
        <f>SUM(BO56:BV56)</f>
        <v>0</v>
      </c>
      <c r="BN56" s="1690">
        <v>0</v>
      </c>
      <c r="BO56" s="1690">
        <v>0</v>
      </c>
      <c r="BP56" s="1795"/>
    </row>
    <row r="57" spans="1:68" ht="21" customHeight="1" x14ac:dyDescent="0.2">
      <c r="A57" s="1673" t="s">
        <v>538</v>
      </c>
      <c r="B57" s="1736"/>
      <c r="C57" s="1736"/>
      <c r="D57" s="1736"/>
      <c r="E57" s="1736"/>
      <c r="F57" s="1736"/>
      <c r="G57" s="1736"/>
      <c r="H57" s="1736"/>
      <c r="I57" s="1740"/>
      <c r="J57" s="1929"/>
      <c r="K57" s="1929"/>
      <c r="L57" s="1929"/>
      <c r="M57" s="1929"/>
      <c r="N57" s="1740"/>
      <c r="O57" s="1923"/>
      <c r="P57" s="1740"/>
      <c r="Q57" s="1923"/>
      <c r="R57" s="1929"/>
      <c r="S57" s="1740"/>
      <c r="T57" s="1740"/>
      <c r="U57" s="1740"/>
      <c r="V57" s="1740"/>
      <c r="W57" s="1740">
        <f>SUM(W51+W56)</f>
        <v>96034.68</v>
      </c>
      <c r="X57" s="1740"/>
      <c r="Y57" s="1740">
        <f t="shared" ref="Y57:AE57" si="142">SUM(Y51+Y56)</f>
        <v>77174.362445693521</v>
      </c>
      <c r="Z57" s="1740">
        <f t="shared" si="142"/>
        <v>76845.211738577535</v>
      </c>
      <c r="AA57" s="1740">
        <f t="shared" si="142"/>
        <v>329.45070711599271</v>
      </c>
      <c r="AB57" s="1740">
        <f t="shared" si="142"/>
        <v>70897.669500000004</v>
      </c>
      <c r="AC57" s="1740">
        <f t="shared" si="142"/>
        <v>70520.933541510851</v>
      </c>
      <c r="AD57" s="1740">
        <f t="shared" si="142"/>
        <v>376.73595848915204</v>
      </c>
      <c r="AE57" s="1740">
        <f t="shared" si="142"/>
        <v>89773.89</v>
      </c>
      <c r="AF57" s="1740"/>
      <c r="AG57" s="1740">
        <f>SUM(AG51+AG56)</f>
        <v>89569.849999999991</v>
      </c>
      <c r="AH57" s="1740">
        <f>SUM(AH51+AH56)</f>
        <v>353.42</v>
      </c>
      <c r="AI57" s="1740">
        <f>SUM(AI51+AI56)</f>
        <v>85264.42814047412</v>
      </c>
      <c r="AJ57" s="1740"/>
      <c r="AK57" s="1740">
        <f>SUM(AK51+AK56)</f>
        <v>84963.212780484333</v>
      </c>
      <c r="AL57" s="1740">
        <f>SUM(AL51+AL56)</f>
        <v>300.91335862265248</v>
      </c>
      <c r="AM57" s="1740"/>
      <c r="AN57" s="1740"/>
      <c r="AO57" s="1740"/>
      <c r="AP57" s="1740">
        <f t="shared" ref="AP57:AV57" si="143">SUM(AP51+AP56)</f>
        <v>25525.760000000002</v>
      </c>
      <c r="AQ57" s="1740">
        <f t="shared" si="143"/>
        <v>25440.449918838356</v>
      </c>
      <c r="AR57" s="1740">
        <f t="shared" si="143"/>
        <v>83.252151621438273</v>
      </c>
      <c r="AS57" s="1740">
        <f t="shared" si="143"/>
        <v>40253.669999999991</v>
      </c>
      <c r="AT57" s="1740">
        <f t="shared" si="143"/>
        <v>40082.039917911483</v>
      </c>
      <c r="AU57" s="1740">
        <f t="shared" si="143"/>
        <v>167.62745114410106</v>
      </c>
      <c r="AV57" s="1740">
        <f t="shared" si="143"/>
        <v>97636.196536620875</v>
      </c>
      <c r="AW57" s="1923">
        <f t="shared" si="25"/>
        <v>1.1450988256880599</v>
      </c>
      <c r="AX57" s="1740">
        <f>SUM(AX51+AX56)</f>
        <v>97257.124391735197</v>
      </c>
      <c r="AY57" s="1740">
        <f>SUM(AY51+AY56)</f>
        <v>379.07214488568587</v>
      </c>
      <c r="AZ57" s="1828">
        <f>SUM(AZ51+AZ56)</f>
        <v>85384.506708417524</v>
      </c>
      <c r="BA57" s="2738">
        <f t="shared" si="20"/>
        <v>1.0014083079023948</v>
      </c>
      <c r="BB57" s="1828">
        <f t="shared" ref="BB57:BI57" si="144">SUM(BB51+BB56)</f>
        <v>85118.786560402586</v>
      </c>
      <c r="BC57" s="1828">
        <f t="shared" si="144"/>
        <v>265.72014801492907</v>
      </c>
      <c r="BD57" s="1828">
        <f t="shared" si="144"/>
        <v>81554.210000000006</v>
      </c>
      <c r="BE57" s="1828">
        <f t="shared" si="144"/>
        <v>81207.200000000012</v>
      </c>
      <c r="BF57" s="1828">
        <f t="shared" si="144"/>
        <v>347.01</v>
      </c>
      <c r="BG57" s="1828">
        <f t="shared" si="144"/>
        <v>79589.19</v>
      </c>
      <c r="BH57" s="1828">
        <f t="shared" si="144"/>
        <v>79280.180000000008</v>
      </c>
      <c r="BI57" s="1828">
        <f t="shared" si="144"/>
        <v>309.01</v>
      </c>
      <c r="BJ57" s="1828">
        <f>SUM(BJ51+BJ56+BJ53+BJ54)</f>
        <v>121579.63999999998</v>
      </c>
      <c r="BK57" s="1828">
        <f t="shared" ref="BK57:BL57" si="145">SUM(BK51+BK56+BK53+BK54)</f>
        <v>121127.30999999998</v>
      </c>
      <c r="BL57" s="1828">
        <f t="shared" si="145"/>
        <v>452.33000000000004</v>
      </c>
      <c r="BM57" s="1828">
        <f>SUM(BM51+BM56+BM53+BM54)</f>
        <v>96528.558904823658</v>
      </c>
      <c r="BN57" s="1828">
        <f t="shared" ref="BN57" si="146">SUM(BN51+BN56+BN53+BN54)</f>
        <v>96264.342668392695</v>
      </c>
      <c r="BO57" s="1828">
        <f t="shared" ref="BO57" si="147">SUM(BO51+BO56+BO53+BO54)</f>
        <v>264.21623643095785</v>
      </c>
      <c r="BP57" s="2731"/>
    </row>
    <row r="58" spans="1:68" ht="21" customHeight="1" x14ac:dyDescent="0.2">
      <c r="A58" s="1673" t="s">
        <v>70</v>
      </c>
      <c r="B58" s="1722"/>
      <c r="C58" s="1722"/>
      <c r="D58" s="1722"/>
      <c r="E58" s="1722"/>
      <c r="F58" s="1722"/>
      <c r="G58" s="1722"/>
      <c r="H58" s="1722"/>
      <c r="I58" s="1740" t="e">
        <f>(#REF!+I56)/#REF!</f>
        <v>#REF!</v>
      </c>
      <c r="J58" s="1928"/>
      <c r="K58" s="1928"/>
      <c r="L58" s="1928"/>
      <c r="M58" s="1928"/>
      <c r="N58" s="1740">
        <f>(N51+N56)/N52</f>
        <v>24.133221648388211</v>
      </c>
      <c r="O58" s="1930"/>
      <c r="P58" s="1740">
        <f>(P51+P56)/P52</f>
        <v>19.620255822796501</v>
      </c>
      <c r="Q58" s="1735" t="e">
        <f t="shared" si="11"/>
        <v>#REF!</v>
      </c>
      <c r="R58" s="1928"/>
      <c r="S58" s="1729">
        <f>(S51+S56)/S52</f>
        <v>19.680024684503454</v>
      </c>
      <c r="T58" s="1729">
        <f>(T51+T56)/T52</f>
        <v>11.109599671972171</v>
      </c>
      <c r="U58" s="1729" t="e">
        <f>(U51+U56)/U52</f>
        <v>#REF!</v>
      </c>
      <c r="V58" s="1729">
        <f>(V51+V56)/V52</f>
        <v>0</v>
      </c>
      <c r="W58" s="1740">
        <f>(W51+W56)/W52</f>
        <v>26.676299999999998</v>
      </c>
      <c r="X58" s="1740"/>
      <c r="Y58" s="1740">
        <f t="shared" ref="Y58:AE58" si="148">(Y51+Y56)/Y52</f>
        <v>21.012977494947457</v>
      </c>
      <c r="Z58" s="1740">
        <f t="shared" si="148"/>
        <v>21.084097933596055</v>
      </c>
      <c r="AA58" s="1740">
        <f t="shared" si="148"/>
        <v>11.766096682714025</v>
      </c>
      <c r="AB58" s="1740">
        <f t="shared" si="148"/>
        <v>20.395164115988724</v>
      </c>
      <c r="AC58" s="1740">
        <f t="shared" si="148"/>
        <v>20.464577348087886</v>
      </c>
      <c r="AD58" s="1740">
        <f t="shared" si="148"/>
        <v>12.474700612223577</v>
      </c>
      <c r="AE58" s="1740">
        <f t="shared" si="148"/>
        <v>24.443567402728238</v>
      </c>
      <c r="AF58" s="1740">
        <f t="shared" si="13"/>
        <v>1.1632605330970189</v>
      </c>
      <c r="AG58" s="1740">
        <f>(AG51+AG56)/AG52</f>
        <v>24.575369714928524</v>
      </c>
      <c r="AH58" s="1740">
        <f>(AH51+AH56)/AH52</f>
        <v>12.622142857142858</v>
      </c>
      <c r="AI58" s="1740">
        <f>(AI51+AI56)/AI52</f>
        <v>23.394086794653642</v>
      </c>
      <c r="AJ58" s="1740">
        <f t="shared" si="14"/>
        <v>1.1133161304854926</v>
      </c>
      <c r="AK58" s="1740">
        <f>(AK51+AK56)/AK52</f>
        <v>23.311442033770774</v>
      </c>
      <c r="AL58" s="1740" t="e">
        <f>(AL51+AL56)/AL52</f>
        <v>#DIV/0!</v>
      </c>
      <c r="AM58" s="1740" t="e">
        <f>#REF!</f>
        <v>#REF!</v>
      </c>
      <c r="AN58" s="1740" t="e">
        <f>#REF!-AM58</f>
        <v>#REF!</v>
      </c>
      <c r="AO58" s="1740" t="e">
        <f t="shared" si="15"/>
        <v>#REF!</v>
      </c>
      <c r="AP58" s="1740">
        <f t="shared" ref="AP58:AV58" si="149">(AP51+AP56)/AP52</f>
        <v>15.278116283802389</v>
      </c>
      <c r="AQ58" s="1740">
        <f t="shared" si="149"/>
        <v>15.315700072145278</v>
      </c>
      <c r="AR58" s="1740">
        <f t="shared" si="149"/>
        <v>8.6093228150401515</v>
      </c>
      <c r="AS58" s="1740">
        <f t="shared" si="149"/>
        <v>12.540279443605039</v>
      </c>
      <c r="AT58" s="1740">
        <f t="shared" si="149"/>
        <v>12.578427562523807</v>
      </c>
      <c r="AU58" s="1740">
        <f t="shared" si="149"/>
        <v>7.1696942319974797</v>
      </c>
      <c r="AV58" s="1740">
        <f t="shared" si="149"/>
        <v>28.11292730683008</v>
      </c>
      <c r="AW58" s="1923">
        <f t="shared" si="25"/>
        <v>1.2017108234912959</v>
      </c>
      <c r="AX58" s="1740">
        <f>(AX51+AX56)/AX52</f>
        <v>28.231385890198897</v>
      </c>
      <c r="AY58" s="1740">
        <f>(AY51+AY56)/AY52</f>
        <v>13.538290888774496</v>
      </c>
      <c r="AZ58" s="1828">
        <f>(AZ51+AZ56)/AZ52</f>
        <v>24.649605133018717</v>
      </c>
      <c r="BA58" s="2738">
        <f t="shared" si="20"/>
        <v>1.0536681918548751</v>
      </c>
      <c r="BB58" s="1828">
        <f t="shared" ref="BB58:BI58" si="150">(BB51+BB56)/BB52</f>
        <v>24.707920627112507</v>
      </c>
      <c r="BC58" s="1828">
        <f t="shared" si="150"/>
        <v>14.036986160323776</v>
      </c>
      <c r="BD58" s="1828">
        <f t="shared" si="150"/>
        <v>26.638731467357399</v>
      </c>
      <c r="BE58" s="1828">
        <f t="shared" si="150"/>
        <v>26.705515581220983</v>
      </c>
      <c r="BF58" s="1828">
        <f t="shared" si="150"/>
        <v>16.804358353510896</v>
      </c>
      <c r="BG58" s="1828">
        <f t="shared" si="150"/>
        <v>24.892469318053873</v>
      </c>
      <c r="BH58" s="1828">
        <f t="shared" si="150"/>
        <v>24.945778924514649</v>
      </c>
      <c r="BI58" s="1828">
        <f t="shared" si="150"/>
        <v>16.077523413111344</v>
      </c>
      <c r="BJ58" s="1828">
        <f>BJ57/BJ52</f>
        <v>37.421440289572253</v>
      </c>
      <c r="BK58" s="1828">
        <f t="shared" ref="BK58:BL58" si="151">BK57/BK52</f>
        <v>37.500715170278632</v>
      </c>
      <c r="BL58" s="1828">
        <f t="shared" si="151"/>
        <v>23.894875858425781</v>
      </c>
      <c r="BM58" s="1828">
        <f>BM57/BM52</f>
        <v>31.963060416669283</v>
      </c>
      <c r="BN58" s="1828">
        <f t="shared" ref="BN58" si="152">BN57/BN52</f>
        <v>32.063137290101388</v>
      </c>
      <c r="BO58" s="1828">
        <f t="shared" ref="BO58" si="153">BO57/BO52</f>
        <v>14.95563602439384</v>
      </c>
      <c r="BP58" s="2731"/>
    </row>
    <row r="59" spans="1:68" ht="21" hidden="1" customHeight="1" x14ac:dyDescent="0.2">
      <c r="A59" s="1673" t="s">
        <v>149</v>
      </c>
      <c r="B59" s="1722"/>
      <c r="C59" s="1722"/>
      <c r="D59" s="1722"/>
      <c r="E59" s="1722"/>
      <c r="F59" s="1722"/>
      <c r="G59" s="1722"/>
      <c r="H59" s="1722"/>
      <c r="I59" s="1806"/>
      <c r="J59" s="1722"/>
      <c r="K59" s="1722"/>
      <c r="L59" s="1722"/>
      <c r="M59" s="1722"/>
      <c r="N59" s="1919" t="e">
        <f>N58/I58*100</f>
        <v>#REF!</v>
      </c>
      <c r="O59" s="1916"/>
      <c r="P59" s="1919" t="e">
        <f>P58/I58*100</f>
        <v>#REF!</v>
      </c>
      <c r="Q59" s="1919"/>
      <c r="R59" s="1722"/>
      <c r="S59" s="1806"/>
      <c r="T59" s="1806"/>
      <c r="U59" s="1806"/>
      <c r="V59" s="1806"/>
      <c r="W59" s="1740"/>
      <c r="X59" s="1740"/>
      <c r="Y59" s="1740"/>
      <c r="Z59" s="1740"/>
      <c r="AA59" s="1740"/>
      <c r="AB59" s="1740"/>
      <c r="AC59" s="1740"/>
      <c r="AD59" s="1740"/>
      <c r="AE59" s="1740"/>
      <c r="AF59" s="1740" t="e">
        <f t="shared" si="13"/>
        <v>#DIV/0!</v>
      </c>
      <c r="AG59" s="1740"/>
      <c r="AH59" s="1740"/>
      <c r="AI59" s="1740"/>
      <c r="AJ59" s="1740" t="e">
        <f t="shared" si="14"/>
        <v>#DIV/0!</v>
      </c>
      <c r="AK59" s="1740"/>
      <c r="AL59" s="1740"/>
      <c r="AM59" s="1740"/>
      <c r="AN59" s="1740"/>
      <c r="AO59" s="1740"/>
      <c r="AP59" s="1740"/>
      <c r="AQ59" s="1740"/>
      <c r="AR59" s="1740"/>
      <c r="AS59" s="1740"/>
      <c r="AT59" s="1740"/>
      <c r="AU59" s="1740"/>
      <c r="AV59" s="1740"/>
      <c r="AW59" s="1923" t="e">
        <f t="shared" si="25"/>
        <v>#DIV/0!</v>
      </c>
      <c r="AX59" s="1740"/>
      <c r="AY59" s="1740"/>
      <c r="AZ59" s="1828"/>
      <c r="BA59" s="2738" t="e">
        <f t="shared" si="20"/>
        <v>#DIV/0!</v>
      </c>
      <c r="BB59" s="1828"/>
      <c r="BC59" s="1828"/>
      <c r="BD59" s="1828"/>
      <c r="BE59" s="1828"/>
      <c r="BF59" s="1828"/>
      <c r="BG59" s="1828"/>
      <c r="BH59" s="1828"/>
      <c r="BI59" s="1828"/>
      <c r="BJ59" s="1828"/>
      <c r="BK59" s="1828"/>
      <c r="BL59" s="1828"/>
      <c r="BM59" s="1828"/>
      <c r="BN59" s="1828"/>
      <c r="BO59" s="1828"/>
      <c r="BP59" s="2731"/>
    </row>
    <row r="60" spans="1:68" ht="21" hidden="1" customHeight="1" x14ac:dyDescent="0.2">
      <c r="A60" s="1673" t="s">
        <v>320</v>
      </c>
      <c r="B60" s="1722"/>
      <c r="C60" s="1722"/>
      <c r="D60" s="1722"/>
      <c r="E60" s="1722"/>
      <c r="F60" s="1722"/>
      <c r="G60" s="1722"/>
      <c r="H60" s="1722"/>
      <c r="I60" s="1806"/>
      <c r="J60" s="1722"/>
      <c r="K60" s="1722"/>
      <c r="L60" s="1722"/>
      <c r="M60" s="1722"/>
      <c r="N60" s="1919"/>
      <c r="O60" s="1916"/>
      <c r="P60" s="1919"/>
      <c r="Q60" s="1919"/>
      <c r="R60" s="1722"/>
      <c r="S60" s="1806"/>
      <c r="T60" s="1806"/>
      <c r="U60" s="1806"/>
      <c r="V60" s="1806"/>
      <c r="W60" s="1740">
        <v>4947</v>
      </c>
      <c r="X60" s="1931"/>
      <c r="Y60" s="1740">
        <f>Z60</f>
        <v>4947</v>
      </c>
      <c r="Z60" s="1740">
        <f>4947</f>
        <v>4947</v>
      </c>
      <c r="AA60" s="1740"/>
      <c r="AB60" s="1740">
        <f>'кап влож'!O16</f>
        <v>1044.8800000000001</v>
      </c>
      <c r="AC60" s="1740">
        <f>AB60</f>
        <v>1044.8800000000001</v>
      </c>
      <c r="AD60" s="1740">
        <v>0</v>
      </c>
      <c r="AE60" s="1740">
        <v>5656.1</v>
      </c>
      <c r="AF60" s="1740">
        <f t="shared" si="13"/>
        <v>1.1433393976147161</v>
      </c>
      <c r="AG60" s="1740">
        <f>AE60</f>
        <v>5656.1</v>
      </c>
      <c r="AH60" s="1740">
        <v>0</v>
      </c>
      <c r="AI60" s="1740">
        <f>AK60</f>
        <v>3568.1</v>
      </c>
      <c r="AJ60" s="1740">
        <f t="shared" si="14"/>
        <v>0.72126541338184758</v>
      </c>
      <c r="AK60" s="1740">
        <v>3568.1</v>
      </c>
      <c r="AL60" s="1740">
        <v>0</v>
      </c>
      <c r="AM60" s="1740" t="e">
        <f>#REF!*Z60/Y60</f>
        <v>#REF!</v>
      </c>
      <c r="AN60" s="1740" t="e">
        <f>#REF!-AM60</f>
        <v>#REF!</v>
      </c>
      <c r="AO60" s="1740" t="e">
        <f t="shared" si="15"/>
        <v>#REF!</v>
      </c>
      <c r="AP60" s="1740">
        <v>0</v>
      </c>
      <c r="AQ60" s="1740">
        <v>0</v>
      </c>
      <c r="AR60" s="1740">
        <v>0</v>
      </c>
      <c r="AS60" s="1740">
        <v>0</v>
      </c>
      <c r="AT60" s="1740">
        <v>0</v>
      </c>
      <c r="AU60" s="1740">
        <v>0</v>
      </c>
      <c r="AV60" s="1740">
        <f>SUM(AX60:AY60)</f>
        <v>0.9</v>
      </c>
      <c r="AW60" s="1923">
        <f t="shared" si="25"/>
        <v>2.5223508309744685E-4</v>
      </c>
      <c r="AX60" s="1740">
        <v>0.9</v>
      </c>
      <c r="AY60" s="1740">
        <v>0</v>
      </c>
      <c r="AZ60" s="1828">
        <f>SUM(BB60:BC60)</f>
        <v>0.9</v>
      </c>
      <c r="BA60" s="2738">
        <f t="shared" si="20"/>
        <v>2.5223508309744685E-4</v>
      </c>
      <c r="BB60" s="1828">
        <v>0.9</v>
      </c>
      <c r="BC60" s="1828">
        <v>0</v>
      </c>
      <c r="BD60" s="1828">
        <f>SUM(BF60:BG60)</f>
        <v>0</v>
      </c>
      <c r="BE60" s="1828"/>
      <c r="BF60" s="1828"/>
      <c r="BG60" s="1828"/>
      <c r="BH60" s="1828"/>
      <c r="BI60" s="1828"/>
      <c r="BJ60" s="1828"/>
      <c r="BK60" s="1828"/>
      <c r="BL60" s="1828"/>
      <c r="BM60" s="1828"/>
      <c r="BN60" s="1828"/>
      <c r="BO60" s="1828"/>
      <c r="BP60" s="2731" t="s">
        <v>247</v>
      </c>
    </row>
    <row r="61" spans="1:68" ht="20.25" hidden="1" customHeight="1" x14ac:dyDescent="0.2">
      <c r="A61" s="1673" t="s">
        <v>541</v>
      </c>
      <c r="B61" s="1722"/>
      <c r="C61" s="1722"/>
      <c r="D61" s="1722"/>
      <c r="E61" s="1722"/>
      <c r="F61" s="1722"/>
      <c r="G61" s="1722"/>
      <c r="H61" s="1722"/>
      <c r="I61" s="1806"/>
      <c r="J61" s="1722"/>
      <c r="K61" s="1722"/>
      <c r="L61" s="1722"/>
      <c r="M61" s="1722"/>
      <c r="N61" s="1919"/>
      <c r="O61" s="1916"/>
      <c r="P61" s="1919"/>
      <c r="Q61" s="1919"/>
      <c r="R61" s="1722"/>
      <c r="S61" s="1806"/>
      <c r="T61" s="1806"/>
      <c r="U61" s="1806"/>
      <c r="V61" s="1806"/>
      <c r="W61" s="1740">
        <f>W51+W56+W60</f>
        <v>100981.68</v>
      </c>
      <c r="X61" s="1740"/>
      <c r="Y61" s="1740">
        <f t="shared" ref="Y61:AE61" si="154">Y51+Y56+Y60</f>
        <v>82121.362445693521</v>
      </c>
      <c r="Z61" s="1740">
        <f t="shared" si="154"/>
        <v>81792.211738577535</v>
      </c>
      <c r="AA61" s="1740">
        <f t="shared" si="154"/>
        <v>329.45070711599271</v>
      </c>
      <c r="AB61" s="1740">
        <f t="shared" si="154"/>
        <v>71942.549500000008</v>
      </c>
      <c r="AC61" s="1740">
        <f t="shared" si="154"/>
        <v>71565.813541510855</v>
      </c>
      <c r="AD61" s="1740">
        <f t="shared" si="154"/>
        <v>376.73595848915204</v>
      </c>
      <c r="AE61" s="1740">
        <f t="shared" si="154"/>
        <v>95429.99</v>
      </c>
      <c r="AF61" s="1740">
        <f t="shared" si="13"/>
        <v>1.1620604816816991</v>
      </c>
      <c r="AG61" s="1740">
        <f>AG51+AG56+AG60</f>
        <v>95225.95</v>
      </c>
      <c r="AH61" s="1740">
        <f>AH51+AH56+AH60</f>
        <v>353.42</v>
      </c>
      <c r="AI61" s="1740">
        <f>AI51+AI56+AI60</f>
        <v>88832.528140474125</v>
      </c>
      <c r="AJ61" s="1740">
        <f t="shared" si="14"/>
        <v>1.0817225322974722</v>
      </c>
      <c r="AK61" s="1740">
        <f>AK51+AK56+AK60</f>
        <v>88531.312780484339</v>
      </c>
      <c r="AL61" s="1740">
        <f>AL51+AL56+AL60</f>
        <v>300.91335862265248</v>
      </c>
      <c r="AM61" s="1740" t="e">
        <f>AM51+AM56+AM60</f>
        <v>#REF!</v>
      </c>
      <c r="AN61" s="1740" t="e">
        <f>#REF!-AM61</f>
        <v>#REF!</v>
      </c>
      <c r="AO61" s="1740" t="e">
        <f t="shared" si="15"/>
        <v>#REF!</v>
      </c>
      <c r="AP61" s="1740">
        <f t="shared" ref="AP61:AV61" si="155">AP51+AP56+AP60</f>
        <v>25525.760000000002</v>
      </c>
      <c r="AQ61" s="1740">
        <f t="shared" si="155"/>
        <v>25440.449918838356</v>
      </c>
      <c r="AR61" s="1740">
        <f t="shared" si="155"/>
        <v>83.252151621438273</v>
      </c>
      <c r="AS61" s="1740">
        <f t="shared" si="155"/>
        <v>40253.669999999991</v>
      </c>
      <c r="AT61" s="1740">
        <f t="shared" si="155"/>
        <v>40082.039917911483</v>
      </c>
      <c r="AU61" s="1740">
        <f t="shared" si="155"/>
        <v>167.62745114410106</v>
      </c>
      <c r="AV61" s="1740">
        <f t="shared" si="155"/>
        <v>97637.096536620869</v>
      </c>
      <c r="AW61" s="1923">
        <f t="shared" si="25"/>
        <v>1.099114238674191</v>
      </c>
      <c r="AX61" s="1740">
        <f>AX51+AX56+AX60</f>
        <v>97258.024391735191</v>
      </c>
      <c r="AY61" s="1740">
        <f>AY51+AY56+AY60</f>
        <v>379.07214488568587</v>
      </c>
      <c r="AZ61" s="1828">
        <f>AZ51+AZ56+AZ60</f>
        <v>85385.406708417519</v>
      </c>
      <c r="BA61" s="2738">
        <f t="shared" si="20"/>
        <v>0.96119527942956273</v>
      </c>
      <c r="BB61" s="1828">
        <f>BB51+BB56+BB60</f>
        <v>85119.686560402581</v>
      </c>
      <c r="BC61" s="1828">
        <f>BC51+BC56+BC60</f>
        <v>265.72014801492907</v>
      </c>
      <c r="BD61" s="1828">
        <f>BD51+BD56+BD60</f>
        <v>81554.210000000006</v>
      </c>
      <c r="BE61" s="1828"/>
      <c r="BF61" s="1828"/>
      <c r="BG61" s="1828"/>
      <c r="BH61" s="1828"/>
      <c r="BI61" s="1828"/>
      <c r="BJ61" s="1828"/>
      <c r="BK61" s="1828"/>
      <c r="BL61" s="1828"/>
      <c r="BM61" s="1828"/>
      <c r="BN61" s="1828"/>
      <c r="BO61" s="1828"/>
      <c r="BP61" s="2731"/>
    </row>
    <row r="62" spans="1:68" ht="21" hidden="1" customHeight="1" x14ac:dyDescent="0.2">
      <c r="A62" s="1673" t="s">
        <v>321</v>
      </c>
      <c r="B62" s="1722"/>
      <c r="C62" s="1722"/>
      <c r="D62" s="1722"/>
      <c r="E62" s="1722"/>
      <c r="F62" s="1722"/>
      <c r="G62" s="1722"/>
      <c r="H62" s="1722"/>
      <c r="I62" s="1806"/>
      <c r="J62" s="1722"/>
      <c r="K62" s="1722"/>
      <c r="L62" s="1722"/>
      <c r="M62" s="1722"/>
      <c r="N62" s="1919"/>
      <c r="O62" s="1916"/>
      <c r="P62" s="1919"/>
      <c r="Q62" s="1919"/>
      <c r="R62" s="1722"/>
      <c r="S62" s="1806"/>
      <c r="T62" s="1806"/>
      <c r="U62" s="1806"/>
      <c r="V62" s="1806"/>
      <c r="W62" s="1740">
        <f>W61/W52</f>
        <v>28.050466666666665</v>
      </c>
      <c r="X62" s="1740"/>
      <c r="Y62" s="1740">
        <f t="shared" ref="Y62:AE62" si="156">Y61/Y52</f>
        <v>22.359942942710681</v>
      </c>
      <c r="Z62" s="1740">
        <f t="shared" si="156"/>
        <v>22.441411292720261</v>
      </c>
      <c r="AA62" s="1740">
        <f t="shared" si="156"/>
        <v>11.766096682714025</v>
      </c>
      <c r="AB62" s="1740">
        <f t="shared" si="156"/>
        <v>20.6957452102871</v>
      </c>
      <c r="AC62" s="1740">
        <f t="shared" si="156"/>
        <v>20.767792670200482</v>
      </c>
      <c r="AD62" s="1740">
        <f t="shared" si="156"/>
        <v>12.474700612223577</v>
      </c>
      <c r="AE62" s="1740">
        <f t="shared" si="156"/>
        <v>25.983606066381682</v>
      </c>
      <c r="AF62" s="1740">
        <f t="shared" si="13"/>
        <v>1.1620604816816991</v>
      </c>
      <c r="AG62" s="1740">
        <f>AG61/AG52</f>
        <v>26.127239553324006</v>
      </c>
      <c r="AH62" s="1740">
        <f>AH61/AH52</f>
        <v>12.622142857142858</v>
      </c>
      <c r="AI62" s="1740">
        <f>AI61/AI52</f>
        <v>24.373069975711068</v>
      </c>
      <c r="AJ62" s="1740">
        <f t="shared" si="14"/>
        <v>1.0900327446343805</v>
      </c>
      <c r="AK62" s="1740">
        <f>AK61/AK52</f>
        <v>24.2904252148282</v>
      </c>
      <c r="AL62" s="1740" t="e">
        <f>AL61/AL52</f>
        <v>#DIV/0!</v>
      </c>
      <c r="AM62" s="1740" t="e">
        <f>#REF!*Z62/Y62</f>
        <v>#REF!</v>
      </c>
      <c r="AN62" s="1740" t="e">
        <f>#REF!-AM62</f>
        <v>#REF!</v>
      </c>
      <c r="AO62" s="1740" t="e">
        <f t="shared" si="15"/>
        <v>#REF!</v>
      </c>
      <c r="AP62" s="1740">
        <f t="shared" ref="AP62:AV62" si="157">AP61/AP52</f>
        <v>15.278116283802389</v>
      </c>
      <c r="AQ62" s="1740">
        <f t="shared" si="157"/>
        <v>15.315700072145278</v>
      </c>
      <c r="AR62" s="1740">
        <f t="shared" si="157"/>
        <v>8.6093228150401515</v>
      </c>
      <c r="AS62" s="1740">
        <f t="shared" si="157"/>
        <v>12.540279443605039</v>
      </c>
      <c r="AT62" s="1740">
        <f t="shared" si="157"/>
        <v>12.578427562523807</v>
      </c>
      <c r="AU62" s="1740">
        <f t="shared" si="157"/>
        <v>7.1696942319974797</v>
      </c>
      <c r="AV62" s="1740">
        <f t="shared" si="157"/>
        <v>28.113186448782283</v>
      </c>
      <c r="AW62" s="1923">
        <f t="shared" si="25"/>
        <v>1.1534528262873089</v>
      </c>
      <c r="AX62" s="1740">
        <f>AX61/AX52</f>
        <v>28.23164713838467</v>
      </c>
      <c r="AY62" s="1740">
        <f>AY61/AY52</f>
        <v>13.538290888774496</v>
      </c>
      <c r="AZ62" s="1828">
        <f>AZ61/AZ52</f>
        <v>24.649864953511624</v>
      </c>
      <c r="BA62" s="2738">
        <f t="shared" si="20"/>
        <v>1.0113565906172834</v>
      </c>
      <c r="BB62" s="1828">
        <f>BB61/BB52</f>
        <v>24.708181875298283</v>
      </c>
      <c r="BC62" s="1828">
        <f>BC61/BC52</f>
        <v>14.036986160323776</v>
      </c>
      <c r="BD62" s="1828">
        <f>BD61/BD52</f>
        <v>26.638731467357399</v>
      </c>
      <c r="BE62" s="1828"/>
      <c r="BF62" s="1828"/>
      <c r="BG62" s="1828"/>
      <c r="BH62" s="1828"/>
      <c r="BI62" s="1828"/>
      <c r="BJ62" s="1828"/>
      <c r="BK62" s="1828"/>
      <c r="BL62" s="1828"/>
      <c r="BM62" s="1828"/>
      <c r="BN62" s="1828"/>
      <c r="BO62" s="1828"/>
      <c r="BP62" s="2731"/>
    </row>
    <row r="63" spans="1:68" ht="20.25" hidden="1" customHeight="1" x14ac:dyDescent="0.35">
      <c r="A63" s="371"/>
      <c r="B63" s="929"/>
      <c r="C63" s="929"/>
      <c r="D63" s="929"/>
      <c r="E63" s="929"/>
      <c r="F63" s="929"/>
      <c r="G63" s="929"/>
      <c r="H63" s="929"/>
      <c r="I63" s="930"/>
      <c r="J63" s="105"/>
      <c r="K63" s="105"/>
      <c r="L63" s="105"/>
      <c r="M63" s="105"/>
      <c r="N63" s="931"/>
      <c r="O63" s="932"/>
      <c r="P63" s="933"/>
      <c r="Q63" s="931"/>
      <c r="R63" s="105"/>
      <c r="S63" s="930"/>
      <c r="T63" s="930"/>
      <c r="U63" s="930"/>
      <c r="V63" s="930"/>
      <c r="W63" s="934"/>
      <c r="X63" s="930"/>
      <c r="Y63" s="934"/>
      <c r="Z63" s="934"/>
      <c r="AA63" s="934"/>
      <c r="AB63" s="934"/>
      <c r="AC63" s="934"/>
      <c r="AD63" s="934"/>
      <c r="AE63" s="934"/>
      <c r="AF63" s="934"/>
      <c r="AG63" s="934"/>
      <c r="AH63" s="934"/>
      <c r="AI63" s="934"/>
      <c r="AJ63" s="934"/>
      <c r="AK63" s="935"/>
      <c r="AL63" s="935"/>
      <c r="AM63" s="936"/>
      <c r="AN63" s="937"/>
      <c r="AO63" s="936"/>
      <c r="AP63" s="936"/>
      <c r="AQ63" s="936"/>
      <c r="AR63" s="936"/>
      <c r="AS63" s="936"/>
      <c r="AT63" s="936"/>
      <c r="AU63" s="936"/>
      <c r="AV63" s="936"/>
      <c r="AW63" s="1447"/>
      <c r="AX63" s="936"/>
      <c r="AY63" s="936"/>
      <c r="AZ63" s="936">
        <f>BB52</f>
        <v>3445</v>
      </c>
      <c r="BA63" s="1447"/>
      <c r="BB63" s="936">
        <f>AZ63/2</f>
        <v>1722.5</v>
      </c>
      <c r="BC63" s="936">
        <f>BB63</f>
        <v>1722.5</v>
      </c>
      <c r="BD63" s="936"/>
      <c r="BE63" s="936"/>
      <c r="BF63" s="936"/>
      <c r="BG63" s="936"/>
      <c r="BH63" s="936"/>
      <c r="BI63" s="936"/>
      <c r="BJ63" s="936"/>
      <c r="BK63" s="936"/>
      <c r="BL63" s="936"/>
      <c r="BM63" s="936"/>
      <c r="BN63" s="936"/>
      <c r="BO63" s="936"/>
      <c r="BP63" s="105"/>
    </row>
    <row r="64" spans="1:68" ht="20.25" hidden="1" customHeight="1" x14ac:dyDescent="0.35">
      <c r="A64" s="371"/>
      <c r="B64" s="929"/>
      <c r="C64" s="929"/>
      <c r="D64" s="929"/>
      <c r="E64" s="929"/>
      <c r="F64" s="929"/>
      <c r="G64" s="929"/>
      <c r="H64" s="929"/>
      <c r="I64" s="930"/>
      <c r="J64" s="105"/>
      <c r="K64" s="105"/>
      <c r="L64" s="105"/>
      <c r="M64" s="105"/>
      <c r="N64" s="931"/>
      <c r="O64" s="932"/>
      <c r="P64" s="933"/>
      <c r="Q64" s="931"/>
      <c r="R64" s="105"/>
      <c r="S64" s="930"/>
      <c r="T64" s="930"/>
      <c r="U64" s="930"/>
      <c r="V64" s="930"/>
      <c r="W64" s="934"/>
      <c r="X64" s="930"/>
      <c r="Y64" s="934"/>
      <c r="Z64" s="934"/>
      <c r="AA64" s="934"/>
      <c r="AB64" s="934"/>
      <c r="AC64" s="934"/>
      <c r="AD64" s="934"/>
      <c r="AE64" s="934"/>
      <c r="AF64" s="934"/>
      <c r="AG64" s="934"/>
      <c r="AH64" s="934"/>
      <c r="AI64" s="934"/>
      <c r="AJ64" s="934"/>
      <c r="AK64" s="935"/>
      <c r="AL64" s="935"/>
      <c r="AM64" s="936"/>
      <c r="AN64" s="937"/>
      <c r="AO64" s="936"/>
      <c r="AP64" s="936"/>
      <c r="AQ64" s="936"/>
      <c r="AR64" s="936"/>
      <c r="AS64" s="936"/>
      <c r="AT64" s="936"/>
      <c r="AU64" s="936"/>
      <c r="AV64" s="936"/>
      <c r="AW64" s="1447"/>
      <c r="AX64" s="936"/>
      <c r="AY64" s="936"/>
      <c r="AZ64" s="936">
        <f>BB62</f>
        <v>24.708181875298283</v>
      </c>
      <c r="BA64" s="1447"/>
      <c r="BB64" s="936">
        <v>24.29</v>
      </c>
      <c r="BC64" s="936">
        <f>BC65/BC63</f>
        <v>25.126363750596564</v>
      </c>
      <c r="BD64" s="936"/>
      <c r="BE64" s="936"/>
      <c r="BF64" s="936"/>
      <c r="BG64" s="936"/>
      <c r="BH64" s="936"/>
      <c r="BI64" s="936"/>
      <c r="BJ64" s="936"/>
      <c r="BK64" s="936"/>
      <c r="BL64" s="936"/>
      <c r="BM64" s="936"/>
      <c r="BN64" s="936"/>
      <c r="BO64" s="936"/>
      <c r="BP64" s="1933">
        <f>BC64/BB64</f>
        <v>1.034432431066141</v>
      </c>
    </row>
    <row r="65" spans="1:68" ht="20.25" hidden="1" customHeight="1" x14ac:dyDescent="0.35">
      <c r="A65" s="371"/>
      <c r="B65" s="929"/>
      <c r="C65" s="929"/>
      <c r="D65" s="929"/>
      <c r="E65" s="929"/>
      <c r="F65" s="929"/>
      <c r="G65" s="929"/>
      <c r="H65" s="929"/>
      <c r="I65" s="930"/>
      <c r="J65" s="105"/>
      <c r="K65" s="105"/>
      <c r="L65" s="105"/>
      <c r="M65" s="105"/>
      <c r="N65" s="931"/>
      <c r="O65" s="932"/>
      <c r="P65" s="933"/>
      <c r="Q65" s="931"/>
      <c r="R65" s="105"/>
      <c r="S65" s="930"/>
      <c r="T65" s="930"/>
      <c r="U65" s="930"/>
      <c r="V65" s="930"/>
      <c r="W65" s="934"/>
      <c r="X65" s="930"/>
      <c r="Y65" s="934"/>
      <c r="Z65" s="934"/>
      <c r="AA65" s="934"/>
      <c r="AB65" s="934"/>
      <c r="AC65" s="934"/>
      <c r="AD65" s="934"/>
      <c r="AE65" s="934"/>
      <c r="AF65" s="934"/>
      <c r="AG65" s="934"/>
      <c r="AH65" s="934"/>
      <c r="AI65" s="934"/>
      <c r="AJ65" s="934"/>
      <c r="AK65" s="935"/>
      <c r="AL65" s="935"/>
      <c r="AM65" s="936"/>
      <c r="AN65" s="937"/>
      <c r="AO65" s="936"/>
      <c r="AP65" s="936"/>
      <c r="AQ65" s="936"/>
      <c r="AR65" s="936"/>
      <c r="AS65" s="936"/>
      <c r="AT65" s="936"/>
      <c r="AU65" s="936"/>
      <c r="AV65" s="936"/>
      <c r="AW65" s="1447"/>
      <c r="AX65" s="936"/>
      <c r="AY65" s="936"/>
      <c r="AZ65" s="936">
        <f>BB61</f>
        <v>85119.686560402581</v>
      </c>
      <c r="BA65" s="1447"/>
      <c r="BB65" s="936">
        <f>BB63*BB64</f>
        <v>41839.525000000001</v>
      </c>
      <c r="BC65" s="936">
        <f>AZ65-BB65</f>
        <v>43280.161560402579</v>
      </c>
      <c r="BD65" s="936"/>
      <c r="BE65" s="936"/>
      <c r="BF65" s="936"/>
      <c r="BG65" s="936"/>
      <c r="BH65" s="936"/>
      <c r="BI65" s="936"/>
      <c r="BJ65" s="936"/>
      <c r="BK65" s="936"/>
      <c r="BL65" s="936"/>
      <c r="BM65" s="936"/>
      <c r="BN65" s="936"/>
      <c r="BO65" s="936"/>
      <c r="BP65" s="105"/>
    </row>
    <row r="66" spans="1:68" ht="20.25" customHeight="1" x14ac:dyDescent="0.35">
      <c r="A66" s="371"/>
      <c r="B66" s="929"/>
      <c r="C66" s="929"/>
      <c r="D66" s="929"/>
      <c r="E66" s="929"/>
      <c r="F66" s="929"/>
      <c r="G66" s="929"/>
      <c r="H66" s="929"/>
      <c r="I66" s="930"/>
      <c r="J66" s="105"/>
      <c r="K66" s="105"/>
      <c r="L66" s="105"/>
      <c r="M66" s="105"/>
      <c r="N66" s="931"/>
      <c r="O66" s="932"/>
      <c r="P66" s="933"/>
      <c r="Q66" s="931"/>
      <c r="R66" s="105"/>
      <c r="S66" s="930"/>
      <c r="T66" s="930"/>
      <c r="U66" s="930"/>
      <c r="V66" s="930"/>
      <c r="W66" s="934"/>
      <c r="X66" s="930"/>
      <c r="Y66" s="934"/>
      <c r="Z66" s="934"/>
      <c r="AA66" s="934"/>
      <c r="AB66" s="934"/>
      <c r="AC66" s="934"/>
      <c r="AD66" s="934"/>
      <c r="AE66" s="934"/>
      <c r="AF66" s="934"/>
      <c r="AG66" s="934"/>
      <c r="AH66" s="934"/>
      <c r="AI66" s="934"/>
      <c r="AJ66" s="934"/>
      <c r="AK66" s="935"/>
      <c r="AL66" s="935"/>
      <c r="AM66" s="936"/>
      <c r="AN66" s="937"/>
      <c r="AO66" s="936"/>
      <c r="AP66" s="936"/>
      <c r="AQ66" s="936"/>
      <c r="AR66" s="936"/>
      <c r="AS66" s="936"/>
      <c r="AT66" s="936"/>
      <c r="AU66" s="936"/>
      <c r="AV66" s="936"/>
      <c r="AW66" s="1447"/>
      <c r="AX66" s="936"/>
      <c r="AY66" s="936"/>
      <c r="AZ66" s="936"/>
      <c r="BA66" s="1447"/>
      <c r="BB66" s="936"/>
      <c r="BC66" s="936"/>
      <c r="BD66" s="936"/>
      <c r="BE66" s="936"/>
      <c r="BF66" s="936"/>
      <c r="BG66" s="936"/>
      <c r="BH66" s="936"/>
      <c r="BI66" s="936"/>
      <c r="BJ66" s="936"/>
      <c r="BK66" s="936"/>
      <c r="BL66" s="936"/>
      <c r="BM66" s="936"/>
      <c r="BN66" s="936"/>
      <c r="BO66" s="936"/>
      <c r="BP66" s="105"/>
    </row>
    <row r="67" spans="1:68" ht="20.25" customHeight="1" x14ac:dyDescent="0.2">
      <c r="A67" s="3986" t="s">
        <v>865</v>
      </c>
      <c r="B67" s="3986"/>
      <c r="C67" s="3986"/>
      <c r="D67" s="3986"/>
      <c r="E67" s="3986"/>
      <c r="F67" s="3986"/>
      <c r="G67" s="3986"/>
      <c r="H67" s="3986"/>
      <c r="I67" s="3986"/>
      <c r="J67" s="3986"/>
      <c r="K67" s="3986"/>
      <c r="L67" s="3986"/>
      <c r="M67" s="3986"/>
      <c r="N67" s="3986"/>
      <c r="O67" s="3986"/>
      <c r="P67" s="3986"/>
      <c r="Q67" s="3986"/>
      <c r="R67" s="3986"/>
      <c r="S67" s="3986"/>
      <c r="T67" s="3986"/>
      <c r="U67" s="3986"/>
      <c r="V67" s="3986"/>
      <c r="W67" s="3986"/>
      <c r="X67" s="3986"/>
      <c r="Y67" s="3986"/>
      <c r="Z67" s="3986"/>
      <c r="AA67" s="3986"/>
      <c r="AB67" s="3986"/>
      <c r="AC67" s="3986"/>
      <c r="AD67" s="3986"/>
      <c r="AE67" s="3986"/>
      <c r="AF67" s="3986"/>
      <c r="AG67" s="3986"/>
      <c r="AH67" s="3986"/>
      <c r="AI67" s="3986"/>
      <c r="AJ67" s="3986"/>
      <c r="AK67" s="3986"/>
      <c r="AL67" s="3986"/>
      <c r="AM67" s="3986"/>
      <c r="AN67" s="3986"/>
      <c r="AO67" s="3986"/>
      <c r="AP67" s="3986"/>
      <c r="AQ67" s="3986"/>
      <c r="AR67" s="3986"/>
      <c r="AS67" s="3986"/>
      <c r="AT67" s="3986"/>
      <c r="AU67" s="3986"/>
      <c r="AV67" s="3986"/>
      <c r="AW67" s="3986"/>
      <c r="AX67" s="3986"/>
      <c r="AY67" s="3986"/>
      <c r="AZ67" s="3986"/>
      <c r="BA67" s="3986"/>
      <c r="BB67" s="3986"/>
      <c r="BC67" s="3986"/>
      <c r="BD67" s="3986"/>
      <c r="BE67" s="3986"/>
      <c r="BF67" s="3986"/>
      <c r="BG67" s="3986"/>
      <c r="BH67" s="3986"/>
      <c r="BI67" s="3986"/>
      <c r="BJ67" s="3986"/>
      <c r="BK67" s="3986"/>
      <c r="BL67" s="3986"/>
      <c r="BM67" s="3986"/>
      <c r="BN67" s="3986"/>
      <c r="BO67" s="3986"/>
      <c r="BP67" s="3986"/>
    </row>
    <row r="68" spans="1:68" ht="20.25" customHeight="1" x14ac:dyDescent="0.2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375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1446"/>
      <c r="AX68" s="375"/>
      <c r="AY68" s="375"/>
      <c r="AZ68" s="375"/>
      <c r="BA68" s="1446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  <c r="BP68" s="375"/>
    </row>
    <row r="69" spans="1:68" ht="20.25" customHeight="1" x14ac:dyDescent="0.2">
      <c r="A69" s="3785" t="s">
        <v>536</v>
      </c>
      <c r="B69" s="3768" t="s">
        <v>58</v>
      </c>
      <c r="C69" s="3785" t="s">
        <v>59</v>
      </c>
      <c r="D69" s="3785"/>
      <c r="E69" s="3975" t="s">
        <v>67</v>
      </c>
      <c r="F69" s="3975"/>
      <c r="G69" s="3975" t="s">
        <v>95</v>
      </c>
      <c r="H69" s="3975"/>
      <c r="I69" s="3975" t="s">
        <v>120</v>
      </c>
      <c r="J69" s="3975"/>
      <c r="K69" s="3975"/>
      <c r="L69" s="3975"/>
      <c r="M69" s="3975"/>
      <c r="N69" s="3777" t="s">
        <v>158</v>
      </c>
      <c r="O69" s="3777"/>
      <c r="P69" s="3777"/>
      <c r="Q69" s="3777"/>
      <c r="R69" s="3777"/>
      <c r="S69" s="3777"/>
      <c r="T69" s="3777"/>
      <c r="U69" s="3777"/>
      <c r="V69" s="3777"/>
      <c r="W69" s="3976" t="s">
        <v>235</v>
      </c>
      <c r="X69" s="3976"/>
      <c r="Y69" s="3976"/>
      <c r="Z69" s="3976"/>
      <c r="AA69" s="3976"/>
      <c r="AB69" s="3977"/>
      <c r="AC69" s="3977"/>
      <c r="AD69" s="3977"/>
      <c r="AE69" s="3976" t="s">
        <v>373</v>
      </c>
      <c r="AF69" s="3997"/>
      <c r="AG69" s="3997"/>
      <c r="AH69" s="3997"/>
      <c r="AI69" s="3997"/>
      <c r="AJ69" s="3997"/>
      <c r="AK69" s="3997"/>
      <c r="AL69" s="3997"/>
      <c r="AM69" s="3997"/>
      <c r="AN69" s="3997"/>
      <c r="AO69" s="3997"/>
      <c r="AP69" s="3997"/>
      <c r="AQ69" s="3997"/>
      <c r="AR69" s="3997"/>
      <c r="AS69" s="3997"/>
      <c r="AT69" s="3997"/>
      <c r="AU69" s="3997"/>
      <c r="AV69" s="3978" t="s">
        <v>829</v>
      </c>
      <c r="AW69" s="3979"/>
      <c r="AX69" s="3979"/>
      <c r="AY69" s="3979"/>
      <c r="AZ69" s="3979"/>
      <c r="BA69" s="3979"/>
      <c r="BB69" s="3979"/>
      <c r="BC69" s="3979"/>
      <c r="BD69" s="3979"/>
      <c r="BE69" s="3979"/>
      <c r="BF69" s="3980"/>
      <c r="BG69" s="3978" t="s">
        <v>2072</v>
      </c>
      <c r="BH69" s="3979"/>
      <c r="BI69" s="3980"/>
      <c r="BJ69" s="3978" t="s">
        <v>1819</v>
      </c>
      <c r="BK69" s="3979"/>
      <c r="BL69" s="3979"/>
      <c r="BM69" s="3979"/>
      <c r="BN69" s="3979"/>
      <c r="BO69" s="3980"/>
      <c r="BP69" s="3785" t="s">
        <v>156</v>
      </c>
    </row>
    <row r="70" spans="1:68" ht="20.25" customHeight="1" x14ac:dyDescent="0.3">
      <c r="A70" s="3785"/>
      <c r="B70" s="3768"/>
      <c r="C70" s="3768" t="s">
        <v>61</v>
      </c>
      <c r="D70" s="3768" t="s">
        <v>62</v>
      </c>
      <c r="E70" s="3768" t="s">
        <v>61</v>
      </c>
      <c r="F70" s="3768" t="s">
        <v>66</v>
      </c>
      <c r="G70" s="3768" t="s">
        <v>61</v>
      </c>
      <c r="H70" s="3768" t="s">
        <v>112</v>
      </c>
      <c r="I70" s="3768" t="s">
        <v>60</v>
      </c>
      <c r="J70" s="3768" t="s">
        <v>63</v>
      </c>
      <c r="K70" s="3768" t="s">
        <v>110</v>
      </c>
      <c r="L70" s="3768" t="s">
        <v>61</v>
      </c>
      <c r="M70" s="3768" t="s">
        <v>119</v>
      </c>
      <c r="N70" s="3768" t="s">
        <v>122</v>
      </c>
      <c r="O70" s="3768" t="s">
        <v>97</v>
      </c>
      <c r="P70" s="3768" t="s">
        <v>123</v>
      </c>
      <c r="Q70" s="3768" t="s">
        <v>97</v>
      </c>
      <c r="R70" s="3768" t="s">
        <v>157</v>
      </c>
      <c r="S70" s="3785" t="s">
        <v>23</v>
      </c>
      <c r="T70" s="3785"/>
      <c r="U70" s="3768" t="s">
        <v>110</v>
      </c>
      <c r="V70" s="3768" t="s">
        <v>402</v>
      </c>
      <c r="W70" s="3768" t="s">
        <v>122</v>
      </c>
      <c r="X70" s="3768" t="s">
        <v>97</v>
      </c>
      <c r="Y70" s="3777" t="s">
        <v>123</v>
      </c>
      <c r="Z70" s="3996"/>
      <c r="AA70" s="3996"/>
      <c r="AB70" s="3777" t="s">
        <v>828</v>
      </c>
      <c r="AC70" s="3777"/>
      <c r="AD70" s="3777"/>
      <c r="AE70" s="3777" t="s">
        <v>122</v>
      </c>
      <c r="AF70" s="3998"/>
      <c r="AG70" s="3998"/>
      <c r="AH70" s="3998"/>
      <c r="AI70" s="3777" t="s">
        <v>123</v>
      </c>
      <c r="AJ70" s="3999"/>
      <c r="AK70" s="3999"/>
      <c r="AL70" s="3999"/>
      <c r="AM70" s="2730"/>
      <c r="AN70" s="2730"/>
      <c r="AO70" s="2732"/>
      <c r="AP70" s="3777" t="s">
        <v>858</v>
      </c>
      <c r="AQ70" s="3777"/>
      <c r="AR70" s="3777"/>
      <c r="AS70" s="3777" t="s">
        <v>859</v>
      </c>
      <c r="AT70" s="3768"/>
      <c r="AU70" s="3768"/>
      <c r="AV70" s="3777" t="s">
        <v>122</v>
      </c>
      <c r="AW70" s="3995"/>
      <c r="AX70" s="3995"/>
      <c r="AY70" s="3995"/>
      <c r="AZ70" s="3777" t="s">
        <v>123</v>
      </c>
      <c r="BA70" s="3777"/>
      <c r="BB70" s="3777"/>
      <c r="BC70" s="3777"/>
      <c r="BD70" s="3769" t="s">
        <v>1532</v>
      </c>
      <c r="BE70" s="3778"/>
      <c r="BF70" s="3770"/>
      <c r="BG70" s="3769" t="s">
        <v>61</v>
      </c>
      <c r="BH70" s="3778"/>
      <c r="BI70" s="3770"/>
      <c r="BJ70" s="3769" t="s">
        <v>122</v>
      </c>
      <c r="BK70" s="3778"/>
      <c r="BL70" s="3770"/>
      <c r="BM70" s="3769" t="s">
        <v>1537</v>
      </c>
      <c r="BN70" s="3778"/>
      <c r="BO70" s="3770"/>
      <c r="BP70" s="3785"/>
    </row>
    <row r="71" spans="1:68" ht="20.25" customHeight="1" x14ac:dyDescent="0.2">
      <c r="A71" s="3785"/>
      <c r="B71" s="3768"/>
      <c r="C71" s="3768"/>
      <c r="D71" s="3768"/>
      <c r="E71" s="3768"/>
      <c r="F71" s="3768"/>
      <c r="G71" s="3768"/>
      <c r="H71" s="3768"/>
      <c r="I71" s="3768"/>
      <c r="J71" s="3768"/>
      <c r="K71" s="3768"/>
      <c r="L71" s="3768"/>
      <c r="M71" s="3768"/>
      <c r="N71" s="3768"/>
      <c r="O71" s="3768"/>
      <c r="P71" s="3768"/>
      <c r="Q71" s="3768"/>
      <c r="R71" s="3768"/>
      <c r="S71" s="3768" t="s">
        <v>47</v>
      </c>
      <c r="T71" s="3768" t="s">
        <v>208</v>
      </c>
      <c r="U71" s="3768"/>
      <c r="V71" s="3768"/>
      <c r="W71" s="3768"/>
      <c r="X71" s="3768"/>
      <c r="Y71" s="3785" t="s">
        <v>296</v>
      </c>
      <c r="Z71" s="3785" t="s">
        <v>50</v>
      </c>
      <c r="AA71" s="3785"/>
      <c r="AB71" s="3785" t="s">
        <v>296</v>
      </c>
      <c r="AC71" s="3785" t="s">
        <v>50</v>
      </c>
      <c r="AD71" s="3971"/>
      <c r="AE71" s="3785" t="s">
        <v>296</v>
      </c>
      <c r="AF71" s="3768" t="s">
        <v>97</v>
      </c>
      <c r="AG71" s="3785" t="s">
        <v>50</v>
      </c>
      <c r="AH71" s="3971"/>
      <c r="AI71" s="3785" t="s">
        <v>296</v>
      </c>
      <c r="AJ71" s="3768" t="s">
        <v>97</v>
      </c>
      <c r="AK71" s="3785" t="s">
        <v>50</v>
      </c>
      <c r="AL71" s="3971"/>
      <c r="AM71" s="2730"/>
      <c r="AN71" s="2730"/>
      <c r="AO71" s="2732"/>
      <c r="AP71" s="3785" t="s">
        <v>296</v>
      </c>
      <c r="AQ71" s="3785" t="s">
        <v>50</v>
      </c>
      <c r="AR71" s="3971"/>
      <c r="AS71" s="3785" t="s">
        <v>296</v>
      </c>
      <c r="AT71" s="3785" t="s">
        <v>50</v>
      </c>
      <c r="AU71" s="3971"/>
      <c r="AV71" s="3785" t="s">
        <v>296</v>
      </c>
      <c r="AW71" s="3984" t="s">
        <v>97</v>
      </c>
      <c r="AX71" s="3785" t="s">
        <v>50</v>
      </c>
      <c r="AY71" s="3785"/>
      <c r="AZ71" s="3785" t="s">
        <v>296</v>
      </c>
      <c r="BA71" s="3984" t="s">
        <v>97</v>
      </c>
      <c r="BB71" s="3785" t="s">
        <v>50</v>
      </c>
      <c r="BC71" s="3785"/>
      <c r="BD71" s="3785" t="s">
        <v>296</v>
      </c>
      <c r="BE71" s="3785" t="s">
        <v>50</v>
      </c>
      <c r="BF71" s="3785"/>
      <c r="BG71" s="4003" t="s">
        <v>296</v>
      </c>
      <c r="BH71" s="3785" t="s">
        <v>50</v>
      </c>
      <c r="BI71" s="3785"/>
      <c r="BJ71" s="4003" t="s">
        <v>296</v>
      </c>
      <c r="BK71" s="3785" t="s">
        <v>50</v>
      </c>
      <c r="BL71" s="3785"/>
      <c r="BM71" s="4003" t="s">
        <v>296</v>
      </c>
      <c r="BN71" s="3785" t="s">
        <v>50</v>
      </c>
      <c r="BO71" s="3785"/>
      <c r="BP71" s="3785"/>
    </row>
    <row r="72" spans="1:68" ht="20.25" customHeight="1" x14ac:dyDescent="0.2">
      <c r="A72" s="3785"/>
      <c r="B72" s="3768"/>
      <c r="C72" s="3768"/>
      <c r="D72" s="3768"/>
      <c r="E72" s="3768"/>
      <c r="F72" s="3768"/>
      <c r="G72" s="3768"/>
      <c r="H72" s="3768"/>
      <c r="I72" s="3768"/>
      <c r="J72" s="3768"/>
      <c r="K72" s="3768"/>
      <c r="L72" s="3768"/>
      <c r="M72" s="3768"/>
      <c r="N72" s="3768"/>
      <c r="O72" s="3768"/>
      <c r="P72" s="3768"/>
      <c r="Q72" s="3768"/>
      <c r="R72" s="3768"/>
      <c r="S72" s="3768"/>
      <c r="T72" s="3768"/>
      <c r="U72" s="3768"/>
      <c r="V72" s="3768"/>
      <c r="W72" s="3768"/>
      <c r="X72" s="3768"/>
      <c r="Y72" s="3785"/>
      <c r="Z72" s="2724" t="s">
        <v>47</v>
      </c>
      <c r="AA72" s="2724" t="s">
        <v>537</v>
      </c>
      <c r="AB72" s="3785"/>
      <c r="AC72" s="2724" t="s">
        <v>47</v>
      </c>
      <c r="AD72" s="2724" t="s">
        <v>537</v>
      </c>
      <c r="AE72" s="3971"/>
      <c r="AF72" s="3960"/>
      <c r="AG72" s="2724" t="s">
        <v>47</v>
      </c>
      <c r="AH72" s="2724" t="s">
        <v>537</v>
      </c>
      <c r="AI72" s="3971"/>
      <c r="AJ72" s="3960"/>
      <c r="AK72" s="2724" t="s">
        <v>47</v>
      </c>
      <c r="AL72" s="2724" t="s">
        <v>537</v>
      </c>
      <c r="AM72" s="2776" t="s">
        <v>254</v>
      </c>
      <c r="AN72" s="2732" t="s">
        <v>366</v>
      </c>
      <c r="AO72" s="2732"/>
      <c r="AP72" s="3785"/>
      <c r="AQ72" s="2724" t="s">
        <v>47</v>
      </c>
      <c r="AR72" s="2724" t="s">
        <v>537</v>
      </c>
      <c r="AS72" s="3785"/>
      <c r="AT72" s="2724" t="s">
        <v>47</v>
      </c>
      <c r="AU72" s="2724" t="s">
        <v>537</v>
      </c>
      <c r="AV72" s="3785"/>
      <c r="AW72" s="3984"/>
      <c r="AX72" s="2724" t="s">
        <v>47</v>
      </c>
      <c r="AY72" s="2724" t="s">
        <v>537</v>
      </c>
      <c r="AZ72" s="3785"/>
      <c r="BA72" s="3984"/>
      <c r="BB72" s="2724" t="s">
        <v>47</v>
      </c>
      <c r="BC72" s="2724" t="s">
        <v>537</v>
      </c>
      <c r="BD72" s="3785"/>
      <c r="BE72" s="2724" t="s">
        <v>47</v>
      </c>
      <c r="BF72" s="2724" t="s">
        <v>537</v>
      </c>
      <c r="BG72" s="4004"/>
      <c r="BH72" s="2724" t="s">
        <v>47</v>
      </c>
      <c r="BI72" s="2724" t="s">
        <v>537</v>
      </c>
      <c r="BJ72" s="4004"/>
      <c r="BK72" s="2724" t="s">
        <v>47</v>
      </c>
      <c r="BL72" s="2724" t="s">
        <v>537</v>
      </c>
      <c r="BM72" s="4004"/>
      <c r="BN72" s="2724" t="s">
        <v>47</v>
      </c>
      <c r="BO72" s="2724" t="s">
        <v>537</v>
      </c>
      <c r="BP72" s="3785"/>
    </row>
    <row r="73" spans="1:68" ht="20.25" customHeight="1" x14ac:dyDescent="0.3">
      <c r="A73" s="1681" t="s">
        <v>1</v>
      </c>
      <c r="B73" s="1781"/>
      <c r="C73" s="1781"/>
      <c r="D73" s="1781"/>
      <c r="E73" s="1781"/>
      <c r="F73" s="1781"/>
      <c r="G73" s="1781"/>
      <c r="H73" s="1781"/>
      <c r="I73" s="1781"/>
      <c r="J73" s="1781"/>
      <c r="K73" s="1781"/>
      <c r="L73" s="1781"/>
      <c r="M73" s="1781"/>
      <c r="N73" s="1781"/>
      <c r="O73" s="1781"/>
      <c r="P73" s="1781"/>
      <c r="Q73" s="1781"/>
      <c r="R73" s="1781"/>
      <c r="S73" s="1781"/>
      <c r="T73" s="1781"/>
      <c r="U73" s="1781"/>
      <c r="V73" s="1781"/>
      <c r="W73" s="2790">
        <f>SUM(W9+W18)</f>
        <v>11950.3</v>
      </c>
      <c r="X73" s="1781"/>
      <c r="Y73" s="2790">
        <f t="shared" ref="Y73:AE73" si="158">SUM(Y9+Y18)</f>
        <v>8235.3261012666553</v>
      </c>
      <c r="Z73" s="2790">
        <f t="shared" si="158"/>
        <v>8188.1478257572307</v>
      </c>
      <c r="AA73" s="2790">
        <f t="shared" si="158"/>
        <v>47.178275509425475</v>
      </c>
      <c r="AB73" s="2790">
        <f t="shared" si="158"/>
        <v>8646.5</v>
      </c>
      <c r="AC73" s="2790">
        <f t="shared" si="158"/>
        <v>8584.7838214141884</v>
      </c>
      <c r="AD73" s="2790">
        <f t="shared" si="158"/>
        <v>61.716178585811576</v>
      </c>
      <c r="AE73" s="2790">
        <f t="shared" si="158"/>
        <v>8729.4500000000007</v>
      </c>
      <c r="AF73" s="2791">
        <f t="shared" ref="AF73:AF94" si="159">SUM(AE73/Y73)</f>
        <v>1.0600005261063488</v>
      </c>
      <c r="AG73" s="2790">
        <f t="shared" ref="AG73:AI73" si="160">SUM(AG9+AG18)</f>
        <v>8678.7799999999988</v>
      </c>
      <c r="AH73" s="2790">
        <f t="shared" si="160"/>
        <v>50.67</v>
      </c>
      <c r="AI73" s="2790">
        <f t="shared" si="160"/>
        <v>7646.5854110996133</v>
      </c>
      <c r="AJ73" s="2791">
        <f t="shared" ref="AJ73:AJ94" si="161">SUM(AI73/Y73)</f>
        <v>0.92851033669735439</v>
      </c>
      <c r="AK73" s="2790">
        <f t="shared" ref="AK73:AV73" si="162">SUM(AK9+AK18)</f>
        <v>7595.9159432024917</v>
      </c>
      <c r="AL73" s="2790">
        <f t="shared" si="162"/>
        <v>50.669467897122964</v>
      </c>
      <c r="AM73" s="2790" t="e">
        <f t="shared" si="162"/>
        <v>#REF!</v>
      </c>
      <c r="AN73" s="2790" t="e">
        <f t="shared" si="162"/>
        <v>#REF!</v>
      </c>
      <c r="AO73" s="2790" t="e">
        <f t="shared" si="162"/>
        <v>#REF!</v>
      </c>
      <c r="AP73" s="2790">
        <f t="shared" si="162"/>
        <v>4209.3</v>
      </c>
      <c r="AQ73" s="2790">
        <f t="shared" si="162"/>
        <v>4189.1750511749278</v>
      </c>
      <c r="AR73" s="2790">
        <f t="shared" si="162"/>
        <v>20.124948825071897</v>
      </c>
      <c r="AS73" s="2790">
        <f t="shared" si="162"/>
        <v>6232.7999999999993</v>
      </c>
      <c r="AT73" s="2790">
        <f t="shared" si="162"/>
        <v>6194.4889789560575</v>
      </c>
      <c r="AU73" s="2790">
        <f t="shared" si="162"/>
        <v>38.311021043941764</v>
      </c>
      <c r="AV73" s="2790">
        <f t="shared" si="162"/>
        <v>7986.29</v>
      </c>
      <c r="AW73" s="2792">
        <f t="shared" ref="AW73:AW94" si="163">SUM(AV73/AI73)</f>
        <v>1.0444256580731157</v>
      </c>
      <c r="AX73" s="2790">
        <f t="shared" ref="AX73:AZ73" si="164">SUM(AX9+AX18)</f>
        <v>7938.0262395623386</v>
      </c>
      <c r="AY73" s="2790">
        <f t="shared" si="164"/>
        <v>48.263760437661404</v>
      </c>
      <c r="AZ73" s="1786">
        <f t="shared" si="164"/>
        <v>7602.7637999597591</v>
      </c>
      <c r="BA73" s="2795">
        <f t="shared" ref="BA73:BA94" si="165">SUM(AZ73/AI73)</f>
        <v>0.99426912683454194</v>
      </c>
      <c r="BB73" s="1786">
        <f t="shared" ref="BB73:BD73" si="166">SUM(BB9+BB18)</f>
        <v>7570.0132064598265</v>
      </c>
      <c r="BC73" s="1786">
        <f t="shared" si="166"/>
        <v>32.75059349993262</v>
      </c>
      <c r="BD73" s="1786">
        <f t="shared" si="166"/>
        <v>9995.23</v>
      </c>
      <c r="BE73" s="1786">
        <f t="shared" ref="BE73:BG73" si="167">SUM(BE9+BE18)</f>
        <v>9932.52</v>
      </c>
      <c r="BF73" s="1786">
        <f t="shared" si="167"/>
        <v>62.71</v>
      </c>
      <c r="BG73" s="1786">
        <f t="shared" si="167"/>
        <v>11205.95</v>
      </c>
      <c r="BH73" s="1786">
        <f t="shared" ref="BH73:BJ73" si="168">SUM(BH9+BH18)</f>
        <v>11143.92</v>
      </c>
      <c r="BI73" s="1786">
        <f t="shared" si="168"/>
        <v>62.03</v>
      </c>
      <c r="BJ73" s="1786">
        <f t="shared" si="168"/>
        <v>12087.67</v>
      </c>
      <c r="BK73" s="1786">
        <f t="shared" ref="BK73:BM73" si="169">SUM(BK9+BK18)</f>
        <v>12029.1</v>
      </c>
      <c r="BL73" s="1786">
        <f t="shared" si="169"/>
        <v>58.57</v>
      </c>
      <c r="BM73" s="1784">
        <f t="shared" si="169"/>
        <v>8924.2698001334466</v>
      </c>
      <c r="BN73" s="1784">
        <f t="shared" ref="BN73:BO73" si="170">SUM(BN9+BN18)</f>
        <v>8882.0761197497486</v>
      </c>
      <c r="BO73" s="1784">
        <f t="shared" si="170"/>
        <v>42.193680383698222</v>
      </c>
      <c r="BP73" s="1975"/>
    </row>
    <row r="74" spans="1:68" ht="20.25" customHeight="1" x14ac:dyDescent="0.3">
      <c r="A74" s="1681" t="s">
        <v>2</v>
      </c>
      <c r="B74" s="1781"/>
      <c r="C74" s="1781"/>
      <c r="D74" s="1781"/>
      <c r="E74" s="1781"/>
      <c r="F74" s="1781"/>
      <c r="G74" s="1781"/>
      <c r="H74" s="1781"/>
      <c r="I74" s="1781"/>
      <c r="J74" s="1781"/>
      <c r="K74" s="1781"/>
      <c r="L74" s="1781"/>
      <c r="M74" s="1781"/>
      <c r="N74" s="1781"/>
      <c r="O74" s="1781"/>
      <c r="P74" s="1781"/>
      <c r="Q74" s="1781"/>
      <c r="R74" s="1781"/>
      <c r="S74" s="1781"/>
      <c r="T74" s="1781"/>
      <c r="U74" s="1781"/>
      <c r="V74" s="1781"/>
      <c r="W74" s="2790">
        <f>SUM(W10+W20+W32+W35+W11+W21+W36)</f>
        <v>5225.95</v>
      </c>
      <c r="X74" s="1781"/>
      <c r="Y74" s="2790">
        <f t="shared" ref="Y74:AE74" si="171">SUM(Y10+Y20+Y32+Y35+Y11+Y21+Y36)</f>
        <v>4787.7299999999996</v>
      </c>
      <c r="Z74" s="2790">
        <f t="shared" si="171"/>
        <v>4780.4040436191353</v>
      </c>
      <c r="AA74" s="2790">
        <f t="shared" si="171"/>
        <v>7.325956380864227</v>
      </c>
      <c r="AB74" s="2790">
        <f t="shared" si="171"/>
        <v>4702.5</v>
      </c>
      <c r="AC74" s="2790">
        <f t="shared" si="171"/>
        <v>4695.2553708072028</v>
      </c>
      <c r="AD74" s="2790">
        <f t="shared" si="171"/>
        <v>7.2446291927966513</v>
      </c>
      <c r="AE74" s="2790">
        <f t="shared" si="171"/>
        <v>4822.1000000000004</v>
      </c>
      <c r="AF74" s="2791">
        <f t="shared" si="159"/>
        <v>1.0071787673908097</v>
      </c>
      <c r="AG74" s="2790">
        <f t="shared" ref="AG74:AI74" si="172">SUM(AG10+AG20+AG32+AG35+AG11+AG21+AG36)</f>
        <v>5112.1000000000004</v>
      </c>
      <c r="AH74" s="2790">
        <f t="shared" si="172"/>
        <v>0</v>
      </c>
      <c r="AI74" s="2790">
        <f t="shared" si="172"/>
        <v>4822.1000000000004</v>
      </c>
      <c r="AJ74" s="2791">
        <f t="shared" si="161"/>
        <v>1.0071787673908097</v>
      </c>
      <c r="AK74" s="2790">
        <f t="shared" ref="AK74:AV74" si="173">SUM(AK10+AK20+AK32+AK35+AK11+AK21+AK36)</f>
        <v>4822.1000000000004</v>
      </c>
      <c r="AL74" s="2790">
        <f t="shared" si="173"/>
        <v>0</v>
      </c>
      <c r="AM74" s="2790" t="e">
        <f t="shared" si="173"/>
        <v>#REF!</v>
      </c>
      <c r="AN74" s="2790" t="e">
        <f t="shared" si="173"/>
        <v>#REF!</v>
      </c>
      <c r="AO74" s="2790" t="e">
        <f t="shared" si="173"/>
        <v>#REF!</v>
      </c>
      <c r="AP74" s="2790">
        <f t="shared" si="173"/>
        <v>2400.7200000000003</v>
      </c>
      <c r="AQ74" s="2790">
        <f t="shared" si="173"/>
        <v>2398.3597129415707</v>
      </c>
      <c r="AR74" s="2790">
        <f t="shared" si="173"/>
        <v>2.3602870584292077</v>
      </c>
      <c r="AS74" s="2790">
        <f t="shared" si="173"/>
        <v>3628.3500000000004</v>
      </c>
      <c r="AT74" s="2790">
        <f t="shared" si="173"/>
        <v>3624.0619246717242</v>
      </c>
      <c r="AU74" s="2790">
        <f t="shared" si="173"/>
        <v>4.2880753282761361</v>
      </c>
      <c r="AV74" s="2790">
        <f t="shared" si="173"/>
        <v>4822.1000000000004</v>
      </c>
      <c r="AW74" s="2792">
        <f t="shared" si="163"/>
        <v>1</v>
      </c>
      <c r="AX74" s="2790">
        <f t="shared" ref="AX74:AY74" si="174">SUM(AX10+AX20+AX32+AX35+AX11+AX21+AX36)</f>
        <v>4814.3530377195511</v>
      </c>
      <c r="AY74" s="2790">
        <f t="shared" si="174"/>
        <v>7.7469622804491109</v>
      </c>
      <c r="AZ74" s="1786">
        <f>SUM(AZ10+AZ20+AZ32+AZ35+AZ11+AZ21+AZ36)</f>
        <v>4822.1000000000004</v>
      </c>
      <c r="BA74" s="2795">
        <f t="shared" si="165"/>
        <v>1</v>
      </c>
      <c r="BB74" s="1786">
        <f t="shared" ref="BB74" si="175">SUM(BB10+BB20+BB32+BB35+BB11+BB21+BB36)</f>
        <v>4816.8487862052643</v>
      </c>
      <c r="BC74" s="1786">
        <f>SUM(BC10+BC20+BC32+BC35+BC11+BC21+BC36)</f>
        <v>5.2512137947360316</v>
      </c>
      <c r="BD74" s="1786">
        <f>SUM(BD10+BD20+BD32+BD35+BD11+BD21+BD36)</f>
        <v>5036.88</v>
      </c>
      <c r="BE74" s="1786">
        <f t="shared" ref="BE74" si="176">SUM(BE10+BE20+BE32+BE35+BE11+BE21+BE36)</f>
        <v>5032.91</v>
      </c>
      <c r="BF74" s="1786">
        <f>SUM(BF10+BF20+BF32+BF35+BF11+BF21+BF36)</f>
        <v>3.97</v>
      </c>
      <c r="BG74" s="1786">
        <f>SUM(BG10+BG20+BG32+BG35+BG11+BG21+BG36)</f>
        <v>5006.29</v>
      </c>
      <c r="BH74" s="1786">
        <f t="shared" ref="BH74" si="177">SUM(BH10+BH20+BH32+BH35+BH11+BH21+BH36)</f>
        <v>5003.2</v>
      </c>
      <c r="BI74" s="1786">
        <f>SUM(BI10+BI20+BI32+BI35+BI11+BI21+BI36)</f>
        <v>3.09</v>
      </c>
      <c r="BJ74" s="1786">
        <f>SUM(BJ10+BJ20+BJ32+BJ35+BJ11+BJ21+BJ36)</f>
        <v>5006.29</v>
      </c>
      <c r="BK74" s="1786">
        <f t="shared" ref="BK74" si="178">SUM(BK10+BK20+BK32+BK35+BK11+BK21+BK36)</f>
        <v>5003.2999999999993</v>
      </c>
      <c r="BL74" s="1786">
        <f>SUM(BL10+BL20+BL32+BL35+BL11+BL21+BL36)</f>
        <v>2.99</v>
      </c>
      <c r="BM74" s="2767">
        <f>SUM(BM10+BM20+BM32+BM35+BM11+BM21+BM36)</f>
        <v>5006.29</v>
      </c>
      <c r="BN74" s="2767">
        <f t="shared" ref="BN74:BO74" si="179">SUM(BN10+BN20+BN32+BN35+BN11+BN21+BN36)</f>
        <v>5003.2866117908889</v>
      </c>
      <c r="BO74" s="2767">
        <f t="shared" si="179"/>
        <v>3.0033882091110118</v>
      </c>
      <c r="BP74" s="1975"/>
    </row>
    <row r="75" spans="1:68" s="3003" customFormat="1" ht="20.25" customHeight="1" x14ac:dyDescent="0.3">
      <c r="A75" s="2997" t="s">
        <v>3</v>
      </c>
      <c r="B75" s="2998"/>
      <c r="C75" s="2998"/>
      <c r="D75" s="2998"/>
      <c r="E75" s="2998"/>
      <c r="F75" s="2998"/>
      <c r="G75" s="2998"/>
      <c r="H75" s="2998"/>
      <c r="I75" s="2998"/>
      <c r="J75" s="2998"/>
      <c r="K75" s="2998"/>
      <c r="L75" s="2998"/>
      <c r="M75" s="2998"/>
      <c r="N75" s="2998"/>
      <c r="O75" s="2998"/>
      <c r="P75" s="2998"/>
      <c r="Q75" s="2998"/>
      <c r="R75" s="2998"/>
      <c r="S75" s="2998"/>
      <c r="T75" s="2998"/>
      <c r="U75" s="2998"/>
      <c r="V75" s="2998"/>
      <c r="W75" s="2999">
        <f>SUM(W12+W22+W28+W37)</f>
        <v>2541</v>
      </c>
      <c r="X75" s="2998"/>
      <c r="Y75" s="2999">
        <f t="shared" ref="Y75:AE75" si="180">SUM(Y12+Y22+Y28+Y37)</f>
        <v>699.72213333333343</v>
      </c>
      <c r="Z75" s="2999">
        <f t="shared" si="180"/>
        <v>699.72213333333343</v>
      </c>
      <c r="AA75" s="2999">
        <f t="shared" si="180"/>
        <v>0.3</v>
      </c>
      <c r="AB75" s="2999">
        <f t="shared" si="180"/>
        <v>658.1</v>
      </c>
      <c r="AC75" s="2999">
        <f t="shared" si="180"/>
        <v>658.1</v>
      </c>
      <c r="AD75" s="2999">
        <f t="shared" si="180"/>
        <v>0</v>
      </c>
      <c r="AE75" s="2999">
        <f t="shared" si="180"/>
        <v>1570</v>
      </c>
      <c r="AF75" s="3000">
        <f t="shared" si="159"/>
        <v>2.2437478038901535</v>
      </c>
      <c r="AG75" s="2999">
        <f t="shared" ref="AG75:AI75" si="181">SUM(AG12+AG22+AG28+AG37)</f>
        <v>1570</v>
      </c>
      <c r="AH75" s="2999">
        <f t="shared" si="181"/>
        <v>0</v>
      </c>
      <c r="AI75" s="2999">
        <f t="shared" si="181"/>
        <v>361.53</v>
      </c>
      <c r="AJ75" s="3000">
        <f t="shared" si="161"/>
        <v>0.51667652454803004</v>
      </c>
      <c r="AK75" s="2999">
        <f t="shared" ref="AK75:AV75" si="182">SUM(AK12+AK22+AK28+AK37)</f>
        <v>361.53</v>
      </c>
      <c r="AL75" s="2999">
        <f t="shared" si="182"/>
        <v>0</v>
      </c>
      <c r="AM75" s="2999" t="e">
        <f t="shared" si="182"/>
        <v>#REF!</v>
      </c>
      <c r="AN75" s="2999" t="e">
        <f t="shared" si="182"/>
        <v>#REF!</v>
      </c>
      <c r="AO75" s="2999" t="e">
        <f t="shared" si="182"/>
        <v>#REF!</v>
      </c>
      <c r="AP75" s="2999">
        <f t="shared" si="182"/>
        <v>0</v>
      </c>
      <c r="AQ75" s="2999">
        <f t="shared" si="182"/>
        <v>0</v>
      </c>
      <c r="AR75" s="2999">
        <f t="shared" si="182"/>
        <v>0</v>
      </c>
      <c r="AS75" s="2999">
        <f t="shared" si="182"/>
        <v>0</v>
      </c>
      <c r="AT75" s="2999">
        <f t="shared" si="182"/>
        <v>0</v>
      </c>
      <c r="AU75" s="2999">
        <f t="shared" si="182"/>
        <v>0</v>
      </c>
      <c r="AV75" s="2999">
        <f t="shared" si="182"/>
        <v>1598.377</v>
      </c>
      <c r="AW75" s="3001">
        <f t="shared" si="163"/>
        <v>4.4211462395928418</v>
      </c>
      <c r="AX75" s="2999">
        <f t="shared" ref="AX75:AZ75" si="183">SUM(AX12+AX22+AX28+AX37)</f>
        <v>1598.377</v>
      </c>
      <c r="AY75" s="2999">
        <f t="shared" si="183"/>
        <v>0</v>
      </c>
      <c r="AZ75" s="2999">
        <f t="shared" si="183"/>
        <v>301.27555932203393</v>
      </c>
      <c r="BA75" s="3001">
        <f t="shared" si="165"/>
        <v>0.83333488043048698</v>
      </c>
      <c r="BB75" s="2999">
        <f t="shared" ref="BB75:BD75" si="184">SUM(BB12+BB22+BB28+BB37)</f>
        <v>301.27555932203393</v>
      </c>
      <c r="BC75" s="2999">
        <f t="shared" si="184"/>
        <v>0</v>
      </c>
      <c r="BD75" s="2999">
        <f t="shared" si="184"/>
        <v>1247.0700000000002</v>
      </c>
      <c r="BE75" s="2999">
        <f t="shared" ref="BE75:BG75" si="185">SUM(BE12+BE22+BE28+BE37)</f>
        <v>1247.0700000000002</v>
      </c>
      <c r="BF75" s="2999">
        <f t="shared" si="185"/>
        <v>0</v>
      </c>
      <c r="BG75" s="2999">
        <f t="shared" si="185"/>
        <v>1740.05</v>
      </c>
      <c r="BH75" s="2999">
        <f t="shared" ref="BH75:BJ75" si="186">SUM(BH12+BH22+BH28+BH37)</f>
        <v>1740.05</v>
      </c>
      <c r="BI75" s="2999">
        <f t="shared" si="186"/>
        <v>0</v>
      </c>
      <c r="BJ75" s="2999">
        <f t="shared" si="186"/>
        <v>3668.0099999999993</v>
      </c>
      <c r="BK75" s="2999">
        <f t="shared" ref="BK75:BM75" si="187">SUM(BK12+BK22+BK28+BK37)</f>
        <v>3668.0099999999993</v>
      </c>
      <c r="BL75" s="2999">
        <f t="shared" si="187"/>
        <v>0</v>
      </c>
      <c r="BM75" s="2999">
        <f t="shared" si="187"/>
        <v>1779.89032</v>
      </c>
      <c r="BN75" s="2999">
        <f t="shared" ref="BN75:BO75" si="188">SUM(BN12+BN22+BN28+BN37)</f>
        <v>1779.89032</v>
      </c>
      <c r="BO75" s="2999">
        <f t="shared" si="188"/>
        <v>0</v>
      </c>
      <c r="BP75" s="3002"/>
    </row>
    <row r="76" spans="1:68" ht="20.25" customHeight="1" x14ac:dyDescent="0.3">
      <c r="A76" s="1681" t="s">
        <v>4</v>
      </c>
      <c r="B76" s="1781"/>
      <c r="C76" s="1781"/>
      <c r="D76" s="1781"/>
      <c r="E76" s="1781"/>
      <c r="F76" s="1781"/>
      <c r="G76" s="1781"/>
      <c r="H76" s="1781"/>
      <c r="I76" s="1781"/>
      <c r="J76" s="1781"/>
      <c r="K76" s="1781"/>
      <c r="L76" s="1781"/>
      <c r="M76" s="1781"/>
      <c r="N76" s="1781"/>
      <c r="O76" s="1781"/>
      <c r="P76" s="1781"/>
      <c r="Q76" s="1781"/>
      <c r="R76" s="1781"/>
      <c r="S76" s="1781"/>
      <c r="T76" s="1781"/>
      <c r="U76" s="1781"/>
      <c r="V76" s="1781"/>
      <c r="W76" s="2790">
        <f>SUM(W13+W23+W29+W38)</f>
        <v>36122.5</v>
      </c>
      <c r="X76" s="1781"/>
      <c r="Y76" s="2790">
        <f t="shared" ref="Y76:AE76" si="189">SUM(Y13+Y23+Y29+Y38)</f>
        <v>29058.489073151999</v>
      </c>
      <c r="Z76" s="2790">
        <f t="shared" si="189"/>
        <v>28936.810380981115</v>
      </c>
      <c r="AA76" s="2790">
        <f t="shared" si="189"/>
        <v>121.67869217088264</v>
      </c>
      <c r="AB76" s="2790">
        <f t="shared" si="189"/>
        <v>27156.3</v>
      </c>
      <c r="AC76" s="2790">
        <f t="shared" si="189"/>
        <v>27031.316897761924</v>
      </c>
      <c r="AD76" s="2790">
        <f t="shared" si="189"/>
        <v>124.98310223807493</v>
      </c>
      <c r="AE76" s="2790">
        <f t="shared" si="189"/>
        <v>35777.909999999996</v>
      </c>
      <c r="AF76" s="2791">
        <f t="shared" si="159"/>
        <v>1.2312377945712349</v>
      </c>
      <c r="AG76" s="2790">
        <f t="shared" ref="AG76:AI76" si="190">SUM(AG13+AG23+AG29+AG38)</f>
        <v>35648.080000000002</v>
      </c>
      <c r="AH76" s="2790">
        <f t="shared" si="190"/>
        <v>129.83000000000001</v>
      </c>
      <c r="AI76" s="2790">
        <f t="shared" si="190"/>
        <v>33825.43102756892</v>
      </c>
      <c r="AJ76" s="2791">
        <f t="shared" si="161"/>
        <v>1.1640464492980553</v>
      </c>
      <c r="AK76" s="2790">
        <f t="shared" ref="AK76:AV76" si="191">SUM(AK13+AK23+AK29+AK38)</f>
        <v>33695.599863022588</v>
      </c>
      <c r="AL76" s="2790">
        <f t="shared" si="191"/>
        <v>129.83116454633176</v>
      </c>
      <c r="AM76" s="2790" t="e">
        <f t="shared" si="191"/>
        <v>#REF!</v>
      </c>
      <c r="AN76" s="2790" t="e">
        <f t="shared" si="191"/>
        <v>#REF!</v>
      </c>
      <c r="AO76" s="2790" t="e">
        <f t="shared" si="191"/>
        <v>#REF!</v>
      </c>
      <c r="AP76" s="2790">
        <f t="shared" si="191"/>
        <v>13487.5</v>
      </c>
      <c r="AQ76" s="2790">
        <f t="shared" si="191"/>
        <v>13445.730211762451</v>
      </c>
      <c r="AR76" s="2790">
        <f t="shared" si="191"/>
        <v>41.7697882375478</v>
      </c>
      <c r="AS76" s="2790">
        <f t="shared" si="191"/>
        <v>21008.800000000003</v>
      </c>
      <c r="AT76" s="2790">
        <f t="shared" si="191"/>
        <v>20926.47708219754</v>
      </c>
      <c r="AU76" s="2790">
        <f t="shared" si="191"/>
        <v>82.322917802459415</v>
      </c>
      <c r="AV76" s="2790">
        <f t="shared" si="191"/>
        <v>38721.19</v>
      </c>
      <c r="AW76" s="2792">
        <f t="shared" si="163"/>
        <v>1.144736041011299</v>
      </c>
      <c r="AX76" s="2790">
        <f t="shared" ref="AX76:AZ76" si="192">SUM(AX13+AX23+AX29+AX38)</f>
        <v>38561.41738842499</v>
      </c>
      <c r="AY76" s="2790">
        <f t="shared" si="192"/>
        <v>159.7726115750047</v>
      </c>
      <c r="AZ76" s="1786">
        <f t="shared" si="192"/>
        <v>32268.319991397846</v>
      </c>
      <c r="BA76" s="2795">
        <f t="shared" si="165"/>
        <v>0.95396626180751476</v>
      </c>
      <c r="BB76" s="1786">
        <f t="shared" ref="BB76:BD76" si="193">SUM(BB13+BB23+BB29+BB38)</f>
        <v>32172.39931023628</v>
      </c>
      <c r="BC76" s="1786">
        <f t="shared" si="193"/>
        <v>95.920681161569519</v>
      </c>
      <c r="BD76" s="1786">
        <f t="shared" si="193"/>
        <v>30272.25</v>
      </c>
      <c r="BE76" s="1786">
        <f t="shared" ref="BE76:BG76" si="194">SUM(BE13+BE23+BE29+BE38)</f>
        <v>30161.7</v>
      </c>
      <c r="BF76" s="1786">
        <f t="shared" si="194"/>
        <v>110.55</v>
      </c>
      <c r="BG76" s="1786">
        <f t="shared" si="194"/>
        <v>29994.03</v>
      </c>
      <c r="BH76" s="1786">
        <f t="shared" ref="BH76:BJ76" si="195">SUM(BH13+BH23+BH29+BH38)</f>
        <v>29899.040000000001</v>
      </c>
      <c r="BI76" s="1786">
        <f t="shared" si="195"/>
        <v>94.99</v>
      </c>
      <c r="BJ76" s="1786">
        <f t="shared" si="195"/>
        <v>39243.86</v>
      </c>
      <c r="BK76" s="1786">
        <f t="shared" ref="BK76:BM76" si="196">SUM(BK13+BK23+BK29+BK38)</f>
        <v>39123.18</v>
      </c>
      <c r="BL76" s="1786">
        <f t="shared" si="196"/>
        <v>120.68</v>
      </c>
      <c r="BM76" s="2766">
        <f t="shared" si="196"/>
        <v>37593.009431999999</v>
      </c>
      <c r="BN76" s="2766">
        <f t="shared" ref="BN76:BO76" si="197">SUM(BN13+BN23+BN29+BN38)</f>
        <v>37473.719913512112</v>
      </c>
      <c r="BO76" s="2766">
        <f t="shared" si="197"/>
        <v>119.28951848788896</v>
      </c>
      <c r="BP76" s="1975"/>
    </row>
    <row r="77" spans="1:68" ht="20.25" customHeight="1" x14ac:dyDescent="0.3">
      <c r="A77" s="1681" t="s">
        <v>5</v>
      </c>
      <c r="B77" s="1781"/>
      <c r="C77" s="1781"/>
      <c r="D77" s="1781"/>
      <c r="E77" s="1781"/>
      <c r="F77" s="1781"/>
      <c r="G77" s="1781"/>
      <c r="H77" s="1781"/>
      <c r="I77" s="1781"/>
      <c r="J77" s="1781"/>
      <c r="K77" s="1781"/>
      <c r="L77" s="1781"/>
      <c r="M77" s="1781"/>
      <c r="N77" s="1781"/>
      <c r="O77" s="1781"/>
      <c r="P77" s="1781"/>
      <c r="Q77" s="1781"/>
      <c r="R77" s="1781"/>
      <c r="S77" s="1781"/>
      <c r="T77" s="1781"/>
      <c r="U77" s="1781"/>
      <c r="V77" s="1781"/>
      <c r="W77" s="2790">
        <f>SUM(W14+W24+W30+W39)</f>
        <v>10909</v>
      </c>
      <c r="X77" s="1781"/>
      <c r="Y77" s="2790">
        <f t="shared" ref="Y77:AE77" si="198">SUM(Y14+Y24+Y30+Y39)</f>
        <v>8727.1974454428309</v>
      </c>
      <c r="Z77" s="2790">
        <f t="shared" si="198"/>
        <v>8690.5429262659345</v>
      </c>
      <c r="AA77" s="2790">
        <f t="shared" si="198"/>
        <v>36.654519176896429</v>
      </c>
      <c r="AB77" s="2790">
        <f t="shared" si="198"/>
        <v>8173.8</v>
      </c>
      <c r="AC77" s="2790">
        <f t="shared" si="198"/>
        <v>8135.9036131407865</v>
      </c>
      <c r="AD77" s="2790">
        <f t="shared" si="198"/>
        <v>37.896386859213635</v>
      </c>
      <c r="AE77" s="2790">
        <f t="shared" si="198"/>
        <v>10789.099999999999</v>
      </c>
      <c r="AF77" s="2791">
        <f t="shared" si="159"/>
        <v>1.2362617057133103</v>
      </c>
      <c r="AG77" s="2790">
        <f t="shared" ref="AG77:AI77" si="199">SUM(AG14+AG24+AG30+AG39)</f>
        <v>10749.89</v>
      </c>
      <c r="AH77" s="2790">
        <f t="shared" si="199"/>
        <v>39.21</v>
      </c>
      <c r="AI77" s="2790">
        <f t="shared" si="199"/>
        <v>10168.746925188269</v>
      </c>
      <c r="AJ77" s="2791">
        <f t="shared" si="161"/>
        <v>1.1651789693950589</v>
      </c>
      <c r="AK77" s="2790">
        <f t="shared" ref="AK77:AV77" si="200">SUM(AK14+AK24+AK30+AK39)</f>
        <v>10129.537913495275</v>
      </c>
      <c r="AL77" s="2790">
        <f t="shared" si="200"/>
        <v>39.209011692992192</v>
      </c>
      <c r="AM77" s="2790" t="e">
        <f t="shared" si="200"/>
        <v>#REF!</v>
      </c>
      <c r="AN77" s="2790" t="e">
        <f t="shared" si="200"/>
        <v>#REF!</v>
      </c>
      <c r="AO77" s="2790" t="e">
        <f t="shared" si="200"/>
        <v>#REF!</v>
      </c>
      <c r="AP77" s="2790">
        <f t="shared" si="200"/>
        <v>0</v>
      </c>
      <c r="AQ77" s="2790">
        <f t="shared" si="200"/>
        <v>0</v>
      </c>
      <c r="AR77" s="2790">
        <f t="shared" si="200"/>
        <v>0</v>
      </c>
      <c r="AS77" s="2790">
        <f t="shared" si="200"/>
        <v>0</v>
      </c>
      <c r="AT77" s="2790">
        <f t="shared" si="200"/>
        <v>0</v>
      </c>
      <c r="AU77" s="2790">
        <f t="shared" si="200"/>
        <v>0</v>
      </c>
      <c r="AV77" s="2790">
        <f t="shared" si="200"/>
        <v>11677.376844400829</v>
      </c>
      <c r="AW77" s="2792">
        <f t="shared" si="163"/>
        <v>1.1483594714581442</v>
      </c>
      <c r="AX77" s="2790">
        <f t="shared" ref="AX77:AZ77" si="201">SUM(AX14+AX24+AX30+AX39)</f>
        <v>11629.12552656446</v>
      </c>
      <c r="AY77" s="2790">
        <f t="shared" si="201"/>
        <v>48.251317836369729</v>
      </c>
      <c r="AZ77" s="1786">
        <f t="shared" si="201"/>
        <v>9686.319944566636</v>
      </c>
      <c r="BA77" s="2795">
        <f t="shared" si="165"/>
        <v>0.9525578732393617</v>
      </c>
      <c r="BB77" s="1786">
        <f t="shared" ref="BB77:BD77" si="202">SUM(BB14+BB24+BB30+BB39)</f>
        <v>9657.4247749657006</v>
      </c>
      <c r="BC77" s="1786">
        <f t="shared" si="202"/>
        <v>28.895169600935841</v>
      </c>
      <c r="BD77" s="1786">
        <f t="shared" si="202"/>
        <v>9149.27</v>
      </c>
      <c r="BE77" s="1786">
        <f t="shared" ref="BE77:BG77" si="203">SUM(BE14+BE24+BE30+BE39)</f>
        <v>9115.89</v>
      </c>
      <c r="BF77" s="1786">
        <f t="shared" si="203"/>
        <v>33.380000000000003</v>
      </c>
      <c r="BG77" s="1786">
        <f t="shared" si="203"/>
        <v>9038.15</v>
      </c>
      <c r="BH77" s="1786">
        <f t="shared" ref="BH77:BJ77" si="204">SUM(BH14+BH24+BH30+BH39)</f>
        <v>9009.5299999999988</v>
      </c>
      <c r="BI77" s="1786">
        <f t="shared" si="204"/>
        <v>28.62</v>
      </c>
      <c r="BJ77" s="1786">
        <f t="shared" si="204"/>
        <v>11776.21</v>
      </c>
      <c r="BK77" s="1786">
        <f t="shared" ref="BK77:BM77" si="205">SUM(BK14+BK24+BK30+BK39)</f>
        <v>11739.859999999999</v>
      </c>
      <c r="BL77" s="1786">
        <f t="shared" si="205"/>
        <v>36.35</v>
      </c>
      <c r="BM77" s="2766">
        <f t="shared" si="205"/>
        <v>11326.925411453287</v>
      </c>
      <c r="BN77" s="2766">
        <f t="shared" ref="BN77:BO77" si="206">SUM(BN14+BN24+BN30+BN39)</f>
        <v>11290.984091113007</v>
      </c>
      <c r="BO77" s="2766">
        <f t="shared" si="206"/>
        <v>35.941320340281948</v>
      </c>
      <c r="BP77" s="1975"/>
    </row>
    <row r="78" spans="1:68" ht="20.25" customHeight="1" x14ac:dyDescent="0.3">
      <c r="A78" s="1681" t="s">
        <v>8</v>
      </c>
      <c r="B78" s="1781"/>
      <c r="C78" s="1781"/>
      <c r="D78" s="1781"/>
      <c r="E78" s="1781"/>
      <c r="F78" s="1781"/>
      <c r="G78" s="1781"/>
      <c r="H78" s="1781"/>
      <c r="I78" s="1781"/>
      <c r="J78" s="1781"/>
      <c r="K78" s="1781"/>
      <c r="L78" s="1781"/>
      <c r="M78" s="1781"/>
      <c r="N78" s="1781"/>
      <c r="O78" s="1781"/>
      <c r="P78" s="1781"/>
      <c r="Q78" s="1781"/>
      <c r="R78" s="1781"/>
      <c r="S78" s="1781"/>
      <c r="T78" s="1781"/>
      <c r="U78" s="1781"/>
      <c r="V78" s="1781"/>
      <c r="W78" s="2790">
        <f>SUM(W19)</f>
        <v>598.5</v>
      </c>
      <c r="X78" s="1781"/>
      <c r="Y78" s="2790">
        <f t="shared" ref="Y78:AE78" si="207">SUM(Y19)</f>
        <v>489.28469176470583</v>
      </c>
      <c r="Z78" s="2790">
        <f t="shared" si="207"/>
        <v>485.55447384072301</v>
      </c>
      <c r="AA78" s="2790">
        <f t="shared" si="207"/>
        <v>3.7302179239828206</v>
      </c>
      <c r="AB78" s="2790">
        <f t="shared" si="207"/>
        <v>368.69950000000006</v>
      </c>
      <c r="AC78" s="2790">
        <f t="shared" si="207"/>
        <v>365.49636873597615</v>
      </c>
      <c r="AD78" s="2790">
        <f t="shared" si="207"/>
        <v>3.2031312640239094</v>
      </c>
      <c r="AE78" s="2790">
        <f t="shared" si="207"/>
        <v>473.71</v>
      </c>
      <c r="AF78" s="2791">
        <f t="shared" si="159"/>
        <v>0.96816844665928026</v>
      </c>
      <c r="AG78" s="2790">
        <f t="shared" ref="AG78:AI78" si="208">SUM(AG19)</f>
        <v>469.69</v>
      </c>
      <c r="AH78" s="2790">
        <f t="shared" si="208"/>
        <v>4.01</v>
      </c>
      <c r="AI78" s="2790">
        <f t="shared" si="208"/>
        <v>406.01364163361512</v>
      </c>
      <c r="AJ78" s="2791">
        <f t="shared" si="161"/>
        <v>0.82981063676699851</v>
      </c>
      <c r="AK78" s="2790">
        <f t="shared" ref="AK78:AV78" si="209">SUM(AK19)</f>
        <v>401.99992714740961</v>
      </c>
      <c r="AL78" s="2790">
        <f t="shared" si="209"/>
        <v>4.0137144862055152</v>
      </c>
      <c r="AM78" s="2790" t="e">
        <f t="shared" si="209"/>
        <v>#REF!</v>
      </c>
      <c r="AN78" s="2790" t="e">
        <f t="shared" si="209"/>
        <v>#REF!</v>
      </c>
      <c r="AO78" s="2790" t="e">
        <f t="shared" si="209"/>
        <v>#REF!</v>
      </c>
      <c r="AP78" s="2790">
        <f t="shared" si="209"/>
        <v>0</v>
      </c>
      <c r="AQ78" s="2790">
        <f t="shared" si="209"/>
        <v>0</v>
      </c>
      <c r="AR78" s="2790">
        <f t="shared" si="209"/>
        <v>0</v>
      </c>
      <c r="AS78" s="2790">
        <f t="shared" si="209"/>
        <v>0</v>
      </c>
      <c r="AT78" s="2790">
        <f t="shared" si="209"/>
        <v>0</v>
      </c>
      <c r="AU78" s="2790">
        <f t="shared" si="209"/>
        <v>0</v>
      </c>
      <c r="AV78" s="2790">
        <f t="shared" si="209"/>
        <v>347.67</v>
      </c>
      <c r="AW78" s="2792">
        <f t="shared" si="163"/>
        <v>0.8563012774672627</v>
      </c>
      <c r="AX78" s="2790">
        <f t="shared" ref="AX78:AZ78" si="210">SUM(AX19)</f>
        <v>344.86701698819468</v>
      </c>
      <c r="AY78" s="2790">
        <f t="shared" si="210"/>
        <v>2.8029830118053383</v>
      </c>
      <c r="AZ78" s="1786">
        <f t="shared" si="210"/>
        <v>229.75931518119856</v>
      </c>
      <c r="BA78" s="2795">
        <f t="shared" si="165"/>
        <v>0.56589062933144574</v>
      </c>
      <c r="BB78" s="1786">
        <f t="shared" ref="BB78:BD78" si="211">SUM(BB19)</f>
        <v>176.75931518119856</v>
      </c>
      <c r="BC78" s="1786">
        <f t="shared" si="211"/>
        <v>53</v>
      </c>
      <c r="BD78" s="1786">
        <f t="shared" si="211"/>
        <v>652.05999999999995</v>
      </c>
      <c r="BE78" s="1786">
        <f t="shared" ref="BE78:BG78" si="212">SUM(BE19)</f>
        <v>647.66</v>
      </c>
      <c r="BF78" s="1786">
        <f t="shared" si="212"/>
        <v>4.4000000000000004</v>
      </c>
      <c r="BG78" s="1786">
        <f t="shared" si="212"/>
        <v>806.69</v>
      </c>
      <c r="BH78" s="1786">
        <f t="shared" ref="BH78:BJ78" si="213">SUM(BH19)</f>
        <v>801.84</v>
      </c>
      <c r="BI78" s="1786">
        <f t="shared" si="213"/>
        <v>4.8499999999999996</v>
      </c>
      <c r="BJ78" s="1786">
        <f t="shared" si="213"/>
        <v>876.38</v>
      </c>
      <c r="BK78" s="1786">
        <f t="shared" ref="BK78:BM78" si="214">SUM(BK19)</f>
        <v>871.27</v>
      </c>
      <c r="BL78" s="1786">
        <f t="shared" si="214"/>
        <v>5.1100000000000003</v>
      </c>
      <c r="BM78" s="2766">
        <f t="shared" si="214"/>
        <v>1110.5582713405854</v>
      </c>
      <c r="BN78" s="2766">
        <f t="shared" ref="BN78:BO78" si="215">SUM(BN19)</f>
        <v>1110.5582713405854</v>
      </c>
      <c r="BO78" s="2766">
        <f t="shared" si="215"/>
        <v>0</v>
      </c>
      <c r="BP78" s="1975"/>
    </row>
    <row r="79" spans="1:68" ht="20.25" customHeight="1" x14ac:dyDescent="0.3">
      <c r="A79" s="1681" t="s">
        <v>6</v>
      </c>
      <c r="B79" s="1781"/>
      <c r="C79" s="1781"/>
      <c r="D79" s="1781"/>
      <c r="E79" s="1781"/>
      <c r="F79" s="1781"/>
      <c r="G79" s="1781"/>
      <c r="H79" s="1781"/>
      <c r="I79" s="1781"/>
      <c r="J79" s="1781"/>
      <c r="K79" s="1781"/>
      <c r="L79" s="1781"/>
      <c r="M79" s="1781"/>
      <c r="N79" s="1781"/>
      <c r="O79" s="1781"/>
      <c r="P79" s="1781"/>
      <c r="Q79" s="1781"/>
      <c r="R79" s="1781"/>
      <c r="S79" s="1781"/>
      <c r="T79" s="1781"/>
      <c r="U79" s="1781"/>
      <c r="V79" s="1781"/>
      <c r="W79" s="2790">
        <f>SUM(W16+W26+W33+W41)</f>
        <v>15828.930000000002</v>
      </c>
      <c r="X79" s="1781"/>
      <c r="Y79" s="2790">
        <f t="shared" ref="Y79:AE79" si="216">SUM(Y16+Y26+Y33+Y41)</f>
        <v>12442.203000734</v>
      </c>
      <c r="Z79" s="2790">
        <f t="shared" si="216"/>
        <v>12383.619954780057</v>
      </c>
      <c r="AA79" s="2790">
        <f t="shared" si="216"/>
        <v>58.583045953941109</v>
      </c>
      <c r="AB79" s="2790">
        <f t="shared" si="216"/>
        <v>9629.5999999999985</v>
      </c>
      <c r="AC79" s="2790">
        <f t="shared" si="216"/>
        <v>9572.4743743167819</v>
      </c>
      <c r="AD79" s="2790">
        <f t="shared" si="216"/>
        <v>57.125625683217095</v>
      </c>
      <c r="AE79" s="2790">
        <f t="shared" si="216"/>
        <v>11471.480000000001</v>
      </c>
      <c r="AF79" s="2791">
        <f t="shared" si="159"/>
        <v>0.92198142075991418</v>
      </c>
      <c r="AG79" s="2790">
        <f t="shared" ref="AG79:AI79" si="217">SUM(AG16+AG26+AG33+AG41)</f>
        <v>11557.82</v>
      </c>
      <c r="AH79" s="2790">
        <f t="shared" si="217"/>
        <v>63.04</v>
      </c>
      <c r="AI79" s="2790">
        <f t="shared" si="217"/>
        <v>11755.79772460473</v>
      </c>
      <c r="AJ79" s="2791">
        <f t="shared" si="161"/>
        <v>0.94483249661745783</v>
      </c>
      <c r="AK79" s="2790">
        <f t="shared" ref="AK79:AV79" si="218">SUM(AK16+AK26+AK33+AK41)</f>
        <v>11755.79772460473</v>
      </c>
      <c r="AL79" s="2790">
        <f t="shared" si="218"/>
        <v>0</v>
      </c>
      <c r="AM79" s="2790" t="e">
        <f t="shared" si="218"/>
        <v>#REF!</v>
      </c>
      <c r="AN79" s="2790" t="e">
        <f t="shared" si="218"/>
        <v>#REF!</v>
      </c>
      <c r="AO79" s="2790" t="e">
        <f t="shared" si="218"/>
        <v>#REF!</v>
      </c>
      <c r="AP79" s="2790">
        <f t="shared" si="218"/>
        <v>5218.3</v>
      </c>
      <c r="AQ79" s="2790">
        <f t="shared" si="218"/>
        <v>5197.2958760788633</v>
      </c>
      <c r="AR79" s="2790">
        <f t="shared" si="218"/>
        <v>21.004123921137079</v>
      </c>
      <c r="AS79" s="2790">
        <f t="shared" si="218"/>
        <v>7835.48</v>
      </c>
      <c r="AT79" s="2790">
        <f t="shared" si="218"/>
        <v>7797.8574979049517</v>
      </c>
      <c r="AU79" s="2790">
        <f t="shared" si="218"/>
        <v>37.622502095048617</v>
      </c>
      <c r="AV79" s="2790">
        <f t="shared" si="218"/>
        <v>14672.54</v>
      </c>
      <c r="AW79" s="2792">
        <f t="shared" si="163"/>
        <v>1.2481109613931658</v>
      </c>
      <c r="AX79" s="2790">
        <f t="shared" ref="AX79:AZ79" si="219">SUM(AX16+AX26+AX33+AX41)</f>
        <v>14591.76463576159</v>
      </c>
      <c r="AY79" s="2790">
        <f t="shared" si="219"/>
        <v>80.775364238410816</v>
      </c>
      <c r="AZ79" s="1786">
        <f t="shared" si="219"/>
        <v>11227.765899893006</v>
      </c>
      <c r="BA79" s="2795">
        <f t="shared" si="165"/>
        <v>0.95508328425840805</v>
      </c>
      <c r="BB79" s="1786">
        <f t="shared" ref="BB79:BD79" si="220">SUM(BB16+BB26+BB33+BB41)</f>
        <v>11185.867697491109</v>
      </c>
      <c r="BC79" s="1786">
        <f t="shared" si="220"/>
        <v>41.898202401897947</v>
      </c>
      <c r="BD79" s="1786">
        <f t="shared" si="220"/>
        <v>12280.869999999999</v>
      </c>
      <c r="BE79" s="1786">
        <f t="shared" ref="BE79:BG79" si="221">SUM(BE16+BE26+BE33+BE41)</f>
        <v>12220.83</v>
      </c>
      <c r="BF79" s="1786">
        <f t="shared" si="221"/>
        <v>60.04</v>
      </c>
      <c r="BG79" s="1786">
        <f t="shared" si="221"/>
        <v>10753.27</v>
      </c>
      <c r="BH79" s="1786">
        <f t="shared" ref="BH79:BJ79" si="222">SUM(BH16+BH26+BH33+BH41)</f>
        <v>10704.22</v>
      </c>
      <c r="BI79" s="1786">
        <f t="shared" si="222"/>
        <v>49.05</v>
      </c>
      <c r="BJ79" s="1786">
        <f t="shared" si="222"/>
        <v>19516.07</v>
      </c>
      <c r="BK79" s="1786">
        <f t="shared" ref="BK79:BM79" si="223">SUM(BK16+BK26+BK33+BK41)</f>
        <v>19429.240000000002</v>
      </c>
      <c r="BL79" s="1786">
        <f t="shared" si="223"/>
        <v>86.83</v>
      </c>
      <c r="BM79" s="2766">
        <f t="shared" si="223"/>
        <v>14371.431394092624</v>
      </c>
      <c r="BN79" s="2766">
        <f t="shared" ref="BN79:BO79" si="224">SUM(BN16+BN26+BN33+BN41)</f>
        <v>14314.945466205969</v>
      </c>
      <c r="BO79" s="2766">
        <f t="shared" si="224"/>
        <v>56.485927886655645</v>
      </c>
      <c r="BP79" s="1975"/>
    </row>
    <row r="80" spans="1:68" ht="20.25" customHeight="1" x14ac:dyDescent="0.3">
      <c r="A80" s="1681" t="s">
        <v>10</v>
      </c>
      <c r="B80" s="1781"/>
      <c r="C80" s="1781"/>
      <c r="D80" s="1781"/>
      <c r="E80" s="1781"/>
      <c r="F80" s="1781"/>
      <c r="G80" s="1781"/>
      <c r="H80" s="1781"/>
      <c r="I80" s="1781"/>
      <c r="J80" s="1781"/>
      <c r="K80" s="1781"/>
      <c r="L80" s="1781"/>
      <c r="M80" s="1781"/>
      <c r="N80" s="1781"/>
      <c r="O80" s="1781"/>
      <c r="P80" s="1781"/>
      <c r="Q80" s="1781"/>
      <c r="R80" s="1781"/>
      <c r="S80" s="1781"/>
      <c r="T80" s="1781"/>
      <c r="U80" s="1781"/>
      <c r="V80" s="1781"/>
      <c r="W80" s="2790">
        <f>SUM(W42)</f>
        <v>2157</v>
      </c>
      <c r="X80" s="1781"/>
      <c r="Y80" s="2790">
        <f t="shared" ref="Y80:AE80" si="225">SUM(Y42)</f>
        <v>1927.84</v>
      </c>
      <c r="Z80" s="2790">
        <f t="shared" si="225"/>
        <v>1927.04</v>
      </c>
      <c r="AA80" s="2790">
        <f t="shared" si="225"/>
        <v>0.8</v>
      </c>
      <c r="AB80" s="2790">
        <f t="shared" si="225"/>
        <v>1970.4</v>
      </c>
      <c r="AC80" s="2790">
        <f t="shared" si="225"/>
        <v>1969.1630113342155</v>
      </c>
      <c r="AD80" s="2790">
        <f t="shared" si="225"/>
        <v>1.2369886657844305</v>
      </c>
      <c r="AE80" s="2790">
        <f t="shared" si="225"/>
        <v>1927.84</v>
      </c>
      <c r="AF80" s="2791">
        <f t="shared" si="159"/>
        <v>1</v>
      </c>
      <c r="AG80" s="2790">
        <f t="shared" ref="AG80:AI80" si="226">SUM(AG42)</f>
        <v>1927.04</v>
      </c>
      <c r="AH80" s="2790">
        <f t="shared" si="226"/>
        <v>0.8</v>
      </c>
      <c r="AI80" s="2790">
        <f t="shared" si="226"/>
        <v>1927.84</v>
      </c>
      <c r="AJ80" s="2791">
        <f t="shared" si="161"/>
        <v>1</v>
      </c>
      <c r="AK80" s="2790">
        <f t="shared" ref="AK80:AV80" si="227">SUM(AK42)</f>
        <v>1927.04</v>
      </c>
      <c r="AL80" s="2790">
        <f t="shared" si="227"/>
        <v>0.8</v>
      </c>
      <c r="AM80" s="2790" t="e">
        <f t="shared" si="227"/>
        <v>#REF!</v>
      </c>
      <c r="AN80" s="2790" t="e">
        <f t="shared" si="227"/>
        <v>#REF!</v>
      </c>
      <c r="AO80" s="2790" t="e">
        <f t="shared" si="227"/>
        <v>#REF!</v>
      </c>
      <c r="AP80" s="2790">
        <f t="shared" si="227"/>
        <v>209.94</v>
      </c>
      <c r="AQ80" s="2790">
        <f t="shared" si="227"/>
        <v>209.88906688054394</v>
      </c>
      <c r="AR80" s="2790">
        <f t="shared" si="227"/>
        <v>5.0933119456050946E-2</v>
      </c>
      <c r="AS80" s="2790">
        <f t="shared" si="227"/>
        <v>1548.24</v>
      </c>
      <c r="AT80" s="2790">
        <f t="shared" si="227"/>
        <v>1539.1544341812178</v>
      </c>
      <c r="AU80" s="2790">
        <f t="shared" si="227"/>
        <v>9.0855658187824382</v>
      </c>
      <c r="AV80" s="2790">
        <f t="shared" si="227"/>
        <v>2116.7799999999997</v>
      </c>
      <c r="AW80" s="2792">
        <f t="shared" si="163"/>
        <v>1.0980060585940741</v>
      </c>
      <c r="AX80" s="2790">
        <f t="shared" ref="AX80:AZ80" si="228">SUM(AX42)</f>
        <v>2103.3719090123814</v>
      </c>
      <c r="AY80" s="2790">
        <f t="shared" si="228"/>
        <v>13.408090987618772</v>
      </c>
      <c r="AZ80" s="1786">
        <f t="shared" si="228"/>
        <v>1684.7746853333333</v>
      </c>
      <c r="BA80" s="2795">
        <f t="shared" si="165"/>
        <v>0.87391831548952892</v>
      </c>
      <c r="BB80" s="1786">
        <f t="shared" ref="BB80:BD80" si="229">SUM(BB42)</f>
        <v>1676.7703977774761</v>
      </c>
      <c r="BC80" s="1786">
        <f t="shared" si="229"/>
        <v>8.0042875558570898</v>
      </c>
      <c r="BD80" s="1786">
        <f t="shared" si="229"/>
        <v>3612.81</v>
      </c>
      <c r="BE80" s="1786">
        <f t="shared" ref="BE80:BG80" si="230">SUM(BE42)</f>
        <v>3603.6299999999997</v>
      </c>
      <c r="BF80" s="1786">
        <f t="shared" si="230"/>
        <v>9.18</v>
      </c>
      <c r="BG80" s="1786">
        <f t="shared" si="230"/>
        <v>1274.3600000000001</v>
      </c>
      <c r="BH80" s="1786">
        <f t="shared" ref="BH80:BJ80" si="231">SUM(BH42)</f>
        <v>1266.71</v>
      </c>
      <c r="BI80" s="1786">
        <f t="shared" si="231"/>
        <v>7.6499999999999995</v>
      </c>
      <c r="BJ80" s="1786">
        <f t="shared" si="231"/>
        <v>5916.76</v>
      </c>
      <c r="BK80" s="1786">
        <f t="shared" ref="BK80:BM80" si="232">SUM(BK42)</f>
        <v>5882.2799999999988</v>
      </c>
      <c r="BL80" s="1786">
        <f t="shared" si="232"/>
        <v>34.480000000000004</v>
      </c>
      <c r="BM80" s="2769">
        <f t="shared" si="232"/>
        <v>1009.6646202997873</v>
      </c>
      <c r="BN80" s="2769">
        <f t="shared" ref="BN80:BO80" si="233">SUM(BN42)</f>
        <v>1003.7504477745384</v>
      </c>
      <c r="BO80" s="2769">
        <f t="shared" si="233"/>
        <v>5.9141725252489437</v>
      </c>
      <c r="BP80" s="1975"/>
    </row>
    <row r="81" spans="1:68" ht="20.25" customHeight="1" x14ac:dyDescent="0.3">
      <c r="A81" s="1681" t="s">
        <v>11</v>
      </c>
      <c r="B81" s="1781"/>
      <c r="C81" s="1781"/>
      <c r="D81" s="1781"/>
      <c r="E81" s="1781"/>
      <c r="F81" s="1781"/>
      <c r="G81" s="1781"/>
      <c r="H81" s="1781"/>
      <c r="I81" s="1781"/>
      <c r="J81" s="1781"/>
      <c r="K81" s="1781"/>
      <c r="L81" s="1781"/>
      <c r="M81" s="1781"/>
      <c r="N81" s="1781"/>
      <c r="O81" s="1781"/>
      <c r="P81" s="1781"/>
      <c r="Q81" s="1781"/>
      <c r="R81" s="1781"/>
      <c r="S81" s="1781"/>
      <c r="T81" s="1781"/>
      <c r="U81" s="1781"/>
      <c r="V81" s="1781"/>
      <c r="W81" s="2790">
        <f>SUM(W46)</f>
        <v>10701.5</v>
      </c>
      <c r="X81" s="1781"/>
      <c r="Y81" s="2790">
        <f t="shared" ref="Y81:AE81" si="234">SUM(Y46)</f>
        <v>10806.57</v>
      </c>
      <c r="Z81" s="2790">
        <f t="shared" si="234"/>
        <v>10753.369999999999</v>
      </c>
      <c r="AA81" s="2790">
        <f t="shared" si="234"/>
        <v>53.2</v>
      </c>
      <c r="AB81" s="2790">
        <f t="shared" si="234"/>
        <v>9591.77</v>
      </c>
      <c r="AC81" s="2790">
        <f t="shared" si="234"/>
        <v>9508.4400839997706</v>
      </c>
      <c r="AD81" s="2790">
        <f t="shared" si="234"/>
        <v>83.329916000229787</v>
      </c>
      <c r="AE81" s="2790">
        <f t="shared" si="234"/>
        <v>9051.4500000000007</v>
      </c>
      <c r="AF81" s="2791">
        <f t="shared" si="159"/>
        <v>0.83758768971098152</v>
      </c>
      <c r="AG81" s="2790">
        <f t="shared" ref="AG81:AI81" si="235">SUM(AG46)</f>
        <v>8995.59</v>
      </c>
      <c r="AH81" s="2790">
        <f t="shared" si="235"/>
        <v>55.86</v>
      </c>
      <c r="AI81" s="2790">
        <f t="shared" si="235"/>
        <v>8833.3841337506801</v>
      </c>
      <c r="AJ81" s="2791">
        <f t="shared" si="161"/>
        <v>0.8174086813624194</v>
      </c>
      <c r="AK81" s="2790">
        <f t="shared" ref="AK81:AV81" si="236">SUM(AK46)</f>
        <v>8777.5241337506795</v>
      </c>
      <c r="AL81" s="2790">
        <f t="shared" si="236"/>
        <v>55.860000000000007</v>
      </c>
      <c r="AM81" s="2790" t="e">
        <f t="shared" si="236"/>
        <v>#REF!</v>
      </c>
      <c r="AN81" s="2790" t="e">
        <f t="shared" si="236"/>
        <v>#REF!</v>
      </c>
      <c r="AO81" s="2790" t="e">
        <f t="shared" si="236"/>
        <v>#REF!</v>
      </c>
      <c r="AP81" s="2790">
        <f t="shared" si="236"/>
        <v>0</v>
      </c>
      <c r="AQ81" s="2790">
        <f t="shared" si="236"/>
        <v>0</v>
      </c>
      <c r="AR81" s="2790">
        <f t="shared" si="236"/>
        <v>0</v>
      </c>
      <c r="AS81" s="2790">
        <f t="shared" si="236"/>
        <v>0</v>
      </c>
      <c r="AT81" s="2790">
        <f t="shared" si="236"/>
        <v>0</v>
      </c>
      <c r="AU81" s="2790">
        <f t="shared" si="236"/>
        <v>0</v>
      </c>
      <c r="AV81" s="2790">
        <f t="shared" si="236"/>
        <v>10189.549999999999</v>
      </c>
      <c r="AW81" s="2792">
        <f t="shared" si="163"/>
        <v>1.1535273283392791</v>
      </c>
      <c r="AX81" s="2790">
        <f t="shared" ref="AX81:AZ81" si="237">SUM(AX46)</f>
        <v>10189.549999999999</v>
      </c>
      <c r="AY81" s="2790">
        <f t="shared" si="237"/>
        <v>0</v>
      </c>
      <c r="AZ81" s="1786">
        <f t="shared" si="237"/>
        <v>13195.647202096725</v>
      </c>
      <c r="BA81" s="2795">
        <f t="shared" si="165"/>
        <v>1.4938382620176867</v>
      </c>
      <c r="BB81" s="1786">
        <f t="shared" ref="BB81:BD81" si="238">SUM(BB46)</f>
        <v>13195.647202096725</v>
      </c>
      <c r="BC81" s="1786">
        <f t="shared" si="238"/>
        <v>0</v>
      </c>
      <c r="BD81" s="1786">
        <f t="shared" si="238"/>
        <v>9307.77</v>
      </c>
      <c r="BE81" s="1786">
        <f t="shared" ref="BE81:BG81" si="239">SUM(BE46)</f>
        <v>9244.99</v>
      </c>
      <c r="BF81" s="1786">
        <f t="shared" si="239"/>
        <v>62.78</v>
      </c>
      <c r="BG81" s="1786">
        <f t="shared" si="239"/>
        <v>9770.4</v>
      </c>
      <c r="BH81" s="1786">
        <f t="shared" ref="BH81:BJ81" si="240">SUM(BH46)</f>
        <v>9711.67</v>
      </c>
      <c r="BI81" s="1786">
        <f t="shared" si="240"/>
        <v>58.73</v>
      </c>
      <c r="BJ81" s="1786">
        <f t="shared" si="240"/>
        <v>18419.43</v>
      </c>
      <c r="BK81" s="1786">
        <f t="shared" ref="BK81:BM81" si="241">SUM(BK46)</f>
        <v>18312.11</v>
      </c>
      <c r="BL81" s="1786">
        <f t="shared" si="241"/>
        <v>107.32</v>
      </c>
      <c r="BM81" s="2766">
        <f t="shared" si="241"/>
        <v>14542.724168003919</v>
      </c>
      <c r="BN81" s="2766">
        <f t="shared" ref="BN81:BO81" si="242">SUM(BN46)</f>
        <v>14541.335939405846</v>
      </c>
      <c r="BO81" s="2766">
        <f t="shared" si="242"/>
        <v>1.3882285980731162</v>
      </c>
      <c r="BP81" s="1975"/>
    </row>
    <row r="82" spans="1:68" ht="20.25" customHeight="1" x14ac:dyDescent="0.3">
      <c r="A82" s="1681" t="s">
        <v>904</v>
      </c>
      <c r="B82" s="1781"/>
      <c r="C82" s="1781"/>
      <c r="D82" s="1781"/>
      <c r="E82" s="1781"/>
      <c r="F82" s="1781"/>
      <c r="G82" s="1781"/>
      <c r="H82" s="1781"/>
      <c r="I82" s="1781"/>
      <c r="J82" s="1781"/>
      <c r="K82" s="1781"/>
      <c r="L82" s="1781"/>
      <c r="M82" s="1781"/>
      <c r="N82" s="1781"/>
      <c r="O82" s="1781"/>
      <c r="P82" s="1781"/>
      <c r="Q82" s="1781"/>
      <c r="R82" s="1781"/>
      <c r="S82" s="1781"/>
      <c r="T82" s="1781"/>
      <c r="U82" s="1781"/>
      <c r="V82" s="1781"/>
      <c r="W82" s="2790"/>
      <c r="X82" s="1781"/>
      <c r="Y82" s="2790"/>
      <c r="Z82" s="2790"/>
      <c r="AA82" s="2790"/>
      <c r="AB82" s="2790"/>
      <c r="AC82" s="2790"/>
      <c r="AD82" s="2790"/>
      <c r="AE82" s="2790"/>
      <c r="AF82" s="2791"/>
      <c r="AG82" s="2790"/>
      <c r="AH82" s="2790"/>
      <c r="AI82" s="2790"/>
      <c r="AJ82" s="2791"/>
      <c r="AK82" s="2790"/>
      <c r="AL82" s="2790"/>
      <c r="AM82" s="2790"/>
      <c r="AN82" s="2790"/>
      <c r="AO82" s="2790"/>
      <c r="AP82" s="2790"/>
      <c r="AQ82" s="2790"/>
      <c r="AR82" s="2790"/>
      <c r="AS82" s="2790"/>
      <c r="AT82" s="2790"/>
      <c r="AU82" s="2790"/>
      <c r="AV82" s="2790"/>
      <c r="AW82" s="2792"/>
      <c r="AX82" s="2790"/>
      <c r="AY82" s="2790"/>
      <c r="AZ82" s="1786">
        <f>AZ47</f>
        <v>286.40476017160813</v>
      </c>
      <c r="BA82" s="2795"/>
      <c r="BB82" s="1786">
        <f t="shared" ref="BB82:BO82" si="243">BB47</f>
        <v>286.40476017160813</v>
      </c>
      <c r="BC82" s="1786">
        <f t="shared" si="243"/>
        <v>0</v>
      </c>
      <c r="BD82" s="1786">
        <f t="shared" si="243"/>
        <v>0</v>
      </c>
      <c r="BE82" s="1786">
        <f t="shared" si="243"/>
        <v>0</v>
      </c>
      <c r="BF82" s="1786">
        <f t="shared" si="243"/>
        <v>0</v>
      </c>
      <c r="BG82" s="1786">
        <f t="shared" si="243"/>
        <v>0</v>
      </c>
      <c r="BH82" s="1786">
        <f t="shared" si="243"/>
        <v>0</v>
      </c>
      <c r="BI82" s="1786">
        <f t="shared" si="243"/>
        <v>0</v>
      </c>
      <c r="BJ82" s="1786">
        <f t="shared" si="243"/>
        <v>241.01</v>
      </c>
      <c r="BK82" s="1786">
        <f t="shared" si="243"/>
        <v>241.01</v>
      </c>
      <c r="BL82" s="1786">
        <f t="shared" si="243"/>
        <v>0</v>
      </c>
      <c r="BM82" s="1786">
        <f t="shared" si="243"/>
        <v>241.01</v>
      </c>
      <c r="BN82" s="1786">
        <f t="shared" si="243"/>
        <v>241.01</v>
      </c>
      <c r="BO82" s="1786">
        <f t="shared" si="243"/>
        <v>0</v>
      </c>
      <c r="BP82" s="1975"/>
    </row>
    <row r="83" spans="1:68" ht="20.25" customHeight="1" x14ac:dyDescent="0.3">
      <c r="A83" s="1681" t="s">
        <v>2050</v>
      </c>
      <c r="B83" s="1781"/>
      <c r="C83" s="1781"/>
      <c r="D83" s="1781"/>
      <c r="E83" s="1781"/>
      <c r="F83" s="1781"/>
      <c r="G83" s="1781"/>
      <c r="H83" s="1781"/>
      <c r="I83" s="1781"/>
      <c r="J83" s="1781"/>
      <c r="K83" s="1781"/>
      <c r="L83" s="1781"/>
      <c r="M83" s="1781"/>
      <c r="N83" s="1781"/>
      <c r="O83" s="1781"/>
      <c r="P83" s="1781"/>
      <c r="Q83" s="1781"/>
      <c r="R83" s="1781"/>
      <c r="S83" s="1781"/>
      <c r="T83" s="1781"/>
      <c r="U83" s="1781"/>
      <c r="V83" s="1781"/>
      <c r="W83" s="2790"/>
      <c r="X83" s="1781"/>
      <c r="Y83" s="2790"/>
      <c r="Z83" s="2790"/>
      <c r="AA83" s="2790"/>
      <c r="AB83" s="2790"/>
      <c r="AC83" s="2790"/>
      <c r="AD83" s="2790"/>
      <c r="AE83" s="2790"/>
      <c r="AF83" s="2791"/>
      <c r="AG83" s="2790"/>
      <c r="AH83" s="2790"/>
      <c r="AI83" s="2790"/>
      <c r="AJ83" s="2791"/>
      <c r="AK83" s="2790"/>
      <c r="AL83" s="2790"/>
      <c r="AM83" s="2790"/>
      <c r="AN83" s="2790"/>
      <c r="AO83" s="2790"/>
      <c r="AP83" s="2790"/>
      <c r="AQ83" s="2790"/>
      <c r="AR83" s="2790"/>
      <c r="AS83" s="2790"/>
      <c r="AT83" s="2790"/>
      <c r="AU83" s="2790"/>
      <c r="AV83" s="2790"/>
      <c r="AW83" s="2792"/>
      <c r="AX83" s="2790"/>
      <c r="AY83" s="2790"/>
      <c r="AZ83" s="1786"/>
      <c r="BA83" s="2795"/>
      <c r="BB83" s="1786"/>
      <c r="BC83" s="1786"/>
      <c r="BD83" s="1786"/>
      <c r="BE83" s="1786"/>
      <c r="BF83" s="1786"/>
      <c r="BG83" s="1786"/>
      <c r="BH83" s="1786"/>
      <c r="BI83" s="1786"/>
      <c r="BJ83" s="1786"/>
      <c r="BK83" s="1786"/>
      <c r="BL83" s="1786"/>
      <c r="BM83" s="1786">
        <f t="shared" ref="BM83:BO83" si="244">BM48</f>
        <v>105.48881849999999</v>
      </c>
      <c r="BN83" s="1786">
        <f t="shared" si="244"/>
        <v>105.48881849999999</v>
      </c>
      <c r="BO83" s="1786">
        <f t="shared" si="244"/>
        <v>0</v>
      </c>
      <c r="BP83" s="1975"/>
    </row>
    <row r="84" spans="1:68" ht="20.25" customHeight="1" x14ac:dyDescent="0.3">
      <c r="A84" s="1681" t="s">
        <v>636</v>
      </c>
      <c r="B84" s="1781"/>
      <c r="C84" s="1781"/>
      <c r="D84" s="1781"/>
      <c r="E84" s="1781"/>
      <c r="F84" s="1781"/>
      <c r="G84" s="1781"/>
      <c r="H84" s="1781"/>
      <c r="I84" s="1781"/>
      <c r="J84" s="1781"/>
      <c r="K84" s="1781"/>
      <c r="L84" s="1781"/>
      <c r="M84" s="1781"/>
      <c r="N84" s="1781"/>
      <c r="O84" s="1781"/>
      <c r="P84" s="1781"/>
      <c r="Q84" s="1781"/>
      <c r="R84" s="1781"/>
      <c r="S84" s="1781"/>
      <c r="T84" s="1781"/>
      <c r="U84" s="1781"/>
      <c r="V84" s="1781"/>
      <c r="W84" s="2790"/>
      <c r="X84" s="1781"/>
      <c r="Y84" s="2790"/>
      <c r="Z84" s="2790"/>
      <c r="AA84" s="2790"/>
      <c r="AB84" s="2790"/>
      <c r="AC84" s="2790"/>
      <c r="AD84" s="2790"/>
      <c r="AE84" s="2790"/>
      <c r="AF84" s="2791"/>
      <c r="AG84" s="2790"/>
      <c r="AH84" s="2790"/>
      <c r="AI84" s="2790"/>
      <c r="AJ84" s="2791"/>
      <c r="AK84" s="2790"/>
      <c r="AL84" s="2790"/>
      <c r="AM84" s="2790"/>
      <c r="AN84" s="2790"/>
      <c r="AO84" s="2790"/>
      <c r="AP84" s="2790"/>
      <c r="AQ84" s="2790"/>
      <c r="AR84" s="2790"/>
      <c r="AS84" s="2790"/>
      <c r="AT84" s="2790"/>
      <c r="AU84" s="2790"/>
      <c r="AV84" s="2790"/>
      <c r="AW84" s="2792"/>
      <c r="AX84" s="2790"/>
      <c r="AY84" s="2790"/>
      <c r="AZ84" s="1786"/>
      <c r="BA84" s="2795"/>
      <c r="BB84" s="1786"/>
      <c r="BC84" s="1786"/>
      <c r="BD84" s="1786"/>
      <c r="BE84" s="1786"/>
      <c r="BF84" s="1786"/>
      <c r="BG84" s="1786"/>
      <c r="BH84" s="1786"/>
      <c r="BI84" s="1786"/>
      <c r="BJ84" s="1786"/>
      <c r="BK84" s="1786"/>
      <c r="BL84" s="1786"/>
      <c r="BM84" s="1786">
        <f t="shared" ref="BM84:BO84" si="245">BM49</f>
        <v>517.29666900000007</v>
      </c>
      <c r="BN84" s="1786">
        <f t="shared" si="245"/>
        <v>517.29666900000007</v>
      </c>
      <c r="BO84" s="1786">
        <f t="shared" si="245"/>
        <v>0</v>
      </c>
      <c r="BP84" s="1975"/>
    </row>
    <row r="85" spans="1:68" ht="20.25" customHeight="1" x14ac:dyDescent="0.3">
      <c r="A85" s="1674" t="s">
        <v>515</v>
      </c>
      <c r="B85" s="1781"/>
      <c r="C85" s="1781"/>
      <c r="D85" s="1781"/>
      <c r="E85" s="1781"/>
      <c r="F85" s="1781"/>
      <c r="G85" s="1781"/>
      <c r="H85" s="1781"/>
      <c r="I85" s="1781"/>
      <c r="J85" s="1781"/>
      <c r="K85" s="1781"/>
      <c r="L85" s="1781"/>
      <c r="M85" s="1781"/>
      <c r="N85" s="1781"/>
      <c r="O85" s="1781"/>
      <c r="P85" s="1781"/>
      <c r="Q85" s="1781"/>
      <c r="R85" s="1781"/>
      <c r="S85" s="1781"/>
      <c r="T85" s="1781"/>
      <c r="U85" s="1781"/>
      <c r="V85" s="1781"/>
      <c r="W85" s="2790">
        <f>SUM(W50)</f>
        <v>0</v>
      </c>
      <c r="X85" s="1781"/>
      <c r="Y85" s="2790">
        <f t="shared" ref="Y85:AE85" si="246">SUM(Y50)</f>
        <v>0</v>
      </c>
      <c r="Z85" s="2790">
        <f t="shared" si="246"/>
        <v>0</v>
      </c>
      <c r="AA85" s="2790">
        <f t="shared" si="246"/>
        <v>0</v>
      </c>
      <c r="AB85" s="2790">
        <f t="shared" si="246"/>
        <v>0</v>
      </c>
      <c r="AC85" s="2790">
        <f t="shared" si="246"/>
        <v>0</v>
      </c>
      <c r="AD85" s="2790">
        <f t="shared" si="246"/>
        <v>0</v>
      </c>
      <c r="AE85" s="2790">
        <f t="shared" si="246"/>
        <v>885.62</v>
      </c>
      <c r="AF85" s="2791" t="e">
        <f t="shared" si="159"/>
        <v>#DIV/0!</v>
      </c>
      <c r="AG85" s="2790">
        <f t="shared" ref="AG85:AI85" si="247">SUM(AG50)</f>
        <v>885.62</v>
      </c>
      <c r="AH85" s="2790">
        <f t="shared" si="247"/>
        <v>0</v>
      </c>
      <c r="AI85" s="2790">
        <f t="shared" si="247"/>
        <v>1458.3999999999999</v>
      </c>
      <c r="AJ85" s="2791" t="e">
        <f t="shared" si="161"/>
        <v>#DIV/0!</v>
      </c>
      <c r="AK85" s="2790">
        <f t="shared" ref="AK85:AV85" si="248">SUM(AK50)</f>
        <v>1450.3</v>
      </c>
      <c r="AL85" s="2790">
        <f t="shared" si="248"/>
        <v>8.1</v>
      </c>
      <c r="AM85" s="2790">
        <f t="shared" si="248"/>
        <v>0</v>
      </c>
      <c r="AN85" s="2790">
        <f t="shared" si="248"/>
        <v>0</v>
      </c>
      <c r="AO85" s="2790">
        <f t="shared" si="248"/>
        <v>0</v>
      </c>
      <c r="AP85" s="2790">
        <f t="shared" si="248"/>
        <v>0</v>
      </c>
      <c r="AQ85" s="2790">
        <f t="shared" si="248"/>
        <v>0</v>
      </c>
      <c r="AR85" s="2790">
        <f t="shared" si="248"/>
        <v>0</v>
      </c>
      <c r="AS85" s="2790">
        <f t="shared" si="248"/>
        <v>0</v>
      </c>
      <c r="AT85" s="2790">
        <f t="shared" si="248"/>
        <v>0</v>
      </c>
      <c r="AU85" s="2790">
        <f t="shared" si="248"/>
        <v>0</v>
      </c>
      <c r="AV85" s="2790">
        <f t="shared" si="248"/>
        <v>26.1</v>
      </c>
      <c r="AW85" s="2792">
        <f t="shared" si="163"/>
        <v>1.7896324739440486E-2</v>
      </c>
      <c r="AX85" s="2790">
        <f t="shared" ref="AX85:AZ85" si="249">SUM(AX50)</f>
        <v>26.1</v>
      </c>
      <c r="AY85" s="2790">
        <f t="shared" si="249"/>
        <v>0</v>
      </c>
      <c r="AZ85" s="1786">
        <f t="shared" si="249"/>
        <v>26.100000000000009</v>
      </c>
      <c r="BA85" s="2795">
        <f t="shared" si="165"/>
        <v>1.789632473944049E-2</v>
      </c>
      <c r="BB85" s="1786">
        <f t="shared" ref="BB85:BD85" si="250">SUM(BB50)</f>
        <v>26.100000000000009</v>
      </c>
      <c r="BC85" s="1786">
        <f t="shared" si="250"/>
        <v>0</v>
      </c>
      <c r="BD85" s="1786">
        <f t="shared" si="250"/>
        <v>0</v>
      </c>
      <c r="BE85" s="1786">
        <f t="shared" ref="BE85:BG85" si="251">SUM(BE50)</f>
        <v>0</v>
      </c>
      <c r="BF85" s="1786">
        <f t="shared" si="251"/>
        <v>0</v>
      </c>
      <c r="BG85" s="1786">
        <f t="shared" si="251"/>
        <v>0</v>
      </c>
      <c r="BH85" s="1786">
        <f t="shared" ref="BH85:BJ85" si="252">SUM(BH50)</f>
        <v>0</v>
      </c>
      <c r="BI85" s="1786">
        <f t="shared" si="252"/>
        <v>0</v>
      </c>
      <c r="BJ85" s="1786">
        <f t="shared" si="252"/>
        <v>0</v>
      </c>
      <c r="BK85" s="1786">
        <f t="shared" ref="BK85:BM85" si="253">SUM(BK50)</f>
        <v>0</v>
      </c>
      <c r="BL85" s="1786">
        <f t="shared" si="253"/>
        <v>0</v>
      </c>
      <c r="BM85" s="1786">
        <f t="shared" si="253"/>
        <v>0</v>
      </c>
      <c r="BN85" s="1786">
        <f t="shared" ref="BN85:BO85" si="254">SUM(BN50)</f>
        <v>0</v>
      </c>
      <c r="BO85" s="1786">
        <f t="shared" si="254"/>
        <v>0</v>
      </c>
      <c r="BP85" s="1975"/>
    </row>
    <row r="86" spans="1:68" ht="20.25" customHeight="1" x14ac:dyDescent="0.3">
      <c r="A86" s="1757" t="s">
        <v>12</v>
      </c>
      <c r="B86" s="1778"/>
      <c r="C86" s="1778"/>
      <c r="D86" s="1778"/>
      <c r="E86" s="1778"/>
      <c r="F86" s="1778"/>
      <c r="G86" s="1778"/>
      <c r="H86" s="1778"/>
      <c r="I86" s="1778"/>
      <c r="J86" s="1778"/>
      <c r="K86" s="1778"/>
      <c r="L86" s="1778"/>
      <c r="M86" s="1778"/>
      <c r="N86" s="1778"/>
      <c r="O86" s="1778"/>
      <c r="P86" s="1778"/>
      <c r="Q86" s="1778"/>
      <c r="R86" s="1778"/>
      <c r="S86" s="1778"/>
      <c r="T86" s="1778"/>
      <c r="U86" s="1778"/>
      <c r="V86" s="1778"/>
      <c r="W86" s="1776">
        <f>SUM(W73:W85)</f>
        <v>96034.680000000008</v>
      </c>
      <c r="X86" s="1778"/>
      <c r="Y86" s="1776">
        <f t="shared" ref="Y86:AE86" si="255">SUM(Y73:Y85)</f>
        <v>77174.362445693521</v>
      </c>
      <c r="Z86" s="1776">
        <f t="shared" si="255"/>
        <v>76845.21173857752</v>
      </c>
      <c r="AA86" s="1776">
        <f t="shared" si="255"/>
        <v>329.45070711599271</v>
      </c>
      <c r="AB86" s="1776">
        <f t="shared" si="255"/>
        <v>70897.669500000004</v>
      </c>
      <c r="AC86" s="1776">
        <f t="shared" si="255"/>
        <v>70520.933541510851</v>
      </c>
      <c r="AD86" s="1776">
        <f t="shared" si="255"/>
        <v>376.73595848915204</v>
      </c>
      <c r="AE86" s="1776">
        <f t="shared" si="255"/>
        <v>85498.659999999989</v>
      </c>
      <c r="AF86" s="2793">
        <f t="shared" si="159"/>
        <v>1.1078635092083093</v>
      </c>
      <c r="AG86" s="1776">
        <f t="shared" ref="AG86" si="256">SUM(AG73:AG85)</f>
        <v>85594.609999999986</v>
      </c>
      <c r="AH86" s="1776">
        <f t="shared" ref="AH86" si="257">SUM(AH73:AH85)</f>
        <v>343.42</v>
      </c>
      <c r="AI86" s="1776">
        <f t="shared" ref="AI86:AK86" si="258">SUM(AI73:AI85)</f>
        <v>81205.828863845803</v>
      </c>
      <c r="AJ86" s="2793">
        <f t="shared" si="161"/>
        <v>1.0522384155876787</v>
      </c>
      <c r="AK86" s="1776">
        <f t="shared" si="258"/>
        <v>80917.345505223173</v>
      </c>
      <c r="AL86" s="1776">
        <f t="shared" ref="AL86" si="259">SUM(AL73:AL85)</f>
        <v>288.48335862265247</v>
      </c>
      <c r="AM86" s="1776" t="e">
        <f t="shared" ref="AM86" si="260">SUM(AM73:AM85)</f>
        <v>#REF!</v>
      </c>
      <c r="AN86" s="1776" t="e">
        <f t="shared" ref="AN86" si="261">SUM(AN73:AN85)</f>
        <v>#REF!</v>
      </c>
      <c r="AO86" s="1776" t="e">
        <f t="shared" ref="AO86" si="262">SUM(AO73:AO85)</f>
        <v>#REF!</v>
      </c>
      <c r="AP86" s="1776">
        <f t="shared" ref="AP86" si="263">SUM(AP73:AP85)</f>
        <v>25525.759999999998</v>
      </c>
      <c r="AQ86" s="1776">
        <f t="shared" ref="AQ86" si="264">SUM(AQ73:AQ85)</f>
        <v>25440.449918838356</v>
      </c>
      <c r="AR86" s="1776">
        <f t="shared" ref="AR86" si="265">SUM(AR73:AR85)</f>
        <v>85.310081161642032</v>
      </c>
      <c r="AS86" s="1776">
        <f t="shared" ref="AS86" si="266">SUM(AS73:AS85)</f>
        <v>40253.670000000006</v>
      </c>
      <c r="AT86" s="1776">
        <f t="shared" ref="AT86" si="267">SUM(AT73:AT85)</f>
        <v>40082.03991791149</v>
      </c>
      <c r="AU86" s="1776">
        <f t="shared" ref="AU86" si="268">SUM(AU73:AU85)</f>
        <v>171.63008208850837</v>
      </c>
      <c r="AV86" s="1776">
        <f t="shared" ref="AV86" si="269">SUM(AV73:AV85)</f>
        <v>92157.97384440084</v>
      </c>
      <c r="AW86" s="2794">
        <f t="shared" si="163"/>
        <v>1.1348689513275951</v>
      </c>
      <c r="AX86" s="1776">
        <f t="shared" ref="AX86" si="270">SUM(AX73:AX85)</f>
        <v>91796.952754033511</v>
      </c>
      <c r="AY86" s="1776">
        <f t="shared" ref="AY86" si="271">SUM(AY73:AY85)</f>
        <v>361.02109036731986</v>
      </c>
      <c r="AZ86" s="1776">
        <f t="shared" ref="AZ86" si="272">SUM(AZ73:AZ85)</f>
        <v>81331.231157922142</v>
      </c>
      <c r="BA86" s="2794">
        <f t="shared" si="165"/>
        <v>1.0015442523748708</v>
      </c>
      <c r="BB86" s="1776">
        <f t="shared" ref="BB86" si="273">SUM(BB73:BB85)</f>
        <v>81065.511009907219</v>
      </c>
      <c r="BC86" s="1776">
        <f t="shared" ref="BC86:BE86" si="274">SUM(BC73:BC85)</f>
        <v>265.72014801492907</v>
      </c>
      <c r="BD86" s="1776">
        <f t="shared" si="274"/>
        <v>81554.209999999992</v>
      </c>
      <c r="BE86" s="1776">
        <f t="shared" si="274"/>
        <v>81207.200000000012</v>
      </c>
      <c r="BF86" s="1776">
        <f t="shared" ref="BF86:BH86" si="275">SUM(BF73:BF85)</f>
        <v>347.01</v>
      </c>
      <c r="BG86" s="1776">
        <f t="shared" si="275"/>
        <v>79589.19</v>
      </c>
      <c r="BH86" s="1776">
        <f t="shared" si="275"/>
        <v>79280.179999999993</v>
      </c>
      <c r="BI86" s="1776">
        <f t="shared" ref="BI86:BK86" si="276">SUM(BI73:BI85)</f>
        <v>309.01</v>
      </c>
      <c r="BJ86" s="1776">
        <f t="shared" si="276"/>
        <v>116751.69000000002</v>
      </c>
      <c r="BK86" s="1776">
        <f t="shared" si="276"/>
        <v>116299.36</v>
      </c>
      <c r="BL86" s="1776">
        <f t="shared" ref="BL86:BN86" si="277">SUM(BL73:BL85)</f>
        <v>452.33000000000004</v>
      </c>
      <c r="BM86" s="1776">
        <f>SUM(BM73:BM85)</f>
        <v>96528.558904823658</v>
      </c>
      <c r="BN86" s="1776">
        <f t="shared" si="277"/>
        <v>96264.34266839271</v>
      </c>
      <c r="BO86" s="1776">
        <f t="shared" ref="BO86" si="278">SUM(BO73:BO85)</f>
        <v>264.21623643095785</v>
      </c>
      <c r="BP86" s="1972"/>
    </row>
    <row r="87" spans="1:68" ht="20.25" customHeight="1" x14ac:dyDescent="0.3">
      <c r="A87" s="1757" t="s">
        <v>13</v>
      </c>
      <c r="B87" s="1778"/>
      <c r="C87" s="1778"/>
      <c r="D87" s="1778"/>
      <c r="E87" s="1778"/>
      <c r="F87" s="1778"/>
      <c r="G87" s="1778"/>
      <c r="H87" s="1778"/>
      <c r="I87" s="1778"/>
      <c r="J87" s="1778"/>
      <c r="K87" s="1778"/>
      <c r="L87" s="1778"/>
      <c r="M87" s="1778"/>
      <c r="N87" s="1778"/>
      <c r="O87" s="1778"/>
      <c r="P87" s="1778"/>
      <c r="Q87" s="1778"/>
      <c r="R87" s="1778"/>
      <c r="S87" s="1778"/>
      <c r="T87" s="1778"/>
      <c r="U87" s="1778"/>
      <c r="V87" s="1778"/>
      <c r="W87" s="1776">
        <f>SUM(W52)</f>
        <v>3600</v>
      </c>
      <c r="X87" s="1778"/>
      <c r="Y87" s="1776">
        <f t="shared" ref="Y87:AE87" si="279">SUM(Y52)</f>
        <v>3672.7</v>
      </c>
      <c r="Z87" s="1776">
        <f t="shared" si="279"/>
        <v>3644.7</v>
      </c>
      <c r="AA87" s="1776">
        <f t="shared" si="279"/>
        <v>28</v>
      </c>
      <c r="AB87" s="1776">
        <f t="shared" si="279"/>
        <v>3476.2</v>
      </c>
      <c r="AC87" s="1776">
        <f t="shared" si="279"/>
        <v>3446</v>
      </c>
      <c r="AD87" s="1776">
        <f t="shared" si="279"/>
        <v>30.2</v>
      </c>
      <c r="AE87" s="1776">
        <f t="shared" si="279"/>
        <v>3672.7</v>
      </c>
      <c r="AF87" s="2793">
        <f t="shared" si="159"/>
        <v>1</v>
      </c>
      <c r="AG87" s="1776">
        <f t="shared" ref="AG87:AI87" si="280">SUM(AG52)</f>
        <v>3644.7</v>
      </c>
      <c r="AH87" s="1776">
        <f t="shared" si="280"/>
        <v>28</v>
      </c>
      <c r="AI87" s="1776">
        <f t="shared" si="280"/>
        <v>3644.7</v>
      </c>
      <c r="AJ87" s="2793">
        <f t="shared" si="161"/>
        <v>0.99237618101124514</v>
      </c>
      <c r="AK87" s="1776">
        <f t="shared" ref="AK87:AV87" si="281">SUM(AK52)</f>
        <v>3644.7</v>
      </c>
      <c r="AL87" s="1776">
        <f t="shared" si="281"/>
        <v>0</v>
      </c>
      <c r="AM87" s="1776" t="e">
        <f t="shared" si="281"/>
        <v>#REF!</v>
      </c>
      <c r="AN87" s="1776" t="e">
        <f t="shared" si="281"/>
        <v>#REF!</v>
      </c>
      <c r="AO87" s="1776" t="e">
        <f t="shared" si="281"/>
        <v>#REF!</v>
      </c>
      <c r="AP87" s="1776">
        <f t="shared" si="281"/>
        <v>1670.74</v>
      </c>
      <c r="AQ87" s="1776">
        <f t="shared" si="281"/>
        <v>1661.07</v>
      </c>
      <c r="AR87" s="1776">
        <f t="shared" si="281"/>
        <v>9.67</v>
      </c>
      <c r="AS87" s="1776">
        <f t="shared" si="281"/>
        <v>3209.95</v>
      </c>
      <c r="AT87" s="1776">
        <f t="shared" si="281"/>
        <v>3186.5699999999997</v>
      </c>
      <c r="AU87" s="1776">
        <f t="shared" si="281"/>
        <v>23.38</v>
      </c>
      <c r="AV87" s="1776">
        <f t="shared" si="281"/>
        <v>3473</v>
      </c>
      <c r="AW87" s="2794">
        <f t="shared" si="163"/>
        <v>0.95289049853211516</v>
      </c>
      <c r="AX87" s="1776">
        <f t="shared" ref="AX87:AZ87" si="282">SUM(AX52)</f>
        <v>3445</v>
      </c>
      <c r="AY87" s="1776">
        <f t="shared" si="282"/>
        <v>28</v>
      </c>
      <c r="AZ87" s="1776">
        <f t="shared" si="282"/>
        <v>3463.93</v>
      </c>
      <c r="BA87" s="2794">
        <f t="shared" si="165"/>
        <v>0.95040195352155188</v>
      </c>
      <c r="BB87" s="1776">
        <f t="shared" ref="BB87:BD87" si="283">SUM(BB52)</f>
        <v>3445</v>
      </c>
      <c r="BC87" s="1776">
        <f t="shared" si="283"/>
        <v>18.93</v>
      </c>
      <c r="BD87" s="1776">
        <f t="shared" si="283"/>
        <v>3061.4900000000002</v>
      </c>
      <c r="BE87" s="1776">
        <f t="shared" ref="BE87:BG87" si="284">SUM(BE52)</f>
        <v>3040.84</v>
      </c>
      <c r="BF87" s="1776">
        <f t="shared" si="284"/>
        <v>20.65</v>
      </c>
      <c r="BG87" s="1776">
        <f t="shared" si="284"/>
        <v>3197.3199999999997</v>
      </c>
      <c r="BH87" s="1776">
        <f t="shared" ref="BH87:BJ87" si="285">SUM(BH52)</f>
        <v>3178.1</v>
      </c>
      <c r="BI87" s="1776">
        <f t="shared" si="285"/>
        <v>19.22</v>
      </c>
      <c r="BJ87" s="1776">
        <f t="shared" si="285"/>
        <v>3248.93</v>
      </c>
      <c r="BK87" s="1776">
        <f t="shared" ref="BK87:BM87" si="286">SUM(BK52)</f>
        <v>3230</v>
      </c>
      <c r="BL87" s="1776">
        <f t="shared" si="286"/>
        <v>18.93</v>
      </c>
      <c r="BM87" s="1776">
        <f t="shared" si="286"/>
        <v>3020.0036431580988</v>
      </c>
      <c r="BN87" s="1776">
        <f t="shared" ref="BN87:BO87" si="287">SUM(BN52)</f>
        <v>3002.3369764914323</v>
      </c>
      <c r="BO87" s="1776">
        <f t="shared" si="287"/>
        <v>17.666666666666668</v>
      </c>
      <c r="BP87" s="1972"/>
    </row>
    <row r="88" spans="1:68" ht="20.25" customHeight="1" x14ac:dyDescent="0.3">
      <c r="A88" s="1757" t="s">
        <v>14</v>
      </c>
      <c r="B88" s="1778"/>
      <c r="C88" s="1778"/>
      <c r="D88" s="1778"/>
      <c r="E88" s="1778"/>
      <c r="F88" s="1778"/>
      <c r="G88" s="1778"/>
      <c r="H88" s="1778"/>
      <c r="I88" s="1778"/>
      <c r="J88" s="1778"/>
      <c r="K88" s="1778"/>
      <c r="L88" s="1778"/>
      <c r="M88" s="1778"/>
      <c r="N88" s="1778"/>
      <c r="O88" s="1778"/>
      <c r="P88" s="1778"/>
      <c r="Q88" s="1778"/>
      <c r="R88" s="1778"/>
      <c r="S88" s="1778"/>
      <c r="T88" s="1778"/>
      <c r="U88" s="1778"/>
      <c r="V88" s="1778"/>
      <c r="W88" s="1782">
        <f>SUM(W86/W87)</f>
        <v>26.676300000000001</v>
      </c>
      <c r="X88" s="1778"/>
      <c r="Y88" s="1782">
        <f t="shared" ref="Y88:AE88" si="288">SUM(Y86/Y87)</f>
        <v>21.012977494947457</v>
      </c>
      <c r="Z88" s="1782">
        <f t="shared" si="288"/>
        <v>21.084097933596052</v>
      </c>
      <c r="AA88" s="1782">
        <f t="shared" si="288"/>
        <v>11.766096682714025</v>
      </c>
      <c r="AB88" s="1782">
        <f t="shared" si="288"/>
        <v>20.395164115988724</v>
      </c>
      <c r="AC88" s="1782">
        <f t="shared" si="288"/>
        <v>20.464577348087886</v>
      </c>
      <c r="AD88" s="1782">
        <f t="shared" si="288"/>
        <v>12.474700612223577</v>
      </c>
      <c r="AE88" s="1782">
        <f t="shared" si="288"/>
        <v>23.27951098646772</v>
      </c>
      <c r="AF88" s="2793">
        <f t="shared" si="159"/>
        <v>1.1078635092083093</v>
      </c>
      <c r="AG88" s="1782">
        <f t="shared" ref="AG88" si="289">SUM(AG86/AG87)</f>
        <v>23.484679123110269</v>
      </c>
      <c r="AH88" s="1782">
        <f t="shared" ref="AH88" si="290">SUM(AH86/AH87)</f>
        <v>12.265000000000001</v>
      </c>
      <c r="AI88" s="1782">
        <f t="shared" ref="AI88:AK88" si="291">SUM(AI86/AI87)</f>
        <v>22.280524834374791</v>
      </c>
      <c r="AJ88" s="2793">
        <f t="shared" si="161"/>
        <v>1.0603221194964929</v>
      </c>
      <c r="AK88" s="1782">
        <f t="shared" si="291"/>
        <v>22.201373365495975</v>
      </c>
      <c r="AL88" s="1782" t="e">
        <f t="shared" ref="AL88" si="292">SUM(AL86/AL87)</f>
        <v>#DIV/0!</v>
      </c>
      <c r="AM88" s="1782" t="e">
        <f t="shared" ref="AM88" si="293">SUM(AM86/AM87)</f>
        <v>#REF!</v>
      </c>
      <c r="AN88" s="1782" t="e">
        <f t="shared" ref="AN88" si="294">SUM(AN86/AN87)</f>
        <v>#REF!</v>
      </c>
      <c r="AO88" s="1782" t="e">
        <f t="shared" ref="AO88" si="295">SUM(AO86/AO87)</f>
        <v>#REF!</v>
      </c>
      <c r="AP88" s="1782">
        <f t="shared" ref="AP88" si="296">SUM(AP86/AP87)</f>
        <v>15.278116283802387</v>
      </c>
      <c r="AQ88" s="1782">
        <f t="shared" ref="AQ88" si="297">SUM(AQ86/AQ87)</f>
        <v>15.315700072145278</v>
      </c>
      <c r="AR88" s="1782">
        <f t="shared" ref="AR88" si="298">SUM(AR86/AR87)</f>
        <v>8.8221386930343364</v>
      </c>
      <c r="AS88" s="1782">
        <f t="shared" ref="AS88" si="299">SUM(AS86/AS87)</f>
        <v>12.540279443605042</v>
      </c>
      <c r="AT88" s="1782">
        <f t="shared" ref="AT88" si="300">SUM(AT86/AT87)</f>
        <v>12.578427562523808</v>
      </c>
      <c r="AU88" s="1782">
        <f t="shared" ref="AU88" si="301">SUM(AU86/AU87)</f>
        <v>7.3408931603297001</v>
      </c>
      <c r="AV88" s="1782">
        <f t="shared" ref="AV88" si="302">SUM(AV86/AV87)</f>
        <v>26.535552503426675</v>
      </c>
      <c r="AW88" s="2794">
        <f t="shared" si="163"/>
        <v>1.1909751992236355</v>
      </c>
      <c r="AX88" s="1782">
        <f t="shared" ref="AX88" si="303">SUM(AX86/AX87)</f>
        <v>26.646430407556899</v>
      </c>
      <c r="AY88" s="1782">
        <f t="shared" ref="AY88" si="304">SUM(AY86/AY87)</f>
        <v>12.893610370261424</v>
      </c>
      <c r="AZ88" s="1782">
        <f t="shared" ref="AZ88" si="305">SUM(AZ86/AZ87)</f>
        <v>23.479467298104218</v>
      </c>
      <c r="BA88" s="2794">
        <f t="shared" si="165"/>
        <v>1.0538112307785352</v>
      </c>
      <c r="BB88" s="1782">
        <f t="shared" ref="BB88" si="306">SUM(BB86/BB87)</f>
        <v>23.531352978202385</v>
      </c>
      <c r="BC88" s="1782">
        <f t="shared" ref="BC88:BE88" si="307">SUM(BC86/BC87)</f>
        <v>14.036986160323776</v>
      </c>
      <c r="BD88" s="1782">
        <f t="shared" si="307"/>
        <v>26.638731467357392</v>
      </c>
      <c r="BE88" s="1782">
        <f t="shared" si="307"/>
        <v>26.705515581220983</v>
      </c>
      <c r="BF88" s="1782">
        <f t="shared" ref="BF88:BH88" si="308">SUM(BF86/BF87)</f>
        <v>16.804358353510896</v>
      </c>
      <c r="BG88" s="1782">
        <f t="shared" si="308"/>
        <v>24.892469318053873</v>
      </c>
      <c r="BH88" s="1782">
        <f t="shared" si="308"/>
        <v>24.945778924514645</v>
      </c>
      <c r="BI88" s="1782">
        <f t="shared" ref="BI88:BK88" si="309">SUM(BI86/BI87)</f>
        <v>16.077523413111344</v>
      </c>
      <c r="BJ88" s="1782">
        <f t="shared" si="309"/>
        <v>35.935427971670677</v>
      </c>
      <c r="BK88" s="1782">
        <f t="shared" si="309"/>
        <v>36.005993808049539</v>
      </c>
      <c r="BL88" s="1782">
        <f t="shared" ref="BL88:BN88" si="310">SUM(BL86/BL87)</f>
        <v>23.894875858425781</v>
      </c>
      <c r="BM88" s="1782">
        <f t="shared" si="310"/>
        <v>31.963060416669283</v>
      </c>
      <c r="BN88" s="1782">
        <f t="shared" si="310"/>
        <v>32.063137290101395</v>
      </c>
      <c r="BO88" s="1782">
        <f t="shared" ref="BO88" si="311">SUM(BO86/BO87)</f>
        <v>14.95563602439384</v>
      </c>
      <c r="BP88" s="1972"/>
    </row>
    <row r="89" spans="1:68" ht="20.25" customHeight="1" x14ac:dyDescent="0.3">
      <c r="A89" s="1673" t="s">
        <v>430</v>
      </c>
      <c r="B89" s="1778"/>
      <c r="C89" s="1778"/>
      <c r="D89" s="1778"/>
      <c r="E89" s="1778"/>
      <c r="F89" s="1778"/>
      <c r="G89" s="1778"/>
      <c r="H89" s="1778"/>
      <c r="I89" s="1778"/>
      <c r="J89" s="1778"/>
      <c r="K89" s="1778"/>
      <c r="L89" s="1778"/>
      <c r="M89" s="1778"/>
      <c r="N89" s="1778"/>
      <c r="O89" s="1778"/>
      <c r="P89" s="1778"/>
      <c r="Q89" s="1778"/>
      <c r="R89" s="1778"/>
      <c r="S89" s="1778"/>
      <c r="T89" s="1778"/>
      <c r="U89" s="1778"/>
      <c r="V89" s="1778"/>
      <c r="W89" s="1776">
        <f>SUM(W56)</f>
        <v>0</v>
      </c>
      <c r="X89" s="1778"/>
      <c r="Y89" s="1776">
        <f t="shared" ref="Y89:AE89" si="312">SUM(Y56)</f>
        <v>0</v>
      </c>
      <c r="Z89" s="1776">
        <f t="shared" si="312"/>
        <v>0</v>
      </c>
      <c r="AA89" s="1776">
        <f t="shared" si="312"/>
        <v>0</v>
      </c>
      <c r="AB89" s="1776">
        <f t="shared" si="312"/>
        <v>0</v>
      </c>
      <c r="AC89" s="1776">
        <f t="shared" si="312"/>
        <v>0</v>
      </c>
      <c r="AD89" s="1776">
        <f t="shared" si="312"/>
        <v>0</v>
      </c>
      <c r="AE89" s="1776">
        <f t="shared" si="312"/>
        <v>4275.2299999999996</v>
      </c>
      <c r="AF89" s="2793" t="e">
        <f t="shared" si="159"/>
        <v>#DIV/0!</v>
      </c>
      <c r="AG89" s="1776">
        <f t="shared" ref="AG89:AI89" si="313">SUM(AG56)</f>
        <v>4265.2299999999996</v>
      </c>
      <c r="AH89" s="1776">
        <f t="shared" si="313"/>
        <v>10</v>
      </c>
      <c r="AI89" s="1776">
        <f t="shared" si="313"/>
        <v>4058.2972752611586</v>
      </c>
      <c r="AJ89" s="2793" t="e">
        <f t="shared" si="161"/>
        <v>#DIV/0!</v>
      </c>
      <c r="AK89" s="1776">
        <f t="shared" ref="AK89:AV89" si="314">SUM(AK56)</f>
        <v>4045.8672752611587</v>
      </c>
      <c r="AL89" s="1776">
        <f t="shared" si="314"/>
        <v>12.43</v>
      </c>
      <c r="AM89" s="1776">
        <f t="shared" si="314"/>
        <v>0</v>
      </c>
      <c r="AN89" s="1776">
        <f t="shared" si="314"/>
        <v>0</v>
      </c>
      <c r="AO89" s="1776">
        <f t="shared" si="314"/>
        <v>0</v>
      </c>
      <c r="AP89" s="1776">
        <f t="shared" si="314"/>
        <v>0</v>
      </c>
      <c r="AQ89" s="1776">
        <f t="shared" si="314"/>
        <v>0</v>
      </c>
      <c r="AR89" s="1776">
        <f t="shared" si="314"/>
        <v>0</v>
      </c>
      <c r="AS89" s="1776">
        <f t="shared" si="314"/>
        <v>0</v>
      </c>
      <c r="AT89" s="1776">
        <f t="shared" si="314"/>
        <v>0</v>
      </c>
      <c r="AU89" s="1776">
        <f t="shared" si="314"/>
        <v>0</v>
      </c>
      <c r="AV89" s="1776">
        <f t="shared" si="314"/>
        <v>4649.3426922200424</v>
      </c>
      <c r="AW89" s="2794">
        <f t="shared" si="163"/>
        <v>1.1456387683972336</v>
      </c>
      <c r="AX89" s="1776">
        <f t="shared" ref="AX89:AZ89" si="315">SUM(AX56)</f>
        <v>4631.2916377016763</v>
      </c>
      <c r="AY89" s="1776">
        <f t="shared" si="315"/>
        <v>18.051054518365994</v>
      </c>
      <c r="AZ89" s="1776">
        <f t="shared" si="315"/>
        <v>4053.2755504953611</v>
      </c>
      <c r="BA89" s="2794">
        <f t="shared" si="165"/>
        <v>0.99876260302654285</v>
      </c>
      <c r="BB89" s="1776">
        <f t="shared" ref="BB89:BD89" si="316">SUM(BB56)</f>
        <v>4053.2755504953611</v>
      </c>
      <c r="BC89" s="1776">
        <f t="shared" si="316"/>
        <v>0</v>
      </c>
      <c r="BD89" s="1776">
        <f t="shared" si="316"/>
        <v>0</v>
      </c>
      <c r="BE89" s="1776">
        <f t="shared" ref="BE89:BG89" si="317">SUM(BE56)</f>
        <v>0</v>
      </c>
      <c r="BF89" s="1776">
        <f t="shared" si="317"/>
        <v>0</v>
      </c>
      <c r="BG89" s="1776">
        <f t="shared" si="317"/>
        <v>0</v>
      </c>
      <c r="BH89" s="1776">
        <f t="shared" ref="BH89:BJ89" si="318">SUM(BH56)</f>
        <v>0</v>
      </c>
      <c r="BI89" s="1776">
        <f t="shared" si="318"/>
        <v>0</v>
      </c>
      <c r="BJ89" s="1776">
        <f t="shared" si="318"/>
        <v>0</v>
      </c>
      <c r="BK89" s="1776">
        <f t="shared" ref="BK89:BM89" si="319">SUM(BK56)</f>
        <v>0</v>
      </c>
      <c r="BL89" s="1776">
        <f t="shared" si="319"/>
        <v>0</v>
      </c>
      <c r="BM89" s="1776">
        <f t="shared" si="319"/>
        <v>0</v>
      </c>
      <c r="BN89" s="1776">
        <f t="shared" ref="BN89:BO89" si="320">SUM(BN56)</f>
        <v>0</v>
      </c>
      <c r="BO89" s="1776">
        <f t="shared" si="320"/>
        <v>0</v>
      </c>
      <c r="BP89" s="1972"/>
    </row>
    <row r="90" spans="1:68" ht="20.25" customHeight="1" x14ac:dyDescent="0.3">
      <c r="A90" s="1673" t="s">
        <v>538</v>
      </c>
      <c r="B90" s="1778"/>
      <c r="C90" s="1778"/>
      <c r="D90" s="1778"/>
      <c r="E90" s="1778"/>
      <c r="F90" s="1778"/>
      <c r="G90" s="1778"/>
      <c r="H90" s="1778"/>
      <c r="I90" s="1778"/>
      <c r="J90" s="1778"/>
      <c r="K90" s="1778"/>
      <c r="L90" s="1778"/>
      <c r="M90" s="1778"/>
      <c r="N90" s="1778"/>
      <c r="O90" s="1778"/>
      <c r="P90" s="1778"/>
      <c r="Q90" s="1778"/>
      <c r="R90" s="1778"/>
      <c r="S90" s="1778"/>
      <c r="T90" s="1778"/>
      <c r="U90" s="1778"/>
      <c r="V90" s="1778"/>
      <c r="W90" s="1776">
        <f>SUM(W86+W89)</f>
        <v>96034.680000000008</v>
      </c>
      <c r="X90" s="1778"/>
      <c r="Y90" s="1776">
        <f t="shared" ref="Y90:AE90" si="321">SUM(Y86+Y89)</f>
        <v>77174.362445693521</v>
      </c>
      <c r="Z90" s="1776">
        <f t="shared" si="321"/>
        <v>76845.21173857752</v>
      </c>
      <c r="AA90" s="1776">
        <f t="shared" si="321"/>
        <v>329.45070711599271</v>
      </c>
      <c r="AB90" s="1776">
        <f t="shared" si="321"/>
        <v>70897.669500000004</v>
      </c>
      <c r="AC90" s="1776">
        <f t="shared" si="321"/>
        <v>70520.933541510851</v>
      </c>
      <c r="AD90" s="1776">
        <f t="shared" si="321"/>
        <v>376.73595848915204</v>
      </c>
      <c r="AE90" s="1776">
        <f t="shared" si="321"/>
        <v>89773.889999999985</v>
      </c>
      <c r="AF90" s="2793">
        <f t="shared" si="159"/>
        <v>1.1632605330970187</v>
      </c>
      <c r="AG90" s="1776">
        <f t="shared" ref="AG90" si="322">SUM(AG86+AG89)</f>
        <v>89859.839999999982</v>
      </c>
      <c r="AH90" s="1776">
        <f t="shared" ref="AH90" si="323">SUM(AH86+AH89)</f>
        <v>353.42</v>
      </c>
      <c r="AI90" s="1776">
        <f t="shared" ref="AI90:AK90" si="324">SUM(AI86+AI89)</f>
        <v>85264.126139106957</v>
      </c>
      <c r="AJ90" s="2793">
        <f t="shared" si="161"/>
        <v>1.1048244965950458</v>
      </c>
      <c r="AK90" s="1776">
        <f t="shared" si="324"/>
        <v>84963.212780484333</v>
      </c>
      <c r="AL90" s="1776">
        <f t="shared" ref="AL90" si="325">SUM(AL86+AL89)</f>
        <v>300.91335862265248</v>
      </c>
      <c r="AM90" s="1776" t="e">
        <f t="shared" ref="AM90" si="326">SUM(AM86+AM89)</f>
        <v>#REF!</v>
      </c>
      <c r="AN90" s="1776" t="e">
        <f t="shared" ref="AN90" si="327">SUM(AN86+AN89)</f>
        <v>#REF!</v>
      </c>
      <c r="AO90" s="1776" t="e">
        <f t="shared" ref="AO90" si="328">SUM(AO86+AO89)</f>
        <v>#REF!</v>
      </c>
      <c r="AP90" s="1776">
        <f t="shared" ref="AP90" si="329">SUM(AP86+AP89)</f>
        <v>25525.759999999998</v>
      </c>
      <c r="AQ90" s="1776">
        <f t="shared" ref="AQ90" si="330">SUM(AQ86+AQ89)</f>
        <v>25440.449918838356</v>
      </c>
      <c r="AR90" s="1776">
        <f t="shared" ref="AR90" si="331">SUM(AR86+AR89)</f>
        <v>85.310081161642032</v>
      </c>
      <c r="AS90" s="1776">
        <f t="shared" ref="AS90" si="332">SUM(AS86+AS89)</f>
        <v>40253.670000000006</v>
      </c>
      <c r="AT90" s="1776">
        <f t="shared" ref="AT90" si="333">SUM(AT86+AT89)</f>
        <v>40082.03991791149</v>
      </c>
      <c r="AU90" s="1776">
        <f t="shared" ref="AU90" si="334">SUM(AU86+AU89)</f>
        <v>171.63008208850837</v>
      </c>
      <c r="AV90" s="1776">
        <f t="shared" ref="AV90" si="335">SUM(AV86+AV89)</f>
        <v>96807.316536620885</v>
      </c>
      <c r="AW90" s="2794">
        <f t="shared" si="163"/>
        <v>1.1353815598682313</v>
      </c>
      <c r="AX90" s="1776">
        <f t="shared" ref="AX90" si="336">SUM(AX86+AX89)</f>
        <v>96428.244391735192</v>
      </c>
      <c r="AY90" s="1776">
        <f t="shared" ref="AY90" si="337">SUM(AY86+AY89)</f>
        <v>379.07214488568587</v>
      </c>
      <c r="AZ90" s="1776">
        <f t="shared" ref="AZ90" si="338">SUM(AZ86+AZ89)</f>
        <v>85384.50670841751</v>
      </c>
      <c r="BA90" s="2794">
        <f t="shared" si="165"/>
        <v>1.0014118548416735</v>
      </c>
      <c r="BB90" s="1776">
        <f t="shared" ref="BB90" si="339">SUM(BB86+BB89)</f>
        <v>85118.786560402586</v>
      </c>
      <c r="BC90" s="1776">
        <f t="shared" ref="BC90:BE90" si="340">SUM(BC86+BC89)</f>
        <v>265.72014801492907</v>
      </c>
      <c r="BD90" s="1776">
        <f t="shared" si="340"/>
        <v>81554.209999999992</v>
      </c>
      <c r="BE90" s="1776">
        <f t="shared" si="340"/>
        <v>81207.200000000012</v>
      </c>
      <c r="BF90" s="1776">
        <f t="shared" ref="BF90:BH90" si="341">SUM(BF86+BF89)</f>
        <v>347.01</v>
      </c>
      <c r="BG90" s="1776">
        <f t="shared" si="341"/>
        <v>79589.19</v>
      </c>
      <c r="BH90" s="1776">
        <f t="shared" si="341"/>
        <v>79280.179999999993</v>
      </c>
      <c r="BI90" s="1776">
        <f t="shared" ref="BI90:BK90" si="342">SUM(BI86+BI89)</f>
        <v>309.01</v>
      </c>
      <c r="BJ90" s="1776">
        <f t="shared" si="342"/>
        <v>116751.69000000002</v>
      </c>
      <c r="BK90" s="1776">
        <f t="shared" si="342"/>
        <v>116299.36</v>
      </c>
      <c r="BL90" s="1776">
        <f t="shared" ref="BL90:BN90" si="343">SUM(BL86+BL89)</f>
        <v>452.33000000000004</v>
      </c>
      <c r="BM90" s="1776">
        <f t="shared" si="343"/>
        <v>96528.558904823658</v>
      </c>
      <c r="BN90" s="1776">
        <f t="shared" si="343"/>
        <v>96264.34266839271</v>
      </c>
      <c r="BO90" s="1776">
        <f t="shared" ref="BO90" si="344">SUM(BO86+BO89)</f>
        <v>264.21623643095785</v>
      </c>
      <c r="BP90" s="1972"/>
    </row>
    <row r="91" spans="1:68" ht="20.25" customHeight="1" x14ac:dyDescent="0.3">
      <c r="A91" s="1757" t="s">
        <v>70</v>
      </c>
      <c r="B91" s="1778"/>
      <c r="C91" s="1778"/>
      <c r="D91" s="1778"/>
      <c r="E91" s="1778"/>
      <c r="F91" s="1778"/>
      <c r="G91" s="1778"/>
      <c r="H91" s="1778"/>
      <c r="I91" s="1778"/>
      <c r="J91" s="1778"/>
      <c r="K91" s="1778"/>
      <c r="L91" s="1778"/>
      <c r="M91" s="1778"/>
      <c r="N91" s="1778"/>
      <c r="O91" s="1778"/>
      <c r="P91" s="1778"/>
      <c r="Q91" s="1778"/>
      <c r="R91" s="1778"/>
      <c r="S91" s="1778"/>
      <c r="T91" s="1778"/>
      <c r="U91" s="1778"/>
      <c r="V91" s="1778"/>
      <c r="W91" s="1782">
        <f>SUM(W90/W87)</f>
        <v>26.676300000000001</v>
      </c>
      <c r="X91" s="1778"/>
      <c r="Y91" s="1782">
        <f t="shared" ref="Y91:AE91" si="345">SUM(Y90/Y87)</f>
        <v>21.012977494947457</v>
      </c>
      <c r="Z91" s="1782">
        <f t="shared" si="345"/>
        <v>21.084097933596052</v>
      </c>
      <c r="AA91" s="1782">
        <f t="shared" si="345"/>
        <v>11.766096682714025</v>
      </c>
      <c r="AB91" s="1782">
        <f t="shared" si="345"/>
        <v>20.395164115988724</v>
      </c>
      <c r="AC91" s="1782">
        <f t="shared" si="345"/>
        <v>20.464577348087886</v>
      </c>
      <c r="AD91" s="1782">
        <f t="shared" si="345"/>
        <v>12.474700612223577</v>
      </c>
      <c r="AE91" s="1782">
        <f t="shared" si="345"/>
        <v>24.443567402728235</v>
      </c>
      <c r="AF91" s="2793">
        <f t="shared" si="159"/>
        <v>1.1632605330970187</v>
      </c>
      <c r="AG91" s="1782">
        <f t="shared" ref="AG91" si="346">SUM(AG90/AG87)</f>
        <v>24.654934562515429</v>
      </c>
      <c r="AH91" s="1782">
        <f t="shared" ref="AH91" si="347">SUM(AH90/AH87)</f>
        <v>12.622142857142858</v>
      </c>
      <c r="AI91" s="1782">
        <f t="shared" ref="AI91:AK91" si="348">SUM(AI90/AI87)</f>
        <v>23.39400393423518</v>
      </c>
      <c r="AJ91" s="2793">
        <f t="shared" si="161"/>
        <v>1.1133121871881431</v>
      </c>
      <c r="AK91" s="1782">
        <f t="shared" si="348"/>
        <v>23.311442033770774</v>
      </c>
      <c r="AL91" s="1782" t="e">
        <f t="shared" ref="AL91" si="349">SUM(AL90/AL87)</f>
        <v>#DIV/0!</v>
      </c>
      <c r="AM91" s="1782" t="e">
        <f t="shared" ref="AM91" si="350">SUM(AM90/AM87)</f>
        <v>#REF!</v>
      </c>
      <c r="AN91" s="1782" t="e">
        <f t="shared" ref="AN91" si="351">SUM(AN90/AN87)</f>
        <v>#REF!</v>
      </c>
      <c r="AO91" s="1782" t="e">
        <f t="shared" ref="AO91" si="352">SUM(AO90/AO87)</f>
        <v>#REF!</v>
      </c>
      <c r="AP91" s="1782">
        <f t="shared" ref="AP91" si="353">SUM(AP90/AP87)</f>
        <v>15.278116283802387</v>
      </c>
      <c r="AQ91" s="1782">
        <f t="shared" ref="AQ91" si="354">SUM(AQ90/AQ87)</f>
        <v>15.315700072145278</v>
      </c>
      <c r="AR91" s="1782">
        <f t="shared" ref="AR91" si="355">SUM(AR90/AR87)</f>
        <v>8.8221386930343364</v>
      </c>
      <c r="AS91" s="1782">
        <f t="shared" ref="AS91" si="356">SUM(AS90/AS87)</f>
        <v>12.540279443605042</v>
      </c>
      <c r="AT91" s="1782">
        <f t="shared" ref="AT91" si="357">SUM(AT90/AT87)</f>
        <v>12.578427562523808</v>
      </c>
      <c r="AU91" s="1782">
        <f t="shared" ref="AU91" si="358">SUM(AU90/AU87)</f>
        <v>7.3408931603297001</v>
      </c>
      <c r="AV91" s="1782">
        <f t="shared" ref="AV91" si="359">SUM(AV90/AV87)</f>
        <v>27.87426332756144</v>
      </c>
      <c r="AW91" s="2794">
        <f t="shared" si="163"/>
        <v>1.1915131503748178</v>
      </c>
      <c r="AX91" s="1782">
        <f t="shared" ref="AX91" si="360">SUM(AX90/AX87)</f>
        <v>27.990782116613989</v>
      </c>
      <c r="AY91" s="1782">
        <f t="shared" ref="AY91" si="361">SUM(AY90/AY87)</f>
        <v>13.538290888774496</v>
      </c>
      <c r="AZ91" s="1782">
        <f t="shared" ref="AZ91" si="362">SUM(AZ90/AZ87)</f>
        <v>24.649605133018714</v>
      </c>
      <c r="BA91" s="2794">
        <f t="shared" si="165"/>
        <v>1.0536719238961085</v>
      </c>
      <c r="BB91" s="1782">
        <f t="shared" ref="BB91" si="363">SUM(BB90/BB87)</f>
        <v>24.707920627112507</v>
      </c>
      <c r="BC91" s="1782">
        <f t="shared" ref="BC91:BE91" si="364">SUM(BC90/BC87)</f>
        <v>14.036986160323776</v>
      </c>
      <c r="BD91" s="1782">
        <f t="shared" si="364"/>
        <v>26.638731467357392</v>
      </c>
      <c r="BE91" s="1782">
        <f t="shared" si="364"/>
        <v>26.705515581220983</v>
      </c>
      <c r="BF91" s="1782">
        <f t="shared" ref="BF91:BH91" si="365">SUM(BF90/BF87)</f>
        <v>16.804358353510896</v>
      </c>
      <c r="BG91" s="1782">
        <f t="shared" si="365"/>
        <v>24.892469318053873</v>
      </c>
      <c r="BH91" s="1782">
        <f t="shared" si="365"/>
        <v>24.945778924514645</v>
      </c>
      <c r="BI91" s="1782">
        <f t="shared" ref="BI91:BK91" si="366">SUM(BI90/BI87)</f>
        <v>16.077523413111344</v>
      </c>
      <c r="BJ91" s="1782">
        <f t="shared" si="366"/>
        <v>35.935427971670677</v>
      </c>
      <c r="BK91" s="1782">
        <f t="shared" si="366"/>
        <v>36.005993808049539</v>
      </c>
      <c r="BL91" s="1782">
        <f t="shared" ref="BL91:BN91" si="367">SUM(BL90/BL87)</f>
        <v>23.894875858425781</v>
      </c>
      <c r="BM91" s="1782">
        <f t="shared" si="367"/>
        <v>31.963060416669283</v>
      </c>
      <c r="BN91" s="1782">
        <f t="shared" si="367"/>
        <v>32.063137290101395</v>
      </c>
      <c r="BO91" s="1782">
        <f t="shared" ref="BO91" si="368">SUM(BO90/BO87)</f>
        <v>14.95563602439384</v>
      </c>
      <c r="BP91" s="1972"/>
    </row>
    <row r="92" spans="1:68" ht="20.25" hidden="1" customHeight="1" x14ac:dyDescent="0.3">
      <c r="A92" s="1757" t="s">
        <v>320</v>
      </c>
      <c r="B92" s="1778"/>
      <c r="C92" s="1778"/>
      <c r="D92" s="1778"/>
      <c r="E92" s="1778"/>
      <c r="F92" s="1778"/>
      <c r="G92" s="1778"/>
      <c r="H92" s="1778"/>
      <c r="I92" s="1778"/>
      <c r="J92" s="1778"/>
      <c r="K92" s="1778"/>
      <c r="L92" s="1778"/>
      <c r="M92" s="1778"/>
      <c r="N92" s="1778"/>
      <c r="O92" s="1778"/>
      <c r="P92" s="1778"/>
      <c r="Q92" s="1778"/>
      <c r="R92" s="1778"/>
      <c r="S92" s="1778"/>
      <c r="T92" s="1778"/>
      <c r="U92" s="1778"/>
      <c r="V92" s="1778"/>
      <c r="W92" s="1776">
        <f>SUM(W60)</f>
        <v>4947</v>
      </c>
      <c r="X92" s="1778"/>
      <c r="Y92" s="1776">
        <f t="shared" ref="Y92:AE92" si="369">SUM(Y60)</f>
        <v>4947</v>
      </c>
      <c r="Z92" s="1776">
        <f t="shared" si="369"/>
        <v>4947</v>
      </c>
      <c r="AA92" s="1776">
        <f t="shared" si="369"/>
        <v>0</v>
      </c>
      <c r="AB92" s="1776">
        <f t="shared" si="369"/>
        <v>1044.8800000000001</v>
      </c>
      <c r="AC92" s="1776">
        <f t="shared" si="369"/>
        <v>1044.8800000000001</v>
      </c>
      <c r="AD92" s="1776">
        <f t="shared" si="369"/>
        <v>0</v>
      </c>
      <c r="AE92" s="1776">
        <f t="shared" si="369"/>
        <v>5656.1</v>
      </c>
      <c r="AF92" s="2793">
        <f t="shared" si="159"/>
        <v>1.1433393976147161</v>
      </c>
      <c r="AG92" s="1776">
        <f t="shared" ref="AG92:AI92" si="370">SUM(AG60)</f>
        <v>5656.1</v>
      </c>
      <c r="AH92" s="1776">
        <f t="shared" si="370"/>
        <v>0</v>
      </c>
      <c r="AI92" s="1776">
        <f t="shared" si="370"/>
        <v>3568.1</v>
      </c>
      <c r="AJ92" s="2793">
        <f t="shared" si="161"/>
        <v>0.72126541338184758</v>
      </c>
      <c r="AK92" s="1776">
        <f t="shared" ref="AK92:AV92" si="371">SUM(AK60)</f>
        <v>3568.1</v>
      </c>
      <c r="AL92" s="1776">
        <f t="shared" si="371"/>
        <v>0</v>
      </c>
      <c r="AM92" s="1776" t="e">
        <f t="shared" si="371"/>
        <v>#REF!</v>
      </c>
      <c r="AN92" s="1776" t="e">
        <f t="shared" si="371"/>
        <v>#REF!</v>
      </c>
      <c r="AO92" s="1776" t="e">
        <f t="shared" si="371"/>
        <v>#REF!</v>
      </c>
      <c r="AP92" s="1776">
        <f t="shared" si="371"/>
        <v>0</v>
      </c>
      <c r="AQ92" s="1776">
        <f t="shared" si="371"/>
        <v>0</v>
      </c>
      <c r="AR92" s="1776">
        <f t="shared" si="371"/>
        <v>0</v>
      </c>
      <c r="AS92" s="1776">
        <f t="shared" si="371"/>
        <v>0</v>
      </c>
      <c r="AT92" s="1776">
        <f t="shared" si="371"/>
        <v>0</v>
      </c>
      <c r="AU92" s="1776">
        <f t="shared" si="371"/>
        <v>0</v>
      </c>
      <c r="AV92" s="1776">
        <f t="shared" si="371"/>
        <v>0.9</v>
      </c>
      <c r="AW92" s="2794">
        <f t="shared" si="163"/>
        <v>2.5223508309744685E-4</v>
      </c>
      <c r="AX92" s="1776">
        <f t="shared" ref="AX92:AZ92" si="372">SUM(AX60)</f>
        <v>0.9</v>
      </c>
      <c r="AY92" s="1776">
        <f t="shared" si="372"/>
        <v>0</v>
      </c>
      <c r="AZ92" s="1776">
        <f t="shared" si="372"/>
        <v>0.9</v>
      </c>
      <c r="BA92" s="2794">
        <f t="shared" si="165"/>
        <v>2.5223508309744685E-4</v>
      </c>
      <c r="BB92" s="1776">
        <f t="shared" ref="BB92:BD92" si="373">SUM(BB60)</f>
        <v>0.9</v>
      </c>
      <c r="BC92" s="1776">
        <f t="shared" si="373"/>
        <v>0</v>
      </c>
      <c r="BD92" s="1776">
        <f t="shared" si="373"/>
        <v>0</v>
      </c>
      <c r="BE92" s="1776">
        <f t="shared" ref="BE92:BG92" si="374">SUM(BE60)</f>
        <v>0</v>
      </c>
      <c r="BF92" s="1776">
        <f t="shared" si="374"/>
        <v>0</v>
      </c>
      <c r="BG92" s="1776">
        <f t="shared" si="374"/>
        <v>0</v>
      </c>
      <c r="BH92" s="1776">
        <f t="shared" ref="BH92:BJ92" si="375">SUM(BH60)</f>
        <v>0</v>
      </c>
      <c r="BI92" s="1776">
        <f t="shared" si="375"/>
        <v>0</v>
      </c>
      <c r="BJ92" s="1776">
        <f t="shared" si="375"/>
        <v>0</v>
      </c>
      <c r="BK92" s="1776">
        <f t="shared" ref="BK92:BM92" si="376">SUM(BK60)</f>
        <v>0</v>
      </c>
      <c r="BL92" s="1776">
        <f t="shared" si="376"/>
        <v>0</v>
      </c>
      <c r="BM92" s="1776">
        <f t="shared" si="376"/>
        <v>0</v>
      </c>
      <c r="BN92" s="1776">
        <f t="shared" ref="BN92:BO92" si="377">SUM(BN60)</f>
        <v>0</v>
      </c>
      <c r="BO92" s="1776">
        <f t="shared" si="377"/>
        <v>0</v>
      </c>
      <c r="BP92" s="1972"/>
    </row>
    <row r="93" spans="1:68" ht="20.25" hidden="1" customHeight="1" x14ac:dyDescent="0.3">
      <c r="A93" s="1673" t="s">
        <v>539</v>
      </c>
      <c r="B93" s="1778"/>
      <c r="C93" s="1778"/>
      <c r="D93" s="1778"/>
      <c r="E93" s="1778"/>
      <c r="F93" s="1778"/>
      <c r="G93" s="1778"/>
      <c r="H93" s="1778"/>
      <c r="I93" s="1778"/>
      <c r="J93" s="1778"/>
      <c r="K93" s="1778"/>
      <c r="L93" s="1778"/>
      <c r="M93" s="1778"/>
      <c r="N93" s="1778"/>
      <c r="O93" s="1778"/>
      <c r="P93" s="1778"/>
      <c r="Q93" s="1778"/>
      <c r="R93" s="1778"/>
      <c r="S93" s="1778"/>
      <c r="T93" s="1778"/>
      <c r="U93" s="1778"/>
      <c r="V93" s="1778"/>
      <c r="W93" s="1776">
        <f>SUM(W90+W92)</f>
        <v>100981.68000000001</v>
      </c>
      <c r="X93" s="1778"/>
      <c r="Y93" s="1776">
        <f t="shared" ref="Y93:AE93" si="378">SUM(Y90+Y92)</f>
        <v>82121.362445693521</v>
      </c>
      <c r="Z93" s="1776">
        <f t="shared" si="378"/>
        <v>81792.21173857752</v>
      </c>
      <c r="AA93" s="1776">
        <f t="shared" si="378"/>
        <v>329.45070711599271</v>
      </c>
      <c r="AB93" s="1776">
        <f t="shared" si="378"/>
        <v>71942.549500000008</v>
      </c>
      <c r="AC93" s="1776">
        <f t="shared" si="378"/>
        <v>71565.813541510855</v>
      </c>
      <c r="AD93" s="1776">
        <f t="shared" si="378"/>
        <v>376.73595848915204</v>
      </c>
      <c r="AE93" s="1776">
        <f t="shared" si="378"/>
        <v>95429.989999999991</v>
      </c>
      <c r="AF93" s="2793">
        <f t="shared" si="159"/>
        <v>1.1620604816816988</v>
      </c>
      <c r="AG93" s="1776">
        <f t="shared" ref="AG93" si="379">SUM(AG90+AG92)</f>
        <v>95515.939999999988</v>
      </c>
      <c r="AH93" s="1776">
        <f t="shared" ref="AH93" si="380">SUM(AH90+AH92)</f>
        <v>353.42</v>
      </c>
      <c r="AI93" s="1776">
        <f t="shared" ref="AI93:AK93" si="381">SUM(AI90+AI92)</f>
        <v>88832.226139106962</v>
      </c>
      <c r="AJ93" s="2793">
        <f t="shared" si="161"/>
        <v>1.0817188547967809</v>
      </c>
      <c r="AK93" s="1776">
        <f t="shared" si="381"/>
        <v>88531.312780484339</v>
      </c>
      <c r="AL93" s="1776">
        <f t="shared" ref="AL93" si="382">SUM(AL90+AL92)</f>
        <v>300.91335862265248</v>
      </c>
      <c r="AM93" s="1776" t="e">
        <f t="shared" ref="AM93" si="383">SUM(AM90+AM92)</f>
        <v>#REF!</v>
      </c>
      <c r="AN93" s="1776" t="e">
        <f t="shared" ref="AN93" si="384">SUM(AN90+AN92)</f>
        <v>#REF!</v>
      </c>
      <c r="AO93" s="1776" t="e">
        <f t="shared" ref="AO93" si="385">SUM(AO90+AO92)</f>
        <v>#REF!</v>
      </c>
      <c r="AP93" s="1776">
        <f t="shared" ref="AP93" si="386">SUM(AP90+AP92)</f>
        <v>25525.759999999998</v>
      </c>
      <c r="AQ93" s="1776">
        <f t="shared" ref="AQ93" si="387">SUM(AQ90+AQ92)</f>
        <v>25440.449918838356</v>
      </c>
      <c r="AR93" s="1776">
        <f t="shared" ref="AR93" si="388">SUM(AR90+AR92)</f>
        <v>85.310081161642032</v>
      </c>
      <c r="AS93" s="1776">
        <f t="shared" ref="AS93" si="389">SUM(AS90+AS92)</f>
        <v>40253.670000000006</v>
      </c>
      <c r="AT93" s="1776">
        <f t="shared" ref="AT93" si="390">SUM(AT90+AT92)</f>
        <v>40082.03991791149</v>
      </c>
      <c r="AU93" s="1776">
        <f t="shared" ref="AU93" si="391">SUM(AU90+AU92)</f>
        <v>171.63008208850837</v>
      </c>
      <c r="AV93" s="1776">
        <f t="shared" ref="AV93" si="392">SUM(AV90+AV92)</f>
        <v>96808.216536620879</v>
      </c>
      <c r="AW93" s="2794">
        <f t="shared" si="163"/>
        <v>1.0897871273092257</v>
      </c>
      <c r="AX93" s="1776">
        <f t="shared" ref="AX93" si="393">SUM(AX90+AX92)</f>
        <v>96429.144391735186</v>
      </c>
      <c r="AY93" s="1776">
        <f t="shared" ref="AY93" si="394">SUM(AY90+AY92)</f>
        <v>379.07214488568587</v>
      </c>
      <c r="AZ93" s="1776">
        <f t="shared" ref="AZ93" si="395">SUM(AZ90+AZ92)</f>
        <v>85385.406708417504</v>
      </c>
      <c r="BA93" s="2794">
        <f t="shared" si="165"/>
        <v>0.9611985471883604</v>
      </c>
      <c r="BB93" s="1776">
        <f t="shared" ref="BB93" si="396">SUM(BB90+BB92)</f>
        <v>85119.686560402581</v>
      </c>
      <c r="BC93" s="1776">
        <f t="shared" ref="BC93:BE93" si="397">SUM(BC90+BC92)</f>
        <v>265.72014801492907</v>
      </c>
      <c r="BD93" s="1776">
        <f t="shared" si="397"/>
        <v>81554.209999999992</v>
      </c>
      <c r="BE93" s="1776">
        <f t="shared" si="397"/>
        <v>81207.200000000012</v>
      </c>
      <c r="BF93" s="1776">
        <f t="shared" ref="BF93:BH93" si="398">SUM(BF90+BF92)</f>
        <v>347.01</v>
      </c>
      <c r="BG93" s="1776">
        <f t="shared" si="398"/>
        <v>79589.19</v>
      </c>
      <c r="BH93" s="1776">
        <f t="shared" si="398"/>
        <v>79280.179999999993</v>
      </c>
      <c r="BI93" s="1776">
        <f t="shared" ref="BI93:BK93" si="399">SUM(BI90+BI92)</f>
        <v>309.01</v>
      </c>
      <c r="BJ93" s="1776">
        <f t="shared" si="399"/>
        <v>116751.69000000002</v>
      </c>
      <c r="BK93" s="1776">
        <f t="shared" si="399"/>
        <v>116299.36</v>
      </c>
      <c r="BL93" s="1776">
        <f t="shared" ref="BL93:BN93" si="400">SUM(BL90+BL92)</f>
        <v>452.33000000000004</v>
      </c>
      <c r="BM93" s="1776">
        <f t="shared" si="400"/>
        <v>96528.558904823658</v>
      </c>
      <c r="BN93" s="1776">
        <f t="shared" si="400"/>
        <v>96264.34266839271</v>
      </c>
      <c r="BO93" s="1776">
        <f t="shared" ref="BO93" si="401">SUM(BO90+BO92)</f>
        <v>264.21623643095785</v>
      </c>
      <c r="BP93" s="1972"/>
    </row>
    <row r="94" spans="1:68" ht="20.25" hidden="1" customHeight="1" x14ac:dyDescent="0.3">
      <c r="A94" s="1673" t="s">
        <v>321</v>
      </c>
      <c r="B94" s="1778"/>
      <c r="C94" s="1778"/>
      <c r="D94" s="1778"/>
      <c r="E94" s="1778"/>
      <c r="F94" s="1778"/>
      <c r="G94" s="1778"/>
      <c r="H94" s="1778"/>
      <c r="I94" s="1778"/>
      <c r="J94" s="1778"/>
      <c r="K94" s="1778"/>
      <c r="L94" s="1778"/>
      <c r="M94" s="1778"/>
      <c r="N94" s="1778"/>
      <c r="O94" s="1778"/>
      <c r="P94" s="1778"/>
      <c r="Q94" s="1778"/>
      <c r="R94" s="1778"/>
      <c r="S94" s="1778"/>
      <c r="T94" s="1778"/>
      <c r="U94" s="1778"/>
      <c r="V94" s="1778"/>
      <c r="W94" s="1782">
        <f>SUM(W93/W87)</f>
        <v>28.050466666666669</v>
      </c>
      <c r="X94" s="1778"/>
      <c r="Y94" s="1782">
        <f t="shared" ref="Y94:AE94" si="402">SUM(Y93/Y87)</f>
        <v>22.359942942710681</v>
      </c>
      <c r="Z94" s="1782">
        <f t="shared" si="402"/>
        <v>22.441411292720257</v>
      </c>
      <c r="AA94" s="1782">
        <f t="shared" si="402"/>
        <v>11.766096682714025</v>
      </c>
      <c r="AB94" s="1782">
        <f t="shared" si="402"/>
        <v>20.6957452102871</v>
      </c>
      <c r="AC94" s="1782">
        <f t="shared" si="402"/>
        <v>20.767792670200482</v>
      </c>
      <c r="AD94" s="1782">
        <f t="shared" si="402"/>
        <v>12.474700612223577</v>
      </c>
      <c r="AE94" s="1782">
        <f t="shared" si="402"/>
        <v>25.983606066381679</v>
      </c>
      <c r="AF94" s="2793">
        <f t="shared" si="159"/>
        <v>1.1620604816816988</v>
      </c>
      <c r="AG94" s="1782">
        <f t="shared" ref="AG94" si="403">SUM(AG93/AG87)</f>
        <v>26.206804400910908</v>
      </c>
      <c r="AH94" s="1782">
        <f t="shared" ref="AH94" si="404">SUM(AH93/AH87)</f>
        <v>12.622142857142858</v>
      </c>
      <c r="AI94" s="1782">
        <f t="shared" ref="AI94:AK94" si="405">SUM(AI93/AI87)</f>
        <v>24.372987115292606</v>
      </c>
      <c r="AJ94" s="2793">
        <f t="shared" si="161"/>
        <v>1.0900290388817013</v>
      </c>
      <c r="AK94" s="1782">
        <f t="shared" si="405"/>
        <v>24.2904252148282</v>
      </c>
      <c r="AL94" s="1782" t="e">
        <f t="shared" ref="AL94" si="406">SUM(AL93/AL87)</f>
        <v>#DIV/0!</v>
      </c>
      <c r="AM94" s="1782" t="e">
        <f t="shared" ref="AM94" si="407">SUM(AM93/AM87)</f>
        <v>#REF!</v>
      </c>
      <c r="AN94" s="1782" t="e">
        <f t="shared" ref="AN94" si="408">SUM(AN93/AN87)</f>
        <v>#REF!</v>
      </c>
      <c r="AO94" s="1782" t="e">
        <f t="shared" ref="AO94" si="409">SUM(AO93/AO87)</f>
        <v>#REF!</v>
      </c>
      <c r="AP94" s="1782">
        <f t="shared" ref="AP94" si="410">SUM(AP93/AP87)</f>
        <v>15.278116283802387</v>
      </c>
      <c r="AQ94" s="1782">
        <f t="shared" ref="AQ94" si="411">SUM(AQ93/AQ87)</f>
        <v>15.315700072145278</v>
      </c>
      <c r="AR94" s="1782">
        <f t="shared" ref="AR94" si="412">SUM(AR93/AR87)</f>
        <v>8.8221386930343364</v>
      </c>
      <c r="AS94" s="1782">
        <f t="shared" ref="AS94" si="413">SUM(AS93/AS87)</f>
        <v>12.540279443605042</v>
      </c>
      <c r="AT94" s="1782">
        <f t="shared" ref="AT94" si="414">SUM(AT93/AT87)</f>
        <v>12.578427562523808</v>
      </c>
      <c r="AU94" s="1782">
        <f t="shared" ref="AU94" si="415">SUM(AU93/AU87)</f>
        <v>7.3408931603297001</v>
      </c>
      <c r="AV94" s="1782">
        <f t="shared" ref="AV94" si="416">SUM(AV93/AV87)</f>
        <v>27.874522469513643</v>
      </c>
      <c r="AW94" s="2794">
        <f t="shared" si="163"/>
        <v>1.1436645962867651</v>
      </c>
      <c r="AX94" s="1782">
        <f t="shared" ref="AX94" si="417">SUM(AX93/AX87)</f>
        <v>27.991043364799765</v>
      </c>
      <c r="AY94" s="1782">
        <f t="shared" ref="AY94" si="418">SUM(AY93/AY87)</f>
        <v>13.538290888774496</v>
      </c>
      <c r="AZ94" s="1782">
        <f t="shared" ref="AZ94" si="419">SUM(AZ93/AZ87)</f>
        <v>24.649864953511621</v>
      </c>
      <c r="BA94" s="2794">
        <f t="shared" si="165"/>
        <v>1.0113600289086146</v>
      </c>
      <c r="BB94" s="1782">
        <f t="shared" ref="BB94" si="420">SUM(BB93/BB87)</f>
        <v>24.708181875298283</v>
      </c>
      <c r="BC94" s="1782">
        <f t="shared" ref="BC94:BE94" si="421">SUM(BC93/BC87)</f>
        <v>14.036986160323776</v>
      </c>
      <c r="BD94" s="1782">
        <f t="shared" si="421"/>
        <v>26.638731467357392</v>
      </c>
      <c r="BE94" s="1782">
        <f t="shared" si="421"/>
        <v>26.705515581220983</v>
      </c>
      <c r="BF94" s="1782">
        <f t="shared" ref="BF94:BH94" si="422">SUM(BF93/BF87)</f>
        <v>16.804358353510896</v>
      </c>
      <c r="BG94" s="1782">
        <f t="shared" si="422"/>
        <v>24.892469318053873</v>
      </c>
      <c r="BH94" s="1782">
        <f t="shared" si="422"/>
        <v>24.945778924514645</v>
      </c>
      <c r="BI94" s="1782">
        <f t="shared" ref="BI94:BK94" si="423">SUM(BI93/BI87)</f>
        <v>16.077523413111344</v>
      </c>
      <c r="BJ94" s="1782">
        <f t="shared" si="423"/>
        <v>35.935427971670677</v>
      </c>
      <c r="BK94" s="1782">
        <f t="shared" si="423"/>
        <v>36.005993808049539</v>
      </c>
      <c r="BL94" s="1782">
        <f t="shared" ref="BL94:BN94" si="424">SUM(BL93/BL87)</f>
        <v>23.894875858425781</v>
      </c>
      <c r="BM94" s="1782">
        <f t="shared" si="424"/>
        <v>31.963060416669283</v>
      </c>
      <c r="BN94" s="1782">
        <f t="shared" si="424"/>
        <v>32.063137290101395</v>
      </c>
      <c r="BO94" s="1782">
        <f t="shared" ref="BO94" si="425">SUM(BO93/BO87)</f>
        <v>14.95563602439384</v>
      </c>
      <c r="BP94" s="1972"/>
    </row>
    <row r="95" spans="1:68" ht="20.25" customHeight="1" x14ac:dyDescent="0.35">
      <c r="A95" s="371"/>
      <c r="B95" s="929"/>
      <c r="C95" s="929"/>
      <c r="D95" s="929"/>
      <c r="E95" s="929"/>
      <c r="F95" s="929"/>
      <c r="G95" s="929"/>
      <c r="H95" s="929"/>
      <c r="I95" s="930"/>
      <c r="J95" s="105"/>
      <c r="K95" s="105"/>
      <c r="L95" s="105"/>
      <c r="M95" s="105"/>
      <c r="N95" s="931"/>
      <c r="O95" s="932"/>
      <c r="P95" s="933"/>
      <c r="Q95" s="931"/>
      <c r="R95" s="105"/>
      <c r="S95" s="930"/>
      <c r="T95" s="930"/>
      <c r="U95" s="930"/>
      <c r="V95" s="930"/>
      <c r="W95" s="934"/>
      <c r="X95" s="930"/>
      <c r="Y95" s="934"/>
      <c r="Z95" s="934"/>
      <c r="AA95" s="934"/>
      <c r="AB95" s="934"/>
      <c r="AC95" s="934"/>
      <c r="AD95" s="934"/>
      <c r="AE95" s="934"/>
      <c r="AF95" s="934"/>
      <c r="AG95" s="934"/>
      <c r="AH95" s="934"/>
      <c r="AI95" s="934"/>
      <c r="AJ95" s="934"/>
      <c r="AK95" s="935"/>
      <c r="AL95" s="935"/>
      <c r="AM95" s="936"/>
      <c r="AN95" s="937"/>
      <c r="AO95" s="936"/>
      <c r="AP95" s="936"/>
      <c r="AQ95" s="936"/>
      <c r="AR95" s="936"/>
      <c r="AS95" s="936"/>
      <c r="AT95" s="936"/>
      <c r="AU95" s="936"/>
      <c r="AV95" s="936"/>
      <c r="AW95" s="1447"/>
      <c r="AX95" s="936"/>
      <c r="AY95" s="936"/>
      <c r="AZ95" s="936"/>
      <c r="BA95" s="1447"/>
      <c r="BB95" s="936"/>
      <c r="BC95" s="936"/>
      <c r="BD95" s="936"/>
      <c r="BE95" s="936"/>
      <c r="BF95" s="936"/>
      <c r="BG95" s="936"/>
      <c r="BH95" s="936"/>
      <c r="BI95" s="936"/>
      <c r="BJ95" s="936"/>
      <c r="BK95" s="936"/>
      <c r="BL95" s="936"/>
      <c r="BM95" s="936"/>
      <c r="BN95" s="936"/>
      <c r="BO95" s="936"/>
      <c r="BP95" s="105"/>
    </row>
    <row r="96" spans="1:68" ht="20.25" customHeight="1" x14ac:dyDescent="0.35">
      <c r="A96" s="371"/>
      <c r="B96" s="929"/>
      <c r="C96" s="929"/>
      <c r="D96" s="929"/>
      <c r="E96" s="929"/>
      <c r="F96" s="929"/>
      <c r="G96" s="929"/>
      <c r="H96" s="929"/>
      <c r="I96" s="930"/>
      <c r="J96" s="105"/>
      <c r="K96" s="105"/>
      <c r="L96" s="105"/>
      <c r="M96" s="105"/>
      <c r="N96" s="931"/>
      <c r="O96" s="932"/>
      <c r="P96" s="933"/>
      <c r="Q96" s="931"/>
      <c r="R96" s="105"/>
      <c r="S96" s="930"/>
      <c r="T96" s="930"/>
      <c r="U96" s="930"/>
      <c r="V96" s="930"/>
      <c r="W96" s="934"/>
      <c r="X96" s="930"/>
      <c r="Y96" s="934"/>
      <c r="Z96" s="934"/>
      <c r="AA96" s="934"/>
      <c r="AB96" s="934"/>
      <c r="AC96" s="934"/>
      <c r="AD96" s="934"/>
      <c r="AE96" s="934"/>
      <c r="AF96" s="934"/>
      <c r="AG96" s="934"/>
      <c r="AH96" s="934"/>
      <c r="AI96" s="934"/>
      <c r="AJ96" s="934"/>
      <c r="AK96" s="935"/>
      <c r="AL96" s="935"/>
      <c r="AM96" s="936"/>
      <c r="AN96" s="937"/>
      <c r="AO96" s="936"/>
      <c r="AP96" s="936"/>
      <c r="AQ96" s="936"/>
      <c r="AR96" s="936"/>
      <c r="AS96" s="936"/>
      <c r="AT96" s="936"/>
      <c r="AU96" s="936"/>
      <c r="AV96" s="936"/>
      <c r="AW96" s="1447"/>
      <c r="AX96" s="936">
        <f>BB96</f>
        <v>24.29</v>
      </c>
      <c r="AY96" s="936"/>
      <c r="AZ96" s="936"/>
      <c r="BA96" s="1447"/>
      <c r="BB96" s="936">
        <f>BB64</f>
        <v>24.29</v>
      </c>
      <c r="BC96" s="936"/>
      <c r="BD96" s="936"/>
      <c r="BE96" s="936"/>
      <c r="BF96" s="936"/>
      <c r="BG96" s="936"/>
      <c r="BH96" s="936"/>
      <c r="BI96" s="936"/>
      <c r="BJ96" s="936"/>
      <c r="BK96" s="936"/>
      <c r="BL96" s="936"/>
      <c r="BM96" s="936"/>
      <c r="BN96" s="936"/>
      <c r="BO96" s="936"/>
      <c r="BP96" s="105"/>
    </row>
    <row r="97" spans="1:68" ht="20.25" customHeight="1" x14ac:dyDescent="0.35">
      <c r="A97" s="371"/>
      <c r="B97" s="929"/>
      <c r="C97" s="929"/>
      <c r="D97" s="929"/>
      <c r="E97" s="929"/>
      <c r="F97" s="929"/>
      <c r="G97" s="929"/>
      <c r="H97" s="929"/>
      <c r="I97" s="930"/>
      <c r="J97" s="105"/>
      <c r="K97" s="105"/>
      <c r="L97" s="105"/>
      <c r="M97" s="105"/>
      <c r="N97" s="931"/>
      <c r="O97" s="932"/>
      <c r="P97" s="933"/>
      <c r="Q97" s="931"/>
      <c r="R97" s="105"/>
      <c r="S97" s="930"/>
      <c r="T97" s="930"/>
      <c r="U97" s="930"/>
      <c r="V97" s="930"/>
      <c r="W97" s="934"/>
      <c r="X97" s="930"/>
      <c r="Y97" s="934"/>
      <c r="Z97" s="934"/>
      <c r="AA97" s="934"/>
      <c r="AB97" s="934"/>
      <c r="AC97" s="934"/>
      <c r="AD97" s="934"/>
      <c r="AE97" s="934"/>
      <c r="AF97" s="934"/>
      <c r="AG97" s="934"/>
      <c r="AH97" s="934"/>
      <c r="AI97" s="934"/>
      <c r="AJ97" s="934"/>
      <c r="AK97" s="935"/>
      <c r="AL97" s="935"/>
      <c r="AM97" s="936"/>
      <c r="AN97" s="937"/>
      <c r="AO97" s="936"/>
      <c r="AP97" s="936"/>
      <c r="AQ97" s="936"/>
      <c r="AR97" s="936"/>
      <c r="AS97" s="936"/>
      <c r="AT97" s="936"/>
      <c r="AU97" s="936"/>
      <c r="AV97" s="936"/>
      <c r="AW97" s="1447"/>
      <c r="AX97" s="936">
        <f>AX94*2-AX96</f>
        <v>31.692086729599531</v>
      </c>
      <c r="AY97" s="936"/>
      <c r="AZ97" s="936"/>
      <c r="BA97" s="1447"/>
      <c r="BB97" s="936">
        <f>BB94*2-BB96</f>
        <v>25.126363750596568</v>
      </c>
      <c r="BC97" s="936"/>
      <c r="BD97" s="936"/>
      <c r="BE97" s="936"/>
      <c r="BF97" s="936"/>
      <c r="BG97" s="936"/>
      <c r="BH97" s="936"/>
      <c r="BI97" s="936"/>
      <c r="BJ97" s="936"/>
      <c r="BK97" s="936"/>
      <c r="BL97" s="1846" t="s">
        <v>2045</v>
      </c>
      <c r="BM97" s="936"/>
      <c r="BN97" s="936">
        <f>BN75+BN76+BN77+BN78+BN79+BN81</f>
        <v>80511.434001577523</v>
      </c>
      <c r="BO97" s="936">
        <f>BO75+BO76+BO77+BO78+BO79+BO81</f>
        <v>213.10499531289966</v>
      </c>
      <c r="BP97" s="105"/>
    </row>
    <row r="98" spans="1:68" ht="20.25" customHeight="1" x14ac:dyDescent="0.35">
      <c r="A98" s="371"/>
      <c r="B98" s="929"/>
      <c r="C98" s="929"/>
      <c r="D98" s="929"/>
      <c r="E98" s="929"/>
      <c r="F98" s="929"/>
      <c r="G98" s="929"/>
      <c r="H98" s="929"/>
      <c r="I98" s="930"/>
      <c r="J98" s="105"/>
      <c r="K98" s="105"/>
      <c r="L98" s="105"/>
      <c r="M98" s="105"/>
      <c r="N98" s="931"/>
      <c r="O98" s="932"/>
      <c r="P98" s="933"/>
      <c r="Q98" s="931"/>
      <c r="R98" s="105"/>
      <c r="S98" s="930"/>
      <c r="T98" s="930"/>
      <c r="U98" s="930"/>
      <c r="V98" s="930"/>
      <c r="W98" s="934"/>
      <c r="X98" s="930"/>
      <c r="Y98" s="934"/>
      <c r="Z98" s="934"/>
      <c r="AA98" s="934"/>
      <c r="AB98" s="934"/>
      <c r="AC98" s="934"/>
      <c r="AD98" s="934"/>
      <c r="AE98" s="934"/>
      <c r="AF98" s="934"/>
      <c r="AG98" s="934"/>
      <c r="AH98" s="934"/>
      <c r="AI98" s="934"/>
      <c r="AJ98" s="934"/>
      <c r="AK98" s="935"/>
      <c r="AL98" s="935"/>
      <c r="AM98" s="936"/>
      <c r="AN98" s="937"/>
      <c r="AO98" s="936"/>
      <c r="AP98" s="936"/>
      <c r="AQ98" s="936"/>
      <c r="AR98" s="936"/>
      <c r="AS98" s="936"/>
      <c r="AT98" s="936"/>
      <c r="AU98" s="936"/>
      <c r="AV98" s="936"/>
      <c r="AW98" s="1447"/>
      <c r="AX98" s="1440">
        <f>AX97/AX96</f>
        <v>1.304738029213649</v>
      </c>
      <c r="AY98" s="936"/>
      <c r="AZ98" s="936"/>
      <c r="BA98" s="1447"/>
      <c r="BB98" s="1440">
        <f>BB97/BB96</f>
        <v>1.0344324310661412</v>
      </c>
      <c r="BC98" s="936"/>
      <c r="BD98" s="936"/>
      <c r="BE98" s="936"/>
      <c r="BF98" s="936"/>
      <c r="BG98" s="936"/>
      <c r="BH98" s="936"/>
      <c r="BI98" s="936"/>
      <c r="BJ98" s="936"/>
      <c r="BK98" s="936"/>
      <c r="BL98" s="1846" t="s">
        <v>2046</v>
      </c>
      <c r="BM98" s="936"/>
      <c r="BN98" s="936">
        <f>BN73</f>
        <v>8882.0761197497486</v>
      </c>
      <c r="BO98" s="936">
        <f>BO73</f>
        <v>42.193680383698222</v>
      </c>
      <c r="BP98" s="105"/>
    </row>
    <row r="99" spans="1:68" ht="24" customHeight="1" x14ac:dyDescent="0.35">
      <c r="A99" s="371"/>
      <c r="B99" s="2808"/>
      <c r="C99" s="2808"/>
      <c r="D99" s="2808"/>
      <c r="E99" s="2808"/>
      <c r="F99" s="2808"/>
      <c r="G99" s="2808"/>
      <c r="H99" s="2808"/>
      <c r="I99" s="930"/>
      <c r="J99" s="105"/>
      <c r="K99" s="105"/>
      <c r="L99" s="105"/>
      <c r="M99" s="105"/>
      <c r="N99" s="931"/>
      <c r="O99" s="932"/>
      <c r="P99" s="933"/>
      <c r="Q99" s="931"/>
      <c r="R99" s="105"/>
      <c r="S99" s="930"/>
      <c r="T99" s="930"/>
      <c r="U99" s="930"/>
      <c r="V99" s="930"/>
      <c r="W99" s="934"/>
      <c r="X99" s="930"/>
      <c r="Y99" s="934"/>
      <c r="Z99" s="938"/>
      <c r="AA99" s="402"/>
      <c r="AB99" s="402"/>
      <c r="AC99" s="402"/>
      <c r="AD99" s="402"/>
      <c r="AE99" s="402"/>
      <c r="AF99" s="402"/>
      <c r="AG99" s="402"/>
      <c r="AH99" s="402"/>
      <c r="AI99" s="402"/>
      <c r="AJ99" s="402"/>
      <c r="AK99" s="402"/>
      <c r="AL99" s="938"/>
      <c r="AM99" s="936"/>
      <c r="AN99" s="937"/>
      <c r="AO99" s="936"/>
      <c r="AP99" s="936"/>
      <c r="AQ99" s="936"/>
      <c r="AR99" s="936"/>
      <c r="AS99" s="936"/>
      <c r="AT99" s="936"/>
      <c r="AU99" s="936"/>
      <c r="AV99" s="936"/>
      <c r="AW99" s="1447"/>
      <c r="AX99" s="936"/>
      <c r="AY99" s="936"/>
      <c r="AZ99" s="936"/>
      <c r="BA99" s="1447"/>
      <c r="BB99" s="936"/>
      <c r="BC99" s="936"/>
      <c r="BD99" s="936"/>
      <c r="BE99" s="936"/>
      <c r="BF99" s="936"/>
      <c r="BG99" s="936"/>
      <c r="BH99" s="936"/>
      <c r="BI99" s="936"/>
      <c r="BJ99" s="936"/>
      <c r="BK99" s="936"/>
      <c r="BL99" s="1846" t="s">
        <v>2047</v>
      </c>
      <c r="BM99" s="936"/>
      <c r="BN99" s="936"/>
      <c r="BO99" s="936"/>
      <c r="BP99" s="105"/>
    </row>
    <row r="100" spans="1:68" ht="18.75" x14ac:dyDescent="0.3">
      <c r="A100" s="4000"/>
      <c r="B100" s="4000"/>
      <c r="C100" s="4000"/>
      <c r="D100" s="4000"/>
      <c r="E100" s="4000"/>
      <c r="F100" s="4000"/>
      <c r="G100" s="4000"/>
      <c r="H100" s="4000"/>
      <c r="I100" s="105"/>
      <c r="J100" s="105"/>
      <c r="K100" s="4000"/>
      <c r="L100" s="4000"/>
      <c r="M100" s="4000"/>
      <c r="N100" s="4000"/>
      <c r="O100" s="4000"/>
      <c r="P100" s="4000"/>
      <c r="Q100" s="4000"/>
      <c r="R100" s="4000"/>
      <c r="S100" s="4000"/>
      <c r="T100" s="105"/>
      <c r="U100" s="105"/>
      <c r="V100" s="105"/>
      <c r="W100" s="105"/>
      <c r="X100" s="105"/>
      <c r="Y100" s="105"/>
      <c r="Z100" s="2809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2810"/>
      <c r="AX100" s="105"/>
      <c r="AY100" s="105"/>
      <c r="AZ100" s="105"/>
      <c r="BA100" s="2810"/>
      <c r="BB100" s="105"/>
      <c r="BC100" s="402"/>
      <c r="BD100" s="402"/>
      <c r="BE100" s="402"/>
      <c r="BF100" s="402"/>
      <c r="BG100" s="402"/>
      <c r="BH100" s="402"/>
      <c r="BI100" s="402"/>
      <c r="BJ100" s="402"/>
      <c r="BK100" s="402"/>
      <c r="BL100" s="1846" t="s">
        <v>2048</v>
      </c>
      <c r="BM100" s="402"/>
      <c r="BN100" s="639">
        <f>BN84</f>
        <v>517.29666900000007</v>
      </c>
      <c r="BO100" s="639">
        <f>BO84</f>
        <v>0</v>
      </c>
      <c r="BP100" s="402"/>
    </row>
    <row r="101" spans="1:68" ht="15.75" x14ac:dyDescent="0.25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930"/>
      <c r="M101" s="930"/>
      <c r="N101" s="930"/>
      <c r="O101" s="930"/>
      <c r="P101" s="930"/>
      <c r="Q101" s="930"/>
      <c r="R101" s="930"/>
      <c r="S101" s="9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2810"/>
      <c r="AX101" s="105"/>
      <c r="AY101" s="105"/>
      <c r="AZ101" s="105"/>
      <c r="BA101" s="2810"/>
      <c r="BB101" s="105"/>
      <c r="BC101" s="402"/>
      <c r="BD101" s="402"/>
      <c r="BE101" s="402"/>
      <c r="BF101" s="402"/>
      <c r="BG101" s="402"/>
      <c r="BH101" s="402"/>
      <c r="BI101" s="402"/>
      <c r="BJ101" s="402"/>
      <c r="BK101" s="402"/>
      <c r="BL101" s="1846" t="s">
        <v>2049</v>
      </c>
      <c r="BM101" s="402"/>
      <c r="BN101" s="639">
        <f>BN80</f>
        <v>1003.7504477745384</v>
      </c>
      <c r="BO101" s="639">
        <f>BO80</f>
        <v>5.9141725252489437</v>
      </c>
      <c r="BP101" s="402"/>
    </row>
    <row r="102" spans="1:68" ht="15.75" x14ac:dyDescent="0.25">
      <c r="A102" s="27"/>
      <c r="B102" s="105"/>
      <c r="C102" s="105"/>
      <c r="D102" s="105"/>
      <c r="E102" s="2811"/>
      <c r="F102" s="2811"/>
      <c r="G102" s="2811"/>
      <c r="H102" s="2811"/>
      <c r="I102" s="105"/>
      <c r="J102" s="105"/>
      <c r="K102" s="2812"/>
      <c r="L102" s="2813"/>
      <c r="M102" s="105"/>
      <c r="N102" s="105"/>
      <c r="O102" s="2811"/>
      <c r="P102" s="2811"/>
      <c r="Q102" s="2811"/>
      <c r="R102" s="2811"/>
      <c r="S102" s="2811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2810"/>
      <c r="AX102" s="105"/>
      <c r="AY102" s="105"/>
      <c r="AZ102" s="105"/>
      <c r="BA102" s="2810"/>
      <c r="BB102" s="105"/>
      <c r="BC102" s="402"/>
      <c r="BD102" s="402"/>
      <c r="BE102" s="402"/>
      <c r="BF102" s="402"/>
      <c r="BG102" s="402"/>
      <c r="BH102" s="402"/>
      <c r="BI102" s="402"/>
      <c r="BJ102" s="402"/>
      <c r="BK102" s="402"/>
      <c r="BL102" s="1846" t="s">
        <v>2050</v>
      </c>
      <c r="BM102" s="402"/>
      <c r="BN102" s="639">
        <f>BN83</f>
        <v>105.48881849999999</v>
      </c>
      <c r="BO102" s="639">
        <f>BO83</f>
        <v>0</v>
      </c>
      <c r="BP102" s="402"/>
    </row>
    <row r="103" spans="1:68" ht="15.75" x14ac:dyDescent="0.25">
      <c r="A103" s="27"/>
      <c r="B103" s="105"/>
      <c r="C103" s="105"/>
      <c r="D103" s="105"/>
      <c r="E103" s="2811"/>
      <c r="F103" s="2811"/>
      <c r="G103" s="2811"/>
      <c r="H103" s="2811"/>
      <c r="I103" s="105"/>
      <c r="J103" s="105"/>
      <c r="K103" s="2812"/>
      <c r="L103" s="2813"/>
      <c r="M103" s="105"/>
      <c r="N103" s="105"/>
      <c r="O103" s="2811"/>
      <c r="P103" s="2811"/>
      <c r="Q103" s="2811"/>
      <c r="R103" s="2811"/>
      <c r="S103" s="2811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2810"/>
      <c r="AX103" s="105"/>
      <c r="AY103" s="105"/>
      <c r="AZ103" s="105"/>
      <c r="BA103" s="2810"/>
      <c r="BB103" s="105"/>
      <c r="BC103" s="402"/>
      <c r="BD103" s="402"/>
      <c r="BE103" s="402"/>
      <c r="BF103" s="402"/>
      <c r="BG103" s="402"/>
      <c r="BH103" s="402"/>
      <c r="BI103" s="402"/>
      <c r="BJ103" s="402"/>
      <c r="BK103" s="402"/>
      <c r="BL103" s="1846" t="s">
        <v>2145</v>
      </c>
      <c r="BM103" s="402"/>
      <c r="BN103" s="639">
        <f>BN82</f>
        <v>241.01</v>
      </c>
      <c r="BO103" s="639">
        <f>BO82</f>
        <v>0</v>
      </c>
      <c r="BP103" s="402"/>
    </row>
    <row r="104" spans="1:68" ht="15.75" x14ac:dyDescent="0.25">
      <c r="A104" s="27"/>
      <c r="B104" s="105"/>
      <c r="C104" s="105"/>
      <c r="D104" s="105"/>
      <c r="E104" s="2811"/>
      <c r="F104" s="2811"/>
      <c r="G104" s="2811"/>
      <c r="H104" s="2811"/>
      <c r="I104" s="105"/>
      <c r="J104" s="105"/>
      <c r="K104" s="2812"/>
      <c r="L104" s="2811"/>
      <c r="M104" s="105"/>
      <c r="N104" s="105"/>
      <c r="O104" s="2811"/>
      <c r="P104" s="2811"/>
      <c r="Q104" s="2811"/>
      <c r="R104" s="2811"/>
      <c r="S104" s="2811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2811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2810"/>
      <c r="AX104" s="105"/>
      <c r="AY104" s="105"/>
      <c r="AZ104" s="105"/>
      <c r="BA104" s="2810"/>
      <c r="BB104" s="105"/>
      <c r="BC104" s="402"/>
      <c r="BD104" s="402"/>
      <c r="BE104" s="402"/>
      <c r="BF104" s="402"/>
      <c r="BG104" s="402"/>
      <c r="BH104" s="402"/>
      <c r="BI104" s="402"/>
      <c r="BJ104" s="402"/>
      <c r="BK104" s="402"/>
      <c r="BL104" s="1846" t="s">
        <v>2</v>
      </c>
      <c r="BM104" s="402"/>
      <c r="BN104" s="639">
        <f>BN74</f>
        <v>5003.2866117908889</v>
      </c>
      <c r="BO104" s="639">
        <f>BO74</f>
        <v>3.0033882091110118</v>
      </c>
      <c r="BP104" s="402"/>
    </row>
    <row r="105" spans="1:68" ht="15.75" x14ac:dyDescent="0.25">
      <c r="A105" s="27"/>
      <c r="B105" s="105"/>
      <c r="C105" s="105"/>
      <c r="D105" s="105"/>
      <c r="E105" s="2811"/>
      <c r="F105" s="2811"/>
      <c r="G105" s="2811"/>
      <c r="H105" s="2811"/>
      <c r="I105" s="105"/>
      <c r="J105" s="105"/>
      <c r="K105" s="2812"/>
      <c r="L105" s="2811"/>
      <c r="M105" s="105"/>
      <c r="N105" s="105"/>
      <c r="O105" s="2811"/>
      <c r="P105" s="2811"/>
      <c r="Q105" s="2811"/>
      <c r="R105" s="2811"/>
      <c r="S105" s="2811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2811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2810"/>
      <c r="AX105" s="105"/>
      <c r="AY105" s="105"/>
      <c r="AZ105" s="105"/>
      <c r="BA105" s="2810"/>
      <c r="BB105" s="105"/>
      <c r="BC105" s="402"/>
      <c r="BD105" s="402"/>
      <c r="BE105" s="402"/>
      <c r="BF105" s="402"/>
      <c r="BG105" s="402"/>
      <c r="BH105" s="402"/>
      <c r="BI105" s="402"/>
      <c r="BJ105" s="402"/>
      <c r="BK105" s="402"/>
      <c r="BL105" s="1846"/>
      <c r="BM105" s="402"/>
      <c r="BN105" s="3009">
        <f>SUM(BN97:BN104)</f>
        <v>96264.342668392695</v>
      </c>
      <c r="BO105" s="3009">
        <f>SUM(BO97:BO104)</f>
        <v>264.21623643095779</v>
      </c>
      <c r="BP105" s="402"/>
    </row>
    <row r="106" spans="1:68" ht="20.25" x14ac:dyDescent="0.3">
      <c r="A106" s="105"/>
      <c r="B106" s="105"/>
      <c r="C106" s="105"/>
      <c r="D106" s="105"/>
      <c r="E106" s="105"/>
      <c r="F106" s="105"/>
      <c r="G106" s="2814"/>
      <c r="H106" s="105"/>
      <c r="I106" s="105"/>
      <c r="J106" s="105"/>
      <c r="K106" s="105"/>
      <c r="L106" s="105"/>
      <c r="M106" s="105"/>
      <c r="N106" s="105"/>
      <c r="O106" s="105"/>
      <c r="P106" s="2815"/>
      <c r="Q106" s="2816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2810"/>
      <c r="AX106" s="105"/>
      <c r="AY106" s="105"/>
      <c r="AZ106" s="105"/>
      <c r="BA106" s="2810"/>
      <c r="BB106" s="105"/>
      <c r="BC106" s="402"/>
      <c r="BD106" s="402"/>
      <c r="BE106" s="402"/>
      <c r="BF106" s="402"/>
      <c r="BG106" s="402"/>
      <c r="BH106" s="402"/>
      <c r="BI106" s="402"/>
      <c r="BJ106" s="402"/>
      <c r="BK106" s="402"/>
      <c r="BL106" s="402"/>
      <c r="BM106" s="402"/>
      <c r="BN106" s="402"/>
      <c r="BO106" s="402"/>
      <c r="BP106" s="402"/>
    </row>
    <row r="107" spans="1:68" x14ac:dyDescent="0.2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2817"/>
      <c r="Q107" s="105"/>
      <c r="R107" s="105"/>
      <c r="S107" s="105"/>
      <c r="T107" s="105"/>
      <c r="U107" s="105"/>
      <c r="V107" s="105"/>
      <c r="W107" s="105"/>
      <c r="X107" s="2811"/>
      <c r="Y107" s="2811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2810"/>
      <c r="AX107" s="105"/>
      <c r="AY107" s="105"/>
      <c r="AZ107" s="105"/>
      <c r="BA107" s="2810"/>
      <c r="BB107" s="105"/>
      <c r="BC107" s="402"/>
      <c r="BD107" s="402"/>
      <c r="BE107" s="402"/>
      <c r="BF107" s="402"/>
      <c r="BG107" s="402"/>
      <c r="BH107" s="402"/>
      <c r="BI107" s="402"/>
      <c r="BJ107" s="402"/>
      <c r="BK107" s="402"/>
      <c r="BL107" s="402"/>
      <c r="BM107" s="402"/>
      <c r="BN107" s="402"/>
      <c r="BO107" s="402"/>
      <c r="BP107" s="639"/>
    </row>
    <row r="108" spans="1:68" x14ac:dyDescent="0.2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2811"/>
      <c r="R108" s="105"/>
      <c r="S108" s="105"/>
      <c r="T108" s="105"/>
      <c r="U108" s="105"/>
      <c r="V108" s="105"/>
      <c r="W108" s="105"/>
      <c r="X108" s="2811"/>
      <c r="Y108" s="2811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2810"/>
      <c r="AX108" s="105"/>
      <c r="AY108" s="105"/>
      <c r="AZ108" s="105"/>
      <c r="BA108" s="2810"/>
      <c r="BB108" s="105"/>
      <c r="BC108" s="402"/>
      <c r="BD108" s="402"/>
      <c r="BE108" s="402"/>
      <c r="BF108" s="402"/>
      <c r="BG108" s="402"/>
      <c r="BH108" s="402"/>
      <c r="BI108" s="402"/>
      <c r="BJ108" s="402"/>
      <c r="BK108" s="402"/>
      <c r="BL108" s="402"/>
      <c r="BM108" s="402"/>
      <c r="BN108" s="402"/>
      <c r="BO108" s="402"/>
      <c r="BP108" s="639"/>
    </row>
    <row r="109" spans="1:68" x14ac:dyDescent="0.2">
      <c r="A109" s="27"/>
      <c r="B109" s="105"/>
      <c r="C109" s="105"/>
      <c r="D109" s="105"/>
      <c r="E109" s="105"/>
      <c r="F109" s="105"/>
      <c r="G109" s="105"/>
      <c r="H109" s="2818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2811"/>
      <c r="Y109" s="2811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2810"/>
      <c r="AX109" s="105"/>
      <c r="AY109" s="105"/>
      <c r="AZ109" s="105"/>
      <c r="BA109" s="2810"/>
      <c r="BB109" s="105"/>
      <c r="BC109" s="402"/>
      <c r="BD109" s="402"/>
      <c r="BE109" s="402"/>
      <c r="BF109" s="402"/>
      <c r="BG109" s="402"/>
      <c r="BH109" s="402"/>
      <c r="BI109" s="402"/>
      <c r="BJ109" s="402"/>
      <c r="BK109" s="402"/>
      <c r="BL109" s="402"/>
      <c r="BM109" s="402"/>
      <c r="BN109" s="402"/>
      <c r="BO109" s="402"/>
      <c r="BP109" s="639"/>
    </row>
    <row r="110" spans="1:68" x14ac:dyDescent="0.2">
      <c r="A110" s="27"/>
      <c r="B110" s="105"/>
      <c r="C110" s="105"/>
      <c r="D110" s="105"/>
      <c r="E110" s="2811"/>
      <c r="F110" s="2811"/>
      <c r="G110" s="2811"/>
      <c r="H110" s="2811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2816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2810"/>
      <c r="AX110" s="105"/>
      <c r="AY110" s="105"/>
      <c r="AZ110" s="105"/>
      <c r="BA110" s="2810"/>
      <c r="BB110" s="105"/>
      <c r="BC110" s="402"/>
      <c r="BD110" s="402"/>
      <c r="BE110" s="402"/>
      <c r="BF110" s="402"/>
      <c r="BG110" s="402"/>
      <c r="BH110" s="402"/>
      <c r="BI110" s="402"/>
      <c r="BJ110" s="402"/>
      <c r="BK110" s="402"/>
      <c r="BL110" s="402"/>
      <c r="BM110" s="402"/>
      <c r="BN110" s="402"/>
      <c r="BO110" s="402"/>
      <c r="BP110" s="402"/>
    </row>
    <row r="111" spans="1:68" x14ac:dyDescent="0.2">
      <c r="A111" s="27"/>
      <c r="B111" s="105"/>
      <c r="C111" s="105"/>
      <c r="D111" s="105"/>
      <c r="E111" s="2811"/>
      <c r="F111" s="2811"/>
      <c r="G111" s="2811"/>
      <c r="H111" s="2811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2811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2810"/>
      <c r="AX111" s="105"/>
      <c r="AY111" s="105"/>
      <c r="AZ111" s="105"/>
      <c r="BA111" s="2810"/>
      <c r="BB111" s="105"/>
      <c r="BC111" s="402"/>
      <c r="BD111" s="402"/>
      <c r="BE111" s="402"/>
      <c r="BF111" s="402"/>
      <c r="BG111" s="402"/>
      <c r="BH111" s="402"/>
      <c r="BI111" s="402"/>
      <c r="BJ111" s="402"/>
      <c r="BK111" s="402"/>
      <c r="BL111" s="402"/>
      <c r="BM111" s="402"/>
      <c r="BN111" s="402"/>
      <c r="BO111" s="402"/>
      <c r="BP111" s="402"/>
    </row>
    <row r="112" spans="1:68" ht="20.25" x14ac:dyDescent="0.3">
      <c r="A112" s="105"/>
      <c r="B112" s="105"/>
      <c r="C112" s="105"/>
      <c r="D112" s="105"/>
      <c r="E112" s="105"/>
      <c r="F112" s="105"/>
      <c r="G112" s="281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2810"/>
      <c r="AX112" s="105"/>
      <c r="AY112" s="105"/>
      <c r="AZ112" s="105"/>
      <c r="BA112" s="2810"/>
      <c r="BB112" s="105"/>
      <c r="BC112" s="402"/>
      <c r="BD112" s="402"/>
      <c r="BE112" s="402"/>
      <c r="BF112" s="402"/>
      <c r="BG112" s="402"/>
      <c r="BH112" s="402"/>
      <c r="BI112" s="402"/>
      <c r="BJ112" s="402"/>
      <c r="BK112" s="402"/>
      <c r="BL112" s="402"/>
      <c r="BM112" s="402"/>
      <c r="BN112" s="402"/>
      <c r="BO112" s="402"/>
      <c r="BP112" s="402"/>
    </row>
    <row r="113" spans="1:68" x14ac:dyDescent="0.2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2810"/>
      <c r="AX113" s="105"/>
      <c r="AY113" s="105"/>
      <c r="AZ113" s="105"/>
      <c r="BA113" s="2810"/>
      <c r="BB113" s="105"/>
      <c r="BC113" s="402"/>
      <c r="BD113" s="402"/>
      <c r="BE113" s="402"/>
      <c r="BF113" s="402"/>
      <c r="BG113" s="402"/>
      <c r="BH113" s="402"/>
      <c r="BI113" s="402"/>
      <c r="BJ113" s="402"/>
      <c r="BK113" s="402"/>
      <c r="BL113" s="402"/>
      <c r="BM113" s="402"/>
      <c r="BN113" s="402"/>
      <c r="BO113" s="402"/>
      <c r="BP113" s="402"/>
    </row>
    <row r="114" spans="1:68" x14ac:dyDescent="0.2">
      <c r="A114" s="105"/>
      <c r="B114" s="105"/>
      <c r="C114" s="105"/>
      <c r="D114" s="105"/>
      <c r="E114" s="136"/>
      <c r="F114" s="136"/>
      <c r="G114" s="136"/>
      <c r="H114" s="4001"/>
      <c r="I114" s="4001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2811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2810"/>
      <c r="AX114" s="105"/>
      <c r="AY114" s="105"/>
      <c r="AZ114" s="105"/>
      <c r="BA114" s="2810"/>
      <c r="BB114" s="105"/>
      <c r="BC114" s="402"/>
      <c r="BD114" s="402"/>
      <c r="BE114" s="402"/>
      <c r="BF114" s="402"/>
      <c r="BG114" s="402"/>
      <c r="BH114" s="402"/>
      <c r="BI114" s="402"/>
      <c r="BJ114" s="402"/>
      <c r="BK114" s="402"/>
      <c r="BL114" s="402"/>
      <c r="BM114" s="402"/>
      <c r="BN114" s="402"/>
      <c r="BO114" s="402"/>
      <c r="BP114" s="402"/>
    </row>
    <row r="115" spans="1:68" x14ac:dyDescent="0.2">
      <c r="A115" s="105"/>
      <c r="B115" s="105"/>
      <c r="C115" s="105"/>
      <c r="D115" s="105"/>
      <c r="E115" s="2811"/>
      <c r="F115" s="105"/>
      <c r="G115" s="105"/>
      <c r="H115" s="4001"/>
      <c r="I115" s="4001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2810"/>
      <c r="AX115" s="105"/>
      <c r="AY115" s="105"/>
      <c r="AZ115" s="105"/>
      <c r="BA115" s="2810"/>
      <c r="BB115" s="105"/>
      <c r="BC115" s="402"/>
      <c r="BD115" s="402"/>
      <c r="BE115" s="402"/>
      <c r="BF115" s="402"/>
      <c r="BG115" s="402"/>
      <c r="BH115" s="402"/>
      <c r="BI115" s="402"/>
      <c r="BJ115" s="402"/>
      <c r="BK115" s="402"/>
      <c r="BL115" s="402"/>
      <c r="BM115" s="402"/>
      <c r="BN115" s="402"/>
      <c r="BO115" s="402"/>
      <c r="BP115" s="402"/>
    </row>
    <row r="116" spans="1:68" ht="31.5" customHeight="1" x14ac:dyDescent="0.2">
      <c r="A116" s="105"/>
      <c r="B116" s="105"/>
      <c r="C116" s="105"/>
      <c r="D116" s="105"/>
      <c r="E116" s="2811"/>
      <c r="F116" s="105"/>
      <c r="G116" s="2813"/>
      <c r="H116" s="4002"/>
      <c r="I116" s="4002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2810"/>
      <c r="AX116" s="105"/>
      <c r="AY116" s="105"/>
      <c r="AZ116" s="105"/>
      <c r="BA116" s="2810"/>
      <c r="BB116" s="105"/>
      <c r="BC116" s="402"/>
      <c r="BD116" s="402"/>
      <c r="BE116" s="402"/>
      <c r="BF116" s="402"/>
      <c r="BG116" s="402"/>
      <c r="BH116" s="402"/>
      <c r="BI116" s="402"/>
      <c r="BJ116" s="402"/>
      <c r="BK116" s="402"/>
      <c r="BL116" s="402"/>
      <c r="BM116" s="402"/>
      <c r="BN116" s="402"/>
      <c r="BO116" s="402"/>
      <c r="BP116" s="402"/>
    </row>
    <row r="117" spans="1:68" x14ac:dyDescent="0.2">
      <c r="A117" s="105"/>
      <c r="B117" s="105"/>
      <c r="C117" s="105"/>
      <c r="D117" s="105"/>
      <c r="E117" s="2811"/>
      <c r="F117" s="105"/>
      <c r="G117" s="105"/>
      <c r="H117" s="4001"/>
      <c r="I117" s="4001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2810"/>
      <c r="AX117" s="105"/>
      <c r="AY117" s="105"/>
      <c r="AZ117" s="105"/>
      <c r="BA117" s="2810"/>
      <c r="BB117" s="105"/>
      <c r="BC117" s="402"/>
      <c r="BD117" s="402"/>
      <c r="BE117" s="402"/>
      <c r="BF117" s="402"/>
      <c r="BG117" s="402"/>
      <c r="BH117" s="402"/>
      <c r="BI117" s="402"/>
      <c r="BJ117" s="402"/>
      <c r="BK117" s="402"/>
      <c r="BL117" s="402"/>
      <c r="BM117" s="402"/>
      <c r="BN117" s="402"/>
      <c r="BO117" s="402"/>
      <c r="BP117" s="402"/>
    </row>
    <row r="118" spans="1:68" x14ac:dyDescent="0.2">
      <c r="A118" s="105"/>
      <c r="B118" s="105"/>
      <c r="C118" s="105"/>
      <c r="D118" s="105"/>
      <c r="E118" s="2811"/>
      <c r="F118" s="105"/>
      <c r="G118" s="105"/>
      <c r="H118" s="4001"/>
      <c r="I118" s="4001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2811"/>
      <c r="U118" s="2811"/>
      <c r="V118" s="2811"/>
      <c r="W118" s="105"/>
      <c r="X118" s="105"/>
      <c r="Y118" s="2811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2810"/>
      <c r="AX118" s="105"/>
      <c r="AY118" s="105"/>
      <c r="AZ118" s="105"/>
      <c r="BA118" s="2810"/>
      <c r="BB118" s="105"/>
      <c r="BC118" s="402"/>
      <c r="BD118" s="402"/>
      <c r="BE118" s="402"/>
      <c r="BF118" s="402"/>
      <c r="BG118" s="402"/>
      <c r="BH118" s="402"/>
      <c r="BI118" s="402"/>
      <c r="BJ118" s="402"/>
      <c r="BK118" s="402"/>
      <c r="BL118" s="402"/>
      <c r="BM118" s="402"/>
      <c r="BN118" s="402"/>
      <c r="BO118" s="402"/>
      <c r="BP118" s="402"/>
    </row>
    <row r="119" spans="1:68" x14ac:dyDescent="0.2">
      <c r="A119" s="105"/>
      <c r="B119" s="105"/>
      <c r="C119" s="105"/>
      <c r="D119" s="105"/>
      <c r="E119" s="2811"/>
      <c r="F119" s="105"/>
      <c r="G119" s="105"/>
      <c r="H119" s="4001"/>
      <c r="I119" s="4001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2811"/>
      <c r="U119" s="105"/>
      <c r="V119" s="105"/>
      <c r="W119" s="105"/>
      <c r="X119" s="105"/>
      <c r="Y119" s="2811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2810"/>
      <c r="AX119" s="105"/>
      <c r="AY119" s="105"/>
      <c r="AZ119" s="105"/>
      <c r="BA119" s="2810"/>
      <c r="BB119" s="105"/>
      <c r="BC119" s="402"/>
      <c r="BD119" s="402"/>
      <c r="BE119" s="402"/>
      <c r="BF119" s="402"/>
      <c r="BG119" s="402"/>
      <c r="BH119" s="402"/>
      <c r="BI119" s="402"/>
      <c r="BJ119" s="402"/>
      <c r="BK119" s="402"/>
      <c r="BL119" s="402"/>
      <c r="BM119" s="402"/>
      <c r="BN119" s="402"/>
      <c r="BO119" s="402"/>
      <c r="BP119" s="402"/>
    </row>
    <row r="120" spans="1:68" x14ac:dyDescent="0.2">
      <c r="A120" s="105"/>
      <c r="B120" s="105"/>
      <c r="C120" s="105"/>
      <c r="D120" s="105"/>
      <c r="E120" s="2811"/>
      <c r="F120" s="105"/>
      <c r="G120" s="105"/>
      <c r="H120" s="4001"/>
      <c r="I120" s="4001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2811"/>
      <c r="U120" s="2811"/>
      <c r="V120" s="2811"/>
      <c r="W120" s="105"/>
      <c r="X120" s="105"/>
      <c r="Y120" s="2811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810"/>
      <c r="AX120" s="105"/>
      <c r="AY120" s="105"/>
      <c r="AZ120" s="105"/>
      <c r="BA120" s="2810"/>
      <c r="BB120" s="105"/>
      <c r="BC120" s="402"/>
      <c r="BD120" s="402"/>
      <c r="BE120" s="402"/>
      <c r="BF120" s="402"/>
      <c r="BG120" s="402"/>
      <c r="BH120" s="402"/>
      <c r="BI120" s="402"/>
      <c r="BJ120" s="402"/>
      <c r="BK120" s="402"/>
      <c r="BL120" s="402"/>
      <c r="BM120" s="402"/>
      <c r="BN120" s="402"/>
      <c r="BO120" s="402"/>
      <c r="BP120" s="402"/>
    </row>
    <row r="121" spans="1:68" x14ac:dyDescent="0.2">
      <c r="A121" s="105"/>
      <c r="B121" s="105"/>
      <c r="C121" s="105"/>
      <c r="D121" s="105"/>
      <c r="E121" s="2811"/>
      <c r="F121" s="105"/>
      <c r="G121" s="105"/>
      <c r="H121" s="4001"/>
      <c r="I121" s="4001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810"/>
      <c r="AX121" s="105"/>
      <c r="AY121" s="105"/>
      <c r="AZ121" s="105"/>
      <c r="BA121" s="2810"/>
      <c r="BB121" s="105"/>
      <c r="BC121" s="402"/>
      <c r="BD121" s="402"/>
      <c r="BE121" s="402"/>
      <c r="BF121" s="402"/>
      <c r="BG121" s="402"/>
      <c r="BH121" s="402"/>
      <c r="BI121" s="402"/>
      <c r="BJ121" s="402"/>
      <c r="BK121" s="402"/>
      <c r="BL121" s="402"/>
      <c r="BM121" s="402"/>
      <c r="BN121" s="402"/>
      <c r="BO121" s="402"/>
      <c r="BP121" s="402"/>
    </row>
    <row r="122" spans="1:68" x14ac:dyDescent="0.2">
      <c r="A122" s="105"/>
      <c r="B122" s="105"/>
      <c r="C122" s="105"/>
      <c r="D122" s="105"/>
      <c r="E122" s="2811"/>
      <c r="F122" s="105"/>
      <c r="G122" s="105"/>
      <c r="H122" s="4001"/>
      <c r="I122" s="4001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810"/>
      <c r="AX122" s="105"/>
      <c r="AY122" s="105"/>
      <c r="AZ122" s="105"/>
      <c r="BA122" s="2810"/>
      <c r="BB122" s="105"/>
      <c r="BC122" s="402"/>
      <c r="BD122" s="402"/>
      <c r="BE122" s="402"/>
      <c r="BF122" s="402"/>
      <c r="BG122" s="402"/>
      <c r="BH122" s="402"/>
      <c r="BI122" s="402"/>
      <c r="BJ122" s="402"/>
      <c r="BK122" s="402"/>
      <c r="BL122" s="402"/>
      <c r="BM122" s="402"/>
      <c r="BN122" s="402"/>
      <c r="BO122" s="402"/>
      <c r="BP122" s="402"/>
    </row>
    <row r="123" spans="1:68" x14ac:dyDescent="0.2">
      <c r="A123" s="105"/>
      <c r="B123" s="105"/>
      <c r="C123" s="105"/>
      <c r="D123" s="105"/>
      <c r="E123" s="2811"/>
      <c r="F123" s="105"/>
      <c r="G123" s="105"/>
      <c r="H123" s="4001"/>
      <c r="I123" s="4001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810"/>
      <c r="AX123" s="105"/>
      <c r="AY123" s="105"/>
      <c r="AZ123" s="105"/>
      <c r="BA123" s="2810"/>
      <c r="BB123" s="105"/>
      <c r="BC123" s="402"/>
      <c r="BD123" s="402"/>
      <c r="BE123" s="402"/>
      <c r="BF123" s="402"/>
      <c r="BG123" s="402"/>
      <c r="BH123" s="402"/>
      <c r="BI123" s="402"/>
      <c r="BJ123" s="402"/>
      <c r="BK123" s="402"/>
      <c r="BL123" s="402"/>
      <c r="BM123" s="402"/>
      <c r="BN123" s="402"/>
      <c r="BO123" s="402"/>
      <c r="BP123" s="402"/>
    </row>
    <row r="124" spans="1:68" x14ac:dyDescent="0.2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810"/>
      <c r="AX124" s="105"/>
      <c r="AY124" s="105"/>
      <c r="AZ124" s="105"/>
      <c r="BA124" s="2810"/>
      <c r="BB124" s="105"/>
      <c r="BC124" s="402"/>
      <c r="BD124" s="402"/>
      <c r="BE124" s="402"/>
      <c r="BF124" s="402"/>
      <c r="BG124" s="402"/>
      <c r="BH124" s="402"/>
      <c r="BI124" s="402"/>
      <c r="BJ124" s="402"/>
      <c r="BK124" s="402"/>
      <c r="BL124" s="402"/>
      <c r="BM124" s="402"/>
      <c r="BN124" s="402"/>
      <c r="BO124" s="402"/>
      <c r="BP124" s="402"/>
    </row>
    <row r="125" spans="1:68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819"/>
      <c r="AX125" s="29"/>
      <c r="AY125" s="29"/>
      <c r="AZ125" s="29"/>
      <c r="BA125" s="2819"/>
      <c r="BB125" s="29"/>
    </row>
    <row r="126" spans="1:68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819"/>
      <c r="AX126" s="29"/>
      <c r="AY126" s="29"/>
      <c r="AZ126" s="29"/>
      <c r="BA126" s="2819"/>
      <c r="BB126" s="29"/>
    </row>
    <row r="127" spans="1:68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819"/>
      <c r="AX127" s="29"/>
      <c r="AY127" s="29"/>
      <c r="AZ127" s="29"/>
      <c r="BA127" s="2819"/>
      <c r="BB127" s="29"/>
    </row>
    <row r="128" spans="1:68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819"/>
      <c r="AX128" s="29"/>
      <c r="AY128" s="29"/>
      <c r="AZ128" s="29"/>
      <c r="BA128" s="2819"/>
      <c r="BB128" s="29"/>
    </row>
    <row r="129" spans="1:54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819"/>
      <c r="AX129" s="29"/>
      <c r="AY129" s="29"/>
      <c r="AZ129" s="29"/>
      <c r="BA129" s="2819"/>
      <c r="BB129" s="29"/>
    </row>
    <row r="130" spans="1:54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819"/>
      <c r="AX130" s="29"/>
      <c r="AY130" s="29"/>
      <c r="AZ130" s="29"/>
      <c r="BA130" s="2819"/>
      <c r="BB130" s="29"/>
    </row>
    <row r="131" spans="1:54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819"/>
      <c r="AX131" s="29"/>
      <c r="AY131" s="29"/>
      <c r="AZ131" s="29"/>
      <c r="BA131" s="2819"/>
      <c r="BB131" s="29"/>
    </row>
    <row r="132" spans="1:54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819"/>
      <c r="AX132" s="29"/>
      <c r="AY132" s="29"/>
      <c r="AZ132" s="29"/>
      <c r="BA132" s="2819"/>
      <c r="BB132" s="29"/>
    </row>
    <row r="133" spans="1:54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819"/>
      <c r="AX133" s="29"/>
      <c r="AY133" s="29"/>
      <c r="AZ133" s="29"/>
      <c r="BA133" s="2819"/>
      <c r="BB133" s="29"/>
    </row>
    <row r="134" spans="1:54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819"/>
      <c r="AX134" s="29"/>
      <c r="AY134" s="29"/>
      <c r="AZ134" s="29"/>
      <c r="BA134" s="2819"/>
      <c r="BB134" s="29"/>
    </row>
    <row r="135" spans="1:54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819"/>
      <c r="AX135" s="29"/>
      <c r="AY135" s="29"/>
      <c r="AZ135" s="29"/>
      <c r="BA135" s="2819"/>
      <c r="BB135" s="29"/>
    </row>
    <row r="136" spans="1:54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819"/>
      <c r="AX136" s="29"/>
      <c r="AY136" s="29"/>
      <c r="AZ136" s="29"/>
      <c r="BA136" s="2819"/>
      <c r="BB136" s="29"/>
    </row>
    <row r="137" spans="1:54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819"/>
      <c r="AX137" s="29"/>
      <c r="AY137" s="29"/>
      <c r="AZ137" s="29"/>
      <c r="BA137" s="2819"/>
      <c r="BB137" s="29"/>
    </row>
    <row r="138" spans="1:54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819"/>
      <c r="AX138" s="29"/>
      <c r="AY138" s="29"/>
      <c r="AZ138" s="29"/>
      <c r="BA138" s="2819"/>
      <c r="BB138" s="29"/>
    </row>
    <row r="139" spans="1:54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819"/>
      <c r="AX139" s="29"/>
      <c r="AY139" s="29"/>
      <c r="AZ139" s="29"/>
      <c r="BA139" s="2819"/>
      <c r="BB139" s="29"/>
    </row>
    <row r="140" spans="1:54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819"/>
      <c r="AX140" s="29"/>
      <c r="AY140" s="29"/>
      <c r="AZ140" s="29"/>
      <c r="BA140" s="2819"/>
      <c r="BB140" s="29"/>
    </row>
    <row r="141" spans="1:54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819"/>
      <c r="AX141" s="29"/>
      <c r="AY141" s="29"/>
      <c r="AZ141" s="29"/>
      <c r="BA141" s="2819"/>
      <c r="BB141" s="29"/>
    </row>
    <row r="142" spans="1:54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819"/>
      <c r="AX142" s="29"/>
      <c r="AY142" s="29"/>
      <c r="AZ142" s="29"/>
      <c r="BA142" s="2819"/>
      <c r="BB142" s="29"/>
    </row>
    <row r="143" spans="1:54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819"/>
      <c r="AX143" s="29"/>
      <c r="AY143" s="29"/>
      <c r="AZ143" s="29"/>
      <c r="BA143" s="2819"/>
      <c r="BB143" s="29"/>
    </row>
    <row r="144" spans="1:54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819"/>
      <c r="AX144" s="29"/>
      <c r="AY144" s="29"/>
      <c r="AZ144" s="29"/>
      <c r="BA144" s="2819"/>
      <c r="BB144" s="29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819"/>
      <c r="AX145" s="29"/>
      <c r="AY145" s="29"/>
      <c r="AZ145" s="29"/>
      <c r="BA145" s="2819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819"/>
      <c r="AX146" s="29"/>
      <c r="AY146" s="29"/>
      <c r="AZ146" s="29"/>
      <c r="BA146" s="2819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819"/>
      <c r="AX147" s="29"/>
      <c r="AY147" s="29"/>
      <c r="AZ147" s="29"/>
      <c r="BA147" s="2819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819"/>
      <c r="AX148" s="29"/>
      <c r="AY148" s="29"/>
      <c r="AZ148" s="29"/>
      <c r="BA148" s="2819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819"/>
      <c r="AX149" s="29"/>
      <c r="AY149" s="29"/>
      <c r="AZ149" s="29"/>
      <c r="BA149" s="2819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819"/>
      <c r="AX150" s="29"/>
      <c r="AY150" s="29"/>
      <c r="AZ150" s="29"/>
      <c r="BA150" s="2819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819"/>
      <c r="AX151" s="29"/>
      <c r="AY151" s="29"/>
      <c r="AZ151" s="29"/>
      <c r="BA151" s="2819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819"/>
      <c r="AX152" s="29"/>
      <c r="AY152" s="29"/>
      <c r="AZ152" s="29"/>
      <c r="BA152" s="2819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819"/>
      <c r="AX153" s="29"/>
      <c r="AY153" s="29"/>
      <c r="AZ153" s="29"/>
      <c r="BA153" s="2819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819"/>
      <c r="AX154" s="29"/>
      <c r="AY154" s="29"/>
      <c r="AZ154" s="29"/>
      <c r="BA154" s="2819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819"/>
      <c r="AX155" s="29"/>
      <c r="AY155" s="29"/>
      <c r="AZ155" s="29"/>
      <c r="BA155" s="2819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819"/>
      <c r="AX156" s="29"/>
      <c r="AY156" s="29"/>
      <c r="AZ156" s="29"/>
      <c r="BA156" s="2819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819"/>
      <c r="AX157" s="29"/>
      <c r="AY157" s="29"/>
      <c r="AZ157" s="29"/>
      <c r="BA157" s="2819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819"/>
      <c r="AX158" s="29"/>
      <c r="AY158" s="29"/>
      <c r="AZ158" s="29"/>
      <c r="BA158" s="2819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819"/>
      <c r="AX159" s="29"/>
      <c r="AY159" s="29"/>
      <c r="AZ159" s="29"/>
      <c r="BA159" s="2819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819"/>
      <c r="AX160" s="29"/>
      <c r="AY160" s="29"/>
      <c r="AZ160" s="29"/>
      <c r="BA160" s="2819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819"/>
      <c r="AX161" s="29"/>
      <c r="AY161" s="29"/>
      <c r="AZ161" s="29"/>
      <c r="BA161" s="2819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819"/>
      <c r="AX162" s="29"/>
      <c r="AY162" s="29"/>
      <c r="AZ162" s="29"/>
      <c r="BA162" s="2819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819"/>
      <c r="AX163" s="29"/>
      <c r="AY163" s="29"/>
      <c r="AZ163" s="29"/>
      <c r="BA163" s="2819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819"/>
      <c r="AX164" s="29"/>
      <c r="AY164" s="29"/>
      <c r="AZ164" s="29"/>
      <c r="BA164" s="2819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819"/>
      <c r="AX165" s="29"/>
      <c r="AY165" s="29"/>
      <c r="AZ165" s="29"/>
      <c r="BA165" s="2819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819"/>
      <c r="AX166" s="29"/>
      <c r="AY166" s="29"/>
      <c r="AZ166" s="29"/>
      <c r="BA166" s="2819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819"/>
      <c r="AX167" s="29"/>
      <c r="AY167" s="29"/>
      <c r="AZ167" s="29"/>
      <c r="BA167" s="2819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819"/>
      <c r="AX168" s="29"/>
      <c r="AY168" s="29"/>
      <c r="AZ168" s="29"/>
      <c r="BA168" s="2819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819"/>
      <c r="AX169" s="29"/>
      <c r="AY169" s="29"/>
      <c r="AZ169" s="29"/>
      <c r="BA169" s="2819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819"/>
      <c r="AX170" s="29"/>
      <c r="AY170" s="29"/>
      <c r="AZ170" s="29"/>
      <c r="BA170" s="2819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819"/>
      <c r="AX171" s="29"/>
      <c r="AY171" s="29"/>
      <c r="AZ171" s="29"/>
      <c r="BA171" s="2819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819"/>
      <c r="AX172" s="29"/>
      <c r="AY172" s="29"/>
      <c r="AZ172" s="29"/>
      <c r="BA172" s="2819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819"/>
      <c r="AX173" s="29"/>
      <c r="AY173" s="29"/>
      <c r="AZ173" s="29"/>
      <c r="BA173" s="2819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819"/>
      <c r="AX174" s="29"/>
      <c r="AY174" s="29"/>
      <c r="AZ174" s="29"/>
      <c r="BA174" s="2819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819"/>
      <c r="AX175" s="29"/>
      <c r="AY175" s="29"/>
      <c r="AZ175" s="29"/>
      <c r="BA175" s="2819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819"/>
      <c r="AX176" s="29"/>
      <c r="AY176" s="29"/>
      <c r="AZ176" s="29"/>
      <c r="BA176" s="2819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819"/>
      <c r="AX177" s="29"/>
      <c r="AY177" s="29"/>
      <c r="AZ177" s="29"/>
      <c r="BA177" s="2819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819"/>
      <c r="AX178" s="29"/>
      <c r="AY178" s="29"/>
      <c r="AZ178" s="29"/>
      <c r="BA178" s="2819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819"/>
      <c r="AX179" s="29"/>
      <c r="AY179" s="29"/>
      <c r="AZ179" s="29"/>
      <c r="BA179" s="2819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819"/>
      <c r="AX180" s="29"/>
      <c r="AY180" s="29"/>
      <c r="AZ180" s="29"/>
      <c r="BA180" s="2819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819"/>
      <c r="AX181" s="29"/>
      <c r="AY181" s="29"/>
      <c r="AZ181" s="29"/>
      <c r="BA181" s="2819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819"/>
      <c r="AX182" s="29"/>
      <c r="AY182" s="29"/>
      <c r="AZ182" s="29"/>
      <c r="BA182" s="2819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819"/>
      <c r="AX183" s="29"/>
      <c r="AY183" s="29"/>
      <c r="AZ183" s="29"/>
      <c r="BA183" s="2819"/>
      <c r="BB183" s="29"/>
    </row>
  </sheetData>
  <mergeCells count="166">
    <mergeCell ref="BG4:BI4"/>
    <mergeCell ref="BG5:BI5"/>
    <mergeCell ref="BJ6:BJ7"/>
    <mergeCell ref="BK6:BL6"/>
    <mergeCell ref="BM5:BO5"/>
    <mergeCell ref="BM6:BM7"/>
    <mergeCell ref="BN6:BO6"/>
    <mergeCell ref="BD70:BF70"/>
    <mergeCell ref="BD71:BD72"/>
    <mergeCell ref="BE71:BF71"/>
    <mergeCell ref="AV69:BF69"/>
    <mergeCell ref="BG69:BI69"/>
    <mergeCell ref="BG70:BI70"/>
    <mergeCell ref="BG71:BG72"/>
    <mergeCell ref="BH71:BI71"/>
    <mergeCell ref="BJ69:BO69"/>
    <mergeCell ref="BJ70:BL70"/>
    <mergeCell ref="BM70:BO70"/>
    <mergeCell ref="BJ71:BJ72"/>
    <mergeCell ref="BK71:BL71"/>
    <mergeCell ref="BM71:BM72"/>
    <mergeCell ref="BN71:BO71"/>
    <mergeCell ref="BG6:BG7"/>
    <mergeCell ref="BH6:BI6"/>
    <mergeCell ref="H116:I116"/>
    <mergeCell ref="H117:I117"/>
    <mergeCell ref="H118:I118"/>
    <mergeCell ref="H119:I119"/>
    <mergeCell ref="H114:I114"/>
    <mergeCell ref="H115:I115"/>
    <mergeCell ref="H122:I122"/>
    <mergeCell ref="H123:I123"/>
    <mergeCell ref="A100:H100"/>
    <mergeCell ref="K100:S100"/>
    <mergeCell ref="R5:R7"/>
    <mergeCell ref="P5:P7"/>
    <mergeCell ref="H120:I120"/>
    <mergeCell ref="H121:I121"/>
    <mergeCell ref="A67:BP67"/>
    <mergeCell ref="A69:A72"/>
    <mergeCell ref="BP4:BP7"/>
    <mergeCell ref="I4:M4"/>
    <mergeCell ref="H5:H7"/>
    <mergeCell ref="M5:M7"/>
    <mergeCell ref="J5:J7"/>
    <mergeCell ref="L5:L7"/>
    <mergeCell ref="G4:H4"/>
    <mergeCell ref="W4:AD4"/>
    <mergeCell ref="AG6:AH6"/>
    <mergeCell ref="AI5:AL5"/>
    <mergeCell ref="AI6:AI7"/>
    <mergeCell ref="AJ6:AJ7"/>
    <mergeCell ref="AT6:AU6"/>
    <mergeCell ref="AS6:AS7"/>
    <mergeCell ref="BB6:BC6"/>
    <mergeCell ref="Z71:AA71"/>
    <mergeCell ref="AB71:AB72"/>
    <mergeCell ref="A2:BP2"/>
    <mergeCell ref="S5:T5"/>
    <mergeCell ref="S6:S7"/>
    <mergeCell ref="T6:T7"/>
    <mergeCell ref="Q5:Q7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N5:N7"/>
    <mergeCell ref="O5:O7"/>
    <mergeCell ref="I5:I7"/>
    <mergeCell ref="G5:G7"/>
    <mergeCell ref="N4:V4"/>
    <mergeCell ref="V5:V7"/>
    <mergeCell ref="U5:U7"/>
    <mergeCell ref="AP5:AR5"/>
    <mergeCell ref="BJ4:BO4"/>
    <mergeCell ref="BJ5:BL5"/>
    <mergeCell ref="AE4:AU4"/>
    <mergeCell ref="AP6:AP7"/>
    <mergeCell ref="AQ6:AR6"/>
    <mergeCell ref="AX6:AY6"/>
    <mergeCell ref="AE5:AH5"/>
    <mergeCell ref="AE6:AE7"/>
    <mergeCell ref="AF6:AF7"/>
    <mergeCell ref="W5:W7"/>
    <mergeCell ref="X5:X7"/>
    <mergeCell ref="Y6:Y7"/>
    <mergeCell ref="Z6:AA6"/>
    <mergeCell ref="Y5:AA5"/>
    <mergeCell ref="AB5:AD5"/>
    <mergeCell ref="AB6:AB7"/>
    <mergeCell ref="AS5:AU5"/>
    <mergeCell ref="AV5:AY5"/>
    <mergeCell ref="AV4:BF4"/>
    <mergeCell ref="BD5:BF5"/>
    <mergeCell ref="AV6:AV7"/>
    <mergeCell ref="AW6:AW7"/>
    <mergeCell ref="AZ5:BC5"/>
    <mergeCell ref="AZ6:AZ7"/>
    <mergeCell ref="BA6:BA7"/>
    <mergeCell ref="AC6:AD6"/>
    <mergeCell ref="B69:B72"/>
    <mergeCell ref="C69:D69"/>
    <mergeCell ref="E69:F69"/>
    <mergeCell ref="G69:H69"/>
    <mergeCell ref="I69:M69"/>
    <mergeCell ref="N69:V69"/>
    <mergeCell ref="W69:AD69"/>
    <mergeCell ref="AE69:AU69"/>
    <mergeCell ref="AE70:AH70"/>
    <mergeCell ref="AI70:AL70"/>
    <mergeCell ref="AP70:AR70"/>
    <mergeCell ref="AS70:AU70"/>
    <mergeCell ref="S71:S72"/>
    <mergeCell ref="T71:T72"/>
    <mergeCell ref="Y71:Y72"/>
    <mergeCell ref="AI71:AI72"/>
    <mergeCell ref="AJ71:AJ72"/>
    <mergeCell ref="AG71:AH71"/>
    <mergeCell ref="S70:T70"/>
    <mergeCell ref="U70:U72"/>
    <mergeCell ref="V70:V72"/>
    <mergeCell ref="AK71:AL71"/>
    <mergeCell ref="AP71:AP72"/>
    <mergeCell ref="AQ71:AR71"/>
    <mergeCell ref="BP69:BP72"/>
    <mergeCell ref="C70:C72"/>
    <mergeCell ref="D70:D72"/>
    <mergeCell ref="E70:E72"/>
    <mergeCell ref="F70:F72"/>
    <mergeCell ref="G70:G72"/>
    <mergeCell ref="H70:H72"/>
    <mergeCell ref="I70:I72"/>
    <mergeCell ref="J70:J72"/>
    <mergeCell ref="K70:K72"/>
    <mergeCell ref="L70:L72"/>
    <mergeCell ref="M70:M72"/>
    <mergeCell ref="N70:N72"/>
    <mergeCell ref="O70:O72"/>
    <mergeCell ref="P70:P72"/>
    <mergeCell ref="Q70:Q72"/>
    <mergeCell ref="R70:R72"/>
    <mergeCell ref="W70:W72"/>
    <mergeCell ref="X70:X72"/>
    <mergeCell ref="Y70:AA70"/>
    <mergeCell ref="AB70:AD70"/>
    <mergeCell ref="AC71:AD71"/>
    <mergeCell ref="AE71:AE72"/>
    <mergeCell ref="AF71:AF72"/>
    <mergeCell ref="AK6:AL6"/>
    <mergeCell ref="AS71:AS72"/>
    <mergeCell ref="AT71:AU71"/>
    <mergeCell ref="AV71:AV72"/>
    <mergeCell ref="AW71:AW72"/>
    <mergeCell ref="BD6:BD7"/>
    <mergeCell ref="BE6:BF6"/>
    <mergeCell ref="AV70:AY70"/>
    <mergeCell ref="AZ70:BC70"/>
    <mergeCell ref="AX71:AY71"/>
    <mergeCell ref="AZ71:AZ72"/>
    <mergeCell ref="BA71:BA72"/>
    <mergeCell ref="BB71:BC71"/>
  </mergeCells>
  <phoneticPr fontId="8" type="noConversion"/>
  <printOptions horizontalCentered="1" verticalCentered="1"/>
  <pageMargins left="0.19685039370078741" right="0.15748031496062992" top="0.19685039370078741" bottom="0.19685039370078741" header="0" footer="0"/>
  <pageSetup paperSize="9" scale="32" orientation="landscape" r:id="rId1"/>
  <headerFooter alignWithMargins="0"/>
  <rowBreaks count="1" manualBreakCount="1">
    <brk id="41" max="5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K64"/>
  <sheetViews>
    <sheetView topLeftCell="M28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32.5703125" style="1313" customWidth="1"/>
    <col min="3" max="3" width="10.28515625" style="1306" customWidth="1"/>
    <col min="4" max="5" width="12.7109375" style="1306" hidden="1" customWidth="1"/>
    <col min="6" max="6" width="11.140625" style="1306" customWidth="1"/>
    <col min="7" max="7" width="11.5703125" style="1306" customWidth="1"/>
    <col min="8" max="8" width="10.140625" style="1306" customWidth="1"/>
    <col min="9" max="9" width="12" style="1306" customWidth="1"/>
    <col min="10" max="10" width="16.42578125" style="1306" hidden="1" customWidth="1"/>
    <col min="11" max="11" width="13.28515625" style="1306" customWidth="1"/>
    <col min="12" max="12" width="13.85546875" style="1306" customWidth="1"/>
    <col min="13" max="13" width="12.85546875" style="1306" customWidth="1"/>
    <col min="14" max="14" width="14" style="1306" customWidth="1"/>
    <col min="15" max="15" width="15.140625" style="1306" hidden="1" customWidth="1"/>
    <col min="16" max="16" width="15.28515625" style="1306" customWidth="1"/>
    <col min="17" max="17" width="12.7109375" style="1306" customWidth="1"/>
    <col min="18" max="18" width="12.85546875" style="1306" customWidth="1"/>
    <col min="19" max="19" width="12.5703125" style="1306" customWidth="1"/>
    <col min="20" max="20" width="13" style="1306" customWidth="1"/>
    <col min="21" max="21" width="12.5703125" style="1306" customWidth="1"/>
    <col min="22" max="22" width="16.140625" style="1306" hidden="1" customWidth="1"/>
    <col min="23" max="23" width="12.42578125" style="1306" customWidth="1"/>
    <col min="24" max="24" width="12" style="1306" customWidth="1"/>
    <col min="25" max="25" width="12.42578125" style="1306" customWidth="1"/>
    <col min="26" max="26" width="13.28515625" style="1306" customWidth="1"/>
    <col min="27" max="27" width="12.7109375" style="1306" customWidth="1"/>
    <col min="28" max="28" width="13" style="1306" customWidth="1"/>
    <col min="29" max="29" width="12.7109375" style="1306" customWidth="1"/>
    <col min="30" max="30" width="36.42578125" style="1306" customWidth="1"/>
    <col min="31" max="31" width="46.85546875" style="1306" customWidth="1"/>
    <col min="32" max="34" width="12.7109375" style="1306" customWidth="1"/>
    <col min="35" max="35" width="9.28515625" style="1306" customWidth="1"/>
    <col min="36" max="36" width="13.5703125" style="1306" customWidth="1"/>
    <col min="37" max="37" width="10.28515625" style="1306" customWidth="1"/>
    <col min="38" max="38" width="12.85546875" style="1306" customWidth="1"/>
    <col min="39" max="39" width="9.140625" style="1306" customWidth="1"/>
    <col min="40" max="40" width="9.7109375" style="1306" customWidth="1"/>
    <col min="41" max="41" width="9.28515625" style="1306" customWidth="1"/>
    <col min="42" max="42" width="9.42578125" style="1306" customWidth="1"/>
    <col min="43" max="43" width="10.5703125" style="1306" customWidth="1"/>
    <col min="44" max="44" width="12.42578125" style="1306" customWidth="1"/>
    <col min="45" max="45" width="14.5703125" style="1306" customWidth="1"/>
    <col min="46" max="46" width="12.28515625" style="1306" customWidth="1"/>
    <col min="47" max="47" width="25.85546875" style="1306" customWidth="1"/>
    <col min="48" max="279" width="0.85546875" style="1306"/>
    <col min="280" max="280" width="9.85546875" style="1306" customWidth="1"/>
    <col min="281" max="281" width="81.85546875" style="1306" customWidth="1"/>
    <col min="282" max="282" width="12.7109375" style="1306" customWidth="1"/>
    <col min="283" max="283" width="12.42578125" style="1306" customWidth="1"/>
    <col min="284" max="284" width="14.5703125" style="1306" customWidth="1"/>
    <col min="285" max="285" width="12.28515625" style="1306" customWidth="1"/>
    <col min="286" max="286" width="38.140625" style="1306" customWidth="1"/>
    <col min="287" max="287" width="46.85546875" style="1306" customWidth="1"/>
    <col min="288" max="290" width="12.7109375" style="1306" customWidth="1"/>
    <col min="291" max="291" width="9.28515625" style="1306" customWidth="1"/>
    <col min="292" max="292" width="13.5703125" style="1306" customWidth="1"/>
    <col min="293" max="293" width="10.28515625" style="1306" customWidth="1"/>
    <col min="294" max="294" width="12.85546875" style="1306" customWidth="1"/>
    <col min="295" max="295" width="9.140625" style="1306" customWidth="1"/>
    <col min="296" max="296" width="9.7109375" style="1306" customWidth="1"/>
    <col min="297" max="297" width="9.28515625" style="1306" customWidth="1"/>
    <col min="298" max="298" width="9.42578125" style="1306" customWidth="1"/>
    <col min="299" max="299" width="10.5703125" style="1306" customWidth="1"/>
    <col min="300" max="300" width="12.42578125" style="1306" customWidth="1"/>
    <col min="301" max="301" width="14.5703125" style="1306" customWidth="1"/>
    <col min="302" max="302" width="12.28515625" style="1306" customWidth="1"/>
    <col min="303" max="303" width="25.85546875" style="1306" customWidth="1"/>
    <col min="304" max="535" width="0.85546875" style="1306"/>
    <col min="536" max="536" width="9.85546875" style="1306" customWidth="1"/>
    <col min="537" max="537" width="81.85546875" style="1306" customWidth="1"/>
    <col min="538" max="538" width="12.7109375" style="1306" customWidth="1"/>
    <col min="539" max="539" width="12.42578125" style="1306" customWidth="1"/>
    <col min="540" max="540" width="14.5703125" style="1306" customWidth="1"/>
    <col min="541" max="541" width="12.28515625" style="1306" customWidth="1"/>
    <col min="542" max="542" width="38.140625" style="1306" customWidth="1"/>
    <col min="543" max="543" width="46.85546875" style="1306" customWidth="1"/>
    <col min="544" max="546" width="12.7109375" style="1306" customWidth="1"/>
    <col min="547" max="547" width="9.28515625" style="1306" customWidth="1"/>
    <col min="548" max="548" width="13.5703125" style="1306" customWidth="1"/>
    <col min="549" max="549" width="10.28515625" style="1306" customWidth="1"/>
    <col min="550" max="550" width="12.85546875" style="1306" customWidth="1"/>
    <col min="551" max="551" width="9.140625" style="1306" customWidth="1"/>
    <col min="552" max="552" width="9.7109375" style="1306" customWidth="1"/>
    <col min="553" max="553" width="9.28515625" style="1306" customWidth="1"/>
    <col min="554" max="554" width="9.42578125" style="1306" customWidth="1"/>
    <col min="555" max="555" width="10.5703125" style="1306" customWidth="1"/>
    <col min="556" max="556" width="12.42578125" style="1306" customWidth="1"/>
    <col min="557" max="557" width="14.5703125" style="1306" customWidth="1"/>
    <col min="558" max="558" width="12.28515625" style="1306" customWidth="1"/>
    <col min="559" max="559" width="25.85546875" style="1306" customWidth="1"/>
    <col min="560" max="791" width="0.85546875" style="1306"/>
    <col min="792" max="792" width="9.85546875" style="1306" customWidth="1"/>
    <col min="793" max="793" width="81.85546875" style="1306" customWidth="1"/>
    <col min="794" max="794" width="12.7109375" style="1306" customWidth="1"/>
    <col min="795" max="795" width="12.42578125" style="1306" customWidth="1"/>
    <col min="796" max="796" width="14.5703125" style="1306" customWidth="1"/>
    <col min="797" max="797" width="12.28515625" style="1306" customWidth="1"/>
    <col min="798" max="798" width="38.140625" style="1306" customWidth="1"/>
    <col min="799" max="799" width="46.85546875" style="1306" customWidth="1"/>
    <col min="800" max="802" width="12.7109375" style="1306" customWidth="1"/>
    <col min="803" max="803" width="9.28515625" style="1306" customWidth="1"/>
    <col min="804" max="804" width="13.5703125" style="1306" customWidth="1"/>
    <col min="805" max="805" width="10.28515625" style="1306" customWidth="1"/>
    <col min="806" max="806" width="12.85546875" style="1306" customWidth="1"/>
    <col min="807" max="807" width="9.140625" style="1306" customWidth="1"/>
    <col min="808" max="808" width="9.7109375" style="1306" customWidth="1"/>
    <col min="809" max="809" width="9.28515625" style="1306" customWidth="1"/>
    <col min="810" max="810" width="9.42578125" style="1306" customWidth="1"/>
    <col min="811" max="811" width="10.5703125" style="1306" customWidth="1"/>
    <col min="812" max="812" width="12.42578125" style="1306" customWidth="1"/>
    <col min="813" max="813" width="14.5703125" style="1306" customWidth="1"/>
    <col min="814" max="814" width="12.28515625" style="1306" customWidth="1"/>
    <col min="815" max="815" width="25.85546875" style="1306" customWidth="1"/>
    <col min="816" max="1047" width="0.85546875" style="1306"/>
    <col min="1048" max="1048" width="9.85546875" style="1306" customWidth="1"/>
    <col min="1049" max="1049" width="81.85546875" style="1306" customWidth="1"/>
    <col min="1050" max="1050" width="12.7109375" style="1306" customWidth="1"/>
    <col min="1051" max="1051" width="12.42578125" style="1306" customWidth="1"/>
    <col min="1052" max="1052" width="14.5703125" style="1306" customWidth="1"/>
    <col min="1053" max="1053" width="12.28515625" style="1306" customWidth="1"/>
    <col min="1054" max="1054" width="38.140625" style="1306" customWidth="1"/>
    <col min="1055" max="1055" width="46.85546875" style="1306" customWidth="1"/>
    <col min="1056" max="1058" width="12.7109375" style="1306" customWidth="1"/>
    <col min="1059" max="1059" width="9.28515625" style="1306" customWidth="1"/>
    <col min="1060" max="1060" width="13.5703125" style="1306" customWidth="1"/>
    <col min="1061" max="1061" width="10.28515625" style="1306" customWidth="1"/>
    <col min="1062" max="1062" width="12.85546875" style="1306" customWidth="1"/>
    <col min="1063" max="1063" width="9.140625" style="1306" customWidth="1"/>
    <col min="1064" max="1064" width="9.7109375" style="1306" customWidth="1"/>
    <col min="1065" max="1065" width="9.28515625" style="1306" customWidth="1"/>
    <col min="1066" max="1066" width="9.42578125" style="1306" customWidth="1"/>
    <col min="1067" max="1067" width="10.5703125" style="1306" customWidth="1"/>
    <col min="1068" max="1068" width="12.42578125" style="1306" customWidth="1"/>
    <col min="1069" max="1069" width="14.5703125" style="1306" customWidth="1"/>
    <col min="1070" max="1070" width="12.28515625" style="1306" customWidth="1"/>
    <col min="1071" max="1071" width="25.85546875" style="1306" customWidth="1"/>
    <col min="1072" max="1303" width="0.85546875" style="1306"/>
    <col min="1304" max="1304" width="9.85546875" style="1306" customWidth="1"/>
    <col min="1305" max="1305" width="81.85546875" style="1306" customWidth="1"/>
    <col min="1306" max="1306" width="12.7109375" style="1306" customWidth="1"/>
    <col min="1307" max="1307" width="12.42578125" style="1306" customWidth="1"/>
    <col min="1308" max="1308" width="14.5703125" style="1306" customWidth="1"/>
    <col min="1309" max="1309" width="12.28515625" style="1306" customWidth="1"/>
    <col min="1310" max="1310" width="38.140625" style="1306" customWidth="1"/>
    <col min="1311" max="1311" width="46.85546875" style="1306" customWidth="1"/>
    <col min="1312" max="1314" width="12.7109375" style="1306" customWidth="1"/>
    <col min="1315" max="1315" width="9.28515625" style="1306" customWidth="1"/>
    <col min="1316" max="1316" width="13.5703125" style="1306" customWidth="1"/>
    <col min="1317" max="1317" width="10.28515625" style="1306" customWidth="1"/>
    <col min="1318" max="1318" width="12.85546875" style="1306" customWidth="1"/>
    <col min="1319" max="1319" width="9.140625" style="1306" customWidth="1"/>
    <col min="1320" max="1320" width="9.7109375" style="1306" customWidth="1"/>
    <col min="1321" max="1321" width="9.28515625" style="1306" customWidth="1"/>
    <col min="1322" max="1322" width="9.42578125" style="1306" customWidth="1"/>
    <col min="1323" max="1323" width="10.5703125" style="1306" customWidth="1"/>
    <col min="1324" max="1324" width="12.42578125" style="1306" customWidth="1"/>
    <col min="1325" max="1325" width="14.5703125" style="1306" customWidth="1"/>
    <col min="1326" max="1326" width="12.28515625" style="1306" customWidth="1"/>
    <col min="1327" max="1327" width="25.85546875" style="1306" customWidth="1"/>
    <col min="1328" max="1559" width="0.85546875" style="1306"/>
    <col min="1560" max="1560" width="9.85546875" style="1306" customWidth="1"/>
    <col min="1561" max="1561" width="81.85546875" style="1306" customWidth="1"/>
    <col min="1562" max="1562" width="12.7109375" style="1306" customWidth="1"/>
    <col min="1563" max="1563" width="12.42578125" style="1306" customWidth="1"/>
    <col min="1564" max="1564" width="14.5703125" style="1306" customWidth="1"/>
    <col min="1565" max="1565" width="12.28515625" style="1306" customWidth="1"/>
    <col min="1566" max="1566" width="38.140625" style="1306" customWidth="1"/>
    <col min="1567" max="1567" width="46.85546875" style="1306" customWidth="1"/>
    <col min="1568" max="1570" width="12.7109375" style="1306" customWidth="1"/>
    <col min="1571" max="1571" width="9.28515625" style="1306" customWidth="1"/>
    <col min="1572" max="1572" width="13.5703125" style="1306" customWidth="1"/>
    <col min="1573" max="1573" width="10.28515625" style="1306" customWidth="1"/>
    <col min="1574" max="1574" width="12.85546875" style="1306" customWidth="1"/>
    <col min="1575" max="1575" width="9.140625" style="1306" customWidth="1"/>
    <col min="1576" max="1576" width="9.7109375" style="1306" customWidth="1"/>
    <col min="1577" max="1577" width="9.28515625" style="1306" customWidth="1"/>
    <col min="1578" max="1578" width="9.42578125" style="1306" customWidth="1"/>
    <col min="1579" max="1579" width="10.5703125" style="1306" customWidth="1"/>
    <col min="1580" max="1580" width="12.42578125" style="1306" customWidth="1"/>
    <col min="1581" max="1581" width="14.5703125" style="1306" customWidth="1"/>
    <col min="1582" max="1582" width="12.28515625" style="1306" customWidth="1"/>
    <col min="1583" max="1583" width="25.85546875" style="1306" customWidth="1"/>
    <col min="1584" max="1815" width="0.85546875" style="1306"/>
    <col min="1816" max="1816" width="9.85546875" style="1306" customWidth="1"/>
    <col min="1817" max="1817" width="81.85546875" style="1306" customWidth="1"/>
    <col min="1818" max="1818" width="12.7109375" style="1306" customWidth="1"/>
    <col min="1819" max="1819" width="12.42578125" style="1306" customWidth="1"/>
    <col min="1820" max="1820" width="14.5703125" style="1306" customWidth="1"/>
    <col min="1821" max="1821" width="12.28515625" style="1306" customWidth="1"/>
    <col min="1822" max="1822" width="38.140625" style="1306" customWidth="1"/>
    <col min="1823" max="1823" width="46.85546875" style="1306" customWidth="1"/>
    <col min="1824" max="1826" width="12.7109375" style="1306" customWidth="1"/>
    <col min="1827" max="1827" width="9.28515625" style="1306" customWidth="1"/>
    <col min="1828" max="1828" width="13.5703125" style="1306" customWidth="1"/>
    <col min="1829" max="1829" width="10.28515625" style="1306" customWidth="1"/>
    <col min="1830" max="1830" width="12.85546875" style="1306" customWidth="1"/>
    <col min="1831" max="1831" width="9.140625" style="1306" customWidth="1"/>
    <col min="1832" max="1832" width="9.7109375" style="1306" customWidth="1"/>
    <col min="1833" max="1833" width="9.28515625" style="1306" customWidth="1"/>
    <col min="1834" max="1834" width="9.42578125" style="1306" customWidth="1"/>
    <col min="1835" max="1835" width="10.5703125" style="1306" customWidth="1"/>
    <col min="1836" max="1836" width="12.42578125" style="1306" customWidth="1"/>
    <col min="1837" max="1837" width="14.5703125" style="1306" customWidth="1"/>
    <col min="1838" max="1838" width="12.28515625" style="1306" customWidth="1"/>
    <col min="1839" max="1839" width="25.85546875" style="1306" customWidth="1"/>
    <col min="1840" max="2071" width="0.85546875" style="1306"/>
    <col min="2072" max="2072" width="9.85546875" style="1306" customWidth="1"/>
    <col min="2073" max="2073" width="81.85546875" style="1306" customWidth="1"/>
    <col min="2074" max="2074" width="12.7109375" style="1306" customWidth="1"/>
    <col min="2075" max="2075" width="12.42578125" style="1306" customWidth="1"/>
    <col min="2076" max="2076" width="14.5703125" style="1306" customWidth="1"/>
    <col min="2077" max="2077" width="12.28515625" style="1306" customWidth="1"/>
    <col min="2078" max="2078" width="38.140625" style="1306" customWidth="1"/>
    <col min="2079" max="2079" width="46.85546875" style="1306" customWidth="1"/>
    <col min="2080" max="2082" width="12.7109375" style="1306" customWidth="1"/>
    <col min="2083" max="2083" width="9.28515625" style="1306" customWidth="1"/>
    <col min="2084" max="2084" width="13.5703125" style="1306" customWidth="1"/>
    <col min="2085" max="2085" width="10.28515625" style="1306" customWidth="1"/>
    <col min="2086" max="2086" width="12.85546875" style="1306" customWidth="1"/>
    <col min="2087" max="2087" width="9.140625" style="1306" customWidth="1"/>
    <col min="2088" max="2088" width="9.7109375" style="1306" customWidth="1"/>
    <col min="2089" max="2089" width="9.28515625" style="1306" customWidth="1"/>
    <col min="2090" max="2090" width="9.42578125" style="1306" customWidth="1"/>
    <col min="2091" max="2091" width="10.5703125" style="1306" customWidth="1"/>
    <col min="2092" max="2092" width="12.42578125" style="1306" customWidth="1"/>
    <col min="2093" max="2093" width="14.5703125" style="1306" customWidth="1"/>
    <col min="2094" max="2094" width="12.28515625" style="1306" customWidth="1"/>
    <col min="2095" max="2095" width="25.85546875" style="1306" customWidth="1"/>
    <col min="2096" max="2327" width="0.85546875" style="1306"/>
    <col min="2328" max="2328" width="9.85546875" style="1306" customWidth="1"/>
    <col min="2329" max="2329" width="81.85546875" style="1306" customWidth="1"/>
    <col min="2330" max="2330" width="12.7109375" style="1306" customWidth="1"/>
    <col min="2331" max="2331" width="12.42578125" style="1306" customWidth="1"/>
    <col min="2332" max="2332" width="14.5703125" style="1306" customWidth="1"/>
    <col min="2333" max="2333" width="12.28515625" style="1306" customWidth="1"/>
    <col min="2334" max="2334" width="38.140625" style="1306" customWidth="1"/>
    <col min="2335" max="2335" width="46.85546875" style="1306" customWidth="1"/>
    <col min="2336" max="2338" width="12.7109375" style="1306" customWidth="1"/>
    <col min="2339" max="2339" width="9.28515625" style="1306" customWidth="1"/>
    <col min="2340" max="2340" width="13.5703125" style="1306" customWidth="1"/>
    <col min="2341" max="2341" width="10.28515625" style="1306" customWidth="1"/>
    <col min="2342" max="2342" width="12.85546875" style="1306" customWidth="1"/>
    <col min="2343" max="2343" width="9.140625" style="1306" customWidth="1"/>
    <col min="2344" max="2344" width="9.7109375" style="1306" customWidth="1"/>
    <col min="2345" max="2345" width="9.28515625" style="1306" customWidth="1"/>
    <col min="2346" max="2346" width="9.42578125" style="1306" customWidth="1"/>
    <col min="2347" max="2347" width="10.5703125" style="1306" customWidth="1"/>
    <col min="2348" max="2348" width="12.42578125" style="1306" customWidth="1"/>
    <col min="2349" max="2349" width="14.5703125" style="1306" customWidth="1"/>
    <col min="2350" max="2350" width="12.28515625" style="1306" customWidth="1"/>
    <col min="2351" max="2351" width="25.85546875" style="1306" customWidth="1"/>
    <col min="2352" max="2583" width="0.85546875" style="1306"/>
    <col min="2584" max="2584" width="9.85546875" style="1306" customWidth="1"/>
    <col min="2585" max="2585" width="81.85546875" style="1306" customWidth="1"/>
    <col min="2586" max="2586" width="12.7109375" style="1306" customWidth="1"/>
    <col min="2587" max="2587" width="12.42578125" style="1306" customWidth="1"/>
    <col min="2588" max="2588" width="14.5703125" style="1306" customWidth="1"/>
    <col min="2589" max="2589" width="12.28515625" style="1306" customWidth="1"/>
    <col min="2590" max="2590" width="38.140625" style="1306" customWidth="1"/>
    <col min="2591" max="2591" width="46.85546875" style="1306" customWidth="1"/>
    <col min="2592" max="2594" width="12.7109375" style="1306" customWidth="1"/>
    <col min="2595" max="2595" width="9.28515625" style="1306" customWidth="1"/>
    <col min="2596" max="2596" width="13.5703125" style="1306" customWidth="1"/>
    <col min="2597" max="2597" width="10.28515625" style="1306" customWidth="1"/>
    <col min="2598" max="2598" width="12.85546875" style="1306" customWidth="1"/>
    <col min="2599" max="2599" width="9.140625" style="1306" customWidth="1"/>
    <col min="2600" max="2600" width="9.7109375" style="1306" customWidth="1"/>
    <col min="2601" max="2601" width="9.28515625" style="1306" customWidth="1"/>
    <col min="2602" max="2602" width="9.42578125" style="1306" customWidth="1"/>
    <col min="2603" max="2603" width="10.5703125" style="1306" customWidth="1"/>
    <col min="2604" max="2604" width="12.42578125" style="1306" customWidth="1"/>
    <col min="2605" max="2605" width="14.5703125" style="1306" customWidth="1"/>
    <col min="2606" max="2606" width="12.28515625" style="1306" customWidth="1"/>
    <col min="2607" max="2607" width="25.85546875" style="1306" customWidth="1"/>
    <col min="2608" max="2839" width="0.85546875" style="1306"/>
    <col min="2840" max="2840" width="9.85546875" style="1306" customWidth="1"/>
    <col min="2841" max="2841" width="81.85546875" style="1306" customWidth="1"/>
    <col min="2842" max="2842" width="12.7109375" style="1306" customWidth="1"/>
    <col min="2843" max="2843" width="12.42578125" style="1306" customWidth="1"/>
    <col min="2844" max="2844" width="14.5703125" style="1306" customWidth="1"/>
    <col min="2845" max="2845" width="12.28515625" style="1306" customWidth="1"/>
    <col min="2846" max="2846" width="38.140625" style="1306" customWidth="1"/>
    <col min="2847" max="2847" width="46.85546875" style="1306" customWidth="1"/>
    <col min="2848" max="2850" width="12.7109375" style="1306" customWidth="1"/>
    <col min="2851" max="2851" width="9.28515625" style="1306" customWidth="1"/>
    <col min="2852" max="2852" width="13.5703125" style="1306" customWidth="1"/>
    <col min="2853" max="2853" width="10.28515625" style="1306" customWidth="1"/>
    <col min="2854" max="2854" width="12.85546875" style="1306" customWidth="1"/>
    <col min="2855" max="2855" width="9.140625" style="1306" customWidth="1"/>
    <col min="2856" max="2856" width="9.7109375" style="1306" customWidth="1"/>
    <col min="2857" max="2857" width="9.28515625" style="1306" customWidth="1"/>
    <col min="2858" max="2858" width="9.42578125" style="1306" customWidth="1"/>
    <col min="2859" max="2859" width="10.5703125" style="1306" customWidth="1"/>
    <col min="2860" max="2860" width="12.42578125" style="1306" customWidth="1"/>
    <col min="2861" max="2861" width="14.5703125" style="1306" customWidth="1"/>
    <col min="2862" max="2862" width="12.28515625" style="1306" customWidth="1"/>
    <col min="2863" max="2863" width="25.85546875" style="1306" customWidth="1"/>
    <col min="2864" max="3095" width="0.85546875" style="1306"/>
    <col min="3096" max="3096" width="9.85546875" style="1306" customWidth="1"/>
    <col min="3097" max="3097" width="81.85546875" style="1306" customWidth="1"/>
    <col min="3098" max="3098" width="12.7109375" style="1306" customWidth="1"/>
    <col min="3099" max="3099" width="12.42578125" style="1306" customWidth="1"/>
    <col min="3100" max="3100" width="14.5703125" style="1306" customWidth="1"/>
    <col min="3101" max="3101" width="12.28515625" style="1306" customWidth="1"/>
    <col min="3102" max="3102" width="38.140625" style="1306" customWidth="1"/>
    <col min="3103" max="3103" width="46.85546875" style="1306" customWidth="1"/>
    <col min="3104" max="3106" width="12.7109375" style="1306" customWidth="1"/>
    <col min="3107" max="3107" width="9.28515625" style="1306" customWidth="1"/>
    <col min="3108" max="3108" width="13.5703125" style="1306" customWidth="1"/>
    <col min="3109" max="3109" width="10.28515625" style="1306" customWidth="1"/>
    <col min="3110" max="3110" width="12.85546875" style="1306" customWidth="1"/>
    <col min="3111" max="3111" width="9.140625" style="1306" customWidth="1"/>
    <col min="3112" max="3112" width="9.7109375" style="1306" customWidth="1"/>
    <col min="3113" max="3113" width="9.28515625" style="1306" customWidth="1"/>
    <col min="3114" max="3114" width="9.42578125" style="1306" customWidth="1"/>
    <col min="3115" max="3115" width="10.5703125" style="1306" customWidth="1"/>
    <col min="3116" max="3116" width="12.42578125" style="1306" customWidth="1"/>
    <col min="3117" max="3117" width="14.5703125" style="1306" customWidth="1"/>
    <col min="3118" max="3118" width="12.28515625" style="1306" customWidth="1"/>
    <col min="3119" max="3119" width="25.85546875" style="1306" customWidth="1"/>
    <col min="3120" max="3351" width="0.85546875" style="1306"/>
    <col min="3352" max="3352" width="9.85546875" style="1306" customWidth="1"/>
    <col min="3353" max="3353" width="81.85546875" style="1306" customWidth="1"/>
    <col min="3354" max="3354" width="12.7109375" style="1306" customWidth="1"/>
    <col min="3355" max="3355" width="12.42578125" style="1306" customWidth="1"/>
    <col min="3356" max="3356" width="14.5703125" style="1306" customWidth="1"/>
    <col min="3357" max="3357" width="12.28515625" style="1306" customWidth="1"/>
    <col min="3358" max="3358" width="38.140625" style="1306" customWidth="1"/>
    <col min="3359" max="3359" width="46.85546875" style="1306" customWidth="1"/>
    <col min="3360" max="3362" width="12.7109375" style="1306" customWidth="1"/>
    <col min="3363" max="3363" width="9.28515625" style="1306" customWidth="1"/>
    <col min="3364" max="3364" width="13.5703125" style="1306" customWidth="1"/>
    <col min="3365" max="3365" width="10.28515625" style="1306" customWidth="1"/>
    <col min="3366" max="3366" width="12.85546875" style="1306" customWidth="1"/>
    <col min="3367" max="3367" width="9.140625" style="1306" customWidth="1"/>
    <col min="3368" max="3368" width="9.7109375" style="1306" customWidth="1"/>
    <col min="3369" max="3369" width="9.28515625" style="1306" customWidth="1"/>
    <col min="3370" max="3370" width="9.42578125" style="1306" customWidth="1"/>
    <col min="3371" max="3371" width="10.5703125" style="1306" customWidth="1"/>
    <col min="3372" max="3372" width="12.42578125" style="1306" customWidth="1"/>
    <col min="3373" max="3373" width="14.5703125" style="1306" customWidth="1"/>
    <col min="3374" max="3374" width="12.28515625" style="1306" customWidth="1"/>
    <col min="3375" max="3375" width="25.85546875" style="1306" customWidth="1"/>
    <col min="3376" max="3607" width="0.85546875" style="1306"/>
    <col min="3608" max="3608" width="9.85546875" style="1306" customWidth="1"/>
    <col min="3609" max="3609" width="81.85546875" style="1306" customWidth="1"/>
    <col min="3610" max="3610" width="12.7109375" style="1306" customWidth="1"/>
    <col min="3611" max="3611" width="12.42578125" style="1306" customWidth="1"/>
    <col min="3612" max="3612" width="14.5703125" style="1306" customWidth="1"/>
    <col min="3613" max="3613" width="12.28515625" style="1306" customWidth="1"/>
    <col min="3614" max="3614" width="38.140625" style="1306" customWidth="1"/>
    <col min="3615" max="3615" width="46.85546875" style="1306" customWidth="1"/>
    <col min="3616" max="3618" width="12.7109375" style="1306" customWidth="1"/>
    <col min="3619" max="3619" width="9.28515625" style="1306" customWidth="1"/>
    <col min="3620" max="3620" width="13.5703125" style="1306" customWidth="1"/>
    <col min="3621" max="3621" width="10.28515625" style="1306" customWidth="1"/>
    <col min="3622" max="3622" width="12.85546875" style="1306" customWidth="1"/>
    <col min="3623" max="3623" width="9.140625" style="1306" customWidth="1"/>
    <col min="3624" max="3624" width="9.7109375" style="1306" customWidth="1"/>
    <col min="3625" max="3625" width="9.28515625" style="1306" customWidth="1"/>
    <col min="3626" max="3626" width="9.42578125" style="1306" customWidth="1"/>
    <col min="3627" max="3627" width="10.5703125" style="1306" customWidth="1"/>
    <col min="3628" max="3628" width="12.42578125" style="1306" customWidth="1"/>
    <col min="3629" max="3629" width="14.5703125" style="1306" customWidth="1"/>
    <col min="3630" max="3630" width="12.28515625" style="1306" customWidth="1"/>
    <col min="3631" max="3631" width="25.85546875" style="1306" customWidth="1"/>
    <col min="3632" max="3863" width="0.85546875" style="1306"/>
    <col min="3864" max="3864" width="9.85546875" style="1306" customWidth="1"/>
    <col min="3865" max="3865" width="81.85546875" style="1306" customWidth="1"/>
    <col min="3866" max="3866" width="12.7109375" style="1306" customWidth="1"/>
    <col min="3867" max="3867" width="12.42578125" style="1306" customWidth="1"/>
    <col min="3868" max="3868" width="14.5703125" style="1306" customWidth="1"/>
    <col min="3869" max="3869" width="12.28515625" style="1306" customWidth="1"/>
    <col min="3870" max="3870" width="38.140625" style="1306" customWidth="1"/>
    <col min="3871" max="3871" width="46.85546875" style="1306" customWidth="1"/>
    <col min="3872" max="3874" width="12.7109375" style="1306" customWidth="1"/>
    <col min="3875" max="3875" width="9.28515625" style="1306" customWidth="1"/>
    <col min="3876" max="3876" width="13.5703125" style="1306" customWidth="1"/>
    <col min="3877" max="3877" width="10.28515625" style="1306" customWidth="1"/>
    <col min="3878" max="3878" width="12.85546875" style="1306" customWidth="1"/>
    <col min="3879" max="3879" width="9.140625" style="1306" customWidth="1"/>
    <col min="3880" max="3880" width="9.7109375" style="1306" customWidth="1"/>
    <col min="3881" max="3881" width="9.28515625" style="1306" customWidth="1"/>
    <col min="3882" max="3882" width="9.42578125" style="1306" customWidth="1"/>
    <col min="3883" max="3883" width="10.5703125" style="1306" customWidth="1"/>
    <col min="3884" max="3884" width="12.42578125" style="1306" customWidth="1"/>
    <col min="3885" max="3885" width="14.5703125" style="1306" customWidth="1"/>
    <col min="3886" max="3886" width="12.28515625" style="1306" customWidth="1"/>
    <col min="3887" max="3887" width="25.85546875" style="1306" customWidth="1"/>
    <col min="3888" max="4119" width="0.85546875" style="1306"/>
    <col min="4120" max="4120" width="9.85546875" style="1306" customWidth="1"/>
    <col min="4121" max="4121" width="81.85546875" style="1306" customWidth="1"/>
    <col min="4122" max="4122" width="12.7109375" style="1306" customWidth="1"/>
    <col min="4123" max="4123" width="12.42578125" style="1306" customWidth="1"/>
    <col min="4124" max="4124" width="14.5703125" style="1306" customWidth="1"/>
    <col min="4125" max="4125" width="12.28515625" style="1306" customWidth="1"/>
    <col min="4126" max="4126" width="38.140625" style="1306" customWidth="1"/>
    <col min="4127" max="4127" width="46.85546875" style="1306" customWidth="1"/>
    <col min="4128" max="4130" width="12.7109375" style="1306" customWidth="1"/>
    <col min="4131" max="4131" width="9.28515625" style="1306" customWidth="1"/>
    <col min="4132" max="4132" width="13.5703125" style="1306" customWidth="1"/>
    <col min="4133" max="4133" width="10.28515625" style="1306" customWidth="1"/>
    <col min="4134" max="4134" width="12.85546875" style="1306" customWidth="1"/>
    <col min="4135" max="4135" width="9.140625" style="1306" customWidth="1"/>
    <col min="4136" max="4136" width="9.7109375" style="1306" customWidth="1"/>
    <col min="4137" max="4137" width="9.28515625" style="1306" customWidth="1"/>
    <col min="4138" max="4138" width="9.42578125" style="1306" customWidth="1"/>
    <col min="4139" max="4139" width="10.5703125" style="1306" customWidth="1"/>
    <col min="4140" max="4140" width="12.42578125" style="1306" customWidth="1"/>
    <col min="4141" max="4141" width="14.5703125" style="1306" customWidth="1"/>
    <col min="4142" max="4142" width="12.28515625" style="1306" customWidth="1"/>
    <col min="4143" max="4143" width="25.85546875" style="1306" customWidth="1"/>
    <col min="4144" max="4375" width="0.85546875" style="1306"/>
    <col min="4376" max="4376" width="9.85546875" style="1306" customWidth="1"/>
    <col min="4377" max="4377" width="81.85546875" style="1306" customWidth="1"/>
    <col min="4378" max="4378" width="12.7109375" style="1306" customWidth="1"/>
    <col min="4379" max="4379" width="12.42578125" style="1306" customWidth="1"/>
    <col min="4380" max="4380" width="14.5703125" style="1306" customWidth="1"/>
    <col min="4381" max="4381" width="12.28515625" style="1306" customWidth="1"/>
    <col min="4382" max="4382" width="38.140625" style="1306" customWidth="1"/>
    <col min="4383" max="4383" width="46.85546875" style="1306" customWidth="1"/>
    <col min="4384" max="4386" width="12.7109375" style="1306" customWidth="1"/>
    <col min="4387" max="4387" width="9.28515625" style="1306" customWidth="1"/>
    <col min="4388" max="4388" width="13.5703125" style="1306" customWidth="1"/>
    <col min="4389" max="4389" width="10.28515625" style="1306" customWidth="1"/>
    <col min="4390" max="4390" width="12.85546875" style="1306" customWidth="1"/>
    <col min="4391" max="4391" width="9.140625" style="1306" customWidth="1"/>
    <col min="4392" max="4392" width="9.7109375" style="1306" customWidth="1"/>
    <col min="4393" max="4393" width="9.28515625" style="1306" customWidth="1"/>
    <col min="4394" max="4394" width="9.42578125" style="1306" customWidth="1"/>
    <col min="4395" max="4395" width="10.5703125" style="1306" customWidth="1"/>
    <col min="4396" max="4396" width="12.42578125" style="1306" customWidth="1"/>
    <col min="4397" max="4397" width="14.5703125" style="1306" customWidth="1"/>
    <col min="4398" max="4398" width="12.28515625" style="1306" customWidth="1"/>
    <col min="4399" max="4399" width="25.85546875" style="1306" customWidth="1"/>
    <col min="4400" max="4631" width="0.85546875" style="1306"/>
    <col min="4632" max="4632" width="9.85546875" style="1306" customWidth="1"/>
    <col min="4633" max="4633" width="81.85546875" style="1306" customWidth="1"/>
    <col min="4634" max="4634" width="12.7109375" style="1306" customWidth="1"/>
    <col min="4635" max="4635" width="12.42578125" style="1306" customWidth="1"/>
    <col min="4636" max="4636" width="14.5703125" style="1306" customWidth="1"/>
    <col min="4637" max="4637" width="12.28515625" style="1306" customWidth="1"/>
    <col min="4638" max="4638" width="38.140625" style="1306" customWidth="1"/>
    <col min="4639" max="4639" width="46.85546875" style="1306" customWidth="1"/>
    <col min="4640" max="4642" width="12.7109375" style="1306" customWidth="1"/>
    <col min="4643" max="4643" width="9.28515625" style="1306" customWidth="1"/>
    <col min="4644" max="4644" width="13.5703125" style="1306" customWidth="1"/>
    <col min="4645" max="4645" width="10.28515625" style="1306" customWidth="1"/>
    <col min="4646" max="4646" width="12.85546875" style="1306" customWidth="1"/>
    <col min="4647" max="4647" width="9.140625" style="1306" customWidth="1"/>
    <col min="4648" max="4648" width="9.7109375" style="1306" customWidth="1"/>
    <col min="4649" max="4649" width="9.28515625" style="1306" customWidth="1"/>
    <col min="4650" max="4650" width="9.42578125" style="1306" customWidth="1"/>
    <col min="4651" max="4651" width="10.5703125" style="1306" customWidth="1"/>
    <col min="4652" max="4652" width="12.42578125" style="1306" customWidth="1"/>
    <col min="4653" max="4653" width="14.5703125" style="1306" customWidth="1"/>
    <col min="4654" max="4654" width="12.28515625" style="1306" customWidth="1"/>
    <col min="4655" max="4655" width="25.85546875" style="1306" customWidth="1"/>
    <col min="4656" max="4887" width="0.85546875" style="1306"/>
    <col min="4888" max="4888" width="9.85546875" style="1306" customWidth="1"/>
    <col min="4889" max="4889" width="81.85546875" style="1306" customWidth="1"/>
    <col min="4890" max="4890" width="12.7109375" style="1306" customWidth="1"/>
    <col min="4891" max="4891" width="12.42578125" style="1306" customWidth="1"/>
    <col min="4892" max="4892" width="14.5703125" style="1306" customWidth="1"/>
    <col min="4893" max="4893" width="12.28515625" style="1306" customWidth="1"/>
    <col min="4894" max="4894" width="38.140625" style="1306" customWidth="1"/>
    <col min="4895" max="4895" width="46.85546875" style="1306" customWidth="1"/>
    <col min="4896" max="4898" width="12.7109375" style="1306" customWidth="1"/>
    <col min="4899" max="4899" width="9.28515625" style="1306" customWidth="1"/>
    <col min="4900" max="4900" width="13.5703125" style="1306" customWidth="1"/>
    <col min="4901" max="4901" width="10.28515625" style="1306" customWidth="1"/>
    <col min="4902" max="4902" width="12.85546875" style="1306" customWidth="1"/>
    <col min="4903" max="4903" width="9.140625" style="1306" customWidth="1"/>
    <col min="4904" max="4904" width="9.7109375" style="1306" customWidth="1"/>
    <col min="4905" max="4905" width="9.28515625" style="1306" customWidth="1"/>
    <col min="4906" max="4906" width="9.42578125" style="1306" customWidth="1"/>
    <col min="4907" max="4907" width="10.5703125" style="1306" customWidth="1"/>
    <col min="4908" max="4908" width="12.42578125" style="1306" customWidth="1"/>
    <col min="4909" max="4909" width="14.5703125" style="1306" customWidth="1"/>
    <col min="4910" max="4910" width="12.28515625" style="1306" customWidth="1"/>
    <col min="4911" max="4911" width="25.85546875" style="1306" customWidth="1"/>
    <col min="4912" max="5143" width="0.85546875" style="1306"/>
    <col min="5144" max="5144" width="9.85546875" style="1306" customWidth="1"/>
    <col min="5145" max="5145" width="81.85546875" style="1306" customWidth="1"/>
    <col min="5146" max="5146" width="12.7109375" style="1306" customWidth="1"/>
    <col min="5147" max="5147" width="12.42578125" style="1306" customWidth="1"/>
    <col min="5148" max="5148" width="14.5703125" style="1306" customWidth="1"/>
    <col min="5149" max="5149" width="12.28515625" style="1306" customWidth="1"/>
    <col min="5150" max="5150" width="38.140625" style="1306" customWidth="1"/>
    <col min="5151" max="5151" width="46.85546875" style="1306" customWidth="1"/>
    <col min="5152" max="5154" width="12.7109375" style="1306" customWidth="1"/>
    <col min="5155" max="5155" width="9.28515625" style="1306" customWidth="1"/>
    <col min="5156" max="5156" width="13.5703125" style="1306" customWidth="1"/>
    <col min="5157" max="5157" width="10.28515625" style="1306" customWidth="1"/>
    <col min="5158" max="5158" width="12.85546875" style="1306" customWidth="1"/>
    <col min="5159" max="5159" width="9.140625" style="1306" customWidth="1"/>
    <col min="5160" max="5160" width="9.7109375" style="1306" customWidth="1"/>
    <col min="5161" max="5161" width="9.28515625" style="1306" customWidth="1"/>
    <col min="5162" max="5162" width="9.42578125" style="1306" customWidth="1"/>
    <col min="5163" max="5163" width="10.5703125" style="1306" customWidth="1"/>
    <col min="5164" max="5164" width="12.42578125" style="1306" customWidth="1"/>
    <col min="5165" max="5165" width="14.5703125" style="1306" customWidth="1"/>
    <col min="5166" max="5166" width="12.28515625" style="1306" customWidth="1"/>
    <col min="5167" max="5167" width="25.85546875" style="1306" customWidth="1"/>
    <col min="5168" max="5399" width="0.85546875" style="1306"/>
    <col min="5400" max="5400" width="9.85546875" style="1306" customWidth="1"/>
    <col min="5401" max="5401" width="81.85546875" style="1306" customWidth="1"/>
    <col min="5402" max="5402" width="12.7109375" style="1306" customWidth="1"/>
    <col min="5403" max="5403" width="12.42578125" style="1306" customWidth="1"/>
    <col min="5404" max="5404" width="14.5703125" style="1306" customWidth="1"/>
    <col min="5405" max="5405" width="12.28515625" style="1306" customWidth="1"/>
    <col min="5406" max="5406" width="38.140625" style="1306" customWidth="1"/>
    <col min="5407" max="5407" width="46.85546875" style="1306" customWidth="1"/>
    <col min="5408" max="5410" width="12.7109375" style="1306" customWidth="1"/>
    <col min="5411" max="5411" width="9.28515625" style="1306" customWidth="1"/>
    <col min="5412" max="5412" width="13.5703125" style="1306" customWidth="1"/>
    <col min="5413" max="5413" width="10.28515625" style="1306" customWidth="1"/>
    <col min="5414" max="5414" width="12.85546875" style="1306" customWidth="1"/>
    <col min="5415" max="5415" width="9.140625" style="1306" customWidth="1"/>
    <col min="5416" max="5416" width="9.7109375" style="1306" customWidth="1"/>
    <col min="5417" max="5417" width="9.28515625" style="1306" customWidth="1"/>
    <col min="5418" max="5418" width="9.42578125" style="1306" customWidth="1"/>
    <col min="5419" max="5419" width="10.5703125" style="1306" customWidth="1"/>
    <col min="5420" max="5420" width="12.42578125" style="1306" customWidth="1"/>
    <col min="5421" max="5421" width="14.5703125" style="1306" customWidth="1"/>
    <col min="5422" max="5422" width="12.28515625" style="1306" customWidth="1"/>
    <col min="5423" max="5423" width="25.85546875" style="1306" customWidth="1"/>
    <col min="5424" max="5655" width="0.85546875" style="1306"/>
    <col min="5656" max="5656" width="9.85546875" style="1306" customWidth="1"/>
    <col min="5657" max="5657" width="81.85546875" style="1306" customWidth="1"/>
    <col min="5658" max="5658" width="12.7109375" style="1306" customWidth="1"/>
    <col min="5659" max="5659" width="12.42578125" style="1306" customWidth="1"/>
    <col min="5660" max="5660" width="14.5703125" style="1306" customWidth="1"/>
    <col min="5661" max="5661" width="12.28515625" style="1306" customWidth="1"/>
    <col min="5662" max="5662" width="38.140625" style="1306" customWidth="1"/>
    <col min="5663" max="5663" width="46.85546875" style="1306" customWidth="1"/>
    <col min="5664" max="5666" width="12.7109375" style="1306" customWidth="1"/>
    <col min="5667" max="5667" width="9.28515625" style="1306" customWidth="1"/>
    <col min="5668" max="5668" width="13.5703125" style="1306" customWidth="1"/>
    <col min="5669" max="5669" width="10.28515625" style="1306" customWidth="1"/>
    <col min="5670" max="5670" width="12.85546875" style="1306" customWidth="1"/>
    <col min="5671" max="5671" width="9.140625" style="1306" customWidth="1"/>
    <col min="5672" max="5672" width="9.7109375" style="1306" customWidth="1"/>
    <col min="5673" max="5673" width="9.28515625" style="1306" customWidth="1"/>
    <col min="5674" max="5674" width="9.42578125" style="1306" customWidth="1"/>
    <col min="5675" max="5675" width="10.5703125" style="1306" customWidth="1"/>
    <col min="5676" max="5676" width="12.42578125" style="1306" customWidth="1"/>
    <col min="5677" max="5677" width="14.5703125" style="1306" customWidth="1"/>
    <col min="5678" max="5678" width="12.28515625" style="1306" customWidth="1"/>
    <col min="5679" max="5679" width="25.85546875" style="1306" customWidth="1"/>
    <col min="5680" max="5911" width="0.85546875" style="1306"/>
    <col min="5912" max="5912" width="9.85546875" style="1306" customWidth="1"/>
    <col min="5913" max="5913" width="81.85546875" style="1306" customWidth="1"/>
    <col min="5914" max="5914" width="12.7109375" style="1306" customWidth="1"/>
    <col min="5915" max="5915" width="12.42578125" style="1306" customWidth="1"/>
    <col min="5916" max="5916" width="14.5703125" style="1306" customWidth="1"/>
    <col min="5917" max="5917" width="12.28515625" style="1306" customWidth="1"/>
    <col min="5918" max="5918" width="38.140625" style="1306" customWidth="1"/>
    <col min="5919" max="5919" width="46.85546875" style="1306" customWidth="1"/>
    <col min="5920" max="5922" width="12.7109375" style="1306" customWidth="1"/>
    <col min="5923" max="5923" width="9.28515625" style="1306" customWidth="1"/>
    <col min="5924" max="5924" width="13.5703125" style="1306" customWidth="1"/>
    <col min="5925" max="5925" width="10.28515625" style="1306" customWidth="1"/>
    <col min="5926" max="5926" width="12.85546875" style="1306" customWidth="1"/>
    <col min="5927" max="5927" width="9.140625" style="1306" customWidth="1"/>
    <col min="5928" max="5928" width="9.7109375" style="1306" customWidth="1"/>
    <col min="5929" max="5929" width="9.28515625" style="1306" customWidth="1"/>
    <col min="5930" max="5930" width="9.42578125" style="1306" customWidth="1"/>
    <col min="5931" max="5931" width="10.5703125" style="1306" customWidth="1"/>
    <col min="5932" max="5932" width="12.42578125" style="1306" customWidth="1"/>
    <col min="5933" max="5933" width="14.5703125" style="1306" customWidth="1"/>
    <col min="5934" max="5934" width="12.28515625" style="1306" customWidth="1"/>
    <col min="5935" max="5935" width="25.85546875" style="1306" customWidth="1"/>
    <col min="5936" max="6167" width="0.85546875" style="1306"/>
    <col min="6168" max="6168" width="9.85546875" style="1306" customWidth="1"/>
    <col min="6169" max="6169" width="81.85546875" style="1306" customWidth="1"/>
    <col min="6170" max="6170" width="12.7109375" style="1306" customWidth="1"/>
    <col min="6171" max="6171" width="12.42578125" style="1306" customWidth="1"/>
    <col min="6172" max="6172" width="14.5703125" style="1306" customWidth="1"/>
    <col min="6173" max="6173" width="12.28515625" style="1306" customWidth="1"/>
    <col min="6174" max="6174" width="38.140625" style="1306" customWidth="1"/>
    <col min="6175" max="6175" width="46.85546875" style="1306" customWidth="1"/>
    <col min="6176" max="6178" width="12.7109375" style="1306" customWidth="1"/>
    <col min="6179" max="6179" width="9.28515625" style="1306" customWidth="1"/>
    <col min="6180" max="6180" width="13.5703125" style="1306" customWidth="1"/>
    <col min="6181" max="6181" width="10.28515625" style="1306" customWidth="1"/>
    <col min="6182" max="6182" width="12.85546875" style="1306" customWidth="1"/>
    <col min="6183" max="6183" width="9.140625" style="1306" customWidth="1"/>
    <col min="6184" max="6184" width="9.7109375" style="1306" customWidth="1"/>
    <col min="6185" max="6185" width="9.28515625" style="1306" customWidth="1"/>
    <col min="6186" max="6186" width="9.42578125" style="1306" customWidth="1"/>
    <col min="6187" max="6187" width="10.5703125" style="1306" customWidth="1"/>
    <col min="6188" max="6188" width="12.42578125" style="1306" customWidth="1"/>
    <col min="6189" max="6189" width="14.5703125" style="1306" customWidth="1"/>
    <col min="6190" max="6190" width="12.28515625" style="1306" customWidth="1"/>
    <col min="6191" max="6191" width="25.85546875" style="1306" customWidth="1"/>
    <col min="6192" max="6423" width="0.85546875" style="1306"/>
    <col min="6424" max="6424" width="9.85546875" style="1306" customWidth="1"/>
    <col min="6425" max="6425" width="81.85546875" style="1306" customWidth="1"/>
    <col min="6426" max="6426" width="12.7109375" style="1306" customWidth="1"/>
    <col min="6427" max="6427" width="12.42578125" style="1306" customWidth="1"/>
    <col min="6428" max="6428" width="14.5703125" style="1306" customWidth="1"/>
    <col min="6429" max="6429" width="12.28515625" style="1306" customWidth="1"/>
    <col min="6430" max="6430" width="38.140625" style="1306" customWidth="1"/>
    <col min="6431" max="6431" width="46.85546875" style="1306" customWidth="1"/>
    <col min="6432" max="6434" width="12.7109375" style="1306" customWidth="1"/>
    <col min="6435" max="6435" width="9.28515625" style="1306" customWidth="1"/>
    <col min="6436" max="6436" width="13.5703125" style="1306" customWidth="1"/>
    <col min="6437" max="6437" width="10.28515625" style="1306" customWidth="1"/>
    <col min="6438" max="6438" width="12.85546875" style="1306" customWidth="1"/>
    <col min="6439" max="6439" width="9.140625" style="1306" customWidth="1"/>
    <col min="6440" max="6440" width="9.7109375" style="1306" customWidth="1"/>
    <col min="6441" max="6441" width="9.28515625" style="1306" customWidth="1"/>
    <col min="6442" max="6442" width="9.42578125" style="1306" customWidth="1"/>
    <col min="6443" max="6443" width="10.5703125" style="1306" customWidth="1"/>
    <col min="6444" max="6444" width="12.42578125" style="1306" customWidth="1"/>
    <col min="6445" max="6445" width="14.5703125" style="1306" customWidth="1"/>
    <col min="6446" max="6446" width="12.28515625" style="1306" customWidth="1"/>
    <col min="6447" max="6447" width="25.85546875" style="1306" customWidth="1"/>
    <col min="6448" max="6679" width="0.85546875" style="1306"/>
    <col min="6680" max="6680" width="9.85546875" style="1306" customWidth="1"/>
    <col min="6681" max="6681" width="81.85546875" style="1306" customWidth="1"/>
    <col min="6682" max="6682" width="12.7109375" style="1306" customWidth="1"/>
    <col min="6683" max="6683" width="12.42578125" style="1306" customWidth="1"/>
    <col min="6684" max="6684" width="14.5703125" style="1306" customWidth="1"/>
    <col min="6685" max="6685" width="12.28515625" style="1306" customWidth="1"/>
    <col min="6686" max="6686" width="38.140625" style="1306" customWidth="1"/>
    <col min="6687" max="6687" width="46.85546875" style="1306" customWidth="1"/>
    <col min="6688" max="6690" width="12.7109375" style="1306" customWidth="1"/>
    <col min="6691" max="6691" width="9.28515625" style="1306" customWidth="1"/>
    <col min="6692" max="6692" width="13.5703125" style="1306" customWidth="1"/>
    <col min="6693" max="6693" width="10.28515625" style="1306" customWidth="1"/>
    <col min="6694" max="6694" width="12.85546875" style="1306" customWidth="1"/>
    <col min="6695" max="6695" width="9.140625" style="1306" customWidth="1"/>
    <col min="6696" max="6696" width="9.7109375" style="1306" customWidth="1"/>
    <col min="6697" max="6697" width="9.28515625" style="1306" customWidth="1"/>
    <col min="6698" max="6698" width="9.42578125" style="1306" customWidth="1"/>
    <col min="6699" max="6699" width="10.5703125" style="1306" customWidth="1"/>
    <col min="6700" max="6700" width="12.42578125" style="1306" customWidth="1"/>
    <col min="6701" max="6701" width="14.5703125" style="1306" customWidth="1"/>
    <col min="6702" max="6702" width="12.28515625" style="1306" customWidth="1"/>
    <col min="6703" max="6703" width="25.85546875" style="1306" customWidth="1"/>
    <col min="6704" max="6935" width="0.85546875" style="1306"/>
    <col min="6936" max="6936" width="9.85546875" style="1306" customWidth="1"/>
    <col min="6937" max="6937" width="81.85546875" style="1306" customWidth="1"/>
    <col min="6938" max="6938" width="12.7109375" style="1306" customWidth="1"/>
    <col min="6939" max="6939" width="12.42578125" style="1306" customWidth="1"/>
    <col min="6940" max="6940" width="14.5703125" style="1306" customWidth="1"/>
    <col min="6941" max="6941" width="12.28515625" style="1306" customWidth="1"/>
    <col min="6942" max="6942" width="38.140625" style="1306" customWidth="1"/>
    <col min="6943" max="6943" width="46.85546875" style="1306" customWidth="1"/>
    <col min="6944" max="6946" width="12.7109375" style="1306" customWidth="1"/>
    <col min="6947" max="6947" width="9.28515625" style="1306" customWidth="1"/>
    <col min="6948" max="6948" width="13.5703125" style="1306" customWidth="1"/>
    <col min="6949" max="6949" width="10.28515625" style="1306" customWidth="1"/>
    <col min="6950" max="6950" width="12.85546875" style="1306" customWidth="1"/>
    <col min="6951" max="6951" width="9.140625" style="1306" customWidth="1"/>
    <col min="6952" max="6952" width="9.7109375" style="1306" customWidth="1"/>
    <col min="6953" max="6953" width="9.28515625" style="1306" customWidth="1"/>
    <col min="6954" max="6954" width="9.42578125" style="1306" customWidth="1"/>
    <col min="6955" max="6955" width="10.5703125" style="1306" customWidth="1"/>
    <col min="6956" max="6956" width="12.42578125" style="1306" customWidth="1"/>
    <col min="6957" max="6957" width="14.5703125" style="1306" customWidth="1"/>
    <col min="6958" max="6958" width="12.28515625" style="1306" customWidth="1"/>
    <col min="6959" max="6959" width="25.85546875" style="1306" customWidth="1"/>
    <col min="6960" max="7191" width="0.85546875" style="1306"/>
    <col min="7192" max="7192" width="9.85546875" style="1306" customWidth="1"/>
    <col min="7193" max="7193" width="81.85546875" style="1306" customWidth="1"/>
    <col min="7194" max="7194" width="12.7109375" style="1306" customWidth="1"/>
    <col min="7195" max="7195" width="12.42578125" style="1306" customWidth="1"/>
    <col min="7196" max="7196" width="14.5703125" style="1306" customWidth="1"/>
    <col min="7197" max="7197" width="12.28515625" style="1306" customWidth="1"/>
    <col min="7198" max="7198" width="38.140625" style="1306" customWidth="1"/>
    <col min="7199" max="7199" width="46.85546875" style="1306" customWidth="1"/>
    <col min="7200" max="7202" width="12.7109375" style="1306" customWidth="1"/>
    <col min="7203" max="7203" width="9.28515625" style="1306" customWidth="1"/>
    <col min="7204" max="7204" width="13.5703125" style="1306" customWidth="1"/>
    <col min="7205" max="7205" width="10.28515625" style="1306" customWidth="1"/>
    <col min="7206" max="7206" width="12.85546875" style="1306" customWidth="1"/>
    <col min="7207" max="7207" width="9.140625" style="1306" customWidth="1"/>
    <col min="7208" max="7208" width="9.7109375" style="1306" customWidth="1"/>
    <col min="7209" max="7209" width="9.28515625" style="1306" customWidth="1"/>
    <col min="7210" max="7210" width="9.42578125" style="1306" customWidth="1"/>
    <col min="7211" max="7211" width="10.5703125" style="1306" customWidth="1"/>
    <col min="7212" max="7212" width="12.42578125" style="1306" customWidth="1"/>
    <col min="7213" max="7213" width="14.5703125" style="1306" customWidth="1"/>
    <col min="7214" max="7214" width="12.28515625" style="1306" customWidth="1"/>
    <col min="7215" max="7215" width="25.85546875" style="1306" customWidth="1"/>
    <col min="7216" max="7447" width="0.85546875" style="1306"/>
    <col min="7448" max="7448" width="9.85546875" style="1306" customWidth="1"/>
    <col min="7449" max="7449" width="81.85546875" style="1306" customWidth="1"/>
    <col min="7450" max="7450" width="12.7109375" style="1306" customWidth="1"/>
    <col min="7451" max="7451" width="12.42578125" style="1306" customWidth="1"/>
    <col min="7452" max="7452" width="14.5703125" style="1306" customWidth="1"/>
    <col min="7453" max="7453" width="12.28515625" style="1306" customWidth="1"/>
    <col min="7454" max="7454" width="38.140625" style="1306" customWidth="1"/>
    <col min="7455" max="7455" width="46.85546875" style="1306" customWidth="1"/>
    <col min="7456" max="7458" width="12.7109375" style="1306" customWidth="1"/>
    <col min="7459" max="7459" width="9.28515625" style="1306" customWidth="1"/>
    <col min="7460" max="7460" width="13.5703125" style="1306" customWidth="1"/>
    <col min="7461" max="7461" width="10.28515625" style="1306" customWidth="1"/>
    <col min="7462" max="7462" width="12.85546875" style="1306" customWidth="1"/>
    <col min="7463" max="7463" width="9.140625" style="1306" customWidth="1"/>
    <col min="7464" max="7464" width="9.7109375" style="1306" customWidth="1"/>
    <col min="7465" max="7465" width="9.28515625" style="1306" customWidth="1"/>
    <col min="7466" max="7466" width="9.42578125" style="1306" customWidth="1"/>
    <col min="7467" max="7467" width="10.5703125" style="1306" customWidth="1"/>
    <col min="7468" max="7468" width="12.42578125" style="1306" customWidth="1"/>
    <col min="7469" max="7469" width="14.5703125" style="1306" customWidth="1"/>
    <col min="7470" max="7470" width="12.28515625" style="1306" customWidth="1"/>
    <col min="7471" max="7471" width="25.85546875" style="1306" customWidth="1"/>
    <col min="7472" max="7703" width="0.85546875" style="1306"/>
    <col min="7704" max="7704" width="9.85546875" style="1306" customWidth="1"/>
    <col min="7705" max="7705" width="81.85546875" style="1306" customWidth="1"/>
    <col min="7706" max="7706" width="12.7109375" style="1306" customWidth="1"/>
    <col min="7707" max="7707" width="12.42578125" style="1306" customWidth="1"/>
    <col min="7708" max="7708" width="14.5703125" style="1306" customWidth="1"/>
    <col min="7709" max="7709" width="12.28515625" style="1306" customWidth="1"/>
    <col min="7710" max="7710" width="38.140625" style="1306" customWidth="1"/>
    <col min="7711" max="7711" width="46.85546875" style="1306" customWidth="1"/>
    <col min="7712" max="7714" width="12.7109375" style="1306" customWidth="1"/>
    <col min="7715" max="7715" width="9.28515625" style="1306" customWidth="1"/>
    <col min="7716" max="7716" width="13.5703125" style="1306" customWidth="1"/>
    <col min="7717" max="7717" width="10.28515625" style="1306" customWidth="1"/>
    <col min="7718" max="7718" width="12.85546875" style="1306" customWidth="1"/>
    <col min="7719" max="7719" width="9.140625" style="1306" customWidth="1"/>
    <col min="7720" max="7720" width="9.7109375" style="1306" customWidth="1"/>
    <col min="7721" max="7721" width="9.28515625" style="1306" customWidth="1"/>
    <col min="7722" max="7722" width="9.42578125" style="1306" customWidth="1"/>
    <col min="7723" max="7723" width="10.5703125" style="1306" customWidth="1"/>
    <col min="7724" max="7724" width="12.42578125" style="1306" customWidth="1"/>
    <col min="7725" max="7725" width="14.5703125" style="1306" customWidth="1"/>
    <col min="7726" max="7726" width="12.28515625" style="1306" customWidth="1"/>
    <col min="7727" max="7727" width="25.85546875" style="1306" customWidth="1"/>
    <col min="7728" max="7959" width="0.85546875" style="1306"/>
    <col min="7960" max="7960" width="9.85546875" style="1306" customWidth="1"/>
    <col min="7961" max="7961" width="81.85546875" style="1306" customWidth="1"/>
    <col min="7962" max="7962" width="12.7109375" style="1306" customWidth="1"/>
    <col min="7963" max="7963" width="12.42578125" style="1306" customWidth="1"/>
    <col min="7964" max="7964" width="14.5703125" style="1306" customWidth="1"/>
    <col min="7965" max="7965" width="12.28515625" style="1306" customWidth="1"/>
    <col min="7966" max="7966" width="38.140625" style="1306" customWidth="1"/>
    <col min="7967" max="7967" width="46.85546875" style="1306" customWidth="1"/>
    <col min="7968" max="7970" width="12.7109375" style="1306" customWidth="1"/>
    <col min="7971" max="7971" width="9.28515625" style="1306" customWidth="1"/>
    <col min="7972" max="7972" width="13.5703125" style="1306" customWidth="1"/>
    <col min="7973" max="7973" width="10.28515625" style="1306" customWidth="1"/>
    <col min="7974" max="7974" width="12.85546875" style="1306" customWidth="1"/>
    <col min="7975" max="7975" width="9.140625" style="1306" customWidth="1"/>
    <col min="7976" max="7976" width="9.7109375" style="1306" customWidth="1"/>
    <col min="7977" max="7977" width="9.28515625" style="1306" customWidth="1"/>
    <col min="7978" max="7978" width="9.42578125" style="1306" customWidth="1"/>
    <col min="7979" max="7979" width="10.5703125" style="1306" customWidth="1"/>
    <col min="7980" max="7980" width="12.42578125" style="1306" customWidth="1"/>
    <col min="7981" max="7981" width="14.5703125" style="1306" customWidth="1"/>
    <col min="7982" max="7982" width="12.28515625" style="1306" customWidth="1"/>
    <col min="7983" max="7983" width="25.85546875" style="1306" customWidth="1"/>
    <col min="7984" max="8215" width="0.85546875" style="1306"/>
    <col min="8216" max="8216" width="9.85546875" style="1306" customWidth="1"/>
    <col min="8217" max="8217" width="81.85546875" style="1306" customWidth="1"/>
    <col min="8218" max="8218" width="12.7109375" style="1306" customWidth="1"/>
    <col min="8219" max="8219" width="12.42578125" style="1306" customWidth="1"/>
    <col min="8220" max="8220" width="14.5703125" style="1306" customWidth="1"/>
    <col min="8221" max="8221" width="12.28515625" style="1306" customWidth="1"/>
    <col min="8222" max="8222" width="38.140625" style="1306" customWidth="1"/>
    <col min="8223" max="8223" width="46.85546875" style="1306" customWidth="1"/>
    <col min="8224" max="8226" width="12.7109375" style="1306" customWidth="1"/>
    <col min="8227" max="8227" width="9.28515625" style="1306" customWidth="1"/>
    <col min="8228" max="8228" width="13.5703125" style="1306" customWidth="1"/>
    <col min="8229" max="8229" width="10.28515625" style="1306" customWidth="1"/>
    <col min="8230" max="8230" width="12.85546875" style="1306" customWidth="1"/>
    <col min="8231" max="8231" width="9.140625" style="1306" customWidth="1"/>
    <col min="8232" max="8232" width="9.7109375" style="1306" customWidth="1"/>
    <col min="8233" max="8233" width="9.28515625" style="1306" customWidth="1"/>
    <col min="8234" max="8234" width="9.42578125" style="1306" customWidth="1"/>
    <col min="8235" max="8235" width="10.5703125" style="1306" customWidth="1"/>
    <col min="8236" max="8236" width="12.42578125" style="1306" customWidth="1"/>
    <col min="8237" max="8237" width="14.5703125" style="1306" customWidth="1"/>
    <col min="8238" max="8238" width="12.28515625" style="1306" customWidth="1"/>
    <col min="8239" max="8239" width="25.85546875" style="1306" customWidth="1"/>
    <col min="8240" max="8471" width="0.85546875" style="1306"/>
    <col min="8472" max="8472" width="9.85546875" style="1306" customWidth="1"/>
    <col min="8473" max="8473" width="81.85546875" style="1306" customWidth="1"/>
    <col min="8474" max="8474" width="12.7109375" style="1306" customWidth="1"/>
    <col min="8475" max="8475" width="12.42578125" style="1306" customWidth="1"/>
    <col min="8476" max="8476" width="14.5703125" style="1306" customWidth="1"/>
    <col min="8477" max="8477" width="12.28515625" style="1306" customWidth="1"/>
    <col min="8478" max="8478" width="38.140625" style="1306" customWidth="1"/>
    <col min="8479" max="8479" width="46.85546875" style="1306" customWidth="1"/>
    <col min="8480" max="8482" width="12.7109375" style="1306" customWidth="1"/>
    <col min="8483" max="8483" width="9.28515625" style="1306" customWidth="1"/>
    <col min="8484" max="8484" width="13.5703125" style="1306" customWidth="1"/>
    <col min="8485" max="8485" width="10.28515625" style="1306" customWidth="1"/>
    <col min="8486" max="8486" width="12.85546875" style="1306" customWidth="1"/>
    <col min="8487" max="8487" width="9.140625" style="1306" customWidth="1"/>
    <col min="8488" max="8488" width="9.7109375" style="1306" customWidth="1"/>
    <col min="8489" max="8489" width="9.28515625" style="1306" customWidth="1"/>
    <col min="8490" max="8490" width="9.42578125" style="1306" customWidth="1"/>
    <col min="8491" max="8491" width="10.5703125" style="1306" customWidth="1"/>
    <col min="8492" max="8492" width="12.42578125" style="1306" customWidth="1"/>
    <col min="8493" max="8493" width="14.5703125" style="1306" customWidth="1"/>
    <col min="8494" max="8494" width="12.28515625" style="1306" customWidth="1"/>
    <col min="8495" max="8495" width="25.85546875" style="1306" customWidth="1"/>
    <col min="8496" max="8727" width="0.85546875" style="1306"/>
    <col min="8728" max="8728" width="9.85546875" style="1306" customWidth="1"/>
    <col min="8729" max="8729" width="81.85546875" style="1306" customWidth="1"/>
    <col min="8730" max="8730" width="12.7109375" style="1306" customWidth="1"/>
    <col min="8731" max="8731" width="12.42578125" style="1306" customWidth="1"/>
    <col min="8732" max="8732" width="14.5703125" style="1306" customWidth="1"/>
    <col min="8733" max="8733" width="12.28515625" style="1306" customWidth="1"/>
    <col min="8734" max="8734" width="38.140625" style="1306" customWidth="1"/>
    <col min="8735" max="8735" width="46.85546875" style="1306" customWidth="1"/>
    <col min="8736" max="8738" width="12.7109375" style="1306" customWidth="1"/>
    <col min="8739" max="8739" width="9.28515625" style="1306" customWidth="1"/>
    <col min="8740" max="8740" width="13.5703125" style="1306" customWidth="1"/>
    <col min="8741" max="8741" width="10.28515625" style="1306" customWidth="1"/>
    <col min="8742" max="8742" width="12.85546875" style="1306" customWidth="1"/>
    <col min="8743" max="8743" width="9.140625" style="1306" customWidth="1"/>
    <col min="8744" max="8744" width="9.7109375" style="1306" customWidth="1"/>
    <col min="8745" max="8745" width="9.28515625" style="1306" customWidth="1"/>
    <col min="8746" max="8746" width="9.42578125" style="1306" customWidth="1"/>
    <col min="8747" max="8747" width="10.5703125" style="1306" customWidth="1"/>
    <col min="8748" max="8748" width="12.42578125" style="1306" customWidth="1"/>
    <col min="8749" max="8749" width="14.5703125" style="1306" customWidth="1"/>
    <col min="8750" max="8750" width="12.28515625" style="1306" customWidth="1"/>
    <col min="8751" max="8751" width="25.85546875" style="1306" customWidth="1"/>
    <col min="8752" max="8983" width="0.85546875" style="1306"/>
    <col min="8984" max="8984" width="9.85546875" style="1306" customWidth="1"/>
    <col min="8985" max="8985" width="81.85546875" style="1306" customWidth="1"/>
    <col min="8986" max="8986" width="12.7109375" style="1306" customWidth="1"/>
    <col min="8987" max="8987" width="12.42578125" style="1306" customWidth="1"/>
    <col min="8988" max="8988" width="14.5703125" style="1306" customWidth="1"/>
    <col min="8989" max="8989" width="12.28515625" style="1306" customWidth="1"/>
    <col min="8990" max="8990" width="38.140625" style="1306" customWidth="1"/>
    <col min="8991" max="8991" width="46.85546875" style="1306" customWidth="1"/>
    <col min="8992" max="8994" width="12.7109375" style="1306" customWidth="1"/>
    <col min="8995" max="8995" width="9.28515625" style="1306" customWidth="1"/>
    <col min="8996" max="8996" width="13.5703125" style="1306" customWidth="1"/>
    <col min="8997" max="8997" width="10.28515625" style="1306" customWidth="1"/>
    <col min="8998" max="8998" width="12.85546875" style="1306" customWidth="1"/>
    <col min="8999" max="8999" width="9.140625" style="1306" customWidth="1"/>
    <col min="9000" max="9000" width="9.7109375" style="1306" customWidth="1"/>
    <col min="9001" max="9001" width="9.28515625" style="1306" customWidth="1"/>
    <col min="9002" max="9002" width="9.42578125" style="1306" customWidth="1"/>
    <col min="9003" max="9003" width="10.5703125" style="1306" customWidth="1"/>
    <col min="9004" max="9004" width="12.42578125" style="1306" customWidth="1"/>
    <col min="9005" max="9005" width="14.5703125" style="1306" customWidth="1"/>
    <col min="9006" max="9006" width="12.28515625" style="1306" customWidth="1"/>
    <col min="9007" max="9007" width="25.85546875" style="1306" customWidth="1"/>
    <col min="9008" max="9239" width="0.85546875" style="1306"/>
    <col min="9240" max="9240" width="9.85546875" style="1306" customWidth="1"/>
    <col min="9241" max="9241" width="81.85546875" style="1306" customWidth="1"/>
    <col min="9242" max="9242" width="12.7109375" style="1306" customWidth="1"/>
    <col min="9243" max="9243" width="12.42578125" style="1306" customWidth="1"/>
    <col min="9244" max="9244" width="14.5703125" style="1306" customWidth="1"/>
    <col min="9245" max="9245" width="12.28515625" style="1306" customWidth="1"/>
    <col min="9246" max="9246" width="38.140625" style="1306" customWidth="1"/>
    <col min="9247" max="9247" width="46.85546875" style="1306" customWidth="1"/>
    <col min="9248" max="9250" width="12.7109375" style="1306" customWidth="1"/>
    <col min="9251" max="9251" width="9.28515625" style="1306" customWidth="1"/>
    <col min="9252" max="9252" width="13.5703125" style="1306" customWidth="1"/>
    <col min="9253" max="9253" width="10.28515625" style="1306" customWidth="1"/>
    <col min="9254" max="9254" width="12.85546875" style="1306" customWidth="1"/>
    <col min="9255" max="9255" width="9.140625" style="1306" customWidth="1"/>
    <col min="9256" max="9256" width="9.7109375" style="1306" customWidth="1"/>
    <col min="9257" max="9257" width="9.28515625" style="1306" customWidth="1"/>
    <col min="9258" max="9258" width="9.42578125" style="1306" customWidth="1"/>
    <col min="9259" max="9259" width="10.5703125" style="1306" customWidth="1"/>
    <col min="9260" max="9260" width="12.42578125" style="1306" customWidth="1"/>
    <col min="9261" max="9261" width="14.5703125" style="1306" customWidth="1"/>
    <col min="9262" max="9262" width="12.28515625" style="1306" customWidth="1"/>
    <col min="9263" max="9263" width="25.85546875" style="1306" customWidth="1"/>
    <col min="9264" max="9495" width="0.85546875" style="1306"/>
    <col min="9496" max="9496" width="9.85546875" style="1306" customWidth="1"/>
    <col min="9497" max="9497" width="81.85546875" style="1306" customWidth="1"/>
    <col min="9498" max="9498" width="12.7109375" style="1306" customWidth="1"/>
    <col min="9499" max="9499" width="12.42578125" style="1306" customWidth="1"/>
    <col min="9500" max="9500" width="14.5703125" style="1306" customWidth="1"/>
    <col min="9501" max="9501" width="12.28515625" style="1306" customWidth="1"/>
    <col min="9502" max="9502" width="38.140625" style="1306" customWidth="1"/>
    <col min="9503" max="9503" width="46.85546875" style="1306" customWidth="1"/>
    <col min="9504" max="9506" width="12.7109375" style="1306" customWidth="1"/>
    <col min="9507" max="9507" width="9.28515625" style="1306" customWidth="1"/>
    <col min="9508" max="9508" width="13.5703125" style="1306" customWidth="1"/>
    <col min="9509" max="9509" width="10.28515625" style="1306" customWidth="1"/>
    <col min="9510" max="9510" width="12.85546875" style="1306" customWidth="1"/>
    <col min="9511" max="9511" width="9.140625" style="1306" customWidth="1"/>
    <col min="9512" max="9512" width="9.7109375" style="1306" customWidth="1"/>
    <col min="9513" max="9513" width="9.28515625" style="1306" customWidth="1"/>
    <col min="9514" max="9514" width="9.42578125" style="1306" customWidth="1"/>
    <col min="9515" max="9515" width="10.5703125" style="1306" customWidth="1"/>
    <col min="9516" max="9516" width="12.42578125" style="1306" customWidth="1"/>
    <col min="9517" max="9517" width="14.5703125" style="1306" customWidth="1"/>
    <col min="9518" max="9518" width="12.28515625" style="1306" customWidth="1"/>
    <col min="9519" max="9519" width="25.85546875" style="1306" customWidth="1"/>
    <col min="9520" max="9751" width="0.85546875" style="1306"/>
    <col min="9752" max="9752" width="9.85546875" style="1306" customWidth="1"/>
    <col min="9753" max="9753" width="81.85546875" style="1306" customWidth="1"/>
    <col min="9754" max="9754" width="12.7109375" style="1306" customWidth="1"/>
    <col min="9755" max="9755" width="12.42578125" style="1306" customWidth="1"/>
    <col min="9756" max="9756" width="14.5703125" style="1306" customWidth="1"/>
    <col min="9757" max="9757" width="12.28515625" style="1306" customWidth="1"/>
    <col min="9758" max="9758" width="38.140625" style="1306" customWidth="1"/>
    <col min="9759" max="9759" width="46.85546875" style="1306" customWidth="1"/>
    <col min="9760" max="9762" width="12.7109375" style="1306" customWidth="1"/>
    <col min="9763" max="9763" width="9.28515625" style="1306" customWidth="1"/>
    <col min="9764" max="9764" width="13.5703125" style="1306" customWidth="1"/>
    <col min="9765" max="9765" width="10.28515625" style="1306" customWidth="1"/>
    <col min="9766" max="9766" width="12.85546875" style="1306" customWidth="1"/>
    <col min="9767" max="9767" width="9.140625" style="1306" customWidth="1"/>
    <col min="9768" max="9768" width="9.7109375" style="1306" customWidth="1"/>
    <col min="9769" max="9769" width="9.28515625" style="1306" customWidth="1"/>
    <col min="9770" max="9770" width="9.42578125" style="1306" customWidth="1"/>
    <col min="9771" max="9771" width="10.5703125" style="1306" customWidth="1"/>
    <col min="9772" max="9772" width="12.42578125" style="1306" customWidth="1"/>
    <col min="9773" max="9773" width="14.5703125" style="1306" customWidth="1"/>
    <col min="9774" max="9774" width="12.28515625" style="1306" customWidth="1"/>
    <col min="9775" max="9775" width="25.85546875" style="1306" customWidth="1"/>
    <col min="9776" max="10007" width="0.85546875" style="1306"/>
    <col min="10008" max="10008" width="9.85546875" style="1306" customWidth="1"/>
    <col min="10009" max="10009" width="81.85546875" style="1306" customWidth="1"/>
    <col min="10010" max="10010" width="12.7109375" style="1306" customWidth="1"/>
    <col min="10011" max="10011" width="12.42578125" style="1306" customWidth="1"/>
    <col min="10012" max="10012" width="14.5703125" style="1306" customWidth="1"/>
    <col min="10013" max="10013" width="12.28515625" style="1306" customWidth="1"/>
    <col min="10014" max="10014" width="38.140625" style="1306" customWidth="1"/>
    <col min="10015" max="10015" width="46.85546875" style="1306" customWidth="1"/>
    <col min="10016" max="10018" width="12.7109375" style="1306" customWidth="1"/>
    <col min="10019" max="10019" width="9.28515625" style="1306" customWidth="1"/>
    <col min="10020" max="10020" width="13.5703125" style="1306" customWidth="1"/>
    <col min="10021" max="10021" width="10.28515625" style="1306" customWidth="1"/>
    <col min="10022" max="10022" width="12.85546875" style="1306" customWidth="1"/>
    <col min="10023" max="10023" width="9.140625" style="1306" customWidth="1"/>
    <col min="10024" max="10024" width="9.7109375" style="1306" customWidth="1"/>
    <col min="10025" max="10025" width="9.28515625" style="1306" customWidth="1"/>
    <col min="10026" max="10026" width="9.42578125" style="1306" customWidth="1"/>
    <col min="10027" max="10027" width="10.5703125" style="1306" customWidth="1"/>
    <col min="10028" max="10028" width="12.42578125" style="1306" customWidth="1"/>
    <col min="10029" max="10029" width="14.5703125" style="1306" customWidth="1"/>
    <col min="10030" max="10030" width="12.28515625" style="1306" customWidth="1"/>
    <col min="10031" max="10031" width="25.85546875" style="1306" customWidth="1"/>
    <col min="10032" max="10263" width="0.85546875" style="1306"/>
    <col min="10264" max="10264" width="9.85546875" style="1306" customWidth="1"/>
    <col min="10265" max="10265" width="81.85546875" style="1306" customWidth="1"/>
    <col min="10266" max="10266" width="12.7109375" style="1306" customWidth="1"/>
    <col min="10267" max="10267" width="12.42578125" style="1306" customWidth="1"/>
    <col min="10268" max="10268" width="14.5703125" style="1306" customWidth="1"/>
    <col min="10269" max="10269" width="12.28515625" style="1306" customWidth="1"/>
    <col min="10270" max="10270" width="38.140625" style="1306" customWidth="1"/>
    <col min="10271" max="10271" width="46.85546875" style="1306" customWidth="1"/>
    <col min="10272" max="10274" width="12.7109375" style="1306" customWidth="1"/>
    <col min="10275" max="10275" width="9.28515625" style="1306" customWidth="1"/>
    <col min="10276" max="10276" width="13.5703125" style="1306" customWidth="1"/>
    <col min="10277" max="10277" width="10.28515625" style="1306" customWidth="1"/>
    <col min="10278" max="10278" width="12.85546875" style="1306" customWidth="1"/>
    <col min="10279" max="10279" width="9.140625" style="1306" customWidth="1"/>
    <col min="10280" max="10280" width="9.7109375" style="1306" customWidth="1"/>
    <col min="10281" max="10281" width="9.28515625" style="1306" customWidth="1"/>
    <col min="10282" max="10282" width="9.42578125" style="1306" customWidth="1"/>
    <col min="10283" max="10283" width="10.5703125" style="1306" customWidth="1"/>
    <col min="10284" max="10284" width="12.42578125" style="1306" customWidth="1"/>
    <col min="10285" max="10285" width="14.5703125" style="1306" customWidth="1"/>
    <col min="10286" max="10286" width="12.28515625" style="1306" customWidth="1"/>
    <col min="10287" max="10287" width="25.85546875" style="1306" customWidth="1"/>
    <col min="10288" max="10519" width="0.85546875" style="1306"/>
    <col min="10520" max="10520" width="9.85546875" style="1306" customWidth="1"/>
    <col min="10521" max="10521" width="81.85546875" style="1306" customWidth="1"/>
    <col min="10522" max="10522" width="12.7109375" style="1306" customWidth="1"/>
    <col min="10523" max="10523" width="12.42578125" style="1306" customWidth="1"/>
    <col min="10524" max="10524" width="14.5703125" style="1306" customWidth="1"/>
    <col min="10525" max="10525" width="12.28515625" style="1306" customWidth="1"/>
    <col min="10526" max="10526" width="38.140625" style="1306" customWidth="1"/>
    <col min="10527" max="10527" width="46.85546875" style="1306" customWidth="1"/>
    <col min="10528" max="10530" width="12.7109375" style="1306" customWidth="1"/>
    <col min="10531" max="10531" width="9.28515625" style="1306" customWidth="1"/>
    <col min="10532" max="10532" width="13.5703125" style="1306" customWidth="1"/>
    <col min="10533" max="10533" width="10.28515625" style="1306" customWidth="1"/>
    <col min="10534" max="10534" width="12.85546875" style="1306" customWidth="1"/>
    <col min="10535" max="10535" width="9.140625" style="1306" customWidth="1"/>
    <col min="10536" max="10536" width="9.7109375" style="1306" customWidth="1"/>
    <col min="10537" max="10537" width="9.28515625" style="1306" customWidth="1"/>
    <col min="10538" max="10538" width="9.42578125" style="1306" customWidth="1"/>
    <col min="10539" max="10539" width="10.5703125" style="1306" customWidth="1"/>
    <col min="10540" max="10540" width="12.42578125" style="1306" customWidth="1"/>
    <col min="10541" max="10541" width="14.5703125" style="1306" customWidth="1"/>
    <col min="10542" max="10542" width="12.28515625" style="1306" customWidth="1"/>
    <col min="10543" max="10543" width="25.85546875" style="1306" customWidth="1"/>
    <col min="10544" max="10775" width="0.85546875" style="1306"/>
    <col min="10776" max="10776" width="9.85546875" style="1306" customWidth="1"/>
    <col min="10777" max="10777" width="81.85546875" style="1306" customWidth="1"/>
    <col min="10778" max="10778" width="12.7109375" style="1306" customWidth="1"/>
    <col min="10779" max="10779" width="12.42578125" style="1306" customWidth="1"/>
    <col min="10780" max="10780" width="14.5703125" style="1306" customWidth="1"/>
    <col min="10781" max="10781" width="12.28515625" style="1306" customWidth="1"/>
    <col min="10782" max="10782" width="38.140625" style="1306" customWidth="1"/>
    <col min="10783" max="10783" width="46.85546875" style="1306" customWidth="1"/>
    <col min="10784" max="10786" width="12.7109375" style="1306" customWidth="1"/>
    <col min="10787" max="10787" width="9.28515625" style="1306" customWidth="1"/>
    <col min="10788" max="10788" width="13.5703125" style="1306" customWidth="1"/>
    <col min="10789" max="10789" width="10.28515625" style="1306" customWidth="1"/>
    <col min="10790" max="10790" width="12.85546875" style="1306" customWidth="1"/>
    <col min="10791" max="10791" width="9.140625" style="1306" customWidth="1"/>
    <col min="10792" max="10792" width="9.7109375" style="1306" customWidth="1"/>
    <col min="10793" max="10793" width="9.28515625" style="1306" customWidth="1"/>
    <col min="10794" max="10794" width="9.42578125" style="1306" customWidth="1"/>
    <col min="10795" max="10795" width="10.5703125" style="1306" customWidth="1"/>
    <col min="10796" max="10796" width="12.42578125" style="1306" customWidth="1"/>
    <col min="10797" max="10797" width="14.5703125" style="1306" customWidth="1"/>
    <col min="10798" max="10798" width="12.28515625" style="1306" customWidth="1"/>
    <col min="10799" max="10799" width="25.85546875" style="1306" customWidth="1"/>
    <col min="10800" max="11031" width="0.85546875" style="1306"/>
    <col min="11032" max="11032" width="9.85546875" style="1306" customWidth="1"/>
    <col min="11033" max="11033" width="81.85546875" style="1306" customWidth="1"/>
    <col min="11034" max="11034" width="12.7109375" style="1306" customWidth="1"/>
    <col min="11035" max="11035" width="12.42578125" style="1306" customWidth="1"/>
    <col min="11036" max="11036" width="14.5703125" style="1306" customWidth="1"/>
    <col min="11037" max="11037" width="12.28515625" style="1306" customWidth="1"/>
    <col min="11038" max="11038" width="38.140625" style="1306" customWidth="1"/>
    <col min="11039" max="11039" width="46.85546875" style="1306" customWidth="1"/>
    <col min="11040" max="11042" width="12.7109375" style="1306" customWidth="1"/>
    <col min="11043" max="11043" width="9.28515625" style="1306" customWidth="1"/>
    <col min="11044" max="11044" width="13.5703125" style="1306" customWidth="1"/>
    <col min="11045" max="11045" width="10.28515625" style="1306" customWidth="1"/>
    <col min="11046" max="11046" width="12.85546875" style="1306" customWidth="1"/>
    <col min="11047" max="11047" width="9.140625" style="1306" customWidth="1"/>
    <col min="11048" max="11048" width="9.7109375" style="1306" customWidth="1"/>
    <col min="11049" max="11049" width="9.28515625" style="1306" customWidth="1"/>
    <col min="11050" max="11050" width="9.42578125" style="1306" customWidth="1"/>
    <col min="11051" max="11051" width="10.5703125" style="1306" customWidth="1"/>
    <col min="11052" max="11052" width="12.42578125" style="1306" customWidth="1"/>
    <col min="11053" max="11053" width="14.5703125" style="1306" customWidth="1"/>
    <col min="11054" max="11054" width="12.28515625" style="1306" customWidth="1"/>
    <col min="11055" max="11055" width="25.85546875" style="1306" customWidth="1"/>
    <col min="11056" max="11287" width="0.85546875" style="1306"/>
    <col min="11288" max="11288" width="9.85546875" style="1306" customWidth="1"/>
    <col min="11289" max="11289" width="81.85546875" style="1306" customWidth="1"/>
    <col min="11290" max="11290" width="12.7109375" style="1306" customWidth="1"/>
    <col min="11291" max="11291" width="12.42578125" style="1306" customWidth="1"/>
    <col min="11292" max="11292" width="14.5703125" style="1306" customWidth="1"/>
    <col min="11293" max="11293" width="12.28515625" style="1306" customWidth="1"/>
    <col min="11294" max="11294" width="38.140625" style="1306" customWidth="1"/>
    <col min="11295" max="11295" width="46.85546875" style="1306" customWidth="1"/>
    <col min="11296" max="11298" width="12.7109375" style="1306" customWidth="1"/>
    <col min="11299" max="11299" width="9.28515625" style="1306" customWidth="1"/>
    <col min="11300" max="11300" width="13.5703125" style="1306" customWidth="1"/>
    <col min="11301" max="11301" width="10.28515625" style="1306" customWidth="1"/>
    <col min="11302" max="11302" width="12.85546875" style="1306" customWidth="1"/>
    <col min="11303" max="11303" width="9.140625" style="1306" customWidth="1"/>
    <col min="11304" max="11304" width="9.7109375" style="1306" customWidth="1"/>
    <col min="11305" max="11305" width="9.28515625" style="1306" customWidth="1"/>
    <col min="11306" max="11306" width="9.42578125" style="1306" customWidth="1"/>
    <col min="11307" max="11307" width="10.5703125" style="1306" customWidth="1"/>
    <col min="11308" max="11308" width="12.42578125" style="1306" customWidth="1"/>
    <col min="11309" max="11309" width="14.5703125" style="1306" customWidth="1"/>
    <col min="11310" max="11310" width="12.28515625" style="1306" customWidth="1"/>
    <col min="11311" max="11311" width="25.85546875" style="1306" customWidth="1"/>
    <col min="11312" max="11543" width="0.85546875" style="1306"/>
    <col min="11544" max="11544" width="9.85546875" style="1306" customWidth="1"/>
    <col min="11545" max="11545" width="81.85546875" style="1306" customWidth="1"/>
    <col min="11546" max="11546" width="12.7109375" style="1306" customWidth="1"/>
    <col min="11547" max="11547" width="12.42578125" style="1306" customWidth="1"/>
    <col min="11548" max="11548" width="14.5703125" style="1306" customWidth="1"/>
    <col min="11549" max="11549" width="12.28515625" style="1306" customWidth="1"/>
    <col min="11550" max="11550" width="38.140625" style="1306" customWidth="1"/>
    <col min="11551" max="11551" width="46.85546875" style="1306" customWidth="1"/>
    <col min="11552" max="11554" width="12.7109375" style="1306" customWidth="1"/>
    <col min="11555" max="11555" width="9.28515625" style="1306" customWidth="1"/>
    <col min="11556" max="11556" width="13.5703125" style="1306" customWidth="1"/>
    <col min="11557" max="11557" width="10.28515625" style="1306" customWidth="1"/>
    <col min="11558" max="11558" width="12.85546875" style="1306" customWidth="1"/>
    <col min="11559" max="11559" width="9.140625" style="1306" customWidth="1"/>
    <col min="11560" max="11560" width="9.7109375" style="1306" customWidth="1"/>
    <col min="11561" max="11561" width="9.28515625" style="1306" customWidth="1"/>
    <col min="11562" max="11562" width="9.42578125" style="1306" customWidth="1"/>
    <col min="11563" max="11563" width="10.5703125" style="1306" customWidth="1"/>
    <col min="11564" max="11564" width="12.42578125" style="1306" customWidth="1"/>
    <col min="11565" max="11565" width="14.5703125" style="1306" customWidth="1"/>
    <col min="11566" max="11566" width="12.28515625" style="1306" customWidth="1"/>
    <col min="11567" max="11567" width="25.85546875" style="1306" customWidth="1"/>
    <col min="11568" max="11799" width="0.85546875" style="1306"/>
    <col min="11800" max="11800" width="9.85546875" style="1306" customWidth="1"/>
    <col min="11801" max="11801" width="81.85546875" style="1306" customWidth="1"/>
    <col min="11802" max="11802" width="12.7109375" style="1306" customWidth="1"/>
    <col min="11803" max="11803" width="12.42578125" style="1306" customWidth="1"/>
    <col min="11804" max="11804" width="14.5703125" style="1306" customWidth="1"/>
    <col min="11805" max="11805" width="12.28515625" style="1306" customWidth="1"/>
    <col min="11806" max="11806" width="38.140625" style="1306" customWidth="1"/>
    <col min="11807" max="11807" width="46.85546875" style="1306" customWidth="1"/>
    <col min="11808" max="11810" width="12.7109375" style="1306" customWidth="1"/>
    <col min="11811" max="11811" width="9.28515625" style="1306" customWidth="1"/>
    <col min="11812" max="11812" width="13.5703125" style="1306" customWidth="1"/>
    <col min="11813" max="11813" width="10.28515625" style="1306" customWidth="1"/>
    <col min="11814" max="11814" width="12.85546875" style="1306" customWidth="1"/>
    <col min="11815" max="11815" width="9.140625" style="1306" customWidth="1"/>
    <col min="11816" max="11816" width="9.7109375" style="1306" customWidth="1"/>
    <col min="11817" max="11817" width="9.28515625" style="1306" customWidth="1"/>
    <col min="11818" max="11818" width="9.42578125" style="1306" customWidth="1"/>
    <col min="11819" max="11819" width="10.5703125" style="1306" customWidth="1"/>
    <col min="11820" max="11820" width="12.42578125" style="1306" customWidth="1"/>
    <col min="11821" max="11821" width="14.5703125" style="1306" customWidth="1"/>
    <col min="11822" max="11822" width="12.28515625" style="1306" customWidth="1"/>
    <col min="11823" max="11823" width="25.85546875" style="1306" customWidth="1"/>
    <col min="11824" max="12055" width="0.85546875" style="1306"/>
    <col min="12056" max="12056" width="9.85546875" style="1306" customWidth="1"/>
    <col min="12057" max="12057" width="81.85546875" style="1306" customWidth="1"/>
    <col min="12058" max="12058" width="12.7109375" style="1306" customWidth="1"/>
    <col min="12059" max="12059" width="12.42578125" style="1306" customWidth="1"/>
    <col min="12060" max="12060" width="14.5703125" style="1306" customWidth="1"/>
    <col min="12061" max="12061" width="12.28515625" style="1306" customWidth="1"/>
    <col min="12062" max="12062" width="38.140625" style="1306" customWidth="1"/>
    <col min="12063" max="12063" width="46.85546875" style="1306" customWidth="1"/>
    <col min="12064" max="12066" width="12.7109375" style="1306" customWidth="1"/>
    <col min="12067" max="12067" width="9.28515625" style="1306" customWidth="1"/>
    <col min="12068" max="12068" width="13.5703125" style="1306" customWidth="1"/>
    <col min="12069" max="12069" width="10.28515625" style="1306" customWidth="1"/>
    <col min="12070" max="12070" width="12.85546875" style="1306" customWidth="1"/>
    <col min="12071" max="12071" width="9.140625" style="1306" customWidth="1"/>
    <col min="12072" max="12072" width="9.7109375" style="1306" customWidth="1"/>
    <col min="12073" max="12073" width="9.28515625" style="1306" customWidth="1"/>
    <col min="12074" max="12074" width="9.42578125" style="1306" customWidth="1"/>
    <col min="12075" max="12075" width="10.5703125" style="1306" customWidth="1"/>
    <col min="12076" max="12076" width="12.42578125" style="1306" customWidth="1"/>
    <col min="12077" max="12077" width="14.5703125" style="1306" customWidth="1"/>
    <col min="12078" max="12078" width="12.28515625" style="1306" customWidth="1"/>
    <col min="12079" max="12079" width="25.85546875" style="1306" customWidth="1"/>
    <col min="12080" max="12311" width="0.85546875" style="1306"/>
    <col min="12312" max="12312" width="9.85546875" style="1306" customWidth="1"/>
    <col min="12313" max="12313" width="81.85546875" style="1306" customWidth="1"/>
    <col min="12314" max="12314" width="12.7109375" style="1306" customWidth="1"/>
    <col min="12315" max="12315" width="12.42578125" style="1306" customWidth="1"/>
    <col min="12316" max="12316" width="14.5703125" style="1306" customWidth="1"/>
    <col min="12317" max="12317" width="12.28515625" style="1306" customWidth="1"/>
    <col min="12318" max="12318" width="38.140625" style="1306" customWidth="1"/>
    <col min="12319" max="12319" width="46.85546875" style="1306" customWidth="1"/>
    <col min="12320" max="12322" width="12.7109375" style="1306" customWidth="1"/>
    <col min="12323" max="12323" width="9.28515625" style="1306" customWidth="1"/>
    <col min="12324" max="12324" width="13.5703125" style="1306" customWidth="1"/>
    <col min="12325" max="12325" width="10.28515625" style="1306" customWidth="1"/>
    <col min="12326" max="12326" width="12.85546875" style="1306" customWidth="1"/>
    <col min="12327" max="12327" width="9.140625" style="1306" customWidth="1"/>
    <col min="12328" max="12328" width="9.7109375" style="1306" customWidth="1"/>
    <col min="12329" max="12329" width="9.28515625" style="1306" customWidth="1"/>
    <col min="12330" max="12330" width="9.42578125" style="1306" customWidth="1"/>
    <col min="12331" max="12331" width="10.5703125" style="1306" customWidth="1"/>
    <col min="12332" max="12332" width="12.42578125" style="1306" customWidth="1"/>
    <col min="12333" max="12333" width="14.5703125" style="1306" customWidth="1"/>
    <col min="12334" max="12334" width="12.28515625" style="1306" customWidth="1"/>
    <col min="12335" max="12335" width="25.85546875" style="1306" customWidth="1"/>
    <col min="12336" max="12567" width="0.85546875" style="1306"/>
    <col min="12568" max="12568" width="9.85546875" style="1306" customWidth="1"/>
    <col min="12569" max="12569" width="81.85546875" style="1306" customWidth="1"/>
    <col min="12570" max="12570" width="12.7109375" style="1306" customWidth="1"/>
    <col min="12571" max="12571" width="12.42578125" style="1306" customWidth="1"/>
    <col min="12572" max="12572" width="14.5703125" style="1306" customWidth="1"/>
    <col min="12573" max="12573" width="12.28515625" style="1306" customWidth="1"/>
    <col min="12574" max="12574" width="38.140625" style="1306" customWidth="1"/>
    <col min="12575" max="12575" width="46.85546875" style="1306" customWidth="1"/>
    <col min="12576" max="12578" width="12.7109375" style="1306" customWidth="1"/>
    <col min="12579" max="12579" width="9.28515625" style="1306" customWidth="1"/>
    <col min="12580" max="12580" width="13.5703125" style="1306" customWidth="1"/>
    <col min="12581" max="12581" width="10.28515625" style="1306" customWidth="1"/>
    <col min="12582" max="12582" width="12.85546875" style="1306" customWidth="1"/>
    <col min="12583" max="12583" width="9.140625" style="1306" customWidth="1"/>
    <col min="12584" max="12584" width="9.7109375" style="1306" customWidth="1"/>
    <col min="12585" max="12585" width="9.28515625" style="1306" customWidth="1"/>
    <col min="12586" max="12586" width="9.42578125" style="1306" customWidth="1"/>
    <col min="12587" max="12587" width="10.5703125" style="1306" customWidth="1"/>
    <col min="12588" max="12588" width="12.42578125" style="1306" customWidth="1"/>
    <col min="12589" max="12589" width="14.5703125" style="1306" customWidth="1"/>
    <col min="12590" max="12590" width="12.28515625" style="1306" customWidth="1"/>
    <col min="12591" max="12591" width="25.85546875" style="1306" customWidth="1"/>
    <col min="12592" max="12823" width="0.85546875" style="1306"/>
    <col min="12824" max="12824" width="9.85546875" style="1306" customWidth="1"/>
    <col min="12825" max="12825" width="81.85546875" style="1306" customWidth="1"/>
    <col min="12826" max="12826" width="12.7109375" style="1306" customWidth="1"/>
    <col min="12827" max="12827" width="12.42578125" style="1306" customWidth="1"/>
    <col min="12828" max="12828" width="14.5703125" style="1306" customWidth="1"/>
    <col min="12829" max="12829" width="12.28515625" style="1306" customWidth="1"/>
    <col min="12830" max="12830" width="38.140625" style="1306" customWidth="1"/>
    <col min="12831" max="12831" width="46.85546875" style="1306" customWidth="1"/>
    <col min="12832" max="12834" width="12.7109375" style="1306" customWidth="1"/>
    <col min="12835" max="12835" width="9.28515625" style="1306" customWidth="1"/>
    <col min="12836" max="12836" width="13.5703125" style="1306" customWidth="1"/>
    <col min="12837" max="12837" width="10.28515625" style="1306" customWidth="1"/>
    <col min="12838" max="12838" width="12.85546875" style="1306" customWidth="1"/>
    <col min="12839" max="12839" width="9.140625" style="1306" customWidth="1"/>
    <col min="12840" max="12840" width="9.7109375" style="1306" customWidth="1"/>
    <col min="12841" max="12841" width="9.28515625" style="1306" customWidth="1"/>
    <col min="12842" max="12842" width="9.42578125" style="1306" customWidth="1"/>
    <col min="12843" max="12843" width="10.5703125" style="1306" customWidth="1"/>
    <col min="12844" max="12844" width="12.42578125" style="1306" customWidth="1"/>
    <col min="12845" max="12845" width="14.5703125" style="1306" customWidth="1"/>
    <col min="12846" max="12846" width="12.28515625" style="1306" customWidth="1"/>
    <col min="12847" max="12847" width="25.85546875" style="1306" customWidth="1"/>
    <col min="12848" max="13079" width="0.85546875" style="1306"/>
    <col min="13080" max="13080" width="9.85546875" style="1306" customWidth="1"/>
    <col min="13081" max="13081" width="81.85546875" style="1306" customWidth="1"/>
    <col min="13082" max="13082" width="12.7109375" style="1306" customWidth="1"/>
    <col min="13083" max="13083" width="12.42578125" style="1306" customWidth="1"/>
    <col min="13084" max="13084" width="14.5703125" style="1306" customWidth="1"/>
    <col min="13085" max="13085" width="12.28515625" style="1306" customWidth="1"/>
    <col min="13086" max="13086" width="38.140625" style="1306" customWidth="1"/>
    <col min="13087" max="13087" width="46.85546875" style="1306" customWidth="1"/>
    <col min="13088" max="13090" width="12.7109375" style="1306" customWidth="1"/>
    <col min="13091" max="13091" width="9.28515625" style="1306" customWidth="1"/>
    <col min="13092" max="13092" width="13.5703125" style="1306" customWidth="1"/>
    <col min="13093" max="13093" width="10.28515625" style="1306" customWidth="1"/>
    <col min="13094" max="13094" width="12.85546875" style="1306" customWidth="1"/>
    <col min="13095" max="13095" width="9.140625" style="1306" customWidth="1"/>
    <col min="13096" max="13096" width="9.7109375" style="1306" customWidth="1"/>
    <col min="13097" max="13097" width="9.28515625" style="1306" customWidth="1"/>
    <col min="13098" max="13098" width="9.42578125" style="1306" customWidth="1"/>
    <col min="13099" max="13099" width="10.5703125" style="1306" customWidth="1"/>
    <col min="13100" max="13100" width="12.42578125" style="1306" customWidth="1"/>
    <col min="13101" max="13101" width="14.5703125" style="1306" customWidth="1"/>
    <col min="13102" max="13102" width="12.28515625" style="1306" customWidth="1"/>
    <col min="13103" max="13103" width="25.85546875" style="1306" customWidth="1"/>
    <col min="13104" max="13335" width="0.85546875" style="1306"/>
    <col min="13336" max="13336" width="9.85546875" style="1306" customWidth="1"/>
    <col min="13337" max="13337" width="81.85546875" style="1306" customWidth="1"/>
    <col min="13338" max="13338" width="12.7109375" style="1306" customWidth="1"/>
    <col min="13339" max="13339" width="12.42578125" style="1306" customWidth="1"/>
    <col min="13340" max="13340" width="14.5703125" style="1306" customWidth="1"/>
    <col min="13341" max="13341" width="12.28515625" style="1306" customWidth="1"/>
    <col min="13342" max="13342" width="38.140625" style="1306" customWidth="1"/>
    <col min="13343" max="13343" width="46.85546875" style="1306" customWidth="1"/>
    <col min="13344" max="13346" width="12.7109375" style="1306" customWidth="1"/>
    <col min="13347" max="13347" width="9.28515625" style="1306" customWidth="1"/>
    <col min="13348" max="13348" width="13.5703125" style="1306" customWidth="1"/>
    <col min="13349" max="13349" width="10.28515625" style="1306" customWidth="1"/>
    <col min="13350" max="13350" width="12.85546875" style="1306" customWidth="1"/>
    <col min="13351" max="13351" width="9.140625" style="1306" customWidth="1"/>
    <col min="13352" max="13352" width="9.7109375" style="1306" customWidth="1"/>
    <col min="13353" max="13353" width="9.28515625" style="1306" customWidth="1"/>
    <col min="13354" max="13354" width="9.42578125" style="1306" customWidth="1"/>
    <col min="13355" max="13355" width="10.5703125" style="1306" customWidth="1"/>
    <col min="13356" max="13356" width="12.42578125" style="1306" customWidth="1"/>
    <col min="13357" max="13357" width="14.5703125" style="1306" customWidth="1"/>
    <col min="13358" max="13358" width="12.28515625" style="1306" customWidth="1"/>
    <col min="13359" max="13359" width="25.85546875" style="1306" customWidth="1"/>
    <col min="13360" max="13591" width="0.85546875" style="1306"/>
    <col min="13592" max="13592" width="9.85546875" style="1306" customWidth="1"/>
    <col min="13593" max="13593" width="81.85546875" style="1306" customWidth="1"/>
    <col min="13594" max="13594" width="12.7109375" style="1306" customWidth="1"/>
    <col min="13595" max="13595" width="12.42578125" style="1306" customWidth="1"/>
    <col min="13596" max="13596" width="14.5703125" style="1306" customWidth="1"/>
    <col min="13597" max="13597" width="12.28515625" style="1306" customWidth="1"/>
    <col min="13598" max="13598" width="38.140625" style="1306" customWidth="1"/>
    <col min="13599" max="13599" width="46.85546875" style="1306" customWidth="1"/>
    <col min="13600" max="13602" width="12.7109375" style="1306" customWidth="1"/>
    <col min="13603" max="13603" width="9.28515625" style="1306" customWidth="1"/>
    <col min="13604" max="13604" width="13.5703125" style="1306" customWidth="1"/>
    <col min="13605" max="13605" width="10.28515625" style="1306" customWidth="1"/>
    <col min="13606" max="13606" width="12.85546875" style="1306" customWidth="1"/>
    <col min="13607" max="13607" width="9.140625" style="1306" customWidth="1"/>
    <col min="13608" max="13608" width="9.7109375" style="1306" customWidth="1"/>
    <col min="13609" max="13609" width="9.28515625" style="1306" customWidth="1"/>
    <col min="13610" max="13610" width="9.42578125" style="1306" customWidth="1"/>
    <col min="13611" max="13611" width="10.5703125" style="1306" customWidth="1"/>
    <col min="13612" max="13612" width="12.42578125" style="1306" customWidth="1"/>
    <col min="13613" max="13613" width="14.5703125" style="1306" customWidth="1"/>
    <col min="13614" max="13614" width="12.28515625" style="1306" customWidth="1"/>
    <col min="13615" max="13615" width="25.85546875" style="1306" customWidth="1"/>
    <col min="13616" max="13847" width="0.85546875" style="1306"/>
    <col min="13848" max="13848" width="9.85546875" style="1306" customWidth="1"/>
    <col min="13849" max="13849" width="81.85546875" style="1306" customWidth="1"/>
    <col min="13850" max="13850" width="12.7109375" style="1306" customWidth="1"/>
    <col min="13851" max="13851" width="12.42578125" style="1306" customWidth="1"/>
    <col min="13852" max="13852" width="14.5703125" style="1306" customWidth="1"/>
    <col min="13853" max="13853" width="12.28515625" style="1306" customWidth="1"/>
    <col min="13854" max="13854" width="38.140625" style="1306" customWidth="1"/>
    <col min="13855" max="13855" width="46.85546875" style="1306" customWidth="1"/>
    <col min="13856" max="13858" width="12.7109375" style="1306" customWidth="1"/>
    <col min="13859" max="13859" width="9.28515625" style="1306" customWidth="1"/>
    <col min="13860" max="13860" width="13.5703125" style="1306" customWidth="1"/>
    <col min="13861" max="13861" width="10.28515625" style="1306" customWidth="1"/>
    <col min="13862" max="13862" width="12.85546875" style="1306" customWidth="1"/>
    <col min="13863" max="13863" width="9.140625" style="1306" customWidth="1"/>
    <col min="13864" max="13864" width="9.7109375" style="1306" customWidth="1"/>
    <col min="13865" max="13865" width="9.28515625" style="1306" customWidth="1"/>
    <col min="13866" max="13866" width="9.42578125" style="1306" customWidth="1"/>
    <col min="13867" max="13867" width="10.5703125" style="1306" customWidth="1"/>
    <col min="13868" max="13868" width="12.42578125" style="1306" customWidth="1"/>
    <col min="13869" max="13869" width="14.5703125" style="1306" customWidth="1"/>
    <col min="13870" max="13870" width="12.28515625" style="1306" customWidth="1"/>
    <col min="13871" max="13871" width="25.85546875" style="1306" customWidth="1"/>
    <col min="13872" max="14103" width="0.85546875" style="1306"/>
    <col min="14104" max="14104" width="9.85546875" style="1306" customWidth="1"/>
    <col min="14105" max="14105" width="81.85546875" style="1306" customWidth="1"/>
    <col min="14106" max="14106" width="12.7109375" style="1306" customWidth="1"/>
    <col min="14107" max="14107" width="12.42578125" style="1306" customWidth="1"/>
    <col min="14108" max="14108" width="14.5703125" style="1306" customWidth="1"/>
    <col min="14109" max="14109" width="12.28515625" style="1306" customWidth="1"/>
    <col min="14110" max="14110" width="38.140625" style="1306" customWidth="1"/>
    <col min="14111" max="14111" width="46.85546875" style="1306" customWidth="1"/>
    <col min="14112" max="14114" width="12.7109375" style="1306" customWidth="1"/>
    <col min="14115" max="14115" width="9.28515625" style="1306" customWidth="1"/>
    <col min="14116" max="14116" width="13.5703125" style="1306" customWidth="1"/>
    <col min="14117" max="14117" width="10.28515625" style="1306" customWidth="1"/>
    <col min="14118" max="14118" width="12.85546875" style="1306" customWidth="1"/>
    <col min="14119" max="14119" width="9.140625" style="1306" customWidth="1"/>
    <col min="14120" max="14120" width="9.7109375" style="1306" customWidth="1"/>
    <col min="14121" max="14121" width="9.28515625" style="1306" customWidth="1"/>
    <col min="14122" max="14122" width="9.42578125" style="1306" customWidth="1"/>
    <col min="14123" max="14123" width="10.5703125" style="1306" customWidth="1"/>
    <col min="14124" max="14124" width="12.42578125" style="1306" customWidth="1"/>
    <col min="14125" max="14125" width="14.5703125" style="1306" customWidth="1"/>
    <col min="14126" max="14126" width="12.28515625" style="1306" customWidth="1"/>
    <col min="14127" max="14127" width="25.85546875" style="1306" customWidth="1"/>
    <col min="14128" max="14359" width="0.85546875" style="1306"/>
    <col min="14360" max="14360" width="9.85546875" style="1306" customWidth="1"/>
    <col min="14361" max="14361" width="81.85546875" style="1306" customWidth="1"/>
    <col min="14362" max="14362" width="12.7109375" style="1306" customWidth="1"/>
    <col min="14363" max="14363" width="12.42578125" style="1306" customWidth="1"/>
    <col min="14364" max="14364" width="14.5703125" style="1306" customWidth="1"/>
    <col min="14365" max="14365" width="12.28515625" style="1306" customWidth="1"/>
    <col min="14366" max="14366" width="38.140625" style="1306" customWidth="1"/>
    <col min="14367" max="14367" width="46.85546875" style="1306" customWidth="1"/>
    <col min="14368" max="14370" width="12.7109375" style="1306" customWidth="1"/>
    <col min="14371" max="14371" width="9.28515625" style="1306" customWidth="1"/>
    <col min="14372" max="14372" width="13.5703125" style="1306" customWidth="1"/>
    <col min="14373" max="14373" width="10.28515625" style="1306" customWidth="1"/>
    <col min="14374" max="14374" width="12.85546875" style="1306" customWidth="1"/>
    <col min="14375" max="14375" width="9.140625" style="1306" customWidth="1"/>
    <col min="14376" max="14376" width="9.7109375" style="1306" customWidth="1"/>
    <col min="14377" max="14377" width="9.28515625" style="1306" customWidth="1"/>
    <col min="14378" max="14378" width="9.42578125" style="1306" customWidth="1"/>
    <col min="14379" max="14379" width="10.5703125" style="1306" customWidth="1"/>
    <col min="14380" max="14380" width="12.42578125" style="1306" customWidth="1"/>
    <col min="14381" max="14381" width="14.5703125" style="1306" customWidth="1"/>
    <col min="14382" max="14382" width="12.28515625" style="1306" customWidth="1"/>
    <col min="14383" max="14383" width="25.85546875" style="1306" customWidth="1"/>
    <col min="14384" max="14615" width="0.85546875" style="1306"/>
    <col min="14616" max="14616" width="9.85546875" style="1306" customWidth="1"/>
    <col min="14617" max="14617" width="81.85546875" style="1306" customWidth="1"/>
    <col min="14618" max="14618" width="12.7109375" style="1306" customWidth="1"/>
    <col min="14619" max="14619" width="12.42578125" style="1306" customWidth="1"/>
    <col min="14620" max="14620" width="14.5703125" style="1306" customWidth="1"/>
    <col min="14621" max="14621" width="12.28515625" style="1306" customWidth="1"/>
    <col min="14622" max="14622" width="38.140625" style="1306" customWidth="1"/>
    <col min="14623" max="14623" width="46.85546875" style="1306" customWidth="1"/>
    <col min="14624" max="14626" width="12.7109375" style="1306" customWidth="1"/>
    <col min="14627" max="14627" width="9.28515625" style="1306" customWidth="1"/>
    <col min="14628" max="14628" width="13.5703125" style="1306" customWidth="1"/>
    <col min="14629" max="14629" width="10.28515625" style="1306" customWidth="1"/>
    <col min="14630" max="14630" width="12.85546875" style="1306" customWidth="1"/>
    <col min="14631" max="14631" width="9.140625" style="1306" customWidth="1"/>
    <col min="14632" max="14632" width="9.7109375" style="1306" customWidth="1"/>
    <col min="14633" max="14633" width="9.28515625" style="1306" customWidth="1"/>
    <col min="14634" max="14634" width="9.42578125" style="1306" customWidth="1"/>
    <col min="14635" max="14635" width="10.5703125" style="1306" customWidth="1"/>
    <col min="14636" max="14636" width="12.42578125" style="1306" customWidth="1"/>
    <col min="14637" max="14637" width="14.5703125" style="1306" customWidth="1"/>
    <col min="14638" max="14638" width="12.28515625" style="1306" customWidth="1"/>
    <col min="14639" max="14639" width="25.85546875" style="1306" customWidth="1"/>
    <col min="14640" max="14871" width="0.85546875" style="1306"/>
    <col min="14872" max="14872" width="9.85546875" style="1306" customWidth="1"/>
    <col min="14873" max="14873" width="81.85546875" style="1306" customWidth="1"/>
    <col min="14874" max="14874" width="12.7109375" style="1306" customWidth="1"/>
    <col min="14875" max="14875" width="12.42578125" style="1306" customWidth="1"/>
    <col min="14876" max="14876" width="14.5703125" style="1306" customWidth="1"/>
    <col min="14877" max="14877" width="12.28515625" style="1306" customWidth="1"/>
    <col min="14878" max="14878" width="38.140625" style="1306" customWidth="1"/>
    <col min="14879" max="14879" width="46.85546875" style="1306" customWidth="1"/>
    <col min="14880" max="14882" width="12.7109375" style="1306" customWidth="1"/>
    <col min="14883" max="14883" width="9.28515625" style="1306" customWidth="1"/>
    <col min="14884" max="14884" width="13.5703125" style="1306" customWidth="1"/>
    <col min="14885" max="14885" width="10.28515625" style="1306" customWidth="1"/>
    <col min="14886" max="14886" width="12.85546875" style="1306" customWidth="1"/>
    <col min="14887" max="14887" width="9.140625" style="1306" customWidth="1"/>
    <col min="14888" max="14888" width="9.7109375" style="1306" customWidth="1"/>
    <col min="14889" max="14889" width="9.28515625" style="1306" customWidth="1"/>
    <col min="14890" max="14890" width="9.42578125" style="1306" customWidth="1"/>
    <col min="14891" max="14891" width="10.5703125" style="1306" customWidth="1"/>
    <col min="14892" max="14892" width="12.42578125" style="1306" customWidth="1"/>
    <col min="14893" max="14893" width="14.5703125" style="1306" customWidth="1"/>
    <col min="14894" max="14894" width="12.28515625" style="1306" customWidth="1"/>
    <col min="14895" max="14895" width="25.85546875" style="1306" customWidth="1"/>
    <col min="14896" max="15127" width="0.85546875" style="1306"/>
    <col min="15128" max="15128" width="9.85546875" style="1306" customWidth="1"/>
    <col min="15129" max="15129" width="81.85546875" style="1306" customWidth="1"/>
    <col min="15130" max="15130" width="12.7109375" style="1306" customWidth="1"/>
    <col min="15131" max="15131" width="12.42578125" style="1306" customWidth="1"/>
    <col min="15132" max="15132" width="14.5703125" style="1306" customWidth="1"/>
    <col min="15133" max="15133" width="12.28515625" style="1306" customWidth="1"/>
    <col min="15134" max="15134" width="38.140625" style="1306" customWidth="1"/>
    <col min="15135" max="15135" width="46.85546875" style="1306" customWidth="1"/>
    <col min="15136" max="15138" width="12.7109375" style="1306" customWidth="1"/>
    <col min="15139" max="15139" width="9.28515625" style="1306" customWidth="1"/>
    <col min="15140" max="15140" width="13.5703125" style="1306" customWidth="1"/>
    <col min="15141" max="15141" width="10.28515625" style="1306" customWidth="1"/>
    <col min="15142" max="15142" width="12.85546875" style="1306" customWidth="1"/>
    <col min="15143" max="15143" width="9.140625" style="1306" customWidth="1"/>
    <col min="15144" max="15144" width="9.7109375" style="1306" customWidth="1"/>
    <col min="15145" max="15145" width="9.28515625" style="1306" customWidth="1"/>
    <col min="15146" max="15146" width="9.42578125" style="1306" customWidth="1"/>
    <col min="15147" max="15147" width="10.5703125" style="1306" customWidth="1"/>
    <col min="15148" max="15148" width="12.42578125" style="1306" customWidth="1"/>
    <col min="15149" max="15149" width="14.5703125" style="1306" customWidth="1"/>
    <col min="15150" max="15150" width="12.28515625" style="1306" customWidth="1"/>
    <col min="15151" max="15151" width="25.85546875" style="1306" customWidth="1"/>
    <col min="15152" max="15383" width="0.85546875" style="1306"/>
    <col min="15384" max="15384" width="9.85546875" style="1306" customWidth="1"/>
    <col min="15385" max="15385" width="81.85546875" style="1306" customWidth="1"/>
    <col min="15386" max="15386" width="12.7109375" style="1306" customWidth="1"/>
    <col min="15387" max="15387" width="12.42578125" style="1306" customWidth="1"/>
    <col min="15388" max="15388" width="14.5703125" style="1306" customWidth="1"/>
    <col min="15389" max="15389" width="12.28515625" style="1306" customWidth="1"/>
    <col min="15390" max="15390" width="38.140625" style="1306" customWidth="1"/>
    <col min="15391" max="15391" width="46.85546875" style="1306" customWidth="1"/>
    <col min="15392" max="15394" width="12.7109375" style="1306" customWidth="1"/>
    <col min="15395" max="15395" width="9.28515625" style="1306" customWidth="1"/>
    <col min="15396" max="15396" width="13.5703125" style="1306" customWidth="1"/>
    <col min="15397" max="15397" width="10.28515625" style="1306" customWidth="1"/>
    <col min="15398" max="15398" width="12.85546875" style="1306" customWidth="1"/>
    <col min="15399" max="15399" width="9.140625" style="1306" customWidth="1"/>
    <col min="15400" max="15400" width="9.7109375" style="1306" customWidth="1"/>
    <col min="15401" max="15401" width="9.28515625" style="1306" customWidth="1"/>
    <col min="15402" max="15402" width="9.42578125" style="1306" customWidth="1"/>
    <col min="15403" max="15403" width="10.5703125" style="1306" customWidth="1"/>
    <col min="15404" max="15404" width="12.42578125" style="1306" customWidth="1"/>
    <col min="15405" max="15405" width="14.5703125" style="1306" customWidth="1"/>
    <col min="15406" max="15406" width="12.28515625" style="1306" customWidth="1"/>
    <col min="15407" max="15407" width="25.85546875" style="1306" customWidth="1"/>
    <col min="15408" max="15639" width="0.85546875" style="1306"/>
    <col min="15640" max="15640" width="9.85546875" style="1306" customWidth="1"/>
    <col min="15641" max="15641" width="81.85546875" style="1306" customWidth="1"/>
    <col min="15642" max="15642" width="12.7109375" style="1306" customWidth="1"/>
    <col min="15643" max="15643" width="12.42578125" style="1306" customWidth="1"/>
    <col min="15644" max="15644" width="14.5703125" style="1306" customWidth="1"/>
    <col min="15645" max="15645" width="12.28515625" style="1306" customWidth="1"/>
    <col min="15646" max="15646" width="38.140625" style="1306" customWidth="1"/>
    <col min="15647" max="15647" width="46.85546875" style="1306" customWidth="1"/>
    <col min="15648" max="15650" width="12.7109375" style="1306" customWidth="1"/>
    <col min="15651" max="15651" width="9.28515625" style="1306" customWidth="1"/>
    <col min="15652" max="15652" width="13.5703125" style="1306" customWidth="1"/>
    <col min="15653" max="15653" width="10.28515625" style="1306" customWidth="1"/>
    <col min="15654" max="15654" width="12.85546875" style="1306" customWidth="1"/>
    <col min="15655" max="15655" width="9.140625" style="1306" customWidth="1"/>
    <col min="15656" max="15656" width="9.7109375" style="1306" customWidth="1"/>
    <col min="15657" max="15657" width="9.28515625" style="1306" customWidth="1"/>
    <col min="15658" max="15658" width="9.42578125" style="1306" customWidth="1"/>
    <col min="15659" max="15659" width="10.5703125" style="1306" customWidth="1"/>
    <col min="15660" max="15660" width="12.42578125" style="1306" customWidth="1"/>
    <col min="15661" max="15661" width="14.5703125" style="1306" customWidth="1"/>
    <col min="15662" max="15662" width="12.28515625" style="1306" customWidth="1"/>
    <col min="15663" max="15663" width="25.85546875" style="1306" customWidth="1"/>
    <col min="15664" max="15895" width="0.85546875" style="1306"/>
    <col min="15896" max="15896" width="9.85546875" style="1306" customWidth="1"/>
    <col min="15897" max="15897" width="81.85546875" style="1306" customWidth="1"/>
    <col min="15898" max="15898" width="12.7109375" style="1306" customWidth="1"/>
    <col min="15899" max="15899" width="12.42578125" style="1306" customWidth="1"/>
    <col min="15900" max="15900" width="14.5703125" style="1306" customWidth="1"/>
    <col min="15901" max="15901" width="12.28515625" style="1306" customWidth="1"/>
    <col min="15902" max="15902" width="38.140625" style="1306" customWidth="1"/>
    <col min="15903" max="15903" width="46.85546875" style="1306" customWidth="1"/>
    <col min="15904" max="15906" width="12.7109375" style="1306" customWidth="1"/>
    <col min="15907" max="15907" width="9.28515625" style="1306" customWidth="1"/>
    <col min="15908" max="15908" width="13.5703125" style="1306" customWidth="1"/>
    <col min="15909" max="15909" width="10.28515625" style="1306" customWidth="1"/>
    <col min="15910" max="15910" width="12.85546875" style="1306" customWidth="1"/>
    <col min="15911" max="15911" width="9.140625" style="1306" customWidth="1"/>
    <col min="15912" max="15912" width="9.7109375" style="1306" customWidth="1"/>
    <col min="15913" max="15913" width="9.28515625" style="1306" customWidth="1"/>
    <col min="15914" max="15914" width="9.42578125" style="1306" customWidth="1"/>
    <col min="15915" max="15915" width="10.5703125" style="1306" customWidth="1"/>
    <col min="15916" max="15916" width="12.42578125" style="1306" customWidth="1"/>
    <col min="15917" max="15917" width="14.5703125" style="1306" customWidth="1"/>
    <col min="15918" max="15918" width="12.28515625" style="1306" customWidth="1"/>
    <col min="15919" max="15919" width="25.85546875" style="1306" customWidth="1"/>
    <col min="15920" max="16151" width="0.85546875" style="1306"/>
    <col min="16152" max="16152" width="9.85546875" style="1306" customWidth="1"/>
    <col min="16153" max="16153" width="81.85546875" style="1306" customWidth="1"/>
    <col min="16154" max="16154" width="12.7109375" style="1306" customWidth="1"/>
    <col min="16155" max="16155" width="12.42578125" style="1306" customWidth="1"/>
    <col min="16156" max="16156" width="14.5703125" style="1306" customWidth="1"/>
    <col min="16157" max="16157" width="12.28515625" style="1306" customWidth="1"/>
    <col min="16158" max="16158" width="38.140625" style="1306" customWidth="1"/>
    <col min="16159" max="16159" width="46.85546875" style="1306" customWidth="1"/>
    <col min="16160" max="16162" width="12.7109375" style="1306" customWidth="1"/>
    <col min="16163" max="16163" width="9.28515625" style="1306" customWidth="1"/>
    <col min="16164" max="16164" width="13.5703125" style="1306" customWidth="1"/>
    <col min="16165" max="16165" width="10.28515625" style="1306" customWidth="1"/>
    <col min="16166" max="16166" width="12.85546875" style="1306" customWidth="1"/>
    <col min="16167" max="16167" width="9.140625" style="1306" customWidth="1"/>
    <col min="16168" max="16168" width="9.7109375" style="1306" customWidth="1"/>
    <col min="16169" max="16169" width="9.28515625" style="1306" customWidth="1"/>
    <col min="16170" max="16170" width="9.42578125" style="1306" customWidth="1"/>
    <col min="16171" max="16171" width="10.5703125" style="1306" customWidth="1"/>
    <col min="16172" max="16172" width="12.42578125" style="1306" customWidth="1"/>
    <col min="16173" max="16173" width="14.5703125" style="1306" customWidth="1"/>
    <col min="16174" max="16174" width="12.28515625" style="1306" customWidth="1"/>
    <col min="16175" max="16175" width="25.85546875" style="1306" customWidth="1"/>
    <col min="16176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20" t="s">
        <v>3552</v>
      </c>
      <c r="B2" s="4020"/>
      <c r="C2" s="4020"/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  <c r="O2" s="4020"/>
      <c r="P2" s="4020"/>
      <c r="Q2" s="4020"/>
      <c r="R2" s="4020"/>
      <c r="S2" s="4020"/>
      <c r="T2" s="4020"/>
      <c r="U2" s="4020"/>
      <c r="V2" s="4020"/>
      <c r="W2" s="4020"/>
      <c r="X2" s="4020"/>
      <c r="Y2" s="4020"/>
      <c r="Z2" s="4020"/>
      <c r="AA2" s="4020"/>
      <c r="AB2" s="4020"/>
      <c r="AC2" s="4020"/>
      <c r="AD2" s="4020"/>
    </row>
    <row r="4" spans="1:30" ht="15.75" customHeight="1" x14ac:dyDescent="0.25">
      <c r="A4" s="4005" t="s">
        <v>905</v>
      </c>
      <c r="B4" s="4005" t="s">
        <v>367</v>
      </c>
      <c r="C4" s="4005" t="s">
        <v>906</v>
      </c>
      <c r="D4" s="4021" t="s">
        <v>1807</v>
      </c>
      <c r="E4" s="4025" t="s">
        <v>1806</v>
      </c>
      <c r="F4" s="4007" t="s">
        <v>1823</v>
      </c>
      <c r="G4" s="4008"/>
      <c r="H4" s="4008"/>
      <c r="I4" s="4008"/>
      <c r="J4" s="4008"/>
      <c r="K4" s="4008"/>
      <c r="L4" s="4008"/>
      <c r="M4" s="4008"/>
      <c r="N4" s="4008"/>
      <c r="O4" s="4008"/>
      <c r="P4" s="4008"/>
      <c r="Q4" s="4008" t="s">
        <v>1824</v>
      </c>
      <c r="R4" s="4008"/>
      <c r="S4" s="4008"/>
      <c r="T4" s="4008"/>
      <c r="U4" s="4008"/>
      <c r="V4" s="4008"/>
      <c r="W4" s="4008"/>
      <c r="X4" s="4008"/>
      <c r="Y4" s="4008"/>
      <c r="Z4" s="4008"/>
      <c r="AA4" s="4008"/>
      <c r="AB4" s="4008"/>
      <c r="AC4" s="4009"/>
      <c r="AD4" s="4009" t="s">
        <v>907</v>
      </c>
    </row>
    <row r="5" spans="1:30" ht="35.25" customHeight="1" x14ac:dyDescent="0.25">
      <c r="A5" s="4005"/>
      <c r="B5" s="4005"/>
      <c r="C5" s="4005"/>
      <c r="D5" s="4022"/>
      <c r="E5" s="4026"/>
      <c r="F5" s="4005" t="s">
        <v>829</v>
      </c>
      <c r="G5" s="4005"/>
      <c r="H5" s="4005"/>
      <c r="I5" s="4005" t="s">
        <v>908</v>
      </c>
      <c r="J5" s="4005"/>
      <c r="K5" s="4005"/>
      <c r="L5" s="4005"/>
      <c r="M5" s="4005"/>
      <c r="N5" s="4005" t="s">
        <v>909</v>
      </c>
      <c r="O5" s="4005"/>
      <c r="P5" s="4005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4009"/>
    </row>
    <row r="6" spans="1:30" ht="51" x14ac:dyDescent="0.25">
      <c r="A6" s="4005"/>
      <c r="B6" s="4005"/>
      <c r="C6" s="4005"/>
      <c r="D6" s="4023"/>
      <c r="E6" s="4027"/>
      <c r="F6" s="2418" t="s">
        <v>1602</v>
      </c>
      <c r="G6" s="2418" t="s">
        <v>1821</v>
      </c>
      <c r="H6" s="2418" t="s">
        <v>1822</v>
      </c>
      <c r="I6" s="2418" t="s">
        <v>1602</v>
      </c>
      <c r="J6" s="2418" t="s">
        <v>1526</v>
      </c>
      <c r="K6" s="2418" t="s">
        <v>1697</v>
      </c>
      <c r="L6" s="2418" t="s">
        <v>1821</v>
      </c>
      <c r="M6" s="2418" t="s">
        <v>1822</v>
      </c>
      <c r="N6" s="2418" t="s">
        <v>1602</v>
      </c>
      <c r="O6" s="2418" t="s">
        <v>1702</v>
      </c>
      <c r="P6" s="2418" t="s">
        <v>1697</v>
      </c>
      <c r="Q6" s="4007" t="s">
        <v>122</v>
      </c>
      <c r="R6" s="4008"/>
      <c r="S6" s="4008"/>
      <c r="T6" s="4008"/>
      <c r="U6" s="4008"/>
      <c r="V6" s="4009"/>
      <c r="W6" s="4007" t="s">
        <v>1537</v>
      </c>
      <c r="X6" s="4008"/>
      <c r="Y6" s="4008"/>
      <c r="Z6" s="4008"/>
      <c r="AA6" s="4008"/>
      <c r="AB6" s="4008"/>
      <c r="AC6" s="4009"/>
      <c r="AD6" s="4009"/>
    </row>
    <row r="7" spans="1:30" s="2201" customFormat="1" ht="30" customHeight="1" x14ac:dyDescent="0.25">
      <c r="A7" s="2198"/>
      <c r="B7" s="2199" t="s">
        <v>910</v>
      </c>
      <c r="C7" s="4019" t="s">
        <v>911</v>
      </c>
      <c r="D7" s="4006" t="s">
        <v>911</v>
      </c>
      <c r="E7" s="4024" t="s">
        <v>911</v>
      </c>
      <c r="F7" s="4006" t="s">
        <v>911</v>
      </c>
      <c r="G7" s="4006" t="s">
        <v>911</v>
      </c>
      <c r="H7" s="4006" t="s">
        <v>911</v>
      </c>
      <c r="I7" s="2200">
        <v>0.01</v>
      </c>
      <c r="J7" s="2200"/>
      <c r="K7" s="2200">
        <v>0.01</v>
      </c>
      <c r="L7" s="4006" t="s">
        <v>911</v>
      </c>
      <c r="M7" s="2200">
        <v>0.01</v>
      </c>
      <c r="N7" s="2200">
        <v>0.01</v>
      </c>
      <c r="O7" s="4006" t="s">
        <v>911</v>
      </c>
      <c r="P7" s="2200">
        <v>0.01</v>
      </c>
      <c r="Q7" s="4010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4010" t="s">
        <v>911</v>
      </c>
      <c r="X7" s="4013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16"/>
    </row>
    <row r="8" spans="1:30" s="2201" customFormat="1" ht="18.75" customHeight="1" x14ac:dyDescent="0.25">
      <c r="A8" s="2198"/>
      <c r="B8" s="2199" t="s">
        <v>912</v>
      </c>
      <c r="C8" s="4019"/>
      <c r="D8" s="4006"/>
      <c r="E8" s="4024"/>
      <c r="F8" s="4006"/>
      <c r="G8" s="4006"/>
      <c r="H8" s="4006"/>
      <c r="I8" s="2202">
        <v>7.3999999999999996E-2</v>
      </c>
      <c r="J8" s="2202"/>
      <c r="K8" s="2202">
        <v>7.0999999999999994E-2</v>
      </c>
      <c r="L8" s="4006"/>
      <c r="M8" s="2202">
        <v>3.6999999999999998E-2</v>
      </c>
      <c r="N8" s="2202">
        <v>0.04</v>
      </c>
      <c r="O8" s="4006"/>
      <c r="P8" s="2202">
        <v>3.6999999999999998E-2</v>
      </c>
      <c r="Q8" s="4011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4011"/>
      <c r="X8" s="4014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17"/>
    </row>
    <row r="9" spans="1:30" s="2201" customFormat="1" ht="20.25" customHeight="1" x14ac:dyDescent="0.25">
      <c r="A9" s="2198"/>
      <c r="B9" s="2199" t="s">
        <v>913</v>
      </c>
      <c r="C9" s="4019"/>
      <c r="D9" s="4006"/>
      <c r="E9" s="4024"/>
      <c r="F9" s="4006"/>
      <c r="G9" s="4006"/>
      <c r="H9" s="4006"/>
      <c r="I9" s="2203">
        <v>0</v>
      </c>
      <c r="J9" s="2203"/>
      <c r="K9" s="2203">
        <v>0</v>
      </c>
      <c r="L9" s="4006"/>
      <c r="M9" s="2203">
        <v>0</v>
      </c>
      <c r="N9" s="2203">
        <v>0</v>
      </c>
      <c r="O9" s="4006"/>
      <c r="P9" s="2203">
        <v>0</v>
      </c>
      <c r="Q9" s="4012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12"/>
      <c r="X9" s="4015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18"/>
    </row>
    <row r="10" spans="1:30" s="1308" customFormat="1" ht="18" customHeight="1" x14ac:dyDescent="0.25">
      <c r="A10" s="2154">
        <v>1</v>
      </c>
      <c r="B10" s="2155" t="s">
        <v>914</v>
      </c>
      <c r="C10" s="2154" t="s">
        <v>915</v>
      </c>
      <c r="D10" s="2156">
        <f t="shared" ref="D10:E10" si="0">D11+D22+D24+D28</f>
        <v>123199.97</v>
      </c>
      <c r="E10" s="2316">
        <f t="shared" si="0"/>
        <v>115906.66</v>
      </c>
      <c r="F10" s="2156">
        <f t="shared" ref="F10:N10" si="1">F11+F22+F24+F28</f>
        <v>130132.0308002161</v>
      </c>
      <c r="G10" s="2156">
        <f t="shared" ref="G10" si="2">G11+G22+G24+G28</f>
        <v>120535.93</v>
      </c>
      <c r="H10" s="2156">
        <f t="shared" si="1"/>
        <v>126874.32289857589</v>
      </c>
      <c r="I10" s="2156">
        <f t="shared" si="1"/>
        <v>131185.59188472689</v>
      </c>
      <c r="J10" s="2156">
        <f t="shared" si="1"/>
        <v>146598.56</v>
      </c>
      <c r="K10" s="2156">
        <f t="shared" si="1"/>
        <v>132731.59938646757</v>
      </c>
      <c r="L10" s="2156">
        <f t="shared" ref="L10:M10" si="3">L11+L22+L24+L28</f>
        <v>138219.92427999998</v>
      </c>
      <c r="M10" s="2156">
        <f t="shared" si="3"/>
        <v>124314.61225618275</v>
      </c>
      <c r="N10" s="2156">
        <f t="shared" si="1"/>
        <v>135150.34286266143</v>
      </c>
      <c r="O10" s="2156">
        <f t="shared" ref="O10" si="4">O11+O22+O24+O28</f>
        <v>141714.08000000002</v>
      </c>
      <c r="P10" s="2156">
        <f>P11+P22+P24+P28</f>
        <v>127775.59977397999</v>
      </c>
      <c r="Q10" s="2156">
        <f t="shared" ref="Q10:AC10" si="5">Q11+Q22+Q24+Q28</f>
        <v>152193.54</v>
      </c>
      <c r="R10" s="2156">
        <f t="shared" si="5"/>
        <v>163063.53999999998</v>
      </c>
      <c r="S10" s="2156">
        <f t="shared" si="5"/>
        <v>168098.30000000002</v>
      </c>
      <c r="T10" s="2156">
        <f t="shared" si="5"/>
        <v>173305.15999999997</v>
      </c>
      <c r="U10" s="2156">
        <f t="shared" si="5"/>
        <v>178711.02</v>
      </c>
      <c r="V10" s="2156">
        <f t="shared" si="5"/>
        <v>0</v>
      </c>
      <c r="W10" s="2156">
        <f t="shared" si="5"/>
        <v>147544.11811148538</v>
      </c>
      <c r="X10" s="2821">
        <f>W10/P10*100</f>
        <v>115.47127806284891</v>
      </c>
      <c r="Y10" s="2156">
        <f t="shared" si="5"/>
        <v>152394.79711169572</v>
      </c>
      <c r="Z10" s="2156">
        <f t="shared" si="5"/>
        <v>155941.62487183817</v>
      </c>
      <c r="AA10" s="2156">
        <f t="shared" si="5"/>
        <v>160328.5385559875</v>
      </c>
      <c r="AB10" s="2156">
        <f t="shared" si="5"/>
        <v>164890.69791820081</v>
      </c>
      <c r="AC10" s="2156">
        <f t="shared" si="5"/>
        <v>169657.2078363566</v>
      </c>
      <c r="AD10" s="2359"/>
    </row>
    <row r="11" spans="1:30" s="1309" customFormat="1" ht="26.25" customHeight="1" x14ac:dyDescent="0.25">
      <c r="A11" s="2157" t="s">
        <v>916</v>
      </c>
      <c r="B11" s="2158" t="s">
        <v>917</v>
      </c>
      <c r="C11" s="2157" t="s">
        <v>915</v>
      </c>
      <c r="D11" s="2159">
        <f t="shared" ref="D11:E11" si="6">D12+D13+D14</f>
        <v>105513.69</v>
      </c>
      <c r="E11" s="2317">
        <f t="shared" si="6"/>
        <v>107557.11</v>
      </c>
      <c r="F11" s="2159">
        <f t="shared" ref="F11:N11" si="7">F12+F13+F14</f>
        <v>111940.9715304191</v>
      </c>
      <c r="G11" s="2159">
        <f t="shared" ref="G11" si="8">G12+G13+G14</f>
        <v>111965.39</v>
      </c>
      <c r="H11" s="2159">
        <f t="shared" si="7"/>
        <v>108393.13558408995</v>
      </c>
      <c r="I11" s="2159">
        <f t="shared" si="7"/>
        <v>116732.41893783511</v>
      </c>
      <c r="J11" s="2159">
        <f t="shared" si="7"/>
        <v>131238.74</v>
      </c>
      <c r="K11" s="2159">
        <f t="shared" si="7"/>
        <v>118241.1578864013</v>
      </c>
      <c r="L11" s="2159">
        <f t="shared" ref="L11:M11" si="9">L12+L13+L14</f>
        <v>127900.23427999999</v>
      </c>
      <c r="M11" s="2159">
        <f t="shared" si="9"/>
        <v>108120.4815480246</v>
      </c>
      <c r="N11" s="2159">
        <f t="shared" si="7"/>
        <v>120508.37225015374</v>
      </c>
      <c r="O11" s="2159">
        <f t="shared" ref="O11:P11" si="10">O12+O13+O14</f>
        <v>126360.15000000001</v>
      </c>
      <c r="P11" s="2159">
        <f t="shared" si="10"/>
        <v>119298.79540596965</v>
      </c>
      <c r="Q11" s="2159">
        <f t="shared" ref="Q11:AC11" si="11">Q12+Q13+Q14</f>
        <v>145195.96</v>
      </c>
      <c r="R11" s="2159">
        <f t="shared" si="11"/>
        <v>152733.99</v>
      </c>
      <c r="S11" s="2159">
        <f t="shared" si="11"/>
        <v>157758.25000000003</v>
      </c>
      <c r="T11" s="2159">
        <f t="shared" si="11"/>
        <v>162954.28999999998</v>
      </c>
      <c r="U11" s="2159">
        <f t="shared" si="11"/>
        <v>168349</v>
      </c>
      <c r="V11" s="2159">
        <f t="shared" si="11"/>
        <v>0</v>
      </c>
      <c r="W11" s="2159">
        <f t="shared" si="11"/>
        <v>137561.50163301575</v>
      </c>
      <c r="X11" s="2821">
        <f>W11/P11*100</f>
        <v>115.30837437620282</v>
      </c>
      <c r="Y11" s="2159">
        <f t="shared" si="11"/>
        <v>142410.41711169571</v>
      </c>
      <c r="Z11" s="2159">
        <f t="shared" si="11"/>
        <v>145957.24487183816</v>
      </c>
      <c r="AA11" s="2159">
        <f t="shared" si="11"/>
        <v>150344.15855598749</v>
      </c>
      <c r="AB11" s="2159">
        <f t="shared" si="11"/>
        <v>154906.3179182008</v>
      </c>
      <c r="AC11" s="2159">
        <f t="shared" si="11"/>
        <v>159672.82783635659</v>
      </c>
      <c r="AD11" s="2360"/>
    </row>
    <row r="12" spans="1:30" s="1310" customFormat="1" ht="32.25" customHeight="1" x14ac:dyDescent="0.25">
      <c r="A12" s="2160" t="s">
        <v>918</v>
      </c>
      <c r="B12" s="2161" t="s">
        <v>919</v>
      </c>
      <c r="C12" s="2160" t="s">
        <v>915</v>
      </c>
      <c r="D12" s="2160">
        <v>86457.11</v>
      </c>
      <c r="E12" s="2458">
        <v>89990.59</v>
      </c>
      <c r="F12" s="2162">
        <f>вода!BF124+вода!BF125+вода!BF126+вода!BF127+вода!BF128+вода!BF130-F15-F17-'цех вода'!AG18-'ОХР '!AP21-'ОХР '!AP17-'ОХР '!AP24</f>
        <v>93024.157639357698</v>
      </c>
      <c r="G12" s="2162">
        <v>93097.31</v>
      </c>
      <c r="H12" s="2162">
        <f>F12</f>
        <v>93024.157639357698</v>
      </c>
      <c r="I12" s="2162">
        <f>F12*(1-I7)*(1+I8)*(1+I9)</f>
        <v>98908.865851623472</v>
      </c>
      <c r="J12" s="2162">
        <v>108667.4</v>
      </c>
      <c r="K12" s="2162">
        <f>F12*(1-K7)*(1+K8)*(1+K9)</f>
        <v>98632.584103434579</v>
      </c>
      <c r="L12" s="2162">
        <v>103885.18</v>
      </c>
      <c r="M12" s="2162">
        <f>F12*0.99*1.037</f>
        <v>95501.390957293799</v>
      </c>
      <c r="N12" s="2162">
        <f>K12*(1-N7)*(1+N8)*(1+N9)</f>
        <v>101552.10859289626</v>
      </c>
      <c r="O12" s="2162">
        <v>103364.71</v>
      </c>
      <c r="P12" s="2162">
        <f>N12</f>
        <v>101552.10859289626</v>
      </c>
      <c r="Q12" s="2162">
        <v>123419.62</v>
      </c>
      <c r="R12" s="2162">
        <v>127122.16</v>
      </c>
      <c r="S12" s="2162">
        <v>130935.77</v>
      </c>
      <c r="T12" s="2162">
        <v>134863.79999999999</v>
      </c>
      <c r="U12" s="2162">
        <v>138909.66</v>
      </c>
      <c r="V12" s="2162"/>
      <c r="W12" s="2162">
        <f>вода!BR124+вода!BR125+вода!BR126+вода!BR127+вода!BR128+вода!BR130</f>
        <v>116884.44357920038</v>
      </c>
      <c r="X12" s="2821">
        <f>W12/P12*100</f>
        <v>115.09799766715689</v>
      </c>
      <c r="Y12" s="2162">
        <f>W12*(1-Y7)*(1+Y8)*(1+Y9)</f>
        <v>121038.51670400516</v>
      </c>
      <c r="Z12" s="2162">
        <f t="shared" ref="Z12:AC12" si="12">Y12*(1-Z7)*(1+Z8)*(1+Z9)</f>
        <v>123902.28800922193</v>
      </c>
      <c r="AA12" s="2162">
        <f t="shared" si="12"/>
        <v>127569.79573429489</v>
      </c>
      <c r="AB12" s="2162">
        <f t="shared" si="12"/>
        <v>131345.86168803001</v>
      </c>
      <c r="AC12" s="2162">
        <f t="shared" si="12"/>
        <v>135233.69919399571</v>
      </c>
      <c r="AD12" s="2361" t="s">
        <v>2074</v>
      </c>
    </row>
    <row r="13" spans="1:30" s="1310" customFormat="1" ht="74.25" customHeight="1" x14ac:dyDescent="0.25">
      <c r="A13" s="2160" t="s">
        <v>920</v>
      </c>
      <c r="B13" s="2161" t="s">
        <v>921</v>
      </c>
      <c r="C13" s="2160" t="s">
        <v>915</v>
      </c>
      <c r="D13" s="2160">
        <v>14266.2</v>
      </c>
      <c r="E13" s="2458">
        <v>13450.94</v>
      </c>
      <c r="F13" s="2162">
        <f>вода!BF121+'цех вода'!AG18+'ОХР '!AP21+'ОХР '!AP17</f>
        <v>13383.894959795218</v>
      </c>
      <c r="G13" s="2162">
        <v>14650.72</v>
      </c>
      <c r="H13" s="2162">
        <f>'2018 к смета'!C10</f>
        <v>11949.702441618929</v>
      </c>
      <c r="I13" s="2162">
        <f>'электр 2017-2018'!BP51+'цех вода'!AG18*1.06+'ОХР '!AP17*1.025+'ОХР '!AP21*1.066</f>
        <v>13888.068267519839</v>
      </c>
      <c r="J13" s="2162">
        <v>14515.88</v>
      </c>
      <c r="K13" s="2162">
        <f>'2017 к смета'!C4</f>
        <v>13108.636264262597</v>
      </c>
      <c r="L13" s="2162">
        <v>16266.87</v>
      </c>
      <c r="M13" s="2162">
        <f>'ЭЭ вода'!J50</f>
        <v>8668.4926037400128</v>
      </c>
      <c r="N13" s="2162">
        <f>'электр 2017-2018'!BV51+'цех вода'!AG18*1.06*1.051+'ОХР '!AP17*1.025*1.03+'ОХР '!AP21*1.066*1.067</f>
        <v>14746.787693362201</v>
      </c>
      <c r="O13" s="2162">
        <v>13964.95</v>
      </c>
      <c r="P13" s="2162">
        <f>'2018 к смета'!I10</f>
        <v>13543.132730850208</v>
      </c>
      <c r="Q13" s="2162">
        <v>16967.41</v>
      </c>
      <c r="R13" s="2162">
        <v>18046.52</v>
      </c>
      <c r="S13" s="2162">
        <v>19195.810000000001</v>
      </c>
      <c r="T13" s="2162">
        <v>20419.91</v>
      </c>
      <c r="U13" s="2162">
        <v>21723.79</v>
      </c>
      <c r="V13" s="2162"/>
      <c r="W13" s="2162">
        <f>вода!BR121+вода!BR122</f>
        <v>13640.899384903289</v>
      </c>
      <c r="X13" s="2821">
        <f t="shared" ref="X13:X14" si="13">W13/P13*100</f>
        <v>100.72189098339395</v>
      </c>
      <c r="Y13" s="2162">
        <f>'ЭЭ вода'!T50+'Тепловая энергия'!I10</f>
        <v>14213.817159069227</v>
      </c>
      <c r="Z13" s="2162">
        <f>'ЭЭ вода'!U50+'Тепловая энергия'!J10</f>
        <v>14782.369845431995</v>
      </c>
      <c r="AA13" s="2162">
        <f>'ЭЭ вода'!V50+'Тепловая энергия'!K10</f>
        <v>15373.664639249277</v>
      </c>
      <c r="AB13" s="2162">
        <f>'ЭЭ вода'!W50+'Тепловая энергия'!L10</f>
        <v>15973.237560179998</v>
      </c>
      <c r="AC13" s="2162">
        <f>'ЭЭ вода'!X50+'Тепловая энергия'!M10</f>
        <v>16596.193825027018</v>
      </c>
      <c r="AD13" s="2361" t="s">
        <v>2075</v>
      </c>
    </row>
    <row r="14" spans="1:30" s="1310" customFormat="1" ht="32.25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4790.38</v>
      </c>
      <c r="E14" s="2318">
        <f>E15+E16+E17+E18+E21</f>
        <v>4115.58</v>
      </c>
      <c r="F14" s="2162">
        <f>F15+F16+F17+F18+F21</f>
        <v>5532.9189312661874</v>
      </c>
      <c r="G14" s="2162">
        <f>G15+G16+G17+G18+G21</f>
        <v>4217.3599999999997</v>
      </c>
      <c r="H14" s="2162">
        <f>H15+H16+H17+H18+H21</f>
        <v>3419.2755031133252</v>
      </c>
      <c r="I14" s="2162">
        <f t="shared" ref="I14:AC14" si="14">I15+I16+I17+I18+I21</f>
        <v>3935.4848186918089</v>
      </c>
      <c r="J14" s="2162">
        <f t="shared" si="14"/>
        <v>8055.46</v>
      </c>
      <c r="K14" s="2162">
        <f t="shared" si="14"/>
        <v>6499.9375187041169</v>
      </c>
      <c r="L14" s="2162">
        <f t="shared" si="14"/>
        <v>7748.1842800000004</v>
      </c>
      <c r="M14" s="2162">
        <f t="shared" si="14"/>
        <v>3950.5979869907842</v>
      </c>
      <c r="N14" s="2162">
        <f t="shared" si="14"/>
        <v>4209.4759638952746</v>
      </c>
      <c r="O14" s="2162">
        <f>O15+O16+O17+O18+O21</f>
        <v>9030.49</v>
      </c>
      <c r="P14" s="2162">
        <f t="shared" si="14"/>
        <v>4203.5540822231906</v>
      </c>
      <c r="Q14" s="2162">
        <f t="shared" si="14"/>
        <v>4808.93</v>
      </c>
      <c r="R14" s="2162">
        <f t="shared" si="14"/>
        <v>7565.3099999999995</v>
      </c>
      <c r="S14" s="2162">
        <f t="shared" si="14"/>
        <v>7626.67</v>
      </c>
      <c r="T14" s="2162">
        <f t="shared" si="14"/>
        <v>7670.58</v>
      </c>
      <c r="U14" s="2162">
        <f t="shared" si="14"/>
        <v>7715.5500000000011</v>
      </c>
      <c r="V14" s="2162">
        <f t="shared" si="14"/>
        <v>0</v>
      </c>
      <c r="W14" s="2162">
        <f t="shared" si="14"/>
        <v>7036.1586689121004</v>
      </c>
      <c r="X14" s="2821">
        <f t="shared" si="13"/>
        <v>167.38594368674785</v>
      </c>
      <c r="Y14" s="2162">
        <f t="shared" si="14"/>
        <v>7158.0832486213121</v>
      </c>
      <c r="Z14" s="2162">
        <f t="shared" si="14"/>
        <v>7272.5870171842435</v>
      </c>
      <c r="AA14" s="2162">
        <f t="shared" si="14"/>
        <v>7400.6981824433287</v>
      </c>
      <c r="AB14" s="2162">
        <f t="shared" si="14"/>
        <v>7587.2186699907925</v>
      </c>
      <c r="AC14" s="2162">
        <f t="shared" si="14"/>
        <v>7842.9348173338822</v>
      </c>
      <c r="AD14" s="2361"/>
    </row>
    <row r="15" spans="1:30" s="1311" customFormat="1" ht="71.25" customHeight="1" x14ac:dyDescent="0.2">
      <c r="A15" s="1802" t="s">
        <v>924</v>
      </c>
      <c r="B15" s="1803" t="s">
        <v>925</v>
      </c>
      <c r="C15" s="1802" t="s">
        <v>915</v>
      </c>
      <c r="D15" s="1802">
        <v>26.21</v>
      </c>
      <c r="E15" s="2459">
        <v>0</v>
      </c>
      <c r="F15" s="1804">
        <f>'цех вода'!AG24</f>
        <v>27.1</v>
      </c>
      <c r="G15" s="1804">
        <v>0</v>
      </c>
      <c r="H15" s="1804">
        <f>'2018 к смета'!C18</f>
        <v>0</v>
      </c>
      <c r="I15" s="1804">
        <v>28.803999999999998</v>
      </c>
      <c r="J15" s="1804">
        <v>29.81</v>
      </c>
      <c r="K15" s="1804">
        <f>'[22]корректировка 2017'!$F$9</f>
        <v>28.83214873684431</v>
      </c>
      <c r="L15" s="1804">
        <v>0</v>
      </c>
      <c r="M15" s="1804">
        <v>0</v>
      </c>
      <c r="N15" s="1804">
        <v>30.17</v>
      </c>
      <c r="O15" s="1804">
        <v>30.84</v>
      </c>
      <c r="P15" s="1804">
        <f>'2018 к смета'!I18</f>
        <v>47.513196494407865</v>
      </c>
      <c r="Q15" s="1804">
        <v>48.94</v>
      </c>
      <c r="R15" s="1804">
        <v>50.4</v>
      </c>
      <c r="S15" s="1804">
        <v>51.92</v>
      </c>
      <c r="T15" s="1804">
        <v>53.47</v>
      </c>
      <c r="U15" s="1804">
        <v>55.08</v>
      </c>
      <c r="V15" s="1804"/>
      <c r="W15" s="1804">
        <f>вода!BR133</f>
        <v>30.794479507533907</v>
      </c>
      <c r="X15" s="2822">
        <f>W15/P15*100</f>
        <v>64.812476910826888</v>
      </c>
      <c r="Y15" s="1804">
        <f>'[21]индексация вода'!$T$32</f>
        <v>31.883869298736101</v>
      </c>
      <c r="Z15" s="1804">
        <f>'[21]индексация вода'!$U$32</f>
        <v>32.634882372052552</v>
      </c>
      <c r="AA15" s="1804">
        <f>'[21]индексация вода'!$V$32</f>
        <v>33.596672247871709</v>
      </c>
      <c r="AB15" s="1804">
        <f>'[21]индексация вода'!$W$32</f>
        <v>34.586931104015108</v>
      </c>
      <c r="AC15" s="1804">
        <f>'[21]индексация вода'!$X$32</f>
        <v>35.60650162230035</v>
      </c>
      <c r="AD15" s="2362" t="s">
        <v>2086</v>
      </c>
    </row>
    <row r="16" spans="1:30" s="1311" customFormat="1" ht="122.25" customHeight="1" x14ac:dyDescent="0.2">
      <c r="A16" s="1802" t="s">
        <v>926</v>
      </c>
      <c r="B16" s="1803" t="s">
        <v>927</v>
      </c>
      <c r="C16" s="1802" t="s">
        <v>915</v>
      </c>
      <c r="D16" s="1802">
        <v>3186.57</v>
      </c>
      <c r="E16" s="2459">
        <v>3990.44</v>
      </c>
      <c r="F16" s="1804">
        <v>3107.82</v>
      </c>
      <c r="G16" s="1804">
        <v>4089.2</v>
      </c>
      <c r="H16" s="1804">
        <f>'2018 к смета'!C19</f>
        <v>3291.1155031133253</v>
      </c>
      <c r="I16" s="1804">
        <v>3285.4940000000001</v>
      </c>
      <c r="J16" s="1804">
        <v>3611.01</v>
      </c>
      <c r="K16" s="1804">
        <f>'2017 к смета'!C13</f>
        <v>3603.16741482098</v>
      </c>
      <c r="L16" s="1804">
        <v>4234.54</v>
      </c>
      <c r="M16" s="1804">
        <f>'Н 2019-2024'!D14</f>
        <v>3397.2979869907845</v>
      </c>
      <c r="N16" s="1804">
        <f>вод.налог!J36+вода!BF52+вода!BF53+вода!BF54</f>
        <v>3511.7727326458821</v>
      </c>
      <c r="O16" s="1804">
        <v>3612.02</v>
      </c>
      <c r="P16" s="1804">
        <f>'2018 к смета'!I19</f>
        <v>3502.9312821041176</v>
      </c>
      <c r="Q16" s="1804">
        <v>4242.43</v>
      </c>
      <c r="R16" s="1804">
        <v>4324.1899999999996</v>
      </c>
      <c r="S16" s="1804">
        <v>4362.8599999999997</v>
      </c>
      <c r="T16" s="1804">
        <v>4382.58</v>
      </c>
      <c r="U16" s="1804">
        <v>4402.3100000000004</v>
      </c>
      <c r="V16" s="1804"/>
      <c r="W16" s="1804">
        <f>вода!BR129</f>
        <v>6646.6681943163603</v>
      </c>
      <c r="X16" s="2822">
        <f t="shared" ref="X16:X20" si="15">W16/P16*100</f>
        <v>189.74589162719411</v>
      </c>
      <c r="Y16" s="1804">
        <f>'Н 2019-2024'!L14</f>
        <v>6755.3077204013716</v>
      </c>
      <c r="Z16" s="1804">
        <f>'Н 2019-2024'!M14</f>
        <v>6854.2248095341383</v>
      </c>
      <c r="AA16" s="1804">
        <f>'Н 2019-2024'!N14</f>
        <v>6965.945091906282</v>
      </c>
      <c r="AB16" s="1804">
        <f>'Н 2019-2024'!O14</f>
        <v>7135.4290638660359</v>
      </c>
      <c r="AC16" s="1804">
        <f>'Н 2019-2024'!P14</f>
        <v>7373.4375336900102</v>
      </c>
      <c r="AD16" s="2362" t="s">
        <v>2076</v>
      </c>
    </row>
    <row r="17" spans="1:37" s="1311" customFormat="1" ht="39" customHeight="1" x14ac:dyDescent="0.2">
      <c r="A17" s="1802" t="s">
        <v>928</v>
      </c>
      <c r="B17" s="1803" t="s">
        <v>929</v>
      </c>
      <c r="C17" s="1802" t="s">
        <v>915</v>
      </c>
      <c r="D17" s="1802">
        <v>307.8</v>
      </c>
      <c r="E17" s="2459">
        <v>125.14</v>
      </c>
      <c r="F17" s="1804">
        <f>'цех вода'!AG30+'цех вода'!AG41</f>
        <v>216.27343999999999</v>
      </c>
      <c r="G17" s="1804">
        <v>128.16</v>
      </c>
      <c r="H17" s="1804">
        <f>'2018 к смета'!C20</f>
        <v>128.16</v>
      </c>
      <c r="I17" s="1804">
        <f>F17</f>
        <v>216.27343999999999</v>
      </c>
      <c r="J17" s="1804">
        <v>237.9</v>
      </c>
      <c r="K17" s="1804">
        <f>I17</f>
        <v>216.27343999999999</v>
      </c>
      <c r="L17" s="1804">
        <v>156.02000000000001</v>
      </c>
      <c r="M17" s="1804">
        <f>L17</f>
        <v>156.02000000000001</v>
      </c>
      <c r="N17" s="1804">
        <f>I17</f>
        <v>216.27343999999999</v>
      </c>
      <c r="O17" s="1804">
        <v>237.89</v>
      </c>
      <c r="P17" s="1804">
        <f>'2018 к смета'!I20</f>
        <v>216.27</v>
      </c>
      <c r="Q17" s="1804">
        <v>222.75</v>
      </c>
      <c r="R17" s="1804">
        <v>229.44</v>
      </c>
      <c r="S17" s="1804">
        <v>236.32</v>
      </c>
      <c r="T17" s="1804">
        <v>243.41</v>
      </c>
      <c r="U17" s="1804">
        <v>250.71</v>
      </c>
      <c r="V17" s="1804"/>
      <c r="W17" s="1804">
        <f>вода!BR57</f>
        <v>63.885995088205725</v>
      </c>
      <c r="X17" s="2822">
        <f t="shared" si="15"/>
        <v>29.539924672032981</v>
      </c>
      <c r="Y17" s="1804">
        <f>'Аренда земли'!L9</f>
        <v>66.058118921204724</v>
      </c>
      <c r="Z17" s="1804">
        <f>'Аренда земли'!M9</f>
        <v>68.70044367805292</v>
      </c>
      <c r="AA17" s="1804">
        <f>'Аренда земли'!N9</f>
        <v>71.44846142517504</v>
      </c>
      <c r="AB17" s="1804">
        <f>'Аренда земли'!O9</f>
        <v>74.306399882182049</v>
      </c>
      <c r="AC17" s="1804">
        <f>'Аренда земли'!P9</f>
        <v>77.278655877469333</v>
      </c>
      <c r="AD17" s="2362" t="s">
        <v>2077</v>
      </c>
    </row>
    <row r="18" spans="1:37" s="1311" customFormat="1" ht="54.75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2459">
        <v>0</v>
      </c>
      <c r="F18" s="1804">
        <f>вода!BF131</f>
        <v>395.92549126618718</v>
      </c>
      <c r="G18" s="1804">
        <v>0</v>
      </c>
      <c r="H18" s="1804">
        <f>'2018 к смета'!C21</f>
        <v>0</v>
      </c>
      <c r="I18" s="1804">
        <f>'Резерв ДЗ'!F17</f>
        <v>404.91337869180882</v>
      </c>
      <c r="J18" s="1804">
        <v>404.91</v>
      </c>
      <c r="K18" s="1804">
        <v>397.28</v>
      </c>
      <c r="L18" s="1804">
        <v>3357.62428</v>
      </c>
      <c r="M18" s="1804">
        <v>397.28</v>
      </c>
      <c r="N18" s="1804">
        <f>'Резерв ДЗ'!F27</f>
        <v>451.25979124939289</v>
      </c>
      <c r="O18" s="1804">
        <v>444.99</v>
      </c>
      <c r="P18" s="1804">
        <f>'рез к 2017'!G38</f>
        <v>436.83960362466541</v>
      </c>
      <c r="Q18" s="1804">
        <v>294.81</v>
      </c>
      <c r="R18" s="1804">
        <v>296.76</v>
      </c>
      <c r="S18" s="1804">
        <v>311.05</v>
      </c>
      <c r="T18" s="1804">
        <v>326.60000000000002</v>
      </c>
      <c r="U18" s="1804">
        <v>342.93</v>
      </c>
      <c r="V18" s="1804"/>
      <c r="W18" s="1804">
        <f>вода!BR59</f>
        <v>294.81</v>
      </c>
      <c r="X18" s="2822">
        <f t="shared" si="15"/>
        <v>67.487012980009496</v>
      </c>
      <c r="Y18" s="1804">
        <f>W18*1.034</f>
        <v>304.83354000000003</v>
      </c>
      <c r="Z18" s="1804">
        <f>Y18*1.04</f>
        <v>317.02688160000002</v>
      </c>
      <c r="AA18" s="1804">
        <f t="shared" ref="AA18:AC18" si="16">Z18*1.04</f>
        <v>329.70795686400004</v>
      </c>
      <c r="AB18" s="1804">
        <f t="shared" si="16"/>
        <v>342.89627513856004</v>
      </c>
      <c r="AC18" s="1804">
        <f t="shared" si="16"/>
        <v>356.61212614410243</v>
      </c>
      <c r="AD18" s="2362" t="s">
        <v>2087</v>
      </c>
    </row>
    <row r="19" spans="1:37" s="1311" customFormat="1" ht="17.25" hidden="1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2459">
        <v>0</v>
      </c>
      <c r="F19" s="1804">
        <v>0</v>
      </c>
      <c r="G19" s="1804">
        <v>0</v>
      </c>
      <c r="H19" s="1804">
        <f>'2018 к смета'!C22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f>'2018 к смета'!I22</f>
        <v>0</v>
      </c>
      <c r="Q19" s="1804">
        <f>'2018 к смета'!J22</f>
        <v>0</v>
      </c>
      <c r="R19" s="1804">
        <f>'2018 к смета'!K22</f>
        <v>0</v>
      </c>
      <c r="S19" s="1804">
        <f>'2018 к смета'!L22</f>
        <v>0</v>
      </c>
      <c r="T19" s="1804">
        <f>'2018 к смета'!M22</f>
        <v>0</v>
      </c>
      <c r="U19" s="1804">
        <f>'2018 к смета'!N22</f>
        <v>0</v>
      </c>
      <c r="V19" s="1804">
        <f>'2018 к смета'!O22</f>
        <v>0</v>
      </c>
      <c r="W19" s="1804">
        <v>0</v>
      </c>
      <c r="X19" s="2822" t="e">
        <f t="shared" si="15"/>
        <v>#DIV/0!</v>
      </c>
      <c r="Y19" s="1804"/>
      <c r="Z19" s="1804"/>
      <c r="AA19" s="1804"/>
      <c r="AB19" s="1804"/>
      <c r="AC19" s="1804"/>
      <c r="AD19" s="2362"/>
    </row>
    <row r="20" spans="1:37" s="1311" customFormat="1" ht="25.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2459">
        <v>0</v>
      </c>
      <c r="F20" s="1804">
        <v>0</v>
      </c>
      <c r="G20" s="1804">
        <v>0</v>
      </c>
      <c r="H20" s="1804">
        <f>'2018 к смета'!C23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f>'2018 к смета'!I23</f>
        <v>0</v>
      </c>
      <c r="Q20" s="1804">
        <f>'2018 к смета'!J23</f>
        <v>0</v>
      </c>
      <c r="R20" s="1804">
        <f>'2018 к смета'!K23</f>
        <v>0</v>
      </c>
      <c r="S20" s="1804">
        <f>'2018 к смета'!L23</f>
        <v>0</v>
      </c>
      <c r="T20" s="1804">
        <f>'2018 к смета'!M23</f>
        <v>0</v>
      </c>
      <c r="U20" s="1804">
        <f>'2018 к смета'!N23</f>
        <v>0</v>
      </c>
      <c r="V20" s="1804">
        <f>'2018 к смета'!O23</f>
        <v>0</v>
      </c>
      <c r="W20" s="1804">
        <v>0</v>
      </c>
      <c r="X20" s="2822" t="e">
        <f t="shared" si="15"/>
        <v>#DIV/0!</v>
      </c>
      <c r="Y20" s="1804"/>
      <c r="Z20" s="1804"/>
      <c r="AA20" s="1804"/>
      <c r="AB20" s="1804"/>
      <c r="AC20" s="1804"/>
      <c r="AD20" s="2362"/>
    </row>
    <row r="21" spans="1:37" s="1311" customFormat="1" ht="92.25" customHeight="1" x14ac:dyDescent="0.2">
      <c r="A21" s="1802" t="s">
        <v>936</v>
      </c>
      <c r="B21" s="1803" t="s">
        <v>937</v>
      </c>
      <c r="C21" s="1802" t="s">
        <v>915</v>
      </c>
      <c r="D21" s="1802">
        <v>1269.8</v>
      </c>
      <c r="E21" s="2459">
        <v>0</v>
      </c>
      <c r="F21" s="1804">
        <f>вода!BF134</f>
        <v>1785.8</v>
      </c>
      <c r="G21" s="1804">
        <v>0</v>
      </c>
      <c r="H21" s="1804">
        <f>'2018 к смета'!C24</f>
        <v>0</v>
      </c>
      <c r="I21" s="1804">
        <v>0</v>
      </c>
      <c r="J21" s="1804">
        <v>3771.83</v>
      </c>
      <c r="K21" s="1804">
        <f>'хим. реагенты'!P15+Аморт!Y37+'водный налог вып'!K12</f>
        <v>2254.3845151462929</v>
      </c>
      <c r="L21" s="1804">
        <v>0</v>
      </c>
      <c r="M21" s="1804">
        <v>0</v>
      </c>
      <c r="N21" s="1804">
        <v>0</v>
      </c>
      <c r="O21" s="1804">
        <v>4704.75</v>
      </c>
      <c r="P21" s="1804">
        <f>'2018 к смета'!I24</f>
        <v>0</v>
      </c>
      <c r="Q21" s="1804">
        <v>0</v>
      </c>
      <c r="R21" s="1804">
        <v>2664.52</v>
      </c>
      <c r="S21" s="1804">
        <v>2664.52</v>
      </c>
      <c r="T21" s="1804">
        <v>2664.52</v>
      </c>
      <c r="U21" s="1804">
        <v>2664.52</v>
      </c>
      <c r="V21" s="1804"/>
      <c r="W21" s="1804">
        <v>0</v>
      </c>
      <c r="X21" s="2822">
        <v>0</v>
      </c>
      <c r="Y21" s="1804">
        <v>0</v>
      </c>
      <c r="Z21" s="1804">
        <v>0</v>
      </c>
      <c r="AA21" s="1804">
        <v>0</v>
      </c>
      <c r="AB21" s="1804">
        <v>0</v>
      </c>
      <c r="AC21" s="1804">
        <v>0</v>
      </c>
      <c r="AD21" s="2362"/>
      <c r="AE21" s="1857"/>
    </row>
    <row r="22" spans="1:37" s="1309" customFormat="1" ht="25.5" x14ac:dyDescent="0.25">
      <c r="A22" s="2157" t="s">
        <v>938</v>
      </c>
      <c r="B22" s="2158" t="s">
        <v>2</v>
      </c>
      <c r="C22" s="2157" t="s">
        <v>915</v>
      </c>
      <c r="D22" s="2157">
        <v>7587.23</v>
      </c>
      <c r="E22" s="2460">
        <v>8349.5499999999993</v>
      </c>
      <c r="F22" s="2159">
        <f>вода!BF123+'ОХР '!AP24</f>
        <v>8206.2514738828813</v>
      </c>
      <c r="G22" s="2159">
        <v>8570.5400000000009</v>
      </c>
      <c r="H22" s="2159">
        <f>'2018 к смета'!C25</f>
        <v>8496.3795185718263</v>
      </c>
      <c r="I22" s="2159">
        <v>8206.24</v>
      </c>
      <c r="J22" s="2159">
        <v>8378.94</v>
      </c>
      <c r="K22" s="2159">
        <f>'2017 к смета'!C19</f>
        <v>8277.2407919081052</v>
      </c>
      <c r="L22" s="2159">
        <v>10319.69</v>
      </c>
      <c r="M22" s="2159">
        <f>Аморт!AC27-'тех вода 2018'!M22</f>
        <v>9980.9299999999985</v>
      </c>
      <c r="N22" s="2159">
        <f>I22</f>
        <v>8206.24</v>
      </c>
      <c r="O22" s="2159">
        <v>8605.64</v>
      </c>
      <c r="P22" s="2159">
        <f>'2018 к смета'!I25</f>
        <v>8476.8043680103383</v>
      </c>
      <c r="Q22" s="2159">
        <v>10319.35</v>
      </c>
      <c r="R22" s="2159">
        <v>10329.549999999999</v>
      </c>
      <c r="S22" s="2159">
        <v>10340.049999999999</v>
      </c>
      <c r="T22" s="2159">
        <v>10350.870000000001</v>
      </c>
      <c r="U22" s="2159">
        <v>10362.02</v>
      </c>
      <c r="V22" s="2159"/>
      <c r="W22" s="2159">
        <f>вода!BR123</f>
        <v>9982.6164784696339</v>
      </c>
      <c r="X22" s="2821">
        <f>W22/P22*100</f>
        <v>117.76391249681201</v>
      </c>
      <c r="Y22" s="2159">
        <f>Аморт!AO27</f>
        <v>9984.3799999999992</v>
      </c>
      <c r="Z22" s="2159">
        <f>Аморт!AP27</f>
        <v>9984.3799999999992</v>
      </c>
      <c r="AA22" s="2159">
        <f>Аморт!AQ27</f>
        <v>9984.3799999999992</v>
      </c>
      <c r="AB22" s="2159">
        <f>AA22</f>
        <v>9984.3799999999992</v>
      </c>
      <c r="AC22" s="2159">
        <f>AB22</f>
        <v>9984.3799999999992</v>
      </c>
      <c r="AD22" s="2360" t="s">
        <v>2078</v>
      </c>
    </row>
    <row r="23" spans="1:37" s="1831" customFormat="1" ht="22.5" customHeight="1" x14ac:dyDescent="0.2">
      <c r="A23" s="2163" t="s">
        <v>199</v>
      </c>
      <c r="B23" s="2164" t="s">
        <v>939</v>
      </c>
      <c r="C23" s="2163" t="s">
        <v>44</v>
      </c>
      <c r="D23" s="2165">
        <f>D24/(D11+D22)*100</f>
        <v>8.9292377108868788</v>
      </c>
      <c r="E23" s="2354">
        <f>E24/(E11+E22)*100</f>
        <v>0</v>
      </c>
      <c r="F23" s="2165">
        <f>F24/(F11+F22)*100</f>
        <v>3.3092733236602863</v>
      </c>
      <c r="G23" s="2165">
        <f>G24/(G11+G22)*100</f>
        <v>0</v>
      </c>
      <c r="H23" s="2165">
        <f>H24/(H11+H22)*100</f>
        <v>3.4015026895337508</v>
      </c>
      <c r="I23" s="2165">
        <f t="shared" ref="I23:AC23" si="17">I24/(I11+I22)*100</f>
        <v>0</v>
      </c>
      <c r="J23" s="2165">
        <f t="shared" si="17"/>
        <v>0</v>
      </c>
      <c r="K23" s="2165">
        <f t="shared" si="17"/>
        <v>0</v>
      </c>
      <c r="L23" s="2165">
        <v>0</v>
      </c>
      <c r="M23" s="2165">
        <v>0</v>
      </c>
      <c r="N23" s="2165">
        <f t="shared" si="17"/>
        <v>0</v>
      </c>
      <c r="O23" s="2165">
        <f t="shared" si="17"/>
        <v>0</v>
      </c>
      <c r="P23" s="2165">
        <f t="shared" si="17"/>
        <v>0</v>
      </c>
      <c r="Q23" s="2165">
        <f t="shared" si="17"/>
        <v>-2.1359761942409401</v>
      </c>
      <c r="R23" s="2165">
        <f t="shared" si="17"/>
        <v>0</v>
      </c>
      <c r="S23" s="2165">
        <f t="shared" si="17"/>
        <v>0</v>
      </c>
      <c r="T23" s="2165">
        <f t="shared" si="17"/>
        <v>0</v>
      </c>
      <c r="U23" s="2165">
        <f t="shared" si="17"/>
        <v>0</v>
      </c>
      <c r="V23" s="2165" t="e">
        <f t="shared" si="17"/>
        <v>#DIV/0!</v>
      </c>
      <c r="W23" s="2165">
        <f t="shared" si="17"/>
        <v>0</v>
      </c>
      <c r="X23" s="2823">
        <v>0</v>
      </c>
      <c r="Y23" s="2165">
        <f t="shared" si="17"/>
        <v>0</v>
      </c>
      <c r="Z23" s="2165">
        <f t="shared" si="17"/>
        <v>0</v>
      </c>
      <c r="AA23" s="2165">
        <f t="shared" si="17"/>
        <v>0</v>
      </c>
      <c r="AB23" s="2165">
        <f t="shared" si="17"/>
        <v>0</v>
      </c>
      <c r="AC23" s="2165">
        <f t="shared" si="17"/>
        <v>0</v>
      </c>
      <c r="AD23" s="2363"/>
    </row>
    <row r="24" spans="1:37" s="1309" customFormat="1" ht="28.5" customHeigh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10099.049999999999</v>
      </c>
      <c r="E24" s="2317">
        <f>E25+E26+E27</f>
        <v>0</v>
      </c>
      <c r="F24" s="2159">
        <f>F25+F26+F27</f>
        <v>3976</v>
      </c>
      <c r="G24" s="2159">
        <f>G25+G26+G27</f>
        <v>0</v>
      </c>
      <c r="H24" s="2159">
        <f>H25+H26+H27</f>
        <v>3976</v>
      </c>
      <c r="I24" s="2159">
        <f t="shared" ref="I24:AC24" si="18">I25+I26+I27</f>
        <v>0</v>
      </c>
      <c r="J24" s="2159">
        <f t="shared" si="18"/>
        <v>0</v>
      </c>
      <c r="K24" s="2159">
        <f t="shared" si="18"/>
        <v>0</v>
      </c>
      <c r="L24" s="2159">
        <v>0</v>
      </c>
      <c r="M24" s="2159">
        <v>0</v>
      </c>
      <c r="N24" s="2159">
        <f t="shared" si="18"/>
        <v>0</v>
      </c>
      <c r="O24" s="2159">
        <f t="shared" si="18"/>
        <v>0</v>
      </c>
      <c r="P24" s="2159">
        <f t="shared" si="18"/>
        <v>0</v>
      </c>
      <c r="Q24" s="2159">
        <f t="shared" si="18"/>
        <v>-3321.77</v>
      </c>
      <c r="R24" s="2159">
        <f t="shared" si="18"/>
        <v>0</v>
      </c>
      <c r="S24" s="2159">
        <f t="shared" si="18"/>
        <v>0</v>
      </c>
      <c r="T24" s="2159">
        <f t="shared" si="18"/>
        <v>0</v>
      </c>
      <c r="U24" s="2159">
        <f t="shared" si="18"/>
        <v>0</v>
      </c>
      <c r="V24" s="2159">
        <f t="shared" si="18"/>
        <v>0</v>
      </c>
      <c r="W24" s="2159">
        <f t="shared" si="18"/>
        <v>0</v>
      </c>
      <c r="X24" s="2821">
        <v>0</v>
      </c>
      <c r="Y24" s="2159">
        <f t="shared" si="18"/>
        <v>0</v>
      </c>
      <c r="Z24" s="2159">
        <f t="shared" si="18"/>
        <v>0</v>
      </c>
      <c r="AA24" s="2159">
        <f t="shared" si="18"/>
        <v>0</v>
      </c>
      <c r="AB24" s="2159">
        <f t="shared" si="18"/>
        <v>0</v>
      </c>
      <c r="AC24" s="2159">
        <f t="shared" si="18"/>
        <v>0</v>
      </c>
      <c r="AD24" s="2360"/>
    </row>
    <row r="25" spans="1:37" s="1310" customFormat="1" ht="33.75" customHeight="1" x14ac:dyDescent="0.25">
      <c r="A25" s="2160" t="s">
        <v>942</v>
      </c>
      <c r="B25" s="2161" t="s">
        <v>943</v>
      </c>
      <c r="C25" s="2160" t="s">
        <v>915</v>
      </c>
      <c r="D25" s="2160">
        <v>4444</v>
      </c>
      <c r="E25" s="2458">
        <v>0</v>
      </c>
      <c r="F25" s="2162">
        <f>вода!BF69</f>
        <v>3976</v>
      </c>
      <c r="G25" s="2162">
        <v>0</v>
      </c>
      <c r="H25" s="2162">
        <v>3976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v>0</v>
      </c>
      <c r="P25" s="2162">
        <v>0</v>
      </c>
      <c r="Q25" s="2162">
        <v>-3321.77</v>
      </c>
      <c r="R25" s="2162">
        <v>0</v>
      </c>
      <c r="S25" s="2162">
        <v>0</v>
      </c>
      <c r="T25" s="2162">
        <v>0</v>
      </c>
      <c r="U25" s="2162">
        <v>0</v>
      </c>
      <c r="V25" s="2162"/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7" s="1310" customFormat="1" ht="77.25" customHeight="1" x14ac:dyDescent="0.25">
      <c r="A26" s="2160" t="s">
        <v>944</v>
      </c>
      <c r="B26" s="2161" t="s">
        <v>945</v>
      </c>
      <c r="C26" s="2160" t="s">
        <v>915</v>
      </c>
      <c r="D26" s="2160">
        <v>0</v>
      </c>
      <c r="E26" s="2458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/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7" s="1310" customFormat="1" ht="51" customHeight="1" x14ac:dyDescent="0.25">
      <c r="A27" s="2160" t="s">
        <v>946</v>
      </c>
      <c r="B27" s="2161" t="s">
        <v>947</v>
      </c>
      <c r="C27" s="2160" t="s">
        <v>915</v>
      </c>
      <c r="D27" s="2160">
        <v>5655.05</v>
      </c>
      <c r="E27" s="2458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/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7" s="1309" customFormat="1" ht="63.75" customHeight="1" x14ac:dyDescent="0.25">
      <c r="A28" s="2157" t="s">
        <v>200</v>
      </c>
      <c r="B28" s="2158" t="s">
        <v>948</v>
      </c>
      <c r="C28" s="2157" t="s">
        <v>915</v>
      </c>
      <c r="D28" s="2157"/>
      <c r="E28" s="2460"/>
      <c r="F28" s="2159">
        <f>вода!BF66</f>
        <v>6008.8077959141219</v>
      </c>
      <c r="G28" s="2159">
        <v>0</v>
      </c>
      <c r="H28" s="2159">
        <f>F28</f>
        <v>6008.8077959141219</v>
      </c>
      <c r="I28" s="2159">
        <f>(I11+I22)*0.05</f>
        <v>6246.9329468917567</v>
      </c>
      <c r="J28" s="2159">
        <v>6980.88</v>
      </c>
      <c r="K28" s="2159">
        <f>(K11+K22-K21)*0.05</f>
        <v>6213.200708158156</v>
      </c>
      <c r="L28" s="2159">
        <v>0</v>
      </c>
      <c r="M28" s="2159">
        <f>K28</f>
        <v>6213.200708158156</v>
      </c>
      <c r="N28" s="2159">
        <f>(N11+N22)*0.05</f>
        <v>6435.7306125076875</v>
      </c>
      <c r="O28" s="2159">
        <v>6748.29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/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 t="s">
        <v>1769</v>
      </c>
    </row>
    <row r="29" spans="1:37" s="2186" customFormat="1" ht="42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461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185"/>
      <c r="S29" s="2185"/>
      <c r="T29" s="2185"/>
      <c r="U29" s="2185"/>
      <c r="V29" s="2185"/>
      <c r="W29" s="2185"/>
      <c r="X29" s="2265"/>
      <c r="Y29" s="2185"/>
      <c r="Z29" s="2185"/>
      <c r="AA29" s="2185"/>
      <c r="AB29" s="2185"/>
      <c r="AC29" s="2185"/>
      <c r="AD29" s="2336"/>
      <c r="AE29" s="2185"/>
      <c r="AF29" s="2185"/>
      <c r="AG29" s="2185"/>
      <c r="AH29" s="2185"/>
      <c r="AI29" s="2185"/>
      <c r="AJ29" s="2185"/>
      <c r="AK29" s="2185"/>
    </row>
    <row r="30" spans="1:37" s="2191" customFormat="1" ht="27" hidden="1" customHeight="1" x14ac:dyDescent="0.2">
      <c r="A30" s="2187" t="s">
        <v>1714</v>
      </c>
      <c r="B30" s="2188" t="s">
        <v>1715</v>
      </c>
      <c r="C30" s="2189" t="s">
        <v>915</v>
      </c>
      <c r="D30" s="2189"/>
      <c r="E30" s="2462"/>
      <c r="F30" s="2190"/>
      <c r="G30" s="2190"/>
      <c r="H30" s="2190"/>
      <c r="I30" s="2190"/>
      <c r="J30" s="2190"/>
      <c r="K30" s="2190"/>
      <c r="L30" s="2190"/>
      <c r="M30" s="2190"/>
      <c r="N30" s="2190"/>
      <c r="O30" s="2190"/>
      <c r="P30" s="2190"/>
      <c r="Q30" s="2190"/>
      <c r="R30" s="2190"/>
      <c r="S30" s="2190"/>
      <c r="T30" s="2190"/>
      <c r="U30" s="2190"/>
      <c r="V30" s="2190"/>
      <c r="W30" s="2190"/>
      <c r="X30" s="2265"/>
      <c r="Y30" s="2190"/>
      <c r="Z30" s="2190"/>
      <c r="AA30" s="2190"/>
      <c r="AB30" s="2190"/>
      <c r="AC30" s="2190"/>
      <c r="AD30" s="2337"/>
      <c r="AE30" s="2190"/>
      <c r="AF30" s="2190"/>
      <c r="AG30" s="2190"/>
      <c r="AH30" s="2190"/>
      <c r="AI30" s="2190"/>
      <c r="AJ30" s="2190"/>
      <c r="AK30" s="2190"/>
    </row>
    <row r="31" spans="1:37" s="2191" customFormat="1" ht="16.5" customHeight="1" x14ac:dyDescent="0.2">
      <c r="A31" s="2187"/>
      <c r="B31" s="2188" t="s">
        <v>1716</v>
      </c>
      <c r="C31" s="2189" t="s">
        <v>915</v>
      </c>
      <c r="D31" s="2189"/>
      <c r="E31" s="2321">
        <f>D38*E36</f>
        <v>115694.38084153089</v>
      </c>
      <c r="F31" s="2190"/>
      <c r="G31" s="2190"/>
      <c r="H31" s="2190">
        <f>ТН!D24</f>
        <v>116250.6013448</v>
      </c>
      <c r="I31" s="2190"/>
      <c r="J31" s="2190"/>
      <c r="K31" s="2190"/>
      <c r="L31" s="2190"/>
      <c r="M31" s="2190">
        <f>ТН!J24</f>
        <v>127442.32099589999</v>
      </c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337"/>
      <c r="AE31" s="2190"/>
      <c r="AF31" s="2190"/>
      <c r="AG31" s="2190"/>
      <c r="AH31" s="2190"/>
      <c r="AI31" s="2190"/>
      <c r="AJ31" s="2190"/>
      <c r="AK31" s="2190"/>
    </row>
    <row r="32" spans="1:37" s="2195" customFormat="1" ht="81.75" customHeight="1" x14ac:dyDescent="0.2">
      <c r="A32" s="2192" t="s">
        <v>192</v>
      </c>
      <c r="B32" s="2193" t="s">
        <v>1717</v>
      </c>
      <c r="C32" s="2192" t="s">
        <v>915</v>
      </c>
      <c r="D32" s="2194">
        <f>D10-E31</f>
        <v>7505.5891584691126</v>
      </c>
      <c r="E32" s="2322">
        <f>E10-E31</f>
        <v>212.27915846911492</v>
      </c>
      <c r="F32" s="2194"/>
      <c r="G32" s="2194"/>
      <c r="H32" s="2194">
        <f>H10-H31</f>
        <v>10623.721553775889</v>
      </c>
      <c r="I32" s="2194"/>
      <c r="J32" s="2194"/>
      <c r="K32" s="2194"/>
      <c r="L32" s="2194"/>
      <c r="M32" s="2194">
        <f>M10-M31</f>
        <v>-3127.7087397172436</v>
      </c>
      <c r="N32" s="2194"/>
      <c r="O32" s="2194"/>
      <c r="P32" s="2194">
        <f>H32*1.039*1.037</f>
        <v>11446.454422064953</v>
      </c>
      <c r="Q32" s="2194">
        <v>5605.37</v>
      </c>
      <c r="R32" s="2194"/>
      <c r="S32" s="2194"/>
      <c r="T32" s="2194"/>
      <c r="U32" s="2194"/>
      <c r="V32" s="2194"/>
      <c r="W32" s="2194">
        <f>M32*1.037*1.027</f>
        <v>-3331.0066800901241</v>
      </c>
      <c r="X32" s="2265"/>
      <c r="Y32" s="2194"/>
      <c r="Z32" s="2194"/>
      <c r="AA32" s="2194"/>
      <c r="AB32" s="2194"/>
      <c r="AC32" s="2194"/>
      <c r="AD32" s="2338"/>
      <c r="AE32" s="2194"/>
      <c r="AF32" s="2194"/>
      <c r="AG32" s="2194"/>
      <c r="AH32" s="2194"/>
      <c r="AI32" s="2194"/>
      <c r="AJ32" s="2194">
        <f>H32</f>
        <v>10623.721553775889</v>
      </c>
      <c r="AK32" s="2194"/>
    </row>
    <row r="33" spans="1:37" s="2195" customFormat="1" ht="89.2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463"/>
      <c r="F33" s="2194"/>
      <c r="G33" s="2194"/>
      <c r="H33" s="2194"/>
      <c r="I33" s="2194"/>
      <c r="J33" s="2194"/>
      <c r="K33" s="2194">
        <v>-1205.44</v>
      </c>
      <c r="L33" s="2194"/>
      <c r="M33" s="2194">
        <v>0</v>
      </c>
      <c r="N33" s="2194"/>
      <c r="O33" s="2194"/>
      <c r="P33" s="2194">
        <v>-6624.9</v>
      </c>
      <c r="Q33" s="2194"/>
      <c r="R33" s="2194"/>
      <c r="S33" s="2194"/>
      <c r="T33" s="2194"/>
      <c r="U33" s="2194"/>
      <c r="V33" s="2194"/>
      <c r="W33" s="2194">
        <f>-ИП!M35</f>
        <v>-4146</v>
      </c>
      <c r="X33" s="2265"/>
      <c r="Y33" s="2194"/>
      <c r="Z33" s="2194"/>
      <c r="AA33" s="2194"/>
      <c r="AB33" s="2194"/>
      <c r="AC33" s="2194"/>
      <c r="AD33" s="2338"/>
      <c r="AE33" s="2194"/>
      <c r="AF33" s="2194"/>
      <c r="AG33" s="2194"/>
      <c r="AH33" s="2194"/>
      <c r="AI33" s="2194"/>
      <c r="AJ33" s="2194"/>
      <c r="AK33" s="2194"/>
    </row>
    <row r="34" spans="1:37" s="2197" customFormat="1" ht="206.25" customHeight="1" x14ac:dyDescent="0.25">
      <c r="A34" s="2343" t="s">
        <v>958</v>
      </c>
      <c r="B34" s="2218" t="s">
        <v>1719</v>
      </c>
      <c r="C34" s="2343" t="s">
        <v>915</v>
      </c>
      <c r="D34" s="2343"/>
      <c r="E34" s="2464"/>
      <c r="F34" s="2196"/>
      <c r="G34" s="2196"/>
      <c r="H34" s="2196"/>
      <c r="I34" s="2196"/>
      <c r="J34" s="2196"/>
      <c r="K34" s="2196"/>
      <c r="L34" s="2196"/>
      <c r="M34" s="2194">
        <v>0</v>
      </c>
      <c r="N34" s="2196"/>
      <c r="O34" s="2196"/>
      <c r="P34" s="2194">
        <f>-А!C24</f>
        <v>-1402.0984566147722</v>
      </c>
      <c r="Q34" s="2194"/>
      <c r="R34" s="2194"/>
      <c r="S34" s="2194"/>
      <c r="T34" s="2194"/>
      <c r="U34" s="2194"/>
      <c r="V34" s="2194"/>
      <c r="W34" s="2194">
        <f>-'А 2017'!C24</f>
        <v>-2860.2146527550749</v>
      </c>
      <c r="X34" s="2265"/>
      <c r="Y34" s="2194"/>
      <c r="Z34" s="2194"/>
      <c r="AA34" s="2194"/>
      <c r="AB34" s="2194"/>
      <c r="AC34" s="2194"/>
      <c r="AD34" s="2345"/>
      <c r="AE34" s="2344"/>
      <c r="AF34" s="2344"/>
      <c r="AG34" s="2344"/>
      <c r="AH34" s="2344"/>
      <c r="AI34" s="2344"/>
      <c r="AJ34" s="2346">
        <f>'[23]дельта ЦП 2018'!C2</f>
        <v>6338.908441769564</v>
      </c>
      <c r="AK34" s="2344"/>
    </row>
    <row r="35" spans="1:37" s="2353" customFormat="1" ht="22.5" customHeight="1" x14ac:dyDescent="0.2">
      <c r="A35" s="2349"/>
      <c r="B35" s="2350" t="s">
        <v>1768</v>
      </c>
      <c r="C35" s="2349" t="s">
        <v>915</v>
      </c>
      <c r="D35" s="2349"/>
      <c r="E35" s="2465"/>
      <c r="F35" s="2457"/>
      <c r="G35" s="2457"/>
      <c r="H35" s="2457"/>
      <c r="I35" s="2457"/>
      <c r="J35" s="2457"/>
      <c r="K35" s="2457">
        <f>K10+K32+K33+K34</f>
        <v>131526.15938646757</v>
      </c>
      <c r="L35" s="2457"/>
      <c r="M35" s="2457"/>
      <c r="N35" s="2457"/>
      <c r="O35" s="2457"/>
      <c r="P35" s="2457">
        <f>P10+P32+P33+P34</f>
        <v>131195.05573943019</v>
      </c>
      <c r="Q35" s="2457">
        <f t="shared" ref="Q35:AC35" si="19">Q10+Q32+Q33+Q34</f>
        <v>157798.91</v>
      </c>
      <c r="R35" s="2457">
        <f t="shared" si="19"/>
        <v>163063.53999999998</v>
      </c>
      <c r="S35" s="2457">
        <f t="shared" si="19"/>
        <v>168098.30000000002</v>
      </c>
      <c r="T35" s="2457">
        <f t="shared" si="19"/>
        <v>173305.15999999997</v>
      </c>
      <c r="U35" s="2457">
        <f t="shared" si="19"/>
        <v>178711.02</v>
      </c>
      <c r="V35" s="2457">
        <f t="shared" si="19"/>
        <v>0</v>
      </c>
      <c r="W35" s="2457">
        <f>W10+W32+W33+W34</f>
        <v>137206.89677864019</v>
      </c>
      <c r="X35" s="2824">
        <f>W35/P35*100</f>
        <v>104.5823686001935</v>
      </c>
      <c r="Y35" s="2457">
        <f t="shared" si="19"/>
        <v>152394.79711169572</v>
      </c>
      <c r="Z35" s="2457">
        <f t="shared" si="19"/>
        <v>155941.62487183817</v>
      </c>
      <c r="AA35" s="2457">
        <f t="shared" si="19"/>
        <v>160328.5385559875</v>
      </c>
      <c r="AB35" s="2457">
        <f t="shared" si="19"/>
        <v>164890.69791820081</v>
      </c>
      <c r="AC35" s="2457">
        <f t="shared" si="19"/>
        <v>169657.2078363566</v>
      </c>
      <c r="AD35" s="2352"/>
      <c r="AE35" s="2351"/>
      <c r="AF35" s="2351"/>
      <c r="AG35" s="2351"/>
      <c r="AH35" s="2351"/>
      <c r="AI35" s="2351"/>
      <c r="AJ35" s="2351"/>
      <c r="AK35" s="2351"/>
    </row>
    <row r="36" spans="1:37" s="1308" customFormat="1" x14ac:dyDescent="0.25">
      <c r="A36" s="2347">
        <v>2</v>
      </c>
      <c r="B36" s="2348" t="s">
        <v>949</v>
      </c>
      <c r="C36" s="2347" t="s">
        <v>950</v>
      </c>
      <c r="D36" s="2400">
        <v>4006.27</v>
      </c>
      <c r="E36" s="2466">
        <v>3762.2</v>
      </c>
      <c r="F36" s="2156">
        <f>объемы!AA48</f>
        <v>3989.2170000000001</v>
      </c>
      <c r="G36" s="2156">
        <v>3566.34</v>
      </c>
      <c r="H36" s="2156">
        <v>3566.34</v>
      </c>
      <c r="I36" s="2156">
        <f>объемы!AE48</f>
        <v>3896.5800000000004</v>
      </c>
      <c r="J36" s="2156">
        <v>3771</v>
      </c>
      <c r="K36" s="2156">
        <f>объемы!AJ48</f>
        <v>3771</v>
      </c>
      <c r="L36" s="2156">
        <f>M36</f>
        <v>3655.8</v>
      </c>
      <c r="M36" s="2156">
        <f>объемы!AP48</f>
        <v>3655.8</v>
      </c>
      <c r="N36" s="2156">
        <f>I36</f>
        <v>3896.5800000000004</v>
      </c>
      <c r="O36" s="2156">
        <f>объемы!AL48</f>
        <v>3600</v>
      </c>
      <c r="P36" s="2156">
        <f>объемы!AR48</f>
        <v>3600</v>
      </c>
      <c r="Q36" s="2156">
        <f>объемы!AV48</f>
        <v>3600</v>
      </c>
      <c r="R36" s="2156">
        <f>Q36</f>
        <v>3600</v>
      </c>
      <c r="S36" s="2156">
        <f t="shared" ref="S36:V36" si="20">R36</f>
        <v>3600</v>
      </c>
      <c r="T36" s="2156">
        <f t="shared" si="20"/>
        <v>3600</v>
      </c>
      <c r="U36" s="2156">
        <f t="shared" si="20"/>
        <v>3600</v>
      </c>
      <c r="V36" s="2156">
        <f t="shared" si="20"/>
        <v>3600</v>
      </c>
      <c r="W36" s="2156">
        <f>объемы!AX48</f>
        <v>3660.6249233333333</v>
      </c>
      <c r="X36" s="2821">
        <f>W36/P36*100</f>
        <v>101.68402564814815</v>
      </c>
      <c r="Y36" s="2156">
        <f>W36</f>
        <v>3660.6249233333333</v>
      </c>
      <c r="Z36" s="2156">
        <f t="shared" ref="Z36:AC36" si="21">Y36</f>
        <v>3660.6249233333333</v>
      </c>
      <c r="AA36" s="2156">
        <f t="shared" si="21"/>
        <v>3660.6249233333333</v>
      </c>
      <c r="AB36" s="2156">
        <f t="shared" si="21"/>
        <v>3660.6249233333333</v>
      </c>
      <c r="AC36" s="2156">
        <f t="shared" si="21"/>
        <v>3660.6249233333333</v>
      </c>
      <c r="AD36" s="2470">
        <f>P36/N36</f>
        <v>0.92388710099625815</v>
      </c>
    </row>
    <row r="37" spans="1:37" s="1308" customFormat="1" x14ac:dyDescent="0.25">
      <c r="A37" s="2154" t="s">
        <v>193</v>
      </c>
      <c r="B37" s="2166" t="s">
        <v>951</v>
      </c>
      <c r="C37" s="2154" t="s">
        <v>950</v>
      </c>
      <c r="D37" s="2399">
        <v>2445.42</v>
      </c>
      <c r="E37" s="2467">
        <v>2377.86</v>
      </c>
      <c r="F37" s="2156">
        <f>объемы!AA49</f>
        <v>2428.56</v>
      </c>
      <c r="G37" s="2156"/>
      <c r="H37" s="2156"/>
      <c r="I37" s="2156">
        <f>объемы!AE49</f>
        <v>2388.7330000000002</v>
      </c>
      <c r="J37" s="2156">
        <v>2380</v>
      </c>
      <c r="K37" s="2156">
        <f>объемы!AJ49</f>
        <v>2380</v>
      </c>
      <c r="L37" s="2156">
        <f>M37</f>
        <v>2447.77</v>
      </c>
      <c r="M37" s="2156">
        <f>объемы!AN49</f>
        <v>2447.77</v>
      </c>
      <c r="N37" s="2156">
        <f>I37</f>
        <v>2388.7330000000002</v>
      </c>
      <c r="O37" s="2156">
        <f>объемы!AL49</f>
        <v>2360</v>
      </c>
      <c r="P37" s="2156">
        <f>объемы!AR49</f>
        <v>2360</v>
      </c>
      <c r="Q37" s="2156">
        <f>объемы!AV49</f>
        <v>2360</v>
      </c>
      <c r="R37" s="2156">
        <f>Q37</f>
        <v>2360</v>
      </c>
      <c r="S37" s="2156">
        <f t="shared" ref="S37:V37" si="22">R37</f>
        <v>2360</v>
      </c>
      <c r="T37" s="2156">
        <f t="shared" si="22"/>
        <v>2360</v>
      </c>
      <c r="U37" s="2156">
        <f t="shared" si="22"/>
        <v>2360</v>
      </c>
      <c r="V37" s="2156">
        <f t="shared" si="22"/>
        <v>2360</v>
      </c>
      <c r="W37" s="2156">
        <f>объемы!AX49</f>
        <v>2460.5733333333333</v>
      </c>
      <c r="X37" s="2821">
        <f>W37/P37*100</f>
        <v>104.26158192090395</v>
      </c>
      <c r="Y37" s="2156">
        <f>W37</f>
        <v>2460.5733333333333</v>
      </c>
      <c r="Z37" s="2156">
        <f t="shared" ref="Z37:AC37" si="23">Y37</f>
        <v>2460.5733333333333</v>
      </c>
      <c r="AA37" s="2156">
        <f t="shared" si="23"/>
        <v>2460.5733333333333</v>
      </c>
      <c r="AB37" s="2156">
        <f t="shared" si="23"/>
        <v>2460.5733333333333</v>
      </c>
      <c r="AC37" s="2156">
        <f t="shared" si="23"/>
        <v>2460.5733333333333</v>
      </c>
      <c r="AD37" s="2359"/>
    </row>
    <row r="38" spans="1:37" s="2402" customFormat="1" ht="14.25" x14ac:dyDescent="0.2">
      <c r="A38" s="2167" t="s">
        <v>952</v>
      </c>
      <c r="B38" s="2168" t="s">
        <v>953</v>
      </c>
      <c r="C38" s="2167" t="s">
        <v>954</v>
      </c>
      <c r="D38" s="2395">
        <f>D10/D36</f>
        <v>30.751789070631784</v>
      </c>
      <c r="E38" s="2468">
        <f>E10/E36</f>
        <v>30.808213279464145</v>
      </c>
      <c r="F38" s="2398">
        <f t="shared" ref="F38:O38" si="24">F10/F36</f>
        <v>32.620945614193488</v>
      </c>
      <c r="G38" s="2398">
        <f t="shared" si="24"/>
        <v>33.798216098296848</v>
      </c>
      <c r="H38" s="2398">
        <f t="shared" si="24"/>
        <v>35.575498381695489</v>
      </c>
      <c r="I38" s="2398">
        <f t="shared" si="24"/>
        <v>33.666854494127385</v>
      </c>
      <c r="J38" s="2398">
        <f t="shared" si="24"/>
        <v>38.875247944842215</v>
      </c>
      <c r="K38" s="2398">
        <f>K35/K36</f>
        <v>34.878323889278057</v>
      </c>
      <c r="L38" s="2398"/>
      <c r="M38" s="2398"/>
      <c r="N38" s="2398">
        <f t="shared" si="24"/>
        <v>34.684349573898501</v>
      </c>
      <c r="O38" s="2398">
        <f t="shared" si="24"/>
        <v>39.36502222222223</v>
      </c>
      <c r="P38" s="2398">
        <f>P35/P36</f>
        <v>36.443071038730608</v>
      </c>
      <c r="Q38" s="2398">
        <f t="shared" ref="Q38:AC38" si="25">Q35/Q36</f>
        <v>43.83303055555556</v>
      </c>
      <c r="R38" s="2398">
        <f t="shared" si="25"/>
        <v>45.295427777777775</v>
      </c>
      <c r="S38" s="2398">
        <f t="shared" si="25"/>
        <v>46.693972222222229</v>
      </c>
      <c r="T38" s="2398">
        <f t="shared" si="25"/>
        <v>48.140322222222217</v>
      </c>
      <c r="U38" s="2398">
        <f t="shared" si="25"/>
        <v>49.641949999999994</v>
      </c>
      <c r="V38" s="2398">
        <f t="shared" si="25"/>
        <v>0</v>
      </c>
      <c r="W38" s="2398">
        <f t="shared" si="25"/>
        <v>37.481823364110404</v>
      </c>
      <c r="X38" s="2825">
        <f>W38/P38*100</f>
        <v>102.85034245405893</v>
      </c>
      <c r="Y38" s="2398">
        <f t="shared" si="25"/>
        <v>41.630814492987263</v>
      </c>
      <c r="Z38" s="2398">
        <f t="shared" si="25"/>
        <v>42.599727679786184</v>
      </c>
      <c r="AA38" s="2398">
        <f t="shared" si="25"/>
        <v>43.798133355327131</v>
      </c>
      <c r="AB38" s="2398">
        <f t="shared" si="25"/>
        <v>45.044412189614</v>
      </c>
      <c r="AC38" s="2398">
        <f t="shared" si="25"/>
        <v>46.346514977521437</v>
      </c>
      <c r="AD38" s="2406"/>
    </row>
    <row r="39" spans="1:37" s="1307" customFormat="1" x14ac:dyDescent="0.25">
      <c r="A39" s="2167"/>
      <c r="B39" s="2170" t="s">
        <v>955</v>
      </c>
      <c r="C39" s="2167" t="s">
        <v>954</v>
      </c>
      <c r="D39" s="2396">
        <v>30</v>
      </c>
      <c r="E39" s="2469"/>
      <c r="F39" s="2169">
        <f>вода!BF113</f>
        <v>31.52</v>
      </c>
      <c r="G39" s="2169">
        <f>F39</f>
        <v>31.52</v>
      </c>
      <c r="H39" s="2169">
        <f>F39</f>
        <v>31.52</v>
      </c>
      <c r="I39" s="2169">
        <f>F40</f>
        <v>33.72189122838698</v>
      </c>
      <c r="J39" s="2169">
        <f>F40</f>
        <v>33.72189122838698</v>
      </c>
      <c r="K39" s="2169">
        <f>F40</f>
        <v>33.72189122838698</v>
      </c>
      <c r="L39" s="2169"/>
      <c r="M39" s="2169"/>
      <c r="N39" s="2169">
        <f>I40</f>
        <v>33.61181775986779</v>
      </c>
      <c r="O39" s="2169">
        <f>K40</f>
        <v>36.034756550169135</v>
      </c>
      <c r="P39" s="2169">
        <f>K40</f>
        <v>36.034756550169135</v>
      </c>
      <c r="Q39" s="2169"/>
      <c r="R39" s="2169"/>
      <c r="S39" s="2169"/>
      <c r="T39" s="2169"/>
      <c r="U39" s="2169"/>
      <c r="V39" s="2169"/>
      <c r="W39" s="2169">
        <f>P40</f>
        <v>36.851385527292081</v>
      </c>
      <c r="X39" s="2169"/>
      <c r="Y39" s="2169">
        <f>W40</f>
        <v>38.112261200928728</v>
      </c>
      <c r="Z39" s="2169">
        <f>Z38</f>
        <v>42.599727679786184</v>
      </c>
      <c r="AA39" s="2169">
        <f t="shared" ref="AA39:AC39" si="26">Z40</f>
        <v>42.599727679786184</v>
      </c>
      <c r="AB39" s="2169">
        <f t="shared" si="26"/>
        <v>44.996539030868078</v>
      </c>
      <c r="AC39" s="2169">
        <f t="shared" si="26"/>
        <v>45.092285348359923</v>
      </c>
      <c r="AD39" s="2365"/>
    </row>
    <row r="40" spans="1:37" s="1307" customFormat="1" x14ac:dyDescent="0.25">
      <c r="A40" s="2167"/>
      <c r="B40" s="2170" t="s">
        <v>956</v>
      </c>
      <c r="C40" s="2167" t="s">
        <v>954</v>
      </c>
      <c r="D40" s="2396">
        <v>31.52</v>
      </c>
      <c r="E40" s="2469"/>
      <c r="F40" s="2169">
        <f t="shared" ref="F40:N40" si="27">F38*2-F39</f>
        <v>33.72189122838698</v>
      </c>
      <c r="G40" s="2169">
        <f t="shared" si="27"/>
        <v>36.0764321965937</v>
      </c>
      <c r="H40" s="2169">
        <f t="shared" si="27"/>
        <v>39.630996763390982</v>
      </c>
      <c r="I40" s="2169">
        <f t="shared" si="27"/>
        <v>33.61181775986779</v>
      </c>
      <c r="J40" s="2169">
        <f t="shared" si="27"/>
        <v>44.02860466129745</v>
      </c>
      <c r="K40" s="2169">
        <f t="shared" si="27"/>
        <v>36.034756550169135</v>
      </c>
      <c r="L40" s="2169"/>
      <c r="M40" s="2169"/>
      <c r="N40" s="2169">
        <f t="shared" si="27"/>
        <v>35.756881387929212</v>
      </c>
      <c r="O40" s="2169">
        <f t="shared" ref="O40:P40" si="28">O38*2-O39</f>
        <v>42.695287894275324</v>
      </c>
      <c r="P40" s="2169">
        <f t="shared" si="28"/>
        <v>36.851385527292081</v>
      </c>
      <c r="Q40" s="2169"/>
      <c r="R40" s="2169"/>
      <c r="S40" s="2169"/>
      <c r="T40" s="2169"/>
      <c r="U40" s="2169"/>
      <c r="V40" s="2169"/>
      <c r="W40" s="2169">
        <f t="shared" ref="W40:AC40" si="29">W38*2-W39</f>
        <v>38.112261200928728</v>
      </c>
      <c r="X40" s="2169"/>
      <c r="Y40" s="2169">
        <f t="shared" si="29"/>
        <v>45.149367785045797</v>
      </c>
      <c r="Z40" s="2169">
        <f t="shared" si="29"/>
        <v>42.599727679786184</v>
      </c>
      <c r="AA40" s="2169">
        <f t="shared" si="29"/>
        <v>44.996539030868078</v>
      </c>
      <c r="AB40" s="2169">
        <f t="shared" si="29"/>
        <v>45.092285348359923</v>
      </c>
      <c r="AC40" s="2169">
        <f t="shared" si="29"/>
        <v>47.600744606682952</v>
      </c>
      <c r="AD40" s="2365"/>
    </row>
    <row r="41" spans="1:37" s="1307" customFormat="1" x14ac:dyDescent="0.25">
      <c r="A41" s="2167"/>
      <c r="B41" s="2168" t="s">
        <v>957</v>
      </c>
      <c r="C41" s="2167"/>
      <c r="D41" s="2167"/>
      <c r="E41" s="2469"/>
      <c r="F41" s="2169"/>
      <c r="G41" s="2169"/>
      <c r="H41" s="2169"/>
      <c r="I41" s="2169"/>
      <c r="J41" s="2169"/>
      <c r="K41" s="2169"/>
      <c r="L41" s="2169"/>
      <c r="M41" s="2169"/>
      <c r="N41" s="2169"/>
      <c r="O41" s="2169"/>
      <c r="P41" s="2169"/>
      <c r="Q41" s="2169"/>
      <c r="R41" s="2169"/>
      <c r="S41" s="2169"/>
      <c r="T41" s="2169"/>
      <c r="U41" s="2169"/>
      <c r="V41" s="2169"/>
      <c r="W41" s="2169"/>
      <c r="X41" s="2169"/>
      <c r="Y41" s="2169"/>
      <c r="Z41" s="2169"/>
      <c r="AA41" s="2169"/>
      <c r="AB41" s="2169"/>
      <c r="AC41" s="2169"/>
      <c r="AD41" s="2365"/>
    </row>
    <row r="42" spans="1:37" s="1307" customFormat="1" x14ac:dyDescent="0.25">
      <c r="A42" s="2167"/>
      <c r="B42" s="2170" t="s">
        <v>955</v>
      </c>
      <c r="C42" s="2167" t="s">
        <v>44</v>
      </c>
      <c r="D42" s="2167"/>
      <c r="E42" s="2469"/>
      <c r="F42" s="2169"/>
      <c r="G42" s="2169"/>
      <c r="H42" s="2169"/>
      <c r="I42" s="2169">
        <f>I39/F40*100</f>
        <v>100</v>
      </c>
      <c r="J42" s="2169"/>
      <c r="K42" s="2169">
        <f>K39/F40*100</f>
        <v>100</v>
      </c>
      <c r="L42" s="2169"/>
      <c r="M42" s="2169"/>
      <c r="N42" s="2169">
        <f>N39/I40*100</f>
        <v>100</v>
      </c>
      <c r="O42" s="2169"/>
      <c r="P42" s="2169">
        <f>P39/K40*100</f>
        <v>100</v>
      </c>
      <c r="Q42" s="2169"/>
      <c r="R42" s="2169"/>
      <c r="S42" s="2169"/>
      <c r="T42" s="2169"/>
      <c r="U42" s="2169"/>
      <c r="V42" s="2169"/>
      <c r="W42" s="2169">
        <f>W39/P40*100</f>
        <v>100</v>
      </c>
      <c r="X42" s="2169"/>
      <c r="Y42" s="2169">
        <f>Y39/W40*100</f>
        <v>100</v>
      </c>
      <c r="Z42" s="2169">
        <f t="shared" ref="Z42:AC42" si="30">Z39/Y40*100</f>
        <v>94.352877503405281</v>
      </c>
      <c r="AA42" s="2169">
        <f t="shared" si="30"/>
        <v>100</v>
      </c>
      <c r="AB42" s="2169">
        <f t="shared" si="30"/>
        <v>100</v>
      </c>
      <c r="AC42" s="2169">
        <f t="shared" si="30"/>
        <v>100</v>
      </c>
      <c r="AD42" s="2365"/>
    </row>
    <row r="43" spans="1:37" s="1307" customFormat="1" x14ac:dyDescent="0.25">
      <c r="A43" s="2167"/>
      <c r="B43" s="2170" t="s">
        <v>956</v>
      </c>
      <c r="C43" s="2167" t="s">
        <v>44</v>
      </c>
      <c r="D43" s="2167"/>
      <c r="E43" s="2469"/>
      <c r="F43" s="2169">
        <f t="shared" ref="F43:N43" si="31">F40/F39*100</f>
        <v>106.98569552153229</v>
      </c>
      <c r="G43" s="2169">
        <f t="shared" si="31"/>
        <v>114.45568590289881</v>
      </c>
      <c r="H43" s="2169">
        <f t="shared" si="31"/>
        <v>125.73285775187495</v>
      </c>
      <c r="I43" s="2169">
        <f t="shared" si="31"/>
        <v>99.673584533638106</v>
      </c>
      <c r="J43" s="2169">
        <f t="shared" si="31"/>
        <v>130.56386536302659</v>
      </c>
      <c r="K43" s="2169">
        <f t="shared" si="31"/>
        <v>106.85864652761585</v>
      </c>
      <c r="L43" s="2169"/>
      <c r="M43" s="2169"/>
      <c r="N43" s="2169">
        <f t="shared" si="31"/>
        <v>106.38187331427997</v>
      </c>
      <c r="O43" s="2169">
        <f t="shared" ref="O43:P43" si="32">O40/O39*100</f>
        <v>118.48363075474954</v>
      </c>
      <c r="P43" s="2313">
        <f t="shared" si="32"/>
        <v>102.26622587552659</v>
      </c>
      <c r="Q43" s="2313"/>
      <c r="R43" s="2313"/>
      <c r="S43" s="2313"/>
      <c r="T43" s="2313"/>
      <c r="U43" s="2313"/>
      <c r="V43" s="2313"/>
      <c r="W43" s="2169">
        <f>W40/W39*100</f>
        <v>103.42151497316931</v>
      </c>
      <c r="X43" s="2169"/>
      <c r="Y43" s="2313">
        <f t="shared" ref="Y43:AC43" si="33">Y40/Y39*100</f>
        <v>118.46415395564509</v>
      </c>
      <c r="Z43" s="2313">
        <f t="shared" si="33"/>
        <v>100</v>
      </c>
      <c r="AA43" s="2313">
        <f t="shared" si="33"/>
        <v>105.62635369197253</v>
      </c>
      <c r="AB43" s="2313">
        <f t="shared" si="33"/>
        <v>100.21278595988497</v>
      </c>
      <c r="AC43" s="2313">
        <f t="shared" si="33"/>
        <v>105.56294549931093</v>
      </c>
      <c r="AD43" s="2365"/>
    </row>
    <row r="44" spans="1:37" ht="9" hidden="1" customHeight="1" x14ac:dyDescent="0.25">
      <c r="A44" s="2171"/>
      <c r="B44" s="2172"/>
      <c r="C44" s="2171"/>
      <c r="D44" s="2171"/>
      <c r="E44" s="2171"/>
      <c r="F44" s="2171"/>
      <c r="G44" s="2171"/>
      <c r="H44" s="2171"/>
      <c r="I44" s="2171"/>
      <c r="J44" s="2324"/>
      <c r="K44" s="2171"/>
      <c r="L44" s="2171"/>
      <c r="M44" s="2171"/>
      <c r="N44" s="2171"/>
      <c r="O44" s="2171"/>
      <c r="P44" s="2171"/>
      <c r="Q44" s="2171"/>
      <c r="R44" s="2171"/>
      <c r="S44" s="2171"/>
      <c r="T44" s="2171"/>
      <c r="U44" s="2171"/>
      <c r="V44" s="2171"/>
      <c r="W44" s="2171"/>
      <c r="X44" s="2171"/>
      <c r="Y44" s="2171"/>
      <c r="Z44" s="2171"/>
      <c r="AA44" s="2171"/>
      <c r="AB44" s="2171"/>
      <c r="AC44" s="2171"/>
      <c r="AD44" s="2171"/>
    </row>
    <row r="45" spans="1:37" ht="25.5" x14ac:dyDescent="0.25">
      <c r="A45" s="2173" t="s">
        <v>958</v>
      </c>
      <c r="B45" s="2174" t="s">
        <v>959</v>
      </c>
      <c r="C45" s="2175"/>
      <c r="D45" s="2175"/>
      <c r="E45" s="2175"/>
      <c r="F45" s="2175"/>
      <c r="G45" s="2175"/>
      <c r="H45" s="2175"/>
      <c r="I45" s="2175"/>
      <c r="J45" s="2325"/>
      <c r="K45" s="2175"/>
      <c r="L45" s="2175"/>
      <c r="M45" s="2175"/>
      <c r="N45" s="2175"/>
      <c r="O45" s="2175"/>
      <c r="P45" s="2175"/>
      <c r="Q45" s="2175"/>
      <c r="R45" s="2175"/>
      <c r="S45" s="2175"/>
      <c r="T45" s="2175"/>
      <c r="U45" s="2175"/>
      <c r="V45" s="2175"/>
      <c r="W45" s="2175"/>
      <c r="X45" s="2175"/>
      <c r="Y45" s="2175"/>
      <c r="Z45" s="2175"/>
      <c r="AA45" s="2175"/>
      <c r="AB45" s="2175"/>
      <c r="AC45" s="2175"/>
      <c r="AD45" s="2175"/>
    </row>
    <row r="46" spans="1:37" x14ac:dyDescent="0.25">
      <c r="A46" s="2175"/>
      <c r="B46" s="2176" t="s">
        <v>955</v>
      </c>
      <c r="C46" s="2177" t="s">
        <v>960</v>
      </c>
      <c r="D46" s="2177"/>
      <c r="E46" s="2177"/>
      <c r="F46" s="2178">
        <v>25.95</v>
      </c>
      <c r="G46" s="2178"/>
      <c r="H46" s="2178"/>
      <c r="I46" s="2179">
        <f>F47</f>
        <v>27.796610169491526</v>
      </c>
      <c r="J46" s="2326"/>
      <c r="K46" s="2179">
        <f>F47</f>
        <v>27.796610169491526</v>
      </c>
      <c r="L46" s="2179"/>
      <c r="M46" s="2179"/>
      <c r="N46" s="2179">
        <f>I47</f>
        <v>29.381016949152542</v>
      </c>
      <c r="O46" s="2179"/>
      <c r="P46" s="2179">
        <f>K47</f>
        <v>28.96406779661017</v>
      </c>
      <c r="Q46" s="2179"/>
      <c r="R46" s="2179"/>
      <c r="S46" s="2179"/>
      <c r="T46" s="2179"/>
      <c r="U46" s="2179"/>
      <c r="V46" s="2179"/>
      <c r="W46" s="2179">
        <f>P47</f>
        <v>30.296414915254239</v>
      </c>
      <c r="X46" s="2179"/>
      <c r="Y46" s="2179">
        <f>W47</f>
        <v>30.993232458305084</v>
      </c>
      <c r="Z46" s="2179">
        <f t="shared" ref="Z46:AC46" si="34">Y47</f>
        <v>32.232961756637287</v>
      </c>
      <c r="AA46" s="2179">
        <f t="shared" si="34"/>
        <v>33.52228022690278</v>
      </c>
      <c r="AB46" s="2179">
        <f t="shared" si="34"/>
        <v>34.863171435978892</v>
      </c>
      <c r="AC46" s="2179">
        <f t="shared" si="34"/>
        <v>36.257698293418045</v>
      </c>
      <c r="AD46" s="2178"/>
    </row>
    <row r="47" spans="1:37" x14ac:dyDescent="0.25">
      <c r="A47" s="2175"/>
      <c r="B47" s="2176" t="s">
        <v>956</v>
      </c>
      <c r="C47" s="2177" t="s">
        <v>960</v>
      </c>
      <c r="D47" s="2177"/>
      <c r="E47" s="2177"/>
      <c r="F47" s="2179">
        <f>32.8/1.18</f>
        <v>27.796610169491526</v>
      </c>
      <c r="G47" s="2179"/>
      <c r="H47" s="2179"/>
      <c r="I47" s="2179">
        <f>I46*1.057</f>
        <v>29.381016949152542</v>
      </c>
      <c r="J47" s="2326"/>
      <c r="K47" s="2179">
        <f>K46*1.042</f>
        <v>28.96406779661017</v>
      </c>
      <c r="L47" s="2179"/>
      <c r="M47" s="2179"/>
      <c r="N47" s="2179">
        <f>N46*1.046</f>
        <v>30.73254372881356</v>
      </c>
      <c r="O47" s="2179"/>
      <c r="P47" s="2179">
        <f>P46*1.046</f>
        <v>30.296414915254239</v>
      </c>
      <c r="Q47" s="2179"/>
      <c r="R47" s="2179"/>
      <c r="S47" s="2179"/>
      <c r="T47" s="2179"/>
      <c r="U47" s="2179"/>
      <c r="V47" s="2179"/>
      <c r="W47" s="2179">
        <f>W46*1.023</f>
        <v>30.993232458305084</v>
      </c>
      <c r="X47" s="2179"/>
      <c r="Y47" s="2179">
        <f>Y46*1.04</f>
        <v>32.232961756637287</v>
      </c>
      <c r="Z47" s="2179">
        <f t="shared" ref="Z47:AC47" si="35">Z46*1.04</f>
        <v>33.52228022690278</v>
      </c>
      <c r="AA47" s="2179">
        <f t="shared" si="35"/>
        <v>34.863171435978892</v>
      </c>
      <c r="AB47" s="2179">
        <f t="shared" si="35"/>
        <v>36.257698293418045</v>
      </c>
      <c r="AC47" s="2179">
        <f t="shared" si="35"/>
        <v>37.708006225154769</v>
      </c>
      <c r="AD47" s="2178"/>
    </row>
    <row r="48" spans="1:37" x14ac:dyDescent="0.25">
      <c r="A48" s="2175"/>
      <c r="B48" s="2176" t="s">
        <v>357</v>
      </c>
      <c r="C48" s="2177" t="s">
        <v>44</v>
      </c>
      <c r="D48" s="2177"/>
      <c r="E48" s="2177"/>
      <c r="F48" s="2179">
        <f>F47/F46*100</f>
        <v>107.11603148166292</v>
      </c>
      <c r="G48" s="2179"/>
      <c r="H48" s="2179"/>
      <c r="I48" s="2179">
        <f>I47/I46*100</f>
        <v>105.69999999999999</v>
      </c>
      <c r="J48" s="2327"/>
      <c r="K48" s="2179">
        <f>K47/K46*100</f>
        <v>104.2</v>
      </c>
      <c r="L48" s="2179"/>
      <c r="M48" s="2179"/>
      <c r="N48" s="2178">
        <f>N47/N46*100</f>
        <v>104.60000000000001</v>
      </c>
      <c r="O48" s="2178"/>
      <c r="P48" s="2278">
        <f t="shared" ref="P48" si="36">P47/P46*100</f>
        <v>104.60000000000001</v>
      </c>
      <c r="Q48" s="2278"/>
      <c r="R48" s="2278"/>
      <c r="S48" s="2278"/>
      <c r="T48" s="2278"/>
      <c r="U48" s="2278"/>
      <c r="V48" s="2278"/>
      <c r="W48" s="2278">
        <f t="shared" ref="W48:AC48" si="37">W47/W46*100</f>
        <v>102.3</v>
      </c>
      <c r="X48" s="2278"/>
      <c r="Y48" s="2278">
        <f t="shared" si="37"/>
        <v>104</v>
      </c>
      <c r="Z48" s="2278">
        <f t="shared" si="37"/>
        <v>104</v>
      </c>
      <c r="AA48" s="2278">
        <f t="shared" si="37"/>
        <v>104</v>
      </c>
      <c r="AB48" s="2278">
        <f t="shared" si="37"/>
        <v>104</v>
      </c>
      <c r="AC48" s="2278">
        <f t="shared" si="37"/>
        <v>104</v>
      </c>
      <c r="AD48" s="2178"/>
    </row>
    <row r="49" spans="1:30" x14ac:dyDescent="0.25">
      <c r="A49" s="2175"/>
      <c r="B49" s="2174" t="s">
        <v>961</v>
      </c>
      <c r="C49" s="2177" t="s">
        <v>915</v>
      </c>
      <c r="D49" s="2177"/>
      <c r="E49" s="2177"/>
      <c r="F49" s="2314">
        <f>(F39-F46)*F37/2+(F40-F47)*F37/2</f>
        <v>13958.489884195573</v>
      </c>
      <c r="G49" s="2314"/>
      <c r="H49" s="2314"/>
      <c r="I49" s="2314">
        <f>(I39-I46)*I37/2+(I40-I47)*I37/2</f>
        <v>12130.083956320392</v>
      </c>
      <c r="J49" s="2328"/>
      <c r="K49" s="2314">
        <f>(K39-K46)*K37/2+(K40-K47)*K37/2</f>
        <v>15465.204076820759</v>
      </c>
      <c r="L49" s="2314"/>
      <c r="M49" s="2314"/>
      <c r="N49" s="2314">
        <f>(N39-N46)*N37/2+(N40-N47)*N37/2</f>
        <v>11054.027341227289</v>
      </c>
      <c r="O49" s="2314"/>
      <c r="P49" s="2181">
        <f t="shared" ref="P49" si="38">(P39-P46)*P37/2+(P40-P47)*P37/2</f>
        <v>16078.278051404232</v>
      </c>
      <c r="Q49" s="2181"/>
      <c r="R49" s="2181"/>
      <c r="S49" s="2181"/>
      <c r="T49" s="2181"/>
      <c r="U49" s="2181"/>
      <c r="V49" s="2181"/>
      <c r="W49" s="2181">
        <f t="shared" ref="W49:AC49" si="39">(W39-W46)*W37/2+(W40-W47)*W37/2</f>
        <v>16822.939086048631</v>
      </c>
      <c r="X49" s="2181"/>
      <c r="Y49" s="2181">
        <f t="shared" si="39"/>
        <v>24649.328259670576</v>
      </c>
      <c r="Z49" s="2181">
        <f t="shared" si="39"/>
        <v>23921.956460354195</v>
      </c>
      <c r="AA49" s="2181">
        <f t="shared" si="39"/>
        <v>23634.809609073982</v>
      </c>
      <c r="AB49" s="2181">
        <f t="shared" si="39"/>
        <v>23336.021699625162</v>
      </c>
      <c r="AC49" s="2181">
        <f t="shared" si="39"/>
        <v>23039.978786816628</v>
      </c>
      <c r="AD49" s="2178"/>
    </row>
    <row r="50" spans="1:30" ht="25.5" x14ac:dyDescent="0.25">
      <c r="A50" s="2173">
        <v>5</v>
      </c>
      <c r="B50" s="2174" t="s">
        <v>1566</v>
      </c>
      <c r="C50" s="2175"/>
      <c r="D50" s="2175"/>
      <c r="E50" s="2175"/>
      <c r="F50" s="2181"/>
      <c r="G50" s="2181"/>
      <c r="H50" s="2181"/>
      <c r="I50" s="2181"/>
      <c r="J50" s="2329"/>
      <c r="K50" s="2181"/>
      <c r="L50" s="2181"/>
      <c r="M50" s="2181"/>
      <c r="N50" s="2178"/>
      <c r="O50" s="2178"/>
      <c r="P50" s="2178"/>
      <c r="Q50" s="2178"/>
      <c r="R50" s="2178"/>
      <c r="S50" s="2178"/>
      <c r="T50" s="2178"/>
      <c r="U50" s="2178"/>
      <c r="V50" s="2178"/>
      <c r="W50" s="2178"/>
      <c r="X50" s="2178"/>
      <c r="Y50" s="2178"/>
      <c r="Z50" s="2178"/>
      <c r="AA50" s="2178"/>
      <c r="AB50" s="2178"/>
      <c r="AC50" s="2178"/>
      <c r="AD50" s="2178"/>
    </row>
    <row r="51" spans="1:30" x14ac:dyDescent="0.25">
      <c r="A51" s="2175"/>
      <c r="B51" s="2176" t="s">
        <v>955</v>
      </c>
      <c r="C51" s="2177" t="s">
        <v>960</v>
      </c>
      <c r="D51" s="2177"/>
      <c r="E51" s="2177"/>
      <c r="F51" s="2179">
        <f>F46*1.18</f>
        <v>30.620999999999999</v>
      </c>
      <c r="G51" s="2179"/>
      <c r="H51" s="2179"/>
      <c r="I51" s="2179">
        <f>F52</f>
        <v>32.799999999999997</v>
      </c>
      <c r="J51" s="2326"/>
      <c r="K51" s="2179">
        <f>F52</f>
        <v>32.799999999999997</v>
      </c>
      <c r="L51" s="2179"/>
      <c r="M51" s="2179"/>
      <c r="N51" s="2179">
        <f>I52</f>
        <v>34.669599999999996</v>
      </c>
      <c r="O51" s="2179"/>
      <c r="P51" s="2179">
        <f>P46*1.18</f>
        <v>34.177599999999998</v>
      </c>
      <c r="Q51" s="2179"/>
      <c r="R51" s="2179"/>
      <c r="S51" s="2179"/>
      <c r="T51" s="2179"/>
      <c r="U51" s="2179"/>
      <c r="V51" s="2179"/>
      <c r="W51" s="2179">
        <f>W46*1.2</f>
        <v>36.355697898305088</v>
      </c>
      <c r="X51" s="2179"/>
      <c r="Y51" s="2179">
        <f t="shared" ref="Y51:AC51" si="40">Y46*1.2</f>
        <v>37.191878949966096</v>
      </c>
      <c r="Z51" s="2179">
        <f t="shared" si="40"/>
        <v>38.679554107964741</v>
      </c>
      <c r="AA51" s="2179">
        <f t="shared" si="40"/>
        <v>40.226736272283333</v>
      </c>
      <c r="AB51" s="2179">
        <f t="shared" si="40"/>
        <v>41.835805723174666</v>
      </c>
      <c r="AC51" s="2179">
        <f t="shared" si="40"/>
        <v>43.50923795210165</v>
      </c>
      <c r="AD51" s="2178"/>
    </row>
    <row r="52" spans="1:30" x14ac:dyDescent="0.25">
      <c r="A52" s="2175"/>
      <c r="B52" s="2176" t="s">
        <v>956</v>
      </c>
      <c r="C52" s="2177" t="s">
        <v>960</v>
      </c>
      <c r="D52" s="2177"/>
      <c r="E52" s="2177"/>
      <c r="F52" s="2179">
        <f>F47*1.18</f>
        <v>32.799999999999997</v>
      </c>
      <c r="G52" s="2179"/>
      <c r="H52" s="2179"/>
      <c r="I52" s="2179">
        <f>I51*1.057</f>
        <v>34.669599999999996</v>
      </c>
      <c r="J52" s="2326"/>
      <c r="K52" s="2179">
        <f>K47*1.18</f>
        <v>34.177599999999998</v>
      </c>
      <c r="L52" s="2179"/>
      <c r="M52" s="2179"/>
      <c r="N52" s="2179">
        <f>N51*1.046</f>
        <v>36.264401599999999</v>
      </c>
      <c r="O52" s="2179"/>
      <c r="P52" s="2179">
        <f>P47*1.18</f>
        <v>35.7497696</v>
      </c>
      <c r="Q52" s="2179"/>
      <c r="R52" s="2179"/>
      <c r="S52" s="2179"/>
      <c r="T52" s="2179"/>
      <c r="U52" s="2179"/>
      <c r="V52" s="2179"/>
      <c r="W52" s="2179">
        <f>W47*1.2</f>
        <v>37.191878949966096</v>
      </c>
      <c r="X52" s="2179"/>
      <c r="Y52" s="2179">
        <f t="shared" ref="Y52:AC52" si="41">Y47*1.2</f>
        <v>38.679554107964741</v>
      </c>
      <c r="Z52" s="2179">
        <f t="shared" si="41"/>
        <v>40.226736272283333</v>
      </c>
      <c r="AA52" s="2179">
        <f t="shared" si="41"/>
        <v>41.835805723174666</v>
      </c>
      <c r="AB52" s="2179">
        <f t="shared" si="41"/>
        <v>43.50923795210165</v>
      </c>
      <c r="AC52" s="2179">
        <f t="shared" si="41"/>
        <v>45.249607470185722</v>
      </c>
      <c r="AD52" s="2178"/>
    </row>
    <row r="53" spans="1:30" x14ac:dyDescent="0.25">
      <c r="A53" s="2175"/>
      <c r="B53" s="2176" t="s">
        <v>357</v>
      </c>
      <c r="C53" s="2177" t="s">
        <v>44</v>
      </c>
      <c r="D53" s="2177"/>
      <c r="E53" s="2177"/>
      <c r="F53" s="2179">
        <f>F52/F51*100</f>
        <v>107.11603148166292</v>
      </c>
      <c r="G53" s="2179"/>
      <c r="H53" s="2179"/>
      <c r="I53" s="2179">
        <f>I52/I51*100</f>
        <v>105.69999999999999</v>
      </c>
      <c r="J53" s="2327"/>
      <c r="K53" s="2179">
        <f>K52/K51*100</f>
        <v>104.2</v>
      </c>
      <c r="L53" s="2179"/>
      <c r="M53" s="2179"/>
      <c r="N53" s="2178">
        <f>N52/N51*100</f>
        <v>104.60000000000001</v>
      </c>
      <c r="O53" s="2178"/>
      <c r="P53" s="2278">
        <f t="shared" ref="P53" si="42">P52/P51*100</f>
        <v>104.60000000000001</v>
      </c>
      <c r="Q53" s="2278"/>
      <c r="R53" s="2278"/>
      <c r="S53" s="2278"/>
      <c r="T53" s="2278"/>
      <c r="U53" s="2278"/>
      <c r="V53" s="2278"/>
      <c r="W53" s="2278">
        <f t="shared" ref="W53:AC53" si="43">W52/W51*100</f>
        <v>102.29999999999997</v>
      </c>
      <c r="X53" s="2278"/>
      <c r="Y53" s="2278">
        <f t="shared" si="43"/>
        <v>104</v>
      </c>
      <c r="Z53" s="2278">
        <f t="shared" si="43"/>
        <v>104</v>
      </c>
      <c r="AA53" s="2278">
        <f t="shared" si="43"/>
        <v>104</v>
      </c>
      <c r="AB53" s="2278">
        <f t="shared" si="43"/>
        <v>104</v>
      </c>
      <c r="AC53" s="2278">
        <f t="shared" si="43"/>
        <v>104.00000000000003</v>
      </c>
      <c r="AD53" s="2178"/>
    </row>
    <row r="55" spans="1:30" x14ac:dyDescent="0.25">
      <c r="M55" s="1306">
        <f>M37*K38*2%</f>
        <v>1707.4822973291632</v>
      </c>
      <c r="P55" s="2385">
        <f>P49+'стоки 2018'!Q49</f>
        <v>30846.904263119988</v>
      </c>
      <c r="W55" s="2385">
        <f>W49+'стоки 2018'!Y49</f>
        <v>32571.200707479795</v>
      </c>
    </row>
    <row r="56" spans="1:30" x14ac:dyDescent="0.25">
      <c r="P56" s="2385"/>
      <c r="Q56" s="2385"/>
      <c r="R56" s="2385"/>
      <c r="S56" s="2385"/>
      <c r="T56" s="2385"/>
      <c r="U56" s="2385"/>
      <c r="V56" s="2385"/>
      <c r="W56" s="2385"/>
      <c r="X56" s="2385"/>
      <c r="Y56" s="2385"/>
      <c r="Z56" s="2385"/>
      <c r="AA56" s="2385"/>
      <c r="AB56" s="2385"/>
      <c r="AC56" s="2385"/>
    </row>
    <row r="57" spans="1:30" x14ac:dyDescent="0.25">
      <c r="P57" s="2385"/>
      <c r="Q57" s="2385"/>
      <c r="R57" s="2385"/>
      <c r="S57" s="2385"/>
      <c r="T57" s="2385"/>
      <c r="U57" s="2385"/>
      <c r="V57" s="2385"/>
      <c r="W57" s="2385"/>
      <c r="X57" s="2385"/>
      <c r="Y57" s="2385"/>
      <c r="Z57" s="2385"/>
      <c r="AA57" s="2385"/>
      <c r="AB57" s="2385"/>
      <c r="AC57" s="2385"/>
    </row>
    <row r="58" spans="1:30" x14ac:dyDescent="0.25">
      <c r="P58" s="2386"/>
      <c r="Q58" s="2386"/>
      <c r="R58" s="2386"/>
      <c r="S58" s="2386"/>
      <c r="T58" s="2386"/>
      <c r="U58" s="2386"/>
      <c r="V58" s="2386"/>
      <c r="W58" s="3032">
        <f>W39*1.03</f>
        <v>37.956927093110842</v>
      </c>
      <c r="X58" s="2386"/>
      <c r="Y58" s="2386"/>
      <c r="Z58" s="2386"/>
      <c r="AA58" s="2386"/>
      <c r="AB58" s="2386"/>
      <c r="AC58" s="2386"/>
    </row>
    <row r="59" spans="1:30" x14ac:dyDescent="0.25">
      <c r="W59" s="2771">
        <f>(W58+W39)/2</f>
        <v>37.404156310201458</v>
      </c>
    </row>
    <row r="60" spans="1:30" x14ac:dyDescent="0.25">
      <c r="W60" s="2771">
        <f>W59*W36</f>
        <v>136922.58682537923</v>
      </c>
    </row>
    <row r="61" spans="1:30" x14ac:dyDescent="0.25">
      <c r="W61" s="2385">
        <f>W35-W60</f>
        <v>284.30995326096308</v>
      </c>
    </row>
    <row r="64" spans="1:30" x14ac:dyDescent="0.25">
      <c r="W64" s="1306">
        <v>4766.46</v>
      </c>
    </row>
  </sheetData>
  <mergeCells count="26">
    <mergeCell ref="AD7:AD9"/>
    <mergeCell ref="C7:C9"/>
    <mergeCell ref="F7:F9"/>
    <mergeCell ref="A2:AD2"/>
    <mergeCell ref="A4:A6"/>
    <mergeCell ref="B4:B6"/>
    <mergeCell ref="C4:C6"/>
    <mergeCell ref="AD4:AD6"/>
    <mergeCell ref="G7:G9"/>
    <mergeCell ref="H7:H9"/>
    <mergeCell ref="O7:O9"/>
    <mergeCell ref="D4:D6"/>
    <mergeCell ref="D7:D9"/>
    <mergeCell ref="E7:E9"/>
    <mergeCell ref="E4:E6"/>
    <mergeCell ref="F5:H5"/>
    <mergeCell ref="I5:M5"/>
    <mergeCell ref="L7:L9"/>
    <mergeCell ref="N5:P5"/>
    <mergeCell ref="F4:P4"/>
    <mergeCell ref="Q4:AC4"/>
    <mergeCell ref="Q6:V6"/>
    <mergeCell ref="W6:AC6"/>
    <mergeCell ref="Q7:Q9"/>
    <mergeCell ref="W7:W9"/>
    <mergeCell ref="X7:X9"/>
  </mergeCells>
  <pageMargins left="0.31496062992125984" right="0.31496062992125984" top="0.35433070866141736" bottom="0.35433070866141736" header="0.31496062992125984" footer="0.31496062992125984"/>
  <pageSetup paperSize="9" scale="40" fitToHeight="2" orientation="landscape" r:id="rId1"/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50"/>
  <sheetViews>
    <sheetView topLeftCell="A21" zoomScale="110" zoomScaleNormal="110" workbookViewId="0">
      <selection activeCell="B32" sqref="B32"/>
    </sheetView>
  </sheetViews>
  <sheetFormatPr defaultRowHeight="15" x14ac:dyDescent="0.25"/>
  <cols>
    <col min="1" max="1" width="46.28515625" style="3338" customWidth="1"/>
    <col min="2" max="4" width="9.7109375" style="3338" customWidth="1"/>
    <col min="5" max="5" width="10.140625" style="3338" customWidth="1"/>
    <col min="6" max="8" width="9.7109375" style="3338" customWidth="1"/>
    <col min="9" max="10" width="10.140625" style="3338" customWidth="1"/>
    <col min="11" max="13" width="9.7109375" style="3338" customWidth="1"/>
    <col min="14" max="14" width="10.140625" style="3338" customWidth="1"/>
    <col min="15" max="15" width="10.5703125" style="3338" customWidth="1"/>
    <col min="16" max="18" width="9.7109375" style="3338" customWidth="1"/>
    <col min="19" max="19" width="9.5703125" style="3338" customWidth="1"/>
    <col min="20" max="20" width="10.28515625" style="3338" customWidth="1"/>
    <col min="21" max="16384" width="9.140625" style="3338"/>
  </cols>
  <sheetData>
    <row r="1" spans="1:20" x14ac:dyDescent="0.25">
      <c r="Q1" s="3339" t="s">
        <v>3684</v>
      </c>
      <c r="R1" s="3339"/>
    </row>
    <row r="2" spans="1:20" x14ac:dyDescent="0.25">
      <c r="Q2" s="3339" t="s">
        <v>3651</v>
      </c>
      <c r="R2" s="3339"/>
    </row>
    <row r="3" spans="1:20" ht="30" customHeight="1" x14ac:dyDescent="0.25">
      <c r="Q3" s="3339" t="s">
        <v>3718</v>
      </c>
      <c r="R3" s="3339"/>
    </row>
    <row r="5" spans="1:20" ht="20.25" x14ac:dyDescent="0.3">
      <c r="A5" s="3573" t="s">
        <v>3740</v>
      </c>
      <c r="B5" s="3574"/>
      <c r="C5" s="3574"/>
      <c r="D5" s="3574"/>
      <c r="E5" s="3574"/>
      <c r="F5" s="3574"/>
      <c r="G5" s="3574"/>
      <c r="H5" s="3574"/>
      <c r="I5" s="3574"/>
      <c r="J5" s="3574"/>
      <c r="K5" s="3574"/>
      <c r="L5" s="3574"/>
      <c r="M5" s="3574"/>
      <c r="N5" s="3574"/>
      <c r="O5" s="3574"/>
      <c r="P5" s="3574"/>
      <c r="Q5" s="3574"/>
      <c r="R5" s="3574"/>
      <c r="S5" s="3574"/>
      <c r="T5" s="3574"/>
    </row>
    <row r="6" spans="1:20" ht="15.75" thickBot="1" x14ac:dyDescent="0.3">
      <c r="A6" s="3339"/>
      <c r="B6" s="3339"/>
      <c r="C6" s="3339"/>
      <c r="D6" s="3339"/>
      <c r="E6" s="3339"/>
      <c r="F6" s="3339"/>
      <c r="G6" s="3339"/>
      <c r="H6" s="3339"/>
      <c r="I6" s="3339"/>
      <c r="J6" s="3339"/>
      <c r="K6" s="3339"/>
      <c r="L6" s="3339"/>
      <c r="M6" s="3339"/>
      <c r="N6" s="3339"/>
      <c r="O6" s="3339"/>
      <c r="P6" s="3339"/>
      <c r="Q6" s="3339"/>
      <c r="R6" s="3339"/>
      <c r="S6" s="3339"/>
      <c r="T6" s="3339"/>
    </row>
    <row r="7" spans="1:20" ht="19.7" customHeight="1" x14ac:dyDescent="0.25">
      <c r="A7" s="3340" t="s">
        <v>1040</v>
      </c>
      <c r="B7" s="3341" t="s">
        <v>264</v>
      </c>
      <c r="C7" s="3341" t="s">
        <v>265</v>
      </c>
      <c r="D7" s="3341" t="s">
        <v>266</v>
      </c>
      <c r="E7" s="3342" t="s">
        <v>1576</v>
      </c>
      <c r="F7" s="3341" t="s">
        <v>267</v>
      </c>
      <c r="G7" s="3341" t="s">
        <v>268</v>
      </c>
      <c r="H7" s="3341" t="s">
        <v>269</v>
      </c>
      <c r="I7" s="3342" t="s">
        <v>1577</v>
      </c>
      <c r="J7" s="3342" t="s">
        <v>1992</v>
      </c>
      <c r="K7" s="3341" t="s">
        <v>1223</v>
      </c>
      <c r="L7" s="3341" t="s">
        <v>270</v>
      </c>
      <c r="M7" s="3341" t="s">
        <v>1241</v>
      </c>
      <c r="N7" s="3342" t="s">
        <v>1578</v>
      </c>
      <c r="O7" s="3342" t="s">
        <v>226</v>
      </c>
      <c r="P7" s="3341" t="s">
        <v>271</v>
      </c>
      <c r="Q7" s="3341" t="s">
        <v>272</v>
      </c>
      <c r="R7" s="3341" t="s">
        <v>1332</v>
      </c>
      <c r="S7" s="3342" t="s">
        <v>131</v>
      </c>
      <c r="T7" s="3343" t="s">
        <v>249</v>
      </c>
    </row>
    <row r="8" spans="1:20" ht="19.7" customHeight="1" x14ac:dyDescent="0.25">
      <c r="A8" s="3433" t="s">
        <v>3719</v>
      </c>
      <c r="B8" s="3434">
        <f>SUM(B9+B13+B17)</f>
        <v>19670.489127943463</v>
      </c>
      <c r="C8" s="3434">
        <f t="shared" ref="C8:D8" si="0">SUM(C9+C13+C17)</f>
        <v>19670.489127943463</v>
      </c>
      <c r="D8" s="3434">
        <f t="shared" si="0"/>
        <v>19670.489127943463</v>
      </c>
      <c r="E8" s="3435">
        <f>SUM(B8:D8)</f>
        <v>59011.467383830386</v>
      </c>
      <c r="F8" s="3434">
        <f>SUM(F9+F13+F17)</f>
        <v>19670.489127943463</v>
      </c>
      <c r="G8" s="3434">
        <f t="shared" ref="G8:H8" si="1">SUM(G9+G13+G17)</f>
        <v>19670.489127943463</v>
      </c>
      <c r="H8" s="3434">
        <f t="shared" si="1"/>
        <v>19670.489127943463</v>
      </c>
      <c r="I8" s="3435">
        <f>SUM(F8:H8)</f>
        <v>59011.467383830386</v>
      </c>
      <c r="J8" s="3435">
        <f>E8+I8</f>
        <v>118022.93476766077</v>
      </c>
      <c r="K8" s="3434">
        <f>SUM(K9+K13+K17)</f>
        <v>20055.585483485484</v>
      </c>
      <c r="L8" s="3434">
        <f t="shared" ref="L8:M8" si="2">SUM(L9+L13+L17)</f>
        <v>20055.585483485484</v>
      </c>
      <c r="M8" s="3434">
        <f t="shared" si="2"/>
        <v>20055.585483485484</v>
      </c>
      <c r="N8" s="3435">
        <f t="shared" ref="N8:N9" si="3">SUM(K8:M8)</f>
        <v>60166.756450456451</v>
      </c>
      <c r="O8" s="3435">
        <f>J8+N8</f>
        <v>178189.69121811722</v>
      </c>
      <c r="P8" s="3434">
        <f>SUM(P9+P13+P17)</f>
        <v>20055.585483485484</v>
      </c>
      <c r="Q8" s="3434">
        <f t="shared" ref="Q8:R8" si="4">SUM(Q9+Q13+Q17)</f>
        <v>20055.585483485484</v>
      </c>
      <c r="R8" s="3434">
        <f t="shared" si="4"/>
        <v>20055.585483485484</v>
      </c>
      <c r="S8" s="3435">
        <f t="shared" ref="S8:S9" si="5">SUM(P8:R8)</f>
        <v>60166.756450456451</v>
      </c>
      <c r="T8" s="3436">
        <f>O8+S8</f>
        <v>238356.44766857367</v>
      </c>
    </row>
    <row r="9" spans="1:20" ht="19.7" customHeight="1" x14ac:dyDescent="0.25">
      <c r="A9" s="3424" t="s">
        <v>3741</v>
      </c>
      <c r="B9" s="3437">
        <f>SUM(B10:B11)</f>
        <v>11244.159296919514</v>
      </c>
      <c r="C9" s="3437">
        <f t="shared" ref="C9:D9" si="6">SUM(C10:C11)</f>
        <v>11244.159296919514</v>
      </c>
      <c r="D9" s="3437">
        <f t="shared" si="6"/>
        <v>11244.159296919514</v>
      </c>
      <c r="E9" s="3426">
        <f t="shared" ref="E9:E32" si="7">SUM(B9:D9)</f>
        <v>33732.477890758542</v>
      </c>
      <c r="F9" s="3437">
        <f>SUM(F10:F11)</f>
        <v>11244.159296919514</v>
      </c>
      <c r="G9" s="3437">
        <f t="shared" ref="G9:H9" si="8">SUM(G10:G11)</f>
        <v>11244.159296919514</v>
      </c>
      <c r="H9" s="3437">
        <f t="shared" si="8"/>
        <v>11244.159296919514</v>
      </c>
      <c r="I9" s="3426">
        <f t="shared" ref="I9:I32" si="9">SUM(F9:H9)</f>
        <v>33732.477890758542</v>
      </c>
      <c r="J9" s="3426">
        <f t="shared" ref="J9:J46" si="10">E9+I9</f>
        <v>67464.955781517085</v>
      </c>
      <c r="K9" s="3437">
        <f>SUM(K10:K11)</f>
        <v>11628.792039931101</v>
      </c>
      <c r="L9" s="3437">
        <f t="shared" ref="L9:M9" si="11">SUM(L10:L11)</f>
        <v>11628.792039931101</v>
      </c>
      <c r="M9" s="3437">
        <f t="shared" si="11"/>
        <v>11628.792039931101</v>
      </c>
      <c r="N9" s="3426">
        <f t="shared" si="3"/>
        <v>34886.376119793305</v>
      </c>
      <c r="O9" s="3426">
        <f t="shared" ref="O9:O46" si="12">J9+N9</f>
        <v>102351.33190131039</v>
      </c>
      <c r="P9" s="3437">
        <f>SUM(P10:P11)</f>
        <v>11628.792039931101</v>
      </c>
      <c r="Q9" s="3437">
        <f t="shared" ref="Q9:R9" si="13">SUM(Q10:Q11)</f>
        <v>11628.792039931101</v>
      </c>
      <c r="R9" s="3437">
        <f t="shared" si="13"/>
        <v>11628.792039931101</v>
      </c>
      <c r="S9" s="3426">
        <f t="shared" si="5"/>
        <v>34886.376119793305</v>
      </c>
      <c r="T9" s="3427">
        <f t="shared" ref="T9:T46" si="14">O9+S9</f>
        <v>137237.7080211037</v>
      </c>
    </row>
    <row r="10" spans="1:20" ht="19.7" customHeight="1" x14ac:dyDescent="0.25">
      <c r="A10" s="3403" t="s">
        <v>3731</v>
      </c>
      <c r="B10" s="3425">
        <f>SUM('Прил. 1 План ФХД табл 1'!C21/3)</f>
        <v>11241.591693380889</v>
      </c>
      <c r="C10" s="3425">
        <f>SUM(B10)</f>
        <v>11241.591693380889</v>
      </c>
      <c r="D10" s="3425">
        <f>SUM(B10)</f>
        <v>11241.591693380889</v>
      </c>
      <c r="E10" s="3426">
        <f t="shared" si="7"/>
        <v>33724.775080142666</v>
      </c>
      <c r="F10" s="3425">
        <f>SUM(B10)</f>
        <v>11241.591693380889</v>
      </c>
      <c r="G10" s="3425">
        <f>SUM(B10)</f>
        <v>11241.591693380889</v>
      </c>
      <c r="H10" s="3425">
        <f>SUM(B10)</f>
        <v>11241.591693380889</v>
      </c>
      <c r="I10" s="3426">
        <f t="shared" si="9"/>
        <v>33724.775080142666</v>
      </c>
      <c r="J10" s="3426">
        <f t="shared" si="10"/>
        <v>67449.550160285333</v>
      </c>
      <c r="K10" s="3425">
        <f>SUM('Прил. 1 План ФХД табл 1'!F21/3)</f>
        <v>11626.224436392476</v>
      </c>
      <c r="L10" s="3425">
        <f>SUM(K10)</f>
        <v>11626.224436392476</v>
      </c>
      <c r="M10" s="3425">
        <f>SUM(K10)</f>
        <v>11626.224436392476</v>
      </c>
      <c r="N10" s="3426">
        <f t="shared" ref="N10:N32" si="15">SUM(K10:M10)</f>
        <v>34878.673309177429</v>
      </c>
      <c r="O10" s="3426">
        <f t="shared" si="12"/>
        <v>102328.22346946277</v>
      </c>
      <c r="P10" s="3425">
        <f>SUM(K10)</f>
        <v>11626.224436392476</v>
      </c>
      <c r="Q10" s="3425">
        <f>SUM(K10)</f>
        <v>11626.224436392476</v>
      </c>
      <c r="R10" s="3425">
        <f>SUM(K10)</f>
        <v>11626.224436392476</v>
      </c>
      <c r="S10" s="3426">
        <f t="shared" ref="S10:S32" si="16">SUM(P10:R10)</f>
        <v>34878.673309177429</v>
      </c>
      <c r="T10" s="3427">
        <f t="shared" si="14"/>
        <v>137206.89677864019</v>
      </c>
    </row>
    <row r="11" spans="1:20" ht="19.7" customHeight="1" x14ac:dyDescent="0.25">
      <c r="A11" s="3403" t="s">
        <v>1711</v>
      </c>
      <c r="B11" s="3425">
        <f>SUM('Прил. 1 План ФХД табл 1'!C23/3)</f>
        <v>2.5676035386232714</v>
      </c>
      <c r="C11" s="3425">
        <f>SUM(B11)</f>
        <v>2.5676035386232714</v>
      </c>
      <c r="D11" s="3425">
        <f>SUM(B11)</f>
        <v>2.5676035386232714</v>
      </c>
      <c r="E11" s="3426">
        <f t="shared" si="7"/>
        <v>7.7028106158698142</v>
      </c>
      <c r="F11" s="3425">
        <f>SUM(B11)</f>
        <v>2.5676035386232714</v>
      </c>
      <c r="G11" s="3425">
        <f>SUM(B11)</f>
        <v>2.5676035386232714</v>
      </c>
      <c r="H11" s="3425">
        <f>SUM(B11)</f>
        <v>2.5676035386232714</v>
      </c>
      <c r="I11" s="3426">
        <f t="shared" si="9"/>
        <v>7.7028106158698142</v>
      </c>
      <c r="J11" s="3426">
        <f t="shared" si="10"/>
        <v>15.405621231739628</v>
      </c>
      <c r="K11" s="3425">
        <f>SUM(B11)</f>
        <v>2.5676035386232714</v>
      </c>
      <c r="L11" s="3425">
        <f>SUM(B11)</f>
        <v>2.5676035386232714</v>
      </c>
      <c r="M11" s="3425">
        <f>SUM(B11)</f>
        <v>2.5676035386232714</v>
      </c>
      <c r="N11" s="3426">
        <f t="shared" si="15"/>
        <v>7.7028106158698142</v>
      </c>
      <c r="O11" s="3426">
        <f t="shared" si="12"/>
        <v>23.108431847609442</v>
      </c>
      <c r="P11" s="3425">
        <f>SUM(B11)</f>
        <v>2.5676035386232714</v>
      </c>
      <c r="Q11" s="3425">
        <f>SUM(B11)</f>
        <v>2.5676035386232714</v>
      </c>
      <c r="R11" s="3425">
        <f>SUM(B11)</f>
        <v>2.5676035386232714</v>
      </c>
      <c r="S11" s="3426">
        <f t="shared" si="16"/>
        <v>7.7028106158698142</v>
      </c>
      <c r="T11" s="3427">
        <f t="shared" si="14"/>
        <v>30.811242463479257</v>
      </c>
    </row>
    <row r="12" spans="1:20" ht="19.7" customHeight="1" x14ac:dyDescent="0.25">
      <c r="A12" s="3481" t="s">
        <v>3752</v>
      </c>
      <c r="B12" s="3425">
        <f>SUM('Прил. 1 План ФХД с транспортир.'!C26/3)</f>
        <v>0</v>
      </c>
      <c r="C12" s="3425">
        <f>SUM(B12)</f>
        <v>0</v>
      </c>
      <c r="D12" s="3425">
        <f>SUM(B12)</f>
        <v>0</v>
      </c>
      <c r="E12" s="3426">
        <f t="shared" ref="E12" si="17">SUM(B12:D12)</f>
        <v>0</v>
      </c>
      <c r="F12" s="3425">
        <f>SUM(B12)</f>
        <v>0</v>
      </c>
      <c r="G12" s="3425">
        <f>SUM(B12)</f>
        <v>0</v>
      </c>
      <c r="H12" s="3425">
        <f>SUM(B12)</f>
        <v>0</v>
      </c>
      <c r="I12" s="3426">
        <f t="shared" ref="I12" si="18">SUM(F12:H12)</f>
        <v>0</v>
      </c>
      <c r="J12" s="3426">
        <f t="shared" ref="J12" si="19">E12+I12</f>
        <v>0</v>
      </c>
      <c r="K12" s="3425">
        <f>SUM(B12)</f>
        <v>0</v>
      </c>
      <c r="L12" s="3425">
        <f>SUM(B12)</f>
        <v>0</v>
      </c>
      <c r="M12" s="3425">
        <f>SUM(B12)</f>
        <v>0</v>
      </c>
      <c r="N12" s="3426">
        <f t="shared" ref="N12" si="20">SUM(K12:M12)</f>
        <v>0</v>
      </c>
      <c r="O12" s="3426">
        <f t="shared" ref="O12" si="21">J12+N12</f>
        <v>0</v>
      </c>
      <c r="P12" s="3425">
        <f>SUM('Прил. 1 План ФХД с транспортир.'!H26/3)</f>
        <v>89.36</v>
      </c>
      <c r="Q12" s="3425">
        <f>SUM(P12)</f>
        <v>89.36</v>
      </c>
      <c r="R12" s="3425">
        <f>SUM(P12)</f>
        <v>89.36</v>
      </c>
      <c r="S12" s="3426">
        <f t="shared" ref="S12" si="22">SUM(P12:R12)</f>
        <v>268.08</v>
      </c>
      <c r="T12" s="3427">
        <f t="shared" ref="T12" si="23">O12+S12</f>
        <v>268.08</v>
      </c>
    </row>
    <row r="13" spans="1:20" ht="19.7" customHeight="1" x14ac:dyDescent="0.25">
      <c r="A13" s="3428" t="s">
        <v>3733</v>
      </c>
      <c r="B13" s="3437">
        <f>SUM(B14:B15)</f>
        <v>8042.9964976906185</v>
      </c>
      <c r="C13" s="3437">
        <f t="shared" ref="C13:D13" si="24">SUM(C14:C15)</f>
        <v>8042.9964976906185</v>
      </c>
      <c r="D13" s="3437">
        <f t="shared" si="24"/>
        <v>8042.9964976906185</v>
      </c>
      <c r="E13" s="3426">
        <f t="shared" si="7"/>
        <v>24128.989493071855</v>
      </c>
      <c r="F13" s="3437">
        <f>SUM(F14:F15)</f>
        <v>8042.9964976906185</v>
      </c>
      <c r="G13" s="3437">
        <f t="shared" ref="G13:H13" si="25">SUM(G14:G15)</f>
        <v>8042.9964976906185</v>
      </c>
      <c r="H13" s="3437">
        <f t="shared" si="25"/>
        <v>8042.9964976906185</v>
      </c>
      <c r="I13" s="3426">
        <f t="shared" si="9"/>
        <v>24128.989493071855</v>
      </c>
      <c r="J13" s="3426">
        <f t="shared" si="10"/>
        <v>48257.978986143709</v>
      </c>
      <c r="K13" s="3437">
        <f>SUM(K14:K15)</f>
        <v>8043.4601102210518</v>
      </c>
      <c r="L13" s="3437">
        <f t="shared" ref="L13:M13" si="26">SUM(L14:L15)</f>
        <v>8043.4601102210518</v>
      </c>
      <c r="M13" s="3437">
        <f t="shared" si="26"/>
        <v>8043.4601102210518</v>
      </c>
      <c r="N13" s="3426">
        <f t="shared" si="15"/>
        <v>24130.380330663156</v>
      </c>
      <c r="O13" s="3426">
        <f t="shared" si="12"/>
        <v>72388.359316806862</v>
      </c>
      <c r="P13" s="3437">
        <f>SUM(P14:P15)</f>
        <v>8043.4601102210518</v>
      </c>
      <c r="Q13" s="3437">
        <f t="shared" ref="Q13:R13" si="27">SUM(Q14:Q15)</f>
        <v>8043.4601102210518</v>
      </c>
      <c r="R13" s="3437">
        <f t="shared" si="27"/>
        <v>8043.4601102210518</v>
      </c>
      <c r="S13" s="3426">
        <f t="shared" si="16"/>
        <v>24130.380330663156</v>
      </c>
      <c r="T13" s="3427">
        <f t="shared" si="14"/>
        <v>96518.739647470022</v>
      </c>
    </row>
    <row r="14" spans="1:20" ht="19.7" customHeight="1" x14ac:dyDescent="0.25">
      <c r="A14" s="3404" t="s">
        <v>345</v>
      </c>
      <c r="B14" s="3425">
        <f>SUM('Прил. 1 План ФХД табл 1'!C25/3)</f>
        <v>8022.0285556993913</v>
      </c>
      <c r="C14" s="3425">
        <f>SUM(B14)</f>
        <v>8022.0285556993913</v>
      </c>
      <c r="D14" s="3425">
        <f>SUM(B14)</f>
        <v>8022.0285556993913</v>
      </c>
      <c r="E14" s="3426">
        <f t="shared" si="7"/>
        <v>24066.085667098174</v>
      </c>
      <c r="F14" s="3425">
        <f>SUM(B14)</f>
        <v>8022.0285556993913</v>
      </c>
      <c r="G14" s="3425">
        <f>SUM(B14)</f>
        <v>8022.0285556993913</v>
      </c>
      <c r="H14" s="3425">
        <f>SUM(B14)</f>
        <v>8022.0285556993913</v>
      </c>
      <c r="I14" s="3426">
        <f t="shared" si="9"/>
        <v>24066.085667098174</v>
      </c>
      <c r="J14" s="3426">
        <f t="shared" si="10"/>
        <v>48132.171334196348</v>
      </c>
      <c r="K14" s="3425">
        <f>SUM('Прил. 1 План ФХД табл 1'!F25/3)</f>
        <v>8022.0285556993913</v>
      </c>
      <c r="L14" s="3425">
        <f>SUM(K14)</f>
        <v>8022.0285556993913</v>
      </c>
      <c r="M14" s="3425">
        <f>SUM(K14)</f>
        <v>8022.0285556993913</v>
      </c>
      <c r="N14" s="3426">
        <f t="shared" si="15"/>
        <v>24066.085667098174</v>
      </c>
      <c r="O14" s="3426">
        <f t="shared" si="12"/>
        <v>72198.257001294522</v>
      </c>
      <c r="P14" s="3425">
        <f>SUM(K14)</f>
        <v>8022.0285556993913</v>
      </c>
      <c r="Q14" s="3425">
        <f>SUM(K14)</f>
        <v>8022.0285556993913</v>
      </c>
      <c r="R14" s="3425">
        <f>SUM(K14)</f>
        <v>8022.0285556993913</v>
      </c>
      <c r="S14" s="3426">
        <f t="shared" si="16"/>
        <v>24066.085667098174</v>
      </c>
      <c r="T14" s="3427">
        <f t="shared" si="14"/>
        <v>96264.342668392695</v>
      </c>
    </row>
    <row r="15" spans="1:20" ht="19.7" customHeight="1" x14ac:dyDescent="0.25">
      <c r="A15" s="3404" t="s">
        <v>3732</v>
      </c>
      <c r="B15" s="3425">
        <f>SUM('Прил. 1 План ФХД табл 1'!C27/3)</f>
        <v>20.967941991226851</v>
      </c>
      <c r="C15" s="3425">
        <f>SUM(B15)</f>
        <v>20.967941991226851</v>
      </c>
      <c r="D15" s="3425">
        <f>SUM(B15)</f>
        <v>20.967941991226851</v>
      </c>
      <c r="E15" s="3426">
        <f t="shared" si="7"/>
        <v>62.903825973680554</v>
      </c>
      <c r="F15" s="3425">
        <f>SUM(B15)</f>
        <v>20.967941991226851</v>
      </c>
      <c r="G15" s="3425">
        <f>SUM(B15)</f>
        <v>20.967941991226851</v>
      </c>
      <c r="H15" s="3425">
        <f>SUM(B15)</f>
        <v>20.967941991226851</v>
      </c>
      <c r="I15" s="3426">
        <f t="shared" si="9"/>
        <v>62.903825973680554</v>
      </c>
      <c r="J15" s="3426">
        <f t="shared" si="10"/>
        <v>125.80765194736111</v>
      </c>
      <c r="K15" s="3425">
        <f>SUM('Прил. 1 План ФХД табл 1'!F27/3)</f>
        <v>21.431554521660093</v>
      </c>
      <c r="L15" s="3425">
        <f>SUM(K15)</f>
        <v>21.431554521660093</v>
      </c>
      <c r="M15" s="3425">
        <f>SUM(K15)</f>
        <v>21.431554521660093</v>
      </c>
      <c r="N15" s="3426">
        <f t="shared" si="15"/>
        <v>64.294663564980283</v>
      </c>
      <c r="O15" s="3426">
        <f t="shared" si="12"/>
        <v>190.10231551234139</v>
      </c>
      <c r="P15" s="3425">
        <f>SUM(K15)</f>
        <v>21.431554521660093</v>
      </c>
      <c r="Q15" s="3425">
        <f>SUM(K15)</f>
        <v>21.431554521660093</v>
      </c>
      <c r="R15" s="3425">
        <f>SUM(K15)</f>
        <v>21.431554521660093</v>
      </c>
      <c r="S15" s="3426">
        <f t="shared" si="16"/>
        <v>64.294663564980283</v>
      </c>
      <c r="T15" s="3427">
        <f t="shared" si="14"/>
        <v>254.39697907732167</v>
      </c>
    </row>
    <row r="16" spans="1:20" ht="19.7" customHeight="1" x14ac:dyDescent="0.25">
      <c r="A16" s="3481" t="s">
        <v>3753</v>
      </c>
      <c r="B16" s="3425">
        <f>SUM('Прил. 1 План ФХД с транспортир.'!C31/3)</f>
        <v>0</v>
      </c>
      <c r="C16" s="3425">
        <f>SUM(B16)</f>
        <v>0</v>
      </c>
      <c r="D16" s="3425">
        <f>SUM(B16)</f>
        <v>0</v>
      </c>
      <c r="E16" s="3426">
        <f t="shared" ref="E16" si="28">SUM(B16:D16)</f>
        <v>0</v>
      </c>
      <c r="F16" s="3425">
        <f>SUM(B16)</f>
        <v>0</v>
      </c>
      <c r="G16" s="3425">
        <f>SUM(B16)</f>
        <v>0</v>
      </c>
      <c r="H16" s="3425">
        <f>SUM(B16)</f>
        <v>0</v>
      </c>
      <c r="I16" s="3426">
        <f t="shared" ref="I16" si="29">SUM(F16:H16)</f>
        <v>0</v>
      </c>
      <c r="J16" s="3426">
        <f t="shared" ref="J16" si="30">E16+I16</f>
        <v>0</v>
      </c>
      <c r="K16" s="3425">
        <f>SUM(B16)</f>
        <v>0</v>
      </c>
      <c r="L16" s="3425">
        <f>SUM(K16)</f>
        <v>0</v>
      </c>
      <c r="M16" s="3425">
        <f>SUM(K16)</f>
        <v>0</v>
      </c>
      <c r="N16" s="3426">
        <f t="shared" ref="N16" si="31">SUM(K16:M16)</f>
        <v>0</v>
      </c>
      <c r="O16" s="3426">
        <f t="shared" ref="O16" si="32">J16+N16</f>
        <v>0</v>
      </c>
      <c r="P16" s="3425">
        <f>SUM('Прил. 1 План ФХД с транспортир.'!H31/3)</f>
        <v>265.91666666666669</v>
      </c>
      <c r="Q16" s="3425">
        <f>SUM(P16)</f>
        <v>265.91666666666669</v>
      </c>
      <c r="R16" s="3425">
        <f>SUM(P16)</f>
        <v>265.91666666666669</v>
      </c>
      <c r="S16" s="3426">
        <f t="shared" ref="S16" si="33">SUM(P16:R16)</f>
        <v>797.75</v>
      </c>
      <c r="T16" s="3427">
        <f t="shared" ref="T16" si="34">O16+S16</f>
        <v>797.75</v>
      </c>
    </row>
    <row r="17" spans="1:20" ht="19.7" customHeight="1" x14ac:dyDescent="0.25">
      <c r="A17" s="3428" t="s">
        <v>3742</v>
      </c>
      <c r="B17" s="3437">
        <f>SUM(B18:B19)</f>
        <v>383.33333333333331</v>
      </c>
      <c r="C17" s="3437">
        <f t="shared" ref="C17:D17" si="35">SUM(C18:C19)</f>
        <v>383.33333333333331</v>
      </c>
      <c r="D17" s="3437">
        <f t="shared" si="35"/>
        <v>383.33333333333331</v>
      </c>
      <c r="E17" s="3426">
        <f t="shared" si="7"/>
        <v>1150</v>
      </c>
      <c r="F17" s="3437">
        <f>SUM(F18:F19)</f>
        <v>383.33333333333331</v>
      </c>
      <c r="G17" s="3437">
        <f t="shared" ref="G17:H17" si="36">SUM(G18:G19)</f>
        <v>383.33333333333331</v>
      </c>
      <c r="H17" s="3437">
        <f t="shared" si="36"/>
        <v>383.33333333333331</v>
      </c>
      <c r="I17" s="3426">
        <f t="shared" si="9"/>
        <v>1150</v>
      </c>
      <c r="J17" s="3426">
        <f t="shared" si="10"/>
        <v>2300</v>
      </c>
      <c r="K17" s="3437">
        <f>SUM(K18:K19)</f>
        <v>383.33333333333331</v>
      </c>
      <c r="L17" s="3437">
        <f t="shared" ref="L17:M17" si="37">SUM(L18:L19)</f>
        <v>383.33333333333331</v>
      </c>
      <c r="M17" s="3437">
        <f t="shared" si="37"/>
        <v>383.33333333333331</v>
      </c>
      <c r="N17" s="3426">
        <f t="shared" si="15"/>
        <v>1150</v>
      </c>
      <c r="O17" s="3426">
        <f t="shared" si="12"/>
        <v>3450</v>
      </c>
      <c r="P17" s="3437">
        <f>SUM(P18:P19)</f>
        <v>383.33333333333331</v>
      </c>
      <c r="Q17" s="3437">
        <f t="shared" ref="Q17:R17" si="38">SUM(Q18:Q19)</f>
        <v>383.33333333333331</v>
      </c>
      <c r="R17" s="3437">
        <f t="shared" si="38"/>
        <v>383.33333333333331</v>
      </c>
      <c r="S17" s="3426">
        <f t="shared" si="16"/>
        <v>1150</v>
      </c>
      <c r="T17" s="3427">
        <f t="shared" si="14"/>
        <v>4600</v>
      </c>
    </row>
    <row r="18" spans="1:20" ht="19.7" customHeight="1" x14ac:dyDescent="0.25">
      <c r="A18" s="3421" t="s">
        <v>3736</v>
      </c>
      <c r="B18" s="3425">
        <f>SUM('Прил. 1 План ФХД табл 1'!C29/3)</f>
        <v>83.333333333333329</v>
      </c>
      <c r="C18" s="3425">
        <f>SUM(B18)</f>
        <v>83.333333333333329</v>
      </c>
      <c r="D18" s="3425">
        <f>SUM(B18)</f>
        <v>83.333333333333329</v>
      </c>
      <c r="E18" s="3426">
        <f t="shared" si="7"/>
        <v>250</v>
      </c>
      <c r="F18" s="3425">
        <f>SUM(B18)</f>
        <v>83.333333333333329</v>
      </c>
      <c r="G18" s="3425">
        <f>SUM(B18)</f>
        <v>83.333333333333329</v>
      </c>
      <c r="H18" s="3425">
        <f>SUM(B18)</f>
        <v>83.333333333333329</v>
      </c>
      <c r="I18" s="3426">
        <f t="shared" si="9"/>
        <v>250</v>
      </c>
      <c r="J18" s="3426">
        <f t="shared" si="10"/>
        <v>500</v>
      </c>
      <c r="K18" s="3425">
        <f>SUM(B18)</f>
        <v>83.333333333333329</v>
      </c>
      <c r="L18" s="3425">
        <f>SUM(B18)</f>
        <v>83.333333333333329</v>
      </c>
      <c r="M18" s="3425">
        <f>SUM(B18)</f>
        <v>83.333333333333329</v>
      </c>
      <c r="N18" s="3426">
        <f t="shared" si="15"/>
        <v>250</v>
      </c>
      <c r="O18" s="3426">
        <f t="shared" si="12"/>
        <v>750</v>
      </c>
      <c r="P18" s="3425">
        <f>SUM(B18)</f>
        <v>83.333333333333329</v>
      </c>
      <c r="Q18" s="3425">
        <f>SUM(B18)</f>
        <v>83.333333333333329</v>
      </c>
      <c r="R18" s="3425">
        <f>SUM(B18)</f>
        <v>83.333333333333329</v>
      </c>
      <c r="S18" s="3426">
        <f t="shared" si="16"/>
        <v>250</v>
      </c>
      <c r="T18" s="3427">
        <f t="shared" si="14"/>
        <v>1000</v>
      </c>
    </row>
    <row r="19" spans="1:20" ht="19.7" customHeight="1" x14ac:dyDescent="0.25">
      <c r="A19" s="3421" t="s">
        <v>3612</v>
      </c>
      <c r="B19" s="3425">
        <f>SUM('Прил. 1 План ФХД табл 1'!C30/3)</f>
        <v>300</v>
      </c>
      <c r="C19" s="3425">
        <f>SUM(B19)</f>
        <v>300</v>
      </c>
      <c r="D19" s="3425">
        <f>SUM(B19)</f>
        <v>300</v>
      </c>
      <c r="E19" s="3426">
        <f t="shared" si="7"/>
        <v>900</v>
      </c>
      <c r="F19" s="3425">
        <f>SUM(B19)</f>
        <v>300</v>
      </c>
      <c r="G19" s="3425">
        <f>SUM(B19)</f>
        <v>300</v>
      </c>
      <c r="H19" s="3425">
        <f>SUM(B19)</f>
        <v>300</v>
      </c>
      <c r="I19" s="3426">
        <f t="shared" si="9"/>
        <v>900</v>
      </c>
      <c r="J19" s="3426">
        <f t="shared" si="10"/>
        <v>1800</v>
      </c>
      <c r="K19" s="3425">
        <f>SUM(B19)</f>
        <v>300</v>
      </c>
      <c r="L19" s="3425">
        <f>SUM(B19)</f>
        <v>300</v>
      </c>
      <c r="M19" s="3425">
        <f>SUM(B19)</f>
        <v>300</v>
      </c>
      <c r="N19" s="3426">
        <f t="shared" si="15"/>
        <v>900</v>
      </c>
      <c r="O19" s="3426">
        <f t="shared" si="12"/>
        <v>2700</v>
      </c>
      <c r="P19" s="3425">
        <f>SUM(B19)</f>
        <v>300</v>
      </c>
      <c r="Q19" s="3425">
        <f>SUM(B19)</f>
        <v>300</v>
      </c>
      <c r="R19" s="3425">
        <f>SUM(B19)</f>
        <v>300</v>
      </c>
      <c r="S19" s="3426">
        <f t="shared" si="16"/>
        <v>900</v>
      </c>
      <c r="T19" s="3427">
        <f t="shared" si="14"/>
        <v>3600</v>
      </c>
    </row>
    <row r="20" spans="1:20" ht="19.7" customHeight="1" x14ac:dyDescent="0.25">
      <c r="A20" s="3417" t="s">
        <v>3706</v>
      </c>
      <c r="B20" s="3437">
        <f>SUM(B21+B25+B29)</f>
        <v>19668.023138749402</v>
      </c>
      <c r="C20" s="3437">
        <f t="shared" ref="C20:D20" si="39">SUM(C21+C25+C29)</f>
        <v>19668.023138749402</v>
      </c>
      <c r="D20" s="3437">
        <f t="shared" si="39"/>
        <v>19668.023138749402</v>
      </c>
      <c r="E20" s="3426">
        <f t="shared" si="7"/>
        <v>59004.06941624821</v>
      </c>
      <c r="F20" s="3437">
        <f>SUM(F21+F25+F29)</f>
        <v>19668.023138749402</v>
      </c>
      <c r="G20" s="3437">
        <f t="shared" ref="G20:H20" si="40">SUM(G21+G25+G29)</f>
        <v>19668.023138749402</v>
      </c>
      <c r="H20" s="3437">
        <f t="shared" si="40"/>
        <v>19668.023138749402</v>
      </c>
      <c r="I20" s="3426">
        <f t="shared" si="9"/>
        <v>59004.06941624821</v>
      </c>
      <c r="J20" s="3426">
        <f t="shared" si="10"/>
        <v>118008.13883249642</v>
      </c>
      <c r="K20" s="3437">
        <f>SUM(K21+K25+K29)</f>
        <v>19768.051419362386</v>
      </c>
      <c r="L20" s="3437">
        <f t="shared" ref="L20:M20" si="41">SUM(L21+L25+L29)</f>
        <v>19768.051419362386</v>
      </c>
      <c r="M20" s="3437">
        <f t="shared" si="41"/>
        <v>19768.051419362386</v>
      </c>
      <c r="N20" s="3426">
        <f t="shared" si="15"/>
        <v>59304.154258087161</v>
      </c>
      <c r="O20" s="3426">
        <f t="shared" si="12"/>
        <v>177312.29309058358</v>
      </c>
      <c r="P20" s="3437">
        <f>SUM(P21+P25+P29)</f>
        <v>19768.051419362386</v>
      </c>
      <c r="Q20" s="3437">
        <f t="shared" ref="Q20:R20" si="42">SUM(Q21+Q25+Q29)</f>
        <v>19768.051419362386</v>
      </c>
      <c r="R20" s="3437">
        <f t="shared" si="42"/>
        <v>19768.051419362386</v>
      </c>
      <c r="S20" s="3426">
        <f t="shared" si="16"/>
        <v>59304.154258087161</v>
      </c>
      <c r="T20" s="3427">
        <f t="shared" si="14"/>
        <v>236616.44734867074</v>
      </c>
    </row>
    <row r="21" spans="1:20" ht="19.7" customHeight="1" x14ac:dyDescent="0.25">
      <c r="A21" s="3428" t="s">
        <v>3704</v>
      </c>
      <c r="B21" s="3437">
        <f>SUM(B22:B23)</f>
        <v>11407.771676261298</v>
      </c>
      <c r="C21" s="3437">
        <f t="shared" ref="C21:D21" si="43">SUM(C22:C23)</f>
        <v>11407.771676261298</v>
      </c>
      <c r="D21" s="3437">
        <f t="shared" si="43"/>
        <v>11407.771676261298</v>
      </c>
      <c r="E21" s="3426">
        <f t="shared" si="7"/>
        <v>34223.315028783894</v>
      </c>
      <c r="F21" s="3437">
        <f>SUM(F22:F23)</f>
        <v>11407.771676261298</v>
      </c>
      <c r="G21" s="3437">
        <f t="shared" ref="G21:H21" si="44">SUM(G22:G23)</f>
        <v>11407.771676261298</v>
      </c>
      <c r="H21" s="3437">
        <f t="shared" si="44"/>
        <v>11407.771676261298</v>
      </c>
      <c r="I21" s="3426">
        <f t="shared" si="9"/>
        <v>34223.315028783894</v>
      </c>
      <c r="J21" s="3426">
        <f t="shared" si="10"/>
        <v>68446.630057567789</v>
      </c>
      <c r="K21" s="3437">
        <f>SUM(K22:K23)</f>
        <v>11465.179597621578</v>
      </c>
      <c r="L21" s="3437">
        <f t="shared" ref="L21:M21" si="45">SUM(L22:L23)</f>
        <v>11465.179597621578</v>
      </c>
      <c r="M21" s="3437">
        <f t="shared" si="45"/>
        <v>11465.179597621578</v>
      </c>
      <c r="N21" s="3426">
        <f t="shared" si="15"/>
        <v>34395.538792864732</v>
      </c>
      <c r="O21" s="3426">
        <f t="shared" si="12"/>
        <v>102842.16885043253</v>
      </c>
      <c r="P21" s="3437">
        <f>SUM(P22:P23)</f>
        <v>11465.179597621578</v>
      </c>
      <c r="Q21" s="3437">
        <f t="shared" ref="Q21:R21" si="46">SUM(Q22:Q23)</f>
        <v>11465.179597621578</v>
      </c>
      <c r="R21" s="3437">
        <f t="shared" si="46"/>
        <v>11465.179597621578</v>
      </c>
      <c r="S21" s="3426">
        <f t="shared" si="16"/>
        <v>34395.538792864732</v>
      </c>
      <c r="T21" s="3427">
        <f t="shared" si="14"/>
        <v>137237.70764329727</v>
      </c>
    </row>
    <row r="22" spans="1:20" ht="19.7" customHeight="1" x14ac:dyDescent="0.25">
      <c r="A22" s="3403" t="s">
        <v>3731</v>
      </c>
      <c r="B22" s="3425">
        <f>SUM('Прил. 1 План ФХД табл 1'!C33/3)</f>
        <v>11405.2069820948</v>
      </c>
      <c r="C22" s="3425">
        <f>SUM(B22)</f>
        <v>11405.2069820948</v>
      </c>
      <c r="D22" s="3425">
        <f>SUM(B22)</f>
        <v>11405.2069820948</v>
      </c>
      <c r="E22" s="3426">
        <f t="shared" si="7"/>
        <v>34215.620946284398</v>
      </c>
      <c r="F22" s="3425">
        <f>SUM(B22)</f>
        <v>11405.2069820948</v>
      </c>
      <c r="G22" s="3425">
        <f>SUM(B22)</f>
        <v>11405.2069820948</v>
      </c>
      <c r="H22" s="3425">
        <f>SUM(B22)</f>
        <v>11405.2069820948</v>
      </c>
      <c r="I22" s="3426">
        <f t="shared" si="9"/>
        <v>34215.620946284398</v>
      </c>
      <c r="J22" s="3426">
        <f t="shared" si="10"/>
        <v>68431.241892568796</v>
      </c>
      <c r="K22" s="3425">
        <f>SUM('Прил. 1 План ФХД табл 1'!F33/3)</f>
        <v>11462.609084741263</v>
      </c>
      <c r="L22" s="3425">
        <f>SUM(K22)</f>
        <v>11462.609084741263</v>
      </c>
      <c r="M22" s="3425">
        <f>SUM(K22)</f>
        <v>11462.609084741263</v>
      </c>
      <c r="N22" s="3426">
        <f t="shared" si="15"/>
        <v>34387.82725422379</v>
      </c>
      <c r="O22" s="3426">
        <f t="shared" si="12"/>
        <v>102819.06914679258</v>
      </c>
      <c r="P22" s="3425">
        <f>SUM(K22)</f>
        <v>11462.609084741263</v>
      </c>
      <c r="Q22" s="3425">
        <f>SUM(K22)</f>
        <v>11462.609084741263</v>
      </c>
      <c r="R22" s="3425">
        <f>SUM(K22)</f>
        <v>11462.609084741263</v>
      </c>
      <c r="S22" s="3426">
        <f t="shared" si="16"/>
        <v>34387.82725422379</v>
      </c>
      <c r="T22" s="3427">
        <f t="shared" si="14"/>
        <v>137206.89640101636</v>
      </c>
    </row>
    <row r="23" spans="1:20" ht="19.7" customHeight="1" x14ac:dyDescent="0.25">
      <c r="A23" s="3404" t="s">
        <v>1711</v>
      </c>
      <c r="B23" s="3425">
        <f>SUM('Прил. 1 План ФХД табл 1'!C34/3)</f>
        <v>2.5646941664975782</v>
      </c>
      <c r="C23" s="3425">
        <f>SUM(B23)</f>
        <v>2.5646941664975782</v>
      </c>
      <c r="D23" s="3425">
        <f>SUM(B23)</f>
        <v>2.5646941664975782</v>
      </c>
      <c r="E23" s="3426">
        <f t="shared" si="7"/>
        <v>7.694082499492735</v>
      </c>
      <c r="F23" s="3425">
        <f>SUM(B23)</f>
        <v>2.5646941664975782</v>
      </c>
      <c r="G23" s="3425">
        <f>SUM(B23)</f>
        <v>2.5646941664975782</v>
      </c>
      <c r="H23" s="3425">
        <f>SUM(B23)</f>
        <v>2.5646941664975782</v>
      </c>
      <c r="I23" s="3426">
        <f t="shared" si="9"/>
        <v>7.694082499492735</v>
      </c>
      <c r="J23" s="3426">
        <f t="shared" si="10"/>
        <v>15.38816499898547</v>
      </c>
      <c r="K23" s="3425">
        <f>SUM('Прил. 1 План ФХД табл 1'!F34/3)</f>
        <v>2.5705128803149653</v>
      </c>
      <c r="L23" s="3425">
        <f>SUM(K23)</f>
        <v>2.5705128803149653</v>
      </c>
      <c r="M23" s="3425">
        <f>SUM(K23)</f>
        <v>2.5705128803149653</v>
      </c>
      <c r="N23" s="3426">
        <f t="shared" si="15"/>
        <v>7.7115386409448963</v>
      </c>
      <c r="O23" s="3426">
        <f t="shared" si="12"/>
        <v>23.099703639930368</v>
      </c>
      <c r="P23" s="3425">
        <f>SUM(K23)</f>
        <v>2.5705128803149653</v>
      </c>
      <c r="Q23" s="3425">
        <f>SUM(K23)</f>
        <v>2.5705128803149653</v>
      </c>
      <c r="R23" s="3425">
        <f>SUM(K23)</f>
        <v>2.5705128803149653</v>
      </c>
      <c r="S23" s="3426">
        <f t="shared" si="16"/>
        <v>7.7115386409448963</v>
      </c>
      <c r="T23" s="3427">
        <f t="shared" si="14"/>
        <v>30.811242280875263</v>
      </c>
    </row>
    <row r="24" spans="1:20" ht="19.7" customHeight="1" x14ac:dyDescent="0.25">
      <c r="A24" s="3481" t="s">
        <v>3752</v>
      </c>
      <c r="B24" s="3425">
        <f>SUM('Прил. 1 План ФХД с транспортир.'!C39)</f>
        <v>0</v>
      </c>
      <c r="C24" s="3425">
        <f>SUM(B24)</f>
        <v>0</v>
      </c>
      <c r="D24" s="3425">
        <f>SUM(B24)</f>
        <v>0</v>
      </c>
      <c r="E24" s="3426">
        <f t="shared" ref="E24" si="47">SUM(B24:D24)</f>
        <v>0</v>
      </c>
      <c r="F24" s="3425">
        <f>SUM(B24)</f>
        <v>0</v>
      </c>
      <c r="G24" s="3425">
        <f>SUM(B24)</f>
        <v>0</v>
      </c>
      <c r="H24" s="3425">
        <f>SUM(B24)</f>
        <v>0</v>
      </c>
      <c r="I24" s="3426">
        <f t="shared" ref="I24" si="48">SUM(F24:H24)</f>
        <v>0</v>
      </c>
      <c r="J24" s="3426">
        <f t="shared" ref="J24" si="49">E24+I24</f>
        <v>0</v>
      </c>
      <c r="K24" s="3425">
        <f>SUM(B24)</f>
        <v>0</v>
      </c>
      <c r="L24" s="3425">
        <f>SUM(K24)</f>
        <v>0</v>
      </c>
      <c r="M24" s="3425">
        <f>SUM(K24)</f>
        <v>0</v>
      </c>
      <c r="N24" s="3426">
        <f t="shared" ref="N24" si="50">SUM(K24:M24)</f>
        <v>0</v>
      </c>
      <c r="O24" s="3426">
        <f t="shared" ref="O24" si="51">J24+N24</f>
        <v>0</v>
      </c>
      <c r="P24" s="3425">
        <f>SUM('Прил. 1 План ФХД с транспортир.'!H39/3)</f>
        <v>89.36</v>
      </c>
      <c r="Q24" s="3425">
        <f>SUM(P24)</f>
        <v>89.36</v>
      </c>
      <c r="R24" s="3425">
        <f>SUM(P24)</f>
        <v>89.36</v>
      </c>
      <c r="S24" s="3426">
        <f t="shared" ref="S24" si="52">SUM(P24:R24)</f>
        <v>268.08</v>
      </c>
      <c r="T24" s="3427">
        <f t="shared" ref="T24" si="53">O24+S24</f>
        <v>268.08</v>
      </c>
    </row>
    <row r="25" spans="1:20" ht="19.7" customHeight="1" x14ac:dyDescent="0.25">
      <c r="A25" s="3428" t="s">
        <v>3733</v>
      </c>
      <c r="B25" s="3437">
        <f>SUM(B26:B27)</f>
        <v>8021.918129154772</v>
      </c>
      <c r="C25" s="3437">
        <f t="shared" ref="C25:D25" si="54">SUM(C26:C27)</f>
        <v>8021.918129154772</v>
      </c>
      <c r="D25" s="3437">
        <f t="shared" si="54"/>
        <v>8021.918129154772</v>
      </c>
      <c r="E25" s="3426">
        <f t="shared" si="7"/>
        <v>24065.754387464316</v>
      </c>
      <c r="F25" s="3437">
        <f>SUM(F26:F27)</f>
        <v>8021.918129154772</v>
      </c>
      <c r="G25" s="3437">
        <f t="shared" ref="G25:H25" si="55">SUM(G26:G27)</f>
        <v>8021.918129154772</v>
      </c>
      <c r="H25" s="3437">
        <f t="shared" si="55"/>
        <v>8021.918129154772</v>
      </c>
      <c r="I25" s="3426">
        <f t="shared" si="9"/>
        <v>24065.754387464316</v>
      </c>
      <c r="J25" s="3426">
        <f t="shared" si="10"/>
        <v>48131.508774928632</v>
      </c>
      <c r="K25" s="3437">
        <f>SUM(K26:K27)</f>
        <v>8064.5384884074738</v>
      </c>
      <c r="L25" s="3437">
        <f t="shared" ref="L25:M25" si="56">SUM(L26:L27)</f>
        <v>8064.5384884074738</v>
      </c>
      <c r="M25" s="3437">
        <f t="shared" si="56"/>
        <v>8064.5384884074738</v>
      </c>
      <c r="N25" s="3426">
        <f t="shared" si="15"/>
        <v>24193.615465222421</v>
      </c>
      <c r="O25" s="3426">
        <f t="shared" si="12"/>
        <v>72325.124240151054</v>
      </c>
      <c r="P25" s="3437">
        <f>SUM(P26:P27)</f>
        <v>8064.5384884074738</v>
      </c>
      <c r="Q25" s="3437">
        <f t="shared" ref="Q25:R25" si="57">SUM(Q26:Q27)</f>
        <v>8064.5384884074738</v>
      </c>
      <c r="R25" s="3437">
        <f t="shared" si="57"/>
        <v>8064.5384884074738</v>
      </c>
      <c r="S25" s="3426">
        <f t="shared" si="16"/>
        <v>24193.615465222421</v>
      </c>
      <c r="T25" s="3427">
        <f t="shared" si="14"/>
        <v>96518.739705373475</v>
      </c>
    </row>
    <row r="26" spans="1:20" ht="19.7" customHeight="1" x14ac:dyDescent="0.25">
      <c r="A26" s="3404" t="s">
        <v>345</v>
      </c>
      <c r="B26" s="3425">
        <f>SUM('Прил. 1 План ФХД табл 1'!C36/3)</f>
        <v>8000.8191347896172</v>
      </c>
      <c r="C26" s="3425">
        <f>SUM(B26)</f>
        <v>8000.8191347896172</v>
      </c>
      <c r="D26" s="3425">
        <f>SUM(B26)</f>
        <v>8000.8191347896172</v>
      </c>
      <c r="E26" s="3426">
        <f t="shared" si="7"/>
        <v>24002.457404368852</v>
      </c>
      <c r="F26" s="3425">
        <f>SUM(B26)</f>
        <v>8000.8191347896172</v>
      </c>
      <c r="G26" s="3425">
        <f>SUM(B26)</f>
        <v>8000.8191347896172</v>
      </c>
      <c r="H26" s="3425">
        <f>SUM(B26)</f>
        <v>8000.8191347896172</v>
      </c>
      <c r="I26" s="3426">
        <f t="shared" si="9"/>
        <v>24002.457404368852</v>
      </c>
      <c r="J26" s="3426">
        <f t="shared" si="10"/>
        <v>48004.914808737703</v>
      </c>
      <c r="K26" s="3425">
        <f>SUM('Прил. 1 План ФХД табл 1'!F36/3)</f>
        <v>8043.2379862600101</v>
      </c>
      <c r="L26" s="3425">
        <f>SUM(K26)</f>
        <v>8043.2379862600101</v>
      </c>
      <c r="M26" s="3425">
        <f>SUM(K26)</f>
        <v>8043.2379862600101</v>
      </c>
      <c r="N26" s="3426">
        <f t="shared" si="15"/>
        <v>24129.71395878003</v>
      </c>
      <c r="O26" s="3426">
        <f t="shared" si="12"/>
        <v>72134.62876751773</v>
      </c>
      <c r="P26" s="3425">
        <f>SUM(K26)</f>
        <v>8043.2379862600101</v>
      </c>
      <c r="Q26" s="3425">
        <f>SUM(K26)</f>
        <v>8043.2379862600101</v>
      </c>
      <c r="R26" s="3425">
        <f>SUM(K26)</f>
        <v>8043.2379862600101</v>
      </c>
      <c r="S26" s="3426">
        <f t="shared" si="16"/>
        <v>24129.71395878003</v>
      </c>
      <c r="T26" s="3427">
        <f t="shared" si="14"/>
        <v>96264.342726297764</v>
      </c>
    </row>
    <row r="27" spans="1:20" ht="19.7" customHeight="1" x14ac:dyDescent="0.25">
      <c r="A27" s="3404" t="s">
        <v>3732</v>
      </c>
      <c r="B27" s="3425">
        <f>SUM('Прил. 1 План ФХД табл 1'!C37/3)</f>
        <v>21.098994365155001</v>
      </c>
      <c r="C27" s="3425">
        <f>SUM(B27)</f>
        <v>21.098994365155001</v>
      </c>
      <c r="D27" s="3425">
        <f>SUM(B27)</f>
        <v>21.098994365155001</v>
      </c>
      <c r="E27" s="3426">
        <f t="shared" si="7"/>
        <v>63.296983095465002</v>
      </c>
      <c r="F27" s="3425">
        <f>SUM(B27)</f>
        <v>21.098994365155001</v>
      </c>
      <c r="G27" s="3425">
        <f>SUM(B27)</f>
        <v>21.098994365155001</v>
      </c>
      <c r="H27" s="3425">
        <f>SUM(B27)</f>
        <v>21.098994365155001</v>
      </c>
      <c r="I27" s="3426">
        <f t="shared" si="9"/>
        <v>63.296983095465002</v>
      </c>
      <c r="J27" s="3426">
        <f t="shared" si="10"/>
        <v>126.59396619093</v>
      </c>
      <c r="K27" s="3425">
        <f>SUM('Прил. 1 План ФХД табл 1'!F37/3)</f>
        <v>21.300502147463419</v>
      </c>
      <c r="L27" s="3425">
        <f>SUM(K27)</f>
        <v>21.300502147463419</v>
      </c>
      <c r="M27" s="3425">
        <f>SUM(K27)</f>
        <v>21.300502147463419</v>
      </c>
      <c r="N27" s="3426">
        <f t="shared" si="15"/>
        <v>63.901506442390257</v>
      </c>
      <c r="O27" s="3426">
        <f t="shared" si="12"/>
        <v>190.49547263332028</v>
      </c>
      <c r="P27" s="3425">
        <f>SUM(K27)</f>
        <v>21.300502147463419</v>
      </c>
      <c r="Q27" s="3425">
        <f>SUM(K27)</f>
        <v>21.300502147463419</v>
      </c>
      <c r="R27" s="3425">
        <f>SUM(K27)</f>
        <v>21.300502147463419</v>
      </c>
      <c r="S27" s="3426">
        <f t="shared" si="16"/>
        <v>63.901506442390257</v>
      </c>
      <c r="T27" s="3427">
        <f t="shared" si="14"/>
        <v>254.39697907571053</v>
      </c>
    </row>
    <row r="28" spans="1:20" ht="19.7" customHeight="1" x14ac:dyDescent="0.25">
      <c r="A28" s="3481" t="s">
        <v>3753</v>
      </c>
      <c r="B28" s="3425">
        <f>SUM('Прил. 1 План ФХД с транспортир.'!C43/3)</f>
        <v>0</v>
      </c>
      <c r="C28" s="3425">
        <f>SUM(B28)</f>
        <v>0</v>
      </c>
      <c r="D28" s="3425">
        <f>SUM(B28)</f>
        <v>0</v>
      </c>
      <c r="E28" s="3426">
        <f t="shared" ref="E28" si="58">SUM(B28:D28)</f>
        <v>0</v>
      </c>
      <c r="F28" s="3425">
        <f>SUM(B28)</f>
        <v>0</v>
      </c>
      <c r="G28" s="3425">
        <f>SUM(B28)</f>
        <v>0</v>
      </c>
      <c r="H28" s="3425">
        <f>SUM(B28)</f>
        <v>0</v>
      </c>
      <c r="I28" s="3426">
        <f t="shared" ref="I28" si="59">SUM(F28:H28)</f>
        <v>0</v>
      </c>
      <c r="J28" s="3426">
        <f t="shared" ref="J28" si="60">E28+I28</f>
        <v>0</v>
      </c>
      <c r="K28" s="3425">
        <f>SUM(B28)</f>
        <v>0</v>
      </c>
      <c r="L28" s="3425">
        <f>SUM(K28)</f>
        <v>0</v>
      </c>
      <c r="M28" s="3425">
        <f>SUM(K28)</f>
        <v>0</v>
      </c>
      <c r="N28" s="3426">
        <f t="shared" ref="N28" si="61">SUM(K28:M28)</f>
        <v>0</v>
      </c>
      <c r="O28" s="3426">
        <f t="shared" ref="O28" si="62">J28+N28</f>
        <v>0</v>
      </c>
      <c r="P28" s="3425">
        <f>SUM('Прил. 1 План ФХД с транспортир.'!H43/3)</f>
        <v>265.91666666666669</v>
      </c>
      <c r="Q28" s="3425">
        <f>SUM(P28)</f>
        <v>265.91666666666669</v>
      </c>
      <c r="R28" s="3425">
        <f>SUM(P28)</f>
        <v>265.91666666666669</v>
      </c>
      <c r="S28" s="3426">
        <f t="shared" ref="S28" si="63">SUM(P28:R28)</f>
        <v>797.75</v>
      </c>
      <c r="T28" s="3427">
        <f t="shared" ref="T28" si="64">O28+S28</f>
        <v>797.75</v>
      </c>
    </row>
    <row r="29" spans="1:20" ht="19.7" customHeight="1" x14ac:dyDescent="0.25">
      <c r="A29" s="3428" t="s">
        <v>3737</v>
      </c>
      <c r="B29" s="3437">
        <f>SUM(B30:B31)</f>
        <v>238.33333333333334</v>
      </c>
      <c r="C29" s="3437">
        <f t="shared" ref="C29:D29" si="65">SUM(C30:C31)</f>
        <v>238.33333333333334</v>
      </c>
      <c r="D29" s="3437">
        <f t="shared" si="65"/>
        <v>238.33333333333334</v>
      </c>
      <c r="E29" s="3426">
        <f t="shared" si="7"/>
        <v>715</v>
      </c>
      <c r="F29" s="3437">
        <f>SUM(F30:F31)</f>
        <v>238.33333333333334</v>
      </c>
      <c r="G29" s="3437">
        <f t="shared" ref="G29:H29" si="66">SUM(G30:G31)</f>
        <v>238.33333333333334</v>
      </c>
      <c r="H29" s="3437">
        <f t="shared" si="66"/>
        <v>238.33333333333334</v>
      </c>
      <c r="I29" s="3426">
        <f t="shared" si="9"/>
        <v>715</v>
      </c>
      <c r="J29" s="3426">
        <f t="shared" si="10"/>
        <v>1430</v>
      </c>
      <c r="K29" s="3437">
        <f>SUM(K30:K31)</f>
        <v>238.33333333333334</v>
      </c>
      <c r="L29" s="3437">
        <f t="shared" ref="L29:M29" si="67">SUM(L30:L31)</f>
        <v>238.33333333333334</v>
      </c>
      <c r="M29" s="3437">
        <f t="shared" si="67"/>
        <v>238.33333333333334</v>
      </c>
      <c r="N29" s="3426">
        <f t="shared" si="15"/>
        <v>715</v>
      </c>
      <c r="O29" s="3426">
        <f t="shared" si="12"/>
        <v>2145</v>
      </c>
      <c r="P29" s="3437">
        <f>SUM(P30:P31)</f>
        <v>238.33333333333334</v>
      </c>
      <c r="Q29" s="3437">
        <f t="shared" ref="Q29:R29" si="68">SUM(Q30:Q31)</f>
        <v>238.33333333333334</v>
      </c>
      <c r="R29" s="3437">
        <f t="shared" si="68"/>
        <v>238.33333333333334</v>
      </c>
      <c r="S29" s="3426">
        <f t="shared" si="16"/>
        <v>715</v>
      </c>
      <c r="T29" s="3427">
        <f t="shared" si="14"/>
        <v>2860</v>
      </c>
    </row>
    <row r="30" spans="1:20" ht="19.7" customHeight="1" x14ac:dyDescent="0.25">
      <c r="A30" s="3432" t="s">
        <v>3736</v>
      </c>
      <c r="B30" s="3425">
        <f>SUM('Прил. 1 План ФХД табл 1'!C39/3)</f>
        <v>58.333333333333336</v>
      </c>
      <c r="C30" s="3425">
        <f>SUM(B30)</f>
        <v>58.333333333333336</v>
      </c>
      <c r="D30" s="3425">
        <f>SUM(B30)</f>
        <v>58.333333333333336</v>
      </c>
      <c r="E30" s="3426">
        <f t="shared" si="7"/>
        <v>175</v>
      </c>
      <c r="F30" s="3425">
        <f>SUM(B30)</f>
        <v>58.333333333333336</v>
      </c>
      <c r="G30" s="3425">
        <f>SUM(B30)</f>
        <v>58.333333333333336</v>
      </c>
      <c r="H30" s="3425">
        <f>SUM(B30)</f>
        <v>58.333333333333336</v>
      </c>
      <c r="I30" s="3426">
        <f t="shared" si="9"/>
        <v>175</v>
      </c>
      <c r="J30" s="3426">
        <f t="shared" si="10"/>
        <v>350</v>
      </c>
      <c r="K30" s="3425">
        <f>SUM(B30)</f>
        <v>58.333333333333336</v>
      </c>
      <c r="L30" s="3425">
        <f>SUM(B30)</f>
        <v>58.333333333333336</v>
      </c>
      <c r="M30" s="3425">
        <f>SUM(B30)</f>
        <v>58.333333333333336</v>
      </c>
      <c r="N30" s="3426">
        <f t="shared" si="15"/>
        <v>175</v>
      </c>
      <c r="O30" s="3426">
        <f t="shared" si="12"/>
        <v>525</v>
      </c>
      <c r="P30" s="3425">
        <f>SUM(B30)</f>
        <v>58.333333333333336</v>
      </c>
      <c r="Q30" s="3425">
        <f>SUM(B30)</f>
        <v>58.333333333333336</v>
      </c>
      <c r="R30" s="3425">
        <f>SUM(B30)</f>
        <v>58.333333333333336</v>
      </c>
      <c r="S30" s="3426">
        <f t="shared" si="16"/>
        <v>175</v>
      </c>
      <c r="T30" s="3427">
        <f t="shared" si="14"/>
        <v>700</v>
      </c>
    </row>
    <row r="31" spans="1:20" ht="19.7" customHeight="1" x14ac:dyDescent="0.25">
      <c r="A31" s="3432" t="s">
        <v>3612</v>
      </c>
      <c r="B31" s="3425">
        <f>SUM('Прил. 1 План ФХД табл 1'!C40/3)</f>
        <v>180</v>
      </c>
      <c r="C31" s="3425">
        <f>SUM(B31)</f>
        <v>180</v>
      </c>
      <c r="D31" s="3425">
        <f>SUM(B31)</f>
        <v>180</v>
      </c>
      <c r="E31" s="3426">
        <f t="shared" si="7"/>
        <v>540</v>
      </c>
      <c r="F31" s="3425">
        <f>SUM(B31)</f>
        <v>180</v>
      </c>
      <c r="G31" s="3425">
        <f>SUM(B31)</f>
        <v>180</v>
      </c>
      <c r="H31" s="3425">
        <f>SUM(B31)</f>
        <v>180</v>
      </c>
      <c r="I31" s="3426">
        <f t="shared" si="9"/>
        <v>540</v>
      </c>
      <c r="J31" s="3426">
        <f t="shared" si="10"/>
        <v>1080</v>
      </c>
      <c r="K31" s="3425">
        <f>SUM(B31)</f>
        <v>180</v>
      </c>
      <c r="L31" s="3425">
        <f>SUM(B31)</f>
        <v>180</v>
      </c>
      <c r="M31" s="3425">
        <f>SUM(B31)</f>
        <v>180</v>
      </c>
      <c r="N31" s="3426">
        <f t="shared" si="15"/>
        <v>540</v>
      </c>
      <c r="O31" s="3426">
        <f t="shared" si="12"/>
        <v>1620</v>
      </c>
      <c r="P31" s="3425">
        <f>SUM(B31)</f>
        <v>180</v>
      </c>
      <c r="Q31" s="3425">
        <f>SUM(B31)</f>
        <v>180</v>
      </c>
      <c r="R31" s="3425">
        <f>SUM(B31)</f>
        <v>180</v>
      </c>
      <c r="S31" s="3426">
        <f t="shared" si="16"/>
        <v>540</v>
      </c>
      <c r="T31" s="3427">
        <f t="shared" si="14"/>
        <v>2160</v>
      </c>
    </row>
    <row r="32" spans="1:20" ht="19.7" customHeight="1" x14ac:dyDescent="0.25">
      <c r="A32" s="3419" t="s">
        <v>3707</v>
      </c>
      <c r="B32" s="3434">
        <f>SUM(B33:B37)</f>
        <v>2.4659891940618479</v>
      </c>
      <c r="C32" s="3434">
        <f t="shared" ref="C32:D32" si="69">SUM(C33:C37)</f>
        <v>2.4659891940618479</v>
      </c>
      <c r="D32" s="3434">
        <f t="shared" si="69"/>
        <v>2.4659891940618479</v>
      </c>
      <c r="E32" s="3435">
        <f t="shared" si="7"/>
        <v>7.3979675821855437</v>
      </c>
      <c r="F32" s="3434">
        <f>SUM(F33:F37)</f>
        <v>2.4659891940618479</v>
      </c>
      <c r="G32" s="3434">
        <f t="shared" ref="G32:H32" si="70">SUM(G33:G37)</f>
        <v>2.4659891940618479</v>
      </c>
      <c r="H32" s="3434">
        <f t="shared" si="70"/>
        <v>2.4659891940618479</v>
      </c>
      <c r="I32" s="3435">
        <f t="shared" si="9"/>
        <v>7.3979675821855437</v>
      </c>
      <c r="J32" s="3435">
        <f t="shared" si="10"/>
        <v>14.795935164371087</v>
      </c>
      <c r="K32" s="3434">
        <f>SUM(K33:K37)</f>
        <v>287.53406412310051</v>
      </c>
      <c r="L32" s="3434">
        <f t="shared" ref="L32:M32" si="71">SUM(L33:L37)</f>
        <v>287.53406412310051</v>
      </c>
      <c r="M32" s="3434">
        <f t="shared" si="71"/>
        <v>287.53406412310051</v>
      </c>
      <c r="N32" s="3435">
        <f t="shared" si="15"/>
        <v>862.60219236930152</v>
      </c>
      <c r="O32" s="3435">
        <f t="shared" si="12"/>
        <v>877.39812753367255</v>
      </c>
      <c r="P32" s="3434">
        <f>SUM(P33:P37)</f>
        <v>287.53406412310051</v>
      </c>
      <c r="Q32" s="3434">
        <f t="shared" ref="Q32:R32" si="72">SUM(Q33:Q37)</f>
        <v>287.53406412310051</v>
      </c>
      <c r="R32" s="3434">
        <f t="shared" si="72"/>
        <v>287.53406412310051</v>
      </c>
      <c r="S32" s="3435">
        <f t="shared" si="16"/>
        <v>862.60219236930152</v>
      </c>
      <c r="T32" s="3436">
        <f t="shared" si="14"/>
        <v>1740.0003199029741</v>
      </c>
    </row>
    <row r="33" spans="1:20" ht="19.7" customHeight="1" x14ac:dyDescent="0.25">
      <c r="A33" s="3404" t="s">
        <v>355</v>
      </c>
      <c r="B33" s="3425">
        <f>SUM(B9-B21)</f>
        <v>-163.61237934178462</v>
      </c>
      <c r="C33" s="3425">
        <f t="shared" ref="C33:D33" si="73">SUM(C9-C21)</f>
        <v>-163.61237934178462</v>
      </c>
      <c r="D33" s="3425">
        <f t="shared" si="73"/>
        <v>-163.61237934178462</v>
      </c>
      <c r="E33" s="3426">
        <f t="shared" ref="E33:E39" si="74">SUM(B33:D33)</f>
        <v>-490.83713802535385</v>
      </c>
      <c r="F33" s="3425">
        <f>SUM(F9-F21)</f>
        <v>-163.61237934178462</v>
      </c>
      <c r="G33" s="3425">
        <f t="shared" ref="G33:H33" si="75">SUM(G9-G21)</f>
        <v>-163.61237934178462</v>
      </c>
      <c r="H33" s="3425">
        <f t="shared" si="75"/>
        <v>-163.61237934178462</v>
      </c>
      <c r="I33" s="3426">
        <f t="shared" ref="I33:I39" si="76">SUM(F33:H33)</f>
        <v>-490.83713802535385</v>
      </c>
      <c r="J33" s="3426">
        <f t="shared" si="10"/>
        <v>-981.6742760507077</v>
      </c>
      <c r="K33" s="3425">
        <f>SUM(K9-K21)</f>
        <v>163.61244230952252</v>
      </c>
      <c r="L33" s="3425">
        <f t="shared" ref="L33:M33" si="77">SUM(L9-L21)</f>
        <v>163.61244230952252</v>
      </c>
      <c r="M33" s="3425">
        <f t="shared" si="77"/>
        <v>163.61244230952252</v>
      </c>
      <c r="N33" s="3426">
        <f t="shared" ref="N33:N39" si="78">SUM(K33:M33)</f>
        <v>490.83732692856756</v>
      </c>
      <c r="O33" s="3426">
        <f t="shared" si="12"/>
        <v>-490.83694912214014</v>
      </c>
      <c r="P33" s="3425">
        <f>SUM(P9-P21)</f>
        <v>163.61244230952252</v>
      </c>
      <c r="Q33" s="3425">
        <f t="shared" ref="Q33:R33" si="79">SUM(Q9-Q21)</f>
        <v>163.61244230952252</v>
      </c>
      <c r="R33" s="3425">
        <f t="shared" si="79"/>
        <v>163.61244230952252</v>
      </c>
      <c r="S33" s="3426">
        <f t="shared" ref="S33:S39" si="80">SUM(P33:R33)</f>
        <v>490.83732692856756</v>
      </c>
      <c r="T33" s="3427">
        <f t="shared" si="14"/>
        <v>3.7780642742291093E-4</v>
      </c>
    </row>
    <row r="34" spans="1:20" ht="19.7" customHeight="1" x14ac:dyDescent="0.25">
      <c r="A34" s="3403" t="s">
        <v>3752</v>
      </c>
      <c r="B34" s="3425">
        <f>SUM(B12-B24)</f>
        <v>0</v>
      </c>
      <c r="C34" s="3425">
        <f t="shared" ref="C34:D34" si="81">SUM(C12-C24)</f>
        <v>0</v>
      </c>
      <c r="D34" s="3425">
        <f t="shared" si="81"/>
        <v>0</v>
      </c>
      <c r="E34" s="3426">
        <f t="shared" ref="E34" si="82">SUM(B34:D34)</f>
        <v>0</v>
      </c>
      <c r="F34" s="3425">
        <f>SUM(F12-F24)</f>
        <v>0</v>
      </c>
      <c r="G34" s="3425">
        <f t="shared" ref="G34:H34" si="83">SUM(G12-G24)</f>
        <v>0</v>
      </c>
      <c r="H34" s="3425">
        <f t="shared" si="83"/>
        <v>0</v>
      </c>
      <c r="I34" s="3426">
        <f t="shared" ref="I34" si="84">SUM(F34:H34)</f>
        <v>0</v>
      </c>
      <c r="J34" s="3426">
        <f t="shared" ref="J34" si="85">E34+I34</f>
        <v>0</v>
      </c>
      <c r="K34" s="3425">
        <f>SUM(K12-K24)</f>
        <v>0</v>
      </c>
      <c r="L34" s="3425">
        <f t="shared" ref="L34:M34" si="86">SUM(L12-L24)</f>
        <v>0</v>
      </c>
      <c r="M34" s="3425">
        <f t="shared" si="86"/>
        <v>0</v>
      </c>
      <c r="N34" s="3426">
        <f t="shared" ref="N34" si="87">SUM(K34:M34)</f>
        <v>0</v>
      </c>
      <c r="O34" s="3426">
        <f t="shared" ref="O34" si="88">J34+N34</f>
        <v>0</v>
      </c>
      <c r="P34" s="3425">
        <f>SUM(P12-P24)</f>
        <v>0</v>
      </c>
      <c r="Q34" s="3425">
        <f t="shared" ref="Q34:R34" si="89">SUM(Q12-Q24)</f>
        <v>0</v>
      </c>
      <c r="R34" s="3425">
        <f t="shared" si="89"/>
        <v>0</v>
      </c>
      <c r="S34" s="3426">
        <f t="shared" ref="S34" si="90">SUM(P34:R34)</f>
        <v>0</v>
      </c>
      <c r="T34" s="3427">
        <f t="shared" ref="T34" si="91">O34+S34</f>
        <v>0</v>
      </c>
    </row>
    <row r="35" spans="1:20" ht="19.7" customHeight="1" x14ac:dyDescent="0.25">
      <c r="A35" s="3404" t="s">
        <v>345</v>
      </c>
      <c r="B35" s="3425">
        <f>SUM(B13-B25)</f>
        <v>21.078368535846494</v>
      </c>
      <c r="C35" s="3425">
        <f t="shared" ref="C35:D35" si="92">SUM(C13-C25)</f>
        <v>21.078368535846494</v>
      </c>
      <c r="D35" s="3425">
        <f t="shared" si="92"/>
        <v>21.078368535846494</v>
      </c>
      <c r="E35" s="3426">
        <f t="shared" si="74"/>
        <v>63.235105607539481</v>
      </c>
      <c r="F35" s="3425">
        <f>SUM(F13-F25)</f>
        <v>21.078368535846494</v>
      </c>
      <c r="G35" s="3425">
        <f t="shared" ref="G35:H35" si="93">SUM(G13-G25)</f>
        <v>21.078368535846494</v>
      </c>
      <c r="H35" s="3425">
        <f t="shared" si="93"/>
        <v>21.078368535846494</v>
      </c>
      <c r="I35" s="3426">
        <f t="shared" si="76"/>
        <v>63.235105607539481</v>
      </c>
      <c r="J35" s="3426">
        <f t="shared" si="10"/>
        <v>126.47021121507896</v>
      </c>
      <c r="K35" s="3425">
        <f>SUM(K13-K25)</f>
        <v>-21.078378186422015</v>
      </c>
      <c r="L35" s="3425">
        <f t="shared" ref="L35:M35" si="94">SUM(L13-L25)</f>
        <v>-21.078378186422015</v>
      </c>
      <c r="M35" s="3425">
        <f t="shared" si="94"/>
        <v>-21.078378186422015</v>
      </c>
      <c r="N35" s="3426">
        <f t="shared" si="78"/>
        <v>-63.235134559266044</v>
      </c>
      <c r="O35" s="3426">
        <f t="shared" si="12"/>
        <v>63.235076655812918</v>
      </c>
      <c r="P35" s="3425">
        <f>SUM(P13-P25)</f>
        <v>-21.078378186422015</v>
      </c>
      <c r="Q35" s="3425">
        <f t="shared" ref="Q35:R35" si="95">SUM(Q13-Q25)</f>
        <v>-21.078378186422015</v>
      </c>
      <c r="R35" s="3425">
        <f t="shared" si="95"/>
        <v>-21.078378186422015</v>
      </c>
      <c r="S35" s="3426">
        <f t="shared" si="80"/>
        <v>-63.235134559266044</v>
      </c>
      <c r="T35" s="3427">
        <f t="shared" si="14"/>
        <v>-5.7903453125618398E-5</v>
      </c>
    </row>
    <row r="36" spans="1:20" ht="19.7" customHeight="1" x14ac:dyDescent="0.25">
      <c r="A36" s="3403" t="s">
        <v>3753</v>
      </c>
      <c r="B36" s="3425">
        <f>SUM(B16-B28)</f>
        <v>0</v>
      </c>
      <c r="C36" s="3425">
        <f t="shared" ref="C36:D36" si="96">SUM(C16-C28)</f>
        <v>0</v>
      </c>
      <c r="D36" s="3425">
        <f t="shared" si="96"/>
        <v>0</v>
      </c>
      <c r="E36" s="3426">
        <f t="shared" ref="E36" si="97">SUM(B36:D36)</f>
        <v>0</v>
      </c>
      <c r="F36" s="3425">
        <f>SUM(F16-F28)</f>
        <v>0</v>
      </c>
      <c r="G36" s="3425">
        <f t="shared" ref="G36:H36" si="98">SUM(G16-G28)</f>
        <v>0</v>
      </c>
      <c r="H36" s="3425">
        <f t="shared" si="98"/>
        <v>0</v>
      </c>
      <c r="I36" s="3426">
        <f t="shared" ref="I36" si="99">SUM(F36:H36)</f>
        <v>0</v>
      </c>
      <c r="J36" s="3426">
        <f t="shared" ref="J36" si="100">E36+I36</f>
        <v>0</v>
      </c>
      <c r="K36" s="3425">
        <f>SUM(K16-K28)</f>
        <v>0</v>
      </c>
      <c r="L36" s="3425">
        <f t="shared" ref="L36:M36" si="101">SUM(L16-L28)</f>
        <v>0</v>
      </c>
      <c r="M36" s="3425">
        <f t="shared" si="101"/>
        <v>0</v>
      </c>
      <c r="N36" s="3426">
        <f t="shared" ref="N36" si="102">SUM(K36:M36)</f>
        <v>0</v>
      </c>
      <c r="O36" s="3426">
        <f t="shared" ref="O36" si="103">J36+N36</f>
        <v>0</v>
      </c>
      <c r="P36" s="3425">
        <f>SUM(P16-P28)</f>
        <v>0</v>
      </c>
      <c r="Q36" s="3425">
        <f t="shared" ref="Q36:R36" si="104">SUM(Q16-Q28)</f>
        <v>0</v>
      </c>
      <c r="R36" s="3425">
        <f t="shared" si="104"/>
        <v>0</v>
      </c>
      <c r="S36" s="3426">
        <f t="shared" ref="S36" si="105">SUM(P36:R36)</f>
        <v>0</v>
      </c>
      <c r="T36" s="3427">
        <f t="shared" ref="T36" si="106">O36+S36</f>
        <v>0</v>
      </c>
    </row>
    <row r="37" spans="1:20" ht="19.7" customHeight="1" x14ac:dyDescent="0.25">
      <c r="A37" s="3404" t="s">
        <v>3705</v>
      </c>
      <c r="B37" s="3425">
        <f>SUM(B17-B29)</f>
        <v>144.99999999999997</v>
      </c>
      <c r="C37" s="3425">
        <f t="shared" ref="C37:D37" si="107">SUM(C17-C29)</f>
        <v>144.99999999999997</v>
      </c>
      <c r="D37" s="3425">
        <f t="shared" si="107"/>
        <v>144.99999999999997</v>
      </c>
      <c r="E37" s="3426">
        <f t="shared" si="74"/>
        <v>434.99999999999989</v>
      </c>
      <c r="F37" s="3425">
        <f>SUM(F17-F29)</f>
        <v>144.99999999999997</v>
      </c>
      <c r="G37" s="3425">
        <f t="shared" ref="G37:H37" si="108">SUM(G17-G29)</f>
        <v>144.99999999999997</v>
      </c>
      <c r="H37" s="3425">
        <f t="shared" si="108"/>
        <v>144.99999999999997</v>
      </c>
      <c r="I37" s="3426">
        <f t="shared" si="76"/>
        <v>434.99999999999989</v>
      </c>
      <c r="J37" s="3426">
        <f t="shared" si="10"/>
        <v>869.99999999999977</v>
      </c>
      <c r="K37" s="3425">
        <f>SUM(K17-K29)</f>
        <v>144.99999999999997</v>
      </c>
      <c r="L37" s="3425">
        <f t="shared" ref="L37:M37" si="109">SUM(L17-L29)</f>
        <v>144.99999999999997</v>
      </c>
      <c r="M37" s="3425">
        <f t="shared" si="109"/>
        <v>144.99999999999997</v>
      </c>
      <c r="N37" s="3426">
        <f t="shared" si="78"/>
        <v>434.99999999999989</v>
      </c>
      <c r="O37" s="3426">
        <f t="shared" si="12"/>
        <v>1304.9999999999995</v>
      </c>
      <c r="P37" s="3425">
        <f>SUM(P17-P29)</f>
        <v>144.99999999999997</v>
      </c>
      <c r="Q37" s="3425">
        <f t="shared" ref="Q37:R37" si="110">SUM(Q17-Q29)</f>
        <v>144.99999999999997</v>
      </c>
      <c r="R37" s="3425">
        <f t="shared" si="110"/>
        <v>144.99999999999997</v>
      </c>
      <c r="S37" s="3426">
        <f t="shared" si="80"/>
        <v>434.99999999999989</v>
      </c>
      <c r="T37" s="3427">
        <f t="shared" si="14"/>
        <v>1739.9999999999995</v>
      </c>
    </row>
    <row r="38" spans="1:20" ht="19.7" customHeight="1" x14ac:dyDescent="0.25">
      <c r="A38" s="3419" t="s">
        <v>3739</v>
      </c>
      <c r="B38" s="3434">
        <f>SUM('Прил. 1 План ФХД табл 1'!C45/3)</f>
        <v>155</v>
      </c>
      <c r="C38" s="3434">
        <f>SUM(B38)</f>
        <v>155</v>
      </c>
      <c r="D38" s="3434">
        <f>SUM(B38)</f>
        <v>155</v>
      </c>
      <c r="E38" s="3435">
        <f t="shared" si="74"/>
        <v>465</v>
      </c>
      <c r="F38" s="3434">
        <f>SUM(B38)</f>
        <v>155</v>
      </c>
      <c r="G38" s="3434">
        <f>SUM(B38)</f>
        <v>155</v>
      </c>
      <c r="H38" s="3434">
        <f>SUM(B38)</f>
        <v>155</v>
      </c>
      <c r="I38" s="3435">
        <f t="shared" si="76"/>
        <v>465</v>
      </c>
      <c r="J38" s="3435">
        <f t="shared" si="10"/>
        <v>930</v>
      </c>
      <c r="K38" s="3434">
        <f>SUM('Прил. 1 План ФХД табл 1'!F45/3)</f>
        <v>155</v>
      </c>
      <c r="L38" s="3434">
        <f>SUM(K38)</f>
        <v>155</v>
      </c>
      <c r="M38" s="3434">
        <f>SUM(K38)</f>
        <v>155</v>
      </c>
      <c r="N38" s="3435">
        <f t="shared" si="78"/>
        <v>465</v>
      </c>
      <c r="O38" s="3435">
        <f t="shared" si="12"/>
        <v>1395</v>
      </c>
      <c r="P38" s="3434">
        <f>SUM(K38)</f>
        <v>155</v>
      </c>
      <c r="Q38" s="3434">
        <f>SUM(K38)</f>
        <v>155</v>
      </c>
      <c r="R38" s="3434">
        <f>SUM(K38)</f>
        <v>155</v>
      </c>
      <c r="S38" s="3435">
        <f t="shared" si="80"/>
        <v>465</v>
      </c>
      <c r="T38" s="3436">
        <f t="shared" si="14"/>
        <v>1860</v>
      </c>
    </row>
    <row r="39" spans="1:20" ht="19.7" customHeight="1" x14ac:dyDescent="0.25">
      <c r="A39" s="3419" t="s">
        <v>3708</v>
      </c>
      <c r="B39" s="3434">
        <f>SUM(B40:B42)</f>
        <v>300</v>
      </c>
      <c r="C39" s="3434">
        <f t="shared" ref="C39:D39" si="111">SUM(C40:C42)</f>
        <v>300</v>
      </c>
      <c r="D39" s="3434">
        <f t="shared" si="111"/>
        <v>300</v>
      </c>
      <c r="E39" s="3435">
        <f t="shared" si="74"/>
        <v>900</v>
      </c>
      <c r="F39" s="3434">
        <f>SUM(F40:F42)</f>
        <v>300</v>
      </c>
      <c r="G39" s="3434">
        <f t="shared" ref="G39:H39" si="112">SUM(G40:G42)</f>
        <v>300</v>
      </c>
      <c r="H39" s="3434">
        <f t="shared" si="112"/>
        <v>300</v>
      </c>
      <c r="I39" s="3435">
        <f t="shared" si="76"/>
        <v>900</v>
      </c>
      <c r="J39" s="3435">
        <f t="shared" si="10"/>
        <v>1800</v>
      </c>
      <c r="K39" s="3434">
        <f>SUM(K40:K42)</f>
        <v>300</v>
      </c>
      <c r="L39" s="3434">
        <f t="shared" ref="L39:M39" si="113">SUM(L40:L42)</f>
        <v>300</v>
      </c>
      <c r="M39" s="3434">
        <f t="shared" si="113"/>
        <v>300</v>
      </c>
      <c r="N39" s="3435">
        <f t="shared" si="78"/>
        <v>900</v>
      </c>
      <c r="O39" s="3435">
        <f t="shared" si="12"/>
        <v>2700</v>
      </c>
      <c r="P39" s="3434">
        <f>SUM(P40:P42)</f>
        <v>300</v>
      </c>
      <c r="Q39" s="3434">
        <f t="shared" ref="Q39:R39" si="114">SUM(Q40:Q42)</f>
        <v>300</v>
      </c>
      <c r="R39" s="3434">
        <f t="shared" si="114"/>
        <v>300</v>
      </c>
      <c r="S39" s="3435">
        <f t="shared" si="80"/>
        <v>900</v>
      </c>
      <c r="T39" s="3436">
        <f t="shared" si="14"/>
        <v>3600</v>
      </c>
    </row>
    <row r="40" spans="1:20" ht="19.7" customHeight="1" x14ac:dyDescent="0.25">
      <c r="A40" s="3404" t="s">
        <v>3738</v>
      </c>
      <c r="B40" s="3425">
        <f>SUM('Прил. 1 План ФХД табл 1'!C47/3)</f>
        <v>187.5</v>
      </c>
      <c r="C40" s="3425">
        <f t="shared" ref="C40:C42" si="115">SUM(B40)</f>
        <v>187.5</v>
      </c>
      <c r="D40" s="3425">
        <f t="shared" ref="D40:D42" si="116">SUM(B40)</f>
        <v>187.5</v>
      </c>
      <c r="E40" s="3438">
        <f t="shared" ref="E40:E42" si="117">SUM(B40:D40)</f>
        <v>562.5</v>
      </c>
      <c r="F40" s="3425">
        <f t="shared" ref="F40:F42" si="118">SUM(B40)</f>
        <v>187.5</v>
      </c>
      <c r="G40" s="3425">
        <f t="shared" ref="G40:G42" si="119">SUM(B40)</f>
        <v>187.5</v>
      </c>
      <c r="H40" s="3425">
        <f t="shared" ref="H40:H42" si="120">SUM(B40)</f>
        <v>187.5</v>
      </c>
      <c r="I40" s="3438">
        <f t="shared" ref="I40:I42" si="121">SUM(F40:H40)</f>
        <v>562.5</v>
      </c>
      <c r="J40" s="3438">
        <f t="shared" si="10"/>
        <v>1125</v>
      </c>
      <c r="K40" s="3425">
        <f>SUM('Прил. 1 План ФХД табл 1'!F47/3)</f>
        <v>187.5</v>
      </c>
      <c r="L40" s="3425">
        <f t="shared" ref="L40:L42" si="122">SUM(K40)</f>
        <v>187.5</v>
      </c>
      <c r="M40" s="3425">
        <f t="shared" ref="M40:M42" si="123">SUM(K40)</f>
        <v>187.5</v>
      </c>
      <c r="N40" s="3438">
        <f t="shared" ref="N40:N42" si="124">SUM(K40:M40)</f>
        <v>562.5</v>
      </c>
      <c r="O40" s="3438">
        <f t="shared" si="12"/>
        <v>1687.5</v>
      </c>
      <c r="P40" s="3425">
        <f t="shared" ref="P40:P42" si="125">SUM(K40)</f>
        <v>187.5</v>
      </c>
      <c r="Q40" s="3425">
        <f t="shared" ref="Q40:Q42" si="126">SUM(K40)</f>
        <v>187.5</v>
      </c>
      <c r="R40" s="3425">
        <f t="shared" ref="R40:R42" si="127">SUM(K40)</f>
        <v>187.5</v>
      </c>
      <c r="S40" s="3438">
        <f t="shared" ref="S40:S42" si="128">SUM(P40:R40)</f>
        <v>562.5</v>
      </c>
      <c r="T40" s="3439">
        <f t="shared" si="14"/>
        <v>2250</v>
      </c>
    </row>
    <row r="41" spans="1:20" ht="19.7" customHeight="1" x14ac:dyDescent="0.25">
      <c r="A41" s="3404" t="s">
        <v>3709</v>
      </c>
      <c r="B41" s="3425">
        <f>SUM('Прил. 1 План ФХД табл 1'!C48/3)</f>
        <v>95.833333333333329</v>
      </c>
      <c r="C41" s="3425">
        <f t="shared" si="115"/>
        <v>95.833333333333329</v>
      </c>
      <c r="D41" s="3425">
        <f t="shared" si="116"/>
        <v>95.833333333333329</v>
      </c>
      <c r="E41" s="3438">
        <f t="shared" si="117"/>
        <v>287.5</v>
      </c>
      <c r="F41" s="3425">
        <f t="shared" si="118"/>
        <v>95.833333333333329</v>
      </c>
      <c r="G41" s="3425">
        <f t="shared" si="119"/>
        <v>95.833333333333329</v>
      </c>
      <c r="H41" s="3425">
        <f t="shared" si="120"/>
        <v>95.833333333333329</v>
      </c>
      <c r="I41" s="3438">
        <f t="shared" si="121"/>
        <v>287.5</v>
      </c>
      <c r="J41" s="3438">
        <f t="shared" si="10"/>
        <v>575</v>
      </c>
      <c r="K41" s="3425">
        <f>SUM('Прил. 1 План ФХД табл 1'!F48/3)</f>
        <v>95.833333333333329</v>
      </c>
      <c r="L41" s="3425">
        <f t="shared" si="122"/>
        <v>95.833333333333329</v>
      </c>
      <c r="M41" s="3425">
        <f t="shared" si="123"/>
        <v>95.833333333333329</v>
      </c>
      <c r="N41" s="3438">
        <f t="shared" si="124"/>
        <v>287.5</v>
      </c>
      <c r="O41" s="3438">
        <f t="shared" si="12"/>
        <v>862.5</v>
      </c>
      <c r="P41" s="3425">
        <f t="shared" si="125"/>
        <v>95.833333333333329</v>
      </c>
      <c r="Q41" s="3425">
        <f t="shared" si="126"/>
        <v>95.833333333333329</v>
      </c>
      <c r="R41" s="3425">
        <f t="shared" si="127"/>
        <v>95.833333333333329</v>
      </c>
      <c r="S41" s="3438">
        <f t="shared" si="128"/>
        <v>287.5</v>
      </c>
      <c r="T41" s="3439">
        <f t="shared" si="14"/>
        <v>1150</v>
      </c>
    </row>
    <row r="42" spans="1:20" ht="19.7" customHeight="1" x14ac:dyDescent="0.25">
      <c r="A42" s="3404" t="s">
        <v>3710</v>
      </c>
      <c r="B42" s="3425">
        <f>SUM('Прил. 1 План ФХД табл 1'!C49/3)</f>
        <v>16.666666666666668</v>
      </c>
      <c r="C42" s="3425">
        <f t="shared" si="115"/>
        <v>16.666666666666668</v>
      </c>
      <c r="D42" s="3425">
        <f t="shared" si="116"/>
        <v>16.666666666666668</v>
      </c>
      <c r="E42" s="3438">
        <f t="shared" si="117"/>
        <v>50</v>
      </c>
      <c r="F42" s="3425">
        <f t="shared" si="118"/>
        <v>16.666666666666668</v>
      </c>
      <c r="G42" s="3425">
        <f t="shared" si="119"/>
        <v>16.666666666666668</v>
      </c>
      <c r="H42" s="3425">
        <f t="shared" si="120"/>
        <v>16.666666666666668</v>
      </c>
      <c r="I42" s="3438">
        <f t="shared" si="121"/>
        <v>50</v>
      </c>
      <c r="J42" s="3438">
        <f t="shared" si="10"/>
        <v>100</v>
      </c>
      <c r="K42" s="3425">
        <f>SUM('Прил. 1 План ФХД табл 1'!F49/3)</f>
        <v>16.666666666666668</v>
      </c>
      <c r="L42" s="3425">
        <f t="shared" si="122"/>
        <v>16.666666666666668</v>
      </c>
      <c r="M42" s="3425">
        <f t="shared" si="123"/>
        <v>16.666666666666668</v>
      </c>
      <c r="N42" s="3438">
        <f t="shared" si="124"/>
        <v>50</v>
      </c>
      <c r="O42" s="3438">
        <f t="shared" si="12"/>
        <v>150</v>
      </c>
      <c r="P42" s="3425">
        <f t="shared" si="125"/>
        <v>16.666666666666668</v>
      </c>
      <c r="Q42" s="3425">
        <f t="shared" si="126"/>
        <v>16.666666666666668</v>
      </c>
      <c r="R42" s="3425">
        <f t="shared" si="127"/>
        <v>16.666666666666668</v>
      </c>
      <c r="S42" s="3438">
        <f t="shared" si="128"/>
        <v>50</v>
      </c>
      <c r="T42" s="3439">
        <f t="shared" si="14"/>
        <v>200</v>
      </c>
    </row>
    <row r="43" spans="1:20" ht="19.7" customHeight="1" x14ac:dyDescent="0.25">
      <c r="A43" s="3419" t="s">
        <v>3711</v>
      </c>
      <c r="B43" s="3434">
        <f>SUM(B32+B38-B39)</f>
        <v>-142.53401080593815</v>
      </c>
      <c r="C43" s="3434">
        <f t="shared" ref="C43:D43" si="129">SUM(C32+C38-C39)</f>
        <v>-142.53401080593815</v>
      </c>
      <c r="D43" s="3434">
        <f t="shared" si="129"/>
        <v>-142.53401080593815</v>
      </c>
      <c r="E43" s="3435">
        <f t="shared" ref="E43" si="130">SUM(B43:D43)</f>
        <v>-427.60203241781448</v>
      </c>
      <c r="F43" s="3434">
        <f>SUM(F32+F38-F39)</f>
        <v>-142.53401080593815</v>
      </c>
      <c r="G43" s="3434">
        <f t="shared" ref="G43:H43" si="131">SUM(G32+G38-G39)</f>
        <v>-142.53401080593815</v>
      </c>
      <c r="H43" s="3434">
        <f t="shared" si="131"/>
        <v>-142.53401080593815</v>
      </c>
      <c r="I43" s="3435">
        <f t="shared" ref="I43" si="132">SUM(F43:H43)</f>
        <v>-427.60203241781448</v>
      </c>
      <c r="J43" s="3435">
        <f t="shared" si="10"/>
        <v>-855.20406483562897</v>
      </c>
      <c r="K43" s="3434">
        <f>SUM(K32+K38-K39)</f>
        <v>142.53406412310051</v>
      </c>
      <c r="L43" s="3434">
        <f t="shared" ref="L43:M43" si="133">SUM(L32+L38-L39)</f>
        <v>142.53406412310051</v>
      </c>
      <c r="M43" s="3434">
        <f t="shared" si="133"/>
        <v>142.53406412310051</v>
      </c>
      <c r="N43" s="3435">
        <f t="shared" ref="N43" si="134">SUM(K43:M43)</f>
        <v>427.60219236930152</v>
      </c>
      <c r="O43" s="3435">
        <f t="shared" si="12"/>
        <v>-427.60187246632745</v>
      </c>
      <c r="P43" s="3434">
        <f>SUM(P32+P38-P39)</f>
        <v>142.53406412310051</v>
      </c>
      <c r="Q43" s="3434">
        <f t="shared" ref="Q43:R43" si="135">SUM(Q32+Q38-Q39)</f>
        <v>142.53406412310051</v>
      </c>
      <c r="R43" s="3434">
        <f t="shared" si="135"/>
        <v>142.53406412310051</v>
      </c>
      <c r="S43" s="3435">
        <f t="shared" ref="S43" si="136">SUM(P43:R43)</f>
        <v>427.60219236930152</v>
      </c>
      <c r="T43" s="3436">
        <f t="shared" si="14"/>
        <v>3.1990297406991886E-4</v>
      </c>
    </row>
    <row r="44" spans="1:20" ht="19.7" customHeight="1" x14ac:dyDescent="0.25">
      <c r="A44" s="3419" t="s">
        <v>3712</v>
      </c>
      <c r="B44" s="3413">
        <f>SUM(B43-(B43*20%))</f>
        <v>-114.02720864475052</v>
      </c>
      <c r="C44" s="3413">
        <f t="shared" ref="C44:D44" si="137">SUM(C43-(C43*20%))</f>
        <v>-114.02720864475052</v>
      </c>
      <c r="D44" s="3413">
        <f t="shared" si="137"/>
        <v>-114.02720864475052</v>
      </c>
      <c r="E44" s="3435">
        <f t="shared" ref="E44:E46" si="138">SUM(B44:D44)</f>
        <v>-342.08162593425152</v>
      </c>
      <c r="F44" s="3413">
        <f>SUM(F43-(F43*20%))</f>
        <v>-114.02720864475052</v>
      </c>
      <c r="G44" s="3413">
        <f t="shared" ref="G44:H44" si="139">SUM(G43-(G43*20%))</f>
        <v>-114.02720864475052</v>
      </c>
      <c r="H44" s="3413">
        <f t="shared" si="139"/>
        <v>-114.02720864475052</v>
      </c>
      <c r="I44" s="3435">
        <f t="shared" ref="I44:I46" si="140">SUM(F44:H44)</f>
        <v>-342.08162593425152</v>
      </c>
      <c r="J44" s="3435">
        <f t="shared" si="10"/>
        <v>-684.16325186850304</v>
      </c>
      <c r="K44" s="3413">
        <f>SUM(K43-(K43*20%))</f>
        <v>114.02725129848041</v>
      </c>
      <c r="L44" s="3413">
        <f t="shared" ref="L44:M44" si="141">SUM(L43-(L43*20%))</f>
        <v>114.02725129848041</v>
      </c>
      <c r="M44" s="3413">
        <f t="shared" si="141"/>
        <v>114.02725129848041</v>
      </c>
      <c r="N44" s="3435">
        <f t="shared" ref="N44:N46" si="142">SUM(K44:M44)</f>
        <v>342.08175389544124</v>
      </c>
      <c r="O44" s="3435">
        <f t="shared" si="12"/>
        <v>-342.0814979730618</v>
      </c>
      <c r="P44" s="3413">
        <f>SUM(P43-(P43*20%))</f>
        <v>114.02725129848041</v>
      </c>
      <c r="Q44" s="3413">
        <f t="shared" ref="Q44:R44" si="143">SUM(Q43-(Q43*20%))</f>
        <v>114.02725129848041</v>
      </c>
      <c r="R44" s="3413">
        <f t="shared" si="143"/>
        <v>114.02725129848041</v>
      </c>
      <c r="S44" s="3435">
        <f t="shared" ref="S44:S46" si="144">SUM(P44:R44)</f>
        <v>342.08175389544124</v>
      </c>
      <c r="T44" s="3436">
        <f t="shared" si="14"/>
        <v>2.5592237943783402E-4</v>
      </c>
    </row>
    <row r="45" spans="1:20" ht="19.7" customHeight="1" x14ac:dyDescent="0.25">
      <c r="A45" s="3402" t="s">
        <v>3713</v>
      </c>
      <c r="B45" s="3409">
        <f t="shared" ref="B45:D45" si="145">B44/B20*100</f>
        <v>-0.57975937815579048</v>
      </c>
      <c r="C45" s="3409">
        <f t="shared" si="145"/>
        <v>-0.57975937815579048</v>
      </c>
      <c r="D45" s="3409">
        <f t="shared" si="145"/>
        <v>-0.57975937815579048</v>
      </c>
      <c r="E45" s="3435">
        <f t="shared" si="138"/>
        <v>-1.7392781344673716</v>
      </c>
      <c r="F45" s="3409">
        <f t="shared" ref="F45:H45" si="146">F44/F20*100</f>
        <v>-0.57975937815579048</v>
      </c>
      <c r="G45" s="3409">
        <f t="shared" si="146"/>
        <v>-0.57975937815579048</v>
      </c>
      <c r="H45" s="3409">
        <f t="shared" si="146"/>
        <v>-0.57975937815579048</v>
      </c>
      <c r="I45" s="3435">
        <f t="shared" si="140"/>
        <v>-1.7392781344673716</v>
      </c>
      <c r="J45" s="3435">
        <f t="shared" si="10"/>
        <v>-3.4785562689347431</v>
      </c>
      <c r="K45" s="3409">
        <f t="shared" ref="K45:M45" si="147">K44/K20*100</f>
        <v>0.57682595456420727</v>
      </c>
      <c r="L45" s="3409">
        <f t="shared" si="147"/>
        <v>0.57682595456420727</v>
      </c>
      <c r="M45" s="3409">
        <f t="shared" si="147"/>
        <v>0.57682595456420727</v>
      </c>
      <c r="N45" s="3435">
        <f t="shared" si="142"/>
        <v>1.7304778636926219</v>
      </c>
      <c r="O45" s="3435">
        <f t="shared" si="12"/>
        <v>-1.7480784052421212</v>
      </c>
      <c r="P45" s="3409">
        <f t="shared" ref="P45:R45" si="148">P44/P20*100</f>
        <v>0.57682595456420727</v>
      </c>
      <c r="Q45" s="3409">
        <f t="shared" si="148"/>
        <v>0.57682595456420727</v>
      </c>
      <c r="R45" s="3409">
        <f t="shared" si="148"/>
        <v>0.57682595456420727</v>
      </c>
      <c r="S45" s="3435">
        <f t="shared" si="144"/>
        <v>1.7304778636926219</v>
      </c>
      <c r="T45" s="3436">
        <f t="shared" si="14"/>
        <v>-1.7600541549499304E-2</v>
      </c>
    </row>
    <row r="46" spans="1:20" ht="19.7" customHeight="1" thickBot="1" x14ac:dyDescent="0.3">
      <c r="A46" s="3329" t="s">
        <v>3714</v>
      </c>
      <c r="B46" s="3423">
        <f>SUM(B44)</f>
        <v>-114.02720864475052</v>
      </c>
      <c r="C46" s="3423">
        <f t="shared" ref="C46:D46" si="149">SUM(C44)</f>
        <v>-114.02720864475052</v>
      </c>
      <c r="D46" s="3423">
        <f t="shared" si="149"/>
        <v>-114.02720864475052</v>
      </c>
      <c r="E46" s="3440">
        <f t="shared" si="138"/>
        <v>-342.08162593425152</v>
      </c>
      <c r="F46" s="3423">
        <f>SUM(F44)</f>
        <v>-114.02720864475052</v>
      </c>
      <c r="G46" s="3423">
        <f t="shared" ref="G46:H46" si="150">SUM(G44)</f>
        <v>-114.02720864475052</v>
      </c>
      <c r="H46" s="3423">
        <f t="shared" si="150"/>
        <v>-114.02720864475052</v>
      </c>
      <c r="I46" s="3440">
        <f t="shared" si="140"/>
        <v>-342.08162593425152</v>
      </c>
      <c r="J46" s="3440">
        <f t="shared" si="10"/>
        <v>-684.16325186850304</v>
      </c>
      <c r="K46" s="3423">
        <f>SUM(K44)</f>
        <v>114.02725129848041</v>
      </c>
      <c r="L46" s="3423">
        <f t="shared" ref="L46:M46" si="151">SUM(L44)</f>
        <v>114.02725129848041</v>
      </c>
      <c r="M46" s="3423">
        <f t="shared" si="151"/>
        <v>114.02725129848041</v>
      </c>
      <c r="N46" s="3440">
        <f t="shared" si="142"/>
        <v>342.08175389544124</v>
      </c>
      <c r="O46" s="3440">
        <f t="shared" si="12"/>
        <v>-342.0814979730618</v>
      </c>
      <c r="P46" s="3423">
        <f>SUM(P44)</f>
        <v>114.02725129848041</v>
      </c>
      <c r="Q46" s="3423">
        <f t="shared" ref="Q46:R46" si="152">SUM(Q44)</f>
        <v>114.02725129848041</v>
      </c>
      <c r="R46" s="3423">
        <f t="shared" si="152"/>
        <v>114.02725129848041</v>
      </c>
      <c r="S46" s="3440">
        <f t="shared" si="144"/>
        <v>342.08175389544124</v>
      </c>
      <c r="T46" s="3344">
        <f t="shared" si="14"/>
        <v>2.5592237943783402E-4</v>
      </c>
    </row>
    <row r="47" spans="1:20" x14ac:dyDescent="0.25">
      <c r="A47" s="3441"/>
      <c r="B47" s="3442"/>
      <c r="C47" s="3442"/>
      <c r="D47" s="3442"/>
      <c r="E47" s="3442"/>
      <c r="F47" s="3442"/>
      <c r="G47" s="3442"/>
      <c r="H47" s="3442"/>
      <c r="I47" s="3442"/>
      <c r="J47" s="3442"/>
      <c r="K47" s="3442"/>
      <c r="L47" s="3442"/>
      <c r="M47" s="3442"/>
      <c r="N47" s="3442"/>
      <c r="O47" s="3442"/>
      <c r="P47" s="3442"/>
      <c r="Q47" s="3442"/>
      <c r="R47" s="3442"/>
      <c r="S47" s="3442"/>
      <c r="T47" s="3442"/>
    </row>
    <row r="48" spans="1:20" x14ac:dyDescent="0.25">
      <c r="A48" s="3441"/>
      <c r="B48" s="3442"/>
      <c r="C48" s="3442"/>
      <c r="D48" s="3442"/>
      <c r="E48" s="3442"/>
      <c r="F48" s="3442"/>
      <c r="G48" s="3442"/>
      <c r="H48" s="3442"/>
      <c r="I48" s="3442"/>
      <c r="J48" s="3442"/>
      <c r="K48" s="3442"/>
      <c r="L48" s="3442"/>
      <c r="M48" s="3442"/>
      <c r="N48" s="3442"/>
      <c r="O48" s="3442"/>
      <c r="P48" s="3442"/>
      <c r="Q48" s="3442"/>
      <c r="R48" s="3442"/>
      <c r="S48" s="3442"/>
      <c r="T48" s="3442"/>
    </row>
    <row r="49" spans="1:20" x14ac:dyDescent="0.25">
      <c r="A49" s="3575" t="s">
        <v>3720</v>
      </c>
      <c r="B49" s="3576"/>
      <c r="C49" s="3576"/>
      <c r="D49" s="3576"/>
      <c r="E49" s="3576"/>
      <c r="F49" s="3576"/>
      <c r="G49" s="3576"/>
      <c r="H49" s="3576"/>
      <c r="I49" s="3576"/>
      <c r="J49" s="3576"/>
      <c r="K49" s="3576"/>
      <c r="L49" s="3576"/>
      <c r="M49" s="3576"/>
      <c r="N49" s="3576"/>
      <c r="O49" s="3576"/>
      <c r="P49" s="3576"/>
      <c r="Q49" s="3576"/>
      <c r="R49" s="3576"/>
      <c r="S49" s="3576"/>
      <c r="T49" s="3576"/>
    </row>
    <row r="50" spans="1:20" x14ac:dyDescent="0.25">
      <c r="B50" s="3475"/>
      <c r="C50" s="3475"/>
      <c r="D50" s="3475"/>
      <c r="E50" s="3475"/>
      <c r="F50" s="3475"/>
      <c r="G50" s="3475"/>
      <c r="H50" s="3475"/>
      <c r="I50" s="3475"/>
      <c r="J50" s="3475"/>
      <c r="K50" s="3475"/>
      <c r="L50" s="3475"/>
      <c r="M50" s="3475"/>
      <c r="N50" s="3475"/>
      <c r="O50" s="3475"/>
      <c r="P50" s="3475"/>
      <c r="Q50" s="3475"/>
      <c r="R50" s="3475"/>
      <c r="S50" s="3475"/>
      <c r="T50" s="3475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D49"/>
  <sheetViews>
    <sheetView topLeftCell="I33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33.85546875" style="1313" customWidth="1"/>
    <col min="3" max="3" width="10.5703125" style="1306" customWidth="1"/>
    <col min="4" max="5" width="12.7109375" style="1306" hidden="1" customWidth="1"/>
    <col min="6" max="6" width="12.140625" style="1306" customWidth="1"/>
    <col min="7" max="7" width="11.42578125" style="1306" customWidth="1"/>
    <col min="8" max="8" width="9.7109375" style="1306" customWidth="1"/>
    <col min="9" max="9" width="11" style="1306" customWidth="1"/>
    <col min="10" max="10" width="16.85546875" style="1306" hidden="1" customWidth="1"/>
    <col min="11" max="11" width="9.5703125" style="1306" customWidth="1"/>
    <col min="12" max="12" width="11.140625" style="1306" customWidth="1"/>
    <col min="13" max="13" width="10.140625" style="1306" customWidth="1"/>
    <col min="14" max="14" width="11.140625" style="1306" customWidth="1"/>
    <col min="15" max="15" width="14.28515625" style="1306" hidden="1" customWidth="1"/>
    <col min="16" max="16" width="10.5703125" style="1306" customWidth="1"/>
    <col min="17" max="17" width="12.42578125" style="1306" customWidth="1"/>
    <col min="18" max="18" width="11.5703125" style="1306" customWidth="1"/>
    <col min="19" max="19" width="11.42578125" style="1306" customWidth="1"/>
    <col min="20" max="20" width="10.7109375" style="1306" customWidth="1"/>
    <col min="21" max="21" width="10.85546875" style="1306" customWidth="1"/>
    <col min="22" max="22" width="13.42578125" style="1306" hidden="1" customWidth="1"/>
    <col min="23" max="24" width="10.85546875" style="1306" customWidth="1"/>
    <col min="25" max="25" width="10.5703125" style="1306" customWidth="1"/>
    <col min="26" max="26" width="11.28515625" style="1306" customWidth="1"/>
    <col min="27" max="27" width="10.140625" style="1306" customWidth="1"/>
    <col min="28" max="28" width="10.42578125" style="1306" customWidth="1"/>
    <col min="29" max="29" width="11.28515625" style="1306" customWidth="1"/>
    <col min="30" max="30" width="31.28515625" style="1306" customWidth="1"/>
    <col min="31" max="31" width="9.7109375" style="1306" customWidth="1"/>
    <col min="32" max="32" width="9.28515625" style="1306" customWidth="1"/>
    <col min="33" max="33" width="9.42578125" style="1306" customWidth="1"/>
    <col min="34" max="34" width="10.5703125" style="1306" customWidth="1"/>
    <col min="35" max="35" width="12.42578125" style="1306" customWidth="1"/>
    <col min="36" max="36" width="14.5703125" style="1306" customWidth="1"/>
    <col min="37" max="37" width="12.28515625" style="1306" customWidth="1"/>
    <col min="38" max="38" width="25.85546875" style="1306" customWidth="1"/>
    <col min="39" max="270" width="0.85546875" style="1306"/>
    <col min="271" max="271" width="9.85546875" style="1306" customWidth="1"/>
    <col min="272" max="272" width="81.85546875" style="1306" customWidth="1"/>
    <col min="273" max="273" width="12.7109375" style="1306" customWidth="1"/>
    <col min="274" max="274" width="12.42578125" style="1306" customWidth="1"/>
    <col min="275" max="275" width="14.5703125" style="1306" customWidth="1"/>
    <col min="276" max="276" width="12.28515625" style="1306" customWidth="1"/>
    <col min="277" max="277" width="38.140625" style="1306" customWidth="1"/>
    <col min="278" max="278" width="46.85546875" style="1306" customWidth="1"/>
    <col min="279" max="281" width="12.7109375" style="1306" customWidth="1"/>
    <col min="282" max="282" width="9.28515625" style="1306" customWidth="1"/>
    <col min="283" max="283" width="13.5703125" style="1306" customWidth="1"/>
    <col min="284" max="284" width="10.28515625" style="1306" customWidth="1"/>
    <col min="285" max="285" width="12.85546875" style="1306" customWidth="1"/>
    <col min="286" max="286" width="9.140625" style="1306" customWidth="1"/>
    <col min="287" max="287" width="9.7109375" style="1306" customWidth="1"/>
    <col min="288" max="288" width="9.28515625" style="1306" customWidth="1"/>
    <col min="289" max="289" width="9.42578125" style="1306" customWidth="1"/>
    <col min="290" max="290" width="10.5703125" style="1306" customWidth="1"/>
    <col min="291" max="291" width="12.42578125" style="1306" customWidth="1"/>
    <col min="292" max="292" width="14.5703125" style="1306" customWidth="1"/>
    <col min="293" max="293" width="12.28515625" style="1306" customWidth="1"/>
    <col min="294" max="294" width="25.85546875" style="1306" customWidth="1"/>
    <col min="295" max="526" width="0.85546875" style="1306"/>
    <col min="527" max="527" width="9.85546875" style="1306" customWidth="1"/>
    <col min="528" max="528" width="81.85546875" style="1306" customWidth="1"/>
    <col min="529" max="529" width="12.7109375" style="1306" customWidth="1"/>
    <col min="530" max="530" width="12.42578125" style="1306" customWidth="1"/>
    <col min="531" max="531" width="14.5703125" style="1306" customWidth="1"/>
    <col min="532" max="532" width="12.28515625" style="1306" customWidth="1"/>
    <col min="533" max="533" width="38.140625" style="1306" customWidth="1"/>
    <col min="534" max="534" width="46.85546875" style="1306" customWidth="1"/>
    <col min="535" max="537" width="12.7109375" style="1306" customWidth="1"/>
    <col min="538" max="538" width="9.28515625" style="1306" customWidth="1"/>
    <col min="539" max="539" width="13.5703125" style="1306" customWidth="1"/>
    <col min="540" max="540" width="10.28515625" style="1306" customWidth="1"/>
    <col min="541" max="541" width="12.85546875" style="1306" customWidth="1"/>
    <col min="542" max="542" width="9.140625" style="1306" customWidth="1"/>
    <col min="543" max="543" width="9.7109375" style="1306" customWidth="1"/>
    <col min="544" max="544" width="9.28515625" style="1306" customWidth="1"/>
    <col min="545" max="545" width="9.42578125" style="1306" customWidth="1"/>
    <col min="546" max="546" width="10.5703125" style="1306" customWidth="1"/>
    <col min="547" max="547" width="12.42578125" style="1306" customWidth="1"/>
    <col min="548" max="548" width="14.5703125" style="1306" customWidth="1"/>
    <col min="549" max="549" width="12.28515625" style="1306" customWidth="1"/>
    <col min="550" max="550" width="25.85546875" style="1306" customWidth="1"/>
    <col min="551" max="782" width="0.85546875" style="1306"/>
    <col min="783" max="783" width="9.85546875" style="1306" customWidth="1"/>
    <col min="784" max="784" width="81.85546875" style="1306" customWidth="1"/>
    <col min="785" max="785" width="12.7109375" style="1306" customWidth="1"/>
    <col min="786" max="786" width="12.42578125" style="1306" customWidth="1"/>
    <col min="787" max="787" width="14.5703125" style="1306" customWidth="1"/>
    <col min="788" max="788" width="12.28515625" style="1306" customWidth="1"/>
    <col min="789" max="789" width="38.140625" style="1306" customWidth="1"/>
    <col min="790" max="790" width="46.85546875" style="1306" customWidth="1"/>
    <col min="791" max="793" width="12.7109375" style="1306" customWidth="1"/>
    <col min="794" max="794" width="9.28515625" style="1306" customWidth="1"/>
    <col min="795" max="795" width="13.5703125" style="1306" customWidth="1"/>
    <col min="796" max="796" width="10.28515625" style="1306" customWidth="1"/>
    <col min="797" max="797" width="12.85546875" style="1306" customWidth="1"/>
    <col min="798" max="798" width="9.140625" style="1306" customWidth="1"/>
    <col min="799" max="799" width="9.7109375" style="1306" customWidth="1"/>
    <col min="800" max="800" width="9.28515625" style="1306" customWidth="1"/>
    <col min="801" max="801" width="9.42578125" style="1306" customWidth="1"/>
    <col min="802" max="802" width="10.5703125" style="1306" customWidth="1"/>
    <col min="803" max="803" width="12.42578125" style="1306" customWidth="1"/>
    <col min="804" max="804" width="14.5703125" style="1306" customWidth="1"/>
    <col min="805" max="805" width="12.28515625" style="1306" customWidth="1"/>
    <col min="806" max="806" width="25.85546875" style="1306" customWidth="1"/>
    <col min="807" max="1038" width="0.85546875" style="1306"/>
    <col min="1039" max="1039" width="9.85546875" style="1306" customWidth="1"/>
    <col min="1040" max="1040" width="81.85546875" style="1306" customWidth="1"/>
    <col min="1041" max="1041" width="12.7109375" style="1306" customWidth="1"/>
    <col min="1042" max="1042" width="12.42578125" style="1306" customWidth="1"/>
    <col min="1043" max="1043" width="14.5703125" style="1306" customWidth="1"/>
    <col min="1044" max="1044" width="12.28515625" style="1306" customWidth="1"/>
    <col min="1045" max="1045" width="38.140625" style="1306" customWidth="1"/>
    <col min="1046" max="1046" width="46.85546875" style="1306" customWidth="1"/>
    <col min="1047" max="1049" width="12.7109375" style="1306" customWidth="1"/>
    <col min="1050" max="1050" width="9.28515625" style="1306" customWidth="1"/>
    <col min="1051" max="1051" width="13.5703125" style="1306" customWidth="1"/>
    <col min="1052" max="1052" width="10.28515625" style="1306" customWidth="1"/>
    <col min="1053" max="1053" width="12.85546875" style="1306" customWidth="1"/>
    <col min="1054" max="1054" width="9.140625" style="1306" customWidth="1"/>
    <col min="1055" max="1055" width="9.7109375" style="1306" customWidth="1"/>
    <col min="1056" max="1056" width="9.28515625" style="1306" customWidth="1"/>
    <col min="1057" max="1057" width="9.42578125" style="1306" customWidth="1"/>
    <col min="1058" max="1058" width="10.5703125" style="1306" customWidth="1"/>
    <col min="1059" max="1059" width="12.42578125" style="1306" customWidth="1"/>
    <col min="1060" max="1060" width="14.5703125" style="1306" customWidth="1"/>
    <col min="1061" max="1061" width="12.28515625" style="1306" customWidth="1"/>
    <col min="1062" max="1062" width="25.85546875" style="1306" customWidth="1"/>
    <col min="1063" max="1294" width="0.85546875" style="1306"/>
    <col min="1295" max="1295" width="9.85546875" style="1306" customWidth="1"/>
    <col min="1296" max="1296" width="81.85546875" style="1306" customWidth="1"/>
    <col min="1297" max="1297" width="12.7109375" style="1306" customWidth="1"/>
    <col min="1298" max="1298" width="12.42578125" style="1306" customWidth="1"/>
    <col min="1299" max="1299" width="14.5703125" style="1306" customWidth="1"/>
    <col min="1300" max="1300" width="12.28515625" style="1306" customWidth="1"/>
    <col min="1301" max="1301" width="38.140625" style="1306" customWidth="1"/>
    <col min="1302" max="1302" width="46.85546875" style="1306" customWidth="1"/>
    <col min="1303" max="1305" width="12.7109375" style="1306" customWidth="1"/>
    <col min="1306" max="1306" width="9.28515625" style="1306" customWidth="1"/>
    <col min="1307" max="1307" width="13.5703125" style="1306" customWidth="1"/>
    <col min="1308" max="1308" width="10.28515625" style="1306" customWidth="1"/>
    <col min="1309" max="1309" width="12.85546875" style="1306" customWidth="1"/>
    <col min="1310" max="1310" width="9.140625" style="1306" customWidth="1"/>
    <col min="1311" max="1311" width="9.7109375" style="1306" customWidth="1"/>
    <col min="1312" max="1312" width="9.28515625" style="1306" customWidth="1"/>
    <col min="1313" max="1313" width="9.42578125" style="1306" customWidth="1"/>
    <col min="1314" max="1314" width="10.5703125" style="1306" customWidth="1"/>
    <col min="1315" max="1315" width="12.42578125" style="1306" customWidth="1"/>
    <col min="1316" max="1316" width="14.5703125" style="1306" customWidth="1"/>
    <col min="1317" max="1317" width="12.28515625" style="1306" customWidth="1"/>
    <col min="1318" max="1318" width="25.85546875" style="1306" customWidth="1"/>
    <col min="1319" max="1550" width="0.85546875" style="1306"/>
    <col min="1551" max="1551" width="9.85546875" style="1306" customWidth="1"/>
    <col min="1552" max="1552" width="81.85546875" style="1306" customWidth="1"/>
    <col min="1553" max="1553" width="12.7109375" style="1306" customWidth="1"/>
    <col min="1554" max="1554" width="12.42578125" style="1306" customWidth="1"/>
    <col min="1555" max="1555" width="14.5703125" style="1306" customWidth="1"/>
    <col min="1556" max="1556" width="12.28515625" style="1306" customWidth="1"/>
    <col min="1557" max="1557" width="38.140625" style="1306" customWidth="1"/>
    <col min="1558" max="1558" width="46.85546875" style="1306" customWidth="1"/>
    <col min="1559" max="1561" width="12.7109375" style="1306" customWidth="1"/>
    <col min="1562" max="1562" width="9.28515625" style="1306" customWidth="1"/>
    <col min="1563" max="1563" width="13.5703125" style="1306" customWidth="1"/>
    <col min="1564" max="1564" width="10.28515625" style="1306" customWidth="1"/>
    <col min="1565" max="1565" width="12.85546875" style="1306" customWidth="1"/>
    <col min="1566" max="1566" width="9.140625" style="1306" customWidth="1"/>
    <col min="1567" max="1567" width="9.7109375" style="1306" customWidth="1"/>
    <col min="1568" max="1568" width="9.28515625" style="1306" customWidth="1"/>
    <col min="1569" max="1569" width="9.42578125" style="1306" customWidth="1"/>
    <col min="1570" max="1570" width="10.5703125" style="1306" customWidth="1"/>
    <col min="1571" max="1571" width="12.42578125" style="1306" customWidth="1"/>
    <col min="1572" max="1572" width="14.5703125" style="1306" customWidth="1"/>
    <col min="1573" max="1573" width="12.28515625" style="1306" customWidth="1"/>
    <col min="1574" max="1574" width="25.85546875" style="1306" customWidth="1"/>
    <col min="1575" max="1806" width="0.85546875" style="1306"/>
    <col min="1807" max="1807" width="9.85546875" style="1306" customWidth="1"/>
    <col min="1808" max="1808" width="81.85546875" style="1306" customWidth="1"/>
    <col min="1809" max="1809" width="12.7109375" style="1306" customWidth="1"/>
    <col min="1810" max="1810" width="12.42578125" style="1306" customWidth="1"/>
    <col min="1811" max="1811" width="14.5703125" style="1306" customWidth="1"/>
    <col min="1812" max="1812" width="12.28515625" style="1306" customWidth="1"/>
    <col min="1813" max="1813" width="38.140625" style="1306" customWidth="1"/>
    <col min="1814" max="1814" width="46.85546875" style="1306" customWidth="1"/>
    <col min="1815" max="1817" width="12.7109375" style="1306" customWidth="1"/>
    <col min="1818" max="1818" width="9.28515625" style="1306" customWidth="1"/>
    <col min="1819" max="1819" width="13.5703125" style="1306" customWidth="1"/>
    <col min="1820" max="1820" width="10.28515625" style="1306" customWidth="1"/>
    <col min="1821" max="1821" width="12.85546875" style="1306" customWidth="1"/>
    <col min="1822" max="1822" width="9.140625" style="1306" customWidth="1"/>
    <col min="1823" max="1823" width="9.7109375" style="1306" customWidth="1"/>
    <col min="1824" max="1824" width="9.28515625" style="1306" customWidth="1"/>
    <col min="1825" max="1825" width="9.42578125" style="1306" customWidth="1"/>
    <col min="1826" max="1826" width="10.5703125" style="1306" customWidth="1"/>
    <col min="1827" max="1827" width="12.42578125" style="1306" customWidth="1"/>
    <col min="1828" max="1828" width="14.5703125" style="1306" customWidth="1"/>
    <col min="1829" max="1829" width="12.28515625" style="1306" customWidth="1"/>
    <col min="1830" max="1830" width="25.85546875" style="1306" customWidth="1"/>
    <col min="1831" max="2062" width="0.85546875" style="1306"/>
    <col min="2063" max="2063" width="9.85546875" style="1306" customWidth="1"/>
    <col min="2064" max="2064" width="81.85546875" style="1306" customWidth="1"/>
    <col min="2065" max="2065" width="12.7109375" style="1306" customWidth="1"/>
    <col min="2066" max="2066" width="12.42578125" style="1306" customWidth="1"/>
    <col min="2067" max="2067" width="14.5703125" style="1306" customWidth="1"/>
    <col min="2068" max="2068" width="12.28515625" style="1306" customWidth="1"/>
    <col min="2069" max="2069" width="38.140625" style="1306" customWidth="1"/>
    <col min="2070" max="2070" width="46.85546875" style="1306" customWidth="1"/>
    <col min="2071" max="2073" width="12.7109375" style="1306" customWidth="1"/>
    <col min="2074" max="2074" width="9.28515625" style="1306" customWidth="1"/>
    <col min="2075" max="2075" width="13.5703125" style="1306" customWidth="1"/>
    <col min="2076" max="2076" width="10.28515625" style="1306" customWidth="1"/>
    <col min="2077" max="2077" width="12.85546875" style="1306" customWidth="1"/>
    <col min="2078" max="2078" width="9.140625" style="1306" customWidth="1"/>
    <col min="2079" max="2079" width="9.7109375" style="1306" customWidth="1"/>
    <col min="2080" max="2080" width="9.28515625" style="1306" customWidth="1"/>
    <col min="2081" max="2081" width="9.42578125" style="1306" customWidth="1"/>
    <col min="2082" max="2082" width="10.5703125" style="1306" customWidth="1"/>
    <col min="2083" max="2083" width="12.42578125" style="1306" customWidth="1"/>
    <col min="2084" max="2084" width="14.5703125" style="1306" customWidth="1"/>
    <col min="2085" max="2085" width="12.28515625" style="1306" customWidth="1"/>
    <col min="2086" max="2086" width="25.85546875" style="1306" customWidth="1"/>
    <col min="2087" max="2318" width="0.85546875" style="1306"/>
    <col min="2319" max="2319" width="9.85546875" style="1306" customWidth="1"/>
    <col min="2320" max="2320" width="81.85546875" style="1306" customWidth="1"/>
    <col min="2321" max="2321" width="12.7109375" style="1306" customWidth="1"/>
    <col min="2322" max="2322" width="12.42578125" style="1306" customWidth="1"/>
    <col min="2323" max="2323" width="14.5703125" style="1306" customWidth="1"/>
    <col min="2324" max="2324" width="12.28515625" style="1306" customWidth="1"/>
    <col min="2325" max="2325" width="38.140625" style="1306" customWidth="1"/>
    <col min="2326" max="2326" width="46.85546875" style="1306" customWidth="1"/>
    <col min="2327" max="2329" width="12.7109375" style="1306" customWidth="1"/>
    <col min="2330" max="2330" width="9.28515625" style="1306" customWidth="1"/>
    <col min="2331" max="2331" width="13.5703125" style="1306" customWidth="1"/>
    <col min="2332" max="2332" width="10.28515625" style="1306" customWidth="1"/>
    <col min="2333" max="2333" width="12.85546875" style="1306" customWidth="1"/>
    <col min="2334" max="2334" width="9.140625" style="1306" customWidth="1"/>
    <col min="2335" max="2335" width="9.7109375" style="1306" customWidth="1"/>
    <col min="2336" max="2336" width="9.28515625" style="1306" customWidth="1"/>
    <col min="2337" max="2337" width="9.42578125" style="1306" customWidth="1"/>
    <col min="2338" max="2338" width="10.5703125" style="1306" customWidth="1"/>
    <col min="2339" max="2339" width="12.42578125" style="1306" customWidth="1"/>
    <col min="2340" max="2340" width="14.5703125" style="1306" customWidth="1"/>
    <col min="2341" max="2341" width="12.28515625" style="1306" customWidth="1"/>
    <col min="2342" max="2342" width="25.85546875" style="1306" customWidth="1"/>
    <col min="2343" max="2574" width="0.85546875" style="1306"/>
    <col min="2575" max="2575" width="9.85546875" style="1306" customWidth="1"/>
    <col min="2576" max="2576" width="81.85546875" style="1306" customWidth="1"/>
    <col min="2577" max="2577" width="12.7109375" style="1306" customWidth="1"/>
    <col min="2578" max="2578" width="12.42578125" style="1306" customWidth="1"/>
    <col min="2579" max="2579" width="14.5703125" style="1306" customWidth="1"/>
    <col min="2580" max="2580" width="12.28515625" style="1306" customWidth="1"/>
    <col min="2581" max="2581" width="38.140625" style="1306" customWidth="1"/>
    <col min="2582" max="2582" width="46.85546875" style="1306" customWidth="1"/>
    <col min="2583" max="2585" width="12.7109375" style="1306" customWidth="1"/>
    <col min="2586" max="2586" width="9.28515625" style="1306" customWidth="1"/>
    <col min="2587" max="2587" width="13.5703125" style="1306" customWidth="1"/>
    <col min="2588" max="2588" width="10.28515625" style="1306" customWidth="1"/>
    <col min="2589" max="2589" width="12.85546875" style="1306" customWidth="1"/>
    <col min="2590" max="2590" width="9.140625" style="1306" customWidth="1"/>
    <col min="2591" max="2591" width="9.7109375" style="1306" customWidth="1"/>
    <col min="2592" max="2592" width="9.28515625" style="1306" customWidth="1"/>
    <col min="2593" max="2593" width="9.42578125" style="1306" customWidth="1"/>
    <col min="2594" max="2594" width="10.5703125" style="1306" customWidth="1"/>
    <col min="2595" max="2595" width="12.42578125" style="1306" customWidth="1"/>
    <col min="2596" max="2596" width="14.5703125" style="1306" customWidth="1"/>
    <col min="2597" max="2597" width="12.28515625" style="1306" customWidth="1"/>
    <col min="2598" max="2598" width="25.85546875" style="1306" customWidth="1"/>
    <col min="2599" max="2830" width="0.85546875" style="1306"/>
    <col min="2831" max="2831" width="9.85546875" style="1306" customWidth="1"/>
    <col min="2832" max="2832" width="81.85546875" style="1306" customWidth="1"/>
    <col min="2833" max="2833" width="12.7109375" style="1306" customWidth="1"/>
    <col min="2834" max="2834" width="12.42578125" style="1306" customWidth="1"/>
    <col min="2835" max="2835" width="14.5703125" style="1306" customWidth="1"/>
    <col min="2836" max="2836" width="12.28515625" style="1306" customWidth="1"/>
    <col min="2837" max="2837" width="38.140625" style="1306" customWidth="1"/>
    <col min="2838" max="2838" width="46.85546875" style="1306" customWidth="1"/>
    <col min="2839" max="2841" width="12.7109375" style="1306" customWidth="1"/>
    <col min="2842" max="2842" width="9.28515625" style="1306" customWidth="1"/>
    <col min="2843" max="2843" width="13.5703125" style="1306" customWidth="1"/>
    <col min="2844" max="2844" width="10.28515625" style="1306" customWidth="1"/>
    <col min="2845" max="2845" width="12.85546875" style="1306" customWidth="1"/>
    <col min="2846" max="2846" width="9.140625" style="1306" customWidth="1"/>
    <col min="2847" max="2847" width="9.7109375" style="1306" customWidth="1"/>
    <col min="2848" max="2848" width="9.28515625" style="1306" customWidth="1"/>
    <col min="2849" max="2849" width="9.42578125" style="1306" customWidth="1"/>
    <col min="2850" max="2850" width="10.5703125" style="1306" customWidth="1"/>
    <col min="2851" max="2851" width="12.42578125" style="1306" customWidth="1"/>
    <col min="2852" max="2852" width="14.5703125" style="1306" customWidth="1"/>
    <col min="2853" max="2853" width="12.28515625" style="1306" customWidth="1"/>
    <col min="2854" max="2854" width="25.85546875" style="1306" customWidth="1"/>
    <col min="2855" max="3086" width="0.85546875" style="1306"/>
    <col min="3087" max="3087" width="9.85546875" style="1306" customWidth="1"/>
    <col min="3088" max="3088" width="81.85546875" style="1306" customWidth="1"/>
    <col min="3089" max="3089" width="12.7109375" style="1306" customWidth="1"/>
    <col min="3090" max="3090" width="12.42578125" style="1306" customWidth="1"/>
    <col min="3091" max="3091" width="14.5703125" style="1306" customWidth="1"/>
    <col min="3092" max="3092" width="12.28515625" style="1306" customWidth="1"/>
    <col min="3093" max="3093" width="38.140625" style="1306" customWidth="1"/>
    <col min="3094" max="3094" width="46.85546875" style="1306" customWidth="1"/>
    <col min="3095" max="3097" width="12.7109375" style="1306" customWidth="1"/>
    <col min="3098" max="3098" width="9.28515625" style="1306" customWidth="1"/>
    <col min="3099" max="3099" width="13.5703125" style="1306" customWidth="1"/>
    <col min="3100" max="3100" width="10.28515625" style="1306" customWidth="1"/>
    <col min="3101" max="3101" width="12.85546875" style="1306" customWidth="1"/>
    <col min="3102" max="3102" width="9.140625" style="1306" customWidth="1"/>
    <col min="3103" max="3103" width="9.7109375" style="1306" customWidth="1"/>
    <col min="3104" max="3104" width="9.28515625" style="1306" customWidth="1"/>
    <col min="3105" max="3105" width="9.42578125" style="1306" customWidth="1"/>
    <col min="3106" max="3106" width="10.5703125" style="1306" customWidth="1"/>
    <col min="3107" max="3107" width="12.42578125" style="1306" customWidth="1"/>
    <col min="3108" max="3108" width="14.5703125" style="1306" customWidth="1"/>
    <col min="3109" max="3109" width="12.28515625" style="1306" customWidth="1"/>
    <col min="3110" max="3110" width="25.85546875" style="1306" customWidth="1"/>
    <col min="3111" max="3342" width="0.85546875" style="1306"/>
    <col min="3343" max="3343" width="9.85546875" style="1306" customWidth="1"/>
    <col min="3344" max="3344" width="81.85546875" style="1306" customWidth="1"/>
    <col min="3345" max="3345" width="12.7109375" style="1306" customWidth="1"/>
    <col min="3346" max="3346" width="12.42578125" style="1306" customWidth="1"/>
    <col min="3347" max="3347" width="14.5703125" style="1306" customWidth="1"/>
    <col min="3348" max="3348" width="12.28515625" style="1306" customWidth="1"/>
    <col min="3349" max="3349" width="38.140625" style="1306" customWidth="1"/>
    <col min="3350" max="3350" width="46.85546875" style="1306" customWidth="1"/>
    <col min="3351" max="3353" width="12.7109375" style="1306" customWidth="1"/>
    <col min="3354" max="3354" width="9.28515625" style="1306" customWidth="1"/>
    <col min="3355" max="3355" width="13.5703125" style="1306" customWidth="1"/>
    <col min="3356" max="3356" width="10.28515625" style="1306" customWidth="1"/>
    <col min="3357" max="3357" width="12.85546875" style="1306" customWidth="1"/>
    <col min="3358" max="3358" width="9.140625" style="1306" customWidth="1"/>
    <col min="3359" max="3359" width="9.7109375" style="1306" customWidth="1"/>
    <col min="3360" max="3360" width="9.28515625" style="1306" customWidth="1"/>
    <col min="3361" max="3361" width="9.42578125" style="1306" customWidth="1"/>
    <col min="3362" max="3362" width="10.5703125" style="1306" customWidth="1"/>
    <col min="3363" max="3363" width="12.42578125" style="1306" customWidth="1"/>
    <col min="3364" max="3364" width="14.5703125" style="1306" customWidth="1"/>
    <col min="3365" max="3365" width="12.28515625" style="1306" customWidth="1"/>
    <col min="3366" max="3366" width="25.85546875" style="1306" customWidth="1"/>
    <col min="3367" max="3598" width="0.85546875" style="1306"/>
    <col min="3599" max="3599" width="9.85546875" style="1306" customWidth="1"/>
    <col min="3600" max="3600" width="81.85546875" style="1306" customWidth="1"/>
    <col min="3601" max="3601" width="12.7109375" style="1306" customWidth="1"/>
    <col min="3602" max="3602" width="12.42578125" style="1306" customWidth="1"/>
    <col min="3603" max="3603" width="14.5703125" style="1306" customWidth="1"/>
    <col min="3604" max="3604" width="12.28515625" style="1306" customWidth="1"/>
    <col min="3605" max="3605" width="38.140625" style="1306" customWidth="1"/>
    <col min="3606" max="3606" width="46.85546875" style="1306" customWidth="1"/>
    <col min="3607" max="3609" width="12.7109375" style="1306" customWidth="1"/>
    <col min="3610" max="3610" width="9.28515625" style="1306" customWidth="1"/>
    <col min="3611" max="3611" width="13.5703125" style="1306" customWidth="1"/>
    <col min="3612" max="3612" width="10.28515625" style="1306" customWidth="1"/>
    <col min="3613" max="3613" width="12.85546875" style="1306" customWidth="1"/>
    <col min="3614" max="3614" width="9.140625" style="1306" customWidth="1"/>
    <col min="3615" max="3615" width="9.7109375" style="1306" customWidth="1"/>
    <col min="3616" max="3616" width="9.28515625" style="1306" customWidth="1"/>
    <col min="3617" max="3617" width="9.42578125" style="1306" customWidth="1"/>
    <col min="3618" max="3618" width="10.5703125" style="1306" customWidth="1"/>
    <col min="3619" max="3619" width="12.42578125" style="1306" customWidth="1"/>
    <col min="3620" max="3620" width="14.5703125" style="1306" customWidth="1"/>
    <col min="3621" max="3621" width="12.28515625" style="1306" customWidth="1"/>
    <col min="3622" max="3622" width="25.85546875" style="1306" customWidth="1"/>
    <col min="3623" max="3854" width="0.85546875" style="1306"/>
    <col min="3855" max="3855" width="9.85546875" style="1306" customWidth="1"/>
    <col min="3856" max="3856" width="81.85546875" style="1306" customWidth="1"/>
    <col min="3857" max="3857" width="12.7109375" style="1306" customWidth="1"/>
    <col min="3858" max="3858" width="12.42578125" style="1306" customWidth="1"/>
    <col min="3859" max="3859" width="14.5703125" style="1306" customWidth="1"/>
    <col min="3860" max="3860" width="12.28515625" style="1306" customWidth="1"/>
    <col min="3861" max="3861" width="38.140625" style="1306" customWidth="1"/>
    <col min="3862" max="3862" width="46.85546875" style="1306" customWidth="1"/>
    <col min="3863" max="3865" width="12.7109375" style="1306" customWidth="1"/>
    <col min="3866" max="3866" width="9.28515625" style="1306" customWidth="1"/>
    <col min="3867" max="3867" width="13.5703125" style="1306" customWidth="1"/>
    <col min="3868" max="3868" width="10.28515625" style="1306" customWidth="1"/>
    <col min="3869" max="3869" width="12.85546875" style="1306" customWidth="1"/>
    <col min="3870" max="3870" width="9.140625" style="1306" customWidth="1"/>
    <col min="3871" max="3871" width="9.7109375" style="1306" customWidth="1"/>
    <col min="3872" max="3872" width="9.28515625" style="1306" customWidth="1"/>
    <col min="3873" max="3873" width="9.42578125" style="1306" customWidth="1"/>
    <col min="3874" max="3874" width="10.5703125" style="1306" customWidth="1"/>
    <col min="3875" max="3875" width="12.42578125" style="1306" customWidth="1"/>
    <col min="3876" max="3876" width="14.5703125" style="1306" customWidth="1"/>
    <col min="3877" max="3877" width="12.28515625" style="1306" customWidth="1"/>
    <col min="3878" max="3878" width="25.85546875" style="1306" customWidth="1"/>
    <col min="3879" max="4110" width="0.85546875" style="1306"/>
    <col min="4111" max="4111" width="9.85546875" style="1306" customWidth="1"/>
    <col min="4112" max="4112" width="81.85546875" style="1306" customWidth="1"/>
    <col min="4113" max="4113" width="12.7109375" style="1306" customWidth="1"/>
    <col min="4114" max="4114" width="12.42578125" style="1306" customWidth="1"/>
    <col min="4115" max="4115" width="14.5703125" style="1306" customWidth="1"/>
    <col min="4116" max="4116" width="12.28515625" style="1306" customWidth="1"/>
    <col min="4117" max="4117" width="38.140625" style="1306" customWidth="1"/>
    <col min="4118" max="4118" width="46.85546875" style="1306" customWidth="1"/>
    <col min="4119" max="4121" width="12.7109375" style="1306" customWidth="1"/>
    <col min="4122" max="4122" width="9.28515625" style="1306" customWidth="1"/>
    <col min="4123" max="4123" width="13.5703125" style="1306" customWidth="1"/>
    <col min="4124" max="4124" width="10.28515625" style="1306" customWidth="1"/>
    <col min="4125" max="4125" width="12.85546875" style="1306" customWidth="1"/>
    <col min="4126" max="4126" width="9.140625" style="1306" customWidth="1"/>
    <col min="4127" max="4127" width="9.7109375" style="1306" customWidth="1"/>
    <col min="4128" max="4128" width="9.28515625" style="1306" customWidth="1"/>
    <col min="4129" max="4129" width="9.42578125" style="1306" customWidth="1"/>
    <col min="4130" max="4130" width="10.5703125" style="1306" customWidth="1"/>
    <col min="4131" max="4131" width="12.42578125" style="1306" customWidth="1"/>
    <col min="4132" max="4132" width="14.5703125" style="1306" customWidth="1"/>
    <col min="4133" max="4133" width="12.28515625" style="1306" customWidth="1"/>
    <col min="4134" max="4134" width="25.85546875" style="1306" customWidth="1"/>
    <col min="4135" max="4366" width="0.85546875" style="1306"/>
    <col min="4367" max="4367" width="9.85546875" style="1306" customWidth="1"/>
    <col min="4368" max="4368" width="81.85546875" style="1306" customWidth="1"/>
    <col min="4369" max="4369" width="12.7109375" style="1306" customWidth="1"/>
    <col min="4370" max="4370" width="12.42578125" style="1306" customWidth="1"/>
    <col min="4371" max="4371" width="14.5703125" style="1306" customWidth="1"/>
    <col min="4372" max="4372" width="12.28515625" style="1306" customWidth="1"/>
    <col min="4373" max="4373" width="38.140625" style="1306" customWidth="1"/>
    <col min="4374" max="4374" width="46.85546875" style="1306" customWidth="1"/>
    <col min="4375" max="4377" width="12.7109375" style="1306" customWidth="1"/>
    <col min="4378" max="4378" width="9.28515625" style="1306" customWidth="1"/>
    <col min="4379" max="4379" width="13.5703125" style="1306" customWidth="1"/>
    <col min="4380" max="4380" width="10.28515625" style="1306" customWidth="1"/>
    <col min="4381" max="4381" width="12.85546875" style="1306" customWidth="1"/>
    <col min="4382" max="4382" width="9.140625" style="1306" customWidth="1"/>
    <col min="4383" max="4383" width="9.7109375" style="1306" customWidth="1"/>
    <col min="4384" max="4384" width="9.28515625" style="1306" customWidth="1"/>
    <col min="4385" max="4385" width="9.42578125" style="1306" customWidth="1"/>
    <col min="4386" max="4386" width="10.5703125" style="1306" customWidth="1"/>
    <col min="4387" max="4387" width="12.42578125" style="1306" customWidth="1"/>
    <col min="4388" max="4388" width="14.5703125" style="1306" customWidth="1"/>
    <col min="4389" max="4389" width="12.28515625" style="1306" customWidth="1"/>
    <col min="4390" max="4390" width="25.85546875" style="1306" customWidth="1"/>
    <col min="4391" max="4622" width="0.85546875" style="1306"/>
    <col min="4623" max="4623" width="9.85546875" style="1306" customWidth="1"/>
    <col min="4624" max="4624" width="81.85546875" style="1306" customWidth="1"/>
    <col min="4625" max="4625" width="12.7109375" style="1306" customWidth="1"/>
    <col min="4626" max="4626" width="12.42578125" style="1306" customWidth="1"/>
    <col min="4627" max="4627" width="14.5703125" style="1306" customWidth="1"/>
    <col min="4628" max="4628" width="12.28515625" style="1306" customWidth="1"/>
    <col min="4629" max="4629" width="38.140625" style="1306" customWidth="1"/>
    <col min="4630" max="4630" width="46.85546875" style="1306" customWidth="1"/>
    <col min="4631" max="4633" width="12.7109375" style="1306" customWidth="1"/>
    <col min="4634" max="4634" width="9.28515625" style="1306" customWidth="1"/>
    <col min="4635" max="4635" width="13.5703125" style="1306" customWidth="1"/>
    <col min="4636" max="4636" width="10.28515625" style="1306" customWidth="1"/>
    <col min="4637" max="4637" width="12.85546875" style="1306" customWidth="1"/>
    <col min="4638" max="4638" width="9.140625" style="1306" customWidth="1"/>
    <col min="4639" max="4639" width="9.7109375" style="1306" customWidth="1"/>
    <col min="4640" max="4640" width="9.28515625" style="1306" customWidth="1"/>
    <col min="4641" max="4641" width="9.42578125" style="1306" customWidth="1"/>
    <col min="4642" max="4642" width="10.5703125" style="1306" customWidth="1"/>
    <col min="4643" max="4643" width="12.42578125" style="1306" customWidth="1"/>
    <col min="4644" max="4644" width="14.5703125" style="1306" customWidth="1"/>
    <col min="4645" max="4645" width="12.28515625" style="1306" customWidth="1"/>
    <col min="4646" max="4646" width="25.85546875" style="1306" customWidth="1"/>
    <col min="4647" max="4878" width="0.85546875" style="1306"/>
    <col min="4879" max="4879" width="9.85546875" style="1306" customWidth="1"/>
    <col min="4880" max="4880" width="81.85546875" style="1306" customWidth="1"/>
    <col min="4881" max="4881" width="12.7109375" style="1306" customWidth="1"/>
    <col min="4882" max="4882" width="12.42578125" style="1306" customWidth="1"/>
    <col min="4883" max="4883" width="14.5703125" style="1306" customWidth="1"/>
    <col min="4884" max="4884" width="12.28515625" style="1306" customWidth="1"/>
    <col min="4885" max="4885" width="38.140625" style="1306" customWidth="1"/>
    <col min="4886" max="4886" width="46.85546875" style="1306" customWidth="1"/>
    <col min="4887" max="4889" width="12.7109375" style="1306" customWidth="1"/>
    <col min="4890" max="4890" width="9.28515625" style="1306" customWidth="1"/>
    <col min="4891" max="4891" width="13.5703125" style="1306" customWidth="1"/>
    <col min="4892" max="4892" width="10.28515625" style="1306" customWidth="1"/>
    <col min="4893" max="4893" width="12.85546875" style="1306" customWidth="1"/>
    <col min="4894" max="4894" width="9.140625" style="1306" customWidth="1"/>
    <col min="4895" max="4895" width="9.7109375" style="1306" customWidth="1"/>
    <col min="4896" max="4896" width="9.28515625" style="1306" customWidth="1"/>
    <col min="4897" max="4897" width="9.42578125" style="1306" customWidth="1"/>
    <col min="4898" max="4898" width="10.5703125" style="1306" customWidth="1"/>
    <col min="4899" max="4899" width="12.42578125" style="1306" customWidth="1"/>
    <col min="4900" max="4900" width="14.5703125" style="1306" customWidth="1"/>
    <col min="4901" max="4901" width="12.28515625" style="1306" customWidth="1"/>
    <col min="4902" max="4902" width="25.85546875" style="1306" customWidth="1"/>
    <col min="4903" max="5134" width="0.85546875" style="1306"/>
    <col min="5135" max="5135" width="9.85546875" style="1306" customWidth="1"/>
    <col min="5136" max="5136" width="81.85546875" style="1306" customWidth="1"/>
    <col min="5137" max="5137" width="12.7109375" style="1306" customWidth="1"/>
    <col min="5138" max="5138" width="12.42578125" style="1306" customWidth="1"/>
    <col min="5139" max="5139" width="14.5703125" style="1306" customWidth="1"/>
    <col min="5140" max="5140" width="12.28515625" style="1306" customWidth="1"/>
    <col min="5141" max="5141" width="38.140625" style="1306" customWidth="1"/>
    <col min="5142" max="5142" width="46.85546875" style="1306" customWidth="1"/>
    <col min="5143" max="5145" width="12.7109375" style="1306" customWidth="1"/>
    <col min="5146" max="5146" width="9.28515625" style="1306" customWidth="1"/>
    <col min="5147" max="5147" width="13.5703125" style="1306" customWidth="1"/>
    <col min="5148" max="5148" width="10.28515625" style="1306" customWidth="1"/>
    <col min="5149" max="5149" width="12.85546875" style="1306" customWidth="1"/>
    <col min="5150" max="5150" width="9.140625" style="1306" customWidth="1"/>
    <col min="5151" max="5151" width="9.7109375" style="1306" customWidth="1"/>
    <col min="5152" max="5152" width="9.28515625" style="1306" customWidth="1"/>
    <col min="5153" max="5153" width="9.42578125" style="1306" customWidth="1"/>
    <col min="5154" max="5154" width="10.5703125" style="1306" customWidth="1"/>
    <col min="5155" max="5155" width="12.42578125" style="1306" customWidth="1"/>
    <col min="5156" max="5156" width="14.5703125" style="1306" customWidth="1"/>
    <col min="5157" max="5157" width="12.28515625" style="1306" customWidth="1"/>
    <col min="5158" max="5158" width="25.85546875" style="1306" customWidth="1"/>
    <col min="5159" max="5390" width="0.85546875" style="1306"/>
    <col min="5391" max="5391" width="9.85546875" style="1306" customWidth="1"/>
    <col min="5392" max="5392" width="81.85546875" style="1306" customWidth="1"/>
    <col min="5393" max="5393" width="12.7109375" style="1306" customWidth="1"/>
    <col min="5394" max="5394" width="12.42578125" style="1306" customWidth="1"/>
    <col min="5395" max="5395" width="14.5703125" style="1306" customWidth="1"/>
    <col min="5396" max="5396" width="12.28515625" style="1306" customWidth="1"/>
    <col min="5397" max="5397" width="38.140625" style="1306" customWidth="1"/>
    <col min="5398" max="5398" width="46.85546875" style="1306" customWidth="1"/>
    <col min="5399" max="5401" width="12.7109375" style="1306" customWidth="1"/>
    <col min="5402" max="5402" width="9.28515625" style="1306" customWidth="1"/>
    <col min="5403" max="5403" width="13.5703125" style="1306" customWidth="1"/>
    <col min="5404" max="5404" width="10.28515625" style="1306" customWidth="1"/>
    <col min="5405" max="5405" width="12.85546875" style="1306" customWidth="1"/>
    <col min="5406" max="5406" width="9.140625" style="1306" customWidth="1"/>
    <col min="5407" max="5407" width="9.7109375" style="1306" customWidth="1"/>
    <col min="5408" max="5408" width="9.28515625" style="1306" customWidth="1"/>
    <col min="5409" max="5409" width="9.42578125" style="1306" customWidth="1"/>
    <col min="5410" max="5410" width="10.5703125" style="1306" customWidth="1"/>
    <col min="5411" max="5411" width="12.42578125" style="1306" customWidth="1"/>
    <col min="5412" max="5412" width="14.5703125" style="1306" customWidth="1"/>
    <col min="5413" max="5413" width="12.28515625" style="1306" customWidth="1"/>
    <col min="5414" max="5414" width="25.85546875" style="1306" customWidth="1"/>
    <col min="5415" max="5646" width="0.85546875" style="1306"/>
    <col min="5647" max="5647" width="9.85546875" style="1306" customWidth="1"/>
    <col min="5648" max="5648" width="81.85546875" style="1306" customWidth="1"/>
    <col min="5649" max="5649" width="12.7109375" style="1306" customWidth="1"/>
    <col min="5650" max="5650" width="12.42578125" style="1306" customWidth="1"/>
    <col min="5651" max="5651" width="14.5703125" style="1306" customWidth="1"/>
    <col min="5652" max="5652" width="12.28515625" style="1306" customWidth="1"/>
    <col min="5653" max="5653" width="38.140625" style="1306" customWidth="1"/>
    <col min="5654" max="5654" width="46.85546875" style="1306" customWidth="1"/>
    <col min="5655" max="5657" width="12.7109375" style="1306" customWidth="1"/>
    <col min="5658" max="5658" width="9.28515625" style="1306" customWidth="1"/>
    <col min="5659" max="5659" width="13.5703125" style="1306" customWidth="1"/>
    <col min="5660" max="5660" width="10.28515625" style="1306" customWidth="1"/>
    <col min="5661" max="5661" width="12.85546875" style="1306" customWidth="1"/>
    <col min="5662" max="5662" width="9.140625" style="1306" customWidth="1"/>
    <col min="5663" max="5663" width="9.7109375" style="1306" customWidth="1"/>
    <col min="5664" max="5664" width="9.28515625" style="1306" customWidth="1"/>
    <col min="5665" max="5665" width="9.42578125" style="1306" customWidth="1"/>
    <col min="5666" max="5666" width="10.5703125" style="1306" customWidth="1"/>
    <col min="5667" max="5667" width="12.42578125" style="1306" customWidth="1"/>
    <col min="5668" max="5668" width="14.5703125" style="1306" customWidth="1"/>
    <col min="5669" max="5669" width="12.28515625" style="1306" customWidth="1"/>
    <col min="5670" max="5670" width="25.85546875" style="1306" customWidth="1"/>
    <col min="5671" max="5902" width="0.85546875" style="1306"/>
    <col min="5903" max="5903" width="9.85546875" style="1306" customWidth="1"/>
    <col min="5904" max="5904" width="81.85546875" style="1306" customWidth="1"/>
    <col min="5905" max="5905" width="12.7109375" style="1306" customWidth="1"/>
    <col min="5906" max="5906" width="12.42578125" style="1306" customWidth="1"/>
    <col min="5907" max="5907" width="14.5703125" style="1306" customWidth="1"/>
    <col min="5908" max="5908" width="12.28515625" style="1306" customWidth="1"/>
    <col min="5909" max="5909" width="38.140625" style="1306" customWidth="1"/>
    <col min="5910" max="5910" width="46.85546875" style="1306" customWidth="1"/>
    <col min="5911" max="5913" width="12.7109375" style="1306" customWidth="1"/>
    <col min="5914" max="5914" width="9.28515625" style="1306" customWidth="1"/>
    <col min="5915" max="5915" width="13.5703125" style="1306" customWidth="1"/>
    <col min="5916" max="5916" width="10.28515625" style="1306" customWidth="1"/>
    <col min="5917" max="5917" width="12.85546875" style="1306" customWidth="1"/>
    <col min="5918" max="5918" width="9.140625" style="1306" customWidth="1"/>
    <col min="5919" max="5919" width="9.7109375" style="1306" customWidth="1"/>
    <col min="5920" max="5920" width="9.28515625" style="1306" customWidth="1"/>
    <col min="5921" max="5921" width="9.42578125" style="1306" customWidth="1"/>
    <col min="5922" max="5922" width="10.5703125" style="1306" customWidth="1"/>
    <col min="5923" max="5923" width="12.42578125" style="1306" customWidth="1"/>
    <col min="5924" max="5924" width="14.5703125" style="1306" customWidth="1"/>
    <col min="5925" max="5925" width="12.28515625" style="1306" customWidth="1"/>
    <col min="5926" max="5926" width="25.85546875" style="1306" customWidth="1"/>
    <col min="5927" max="6158" width="0.85546875" style="1306"/>
    <col min="6159" max="6159" width="9.85546875" style="1306" customWidth="1"/>
    <col min="6160" max="6160" width="81.85546875" style="1306" customWidth="1"/>
    <col min="6161" max="6161" width="12.7109375" style="1306" customWidth="1"/>
    <col min="6162" max="6162" width="12.42578125" style="1306" customWidth="1"/>
    <col min="6163" max="6163" width="14.5703125" style="1306" customWidth="1"/>
    <col min="6164" max="6164" width="12.28515625" style="1306" customWidth="1"/>
    <col min="6165" max="6165" width="38.140625" style="1306" customWidth="1"/>
    <col min="6166" max="6166" width="46.85546875" style="1306" customWidth="1"/>
    <col min="6167" max="6169" width="12.7109375" style="1306" customWidth="1"/>
    <col min="6170" max="6170" width="9.28515625" style="1306" customWidth="1"/>
    <col min="6171" max="6171" width="13.5703125" style="1306" customWidth="1"/>
    <col min="6172" max="6172" width="10.28515625" style="1306" customWidth="1"/>
    <col min="6173" max="6173" width="12.85546875" style="1306" customWidth="1"/>
    <col min="6174" max="6174" width="9.140625" style="1306" customWidth="1"/>
    <col min="6175" max="6175" width="9.7109375" style="1306" customWidth="1"/>
    <col min="6176" max="6176" width="9.28515625" style="1306" customWidth="1"/>
    <col min="6177" max="6177" width="9.42578125" style="1306" customWidth="1"/>
    <col min="6178" max="6178" width="10.5703125" style="1306" customWidth="1"/>
    <col min="6179" max="6179" width="12.42578125" style="1306" customWidth="1"/>
    <col min="6180" max="6180" width="14.5703125" style="1306" customWidth="1"/>
    <col min="6181" max="6181" width="12.28515625" style="1306" customWidth="1"/>
    <col min="6182" max="6182" width="25.85546875" style="1306" customWidth="1"/>
    <col min="6183" max="6414" width="0.85546875" style="1306"/>
    <col min="6415" max="6415" width="9.85546875" style="1306" customWidth="1"/>
    <col min="6416" max="6416" width="81.85546875" style="1306" customWidth="1"/>
    <col min="6417" max="6417" width="12.7109375" style="1306" customWidth="1"/>
    <col min="6418" max="6418" width="12.42578125" style="1306" customWidth="1"/>
    <col min="6419" max="6419" width="14.5703125" style="1306" customWidth="1"/>
    <col min="6420" max="6420" width="12.28515625" style="1306" customWidth="1"/>
    <col min="6421" max="6421" width="38.140625" style="1306" customWidth="1"/>
    <col min="6422" max="6422" width="46.85546875" style="1306" customWidth="1"/>
    <col min="6423" max="6425" width="12.7109375" style="1306" customWidth="1"/>
    <col min="6426" max="6426" width="9.28515625" style="1306" customWidth="1"/>
    <col min="6427" max="6427" width="13.5703125" style="1306" customWidth="1"/>
    <col min="6428" max="6428" width="10.28515625" style="1306" customWidth="1"/>
    <col min="6429" max="6429" width="12.85546875" style="1306" customWidth="1"/>
    <col min="6430" max="6430" width="9.140625" style="1306" customWidth="1"/>
    <col min="6431" max="6431" width="9.7109375" style="1306" customWidth="1"/>
    <col min="6432" max="6432" width="9.28515625" style="1306" customWidth="1"/>
    <col min="6433" max="6433" width="9.42578125" style="1306" customWidth="1"/>
    <col min="6434" max="6434" width="10.5703125" style="1306" customWidth="1"/>
    <col min="6435" max="6435" width="12.42578125" style="1306" customWidth="1"/>
    <col min="6436" max="6436" width="14.5703125" style="1306" customWidth="1"/>
    <col min="6437" max="6437" width="12.28515625" style="1306" customWidth="1"/>
    <col min="6438" max="6438" width="25.85546875" style="1306" customWidth="1"/>
    <col min="6439" max="6670" width="0.85546875" style="1306"/>
    <col min="6671" max="6671" width="9.85546875" style="1306" customWidth="1"/>
    <col min="6672" max="6672" width="81.85546875" style="1306" customWidth="1"/>
    <col min="6673" max="6673" width="12.7109375" style="1306" customWidth="1"/>
    <col min="6674" max="6674" width="12.42578125" style="1306" customWidth="1"/>
    <col min="6675" max="6675" width="14.5703125" style="1306" customWidth="1"/>
    <col min="6676" max="6676" width="12.28515625" style="1306" customWidth="1"/>
    <col min="6677" max="6677" width="38.140625" style="1306" customWidth="1"/>
    <col min="6678" max="6678" width="46.85546875" style="1306" customWidth="1"/>
    <col min="6679" max="6681" width="12.7109375" style="1306" customWidth="1"/>
    <col min="6682" max="6682" width="9.28515625" style="1306" customWidth="1"/>
    <col min="6683" max="6683" width="13.5703125" style="1306" customWidth="1"/>
    <col min="6684" max="6684" width="10.28515625" style="1306" customWidth="1"/>
    <col min="6685" max="6685" width="12.85546875" style="1306" customWidth="1"/>
    <col min="6686" max="6686" width="9.140625" style="1306" customWidth="1"/>
    <col min="6687" max="6687" width="9.7109375" style="1306" customWidth="1"/>
    <col min="6688" max="6688" width="9.28515625" style="1306" customWidth="1"/>
    <col min="6689" max="6689" width="9.42578125" style="1306" customWidth="1"/>
    <col min="6690" max="6690" width="10.5703125" style="1306" customWidth="1"/>
    <col min="6691" max="6691" width="12.42578125" style="1306" customWidth="1"/>
    <col min="6692" max="6692" width="14.5703125" style="1306" customWidth="1"/>
    <col min="6693" max="6693" width="12.28515625" style="1306" customWidth="1"/>
    <col min="6694" max="6694" width="25.85546875" style="1306" customWidth="1"/>
    <col min="6695" max="6926" width="0.85546875" style="1306"/>
    <col min="6927" max="6927" width="9.85546875" style="1306" customWidth="1"/>
    <col min="6928" max="6928" width="81.85546875" style="1306" customWidth="1"/>
    <col min="6929" max="6929" width="12.7109375" style="1306" customWidth="1"/>
    <col min="6930" max="6930" width="12.42578125" style="1306" customWidth="1"/>
    <col min="6931" max="6931" width="14.5703125" style="1306" customWidth="1"/>
    <col min="6932" max="6932" width="12.28515625" style="1306" customWidth="1"/>
    <col min="6933" max="6933" width="38.140625" style="1306" customWidth="1"/>
    <col min="6934" max="6934" width="46.85546875" style="1306" customWidth="1"/>
    <col min="6935" max="6937" width="12.7109375" style="1306" customWidth="1"/>
    <col min="6938" max="6938" width="9.28515625" style="1306" customWidth="1"/>
    <col min="6939" max="6939" width="13.5703125" style="1306" customWidth="1"/>
    <col min="6940" max="6940" width="10.28515625" style="1306" customWidth="1"/>
    <col min="6941" max="6941" width="12.85546875" style="1306" customWidth="1"/>
    <col min="6942" max="6942" width="9.140625" style="1306" customWidth="1"/>
    <col min="6943" max="6943" width="9.7109375" style="1306" customWidth="1"/>
    <col min="6944" max="6944" width="9.28515625" style="1306" customWidth="1"/>
    <col min="6945" max="6945" width="9.42578125" style="1306" customWidth="1"/>
    <col min="6946" max="6946" width="10.5703125" style="1306" customWidth="1"/>
    <col min="6947" max="6947" width="12.42578125" style="1306" customWidth="1"/>
    <col min="6948" max="6948" width="14.5703125" style="1306" customWidth="1"/>
    <col min="6949" max="6949" width="12.28515625" style="1306" customWidth="1"/>
    <col min="6950" max="6950" width="25.85546875" style="1306" customWidth="1"/>
    <col min="6951" max="7182" width="0.85546875" style="1306"/>
    <col min="7183" max="7183" width="9.85546875" style="1306" customWidth="1"/>
    <col min="7184" max="7184" width="81.85546875" style="1306" customWidth="1"/>
    <col min="7185" max="7185" width="12.7109375" style="1306" customWidth="1"/>
    <col min="7186" max="7186" width="12.42578125" style="1306" customWidth="1"/>
    <col min="7187" max="7187" width="14.5703125" style="1306" customWidth="1"/>
    <col min="7188" max="7188" width="12.28515625" style="1306" customWidth="1"/>
    <col min="7189" max="7189" width="38.140625" style="1306" customWidth="1"/>
    <col min="7190" max="7190" width="46.85546875" style="1306" customWidth="1"/>
    <col min="7191" max="7193" width="12.7109375" style="1306" customWidth="1"/>
    <col min="7194" max="7194" width="9.28515625" style="1306" customWidth="1"/>
    <col min="7195" max="7195" width="13.5703125" style="1306" customWidth="1"/>
    <col min="7196" max="7196" width="10.28515625" style="1306" customWidth="1"/>
    <col min="7197" max="7197" width="12.85546875" style="1306" customWidth="1"/>
    <col min="7198" max="7198" width="9.140625" style="1306" customWidth="1"/>
    <col min="7199" max="7199" width="9.7109375" style="1306" customWidth="1"/>
    <col min="7200" max="7200" width="9.28515625" style="1306" customWidth="1"/>
    <col min="7201" max="7201" width="9.42578125" style="1306" customWidth="1"/>
    <col min="7202" max="7202" width="10.5703125" style="1306" customWidth="1"/>
    <col min="7203" max="7203" width="12.42578125" style="1306" customWidth="1"/>
    <col min="7204" max="7204" width="14.5703125" style="1306" customWidth="1"/>
    <col min="7205" max="7205" width="12.28515625" style="1306" customWidth="1"/>
    <col min="7206" max="7206" width="25.85546875" style="1306" customWidth="1"/>
    <col min="7207" max="7438" width="0.85546875" style="1306"/>
    <col min="7439" max="7439" width="9.85546875" style="1306" customWidth="1"/>
    <col min="7440" max="7440" width="81.85546875" style="1306" customWidth="1"/>
    <col min="7441" max="7441" width="12.7109375" style="1306" customWidth="1"/>
    <col min="7442" max="7442" width="12.42578125" style="1306" customWidth="1"/>
    <col min="7443" max="7443" width="14.5703125" style="1306" customWidth="1"/>
    <col min="7444" max="7444" width="12.28515625" style="1306" customWidth="1"/>
    <col min="7445" max="7445" width="38.140625" style="1306" customWidth="1"/>
    <col min="7446" max="7446" width="46.85546875" style="1306" customWidth="1"/>
    <col min="7447" max="7449" width="12.7109375" style="1306" customWidth="1"/>
    <col min="7450" max="7450" width="9.28515625" style="1306" customWidth="1"/>
    <col min="7451" max="7451" width="13.5703125" style="1306" customWidth="1"/>
    <col min="7452" max="7452" width="10.28515625" style="1306" customWidth="1"/>
    <col min="7453" max="7453" width="12.85546875" style="1306" customWidth="1"/>
    <col min="7454" max="7454" width="9.140625" style="1306" customWidth="1"/>
    <col min="7455" max="7455" width="9.7109375" style="1306" customWidth="1"/>
    <col min="7456" max="7456" width="9.28515625" style="1306" customWidth="1"/>
    <col min="7457" max="7457" width="9.42578125" style="1306" customWidth="1"/>
    <col min="7458" max="7458" width="10.5703125" style="1306" customWidth="1"/>
    <col min="7459" max="7459" width="12.42578125" style="1306" customWidth="1"/>
    <col min="7460" max="7460" width="14.5703125" style="1306" customWidth="1"/>
    <col min="7461" max="7461" width="12.28515625" style="1306" customWidth="1"/>
    <col min="7462" max="7462" width="25.85546875" style="1306" customWidth="1"/>
    <col min="7463" max="7694" width="0.85546875" style="1306"/>
    <col min="7695" max="7695" width="9.85546875" style="1306" customWidth="1"/>
    <col min="7696" max="7696" width="81.85546875" style="1306" customWidth="1"/>
    <col min="7697" max="7697" width="12.7109375" style="1306" customWidth="1"/>
    <col min="7698" max="7698" width="12.42578125" style="1306" customWidth="1"/>
    <col min="7699" max="7699" width="14.5703125" style="1306" customWidth="1"/>
    <col min="7700" max="7700" width="12.28515625" style="1306" customWidth="1"/>
    <col min="7701" max="7701" width="38.140625" style="1306" customWidth="1"/>
    <col min="7702" max="7702" width="46.85546875" style="1306" customWidth="1"/>
    <col min="7703" max="7705" width="12.7109375" style="1306" customWidth="1"/>
    <col min="7706" max="7706" width="9.28515625" style="1306" customWidth="1"/>
    <col min="7707" max="7707" width="13.5703125" style="1306" customWidth="1"/>
    <col min="7708" max="7708" width="10.28515625" style="1306" customWidth="1"/>
    <col min="7709" max="7709" width="12.85546875" style="1306" customWidth="1"/>
    <col min="7710" max="7710" width="9.140625" style="1306" customWidth="1"/>
    <col min="7711" max="7711" width="9.7109375" style="1306" customWidth="1"/>
    <col min="7712" max="7712" width="9.28515625" style="1306" customWidth="1"/>
    <col min="7713" max="7713" width="9.42578125" style="1306" customWidth="1"/>
    <col min="7714" max="7714" width="10.5703125" style="1306" customWidth="1"/>
    <col min="7715" max="7715" width="12.42578125" style="1306" customWidth="1"/>
    <col min="7716" max="7716" width="14.5703125" style="1306" customWidth="1"/>
    <col min="7717" max="7717" width="12.28515625" style="1306" customWidth="1"/>
    <col min="7718" max="7718" width="25.85546875" style="1306" customWidth="1"/>
    <col min="7719" max="7950" width="0.85546875" style="1306"/>
    <col min="7951" max="7951" width="9.85546875" style="1306" customWidth="1"/>
    <col min="7952" max="7952" width="81.85546875" style="1306" customWidth="1"/>
    <col min="7953" max="7953" width="12.7109375" style="1306" customWidth="1"/>
    <col min="7954" max="7954" width="12.42578125" style="1306" customWidth="1"/>
    <col min="7955" max="7955" width="14.5703125" style="1306" customWidth="1"/>
    <col min="7956" max="7956" width="12.28515625" style="1306" customWidth="1"/>
    <col min="7957" max="7957" width="38.140625" style="1306" customWidth="1"/>
    <col min="7958" max="7958" width="46.85546875" style="1306" customWidth="1"/>
    <col min="7959" max="7961" width="12.7109375" style="1306" customWidth="1"/>
    <col min="7962" max="7962" width="9.28515625" style="1306" customWidth="1"/>
    <col min="7963" max="7963" width="13.5703125" style="1306" customWidth="1"/>
    <col min="7964" max="7964" width="10.28515625" style="1306" customWidth="1"/>
    <col min="7965" max="7965" width="12.85546875" style="1306" customWidth="1"/>
    <col min="7966" max="7966" width="9.140625" style="1306" customWidth="1"/>
    <col min="7967" max="7967" width="9.7109375" style="1306" customWidth="1"/>
    <col min="7968" max="7968" width="9.28515625" style="1306" customWidth="1"/>
    <col min="7969" max="7969" width="9.42578125" style="1306" customWidth="1"/>
    <col min="7970" max="7970" width="10.5703125" style="1306" customWidth="1"/>
    <col min="7971" max="7971" width="12.42578125" style="1306" customWidth="1"/>
    <col min="7972" max="7972" width="14.5703125" style="1306" customWidth="1"/>
    <col min="7973" max="7973" width="12.28515625" style="1306" customWidth="1"/>
    <col min="7974" max="7974" width="25.85546875" style="1306" customWidth="1"/>
    <col min="7975" max="8206" width="0.85546875" style="1306"/>
    <col min="8207" max="8207" width="9.85546875" style="1306" customWidth="1"/>
    <col min="8208" max="8208" width="81.85546875" style="1306" customWidth="1"/>
    <col min="8209" max="8209" width="12.7109375" style="1306" customWidth="1"/>
    <col min="8210" max="8210" width="12.42578125" style="1306" customWidth="1"/>
    <col min="8211" max="8211" width="14.5703125" style="1306" customWidth="1"/>
    <col min="8212" max="8212" width="12.28515625" style="1306" customWidth="1"/>
    <col min="8213" max="8213" width="38.140625" style="1306" customWidth="1"/>
    <col min="8214" max="8214" width="46.85546875" style="1306" customWidth="1"/>
    <col min="8215" max="8217" width="12.7109375" style="1306" customWidth="1"/>
    <col min="8218" max="8218" width="9.28515625" style="1306" customWidth="1"/>
    <col min="8219" max="8219" width="13.5703125" style="1306" customWidth="1"/>
    <col min="8220" max="8220" width="10.28515625" style="1306" customWidth="1"/>
    <col min="8221" max="8221" width="12.85546875" style="1306" customWidth="1"/>
    <col min="8222" max="8222" width="9.140625" style="1306" customWidth="1"/>
    <col min="8223" max="8223" width="9.7109375" style="1306" customWidth="1"/>
    <col min="8224" max="8224" width="9.28515625" style="1306" customWidth="1"/>
    <col min="8225" max="8225" width="9.42578125" style="1306" customWidth="1"/>
    <col min="8226" max="8226" width="10.5703125" style="1306" customWidth="1"/>
    <col min="8227" max="8227" width="12.42578125" style="1306" customWidth="1"/>
    <col min="8228" max="8228" width="14.5703125" style="1306" customWidth="1"/>
    <col min="8229" max="8229" width="12.28515625" style="1306" customWidth="1"/>
    <col min="8230" max="8230" width="25.85546875" style="1306" customWidth="1"/>
    <col min="8231" max="8462" width="0.85546875" style="1306"/>
    <col min="8463" max="8463" width="9.85546875" style="1306" customWidth="1"/>
    <col min="8464" max="8464" width="81.85546875" style="1306" customWidth="1"/>
    <col min="8465" max="8465" width="12.7109375" style="1306" customWidth="1"/>
    <col min="8466" max="8466" width="12.42578125" style="1306" customWidth="1"/>
    <col min="8467" max="8467" width="14.5703125" style="1306" customWidth="1"/>
    <col min="8468" max="8468" width="12.28515625" style="1306" customWidth="1"/>
    <col min="8469" max="8469" width="38.140625" style="1306" customWidth="1"/>
    <col min="8470" max="8470" width="46.85546875" style="1306" customWidth="1"/>
    <col min="8471" max="8473" width="12.7109375" style="1306" customWidth="1"/>
    <col min="8474" max="8474" width="9.28515625" style="1306" customWidth="1"/>
    <col min="8475" max="8475" width="13.5703125" style="1306" customWidth="1"/>
    <col min="8476" max="8476" width="10.28515625" style="1306" customWidth="1"/>
    <col min="8477" max="8477" width="12.85546875" style="1306" customWidth="1"/>
    <col min="8478" max="8478" width="9.140625" style="1306" customWidth="1"/>
    <col min="8479" max="8479" width="9.7109375" style="1306" customWidth="1"/>
    <col min="8480" max="8480" width="9.28515625" style="1306" customWidth="1"/>
    <col min="8481" max="8481" width="9.42578125" style="1306" customWidth="1"/>
    <col min="8482" max="8482" width="10.5703125" style="1306" customWidth="1"/>
    <col min="8483" max="8483" width="12.42578125" style="1306" customWidth="1"/>
    <col min="8484" max="8484" width="14.5703125" style="1306" customWidth="1"/>
    <col min="8485" max="8485" width="12.28515625" style="1306" customWidth="1"/>
    <col min="8486" max="8486" width="25.85546875" style="1306" customWidth="1"/>
    <col min="8487" max="8718" width="0.85546875" style="1306"/>
    <col min="8719" max="8719" width="9.85546875" style="1306" customWidth="1"/>
    <col min="8720" max="8720" width="81.85546875" style="1306" customWidth="1"/>
    <col min="8721" max="8721" width="12.7109375" style="1306" customWidth="1"/>
    <col min="8722" max="8722" width="12.42578125" style="1306" customWidth="1"/>
    <col min="8723" max="8723" width="14.5703125" style="1306" customWidth="1"/>
    <col min="8724" max="8724" width="12.28515625" style="1306" customWidth="1"/>
    <col min="8725" max="8725" width="38.140625" style="1306" customWidth="1"/>
    <col min="8726" max="8726" width="46.85546875" style="1306" customWidth="1"/>
    <col min="8727" max="8729" width="12.7109375" style="1306" customWidth="1"/>
    <col min="8730" max="8730" width="9.28515625" style="1306" customWidth="1"/>
    <col min="8731" max="8731" width="13.5703125" style="1306" customWidth="1"/>
    <col min="8732" max="8732" width="10.28515625" style="1306" customWidth="1"/>
    <col min="8733" max="8733" width="12.85546875" style="1306" customWidth="1"/>
    <col min="8734" max="8734" width="9.140625" style="1306" customWidth="1"/>
    <col min="8735" max="8735" width="9.7109375" style="1306" customWidth="1"/>
    <col min="8736" max="8736" width="9.28515625" style="1306" customWidth="1"/>
    <col min="8737" max="8737" width="9.42578125" style="1306" customWidth="1"/>
    <col min="8738" max="8738" width="10.5703125" style="1306" customWidth="1"/>
    <col min="8739" max="8739" width="12.42578125" style="1306" customWidth="1"/>
    <col min="8740" max="8740" width="14.5703125" style="1306" customWidth="1"/>
    <col min="8741" max="8741" width="12.28515625" style="1306" customWidth="1"/>
    <col min="8742" max="8742" width="25.85546875" style="1306" customWidth="1"/>
    <col min="8743" max="8974" width="0.85546875" style="1306"/>
    <col min="8975" max="8975" width="9.85546875" style="1306" customWidth="1"/>
    <col min="8976" max="8976" width="81.85546875" style="1306" customWidth="1"/>
    <col min="8977" max="8977" width="12.7109375" style="1306" customWidth="1"/>
    <col min="8978" max="8978" width="12.42578125" style="1306" customWidth="1"/>
    <col min="8979" max="8979" width="14.5703125" style="1306" customWidth="1"/>
    <col min="8980" max="8980" width="12.28515625" style="1306" customWidth="1"/>
    <col min="8981" max="8981" width="38.140625" style="1306" customWidth="1"/>
    <col min="8982" max="8982" width="46.85546875" style="1306" customWidth="1"/>
    <col min="8983" max="8985" width="12.7109375" style="1306" customWidth="1"/>
    <col min="8986" max="8986" width="9.28515625" style="1306" customWidth="1"/>
    <col min="8987" max="8987" width="13.5703125" style="1306" customWidth="1"/>
    <col min="8988" max="8988" width="10.28515625" style="1306" customWidth="1"/>
    <col min="8989" max="8989" width="12.85546875" style="1306" customWidth="1"/>
    <col min="8990" max="8990" width="9.140625" style="1306" customWidth="1"/>
    <col min="8991" max="8991" width="9.7109375" style="1306" customWidth="1"/>
    <col min="8992" max="8992" width="9.28515625" style="1306" customWidth="1"/>
    <col min="8993" max="8993" width="9.42578125" style="1306" customWidth="1"/>
    <col min="8994" max="8994" width="10.5703125" style="1306" customWidth="1"/>
    <col min="8995" max="8995" width="12.42578125" style="1306" customWidth="1"/>
    <col min="8996" max="8996" width="14.5703125" style="1306" customWidth="1"/>
    <col min="8997" max="8997" width="12.28515625" style="1306" customWidth="1"/>
    <col min="8998" max="8998" width="25.85546875" style="1306" customWidth="1"/>
    <col min="8999" max="9230" width="0.85546875" style="1306"/>
    <col min="9231" max="9231" width="9.85546875" style="1306" customWidth="1"/>
    <col min="9232" max="9232" width="81.85546875" style="1306" customWidth="1"/>
    <col min="9233" max="9233" width="12.7109375" style="1306" customWidth="1"/>
    <col min="9234" max="9234" width="12.42578125" style="1306" customWidth="1"/>
    <col min="9235" max="9235" width="14.5703125" style="1306" customWidth="1"/>
    <col min="9236" max="9236" width="12.28515625" style="1306" customWidth="1"/>
    <col min="9237" max="9237" width="38.140625" style="1306" customWidth="1"/>
    <col min="9238" max="9238" width="46.85546875" style="1306" customWidth="1"/>
    <col min="9239" max="9241" width="12.7109375" style="1306" customWidth="1"/>
    <col min="9242" max="9242" width="9.28515625" style="1306" customWidth="1"/>
    <col min="9243" max="9243" width="13.5703125" style="1306" customWidth="1"/>
    <col min="9244" max="9244" width="10.28515625" style="1306" customWidth="1"/>
    <col min="9245" max="9245" width="12.85546875" style="1306" customWidth="1"/>
    <col min="9246" max="9246" width="9.140625" style="1306" customWidth="1"/>
    <col min="9247" max="9247" width="9.7109375" style="1306" customWidth="1"/>
    <col min="9248" max="9248" width="9.28515625" style="1306" customWidth="1"/>
    <col min="9249" max="9249" width="9.42578125" style="1306" customWidth="1"/>
    <col min="9250" max="9250" width="10.5703125" style="1306" customWidth="1"/>
    <col min="9251" max="9251" width="12.42578125" style="1306" customWidth="1"/>
    <col min="9252" max="9252" width="14.5703125" style="1306" customWidth="1"/>
    <col min="9253" max="9253" width="12.28515625" style="1306" customWidth="1"/>
    <col min="9254" max="9254" width="25.85546875" style="1306" customWidth="1"/>
    <col min="9255" max="9486" width="0.85546875" style="1306"/>
    <col min="9487" max="9487" width="9.85546875" style="1306" customWidth="1"/>
    <col min="9488" max="9488" width="81.85546875" style="1306" customWidth="1"/>
    <col min="9489" max="9489" width="12.7109375" style="1306" customWidth="1"/>
    <col min="9490" max="9490" width="12.42578125" style="1306" customWidth="1"/>
    <col min="9491" max="9491" width="14.5703125" style="1306" customWidth="1"/>
    <col min="9492" max="9492" width="12.28515625" style="1306" customWidth="1"/>
    <col min="9493" max="9493" width="38.140625" style="1306" customWidth="1"/>
    <col min="9494" max="9494" width="46.85546875" style="1306" customWidth="1"/>
    <col min="9495" max="9497" width="12.7109375" style="1306" customWidth="1"/>
    <col min="9498" max="9498" width="9.28515625" style="1306" customWidth="1"/>
    <col min="9499" max="9499" width="13.5703125" style="1306" customWidth="1"/>
    <col min="9500" max="9500" width="10.28515625" style="1306" customWidth="1"/>
    <col min="9501" max="9501" width="12.85546875" style="1306" customWidth="1"/>
    <col min="9502" max="9502" width="9.140625" style="1306" customWidth="1"/>
    <col min="9503" max="9503" width="9.7109375" style="1306" customWidth="1"/>
    <col min="9504" max="9504" width="9.28515625" style="1306" customWidth="1"/>
    <col min="9505" max="9505" width="9.42578125" style="1306" customWidth="1"/>
    <col min="9506" max="9506" width="10.5703125" style="1306" customWidth="1"/>
    <col min="9507" max="9507" width="12.42578125" style="1306" customWidth="1"/>
    <col min="9508" max="9508" width="14.5703125" style="1306" customWidth="1"/>
    <col min="9509" max="9509" width="12.28515625" style="1306" customWidth="1"/>
    <col min="9510" max="9510" width="25.85546875" style="1306" customWidth="1"/>
    <col min="9511" max="9742" width="0.85546875" style="1306"/>
    <col min="9743" max="9743" width="9.85546875" style="1306" customWidth="1"/>
    <col min="9744" max="9744" width="81.85546875" style="1306" customWidth="1"/>
    <col min="9745" max="9745" width="12.7109375" style="1306" customWidth="1"/>
    <col min="9746" max="9746" width="12.42578125" style="1306" customWidth="1"/>
    <col min="9747" max="9747" width="14.5703125" style="1306" customWidth="1"/>
    <col min="9748" max="9748" width="12.28515625" style="1306" customWidth="1"/>
    <col min="9749" max="9749" width="38.140625" style="1306" customWidth="1"/>
    <col min="9750" max="9750" width="46.85546875" style="1306" customWidth="1"/>
    <col min="9751" max="9753" width="12.7109375" style="1306" customWidth="1"/>
    <col min="9754" max="9754" width="9.28515625" style="1306" customWidth="1"/>
    <col min="9755" max="9755" width="13.5703125" style="1306" customWidth="1"/>
    <col min="9756" max="9756" width="10.28515625" style="1306" customWidth="1"/>
    <col min="9757" max="9757" width="12.85546875" style="1306" customWidth="1"/>
    <col min="9758" max="9758" width="9.140625" style="1306" customWidth="1"/>
    <col min="9759" max="9759" width="9.7109375" style="1306" customWidth="1"/>
    <col min="9760" max="9760" width="9.28515625" style="1306" customWidth="1"/>
    <col min="9761" max="9761" width="9.42578125" style="1306" customWidth="1"/>
    <col min="9762" max="9762" width="10.5703125" style="1306" customWidth="1"/>
    <col min="9763" max="9763" width="12.42578125" style="1306" customWidth="1"/>
    <col min="9764" max="9764" width="14.5703125" style="1306" customWidth="1"/>
    <col min="9765" max="9765" width="12.28515625" style="1306" customWidth="1"/>
    <col min="9766" max="9766" width="25.85546875" style="1306" customWidth="1"/>
    <col min="9767" max="9998" width="0.85546875" style="1306"/>
    <col min="9999" max="9999" width="9.85546875" style="1306" customWidth="1"/>
    <col min="10000" max="10000" width="81.85546875" style="1306" customWidth="1"/>
    <col min="10001" max="10001" width="12.7109375" style="1306" customWidth="1"/>
    <col min="10002" max="10002" width="12.42578125" style="1306" customWidth="1"/>
    <col min="10003" max="10003" width="14.5703125" style="1306" customWidth="1"/>
    <col min="10004" max="10004" width="12.28515625" style="1306" customWidth="1"/>
    <col min="10005" max="10005" width="38.140625" style="1306" customWidth="1"/>
    <col min="10006" max="10006" width="46.85546875" style="1306" customWidth="1"/>
    <col min="10007" max="10009" width="12.7109375" style="1306" customWidth="1"/>
    <col min="10010" max="10010" width="9.28515625" style="1306" customWidth="1"/>
    <col min="10011" max="10011" width="13.5703125" style="1306" customWidth="1"/>
    <col min="10012" max="10012" width="10.28515625" style="1306" customWidth="1"/>
    <col min="10013" max="10013" width="12.85546875" style="1306" customWidth="1"/>
    <col min="10014" max="10014" width="9.140625" style="1306" customWidth="1"/>
    <col min="10015" max="10015" width="9.7109375" style="1306" customWidth="1"/>
    <col min="10016" max="10016" width="9.28515625" style="1306" customWidth="1"/>
    <col min="10017" max="10017" width="9.42578125" style="1306" customWidth="1"/>
    <col min="10018" max="10018" width="10.5703125" style="1306" customWidth="1"/>
    <col min="10019" max="10019" width="12.42578125" style="1306" customWidth="1"/>
    <col min="10020" max="10020" width="14.5703125" style="1306" customWidth="1"/>
    <col min="10021" max="10021" width="12.28515625" style="1306" customWidth="1"/>
    <col min="10022" max="10022" width="25.85546875" style="1306" customWidth="1"/>
    <col min="10023" max="10254" width="0.85546875" style="1306"/>
    <col min="10255" max="10255" width="9.85546875" style="1306" customWidth="1"/>
    <col min="10256" max="10256" width="81.85546875" style="1306" customWidth="1"/>
    <col min="10257" max="10257" width="12.7109375" style="1306" customWidth="1"/>
    <col min="10258" max="10258" width="12.42578125" style="1306" customWidth="1"/>
    <col min="10259" max="10259" width="14.5703125" style="1306" customWidth="1"/>
    <col min="10260" max="10260" width="12.28515625" style="1306" customWidth="1"/>
    <col min="10261" max="10261" width="38.140625" style="1306" customWidth="1"/>
    <col min="10262" max="10262" width="46.85546875" style="1306" customWidth="1"/>
    <col min="10263" max="10265" width="12.7109375" style="1306" customWidth="1"/>
    <col min="10266" max="10266" width="9.28515625" style="1306" customWidth="1"/>
    <col min="10267" max="10267" width="13.5703125" style="1306" customWidth="1"/>
    <col min="10268" max="10268" width="10.28515625" style="1306" customWidth="1"/>
    <col min="10269" max="10269" width="12.85546875" style="1306" customWidth="1"/>
    <col min="10270" max="10270" width="9.140625" style="1306" customWidth="1"/>
    <col min="10271" max="10271" width="9.7109375" style="1306" customWidth="1"/>
    <col min="10272" max="10272" width="9.28515625" style="1306" customWidth="1"/>
    <col min="10273" max="10273" width="9.42578125" style="1306" customWidth="1"/>
    <col min="10274" max="10274" width="10.5703125" style="1306" customWidth="1"/>
    <col min="10275" max="10275" width="12.42578125" style="1306" customWidth="1"/>
    <col min="10276" max="10276" width="14.5703125" style="1306" customWidth="1"/>
    <col min="10277" max="10277" width="12.28515625" style="1306" customWidth="1"/>
    <col min="10278" max="10278" width="25.85546875" style="1306" customWidth="1"/>
    <col min="10279" max="10510" width="0.85546875" style="1306"/>
    <col min="10511" max="10511" width="9.85546875" style="1306" customWidth="1"/>
    <col min="10512" max="10512" width="81.85546875" style="1306" customWidth="1"/>
    <col min="10513" max="10513" width="12.7109375" style="1306" customWidth="1"/>
    <col min="10514" max="10514" width="12.42578125" style="1306" customWidth="1"/>
    <col min="10515" max="10515" width="14.5703125" style="1306" customWidth="1"/>
    <col min="10516" max="10516" width="12.28515625" style="1306" customWidth="1"/>
    <col min="10517" max="10517" width="38.140625" style="1306" customWidth="1"/>
    <col min="10518" max="10518" width="46.85546875" style="1306" customWidth="1"/>
    <col min="10519" max="10521" width="12.7109375" style="1306" customWidth="1"/>
    <col min="10522" max="10522" width="9.28515625" style="1306" customWidth="1"/>
    <col min="10523" max="10523" width="13.5703125" style="1306" customWidth="1"/>
    <col min="10524" max="10524" width="10.28515625" style="1306" customWidth="1"/>
    <col min="10525" max="10525" width="12.85546875" style="1306" customWidth="1"/>
    <col min="10526" max="10526" width="9.140625" style="1306" customWidth="1"/>
    <col min="10527" max="10527" width="9.7109375" style="1306" customWidth="1"/>
    <col min="10528" max="10528" width="9.28515625" style="1306" customWidth="1"/>
    <col min="10529" max="10529" width="9.42578125" style="1306" customWidth="1"/>
    <col min="10530" max="10530" width="10.5703125" style="1306" customWidth="1"/>
    <col min="10531" max="10531" width="12.42578125" style="1306" customWidth="1"/>
    <col min="10532" max="10532" width="14.5703125" style="1306" customWidth="1"/>
    <col min="10533" max="10533" width="12.28515625" style="1306" customWidth="1"/>
    <col min="10534" max="10534" width="25.85546875" style="1306" customWidth="1"/>
    <col min="10535" max="10766" width="0.85546875" style="1306"/>
    <col min="10767" max="10767" width="9.85546875" style="1306" customWidth="1"/>
    <col min="10768" max="10768" width="81.85546875" style="1306" customWidth="1"/>
    <col min="10769" max="10769" width="12.7109375" style="1306" customWidth="1"/>
    <col min="10770" max="10770" width="12.42578125" style="1306" customWidth="1"/>
    <col min="10771" max="10771" width="14.5703125" style="1306" customWidth="1"/>
    <col min="10772" max="10772" width="12.28515625" style="1306" customWidth="1"/>
    <col min="10773" max="10773" width="38.140625" style="1306" customWidth="1"/>
    <col min="10774" max="10774" width="46.85546875" style="1306" customWidth="1"/>
    <col min="10775" max="10777" width="12.7109375" style="1306" customWidth="1"/>
    <col min="10778" max="10778" width="9.28515625" style="1306" customWidth="1"/>
    <col min="10779" max="10779" width="13.5703125" style="1306" customWidth="1"/>
    <col min="10780" max="10780" width="10.28515625" style="1306" customWidth="1"/>
    <col min="10781" max="10781" width="12.85546875" style="1306" customWidth="1"/>
    <col min="10782" max="10782" width="9.140625" style="1306" customWidth="1"/>
    <col min="10783" max="10783" width="9.7109375" style="1306" customWidth="1"/>
    <col min="10784" max="10784" width="9.28515625" style="1306" customWidth="1"/>
    <col min="10785" max="10785" width="9.42578125" style="1306" customWidth="1"/>
    <col min="10786" max="10786" width="10.5703125" style="1306" customWidth="1"/>
    <col min="10787" max="10787" width="12.42578125" style="1306" customWidth="1"/>
    <col min="10788" max="10788" width="14.5703125" style="1306" customWidth="1"/>
    <col min="10789" max="10789" width="12.28515625" style="1306" customWidth="1"/>
    <col min="10790" max="10790" width="25.85546875" style="1306" customWidth="1"/>
    <col min="10791" max="11022" width="0.85546875" style="1306"/>
    <col min="11023" max="11023" width="9.85546875" style="1306" customWidth="1"/>
    <col min="11024" max="11024" width="81.85546875" style="1306" customWidth="1"/>
    <col min="11025" max="11025" width="12.7109375" style="1306" customWidth="1"/>
    <col min="11026" max="11026" width="12.42578125" style="1306" customWidth="1"/>
    <col min="11027" max="11027" width="14.5703125" style="1306" customWidth="1"/>
    <col min="11028" max="11028" width="12.28515625" style="1306" customWidth="1"/>
    <col min="11029" max="11029" width="38.140625" style="1306" customWidth="1"/>
    <col min="11030" max="11030" width="46.85546875" style="1306" customWidth="1"/>
    <col min="11031" max="11033" width="12.7109375" style="1306" customWidth="1"/>
    <col min="11034" max="11034" width="9.28515625" style="1306" customWidth="1"/>
    <col min="11035" max="11035" width="13.5703125" style="1306" customWidth="1"/>
    <col min="11036" max="11036" width="10.28515625" style="1306" customWidth="1"/>
    <col min="11037" max="11037" width="12.85546875" style="1306" customWidth="1"/>
    <col min="11038" max="11038" width="9.140625" style="1306" customWidth="1"/>
    <col min="11039" max="11039" width="9.7109375" style="1306" customWidth="1"/>
    <col min="11040" max="11040" width="9.28515625" style="1306" customWidth="1"/>
    <col min="11041" max="11041" width="9.42578125" style="1306" customWidth="1"/>
    <col min="11042" max="11042" width="10.5703125" style="1306" customWidth="1"/>
    <col min="11043" max="11043" width="12.42578125" style="1306" customWidth="1"/>
    <col min="11044" max="11044" width="14.5703125" style="1306" customWidth="1"/>
    <col min="11045" max="11045" width="12.28515625" style="1306" customWidth="1"/>
    <col min="11046" max="11046" width="25.85546875" style="1306" customWidth="1"/>
    <col min="11047" max="11278" width="0.85546875" style="1306"/>
    <col min="11279" max="11279" width="9.85546875" style="1306" customWidth="1"/>
    <col min="11280" max="11280" width="81.85546875" style="1306" customWidth="1"/>
    <col min="11281" max="11281" width="12.7109375" style="1306" customWidth="1"/>
    <col min="11282" max="11282" width="12.42578125" style="1306" customWidth="1"/>
    <col min="11283" max="11283" width="14.5703125" style="1306" customWidth="1"/>
    <col min="11284" max="11284" width="12.28515625" style="1306" customWidth="1"/>
    <col min="11285" max="11285" width="38.140625" style="1306" customWidth="1"/>
    <col min="11286" max="11286" width="46.85546875" style="1306" customWidth="1"/>
    <col min="11287" max="11289" width="12.7109375" style="1306" customWidth="1"/>
    <col min="11290" max="11290" width="9.28515625" style="1306" customWidth="1"/>
    <col min="11291" max="11291" width="13.5703125" style="1306" customWidth="1"/>
    <col min="11292" max="11292" width="10.28515625" style="1306" customWidth="1"/>
    <col min="11293" max="11293" width="12.85546875" style="1306" customWidth="1"/>
    <col min="11294" max="11294" width="9.140625" style="1306" customWidth="1"/>
    <col min="11295" max="11295" width="9.7109375" style="1306" customWidth="1"/>
    <col min="11296" max="11296" width="9.28515625" style="1306" customWidth="1"/>
    <col min="11297" max="11297" width="9.42578125" style="1306" customWidth="1"/>
    <col min="11298" max="11298" width="10.5703125" style="1306" customWidth="1"/>
    <col min="11299" max="11299" width="12.42578125" style="1306" customWidth="1"/>
    <col min="11300" max="11300" width="14.5703125" style="1306" customWidth="1"/>
    <col min="11301" max="11301" width="12.28515625" style="1306" customWidth="1"/>
    <col min="11302" max="11302" width="25.85546875" style="1306" customWidth="1"/>
    <col min="11303" max="11534" width="0.85546875" style="1306"/>
    <col min="11535" max="11535" width="9.85546875" style="1306" customWidth="1"/>
    <col min="11536" max="11536" width="81.85546875" style="1306" customWidth="1"/>
    <col min="11537" max="11537" width="12.7109375" style="1306" customWidth="1"/>
    <col min="11538" max="11538" width="12.42578125" style="1306" customWidth="1"/>
    <col min="11539" max="11539" width="14.5703125" style="1306" customWidth="1"/>
    <col min="11540" max="11540" width="12.28515625" style="1306" customWidth="1"/>
    <col min="11541" max="11541" width="38.140625" style="1306" customWidth="1"/>
    <col min="11542" max="11542" width="46.85546875" style="1306" customWidth="1"/>
    <col min="11543" max="11545" width="12.7109375" style="1306" customWidth="1"/>
    <col min="11546" max="11546" width="9.28515625" style="1306" customWidth="1"/>
    <col min="11547" max="11547" width="13.5703125" style="1306" customWidth="1"/>
    <col min="11548" max="11548" width="10.28515625" style="1306" customWidth="1"/>
    <col min="11549" max="11549" width="12.85546875" style="1306" customWidth="1"/>
    <col min="11550" max="11550" width="9.140625" style="1306" customWidth="1"/>
    <col min="11551" max="11551" width="9.7109375" style="1306" customWidth="1"/>
    <col min="11552" max="11552" width="9.28515625" style="1306" customWidth="1"/>
    <col min="11553" max="11553" width="9.42578125" style="1306" customWidth="1"/>
    <col min="11554" max="11554" width="10.5703125" style="1306" customWidth="1"/>
    <col min="11555" max="11555" width="12.42578125" style="1306" customWidth="1"/>
    <col min="11556" max="11556" width="14.5703125" style="1306" customWidth="1"/>
    <col min="11557" max="11557" width="12.28515625" style="1306" customWidth="1"/>
    <col min="11558" max="11558" width="25.85546875" style="1306" customWidth="1"/>
    <col min="11559" max="11790" width="0.85546875" style="1306"/>
    <col min="11791" max="11791" width="9.85546875" style="1306" customWidth="1"/>
    <col min="11792" max="11792" width="81.85546875" style="1306" customWidth="1"/>
    <col min="11793" max="11793" width="12.7109375" style="1306" customWidth="1"/>
    <col min="11794" max="11794" width="12.42578125" style="1306" customWidth="1"/>
    <col min="11795" max="11795" width="14.5703125" style="1306" customWidth="1"/>
    <col min="11796" max="11796" width="12.28515625" style="1306" customWidth="1"/>
    <col min="11797" max="11797" width="38.140625" style="1306" customWidth="1"/>
    <col min="11798" max="11798" width="46.85546875" style="1306" customWidth="1"/>
    <col min="11799" max="11801" width="12.7109375" style="1306" customWidth="1"/>
    <col min="11802" max="11802" width="9.28515625" style="1306" customWidth="1"/>
    <col min="11803" max="11803" width="13.5703125" style="1306" customWidth="1"/>
    <col min="11804" max="11804" width="10.28515625" style="1306" customWidth="1"/>
    <col min="11805" max="11805" width="12.85546875" style="1306" customWidth="1"/>
    <col min="11806" max="11806" width="9.140625" style="1306" customWidth="1"/>
    <col min="11807" max="11807" width="9.7109375" style="1306" customWidth="1"/>
    <col min="11808" max="11808" width="9.28515625" style="1306" customWidth="1"/>
    <col min="11809" max="11809" width="9.42578125" style="1306" customWidth="1"/>
    <col min="11810" max="11810" width="10.5703125" style="1306" customWidth="1"/>
    <col min="11811" max="11811" width="12.42578125" style="1306" customWidth="1"/>
    <col min="11812" max="11812" width="14.5703125" style="1306" customWidth="1"/>
    <col min="11813" max="11813" width="12.28515625" style="1306" customWidth="1"/>
    <col min="11814" max="11814" width="25.85546875" style="1306" customWidth="1"/>
    <col min="11815" max="12046" width="0.85546875" style="1306"/>
    <col min="12047" max="12047" width="9.85546875" style="1306" customWidth="1"/>
    <col min="12048" max="12048" width="81.85546875" style="1306" customWidth="1"/>
    <col min="12049" max="12049" width="12.7109375" style="1306" customWidth="1"/>
    <col min="12050" max="12050" width="12.42578125" style="1306" customWidth="1"/>
    <col min="12051" max="12051" width="14.5703125" style="1306" customWidth="1"/>
    <col min="12052" max="12052" width="12.28515625" style="1306" customWidth="1"/>
    <col min="12053" max="12053" width="38.140625" style="1306" customWidth="1"/>
    <col min="12054" max="12054" width="46.85546875" style="1306" customWidth="1"/>
    <col min="12055" max="12057" width="12.7109375" style="1306" customWidth="1"/>
    <col min="12058" max="12058" width="9.28515625" style="1306" customWidth="1"/>
    <col min="12059" max="12059" width="13.5703125" style="1306" customWidth="1"/>
    <col min="12060" max="12060" width="10.28515625" style="1306" customWidth="1"/>
    <col min="12061" max="12061" width="12.85546875" style="1306" customWidth="1"/>
    <col min="12062" max="12062" width="9.140625" style="1306" customWidth="1"/>
    <col min="12063" max="12063" width="9.7109375" style="1306" customWidth="1"/>
    <col min="12064" max="12064" width="9.28515625" style="1306" customWidth="1"/>
    <col min="12065" max="12065" width="9.42578125" style="1306" customWidth="1"/>
    <col min="12066" max="12066" width="10.5703125" style="1306" customWidth="1"/>
    <col min="12067" max="12067" width="12.42578125" style="1306" customWidth="1"/>
    <col min="12068" max="12068" width="14.5703125" style="1306" customWidth="1"/>
    <col min="12069" max="12069" width="12.28515625" style="1306" customWidth="1"/>
    <col min="12070" max="12070" width="25.85546875" style="1306" customWidth="1"/>
    <col min="12071" max="12302" width="0.85546875" style="1306"/>
    <col min="12303" max="12303" width="9.85546875" style="1306" customWidth="1"/>
    <col min="12304" max="12304" width="81.85546875" style="1306" customWidth="1"/>
    <col min="12305" max="12305" width="12.7109375" style="1306" customWidth="1"/>
    <col min="12306" max="12306" width="12.42578125" style="1306" customWidth="1"/>
    <col min="12307" max="12307" width="14.5703125" style="1306" customWidth="1"/>
    <col min="12308" max="12308" width="12.28515625" style="1306" customWidth="1"/>
    <col min="12309" max="12309" width="38.140625" style="1306" customWidth="1"/>
    <col min="12310" max="12310" width="46.85546875" style="1306" customWidth="1"/>
    <col min="12311" max="12313" width="12.7109375" style="1306" customWidth="1"/>
    <col min="12314" max="12314" width="9.28515625" style="1306" customWidth="1"/>
    <col min="12315" max="12315" width="13.5703125" style="1306" customWidth="1"/>
    <col min="12316" max="12316" width="10.28515625" style="1306" customWidth="1"/>
    <col min="12317" max="12317" width="12.85546875" style="1306" customWidth="1"/>
    <col min="12318" max="12318" width="9.140625" style="1306" customWidth="1"/>
    <col min="12319" max="12319" width="9.7109375" style="1306" customWidth="1"/>
    <col min="12320" max="12320" width="9.28515625" style="1306" customWidth="1"/>
    <col min="12321" max="12321" width="9.42578125" style="1306" customWidth="1"/>
    <col min="12322" max="12322" width="10.5703125" style="1306" customWidth="1"/>
    <col min="12323" max="12323" width="12.42578125" style="1306" customWidth="1"/>
    <col min="12324" max="12324" width="14.5703125" style="1306" customWidth="1"/>
    <col min="12325" max="12325" width="12.28515625" style="1306" customWidth="1"/>
    <col min="12326" max="12326" width="25.85546875" style="1306" customWidth="1"/>
    <col min="12327" max="12558" width="0.85546875" style="1306"/>
    <col min="12559" max="12559" width="9.85546875" style="1306" customWidth="1"/>
    <col min="12560" max="12560" width="81.85546875" style="1306" customWidth="1"/>
    <col min="12561" max="12561" width="12.7109375" style="1306" customWidth="1"/>
    <col min="12562" max="12562" width="12.42578125" style="1306" customWidth="1"/>
    <col min="12563" max="12563" width="14.5703125" style="1306" customWidth="1"/>
    <col min="12564" max="12564" width="12.28515625" style="1306" customWidth="1"/>
    <col min="12565" max="12565" width="38.140625" style="1306" customWidth="1"/>
    <col min="12566" max="12566" width="46.85546875" style="1306" customWidth="1"/>
    <col min="12567" max="12569" width="12.7109375" style="1306" customWidth="1"/>
    <col min="12570" max="12570" width="9.28515625" style="1306" customWidth="1"/>
    <col min="12571" max="12571" width="13.5703125" style="1306" customWidth="1"/>
    <col min="12572" max="12572" width="10.28515625" style="1306" customWidth="1"/>
    <col min="12573" max="12573" width="12.85546875" style="1306" customWidth="1"/>
    <col min="12574" max="12574" width="9.140625" style="1306" customWidth="1"/>
    <col min="12575" max="12575" width="9.7109375" style="1306" customWidth="1"/>
    <col min="12576" max="12576" width="9.28515625" style="1306" customWidth="1"/>
    <col min="12577" max="12577" width="9.42578125" style="1306" customWidth="1"/>
    <col min="12578" max="12578" width="10.5703125" style="1306" customWidth="1"/>
    <col min="12579" max="12579" width="12.42578125" style="1306" customWidth="1"/>
    <col min="12580" max="12580" width="14.5703125" style="1306" customWidth="1"/>
    <col min="12581" max="12581" width="12.28515625" style="1306" customWidth="1"/>
    <col min="12582" max="12582" width="25.85546875" style="1306" customWidth="1"/>
    <col min="12583" max="12814" width="0.85546875" style="1306"/>
    <col min="12815" max="12815" width="9.85546875" style="1306" customWidth="1"/>
    <col min="12816" max="12816" width="81.85546875" style="1306" customWidth="1"/>
    <col min="12817" max="12817" width="12.7109375" style="1306" customWidth="1"/>
    <col min="12818" max="12818" width="12.42578125" style="1306" customWidth="1"/>
    <col min="12819" max="12819" width="14.5703125" style="1306" customWidth="1"/>
    <col min="12820" max="12820" width="12.28515625" style="1306" customWidth="1"/>
    <col min="12821" max="12821" width="38.140625" style="1306" customWidth="1"/>
    <col min="12822" max="12822" width="46.85546875" style="1306" customWidth="1"/>
    <col min="12823" max="12825" width="12.7109375" style="1306" customWidth="1"/>
    <col min="12826" max="12826" width="9.28515625" style="1306" customWidth="1"/>
    <col min="12827" max="12827" width="13.5703125" style="1306" customWidth="1"/>
    <col min="12828" max="12828" width="10.28515625" style="1306" customWidth="1"/>
    <col min="12829" max="12829" width="12.85546875" style="1306" customWidth="1"/>
    <col min="12830" max="12830" width="9.140625" style="1306" customWidth="1"/>
    <col min="12831" max="12831" width="9.7109375" style="1306" customWidth="1"/>
    <col min="12832" max="12832" width="9.28515625" style="1306" customWidth="1"/>
    <col min="12833" max="12833" width="9.42578125" style="1306" customWidth="1"/>
    <col min="12834" max="12834" width="10.5703125" style="1306" customWidth="1"/>
    <col min="12835" max="12835" width="12.42578125" style="1306" customWidth="1"/>
    <col min="12836" max="12836" width="14.5703125" style="1306" customWidth="1"/>
    <col min="12837" max="12837" width="12.28515625" style="1306" customWidth="1"/>
    <col min="12838" max="12838" width="25.85546875" style="1306" customWidth="1"/>
    <col min="12839" max="13070" width="0.85546875" style="1306"/>
    <col min="13071" max="13071" width="9.85546875" style="1306" customWidth="1"/>
    <col min="13072" max="13072" width="81.85546875" style="1306" customWidth="1"/>
    <col min="13073" max="13073" width="12.7109375" style="1306" customWidth="1"/>
    <col min="13074" max="13074" width="12.42578125" style="1306" customWidth="1"/>
    <col min="13075" max="13075" width="14.5703125" style="1306" customWidth="1"/>
    <col min="13076" max="13076" width="12.28515625" style="1306" customWidth="1"/>
    <col min="13077" max="13077" width="38.140625" style="1306" customWidth="1"/>
    <col min="13078" max="13078" width="46.85546875" style="1306" customWidth="1"/>
    <col min="13079" max="13081" width="12.7109375" style="1306" customWidth="1"/>
    <col min="13082" max="13082" width="9.28515625" style="1306" customWidth="1"/>
    <col min="13083" max="13083" width="13.5703125" style="1306" customWidth="1"/>
    <col min="13084" max="13084" width="10.28515625" style="1306" customWidth="1"/>
    <col min="13085" max="13085" width="12.85546875" style="1306" customWidth="1"/>
    <col min="13086" max="13086" width="9.140625" style="1306" customWidth="1"/>
    <col min="13087" max="13087" width="9.7109375" style="1306" customWidth="1"/>
    <col min="13088" max="13088" width="9.28515625" style="1306" customWidth="1"/>
    <col min="13089" max="13089" width="9.42578125" style="1306" customWidth="1"/>
    <col min="13090" max="13090" width="10.5703125" style="1306" customWidth="1"/>
    <col min="13091" max="13091" width="12.42578125" style="1306" customWidth="1"/>
    <col min="13092" max="13092" width="14.5703125" style="1306" customWidth="1"/>
    <col min="13093" max="13093" width="12.28515625" style="1306" customWidth="1"/>
    <col min="13094" max="13094" width="25.85546875" style="1306" customWidth="1"/>
    <col min="13095" max="13326" width="0.85546875" style="1306"/>
    <col min="13327" max="13327" width="9.85546875" style="1306" customWidth="1"/>
    <col min="13328" max="13328" width="81.85546875" style="1306" customWidth="1"/>
    <col min="13329" max="13329" width="12.7109375" style="1306" customWidth="1"/>
    <col min="13330" max="13330" width="12.42578125" style="1306" customWidth="1"/>
    <col min="13331" max="13331" width="14.5703125" style="1306" customWidth="1"/>
    <col min="13332" max="13332" width="12.28515625" style="1306" customWidth="1"/>
    <col min="13333" max="13333" width="38.140625" style="1306" customWidth="1"/>
    <col min="13334" max="13334" width="46.85546875" style="1306" customWidth="1"/>
    <col min="13335" max="13337" width="12.7109375" style="1306" customWidth="1"/>
    <col min="13338" max="13338" width="9.28515625" style="1306" customWidth="1"/>
    <col min="13339" max="13339" width="13.5703125" style="1306" customWidth="1"/>
    <col min="13340" max="13340" width="10.28515625" style="1306" customWidth="1"/>
    <col min="13341" max="13341" width="12.85546875" style="1306" customWidth="1"/>
    <col min="13342" max="13342" width="9.140625" style="1306" customWidth="1"/>
    <col min="13343" max="13343" width="9.7109375" style="1306" customWidth="1"/>
    <col min="13344" max="13344" width="9.28515625" style="1306" customWidth="1"/>
    <col min="13345" max="13345" width="9.42578125" style="1306" customWidth="1"/>
    <col min="13346" max="13346" width="10.5703125" style="1306" customWidth="1"/>
    <col min="13347" max="13347" width="12.42578125" style="1306" customWidth="1"/>
    <col min="13348" max="13348" width="14.5703125" style="1306" customWidth="1"/>
    <col min="13349" max="13349" width="12.28515625" style="1306" customWidth="1"/>
    <col min="13350" max="13350" width="25.85546875" style="1306" customWidth="1"/>
    <col min="13351" max="13582" width="0.85546875" style="1306"/>
    <col min="13583" max="13583" width="9.85546875" style="1306" customWidth="1"/>
    <col min="13584" max="13584" width="81.85546875" style="1306" customWidth="1"/>
    <col min="13585" max="13585" width="12.7109375" style="1306" customWidth="1"/>
    <col min="13586" max="13586" width="12.42578125" style="1306" customWidth="1"/>
    <col min="13587" max="13587" width="14.5703125" style="1306" customWidth="1"/>
    <col min="13588" max="13588" width="12.28515625" style="1306" customWidth="1"/>
    <col min="13589" max="13589" width="38.140625" style="1306" customWidth="1"/>
    <col min="13590" max="13590" width="46.85546875" style="1306" customWidth="1"/>
    <col min="13591" max="13593" width="12.7109375" style="1306" customWidth="1"/>
    <col min="13594" max="13594" width="9.28515625" style="1306" customWidth="1"/>
    <col min="13595" max="13595" width="13.5703125" style="1306" customWidth="1"/>
    <col min="13596" max="13596" width="10.28515625" style="1306" customWidth="1"/>
    <col min="13597" max="13597" width="12.85546875" style="1306" customWidth="1"/>
    <col min="13598" max="13598" width="9.140625" style="1306" customWidth="1"/>
    <col min="13599" max="13599" width="9.7109375" style="1306" customWidth="1"/>
    <col min="13600" max="13600" width="9.28515625" style="1306" customWidth="1"/>
    <col min="13601" max="13601" width="9.42578125" style="1306" customWidth="1"/>
    <col min="13602" max="13602" width="10.5703125" style="1306" customWidth="1"/>
    <col min="13603" max="13603" width="12.42578125" style="1306" customWidth="1"/>
    <col min="13604" max="13604" width="14.5703125" style="1306" customWidth="1"/>
    <col min="13605" max="13605" width="12.28515625" style="1306" customWidth="1"/>
    <col min="13606" max="13606" width="25.85546875" style="1306" customWidth="1"/>
    <col min="13607" max="13838" width="0.85546875" style="1306"/>
    <col min="13839" max="13839" width="9.85546875" style="1306" customWidth="1"/>
    <col min="13840" max="13840" width="81.85546875" style="1306" customWidth="1"/>
    <col min="13841" max="13841" width="12.7109375" style="1306" customWidth="1"/>
    <col min="13842" max="13842" width="12.42578125" style="1306" customWidth="1"/>
    <col min="13843" max="13843" width="14.5703125" style="1306" customWidth="1"/>
    <col min="13844" max="13844" width="12.28515625" style="1306" customWidth="1"/>
    <col min="13845" max="13845" width="38.140625" style="1306" customWidth="1"/>
    <col min="13846" max="13846" width="46.85546875" style="1306" customWidth="1"/>
    <col min="13847" max="13849" width="12.7109375" style="1306" customWidth="1"/>
    <col min="13850" max="13850" width="9.28515625" style="1306" customWidth="1"/>
    <col min="13851" max="13851" width="13.5703125" style="1306" customWidth="1"/>
    <col min="13852" max="13852" width="10.28515625" style="1306" customWidth="1"/>
    <col min="13853" max="13853" width="12.85546875" style="1306" customWidth="1"/>
    <col min="13854" max="13854" width="9.140625" style="1306" customWidth="1"/>
    <col min="13855" max="13855" width="9.7109375" style="1306" customWidth="1"/>
    <col min="13856" max="13856" width="9.28515625" style="1306" customWidth="1"/>
    <col min="13857" max="13857" width="9.42578125" style="1306" customWidth="1"/>
    <col min="13858" max="13858" width="10.5703125" style="1306" customWidth="1"/>
    <col min="13859" max="13859" width="12.42578125" style="1306" customWidth="1"/>
    <col min="13860" max="13860" width="14.5703125" style="1306" customWidth="1"/>
    <col min="13861" max="13861" width="12.28515625" style="1306" customWidth="1"/>
    <col min="13862" max="13862" width="25.85546875" style="1306" customWidth="1"/>
    <col min="13863" max="14094" width="0.85546875" style="1306"/>
    <col min="14095" max="14095" width="9.85546875" style="1306" customWidth="1"/>
    <col min="14096" max="14096" width="81.85546875" style="1306" customWidth="1"/>
    <col min="14097" max="14097" width="12.7109375" style="1306" customWidth="1"/>
    <col min="14098" max="14098" width="12.42578125" style="1306" customWidth="1"/>
    <col min="14099" max="14099" width="14.5703125" style="1306" customWidth="1"/>
    <col min="14100" max="14100" width="12.28515625" style="1306" customWidth="1"/>
    <col min="14101" max="14101" width="38.140625" style="1306" customWidth="1"/>
    <col min="14102" max="14102" width="46.85546875" style="1306" customWidth="1"/>
    <col min="14103" max="14105" width="12.7109375" style="1306" customWidth="1"/>
    <col min="14106" max="14106" width="9.28515625" style="1306" customWidth="1"/>
    <col min="14107" max="14107" width="13.5703125" style="1306" customWidth="1"/>
    <col min="14108" max="14108" width="10.28515625" style="1306" customWidth="1"/>
    <col min="14109" max="14109" width="12.85546875" style="1306" customWidth="1"/>
    <col min="14110" max="14110" width="9.140625" style="1306" customWidth="1"/>
    <col min="14111" max="14111" width="9.7109375" style="1306" customWidth="1"/>
    <col min="14112" max="14112" width="9.28515625" style="1306" customWidth="1"/>
    <col min="14113" max="14113" width="9.42578125" style="1306" customWidth="1"/>
    <col min="14114" max="14114" width="10.5703125" style="1306" customWidth="1"/>
    <col min="14115" max="14115" width="12.42578125" style="1306" customWidth="1"/>
    <col min="14116" max="14116" width="14.5703125" style="1306" customWidth="1"/>
    <col min="14117" max="14117" width="12.28515625" style="1306" customWidth="1"/>
    <col min="14118" max="14118" width="25.85546875" style="1306" customWidth="1"/>
    <col min="14119" max="14350" width="0.85546875" style="1306"/>
    <col min="14351" max="14351" width="9.85546875" style="1306" customWidth="1"/>
    <col min="14352" max="14352" width="81.85546875" style="1306" customWidth="1"/>
    <col min="14353" max="14353" width="12.7109375" style="1306" customWidth="1"/>
    <col min="14354" max="14354" width="12.42578125" style="1306" customWidth="1"/>
    <col min="14355" max="14355" width="14.5703125" style="1306" customWidth="1"/>
    <col min="14356" max="14356" width="12.28515625" style="1306" customWidth="1"/>
    <col min="14357" max="14357" width="38.140625" style="1306" customWidth="1"/>
    <col min="14358" max="14358" width="46.85546875" style="1306" customWidth="1"/>
    <col min="14359" max="14361" width="12.7109375" style="1306" customWidth="1"/>
    <col min="14362" max="14362" width="9.28515625" style="1306" customWidth="1"/>
    <col min="14363" max="14363" width="13.5703125" style="1306" customWidth="1"/>
    <col min="14364" max="14364" width="10.28515625" style="1306" customWidth="1"/>
    <col min="14365" max="14365" width="12.85546875" style="1306" customWidth="1"/>
    <col min="14366" max="14366" width="9.140625" style="1306" customWidth="1"/>
    <col min="14367" max="14367" width="9.7109375" style="1306" customWidth="1"/>
    <col min="14368" max="14368" width="9.28515625" style="1306" customWidth="1"/>
    <col min="14369" max="14369" width="9.42578125" style="1306" customWidth="1"/>
    <col min="14370" max="14370" width="10.5703125" style="1306" customWidth="1"/>
    <col min="14371" max="14371" width="12.42578125" style="1306" customWidth="1"/>
    <col min="14372" max="14372" width="14.5703125" style="1306" customWidth="1"/>
    <col min="14373" max="14373" width="12.28515625" style="1306" customWidth="1"/>
    <col min="14374" max="14374" width="25.85546875" style="1306" customWidth="1"/>
    <col min="14375" max="14606" width="0.85546875" style="1306"/>
    <col min="14607" max="14607" width="9.85546875" style="1306" customWidth="1"/>
    <col min="14608" max="14608" width="81.85546875" style="1306" customWidth="1"/>
    <col min="14609" max="14609" width="12.7109375" style="1306" customWidth="1"/>
    <col min="14610" max="14610" width="12.42578125" style="1306" customWidth="1"/>
    <col min="14611" max="14611" width="14.5703125" style="1306" customWidth="1"/>
    <col min="14612" max="14612" width="12.28515625" style="1306" customWidth="1"/>
    <col min="14613" max="14613" width="38.140625" style="1306" customWidth="1"/>
    <col min="14614" max="14614" width="46.85546875" style="1306" customWidth="1"/>
    <col min="14615" max="14617" width="12.7109375" style="1306" customWidth="1"/>
    <col min="14618" max="14618" width="9.28515625" style="1306" customWidth="1"/>
    <col min="14619" max="14619" width="13.5703125" style="1306" customWidth="1"/>
    <col min="14620" max="14620" width="10.28515625" style="1306" customWidth="1"/>
    <col min="14621" max="14621" width="12.85546875" style="1306" customWidth="1"/>
    <col min="14622" max="14622" width="9.140625" style="1306" customWidth="1"/>
    <col min="14623" max="14623" width="9.7109375" style="1306" customWidth="1"/>
    <col min="14624" max="14624" width="9.28515625" style="1306" customWidth="1"/>
    <col min="14625" max="14625" width="9.42578125" style="1306" customWidth="1"/>
    <col min="14626" max="14626" width="10.5703125" style="1306" customWidth="1"/>
    <col min="14627" max="14627" width="12.42578125" style="1306" customWidth="1"/>
    <col min="14628" max="14628" width="14.5703125" style="1306" customWidth="1"/>
    <col min="14629" max="14629" width="12.28515625" style="1306" customWidth="1"/>
    <col min="14630" max="14630" width="25.85546875" style="1306" customWidth="1"/>
    <col min="14631" max="14862" width="0.85546875" style="1306"/>
    <col min="14863" max="14863" width="9.85546875" style="1306" customWidth="1"/>
    <col min="14864" max="14864" width="81.85546875" style="1306" customWidth="1"/>
    <col min="14865" max="14865" width="12.7109375" style="1306" customWidth="1"/>
    <col min="14866" max="14866" width="12.42578125" style="1306" customWidth="1"/>
    <col min="14867" max="14867" width="14.5703125" style="1306" customWidth="1"/>
    <col min="14868" max="14868" width="12.28515625" style="1306" customWidth="1"/>
    <col min="14869" max="14869" width="38.140625" style="1306" customWidth="1"/>
    <col min="14870" max="14870" width="46.85546875" style="1306" customWidth="1"/>
    <col min="14871" max="14873" width="12.7109375" style="1306" customWidth="1"/>
    <col min="14874" max="14874" width="9.28515625" style="1306" customWidth="1"/>
    <col min="14875" max="14875" width="13.5703125" style="1306" customWidth="1"/>
    <col min="14876" max="14876" width="10.28515625" style="1306" customWidth="1"/>
    <col min="14877" max="14877" width="12.85546875" style="1306" customWidth="1"/>
    <col min="14878" max="14878" width="9.140625" style="1306" customWidth="1"/>
    <col min="14879" max="14879" width="9.7109375" style="1306" customWidth="1"/>
    <col min="14880" max="14880" width="9.28515625" style="1306" customWidth="1"/>
    <col min="14881" max="14881" width="9.42578125" style="1306" customWidth="1"/>
    <col min="14882" max="14882" width="10.5703125" style="1306" customWidth="1"/>
    <col min="14883" max="14883" width="12.42578125" style="1306" customWidth="1"/>
    <col min="14884" max="14884" width="14.5703125" style="1306" customWidth="1"/>
    <col min="14885" max="14885" width="12.28515625" style="1306" customWidth="1"/>
    <col min="14886" max="14886" width="25.85546875" style="1306" customWidth="1"/>
    <col min="14887" max="15118" width="0.85546875" style="1306"/>
    <col min="15119" max="15119" width="9.85546875" style="1306" customWidth="1"/>
    <col min="15120" max="15120" width="81.85546875" style="1306" customWidth="1"/>
    <col min="15121" max="15121" width="12.7109375" style="1306" customWidth="1"/>
    <col min="15122" max="15122" width="12.42578125" style="1306" customWidth="1"/>
    <col min="15123" max="15123" width="14.5703125" style="1306" customWidth="1"/>
    <col min="15124" max="15124" width="12.28515625" style="1306" customWidth="1"/>
    <col min="15125" max="15125" width="38.140625" style="1306" customWidth="1"/>
    <col min="15126" max="15126" width="46.85546875" style="1306" customWidth="1"/>
    <col min="15127" max="15129" width="12.7109375" style="1306" customWidth="1"/>
    <col min="15130" max="15130" width="9.28515625" style="1306" customWidth="1"/>
    <col min="15131" max="15131" width="13.5703125" style="1306" customWidth="1"/>
    <col min="15132" max="15132" width="10.28515625" style="1306" customWidth="1"/>
    <col min="15133" max="15133" width="12.85546875" style="1306" customWidth="1"/>
    <col min="15134" max="15134" width="9.140625" style="1306" customWidth="1"/>
    <col min="15135" max="15135" width="9.7109375" style="1306" customWidth="1"/>
    <col min="15136" max="15136" width="9.28515625" style="1306" customWidth="1"/>
    <col min="15137" max="15137" width="9.42578125" style="1306" customWidth="1"/>
    <col min="15138" max="15138" width="10.5703125" style="1306" customWidth="1"/>
    <col min="15139" max="15139" width="12.42578125" style="1306" customWidth="1"/>
    <col min="15140" max="15140" width="14.5703125" style="1306" customWidth="1"/>
    <col min="15141" max="15141" width="12.28515625" style="1306" customWidth="1"/>
    <col min="15142" max="15142" width="25.85546875" style="1306" customWidth="1"/>
    <col min="15143" max="15374" width="0.85546875" style="1306"/>
    <col min="15375" max="15375" width="9.85546875" style="1306" customWidth="1"/>
    <col min="15376" max="15376" width="81.85546875" style="1306" customWidth="1"/>
    <col min="15377" max="15377" width="12.7109375" style="1306" customWidth="1"/>
    <col min="15378" max="15378" width="12.42578125" style="1306" customWidth="1"/>
    <col min="15379" max="15379" width="14.5703125" style="1306" customWidth="1"/>
    <col min="15380" max="15380" width="12.28515625" style="1306" customWidth="1"/>
    <col min="15381" max="15381" width="38.140625" style="1306" customWidth="1"/>
    <col min="15382" max="15382" width="46.85546875" style="1306" customWidth="1"/>
    <col min="15383" max="15385" width="12.7109375" style="1306" customWidth="1"/>
    <col min="15386" max="15386" width="9.28515625" style="1306" customWidth="1"/>
    <col min="15387" max="15387" width="13.5703125" style="1306" customWidth="1"/>
    <col min="15388" max="15388" width="10.28515625" style="1306" customWidth="1"/>
    <col min="15389" max="15389" width="12.85546875" style="1306" customWidth="1"/>
    <col min="15390" max="15390" width="9.140625" style="1306" customWidth="1"/>
    <col min="15391" max="15391" width="9.7109375" style="1306" customWidth="1"/>
    <col min="15392" max="15392" width="9.28515625" style="1306" customWidth="1"/>
    <col min="15393" max="15393" width="9.42578125" style="1306" customWidth="1"/>
    <col min="15394" max="15394" width="10.5703125" style="1306" customWidth="1"/>
    <col min="15395" max="15395" width="12.42578125" style="1306" customWidth="1"/>
    <col min="15396" max="15396" width="14.5703125" style="1306" customWidth="1"/>
    <col min="15397" max="15397" width="12.28515625" style="1306" customWidth="1"/>
    <col min="15398" max="15398" width="25.85546875" style="1306" customWidth="1"/>
    <col min="15399" max="15630" width="0.85546875" style="1306"/>
    <col min="15631" max="15631" width="9.85546875" style="1306" customWidth="1"/>
    <col min="15632" max="15632" width="81.85546875" style="1306" customWidth="1"/>
    <col min="15633" max="15633" width="12.7109375" style="1306" customWidth="1"/>
    <col min="15634" max="15634" width="12.42578125" style="1306" customWidth="1"/>
    <col min="15635" max="15635" width="14.5703125" style="1306" customWidth="1"/>
    <col min="15636" max="15636" width="12.28515625" style="1306" customWidth="1"/>
    <col min="15637" max="15637" width="38.140625" style="1306" customWidth="1"/>
    <col min="15638" max="15638" width="46.85546875" style="1306" customWidth="1"/>
    <col min="15639" max="15641" width="12.7109375" style="1306" customWidth="1"/>
    <col min="15642" max="15642" width="9.28515625" style="1306" customWidth="1"/>
    <col min="15643" max="15643" width="13.5703125" style="1306" customWidth="1"/>
    <col min="15644" max="15644" width="10.28515625" style="1306" customWidth="1"/>
    <col min="15645" max="15645" width="12.85546875" style="1306" customWidth="1"/>
    <col min="15646" max="15646" width="9.140625" style="1306" customWidth="1"/>
    <col min="15647" max="15647" width="9.7109375" style="1306" customWidth="1"/>
    <col min="15648" max="15648" width="9.28515625" style="1306" customWidth="1"/>
    <col min="15649" max="15649" width="9.42578125" style="1306" customWidth="1"/>
    <col min="15650" max="15650" width="10.5703125" style="1306" customWidth="1"/>
    <col min="15651" max="15651" width="12.42578125" style="1306" customWidth="1"/>
    <col min="15652" max="15652" width="14.5703125" style="1306" customWidth="1"/>
    <col min="15653" max="15653" width="12.28515625" style="1306" customWidth="1"/>
    <col min="15654" max="15654" width="25.85546875" style="1306" customWidth="1"/>
    <col min="15655" max="15886" width="0.85546875" style="1306"/>
    <col min="15887" max="15887" width="9.85546875" style="1306" customWidth="1"/>
    <col min="15888" max="15888" width="81.85546875" style="1306" customWidth="1"/>
    <col min="15889" max="15889" width="12.7109375" style="1306" customWidth="1"/>
    <col min="15890" max="15890" width="12.42578125" style="1306" customWidth="1"/>
    <col min="15891" max="15891" width="14.5703125" style="1306" customWidth="1"/>
    <col min="15892" max="15892" width="12.28515625" style="1306" customWidth="1"/>
    <col min="15893" max="15893" width="38.140625" style="1306" customWidth="1"/>
    <col min="15894" max="15894" width="46.85546875" style="1306" customWidth="1"/>
    <col min="15895" max="15897" width="12.7109375" style="1306" customWidth="1"/>
    <col min="15898" max="15898" width="9.28515625" style="1306" customWidth="1"/>
    <col min="15899" max="15899" width="13.5703125" style="1306" customWidth="1"/>
    <col min="15900" max="15900" width="10.28515625" style="1306" customWidth="1"/>
    <col min="15901" max="15901" width="12.85546875" style="1306" customWidth="1"/>
    <col min="15902" max="15902" width="9.140625" style="1306" customWidth="1"/>
    <col min="15903" max="15903" width="9.7109375" style="1306" customWidth="1"/>
    <col min="15904" max="15904" width="9.28515625" style="1306" customWidth="1"/>
    <col min="15905" max="15905" width="9.42578125" style="1306" customWidth="1"/>
    <col min="15906" max="15906" width="10.5703125" style="1306" customWidth="1"/>
    <col min="15907" max="15907" width="12.42578125" style="1306" customWidth="1"/>
    <col min="15908" max="15908" width="14.5703125" style="1306" customWidth="1"/>
    <col min="15909" max="15909" width="12.28515625" style="1306" customWidth="1"/>
    <col min="15910" max="15910" width="25.85546875" style="1306" customWidth="1"/>
    <col min="15911" max="16142" width="0.85546875" style="1306"/>
    <col min="16143" max="16143" width="9.85546875" style="1306" customWidth="1"/>
    <col min="16144" max="16144" width="81.85546875" style="1306" customWidth="1"/>
    <col min="16145" max="16145" width="12.7109375" style="1306" customWidth="1"/>
    <col min="16146" max="16146" width="12.42578125" style="1306" customWidth="1"/>
    <col min="16147" max="16147" width="14.5703125" style="1306" customWidth="1"/>
    <col min="16148" max="16148" width="12.28515625" style="1306" customWidth="1"/>
    <col min="16149" max="16149" width="38.140625" style="1306" customWidth="1"/>
    <col min="16150" max="16150" width="46.85546875" style="1306" customWidth="1"/>
    <col min="16151" max="16153" width="12.7109375" style="1306" customWidth="1"/>
    <col min="16154" max="16154" width="9.28515625" style="1306" customWidth="1"/>
    <col min="16155" max="16155" width="13.5703125" style="1306" customWidth="1"/>
    <col min="16156" max="16156" width="10.28515625" style="1306" customWidth="1"/>
    <col min="16157" max="16157" width="12.85546875" style="1306" customWidth="1"/>
    <col min="16158" max="16158" width="9.140625" style="1306" customWidth="1"/>
    <col min="16159" max="16159" width="9.7109375" style="1306" customWidth="1"/>
    <col min="16160" max="16160" width="9.28515625" style="1306" customWidth="1"/>
    <col min="16161" max="16161" width="9.42578125" style="1306" customWidth="1"/>
    <col min="16162" max="16162" width="10.5703125" style="1306" customWidth="1"/>
    <col min="16163" max="16163" width="12.42578125" style="1306" customWidth="1"/>
    <col min="16164" max="16164" width="14.5703125" style="1306" customWidth="1"/>
    <col min="16165" max="16165" width="12.28515625" style="1306" customWidth="1"/>
    <col min="16166" max="16166" width="25.85546875" style="1306" customWidth="1"/>
    <col min="16167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20" t="s">
        <v>3551</v>
      </c>
      <c r="B2" s="4020"/>
      <c r="C2" s="4020"/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  <c r="O2" s="4020"/>
      <c r="P2" s="4020"/>
      <c r="Q2" s="4020"/>
      <c r="R2" s="4020"/>
      <c r="S2" s="4020"/>
      <c r="T2" s="4020"/>
      <c r="U2" s="4020"/>
      <c r="V2" s="4020"/>
      <c r="W2" s="4020"/>
      <c r="X2" s="4020"/>
      <c r="Y2" s="4020"/>
      <c r="Z2" s="4020"/>
      <c r="AA2" s="4020"/>
      <c r="AB2" s="4020"/>
      <c r="AC2" s="4020"/>
      <c r="AD2" s="4020"/>
    </row>
    <row r="4" spans="1:30" ht="15.75" customHeight="1" x14ac:dyDescent="0.25">
      <c r="A4" s="4005" t="s">
        <v>905</v>
      </c>
      <c r="B4" s="4005" t="s">
        <v>367</v>
      </c>
      <c r="C4" s="4005" t="s">
        <v>906</v>
      </c>
      <c r="D4" s="4021" t="s">
        <v>1807</v>
      </c>
      <c r="E4" s="4021" t="s">
        <v>1806</v>
      </c>
      <c r="F4" s="4007" t="str">
        <f>'вода 2018 коррект'!F4:AC4</f>
        <v>Установлено на первый долгосрочный период регулирования 2016 - 2018 годы</v>
      </c>
      <c r="G4" s="4008"/>
      <c r="H4" s="4008"/>
      <c r="I4" s="4031"/>
      <c r="J4" s="4031"/>
      <c r="K4" s="4031"/>
      <c r="L4" s="4031"/>
      <c r="M4" s="4031"/>
      <c r="N4" s="4031"/>
      <c r="O4" s="4031"/>
      <c r="P4" s="4032"/>
      <c r="Q4" s="4008" t="s">
        <v>1824</v>
      </c>
      <c r="R4" s="4008"/>
      <c r="S4" s="4008"/>
      <c r="T4" s="4008"/>
      <c r="U4" s="4008"/>
      <c r="V4" s="4008"/>
      <c r="W4" s="4008"/>
      <c r="X4" s="4008"/>
      <c r="Y4" s="4008"/>
      <c r="Z4" s="4008"/>
      <c r="AA4" s="4008"/>
      <c r="AB4" s="4008"/>
      <c r="AC4" s="4009"/>
      <c r="AD4" s="4005" t="s">
        <v>907</v>
      </c>
    </row>
    <row r="5" spans="1:30" ht="34.5" customHeight="1" x14ac:dyDescent="0.25">
      <c r="A5" s="4005"/>
      <c r="B5" s="4005"/>
      <c r="C5" s="4005"/>
      <c r="D5" s="4022"/>
      <c r="E5" s="4022"/>
      <c r="F5" s="4005" t="s">
        <v>829</v>
      </c>
      <c r="G5" s="4005"/>
      <c r="H5" s="4005"/>
      <c r="I5" s="4005" t="s">
        <v>908</v>
      </c>
      <c r="J5" s="4005"/>
      <c r="K5" s="4005"/>
      <c r="L5" s="4005"/>
      <c r="M5" s="4005"/>
      <c r="N5" s="4005" t="s">
        <v>909</v>
      </c>
      <c r="O5" s="4005"/>
      <c r="P5" s="4005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4009"/>
    </row>
    <row r="6" spans="1:30" ht="67.5" customHeight="1" x14ac:dyDescent="0.25">
      <c r="A6" s="4005"/>
      <c r="B6" s="4005"/>
      <c r="C6" s="4005"/>
      <c r="D6" s="4023"/>
      <c r="E6" s="4023"/>
      <c r="F6" s="2418" t="s">
        <v>1602</v>
      </c>
      <c r="G6" s="2418" t="s">
        <v>1821</v>
      </c>
      <c r="H6" s="2418" t="s">
        <v>1693</v>
      </c>
      <c r="I6" s="2418" t="s">
        <v>1602</v>
      </c>
      <c r="J6" s="2418" t="s">
        <v>1526</v>
      </c>
      <c r="K6" s="2418" t="str">
        <f>'вода 2018 коррект'!K6</f>
        <v>корректировка</v>
      </c>
      <c r="L6" s="2418" t="s">
        <v>1821</v>
      </c>
      <c r="M6" s="2418" t="s">
        <v>1693</v>
      </c>
      <c r="N6" s="2418" t="s">
        <v>1602</v>
      </c>
      <c r="O6" s="2419" t="s">
        <v>1526</v>
      </c>
      <c r="P6" s="2418" t="str">
        <f>'вода 2018 коррект'!P6</f>
        <v>корректировка</v>
      </c>
      <c r="Q6" s="4007" t="s">
        <v>122</v>
      </c>
      <c r="R6" s="4008"/>
      <c r="S6" s="4008"/>
      <c r="T6" s="4008"/>
      <c r="U6" s="4008"/>
      <c r="V6" s="4009"/>
      <c r="W6" s="4007" t="s">
        <v>1537</v>
      </c>
      <c r="X6" s="4008"/>
      <c r="Y6" s="4008"/>
      <c r="Z6" s="4008"/>
      <c r="AA6" s="4008"/>
      <c r="AB6" s="4008"/>
      <c r="AC6" s="4009"/>
      <c r="AD6" s="4009"/>
    </row>
    <row r="7" spans="1:30" s="2201" customFormat="1" ht="36" customHeight="1" x14ac:dyDescent="0.25">
      <c r="A7" s="2198"/>
      <c r="B7" s="2199" t="s">
        <v>910</v>
      </c>
      <c r="C7" s="4019" t="s">
        <v>911</v>
      </c>
      <c r="D7" s="4006" t="s">
        <v>911</v>
      </c>
      <c r="E7" s="4006" t="s">
        <v>911</v>
      </c>
      <c r="F7" s="4006" t="s">
        <v>911</v>
      </c>
      <c r="G7" s="4006" t="s">
        <v>911</v>
      </c>
      <c r="H7" s="4006" t="s">
        <v>911</v>
      </c>
      <c r="I7" s="2200">
        <v>0.01</v>
      </c>
      <c r="J7" s="2200"/>
      <c r="K7" s="2200">
        <v>0.01</v>
      </c>
      <c r="L7" s="4006" t="s">
        <v>911</v>
      </c>
      <c r="M7" s="2200">
        <v>0.01</v>
      </c>
      <c r="N7" s="2330">
        <v>0.01</v>
      </c>
      <c r="O7" s="4033" t="s">
        <v>911</v>
      </c>
      <c r="P7" s="2200">
        <v>0.01</v>
      </c>
      <c r="Q7" s="4010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4010" t="s">
        <v>911</v>
      </c>
      <c r="X7" s="4013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16"/>
    </row>
    <row r="8" spans="1:30" s="2201" customFormat="1" ht="21.75" customHeight="1" x14ac:dyDescent="0.25">
      <c r="A8" s="2198"/>
      <c r="B8" s="2199" t="s">
        <v>912</v>
      </c>
      <c r="C8" s="4019"/>
      <c r="D8" s="4006"/>
      <c r="E8" s="4006"/>
      <c r="F8" s="4006"/>
      <c r="G8" s="4006"/>
      <c r="H8" s="4006"/>
      <c r="I8" s="2202">
        <v>7.3999999999999996E-2</v>
      </c>
      <c r="J8" s="2202"/>
      <c r="K8" s="2202">
        <v>7.0999999999999994E-2</v>
      </c>
      <c r="L8" s="4006"/>
      <c r="M8" s="2202">
        <v>3.6999999999999998E-2</v>
      </c>
      <c r="N8" s="2331">
        <v>5.8000000000000003E-2</v>
      </c>
      <c r="O8" s="4034"/>
      <c r="P8" s="2202">
        <v>3.6999999999999998E-2</v>
      </c>
      <c r="Q8" s="4011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4011"/>
      <c r="X8" s="4014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17"/>
    </row>
    <row r="9" spans="1:30" s="2201" customFormat="1" ht="31.5" customHeight="1" x14ac:dyDescent="0.25">
      <c r="A9" s="2198"/>
      <c r="B9" s="2199" t="s">
        <v>913</v>
      </c>
      <c r="C9" s="4019"/>
      <c r="D9" s="4006"/>
      <c r="E9" s="4006"/>
      <c r="F9" s="4006"/>
      <c r="G9" s="4006"/>
      <c r="H9" s="4006"/>
      <c r="I9" s="2203">
        <v>0</v>
      </c>
      <c r="J9" s="2203"/>
      <c r="K9" s="2203">
        <v>0</v>
      </c>
      <c r="L9" s="4006"/>
      <c r="M9" s="2203">
        <v>0</v>
      </c>
      <c r="N9" s="2332">
        <v>0</v>
      </c>
      <c r="O9" s="4035"/>
      <c r="P9" s="2203">
        <v>0</v>
      </c>
      <c r="Q9" s="4012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12"/>
      <c r="X9" s="4015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18"/>
    </row>
    <row r="10" spans="1:30" s="1308" customFormat="1" x14ac:dyDescent="0.25">
      <c r="A10" s="2154">
        <v>1</v>
      </c>
      <c r="B10" s="2155" t="s">
        <v>914</v>
      </c>
      <c r="C10" s="2154" t="s">
        <v>915</v>
      </c>
      <c r="D10" s="2156">
        <v>868.73</v>
      </c>
      <c r="E10" s="2156">
        <f>E11+E22+E24+E28</f>
        <v>307.76</v>
      </c>
      <c r="F10" s="2156">
        <f>F11+F22+F24+F28</f>
        <v>343.98110328661932</v>
      </c>
      <c r="G10" s="2156">
        <f t="shared" ref="G10:H10" si="0">G11+G22+G24+G28</f>
        <v>41.94</v>
      </c>
      <c r="H10" s="2156">
        <f t="shared" si="0"/>
        <v>274.93607123873733</v>
      </c>
      <c r="I10" s="2156">
        <f>I11+I22+I24+I28</f>
        <v>365.46778424388827</v>
      </c>
      <c r="J10" s="2156">
        <f>J11+J22+J24+J28</f>
        <v>383.20700000000005</v>
      </c>
      <c r="K10" s="2156">
        <f>K11+K22+K24+K28</f>
        <v>345.86970594954454</v>
      </c>
      <c r="L10" s="2156">
        <f t="shared" ref="L10:M10" si="1">L11+L22+L24+L28</f>
        <v>29.1</v>
      </c>
      <c r="M10" s="2156">
        <f t="shared" si="1"/>
        <v>283.78029250458792</v>
      </c>
      <c r="N10" s="2333">
        <f>N11+N22+N24+N28</f>
        <v>383.91179642972696</v>
      </c>
      <c r="O10" s="2316">
        <f t="shared" ref="O10" si="2">O11+O22+O24+O28</f>
        <v>384.57</v>
      </c>
      <c r="P10" s="2156">
        <f>P11+P22+P24+P28</f>
        <v>366.79760876240886</v>
      </c>
      <c r="Q10" s="2156">
        <f t="shared" ref="Q10:AC10" si="3">Q11+Q22+Q24+Q28</f>
        <v>103.50999999999999</v>
      </c>
      <c r="R10" s="2156">
        <f t="shared" si="3"/>
        <v>106.53999999999999</v>
      </c>
      <c r="S10" s="2156">
        <f t="shared" si="3"/>
        <v>109.44</v>
      </c>
      <c r="T10" s="2156">
        <f t="shared" si="3"/>
        <v>112.58</v>
      </c>
      <c r="U10" s="2156">
        <f t="shared" si="3"/>
        <v>115.67999999999999</v>
      </c>
      <c r="V10" s="2156">
        <f t="shared" si="3"/>
        <v>0</v>
      </c>
      <c r="W10" s="2156">
        <f t="shared" si="3"/>
        <v>30.811242463479257</v>
      </c>
      <c r="X10" s="2821">
        <f>W10/P10*100</f>
        <v>8.4000663383378456</v>
      </c>
      <c r="Y10" s="2156">
        <f t="shared" si="3"/>
        <v>31.785934257425236</v>
      </c>
      <c r="Z10" s="2156">
        <f t="shared" si="3"/>
        <v>32.583910354880125</v>
      </c>
      <c r="AA10" s="2156">
        <f t="shared" si="3"/>
        <v>33.502140830376895</v>
      </c>
      <c r="AB10" s="2156">
        <f t="shared" si="3"/>
        <v>34.552245945013873</v>
      </c>
      <c r="AC10" s="2156">
        <f t="shared" si="3"/>
        <v>35.58084459643441</v>
      </c>
      <c r="AD10" s="2359"/>
    </row>
    <row r="11" spans="1:30" s="1309" customFormat="1" x14ac:dyDescent="0.25">
      <c r="A11" s="2157" t="s">
        <v>916</v>
      </c>
      <c r="B11" s="2158" t="s">
        <v>917</v>
      </c>
      <c r="C11" s="2157" t="s">
        <v>915</v>
      </c>
      <c r="D11" s="2159">
        <f>D12+D13+D14</f>
        <v>692.49000000000012</v>
      </c>
      <c r="E11" s="2159">
        <f>E12+E13+E14</f>
        <v>275.3</v>
      </c>
      <c r="F11" s="2159">
        <f>F12+F13+F14</f>
        <v>308.72975697928689</v>
      </c>
      <c r="G11" s="2159">
        <f t="shared" ref="G11:H11" si="4">G12+G13+G14</f>
        <v>37.129999999999995</v>
      </c>
      <c r="H11" s="2159">
        <f t="shared" si="4"/>
        <v>273.41558981056386</v>
      </c>
      <c r="I11" s="2159">
        <f>I12+I13+I14</f>
        <v>330.21643793655585</v>
      </c>
      <c r="J11" s="2159">
        <f>J12+J13+J14</f>
        <v>332.95700000000005</v>
      </c>
      <c r="K11" s="2159">
        <f>K12+K13+K14</f>
        <v>326.43049785764902</v>
      </c>
      <c r="L11" s="2159">
        <f t="shared" ref="L11:M11" si="5">L12+L13+L14</f>
        <v>25.650000000000002</v>
      </c>
      <c r="M11" s="2159">
        <f t="shared" si="5"/>
        <v>280.33029250458793</v>
      </c>
      <c r="N11" s="2334">
        <f>N12+N13+N14</f>
        <v>348.66045012239454</v>
      </c>
      <c r="O11" s="2317">
        <f t="shared" ref="O11:P11" si="6">O12+O13+O14</f>
        <v>347.08</v>
      </c>
      <c r="P11" s="2159">
        <f t="shared" si="6"/>
        <v>345.70197677274734</v>
      </c>
      <c r="Q11" s="2159">
        <f t="shared" ref="Q11:AC11" si="7">Q12+Q13+Q14</f>
        <v>98.52</v>
      </c>
      <c r="R11" s="2159">
        <f t="shared" si="7"/>
        <v>101.55</v>
      </c>
      <c r="S11" s="2159">
        <f t="shared" si="7"/>
        <v>104.45</v>
      </c>
      <c r="T11" s="2159">
        <f t="shared" si="7"/>
        <v>107.59</v>
      </c>
      <c r="U11" s="2159">
        <f t="shared" si="7"/>
        <v>110.69</v>
      </c>
      <c r="V11" s="2159">
        <f t="shared" si="7"/>
        <v>0</v>
      </c>
      <c r="W11" s="2159">
        <f t="shared" si="7"/>
        <v>29.047720933113659</v>
      </c>
      <c r="X11" s="2821">
        <f>W11/P11*100</f>
        <v>8.4025324946893889</v>
      </c>
      <c r="Y11" s="2159">
        <f t="shared" si="7"/>
        <v>30.022412727059638</v>
      </c>
      <c r="Z11" s="2159">
        <f t="shared" si="7"/>
        <v>30.820388824514527</v>
      </c>
      <c r="AA11" s="2159">
        <f t="shared" si="7"/>
        <v>31.738619300011297</v>
      </c>
      <c r="AB11" s="2159">
        <f t="shared" si="7"/>
        <v>32.788724414648271</v>
      </c>
      <c r="AC11" s="2159">
        <f t="shared" si="7"/>
        <v>33.817323066068809</v>
      </c>
      <c r="AD11" s="2360"/>
    </row>
    <row r="12" spans="1:30" s="1310" customFormat="1" ht="44.25" customHeight="1" x14ac:dyDescent="0.25">
      <c r="A12" s="2160" t="s">
        <v>918</v>
      </c>
      <c r="B12" s="2161" t="s">
        <v>919</v>
      </c>
      <c r="C12" s="2160" t="s">
        <v>915</v>
      </c>
      <c r="D12" s="2160">
        <v>586.07000000000005</v>
      </c>
      <c r="E12" s="2160">
        <v>237.59</v>
      </c>
      <c r="F12" s="2162">
        <f>вода!BG124+вода!BG125+вода!BG126+вода!BG127+вода!BG128+вода!BG130</f>
        <v>270.46955781056386</v>
      </c>
      <c r="G12" s="2162">
        <v>33.08</v>
      </c>
      <c r="H12" s="2162">
        <f>F12</f>
        <v>270.46955781056386</v>
      </c>
      <c r="I12" s="2162">
        <f>F12*(1-I7)*(1+I8)*(1+I9)</f>
        <v>287.57946203766011</v>
      </c>
      <c r="J12" s="2162">
        <v>295.67</v>
      </c>
      <c r="K12" s="2162">
        <f>F12*(1-K7)*(1+K8)*(1+K9)</f>
        <v>286.7761674509627</v>
      </c>
      <c r="L12" s="2162">
        <v>22.53</v>
      </c>
      <c r="M12" s="2162">
        <f>F12*0.99*1.037</f>
        <v>277.67216213505912</v>
      </c>
      <c r="N12" s="2335">
        <f>I12*(1-N7)*(1+N8)*(1+N9)</f>
        <v>301.21648012748597</v>
      </c>
      <c r="O12" s="2318">
        <v>305.13</v>
      </c>
      <c r="P12" s="2162">
        <f>N12</f>
        <v>301.21648012748597</v>
      </c>
      <c r="Q12" s="2335">
        <v>83.81</v>
      </c>
      <c r="R12" s="2335">
        <v>86.38</v>
      </c>
      <c r="S12" s="2335">
        <v>89.01</v>
      </c>
      <c r="T12" s="2335">
        <v>91.73</v>
      </c>
      <c r="U12" s="2335">
        <v>94.55</v>
      </c>
      <c r="V12" s="2335"/>
      <c r="W12" s="2335">
        <f>вода!BS147</f>
        <v>25.498907169864808</v>
      </c>
      <c r="X12" s="2821">
        <f>W12/P12*100</f>
        <v>8.4653094542080591</v>
      </c>
      <c r="Y12" s="2162">
        <f>W12*(1-Y7)*(1+Y8)*(1+Y9)</f>
        <v>26.405138330681805</v>
      </c>
      <c r="Z12" s="2162">
        <f t="shared" ref="Z12:AC12" si="8">Y12*(1-Z7)*(1+Z8)*(1+Z9)</f>
        <v>27.029883903585738</v>
      </c>
      <c r="AA12" s="2162">
        <f t="shared" si="8"/>
        <v>27.829968467131877</v>
      </c>
      <c r="AB12" s="2162">
        <f t="shared" si="8"/>
        <v>28.653735533758983</v>
      </c>
      <c r="AC12" s="2162">
        <f t="shared" si="8"/>
        <v>29.501886105558249</v>
      </c>
      <c r="AD12" s="2361" t="s">
        <v>2074</v>
      </c>
    </row>
    <row r="13" spans="1:30" s="1310" customFormat="1" ht="75" customHeight="1" x14ac:dyDescent="0.25">
      <c r="A13" s="2160" t="s">
        <v>920</v>
      </c>
      <c r="B13" s="2161" t="s">
        <v>921</v>
      </c>
      <c r="C13" s="2160" t="s">
        <v>915</v>
      </c>
      <c r="D13" s="2160">
        <v>52.32</v>
      </c>
      <c r="E13" s="2160">
        <v>18.38</v>
      </c>
      <c r="F13" s="2162">
        <f>вода!BG121</f>
        <v>20.640199168723029</v>
      </c>
      <c r="G13" s="2162">
        <v>1.3</v>
      </c>
      <c r="H13" s="2162">
        <f>'2018 к смета'!D11</f>
        <v>0.72763199999999995</v>
      </c>
      <c r="I13" s="2162">
        <f>F13*1.084</f>
        <v>22.373975898895765</v>
      </c>
      <c r="J13" s="2162">
        <v>20.05</v>
      </c>
      <c r="K13" s="2162">
        <f>'2017 к смета'!D4</f>
        <v>20.927522406686286</v>
      </c>
      <c r="L13" s="2162">
        <v>1.07</v>
      </c>
      <c r="M13" s="2162">
        <f>'ЭЭ вода'!J51</f>
        <v>1.034007169528822</v>
      </c>
      <c r="N13" s="2335">
        <f>I13*1.079</f>
        <v>24.141519994908528</v>
      </c>
      <c r="O13" s="2318">
        <v>22.43</v>
      </c>
      <c r="P13" s="2162">
        <f>'2018 к смета'!J10</f>
        <v>23.594366645261381</v>
      </c>
      <c r="Q13" s="2335">
        <v>6.75</v>
      </c>
      <c r="R13" s="2335">
        <v>7.23</v>
      </c>
      <c r="S13" s="2335">
        <v>7.73</v>
      </c>
      <c r="T13" s="2335">
        <v>8.27</v>
      </c>
      <c r="U13" s="2335">
        <v>8.85</v>
      </c>
      <c r="V13" s="2335"/>
      <c r="W13" s="2335">
        <f>вода!BS148</f>
        <v>1.2183794999999999</v>
      </c>
      <c r="X13" s="2821">
        <f t="shared" ref="X13:X14" si="9">W13/P13*100</f>
        <v>5.1638576204150644</v>
      </c>
      <c r="Y13" s="2335">
        <f>'ЭЭ вода'!T51</f>
        <v>1.269551439</v>
      </c>
      <c r="Z13" s="2335">
        <f>'ЭЭ вода'!U51</f>
        <v>1.32033349656</v>
      </c>
      <c r="AA13" s="2335">
        <f>'ЭЭ вода'!V51</f>
        <v>1.3731468364224</v>
      </c>
      <c r="AB13" s="2335">
        <f>'ЭЭ вода'!W51</f>
        <v>1.4266995630428734</v>
      </c>
      <c r="AC13" s="2335">
        <f>'ЭЭ вода'!X51</f>
        <v>1.4823408460015455</v>
      </c>
      <c r="AD13" s="2361" t="s">
        <v>2075</v>
      </c>
    </row>
    <row r="14" spans="1:30" s="1310" customFormat="1" ht="25.5" x14ac:dyDescent="0.25">
      <c r="A14" s="2160" t="s">
        <v>922</v>
      </c>
      <c r="B14" s="2161" t="s">
        <v>923</v>
      </c>
      <c r="C14" s="2160" t="s">
        <v>915</v>
      </c>
      <c r="D14" s="2162">
        <f t="shared" ref="D14:E14" si="10">D15+D16+D17+D18+D21</f>
        <v>54.1</v>
      </c>
      <c r="E14" s="2162">
        <f t="shared" si="10"/>
        <v>19.329999999999998</v>
      </c>
      <c r="F14" s="2162">
        <f>F15+F16+F17+F18+F21</f>
        <v>17.62</v>
      </c>
      <c r="G14" s="2162">
        <f t="shared" ref="G14:H14" si="11">G15+G16+G17+G18+G21</f>
        <v>2.75</v>
      </c>
      <c r="H14" s="2162">
        <f t="shared" si="11"/>
        <v>2.2184000000000004</v>
      </c>
      <c r="I14" s="2162">
        <f t="shared" ref="I14:AC14" si="12">I15+I16+I17+I18+I21</f>
        <v>20.262999999999998</v>
      </c>
      <c r="J14" s="2162">
        <f t="shared" si="12"/>
        <v>17.236999999999998</v>
      </c>
      <c r="K14" s="2162">
        <f t="shared" si="12"/>
        <v>18.726808000000002</v>
      </c>
      <c r="L14" s="2162">
        <f t="shared" si="12"/>
        <v>2.0499999999999998</v>
      </c>
      <c r="M14" s="2162">
        <f t="shared" si="12"/>
        <v>1.6241232000000001</v>
      </c>
      <c r="N14" s="2335">
        <f t="shared" si="12"/>
        <v>23.302449999999997</v>
      </c>
      <c r="O14" s="2318">
        <f t="shared" si="12"/>
        <v>19.52</v>
      </c>
      <c r="P14" s="2162">
        <f t="shared" si="12"/>
        <v>20.89113</v>
      </c>
      <c r="Q14" s="2162">
        <f t="shared" si="12"/>
        <v>7.96</v>
      </c>
      <c r="R14" s="2162">
        <f t="shared" si="12"/>
        <v>7.94</v>
      </c>
      <c r="S14" s="2162">
        <f t="shared" si="12"/>
        <v>7.71</v>
      </c>
      <c r="T14" s="2162">
        <f t="shared" si="12"/>
        <v>7.59</v>
      </c>
      <c r="U14" s="2162">
        <f t="shared" si="12"/>
        <v>7.29</v>
      </c>
      <c r="V14" s="2162">
        <f t="shared" si="12"/>
        <v>0</v>
      </c>
      <c r="W14" s="2162">
        <f t="shared" si="12"/>
        <v>2.3304342632488502</v>
      </c>
      <c r="X14" s="2821">
        <f t="shared" si="9"/>
        <v>11.155137435116483</v>
      </c>
      <c r="Y14" s="2162">
        <f t="shared" si="12"/>
        <v>2.3477229573778313</v>
      </c>
      <c r="Z14" s="2162">
        <f t="shared" si="12"/>
        <v>2.4701714243687896</v>
      </c>
      <c r="AA14" s="2162">
        <f t="shared" si="12"/>
        <v>2.5355039964570194</v>
      </c>
      <c r="AB14" s="2162">
        <f t="shared" si="12"/>
        <v>2.7082893178464125</v>
      </c>
      <c r="AC14" s="2162">
        <f t="shared" si="12"/>
        <v>2.8330961145090159</v>
      </c>
      <c r="AD14" s="2361"/>
    </row>
    <row r="15" spans="1:30" s="1311" customFormat="1" ht="73.5" customHeight="1" x14ac:dyDescent="0.2">
      <c r="A15" s="1802" t="s">
        <v>924</v>
      </c>
      <c r="B15" s="1803" t="s">
        <v>925</v>
      </c>
      <c r="C15" s="1802" t="s">
        <v>915</v>
      </c>
      <c r="D15" s="1802">
        <v>0</v>
      </c>
      <c r="E15" s="1802">
        <v>0</v>
      </c>
      <c r="F15" s="1804">
        <v>0</v>
      </c>
      <c r="G15" s="1804">
        <v>0</v>
      </c>
      <c r="H15" s="1804">
        <f>'2018 к смета'!D18</f>
        <v>0</v>
      </c>
      <c r="I15" s="1804">
        <v>0</v>
      </c>
      <c r="J15" s="1804">
        <v>0</v>
      </c>
      <c r="K15" s="1804">
        <v>0</v>
      </c>
      <c r="L15" s="1804">
        <v>0</v>
      </c>
      <c r="M15" s="1804">
        <v>0</v>
      </c>
      <c r="N15" s="2315">
        <f>I15*1.079</f>
        <v>0</v>
      </c>
      <c r="O15" s="2319">
        <v>0</v>
      </c>
      <c r="P15" s="1804">
        <f>'2018 к смета'!J18</f>
        <v>0</v>
      </c>
      <c r="Q15" s="1804">
        <v>0</v>
      </c>
      <c r="R15" s="1804">
        <v>0</v>
      </c>
      <c r="S15" s="1804">
        <f>'2018 к смета'!M18</f>
        <v>0</v>
      </c>
      <c r="T15" s="1804">
        <f>'2018 к смета'!N18</f>
        <v>0</v>
      </c>
      <c r="U15" s="1804">
        <f>'2018 к смета'!O18</f>
        <v>0</v>
      </c>
      <c r="V15" s="1804">
        <f>'2018 к смета'!P18</f>
        <v>0</v>
      </c>
      <c r="W15" s="1804">
        <f>'2018 к смета'!Q18</f>
        <v>0</v>
      </c>
      <c r="X15" s="2822">
        <v>0</v>
      </c>
      <c r="Y15" s="1804">
        <f>'2018 к смета'!R18</f>
        <v>0</v>
      </c>
      <c r="Z15" s="1804">
        <f>'2018 к смета'!S18</f>
        <v>0</v>
      </c>
      <c r="AA15" s="1804">
        <f>'2018 к смета'!T18</f>
        <v>0</v>
      </c>
      <c r="AB15" s="1804">
        <f>'2018 к смета'!U18</f>
        <v>0</v>
      </c>
      <c r="AC15" s="1804">
        <f>'2018 к смета'!V18</f>
        <v>0</v>
      </c>
      <c r="AD15" s="2362"/>
    </row>
    <row r="16" spans="1:30" s="1311" customFormat="1" ht="114" customHeight="1" x14ac:dyDescent="0.2">
      <c r="A16" s="1802" t="s">
        <v>926</v>
      </c>
      <c r="B16" s="1803" t="s">
        <v>927</v>
      </c>
      <c r="C16" s="1802" t="s">
        <v>915</v>
      </c>
      <c r="D16" s="1802">
        <v>36.6</v>
      </c>
      <c r="E16" s="1802">
        <v>19.329999999999998</v>
      </c>
      <c r="F16" s="1804">
        <v>17.62</v>
      </c>
      <c r="G16" s="1804">
        <v>2.75</v>
      </c>
      <c r="H16" s="1804">
        <f>'2018 к смета'!D19</f>
        <v>2.2184000000000004</v>
      </c>
      <c r="I16" s="1804">
        <f>F16*1.15</f>
        <v>20.262999999999998</v>
      </c>
      <c r="J16" s="1804">
        <f>'2017 к'!D21</f>
        <v>17.236999999999998</v>
      </c>
      <c r="K16" s="1804">
        <f>'2017 к смета'!D13</f>
        <v>18.726808000000002</v>
      </c>
      <c r="L16" s="1804">
        <v>2.0499999999999998</v>
      </c>
      <c r="M16" s="1804">
        <f>'Н 2019-2024'!D23</f>
        <v>1.6241232000000001</v>
      </c>
      <c r="N16" s="2315">
        <f>I16*1.15</f>
        <v>23.302449999999997</v>
      </c>
      <c r="O16" s="2319">
        <v>19.52</v>
      </c>
      <c r="P16" s="1804">
        <f>'2018 к смета'!J19</f>
        <v>20.89113</v>
      </c>
      <c r="Q16" s="2315">
        <f>'Н 2019-2024'!E23</f>
        <v>7.96</v>
      </c>
      <c r="R16" s="2315">
        <f>'Н 2019-2024'!F23</f>
        <v>7.94</v>
      </c>
      <c r="S16" s="2315">
        <f>'Н 2019-2024'!G23</f>
        <v>7.71</v>
      </c>
      <c r="T16" s="2315">
        <f>'Н 2019-2024'!H23</f>
        <v>7.59</v>
      </c>
      <c r="U16" s="2315">
        <f>'Н 2019-2024'!I23</f>
        <v>7.29</v>
      </c>
      <c r="V16" s="2315"/>
      <c r="W16" s="2315">
        <f>вода!BS151</f>
        <v>2.2995438514545756</v>
      </c>
      <c r="X16" s="2822">
        <f t="shared" ref="X16:X20" si="13">W16/P16*100</f>
        <v>11.007273668081027</v>
      </c>
      <c r="Y16" s="2315">
        <f>'Н 2019-2024'!L23</f>
        <v>2.3157822715825516</v>
      </c>
      <c r="Z16" s="2315">
        <f>'Н 2019-2024'!M23</f>
        <v>2.4369531111416984</v>
      </c>
      <c r="AA16" s="2315">
        <f>'Н 2019-2024'!N23</f>
        <v>2.5009569507008447</v>
      </c>
      <c r="AB16" s="2315">
        <f>'Н 2019-2024'!O23</f>
        <v>2.6723603902599908</v>
      </c>
      <c r="AC16" s="2315">
        <f>'Н 2019-2024'!P23</f>
        <v>2.7957300298191372</v>
      </c>
      <c r="AD16" s="2362" t="s">
        <v>2076</v>
      </c>
    </row>
    <row r="17" spans="1:30" s="1311" customFormat="1" ht="50.25" customHeight="1" x14ac:dyDescent="0.2">
      <c r="A17" s="1802" t="s">
        <v>928</v>
      </c>
      <c r="B17" s="1803" t="s">
        <v>929</v>
      </c>
      <c r="C17" s="1802" t="s">
        <v>915</v>
      </c>
      <c r="D17" s="1802">
        <v>0</v>
      </c>
      <c r="E17" s="1802">
        <v>0</v>
      </c>
      <c r="F17" s="1804">
        <v>0</v>
      </c>
      <c r="G17" s="1804">
        <v>0</v>
      </c>
      <c r="H17" s="1804">
        <f>'2018 к смета'!D20</f>
        <v>0</v>
      </c>
      <c r="I17" s="1804">
        <f>F17</f>
        <v>0</v>
      </c>
      <c r="J17" s="1804">
        <v>0</v>
      </c>
      <c r="K17" s="1804">
        <v>0</v>
      </c>
      <c r="L17" s="1804">
        <v>0</v>
      </c>
      <c r="M17" s="1804">
        <v>0</v>
      </c>
      <c r="N17" s="2315">
        <f>I17</f>
        <v>0</v>
      </c>
      <c r="O17" s="2319">
        <v>0</v>
      </c>
      <c r="P17" s="1804">
        <f>'2018 к смета'!J20</f>
        <v>0</v>
      </c>
      <c r="Q17" s="2315">
        <v>0</v>
      </c>
      <c r="R17" s="2315">
        <v>0</v>
      </c>
      <c r="S17" s="2315">
        <v>0</v>
      </c>
      <c r="T17" s="2315">
        <v>0</v>
      </c>
      <c r="U17" s="2315">
        <v>0</v>
      </c>
      <c r="V17" s="2315">
        <v>0</v>
      </c>
      <c r="W17" s="2315">
        <f>вода!BS57</f>
        <v>3.0890411794274542E-2</v>
      </c>
      <c r="X17" s="2822">
        <v>0</v>
      </c>
      <c r="Y17" s="1804">
        <f>'Аренда земли'!L10</f>
        <v>3.194068579527988E-2</v>
      </c>
      <c r="Z17" s="1804">
        <f>'Аренда земли'!M10</f>
        <v>3.3218313227091074E-2</v>
      </c>
      <c r="AA17" s="1804">
        <f>'Аренда земли'!N10</f>
        <v>3.4547045756174719E-2</v>
      </c>
      <c r="AB17" s="1804">
        <f>'Аренда земли'!O10</f>
        <v>3.5928927586421709E-2</v>
      </c>
      <c r="AC17" s="1804">
        <f>'Аренда земли'!P10</f>
        <v>3.7366084689878579E-2</v>
      </c>
      <c r="AD17" s="2362" t="s">
        <v>2077</v>
      </c>
    </row>
    <row r="18" spans="1:30" s="1311" customFormat="1" ht="49.5" hidden="1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v>0</v>
      </c>
      <c r="G18" s="1804">
        <v>0</v>
      </c>
      <c r="H18" s="1804">
        <f>'2018 к смета'!D21</f>
        <v>0</v>
      </c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2315">
        <v>0</v>
      </c>
      <c r="O18" s="2319">
        <v>0</v>
      </c>
      <c r="P18" s="1804">
        <f>'2018 к смета'!J21</f>
        <v>0</v>
      </c>
      <c r="Q18" s="1804">
        <v>0</v>
      </c>
      <c r="R18" s="1804">
        <v>0</v>
      </c>
      <c r="S18" s="1804">
        <f>'2018 к смета'!M21</f>
        <v>0</v>
      </c>
      <c r="T18" s="1804">
        <f>'2018 к смета'!N21</f>
        <v>0</v>
      </c>
      <c r="U18" s="1804">
        <f>'2018 к смета'!O21</f>
        <v>0</v>
      </c>
      <c r="V18" s="1804">
        <f>'2018 к смета'!P21</f>
        <v>0</v>
      </c>
      <c r="W18" s="1804">
        <f>'2018 к смета'!Q21</f>
        <v>0</v>
      </c>
      <c r="X18" s="2822" t="e">
        <f t="shared" si="13"/>
        <v>#DIV/0!</v>
      </c>
      <c r="Y18" s="1804">
        <f>'2018 к смета'!R21</f>
        <v>0</v>
      </c>
      <c r="Z18" s="1804">
        <f>'2018 к смета'!S21</f>
        <v>0</v>
      </c>
      <c r="AA18" s="1804">
        <f>'2018 к смета'!T21</f>
        <v>0</v>
      </c>
      <c r="AB18" s="1804">
        <f>'2018 к смета'!U21</f>
        <v>0</v>
      </c>
      <c r="AC18" s="1804">
        <f>'2018 к смета'!V21</f>
        <v>0</v>
      </c>
      <c r="AD18" s="2362"/>
    </row>
    <row r="19" spans="1:30" s="1311" customFormat="1" ht="12.75" hidden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смета'!D22</f>
        <v>0</v>
      </c>
      <c r="I19" s="1804">
        <f>'2018 к смета'!E22</f>
        <v>0</v>
      </c>
      <c r="J19" s="1804">
        <f>'2018 к смета'!F22</f>
        <v>0</v>
      </c>
      <c r="K19" s="1804">
        <f>'2018 к смета'!G22</f>
        <v>0</v>
      </c>
      <c r="L19" s="1804">
        <f>'2018 к смета'!H22</f>
        <v>0</v>
      </c>
      <c r="M19" s="1804">
        <f>'2018 к смета'!I22</f>
        <v>0</v>
      </c>
      <c r="N19" s="2315">
        <f>'2018 к смета'!H22</f>
        <v>0</v>
      </c>
      <c r="O19" s="2319">
        <f>'2018 к смета'!I22</f>
        <v>0</v>
      </c>
      <c r="P19" s="1804">
        <f>'2018 к смета'!J22</f>
        <v>0</v>
      </c>
      <c r="Q19" s="1804">
        <f>'2018 к смета'!K22</f>
        <v>0</v>
      </c>
      <c r="R19" s="1804">
        <f>'2018 к смета'!L22</f>
        <v>0</v>
      </c>
      <c r="S19" s="1804">
        <f>'2018 к смета'!M22</f>
        <v>0</v>
      </c>
      <c r="T19" s="1804">
        <f>'2018 к смета'!N22</f>
        <v>0</v>
      </c>
      <c r="U19" s="1804">
        <f>'2018 к смета'!O22</f>
        <v>0</v>
      </c>
      <c r="V19" s="1804">
        <f>'2018 к смета'!P22</f>
        <v>0</v>
      </c>
      <c r="W19" s="1804">
        <f>'2018 к смета'!Q22</f>
        <v>0</v>
      </c>
      <c r="X19" s="2822" t="e">
        <f t="shared" si="13"/>
        <v>#DIV/0!</v>
      </c>
      <c r="Y19" s="1804">
        <f>'2018 к смета'!R22</f>
        <v>0</v>
      </c>
      <c r="Z19" s="1804">
        <f>'2018 к смета'!S22</f>
        <v>0</v>
      </c>
      <c r="AA19" s="1804">
        <f>'2018 к смета'!T22</f>
        <v>0</v>
      </c>
      <c r="AB19" s="1804">
        <f>'2018 к смета'!U22</f>
        <v>0</v>
      </c>
      <c r="AC19" s="1804">
        <f>'2018 к смета'!V22</f>
        <v>0</v>
      </c>
      <c r="AD19" s="2362"/>
    </row>
    <row r="20" spans="1:30" s="1311" customFormat="1" ht="25.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смета'!D23</f>
        <v>0</v>
      </c>
      <c r="I20" s="1804">
        <f>'2018 к смета'!E23</f>
        <v>0</v>
      </c>
      <c r="J20" s="1804">
        <f>'2018 к смета'!F23</f>
        <v>0</v>
      </c>
      <c r="K20" s="1804">
        <f>'2018 к смета'!G23</f>
        <v>0</v>
      </c>
      <c r="L20" s="1804">
        <f>'2018 к смета'!H23</f>
        <v>0</v>
      </c>
      <c r="M20" s="1804">
        <f>'2018 к смета'!I23</f>
        <v>0</v>
      </c>
      <c r="N20" s="2315">
        <f>'2018 к смета'!H23</f>
        <v>0</v>
      </c>
      <c r="O20" s="2319">
        <f>'2018 к смета'!I23</f>
        <v>0</v>
      </c>
      <c r="P20" s="1804">
        <f>'2018 к смета'!J23</f>
        <v>0</v>
      </c>
      <c r="Q20" s="1804">
        <f>'2018 к смета'!K23</f>
        <v>0</v>
      </c>
      <c r="R20" s="1804">
        <f>'2018 к смета'!L23</f>
        <v>0</v>
      </c>
      <c r="S20" s="1804">
        <f>'2018 к смета'!M23</f>
        <v>0</v>
      </c>
      <c r="T20" s="1804">
        <f>'2018 к смета'!N23</f>
        <v>0</v>
      </c>
      <c r="U20" s="1804">
        <f>'2018 к смета'!O23</f>
        <v>0</v>
      </c>
      <c r="V20" s="1804">
        <f>'2018 к смета'!P23</f>
        <v>0</v>
      </c>
      <c r="W20" s="1804">
        <f>'2018 к смета'!Q23</f>
        <v>0</v>
      </c>
      <c r="X20" s="2822" t="e">
        <f t="shared" si="13"/>
        <v>#DIV/0!</v>
      </c>
      <c r="Y20" s="1804">
        <f>'2018 к смета'!R23</f>
        <v>0</v>
      </c>
      <c r="Z20" s="1804">
        <f>'2018 к смета'!S23</f>
        <v>0</v>
      </c>
      <c r="AA20" s="1804">
        <f>'2018 к смета'!T23</f>
        <v>0</v>
      </c>
      <c r="AB20" s="1804">
        <f>'2018 к смета'!U23</f>
        <v>0</v>
      </c>
      <c r="AC20" s="1804">
        <f>'2018 к смета'!V23</f>
        <v>0</v>
      </c>
      <c r="AD20" s="2362"/>
    </row>
    <row r="21" spans="1:30" s="1311" customFormat="1" ht="51.75" hidden="1" customHeight="1" x14ac:dyDescent="0.2">
      <c r="A21" s="1802" t="s">
        <v>936</v>
      </c>
      <c r="B21" s="1803" t="s">
        <v>937</v>
      </c>
      <c r="C21" s="1802" t="s">
        <v>915</v>
      </c>
      <c r="D21" s="1802">
        <v>17.5</v>
      </c>
      <c r="E21" s="1802">
        <v>0</v>
      </c>
      <c r="F21" s="1804">
        <v>0</v>
      </c>
      <c r="G21" s="1804">
        <v>0</v>
      </c>
      <c r="H21" s="1804">
        <f>'2018 к смета'!D24</f>
        <v>0</v>
      </c>
      <c r="I21" s="1804">
        <v>0</v>
      </c>
      <c r="J21" s="1804">
        <v>0</v>
      </c>
      <c r="K21" s="1804">
        <v>0</v>
      </c>
      <c r="L21" s="1804">
        <v>0</v>
      </c>
      <c r="M21" s="1804">
        <v>0</v>
      </c>
      <c r="N21" s="2315">
        <v>0</v>
      </c>
      <c r="O21" s="2319">
        <v>0</v>
      </c>
      <c r="P21" s="1804">
        <f>'2018 к смета'!J24</f>
        <v>0</v>
      </c>
      <c r="Q21" s="1804">
        <f>'2018 к смета'!K24</f>
        <v>0</v>
      </c>
      <c r="R21" s="1804">
        <f>'2018 к смета'!L24</f>
        <v>0</v>
      </c>
      <c r="S21" s="1804">
        <f>'2018 к смета'!M24</f>
        <v>0</v>
      </c>
      <c r="T21" s="1804">
        <f>'2018 к смета'!N24</f>
        <v>0</v>
      </c>
      <c r="U21" s="1804">
        <f>'2018 к смета'!O24</f>
        <v>0</v>
      </c>
      <c r="V21" s="1804">
        <f>'2018 к смета'!P24</f>
        <v>0</v>
      </c>
      <c r="W21" s="1804">
        <f>'2018 к смета'!Q24</f>
        <v>0</v>
      </c>
      <c r="X21" s="2822">
        <v>0</v>
      </c>
      <c r="Y21" s="1804">
        <f>'2018 к смета'!R24</f>
        <v>0</v>
      </c>
      <c r="Z21" s="1804">
        <f>'2018 к смета'!S24</f>
        <v>0</v>
      </c>
      <c r="AA21" s="1804">
        <f>'2018 к смета'!T24</f>
        <v>0</v>
      </c>
      <c r="AB21" s="1804">
        <f>'2018 к смета'!U24</f>
        <v>0</v>
      </c>
      <c r="AC21" s="1804">
        <f>'2018 к смета'!V24</f>
        <v>0</v>
      </c>
      <c r="AD21" s="2362"/>
    </row>
    <row r="22" spans="1:30" s="1309" customFormat="1" ht="36" customHeight="1" x14ac:dyDescent="0.25">
      <c r="A22" s="2157" t="s">
        <v>938</v>
      </c>
      <c r="B22" s="2158" t="s">
        <v>2</v>
      </c>
      <c r="C22" s="2157" t="s">
        <v>915</v>
      </c>
      <c r="D22" s="2157">
        <v>77.739999999999995</v>
      </c>
      <c r="E22" s="2157">
        <v>32.46</v>
      </c>
      <c r="F22" s="2159">
        <f>вода!BG123</f>
        <v>35.251346307332426</v>
      </c>
      <c r="G22" s="2159">
        <v>4.8099999999999996</v>
      </c>
      <c r="H22" s="2159">
        <f>'2018 к смета'!D25</f>
        <v>1.5204814281734422</v>
      </c>
      <c r="I22" s="2159">
        <f>F22</f>
        <v>35.251346307332426</v>
      </c>
      <c r="J22" s="2159">
        <v>32</v>
      </c>
      <c r="K22" s="2159">
        <f>'2017 к смета'!D19</f>
        <v>19.439208091895523</v>
      </c>
      <c r="L22" s="2159">
        <v>3.45</v>
      </c>
      <c r="M22" s="2159">
        <f>вода!BM123</f>
        <v>3.45</v>
      </c>
      <c r="N22" s="2334">
        <f>I22</f>
        <v>35.251346307332426</v>
      </c>
      <c r="O22" s="2317">
        <v>19.18</v>
      </c>
      <c r="P22" s="2159">
        <f>'2018 к смета'!J25</f>
        <v>21.095631989661516</v>
      </c>
      <c r="Q22" s="2334">
        <v>4.99</v>
      </c>
      <c r="R22" s="2334">
        <v>4.99</v>
      </c>
      <c r="S22" s="2334">
        <v>4.99</v>
      </c>
      <c r="T22" s="2334">
        <v>4.99</v>
      </c>
      <c r="U22" s="2334">
        <v>4.99</v>
      </c>
      <c r="V22" s="2334"/>
      <c r="W22" s="2334">
        <f>вода!BS154</f>
        <v>1.7635215303655989</v>
      </c>
      <c r="X22" s="2821">
        <f>W22/P22*100</f>
        <v>8.3596525158850916</v>
      </c>
      <c r="Y22" s="2334">
        <f>W22</f>
        <v>1.7635215303655989</v>
      </c>
      <c r="Z22" s="2334">
        <f t="shared" ref="Z22:AC22" si="14">Y22</f>
        <v>1.7635215303655989</v>
      </c>
      <c r="AA22" s="2334">
        <f t="shared" si="14"/>
        <v>1.7635215303655989</v>
      </c>
      <c r="AB22" s="2334">
        <f t="shared" si="14"/>
        <v>1.7635215303655989</v>
      </c>
      <c r="AC22" s="2334">
        <f t="shared" si="14"/>
        <v>1.7635215303655989</v>
      </c>
      <c r="AD22" s="2360" t="s">
        <v>2078</v>
      </c>
    </row>
    <row r="23" spans="1:30" s="1312" customFormat="1" ht="14.25" x14ac:dyDescent="0.2">
      <c r="A23" s="2163" t="s">
        <v>199</v>
      </c>
      <c r="B23" s="2164" t="s">
        <v>939</v>
      </c>
      <c r="C23" s="2274" t="s">
        <v>44</v>
      </c>
      <c r="D23" s="2275">
        <f t="shared" ref="D23:E23" si="15">D24/(D11+D22)*100</f>
        <v>0</v>
      </c>
      <c r="E23" s="2275">
        <f t="shared" si="15"/>
        <v>0</v>
      </c>
      <c r="F23" s="2275">
        <f>F24/(F11+F22)*100</f>
        <v>0</v>
      </c>
      <c r="G23" s="2275">
        <f t="shared" ref="G23:H23" si="16">G24/(G11+G22)*100</f>
        <v>0</v>
      </c>
      <c r="H23" s="2275">
        <f t="shared" si="16"/>
        <v>0</v>
      </c>
      <c r="I23" s="2275">
        <f t="shared" ref="I23:N23" si="17">I24/(I11+I22)*100</f>
        <v>0</v>
      </c>
      <c r="J23" s="2275">
        <f t="shared" ref="J23:K23" si="18">J24/(J11+J22)*100</f>
        <v>0</v>
      </c>
      <c r="K23" s="2275">
        <f t="shared" si="18"/>
        <v>0</v>
      </c>
      <c r="L23" s="2275">
        <f t="shared" ref="L23:M23" si="19">L24/(L11+L22)*100</f>
        <v>0</v>
      </c>
      <c r="M23" s="2275">
        <f t="shared" si="19"/>
        <v>0</v>
      </c>
      <c r="N23" s="2357">
        <f t="shared" si="17"/>
        <v>0</v>
      </c>
      <c r="O23" s="2356">
        <f t="shared" ref="O23:AC23" si="20">O24/(O11+O22)*100</f>
        <v>0</v>
      </c>
      <c r="P23" s="2275">
        <f t="shared" si="20"/>
        <v>0</v>
      </c>
      <c r="Q23" s="2275">
        <f t="shared" si="20"/>
        <v>0</v>
      </c>
      <c r="R23" s="2275">
        <f t="shared" si="20"/>
        <v>0</v>
      </c>
      <c r="S23" s="2275">
        <f t="shared" si="20"/>
        <v>0</v>
      </c>
      <c r="T23" s="2275">
        <f t="shared" si="20"/>
        <v>0</v>
      </c>
      <c r="U23" s="2275">
        <f t="shared" si="20"/>
        <v>0</v>
      </c>
      <c r="V23" s="2275">
        <v>0</v>
      </c>
      <c r="W23" s="2275">
        <f t="shared" si="20"/>
        <v>0</v>
      </c>
      <c r="X23" s="2823">
        <v>0</v>
      </c>
      <c r="Y23" s="2275">
        <f t="shared" si="20"/>
        <v>0</v>
      </c>
      <c r="Z23" s="2275">
        <f t="shared" si="20"/>
        <v>0</v>
      </c>
      <c r="AA23" s="2275">
        <f t="shared" si="20"/>
        <v>0</v>
      </c>
      <c r="AB23" s="2275">
        <f t="shared" si="20"/>
        <v>0</v>
      </c>
      <c r="AC23" s="2275">
        <f t="shared" si="20"/>
        <v>0</v>
      </c>
      <c r="AD23" s="2363"/>
    </row>
    <row r="24" spans="1:30" s="1309" customFormat="1" ht="24" customHeight="1" x14ac:dyDescent="0.25">
      <c r="A24" s="2157" t="s">
        <v>940</v>
      </c>
      <c r="B24" s="2158" t="s">
        <v>941</v>
      </c>
      <c r="C24" s="2157" t="s">
        <v>915</v>
      </c>
      <c r="D24" s="2159">
        <f t="shared" ref="D24:E24" si="21">D25+D26+D27</f>
        <v>0</v>
      </c>
      <c r="E24" s="2159">
        <f t="shared" si="21"/>
        <v>0</v>
      </c>
      <c r="F24" s="2159">
        <f>F25+F26+F27</f>
        <v>0</v>
      </c>
      <c r="G24" s="2159">
        <f t="shared" ref="G24:H24" si="22">G25+G26+G27</f>
        <v>0</v>
      </c>
      <c r="H24" s="2159">
        <f t="shared" si="22"/>
        <v>0</v>
      </c>
      <c r="I24" s="2159">
        <f t="shared" ref="I24:AC24" si="23">I25+I26+I27</f>
        <v>0</v>
      </c>
      <c r="J24" s="2159">
        <f t="shared" ref="J24:K24" si="24">J25+J26+J27</f>
        <v>0</v>
      </c>
      <c r="K24" s="2159">
        <f t="shared" si="24"/>
        <v>0</v>
      </c>
      <c r="L24" s="2159">
        <f t="shared" ref="L24:M24" si="25">L25+L26+L27</f>
        <v>0</v>
      </c>
      <c r="M24" s="2159">
        <f t="shared" si="25"/>
        <v>0</v>
      </c>
      <c r="N24" s="2334">
        <f t="shared" si="23"/>
        <v>0</v>
      </c>
      <c r="O24" s="2317">
        <f t="shared" si="23"/>
        <v>0</v>
      </c>
      <c r="P24" s="2159">
        <f t="shared" si="23"/>
        <v>0</v>
      </c>
      <c r="Q24" s="2159">
        <f t="shared" si="23"/>
        <v>0</v>
      </c>
      <c r="R24" s="2159">
        <f t="shared" si="23"/>
        <v>0</v>
      </c>
      <c r="S24" s="2159">
        <f t="shared" si="23"/>
        <v>0</v>
      </c>
      <c r="T24" s="2159">
        <f t="shared" si="23"/>
        <v>0</v>
      </c>
      <c r="U24" s="2159">
        <f t="shared" si="23"/>
        <v>0</v>
      </c>
      <c r="V24" s="2159">
        <f t="shared" si="23"/>
        <v>0</v>
      </c>
      <c r="W24" s="2159">
        <f t="shared" si="23"/>
        <v>0</v>
      </c>
      <c r="X24" s="2821">
        <v>0</v>
      </c>
      <c r="Y24" s="2159">
        <f t="shared" si="23"/>
        <v>0</v>
      </c>
      <c r="Z24" s="2159">
        <f t="shared" si="23"/>
        <v>0</v>
      </c>
      <c r="AA24" s="2159">
        <f t="shared" si="23"/>
        <v>0</v>
      </c>
      <c r="AB24" s="2159">
        <f t="shared" si="23"/>
        <v>0</v>
      </c>
      <c r="AC24" s="2159">
        <f t="shared" si="23"/>
        <v>0</v>
      </c>
      <c r="AD24" s="2360"/>
    </row>
    <row r="25" spans="1:30" s="1310" customFormat="1" ht="24" hidden="1" customHeight="1" x14ac:dyDescent="0.25">
      <c r="A25" s="2160" t="s">
        <v>942</v>
      </c>
      <c r="B25" s="2161" t="s">
        <v>943</v>
      </c>
      <c r="C25" s="2160" t="s">
        <v>915</v>
      </c>
      <c r="D25" s="2162">
        <v>0</v>
      </c>
      <c r="E25" s="2162">
        <v>0</v>
      </c>
      <c r="F25" s="2162">
        <v>0</v>
      </c>
      <c r="G25" s="2162">
        <v>0</v>
      </c>
      <c r="H25" s="2162">
        <v>0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335">
        <v>0</v>
      </c>
      <c r="O25" s="2318">
        <v>0</v>
      </c>
      <c r="P25" s="2162">
        <v>0</v>
      </c>
      <c r="Q25" s="2162">
        <v>0</v>
      </c>
      <c r="R25" s="2162">
        <v>0</v>
      </c>
      <c r="S25" s="2162">
        <v>0</v>
      </c>
      <c r="T25" s="2162">
        <v>0</v>
      </c>
      <c r="U25" s="2162">
        <v>0</v>
      </c>
      <c r="V25" s="2162">
        <v>0</v>
      </c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0" s="1310" customFormat="1" ht="56.25" hidden="1" customHeight="1" x14ac:dyDescent="0.25">
      <c r="A26" s="2160" t="s">
        <v>944</v>
      </c>
      <c r="B26" s="2161" t="s">
        <v>945</v>
      </c>
      <c r="C26" s="2160" t="s">
        <v>915</v>
      </c>
      <c r="D26" s="2162">
        <v>0</v>
      </c>
      <c r="E26" s="2162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335">
        <v>0</v>
      </c>
      <c r="O26" s="2318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0" s="1310" customFormat="1" ht="37.5" hidden="1" customHeight="1" x14ac:dyDescent="0.25">
      <c r="A27" s="2160" t="s">
        <v>946</v>
      </c>
      <c r="B27" s="2161" t="s">
        <v>947</v>
      </c>
      <c r="C27" s="2160" t="s">
        <v>915</v>
      </c>
      <c r="D27" s="2162">
        <v>0</v>
      </c>
      <c r="E27" s="2162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335">
        <v>0</v>
      </c>
      <c r="O27" s="2318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0" s="1309" customFormat="1" ht="43.5" customHeight="1" x14ac:dyDescent="0.25">
      <c r="A28" s="2157" t="s">
        <v>200</v>
      </c>
      <c r="B28" s="2158" t="s">
        <v>948</v>
      </c>
      <c r="C28" s="2157" t="s">
        <v>915</v>
      </c>
      <c r="D28" s="2159">
        <v>0</v>
      </c>
      <c r="E28" s="2159">
        <v>0</v>
      </c>
      <c r="F28" s="2159">
        <v>0</v>
      </c>
      <c r="G28" s="2159">
        <v>0</v>
      </c>
      <c r="H28" s="2159">
        <v>0</v>
      </c>
      <c r="I28" s="2159">
        <v>0</v>
      </c>
      <c r="J28" s="2159">
        <f>18.25</f>
        <v>18.25</v>
      </c>
      <c r="K28" s="2159">
        <v>0</v>
      </c>
      <c r="L28" s="2159">
        <v>0</v>
      </c>
      <c r="M28" s="2159">
        <v>0</v>
      </c>
      <c r="N28" s="2334">
        <v>0</v>
      </c>
      <c r="O28" s="2317">
        <v>18.309999999999999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/>
    </row>
    <row r="29" spans="1:30" s="2186" customFormat="1" ht="12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336"/>
      <c r="O29" s="2320"/>
      <c r="P29" s="2185"/>
      <c r="Q29" s="2336"/>
      <c r="R29" s="2336"/>
      <c r="S29" s="2336"/>
      <c r="T29" s="2336"/>
      <c r="U29" s="2336"/>
      <c r="V29" s="2336"/>
      <c r="W29" s="2336"/>
      <c r="X29" s="2265"/>
      <c r="Y29" s="2336"/>
      <c r="Z29" s="2336"/>
      <c r="AA29" s="2336"/>
      <c r="AB29" s="2336"/>
      <c r="AC29" s="2336"/>
      <c r="AD29" s="2336"/>
    </row>
    <row r="30" spans="1:30" s="2191" customFormat="1" ht="12.75" hidden="1" customHeight="1" x14ac:dyDescent="0.2">
      <c r="A30" s="2187" t="s">
        <v>1714</v>
      </c>
      <c r="B30" s="2188" t="s">
        <v>1715</v>
      </c>
      <c r="C30" s="2189" t="s">
        <v>915</v>
      </c>
      <c r="D30" s="2189"/>
      <c r="E30" s="2189"/>
      <c r="F30" s="2190"/>
      <c r="G30" s="2190"/>
      <c r="H30" s="2190"/>
      <c r="I30" s="2190"/>
      <c r="J30" s="2190"/>
      <c r="K30" s="2190"/>
      <c r="L30" s="2190"/>
      <c r="M30" s="2190"/>
      <c r="N30" s="2337"/>
      <c r="O30" s="2321"/>
      <c r="P30" s="2190"/>
      <c r="Q30" s="2337"/>
      <c r="R30" s="2337"/>
      <c r="S30" s="2337"/>
      <c r="T30" s="2337"/>
      <c r="U30" s="2337"/>
      <c r="V30" s="2337"/>
      <c r="W30" s="2337"/>
      <c r="X30" s="2265"/>
      <c r="Y30" s="2337"/>
      <c r="Z30" s="2337"/>
      <c r="AA30" s="2337"/>
      <c r="AB30" s="2337"/>
      <c r="AC30" s="2337"/>
      <c r="AD30" s="2337"/>
    </row>
    <row r="31" spans="1:30" s="2191" customFormat="1" ht="20.25" customHeight="1" x14ac:dyDescent="0.2">
      <c r="A31" s="2187"/>
      <c r="B31" s="2188" t="s">
        <v>1716</v>
      </c>
      <c r="C31" s="2189" t="s">
        <v>915</v>
      </c>
      <c r="D31" s="2189"/>
      <c r="E31" s="2189"/>
      <c r="F31" s="2190"/>
      <c r="G31" s="2190"/>
      <c r="H31" s="2190">
        <f>ТН!D40</f>
        <v>38.527939999999987</v>
      </c>
      <c r="I31" s="2190"/>
      <c r="J31" s="2190"/>
      <c r="K31" s="2190"/>
      <c r="L31" s="2190"/>
      <c r="M31" s="2190">
        <f>ТН!J40</f>
        <v>29.77777</v>
      </c>
      <c r="N31" s="2337"/>
      <c r="O31" s="2321"/>
      <c r="P31" s="2190"/>
      <c r="Q31" s="2337"/>
      <c r="R31" s="2337"/>
      <c r="S31" s="2337"/>
      <c r="T31" s="2337"/>
      <c r="U31" s="2337"/>
      <c r="V31" s="2337"/>
      <c r="W31" s="2337"/>
      <c r="X31" s="2265"/>
      <c r="Y31" s="2337"/>
      <c r="Z31" s="2337"/>
      <c r="AA31" s="2337"/>
      <c r="AB31" s="2337"/>
      <c r="AC31" s="2337"/>
      <c r="AD31" s="2337"/>
    </row>
    <row r="32" spans="1:30" s="2195" customFormat="1" ht="66.75" customHeight="1" x14ac:dyDescent="0.2">
      <c r="A32" s="2192" t="s">
        <v>192</v>
      </c>
      <c r="B32" s="2193" t="s">
        <v>1717</v>
      </c>
      <c r="C32" s="2192" t="s">
        <v>915</v>
      </c>
      <c r="D32" s="2192"/>
      <c r="E32" s="2192"/>
      <c r="F32" s="2194"/>
      <c r="G32" s="2194"/>
      <c r="H32" s="2194">
        <f>H10-H31</f>
        <v>236.40813123873733</v>
      </c>
      <c r="I32" s="2194"/>
      <c r="J32" s="2194"/>
      <c r="K32" s="2194"/>
      <c r="L32" s="2194"/>
      <c r="M32" s="2194">
        <f>M10-M31</f>
        <v>254.00252250458792</v>
      </c>
      <c r="N32" s="2338"/>
      <c r="O32" s="2322"/>
      <c r="P32" s="2194">
        <f>H32*1.039*1.037</f>
        <v>254.71628614625882</v>
      </c>
      <c r="Q32" s="2338"/>
      <c r="R32" s="2338"/>
      <c r="S32" s="2338"/>
      <c r="T32" s="2338"/>
      <c r="U32" s="2338"/>
      <c r="V32" s="2338"/>
      <c r="W32" s="2338"/>
      <c r="X32" s="2265"/>
      <c r="Y32" s="2338"/>
      <c r="Z32" s="2338"/>
      <c r="AA32" s="2338"/>
      <c r="AB32" s="2338"/>
      <c r="AC32" s="2338"/>
      <c r="AD32" s="2797" t="s">
        <v>2219</v>
      </c>
    </row>
    <row r="33" spans="1:30" s="2195" customFormat="1" ht="74.2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338"/>
      <c r="O33" s="2322"/>
      <c r="P33" s="2194">
        <v>0</v>
      </c>
      <c r="Q33" s="2338"/>
      <c r="R33" s="2338"/>
      <c r="S33" s="2338"/>
      <c r="T33" s="2338"/>
      <c r="U33" s="2338"/>
      <c r="V33" s="2338"/>
      <c r="W33" s="2338"/>
      <c r="X33" s="2265"/>
      <c r="Y33" s="2338"/>
      <c r="Z33" s="2338"/>
      <c r="AA33" s="2338"/>
      <c r="AB33" s="2338"/>
      <c r="AC33" s="2338"/>
      <c r="AD33" s="2338"/>
    </row>
    <row r="34" spans="1:30" s="2195" customFormat="1" ht="195.75" customHeight="1" x14ac:dyDescent="0.2">
      <c r="A34" s="2192" t="s">
        <v>958</v>
      </c>
      <c r="B34" s="2366" t="s">
        <v>1719</v>
      </c>
      <c r="C34" s="2192" t="s">
        <v>915</v>
      </c>
      <c r="D34" s="2192"/>
      <c r="E34" s="2192"/>
      <c r="F34" s="2194"/>
      <c r="G34" s="2194"/>
      <c r="H34" s="2194"/>
      <c r="I34" s="2194"/>
      <c r="J34" s="2194"/>
      <c r="K34" s="2194"/>
      <c r="L34" s="2194"/>
      <c r="M34" s="2194"/>
      <c r="N34" s="2338"/>
      <c r="O34" s="2322"/>
      <c r="P34" s="2194">
        <f>-А!C39</f>
        <v>-3.706200318684449</v>
      </c>
      <c r="Q34" s="2338"/>
      <c r="R34" s="2338"/>
      <c r="S34" s="2338"/>
      <c r="T34" s="2338"/>
      <c r="U34" s="2338"/>
      <c r="V34" s="2338"/>
      <c r="W34" s="2338"/>
      <c r="X34" s="2265"/>
      <c r="Y34" s="2338"/>
      <c r="Z34" s="2338"/>
      <c r="AA34" s="2338"/>
      <c r="AB34" s="2338"/>
      <c r="AC34" s="2338"/>
      <c r="AD34" s="2338"/>
    </row>
    <row r="35" spans="1:30" s="2372" customFormat="1" ht="24" customHeight="1" x14ac:dyDescent="0.2">
      <c r="A35" s="2367" t="s">
        <v>2079</v>
      </c>
      <c r="B35" s="2368" t="s">
        <v>1768</v>
      </c>
      <c r="C35" s="2798" t="s">
        <v>915</v>
      </c>
      <c r="D35" s="2367"/>
      <c r="E35" s="2367"/>
      <c r="F35" s="2369"/>
      <c r="G35" s="2369"/>
      <c r="H35" s="2369"/>
      <c r="I35" s="2369"/>
      <c r="J35" s="2369"/>
      <c r="K35" s="2369">
        <f>K10</f>
        <v>345.86970594954454</v>
      </c>
      <c r="L35" s="2369"/>
      <c r="M35" s="2369"/>
      <c r="N35" s="2371"/>
      <c r="O35" s="2370"/>
      <c r="P35" s="2369">
        <f>P10+P32+P33+P34</f>
        <v>617.80769458998327</v>
      </c>
      <c r="Q35" s="2369">
        <f t="shared" ref="Q35:AC35" si="26">Q10+Q32+Q33+Q34</f>
        <v>103.50999999999999</v>
      </c>
      <c r="R35" s="2369">
        <f t="shared" si="26"/>
        <v>106.53999999999999</v>
      </c>
      <c r="S35" s="2369">
        <f t="shared" si="26"/>
        <v>109.44</v>
      </c>
      <c r="T35" s="2369">
        <f t="shared" si="26"/>
        <v>112.58</v>
      </c>
      <c r="U35" s="2369">
        <f t="shared" si="26"/>
        <v>115.67999999999999</v>
      </c>
      <c r="V35" s="2369">
        <f t="shared" si="26"/>
        <v>0</v>
      </c>
      <c r="W35" s="2369">
        <f t="shared" si="26"/>
        <v>30.811242463479257</v>
      </c>
      <c r="X35" s="2824">
        <f>W35/P35*100</f>
        <v>4.9871898218955613</v>
      </c>
      <c r="Y35" s="2369">
        <f t="shared" si="26"/>
        <v>31.785934257425236</v>
      </c>
      <c r="Z35" s="2369">
        <f t="shared" si="26"/>
        <v>32.583910354880125</v>
      </c>
      <c r="AA35" s="2369">
        <f t="shared" si="26"/>
        <v>33.502140830376895</v>
      </c>
      <c r="AB35" s="2369">
        <f t="shared" si="26"/>
        <v>34.552245945013873</v>
      </c>
      <c r="AC35" s="2369">
        <f t="shared" si="26"/>
        <v>35.58084459643441</v>
      </c>
      <c r="AD35" s="2371"/>
    </row>
    <row r="36" spans="1:30" s="1308" customFormat="1" ht="17.25" customHeight="1" x14ac:dyDescent="0.25">
      <c r="A36" s="2154" t="s">
        <v>2080</v>
      </c>
      <c r="B36" s="2155" t="s">
        <v>949</v>
      </c>
      <c r="C36" s="2154" t="s">
        <v>950</v>
      </c>
      <c r="D36" s="2154">
        <v>46.13</v>
      </c>
      <c r="E36" s="2154">
        <v>18.22</v>
      </c>
      <c r="F36" s="2156">
        <f>объемы!AB38</f>
        <v>21.42</v>
      </c>
      <c r="G36" s="2156">
        <f>объемы!Z48</f>
        <v>2.4</v>
      </c>
      <c r="H36" s="2156">
        <f>объемы!Z48</f>
        <v>2.4</v>
      </c>
      <c r="I36" s="2156">
        <f>F36</f>
        <v>21.42</v>
      </c>
      <c r="J36" s="2156">
        <v>18</v>
      </c>
      <c r="K36" s="2156">
        <f>объемы!AK48</f>
        <v>20.349</v>
      </c>
      <c r="L36" s="2156">
        <f>M36</f>
        <v>1.77</v>
      </c>
      <c r="M36" s="2156">
        <f>объемы!AQ48</f>
        <v>1.77</v>
      </c>
      <c r="N36" s="2333">
        <f>I36</f>
        <v>21.42</v>
      </c>
      <c r="O36" s="2316">
        <f>объемы!AM48</f>
        <v>20</v>
      </c>
      <c r="P36" s="2156">
        <f>N36</f>
        <v>21.42</v>
      </c>
      <c r="Q36" s="2333">
        <f>объемы!AW48</f>
        <v>5</v>
      </c>
      <c r="R36" s="2333">
        <f>Q36</f>
        <v>5</v>
      </c>
      <c r="S36" s="2333">
        <f>R36</f>
        <v>5</v>
      </c>
      <c r="T36" s="2333">
        <f t="shared" ref="T36:U36" si="27">S36</f>
        <v>5</v>
      </c>
      <c r="U36" s="2333">
        <f t="shared" si="27"/>
        <v>5</v>
      </c>
      <c r="V36" s="2333">
        <f>объемы!AY48</f>
        <v>1.77</v>
      </c>
      <c r="W36" s="2333">
        <f>V36</f>
        <v>1.77</v>
      </c>
      <c r="X36" s="2821">
        <f>W36/P36*100</f>
        <v>8.2633053221288506</v>
      </c>
      <c r="Y36" s="2333">
        <f>W36</f>
        <v>1.77</v>
      </c>
      <c r="Z36" s="2333">
        <f t="shared" ref="Z36:AC36" si="28">Y36</f>
        <v>1.77</v>
      </c>
      <c r="AA36" s="2333">
        <f t="shared" si="28"/>
        <v>1.77</v>
      </c>
      <c r="AB36" s="2333">
        <f t="shared" si="28"/>
        <v>1.77</v>
      </c>
      <c r="AC36" s="2333">
        <f t="shared" si="28"/>
        <v>1.77</v>
      </c>
      <c r="AD36" s="2364"/>
    </row>
    <row r="37" spans="1:30" s="1307" customFormat="1" ht="21" customHeight="1" x14ac:dyDescent="0.25">
      <c r="A37" s="4028" t="s">
        <v>2081</v>
      </c>
      <c r="B37" s="2168" t="s">
        <v>953</v>
      </c>
      <c r="C37" s="2167" t="s">
        <v>954</v>
      </c>
      <c r="D37" s="2169">
        <v>18.829999999999998</v>
      </c>
      <c r="E37" s="2169">
        <f t="shared" ref="E37:O37" si="29">E10/E36</f>
        <v>16.891328210757411</v>
      </c>
      <c r="F37" s="2169">
        <f t="shared" si="29"/>
        <v>16.058875036723588</v>
      </c>
      <c r="G37" s="2169">
        <f t="shared" si="29"/>
        <v>17.475000000000001</v>
      </c>
      <c r="H37" s="2169">
        <f t="shared" si="29"/>
        <v>114.5566963494739</v>
      </c>
      <c r="I37" s="2169">
        <f t="shared" si="29"/>
        <v>17.061988059938759</v>
      </c>
      <c r="J37" s="2169">
        <f t="shared" si="29"/>
        <v>21.28927777777778</v>
      </c>
      <c r="K37" s="2169">
        <f t="shared" si="29"/>
        <v>16.99688957440388</v>
      </c>
      <c r="L37" s="2169"/>
      <c r="M37" s="2169"/>
      <c r="N37" s="2339">
        <f t="shared" si="29"/>
        <v>17.923053054609099</v>
      </c>
      <c r="O37" s="2323">
        <f t="shared" si="29"/>
        <v>19.2285</v>
      </c>
      <c r="P37" s="2169">
        <f>P35/P36</f>
        <v>28.842562772641607</v>
      </c>
      <c r="Q37" s="2169">
        <f t="shared" ref="Q37:AC37" si="30">Q35/Q36</f>
        <v>20.701999999999998</v>
      </c>
      <c r="R37" s="2169">
        <f t="shared" si="30"/>
        <v>21.308</v>
      </c>
      <c r="S37" s="2169">
        <f t="shared" si="30"/>
        <v>21.887999999999998</v>
      </c>
      <c r="T37" s="2169">
        <f t="shared" si="30"/>
        <v>22.515999999999998</v>
      </c>
      <c r="U37" s="2169">
        <f t="shared" si="30"/>
        <v>23.135999999999999</v>
      </c>
      <c r="V37" s="2169">
        <f t="shared" si="30"/>
        <v>0</v>
      </c>
      <c r="W37" s="2169">
        <f t="shared" si="30"/>
        <v>17.407481617784892</v>
      </c>
      <c r="X37" s="2821">
        <f>W37/P37*100</f>
        <v>60.353449709041207</v>
      </c>
      <c r="Y37" s="2169">
        <f t="shared" si="30"/>
        <v>17.958154947697874</v>
      </c>
      <c r="Z37" s="2169">
        <f t="shared" si="30"/>
        <v>18.408988901062216</v>
      </c>
      <c r="AA37" s="2169">
        <f t="shared" si="30"/>
        <v>18.927763181003897</v>
      </c>
      <c r="AB37" s="2169">
        <f t="shared" si="30"/>
        <v>19.5210429067875</v>
      </c>
      <c r="AC37" s="2169">
        <f t="shared" si="30"/>
        <v>20.102172088381021</v>
      </c>
      <c r="AD37" s="2365"/>
    </row>
    <row r="38" spans="1:30" s="1307" customFormat="1" ht="13.5" customHeight="1" x14ac:dyDescent="0.25">
      <c r="A38" s="4029"/>
      <c r="B38" s="2170" t="s">
        <v>955</v>
      </c>
      <c r="C38" s="2167" t="s">
        <v>954</v>
      </c>
      <c r="D38" s="2401">
        <v>18.420000000000002</v>
      </c>
      <c r="E38" s="2167"/>
      <c r="F38" s="2169">
        <f>F37</f>
        <v>16.058875036723588</v>
      </c>
      <c r="G38" s="2169">
        <f>F38</f>
        <v>16.058875036723588</v>
      </c>
      <c r="H38" s="2169">
        <f>G38</f>
        <v>16.058875036723588</v>
      </c>
      <c r="I38" s="2169">
        <f>F39</f>
        <v>16.058875036723588</v>
      </c>
      <c r="J38" s="2169">
        <f>F39</f>
        <v>16.058875036723588</v>
      </c>
      <c r="K38" s="2169">
        <f>F39</f>
        <v>16.058875036723588</v>
      </c>
      <c r="L38" s="2169"/>
      <c r="M38" s="2169"/>
      <c r="N38" s="2339">
        <f>I39</f>
        <v>18.06510108315393</v>
      </c>
      <c r="O38" s="2323">
        <f>K39</f>
        <v>17.934904112084173</v>
      </c>
      <c r="P38" s="2169">
        <f>K39</f>
        <v>17.934904112084173</v>
      </c>
      <c r="Q38" s="2339"/>
      <c r="R38" s="2339"/>
      <c r="S38" s="2339"/>
      <c r="T38" s="2339"/>
      <c r="U38" s="2339"/>
      <c r="V38" s="2339"/>
      <c r="W38" s="2339">
        <f>W37</f>
        <v>17.407481617784892</v>
      </c>
      <c r="X38" s="2825"/>
      <c r="Y38" s="2339">
        <f>W39</f>
        <v>17.407481617784892</v>
      </c>
      <c r="Z38" s="2339">
        <f>Z37</f>
        <v>18.408988901062216</v>
      </c>
      <c r="AA38" s="2339">
        <f t="shared" ref="AA38:AC38" si="31">Z39</f>
        <v>18.408988901062216</v>
      </c>
      <c r="AB38" s="2339">
        <f t="shared" si="31"/>
        <v>19.446537460945578</v>
      </c>
      <c r="AC38" s="2339">
        <f t="shared" si="31"/>
        <v>19.595548352629422</v>
      </c>
      <c r="AD38" s="2365"/>
    </row>
    <row r="39" spans="1:30" s="1307" customFormat="1" ht="15" customHeight="1" x14ac:dyDescent="0.25">
      <c r="A39" s="4029"/>
      <c r="B39" s="2170" t="s">
        <v>956</v>
      </c>
      <c r="C39" s="2167" t="s">
        <v>954</v>
      </c>
      <c r="D39" s="2401">
        <v>20.11</v>
      </c>
      <c r="E39" s="2167"/>
      <c r="F39" s="2169">
        <f>F37*2-F38</f>
        <v>16.058875036723588</v>
      </c>
      <c r="G39" s="2169">
        <f t="shared" ref="G39:H39" si="32">G37*2-G38</f>
        <v>18.891124963276415</v>
      </c>
      <c r="H39" s="2169">
        <f t="shared" si="32"/>
        <v>213.05451766222421</v>
      </c>
      <c r="I39" s="2169">
        <f>I37*2-I38</f>
        <v>18.06510108315393</v>
      </c>
      <c r="J39" s="2169">
        <f>J37*2-J38</f>
        <v>26.519680518831972</v>
      </c>
      <c r="K39" s="2169">
        <f>K37*2-K38</f>
        <v>17.934904112084173</v>
      </c>
      <c r="L39" s="2169"/>
      <c r="M39" s="2169"/>
      <c r="N39" s="2339">
        <f>N37*2-N38</f>
        <v>17.781005026064268</v>
      </c>
      <c r="O39" s="2323">
        <f t="shared" ref="O39:P39" si="33">O37*2-O38</f>
        <v>20.522095887915828</v>
      </c>
      <c r="P39" s="2169">
        <f t="shared" si="33"/>
        <v>39.750221433199044</v>
      </c>
      <c r="Q39" s="2339"/>
      <c r="R39" s="2339"/>
      <c r="S39" s="2339"/>
      <c r="T39" s="2339"/>
      <c r="U39" s="2339"/>
      <c r="V39" s="2339"/>
      <c r="W39" s="2169">
        <f t="shared" ref="W39:AC39" si="34">W37*2-W38</f>
        <v>17.407481617784892</v>
      </c>
      <c r="X39" s="2169"/>
      <c r="Y39" s="2169">
        <f t="shared" si="34"/>
        <v>18.508828277610856</v>
      </c>
      <c r="Z39" s="2169">
        <f t="shared" si="34"/>
        <v>18.408988901062216</v>
      </c>
      <c r="AA39" s="2169">
        <f t="shared" si="34"/>
        <v>19.446537460945578</v>
      </c>
      <c r="AB39" s="2169">
        <f t="shared" si="34"/>
        <v>19.595548352629422</v>
      </c>
      <c r="AC39" s="2169">
        <f t="shared" si="34"/>
        <v>20.608795824132621</v>
      </c>
      <c r="AD39" s="2365"/>
    </row>
    <row r="40" spans="1:30" s="1307" customFormat="1" ht="17.25" customHeight="1" x14ac:dyDescent="0.25">
      <c r="A40" s="4029"/>
      <c r="B40" s="2168" t="s">
        <v>957</v>
      </c>
      <c r="C40" s="2167"/>
      <c r="D40" s="2167"/>
      <c r="E40" s="2167"/>
      <c r="F40" s="2169"/>
      <c r="G40" s="2169"/>
      <c r="H40" s="2169"/>
      <c r="I40" s="2169"/>
      <c r="J40" s="2169"/>
      <c r="K40" s="2169"/>
      <c r="L40" s="2169"/>
      <c r="M40" s="2169"/>
      <c r="N40" s="2339"/>
      <c r="O40" s="2323"/>
      <c r="P40" s="2169"/>
      <c r="Q40" s="2339"/>
      <c r="R40" s="2339"/>
      <c r="S40" s="2339"/>
      <c r="T40" s="2339"/>
      <c r="U40" s="2339"/>
      <c r="V40" s="2339"/>
      <c r="W40" s="2339"/>
      <c r="X40" s="2339"/>
      <c r="Y40" s="2339"/>
      <c r="Z40" s="2339"/>
      <c r="AA40" s="2339"/>
      <c r="AB40" s="2339"/>
      <c r="AC40" s="2339"/>
      <c r="AD40" s="2365"/>
    </row>
    <row r="41" spans="1:30" s="1307" customFormat="1" ht="16.5" customHeight="1" x14ac:dyDescent="0.25">
      <c r="A41" s="4029"/>
      <c r="B41" s="2170" t="s">
        <v>955</v>
      </c>
      <c r="C41" s="2167" t="s">
        <v>44</v>
      </c>
      <c r="D41" s="2167"/>
      <c r="E41" s="2167"/>
      <c r="F41" s="2169"/>
      <c r="G41" s="2169"/>
      <c r="H41" s="2169"/>
      <c r="I41" s="2169">
        <f>I38/F39*100</f>
        <v>100</v>
      </c>
      <c r="J41" s="2169"/>
      <c r="K41" s="2169">
        <f>K38/F39*100</f>
        <v>100</v>
      </c>
      <c r="L41" s="2169"/>
      <c r="M41" s="2169"/>
      <c r="N41" s="2339">
        <f>N38/I39*100</f>
        <v>100</v>
      </c>
      <c r="O41" s="2323"/>
      <c r="P41" s="2169">
        <f>P38/K39*100</f>
        <v>100</v>
      </c>
      <c r="Q41" s="2339"/>
      <c r="R41" s="2339"/>
      <c r="S41" s="2339"/>
      <c r="T41" s="2339"/>
      <c r="U41" s="2339"/>
      <c r="V41" s="2339"/>
      <c r="W41" s="2339">
        <f>W38/P39*100</f>
        <v>43.792162634964122</v>
      </c>
      <c r="X41" s="2339"/>
      <c r="Y41" s="2339">
        <f>Y38/W39*100</f>
        <v>100</v>
      </c>
      <c r="Z41" s="2339">
        <f t="shared" ref="Z41:AC41" si="35">Z38/Y39*100</f>
        <v>99.460585105382322</v>
      </c>
      <c r="AA41" s="2339">
        <f t="shared" si="35"/>
        <v>100</v>
      </c>
      <c r="AB41" s="2339">
        <f t="shared" si="35"/>
        <v>100</v>
      </c>
      <c r="AC41" s="2339">
        <f t="shared" si="35"/>
        <v>100</v>
      </c>
      <c r="AD41" s="2365"/>
    </row>
    <row r="42" spans="1:30" s="1307" customFormat="1" ht="20.25" customHeight="1" x14ac:dyDescent="0.25">
      <c r="A42" s="4030"/>
      <c r="B42" s="2170" t="s">
        <v>956</v>
      </c>
      <c r="C42" s="2167" t="s">
        <v>44</v>
      </c>
      <c r="D42" s="2167"/>
      <c r="E42" s="2167"/>
      <c r="F42" s="2169">
        <f>F39/F38*100</f>
        <v>100</v>
      </c>
      <c r="G42" s="2169">
        <f t="shared" ref="G42:H42" si="36">G39/G38*100</f>
        <v>117.63666458625532</v>
      </c>
      <c r="H42" s="2169">
        <f t="shared" si="36"/>
        <v>1326.708858341628</v>
      </c>
      <c r="I42" s="2169">
        <f>I39/I38*100</f>
        <v>112.4929426366572</v>
      </c>
      <c r="J42" s="2169">
        <f>J39/J38*100</f>
        <v>165.14033802608537</v>
      </c>
      <c r="K42" s="2169">
        <f>K39/K38*100</f>
        <v>111.68219486776292</v>
      </c>
      <c r="L42" s="2169"/>
      <c r="M42" s="2169"/>
      <c r="N42" s="2339">
        <f>N39/N38*100</f>
        <v>98.427376321992526</v>
      </c>
      <c r="O42" s="2323">
        <f t="shared" ref="O42:P42" si="37">O39/O38*100</f>
        <v>114.42545641539539</v>
      </c>
      <c r="P42" s="2169">
        <f t="shared" si="37"/>
        <v>221.63609676851385</v>
      </c>
      <c r="Q42" s="2339"/>
      <c r="R42" s="2339"/>
      <c r="S42" s="2339"/>
      <c r="T42" s="2339"/>
      <c r="U42" s="2339"/>
      <c r="V42" s="2339"/>
      <c r="W42" s="2339">
        <f>W39/W38*100</f>
        <v>100</v>
      </c>
      <c r="X42" s="2339"/>
      <c r="Y42" s="2339">
        <f t="shared" ref="Y42:AC42" si="38">Y39/Y38*100</f>
        <v>106.32685809474438</v>
      </c>
      <c r="Z42" s="2339">
        <f t="shared" si="38"/>
        <v>100</v>
      </c>
      <c r="AA42" s="2339">
        <f t="shared" si="38"/>
        <v>105.63609748183124</v>
      </c>
      <c r="AB42" s="2339">
        <f t="shared" si="38"/>
        <v>100.76625924786407</v>
      </c>
      <c r="AC42" s="2339">
        <f t="shared" si="38"/>
        <v>105.17080437489894</v>
      </c>
      <c r="AD42" s="2365"/>
    </row>
    <row r="43" spans="1:30" ht="9" customHeight="1" x14ac:dyDescent="0.25">
      <c r="AD43" s="2119"/>
    </row>
    <row r="44" spans="1:30" ht="31.5" hidden="1" x14ac:dyDescent="0.25">
      <c r="A44" s="1314" t="s">
        <v>958</v>
      </c>
      <c r="B44" s="1315" t="s">
        <v>959</v>
      </c>
      <c r="C44" s="1316"/>
      <c r="D44" s="2404"/>
      <c r="E44" s="2404"/>
      <c r="F44" s="1316"/>
      <c r="G44" s="2271"/>
      <c r="H44" s="2271"/>
      <c r="I44" s="1316"/>
      <c r="J44" s="1651"/>
      <c r="K44" s="1651"/>
      <c r="L44" s="2404"/>
      <c r="M44" s="2404"/>
      <c r="N44" s="1316"/>
      <c r="O44" s="2272"/>
      <c r="P44" s="2272"/>
      <c r="Q44" s="2272"/>
      <c r="R44" s="2272"/>
      <c r="S44" s="2272"/>
      <c r="T44" s="2272"/>
      <c r="U44" s="2272"/>
      <c r="V44" s="2272"/>
      <c r="W44" s="2272"/>
      <c r="X44" s="2272"/>
      <c r="Y44" s="2272"/>
      <c r="Z44" s="2272"/>
      <c r="AA44" s="2272"/>
      <c r="AB44" s="2272"/>
      <c r="AC44" s="2272"/>
    </row>
    <row r="45" spans="1:30" ht="31.5" hidden="1" x14ac:dyDescent="0.25">
      <c r="A45" s="1316"/>
      <c r="B45" s="1317" t="s">
        <v>955</v>
      </c>
      <c r="C45" s="1318" t="s">
        <v>960</v>
      </c>
      <c r="D45" s="2405"/>
      <c r="E45" s="2405"/>
      <c r="F45" s="1316"/>
      <c r="G45" s="2271"/>
      <c r="H45" s="2271"/>
      <c r="I45" s="1319">
        <f>F46</f>
        <v>0</v>
      </c>
      <c r="J45" s="1652"/>
      <c r="K45" s="1652"/>
      <c r="L45" s="2471"/>
      <c r="M45" s="2471"/>
      <c r="N45" s="1319">
        <f>I46</f>
        <v>0</v>
      </c>
      <c r="O45" s="2273"/>
      <c r="P45" s="2273"/>
      <c r="Q45" s="2273"/>
      <c r="R45" s="2273"/>
      <c r="S45" s="2273"/>
      <c r="T45" s="2273"/>
      <c r="U45" s="2273"/>
      <c r="V45" s="2273"/>
      <c r="W45" s="2273"/>
      <c r="X45" s="2273"/>
      <c r="Y45" s="2273"/>
      <c r="Z45" s="2273"/>
      <c r="AA45" s="2273"/>
      <c r="AB45" s="2273"/>
      <c r="AC45" s="2273"/>
    </row>
    <row r="46" spans="1:30" ht="31.5" hidden="1" x14ac:dyDescent="0.25">
      <c r="A46" s="1316"/>
      <c r="B46" s="1317" t="s">
        <v>956</v>
      </c>
      <c r="C46" s="1318" t="s">
        <v>960</v>
      </c>
      <c r="D46" s="2405"/>
      <c r="E46" s="2405"/>
      <c r="F46" s="1316"/>
      <c r="G46" s="2271"/>
      <c r="H46" s="2271"/>
      <c r="I46" s="1316"/>
      <c r="J46" s="1651"/>
      <c r="K46" s="1651"/>
      <c r="L46" s="2404"/>
      <c r="M46" s="2404"/>
      <c r="N46" s="1316"/>
      <c r="O46" s="2272"/>
      <c r="P46" s="2272"/>
      <c r="Q46" s="2272"/>
      <c r="R46" s="2272"/>
      <c r="S46" s="2272"/>
      <c r="T46" s="2272"/>
      <c r="U46" s="2272"/>
      <c r="V46" s="2272"/>
      <c r="W46" s="2272"/>
      <c r="X46" s="2272"/>
      <c r="Y46" s="2272"/>
      <c r="Z46" s="2272"/>
      <c r="AA46" s="2272"/>
      <c r="AB46" s="2272"/>
      <c r="AC46" s="2272"/>
    </row>
    <row r="47" spans="1:30" ht="15.75" hidden="1" x14ac:dyDescent="0.25">
      <c r="A47" s="1316"/>
      <c r="B47" s="1317" t="s">
        <v>357</v>
      </c>
      <c r="C47" s="1318" t="s">
        <v>44</v>
      </c>
      <c r="D47" s="2405"/>
      <c r="E47" s="2405"/>
      <c r="F47" s="1316" t="e">
        <f>F46/F45*100</f>
        <v>#DIV/0!</v>
      </c>
      <c r="G47" s="2271"/>
      <c r="H47" s="2271"/>
      <c r="I47" s="1316" t="e">
        <f>I46/I45*100</f>
        <v>#DIV/0!</v>
      </c>
      <c r="J47" s="1651"/>
      <c r="K47" s="1651"/>
      <c r="L47" s="2404"/>
      <c r="M47" s="2404"/>
      <c r="N47" s="1316" t="e">
        <f>N46/N45*100</f>
        <v>#DIV/0!</v>
      </c>
      <c r="O47" s="2272"/>
      <c r="P47" s="2272"/>
      <c r="Q47" s="2272"/>
      <c r="R47" s="2272"/>
      <c r="S47" s="2272"/>
      <c r="T47" s="2272"/>
      <c r="U47" s="2272"/>
      <c r="V47" s="2272"/>
      <c r="W47" s="2272"/>
      <c r="X47" s="2272"/>
      <c r="Y47" s="2272"/>
      <c r="Z47" s="2272"/>
      <c r="AA47" s="2272"/>
      <c r="AB47" s="2272"/>
      <c r="AC47" s="2272"/>
    </row>
    <row r="48" spans="1:30" ht="15.75" hidden="1" x14ac:dyDescent="0.25">
      <c r="A48" s="1316"/>
      <c r="B48" s="1315" t="s">
        <v>961</v>
      </c>
      <c r="C48" s="1318" t="s">
        <v>915</v>
      </c>
      <c r="D48" s="2405"/>
      <c r="E48" s="2405"/>
      <c r="F48" s="1316" t="e">
        <f>(F38-F45)*#REF!/2+(F39-F46)*#REF!/2</f>
        <v>#REF!</v>
      </c>
      <c r="G48" s="2271"/>
      <c r="H48" s="2271"/>
      <c r="I48" s="1316" t="e">
        <f>(I38-I45)*#REF!/2+(I39-I46)*#REF!/2</f>
        <v>#REF!</v>
      </c>
      <c r="J48" s="1651"/>
      <c r="K48" s="1651"/>
      <c r="L48" s="2404"/>
      <c r="M48" s="2404"/>
      <c r="N48" s="1316" t="e">
        <f>(N38-N45)*#REF!/2+(N39-N46)*#REF!/2</f>
        <v>#REF!</v>
      </c>
      <c r="O48" s="2272"/>
      <c r="P48" s="2272"/>
      <c r="Q48" s="2272"/>
      <c r="R48" s="2272"/>
      <c r="S48" s="2272"/>
      <c r="T48" s="2272"/>
      <c r="U48" s="2272"/>
      <c r="V48" s="2272"/>
      <c r="W48" s="2272"/>
      <c r="X48" s="2272"/>
      <c r="Y48" s="2272"/>
      <c r="Z48" s="2272"/>
      <c r="AA48" s="2272"/>
      <c r="AB48" s="2272"/>
      <c r="AC48" s="2272"/>
    </row>
    <row r="49" spans="3:5" hidden="1" x14ac:dyDescent="0.25">
      <c r="C49" s="1320"/>
      <c r="D49" s="1320"/>
      <c r="E49" s="1320"/>
    </row>
  </sheetData>
  <mergeCells count="27">
    <mergeCell ref="AD7:AD9"/>
    <mergeCell ref="A37:A42"/>
    <mergeCell ref="X7:X9"/>
    <mergeCell ref="AD4:AD6"/>
    <mergeCell ref="A2:AD2"/>
    <mergeCell ref="C7:C9"/>
    <mergeCell ref="F7:F9"/>
    <mergeCell ref="A4:A6"/>
    <mergeCell ref="B4:B6"/>
    <mergeCell ref="C4:C6"/>
    <mergeCell ref="F4:P4"/>
    <mergeCell ref="G7:G9"/>
    <mergeCell ref="H7:H9"/>
    <mergeCell ref="O7:O9"/>
    <mergeCell ref="D4:D6"/>
    <mergeCell ref="E4:E6"/>
    <mergeCell ref="D7:D9"/>
    <mergeCell ref="E7:E9"/>
    <mergeCell ref="F5:H5"/>
    <mergeCell ref="I5:M5"/>
    <mergeCell ref="N5:P5"/>
    <mergeCell ref="L7:L9"/>
    <mergeCell ref="Q4:AC4"/>
    <mergeCell ref="Q6:V6"/>
    <mergeCell ref="W6:AC6"/>
    <mergeCell ref="Q7:Q9"/>
    <mergeCell ref="W7:W9"/>
  </mergeCells>
  <pageMargins left="0.31496062992125984" right="0.31496062992125984" top="0.35433070866141736" bottom="0.35433070866141736" header="0.31496062992125984" footer="0.31496062992125984"/>
  <pageSetup paperSize="9" scale="43" orientation="landscape" r:id="rId1"/>
  <colBreaks count="1" manualBreakCount="1">
    <brk id="2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G56"/>
  <sheetViews>
    <sheetView topLeftCell="N34" zoomScaleNormal="100" zoomScaleSheetLayoutView="75" workbookViewId="0">
      <selection activeCell="Y32" sqref="Y32:Y34"/>
    </sheetView>
  </sheetViews>
  <sheetFormatPr defaultColWidth="0.85546875" defaultRowHeight="15" x14ac:dyDescent="0.25"/>
  <cols>
    <col min="1" max="1" width="9.85546875" style="1306" customWidth="1"/>
    <col min="2" max="2" width="36.7109375" style="1313" customWidth="1"/>
    <col min="3" max="3" width="10.140625" style="1306" customWidth="1"/>
    <col min="4" max="5" width="12.7109375" style="1306" hidden="1" customWidth="1"/>
    <col min="6" max="6" width="11.28515625" style="1306" customWidth="1"/>
    <col min="7" max="7" width="11.42578125" style="1306" customWidth="1"/>
    <col min="8" max="8" width="10.85546875" style="1306" customWidth="1"/>
    <col min="9" max="9" width="11.7109375" style="1306" customWidth="1"/>
    <col min="10" max="10" width="16.42578125" style="1306" hidden="1" customWidth="1"/>
    <col min="11" max="11" width="13.7109375" style="1306" customWidth="1"/>
    <col min="12" max="12" width="14.5703125" style="1306" customWidth="1"/>
    <col min="13" max="13" width="13.140625" style="1306" customWidth="1"/>
    <col min="14" max="14" width="15" style="1306" customWidth="1"/>
    <col min="15" max="16" width="15.140625" style="1306" hidden="1" customWidth="1"/>
    <col min="17" max="17" width="15.140625" style="1306" customWidth="1"/>
    <col min="18" max="18" width="15.140625" style="1306" hidden="1" customWidth="1"/>
    <col min="19" max="19" width="12.85546875" style="1306" customWidth="1"/>
    <col min="20" max="20" width="11.7109375" style="1306" customWidth="1"/>
    <col min="21" max="21" width="12.140625" style="1306" customWidth="1"/>
    <col min="22" max="22" width="11.7109375" style="1306" customWidth="1"/>
    <col min="23" max="23" width="12.28515625" style="1306" customWidth="1"/>
    <col min="24" max="24" width="11.85546875" style="1306" hidden="1" customWidth="1"/>
    <col min="25" max="26" width="11.5703125" style="1306" customWidth="1"/>
    <col min="27" max="27" width="13.28515625" style="1306" customWidth="1"/>
    <col min="28" max="28" width="12.85546875" style="1306" customWidth="1"/>
    <col min="29" max="29" width="12" style="1306" customWidth="1"/>
    <col min="30" max="30" width="12.7109375" style="1306" customWidth="1"/>
    <col min="31" max="31" width="13" style="1306" customWidth="1"/>
    <col min="32" max="32" width="30" style="1306" customWidth="1"/>
    <col min="33" max="35" width="12.7109375" style="1306" customWidth="1"/>
    <col min="36" max="36" width="9.28515625" style="1306" customWidth="1"/>
    <col min="37" max="37" width="13.5703125" style="1306" customWidth="1"/>
    <col min="38" max="38" width="10.28515625" style="1306" customWidth="1"/>
    <col min="39" max="39" width="12.85546875" style="1306" customWidth="1"/>
    <col min="40" max="40" width="9.140625" style="1306" customWidth="1"/>
    <col min="41" max="41" width="9.7109375" style="1306" customWidth="1"/>
    <col min="42" max="42" width="9.28515625" style="1306" customWidth="1"/>
    <col min="43" max="43" width="9.42578125" style="1306" customWidth="1"/>
    <col min="44" max="44" width="10.5703125" style="1306" customWidth="1"/>
    <col min="45" max="45" width="12.42578125" style="1306" customWidth="1"/>
    <col min="46" max="46" width="14.5703125" style="1306" customWidth="1"/>
    <col min="47" max="47" width="12.28515625" style="1306" customWidth="1"/>
    <col min="48" max="48" width="25.85546875" style="1306" customWidth="1"/>
    <col min="49" max="280" width="0.85546875" style="1306"/>
    <col min="281" max="281" width="9.85546875" style="1306" customWidth="1"/>
    <col min="282" max="282" width="81.85546875" style="1306" customWidth="1"/>
    <col min="283" max="283" width="12.7109375" style="1306" customWidth="1"/>
    <col min="284" max="284" width="12.42578125" style="1306" customWidth="1"/>
    <col min="285" max="285" width="14.5703125" style="1306" customWidth="1"/>
    <col min="286" max="286" width="12.28515625" style="1306" customWidth="1"/>
    <col min="287" max="287" width="38.140625" style="1306" customWidth="1"/>
    <col min="288" max="288" width="46.85546875" style="1306" customWidth="1"/>
    <col min="289" max="291" width="12.7109375" style="1306" customWidth="1"/>
    <col min="292" max="292" width="9.28515625" style="1306" customWidth="1"/>
    <col min="293" max="293" width="13.5703125" style="1306" customWidth="1"/>
    <col min="294" max="294" width="10.28515625" style="1306" customWidth="1"/>
    <col min="295" max="295" width="12.85546875" style="1306" customWidth="1"/>
    <col min="296" max="296" width="9.140625" style="1306" customWidth="1"/>
    <col min="297" max="297" width="9.7109375" style="1306" customWidth="1"/>
    <col min="298" max="298" width="9.28515625" style="1306" customWidth="1"/>
    <col min="299" max="299" width="9.42578125" style="1306" customWidth="1"/>
    <col min="300" max="300" width="10.5703125" style="1306" customWidth="1"/>
    <col min="301" max="301" width="12.42578125" style="1306" customWidth="1"/>
    <col min="302" max="302" width="14.5703125" style="1306" customWidth="1"/>
    <col min="303" max="303" width="12.28515625" style="1306" customWidth="1"/>
    <col min="304" max="304" width="25.85546875" style="1306" customWidth="1"/>
    <col min="305" max="536" width="0.85546875" style="1306"/>
    <col min="537" max="537" width="9.85546875" style="1306" customWidth="1"/>
    <col min="538" max="538" width="81.85546875" style="1306" customWidth="1"/>
    <col min="539" max="539" width="12.7109375" style="1306" customWidth="1"/>
    <col min="540" max="540" width="12.42578125" style="1306" customWidth="1"/>
    <col min="541" max="541" width="14.5703125" style="1306" customWidth="1"/>
    <col min="542" max="542" width="12.28515625" style="1306" customWidth="1"/>
    <col min="543" max="543" width="38.140625" style="1306" customWidth="1"/>
    <col min="544" max="544" width="46.85546875" style="1306" customWidth="1"/>
    <col min="545" max="547" width="12.7109375" style="1306" customWidth="1"/>
    <col min="548" max="548" width="9.28515625" style="1306" customWidth="1"/>
    <col min="549" max="549" width="13.5703125" style="1306" customWidth="1"/>
    <col min="550" max="550" width="10.28515625" style="1306" customWidth="1"/>
    <col min="551" max="551" width="12.85546875" style="1306" customWidth="1"/>
    <col min="552" max="552" width="9.140625" style="1306" customWidth="1"/>
    <col min="553" max="553" width="9.7109375" style="1306" customWidth="1"/>
    <col min="554" max="554" width="9.28515625" style="1306" customWidth="1"/>
    <col min="555" max="555" width="9.42578125" style="1306" customWidth="1"/>
    <col min="556" max="556" width="10.5703125" style="1306" customWidth="1"/>
    <col min="557" max="557" width="12.42578125" style="1306" customWidth="1"/>
    <col min="558" max="558" width="14.5703125" style="1306" customWidth="1"/>
    <col min="559" max="559" width="12.28515625" style="1306" customWidth="1"/>
    <col min="560" max="560" width="25.85546875" style="1306" customWidth="1"/>
    <col min="561" max="792" width="0.85546875" style="1306"/>
    <col min="793" max="793" width="9.85546875" style="1306" customWidth="1"/>
    <col min="794" max="794" width="81.85546875" style="1306" customWidth="1"/>
    <col min="795" max="795" width="12.7109375" style="1306" customWidth="1"/>
    <col min="796" max="796" width="12.42578125" style="1306" customWidth="1"/>
    <col min="797" max="797" width="14.5703125" style="1306" customWidth="1"/>
    <col min="798" max="798" width="12.28515625" style="1306" customWidth="1"/>
    <col min="799" max="799" width="38.140625" style="1306" customWidth="1"/>
    <col min="800" max="800" width="46.85546875" style="1306" customWidth="1"/>
    <col min="801" max="803" width="12.7109375" style="1306" customWidth="1"/>
    <col min="804" max="804" width="9.28515625" style="1306" customWidth="1"/>
    <col min="805" max="805" width="13.5703125" style="1306" customWidth="1"/>
    <col min="806" max="806" width="10.28515625" style="1306" customWidth="1"/>
    <col min="807" max="807" width="12.85546875" style="1306" customWidth="1"/>
    <col min="808" max="808" width="9.140625" style="1306" customWidth="1"/>
    <col min="809" max="809" width="9.7109375" style="1306" customWidth="1"/>
    <col min="810" max="810" width="9.28515625" style="1306" customWidth="1"/>
    <col min="811" max="811" width="9.42578125" style="1306" customWidth="1"/>
    <col min="812" max="812" width="10.5703125" style="1306" customWidth="1"/>
    <col min="813" max="813" width="12.42578125" style="1306" customWidth="1"/>
    <col min="814" max="814" width="14.5703125" style="1306" customWidth="1"/>
    <col min="815" max="815" width="12.28515625" style="1306" customWidth="1"/>
    <col min="816" max="816" width="25.85546875" style="1306" customWidth="1"/>
    <col min="817" max="1048" width="0.85546875" style="1306"/>
    <col min="1049" max="1049" width="9.85546875" style="1306" customWidth="1"/>
    <col min="1050" max="1050" width="81.85546875" style="1306" customWidth="1"/>
    <col min="1051" max="1051" width="12.7109375" style="1306" customWidth="1"/>
    <col min="1052" max="1052" width="12.42578125" style="1306" customWidth="1"/>
    <col min="1053" max="1053" width="14.5703125" style="1306" customWidth="1"/>
    <col min="1054" max="1054" width="12.28515625" style="1306" customWidth="1"/>
    <col min="1055" max="1055" width="38.140625" style="1306" customWidth="1"/>
    <col min="1056" max="1056" width="46.85546875" style="1306" customWidth="1"/>
    <col min="1057" max="1059" width="12.7109375" style="1306" customWidth="1"/>
    <col min="1060" max="1060" width="9.28515625" style="1306" customWidth="1"/>
    <col min="1061" max="1061" width="13.5703125" style="1306" customWidth="1"/>
    <col min="1062" max="1062" width="10.28515625" style="1306" customWidth="1"/>
    <col min="1063" max="1063" width="12.85546875" style="1306" customWidth="1"/>
    <col min="1064" max="1064" width="9.140625" style="1306" customWidth="1"/>
    <col min="1065" max="1065" width="9.7109375" style="1306" customWidth="1"/>
    <col min="1066" max="1066" width="9.28515625" style="1306" customWidth="1"/>
    <col min="1067" max="1067" width="9.42578125" style="1306" customWidth="1"/>
    <col min="1068" max="1068" width="10.5703125" style="1306" customWidth="1"/>
    <col min="1069" max="1069" width="12.42578125" style="1306" customWidth="1"/>
    <col min="1070" max="1070" width="14.5703125" style="1306" customWidth="1"/>
    <col min="1071" max="1071" width="12.28515625" style="1306" customWidth="1"/>
    <col min="1072" max="1072" width="25.85546875" style="1306" customWidth="1"/>
    <col min="1073" max="1304" width="0.85546875" style="1306"/>
    <col min="1305" max="1305" width="9.85546875" style="1306" customWidth="1"/>
    <col min="1306" max="1306" width="81.85546875" style="1306" customWidth="1"/>
    <col min="1307" max="1307" width="12.7109375" style="1306" customWidth="1"/>
    <col min="1308" max="1308" width="12.42578125" style="1306" customWidth="1"/>
    <col min="1309" max="1309" width="14.5703125" style="1306" customWidth="1"/>
    <col min="1310" max="1310" width="12.28515625" style="1306" customWidth="1"/>
    <col min="1311" max="1311" width="38.140625" style="1306" customWidth="1"/>
    <col min="1312" max="1312" width="46.85546875" style="1306" customWidth="1"/>
    <col min="1313" max="1315" width="12.7109375" style="1306" customWidth="1"/>
    <col min="1316" max="1316" width="9.28515625" style="1306" customWidth="1"/>
    <col min="1317" max="1317" width="13.5703125" style="1306" customWidth="1"/>
    <col min="1318" max="1318" width="10.28515625" style="1306" customWidth="1"/>
    <col min="1319" max="1319" width="12.85546875" style="1306" customWidth="1"/>
    <col min="1320" max="1320" width="9.140625" style="1306" customWidth="1"/>
    <col min="1321" max="1321" width="9.7109375" style="1306" customWidth="1"/>
    <col min="1322" max="1322" width="9.28515625" style="1306" customWidth="1"/>
    <col min="1323" max="1323" width="9.42578125" style="1306" customWidth="1"/>
    <col min="1324" max="1324" width="10.5703125" style="1306" customWidth="1"/>
    <col min="1325" max="1325" width="12.42578125" style="1306" customWidth="1"/>
    <col min="1326" max="1326" width="14.5703125" style="1306" customWidth="1"/>
    <col min="1327" max="1327" width="12.28515625" style="1306" customWidth="1"/>
    <col min="1328" max="1328" width="25.85546875" style="1306" customWidth="1"/>
    <col min="1329" max="1560" width="0.85546875" style="1306"/>
    <col min="1561" max="1561" width="9.85546875" style="1306" customWidth="1"/>
    <col min="1562" max="1562" width="81.85546875" style="1306" customWidth="1"/>
    <col min="1563" max="1563" width="12.7109375" style="1306" customWidth="1"/>
    <col min="1564" max="1564" width="12.42578125" style="1306" customWidth="1"/>
    <col min="1565" max="1565" width="14.5703125" style="1306" customWidth="1"/>
    <col min="1566" max="1566" width="12.28515625" style="1306" customWidth="1"/>
    <col min="1567" max="1567" width="38.140625" style="1306" customWidth="1"/>
    <col min="1568" max="1568" width="46.85546875" style="1306" customWidth="1"/>
    <col min="1569" max="1571" width="12.7109375" style="1306" customWidth="1"/>
    <col min="1572" max="1572" width="9.28515625" style="1306" customWidth="1"/>
    <col min="1573" max="1573" width="13.5703125" style="1306" customWidth="1"/>
    <col min="1574" max="1574" width="10.28515625" style="1306" customWidth="1"/>
    <col min="1575" max="1575" width="12.85546875" style="1306" customWidth="1"/>
    <col min="1576" max="1576" width="9.140625" style="1306" customWidth="1"/>
    <col min="1577" max="1577" width="9.7109375" style="1306" customWidth="1"/>
    <col min="1578" max="1578" width="9.28515625" style="1306" customWidth="1"/>
    <col min="1579" max="1579" width="9.42578125" style="1306" customWidth="1"/>
    <col min="1580" max="1580" width="10.5703125" style="1306" customWidth="1"/>
    <col min="1581" max="1581" width="12.42578125" style="1306" customWidth="1"/>
    <col min="1582" max="1582" width="14.5703125" style="1306" customWidth="1"/>
    <col min="1583" max="1583" width="12.28515625" style="1306" customWidth="1"/>
    <col min="1584" max="1584" width="25.85546875" style="1306" customWidth="1"/>
    <col min="1585" max="1816" width="0.85546875" style="1306"/>
    <col min="1817" max="1817" width="9.85546875" style="1306" customWidth="1"/>
    <col min="1818" max="1818" width="81.85546875" style="1306" customWidth="1"/>
    <col min="1819" max="1819" width="12.7109375" style="1306" customWidth="1"/>
    <col min="1820" max="1820" width="12.42578125" style="1306" customWidth="1"/>
    <col min="1821" max="1821" width="14.5703125" style="1306" customWidth="1"/>
    <col min="1822" max="1822" width="12.28515625" style="1306" customWidth="1"/>
    <col min="1823" max="1823" width="38.140625" style="1306" customWidth="1"/>
    <col min="1824" max="1824" width="46.85546875" style="1306" customWidth="1"/>
    <col min="1825" max="1827" width="12.7109375" style="1306" customWidth="1"/>
    <col min="1828" max="1828" width="9.28515625" style="1306" customWidth="1"/>
    <col min="1829" max="1829" width="13.5703125" style="1306" customWidth="1"/>
    <col min="1830" max="1830" width="10.28515625" style="1306" customWidth="1"/>
    <col min="1831" max="1831" width="12.85546875" style="1306" customWidth="1"/>
    <col min="1832" max="1832" width="9.140625" style="1306" customWidth="1"/>
    <col min="1833" max="1833" width="9.7109375" style="1306" customWidth="1"/>
    <col min="1834" max="1834" width="9.28515625" style="1306" customWidth="1"/>
    <col min="1835" max="1835" width="9.42578125" style="1306" customWidth="1"/>
    <col min="1836" max="1836" width="10.5703125" style="1306" customWidth="1"/>
    <col min="1837" max="1837" width="12.42578125" style="1306" customWidth="1"/>
    <col min="1838" max="1838" width="14.5703125" style="1306" customWidth="1"/>
    <col min="1839" max="1839" width="12.28515625" style="1306" customWidth="1"/>
    <col min="1840" max="1840" width="25.85546875" style="1306" customWidth="1"/>
    <col min="1841" max="2072" width="0.85546875" style="1306"/>
    <col min="2073" max="2073" width="9.85546875" style="1306" customWidth="1"/>
    <col min="2074" max="2074" width="81.85546875" style="1306" customWidth="1"/>
    <col min="2075" max="2075" width="12.7109375" style="1306" customWidth="1"/>
    <col min="2076" max="2076" width="12.42578125" style="1306" customWidth="1"/>
    <col min="2077" max="2077" width="14.5703125" style="1306" customWidth="1"/>
    <col min="2078" max="2078" width="12.28515625" style="1306" customWidth="1"/>
    <col min="2079" max="2079" width="38.140625" style="1306" customWidth="1"/>
    <col min="2080" max="2080" width="46.85546875" style="1306" customWidth="1"/>
    <col min="2081" max="2083" width="12.7109375" style="1306" customWidth="1"/>
    <col min="2084" max="2084" width="9.28515625" style="1306" customWidth="1"/>
    <col min="2085" max="2085" width="13.5703125" style="1306" customWidth="1"/>
    <col min="2086" max="2086" width="10.28515625" style="1306" customWidth="1"/>
    <col min="2087" max="2087" width="12.85546875" style="1306" customWidth="1"/>
    <col min="2088" max="2088" width="9.140625" style="1306" customWidth="1"/>
    <col min="2089" max="2089" width="9.7109375" style="1306" customWidth="1"/>
    <col min="2090" max="2090" width="9.28515625" style="1306" customWidth="1"/>
    <col min="2091" max="2091" width="9.42578125" style="1306" customWidth="1"/>
    <col min="2092" max="2092" width="10.5703125" style="1306" customWidth="1"/>
    <col min="2093" max="2093" width="12.42578125" style="1306" customWidth="1"/>
    <col min="2094" max="2094" width="14.5703125" style="1306" customWidth="1"/>
    <col min="2095" max="2095" width="12.28515625" style="1306" customWidth="1"/>
    <col min="2096" max="2096" width="25.85546875" style="1306" customWidth="1"/>
    <col min="2097" max="2328" width="0.85546875" style="1306"/>
    <col min="2329" max="2329" width="9.85546875" style="1306" customWidth="1"/>
    <col min="2330" max="2330" width="81.85546875" style="1306" customWidth="1"/>
    <col min="2331" max="2331" width="12.7109375" style="1306" customWidth="1"/>
    <col min="2332" max="2332" width="12.42578125" style="1306" customWidth="1"/>
    <col min="2333" max="2333" width="14.5703125" style="1306" customWidth="1"/>
    <col min="2334" max="2334" width="12.28515625" style="1306" customWidth="1"/>
    <col min="2335" max="2335" width="38.140625" style="1306" customWidth="1"/>
    <col min="2336" max="2336" width="46.85546875" style="1306" customWidth="1"/>
    <col min="2337" max="2339" width="12.7109375" style="1306" customWidth="1"/>
    <col min="2340" max="2340" width="9.28515625" style="1306" customWidth="1"/>
    <col min="2341" max="2341" width="13.5703125" style="1306" customWidth="1"/>
    <col min="2342" max="2342" width="10.28515625" style="1306" customWidth="1"/>
    <col min="2343" max="2343" width="12.85546875" style="1306" customWidth="1"/>
    <col min="2344" max="2344" width="9.140625" style="1306" customWidth="1"/>
    <col min="2345" max="2345" width="9.7109375" style="1306" customWidth="1"/>
    <col min="2346" max="2346" width="9.28515625" style="1306" customWidth="1"/>
    <col min="2347" max="2347" width="9.42578125" style="1306" customWidth="1"/>
    <col min="2348" max="2348" width="10.5703125" style="1306" customWidth="1"/>
    <col min="2349" max="2349" width="12.42578125" style="1306" customWidth="1"/>
    <col min="2350" max="2350" width="14.5703125" style="1306" customWidth="1"/>
    <col min="2351" max="2351" width="12.28515625" style="1306" customWidth="1"/>
    <col min="2352" max="2352" width="25.85546875" style="1306" customWidth="1"/>
    <col min="2353" max="2584" width="0.85546875" style="1306"/>
    <col min="2585" max="2585" width="9.85546875" style="1306" customWidth="1"/>
    <col min="2586" max="2586" width="81.85546875" style="1306" customWidth="1"/>
    <col min="2587" max="2587" width="12.7109375" style="1306" customWidth="1"/>
    <col min="2588" max="2588" width="12.42578125" style="1306" customWidth="1"/>
    <col min="2589" max="2589" width="14.5703125" style="1306" customWidth="1"/>
    <col min="2590" max="2590" width="12.28515625" style="1306" customWidth="1"/>
    <col min="2591" max="2591" width="38.140625" style="1306" customWidth="1"/>
    <col min="2592" max="2592" width="46.85546875" style="1306" customWidth="1"/>
    <col min="2593" max="2595" width="12.7109375" style="1306" customWidth="1"/>
    <col min="2596" max="2596" width="9.28515625" style="1306" customWidth="1"/>
    <col min="2597" max="2597" width="13.5703125" style="1306" customWidth="1"/>
    <col min="2598" max="2598" width="10.28515625" style="1306" customWidth="1"/>
    <col min="2599" max="2599" width="12.85546875" style="1306" customWidth="1"/>
    <col min="2600" max="2600" width="9.140625" style="1306" customWidth="1"/>
    <col min="2601" max="2601" width="9.7109375" style="1306" customWidth="1"/>
    <col min="2602" max="2602" width="9.28515625" style="1306" customWidth="1"/>
    <col min="2603" max="2603" width="9.42578125" style="1306" customWidth="1"/>
    <col min="2604" max="2604" width="10.5703125" style="1306" customWidth="1"/>
    <col min="2605" max="2605" width="12.42578125" style="1306" customWidth="1"/>
    <col min="2606" max="2606" width="14.5703125" style="1306" customWidth="1"/>
    <col min="2607" max="2607" width="12.28515625" style="1306" customWidth="1"/>
    <col min="2608" max="2608" width="25.85546875" style="1306" customWidth="1"/>
    <col min="2609" max="2840" width="0.85546875" style="1306"/>
    <col min="2841" max="2841" width="9.85546875" style="1306" customWidth="1"/>
    <col min="2842" max="2842" width="81.85546875" style="1306" customWidth="1"/>
    <col min="2843" max="2843" width="12.7109375" style="1306" customWidth="1"/>
    <col min="2844" max="2844" width="12.42578125" style="1306" customWidth="1"/>
    <col min="2845" max="2845" width="14.5703125" style="1306" customWidth="1"/>
    <col min="2846" max="2846" width="12.28515625" style="1306" customWidth="1"/>
    <col min="2847" max="2847" width="38.140625" style="1306" customWidth="1"/>
    <col min="2848" max="2848" width="46.85546875" style="1306" customWidth="1"/>
    <col min="2849" max="2851" width="12.7109375" style="1306" customWidth="1"/>
    <col min="2852" max="2852" width="9.28515625" style="1306" customWidth="1"/>
    <col min="2853" max="2853" width="13.5703125" style="1306" customWidth="1"/>
    <col min="2854" max="2854" width="10.28515625" style="1306" customWidth="1"/>
    <col min="2855" max="2855" width="12.85546875" style="1306" customWidth="1"/>
    <col min="2856" max="2856" width="9.140625" style="1306" customWidth="1"/>
    <col min="2857" max="2857" width="9.7109375" style="1306" customWidth="1"/>
    <col min="2858" max="2858" width="9.28515625" style="1306" customWidth="1"/>
    <col min="2859" max="2859" width="9.42578125" style="1306" customWidth="1"/>
    <col min="2860" max="2860" width="10.5703125" style="1306" customWidth="1"/>
    <col min="2861" max="2861" width="12.42578125" style="1306" customWidth="1"/>
    <col min="2862" max="2862" width="14.5703125" style="1306" customWidth="1"/>
    <col min="2863" max="2863" width="12.28515625" style="1306" customWidth="1"/>
    <col min="2864" max="2864" width="25.85546875" style="1306" customWidth="1"/>
    <col min="2865" max="3096" width="0.85546875" style="1306"/>
    <col min="3097" max="3097" width="9.85546875" style="1306" customWidth="1"/>
    <col min="3098" max="3098" width="81.85546875" style="1306" customWidth="1"/>
    <col min="3099" max="3099" width="12.7109375" style="1306" customWidth="1"/>
    <col min="3100" max="3100" width="12.42578125" style="1306" customWidth="1"/>
    <col min="3101" max="3101" width="14.5703125" style="1306" customWidth="1"/>
    <col min="3102" max="3102" width="12.28515625" style="1306" customWidth="1"/>
    <col min="3103" max="3103" width="38.140625" style="1306" customWidth="1"/>
    <col min="3104" max="3104" width="46.85546875" style="1306" customWidth="1"/>
    <col min="3105" max="3107" width="12.7109375" style="1306" customWidth="1"/>
    <col min="3108" max="3108" width="9.28515625" style="1306" customWidth="1"/>
    <col min="3109" max="3109" width="13.5703125" style="1306" customWidth="1"/>
    <col min="3110" max="3110" width="10.28515625" style="1306" customWidth="1"/>
    <col min="3111" max="3111" width="12.85546875" style="1306" customWidth="1"/>
    <col min="3112" max="3112" width="9.140625" style="1306" customWidth="1"/>
    <col min="3113" max="3113" width="9.7109375" style="1306" customWidth="1"/>
    <col min="3114" max="3114" width="9.28515625" style="1306" customWidth="1"/>
    <col min="3115" max="3115" width="9.42578125" style="1306" customWidth="1"/>
    <col min="3116" max="3116" width="10.5703125" style="1306" customWidth="1"/>
    <col min="3117" max="3117" width="12.42578125" style="1306" customWidth="1"/>
    <col min="3118" max="3118" width="14.5703125" style="1306" customWidth="1"/>
    <col min="3119" max="3119" width="12.28515625" style="1306" customWidth="1"/>
    <col min="3120" max="3120" width="25.85546875" style="1306" customWidth="1"/>
    <col min="3121" max="3352" width="0.85546875" style="1306"/>
    <col min="3353" max="3353" width="9.85546875" style="1306" customWidth="1"/>
    <col min="3354" max="3354" width="81.85546875" style="1306" customWidth="1"/>
    <col min="3355" max="3355" width="12.7109375" style="1306" customWidth="1"/>
    <col min="3356" max="3356" width="12.42578125" style="1306" customWidth="1"/>
    <col min="3357" max="3357" width="14.5703125" style="1306" customWidth="1"/>
    <col min="3358" max="3358" width="12.28515625" style="1306" customWidth="1"/>
    <col min="3359" max="3359" width="38.140625" style="1306" customWidth="1"/>
    <col min="3360" max="3360" width="46.85546875" style="1306" customWidth="1"/>
    <col min="3361" max="3363" width="12.7109375" style="1306" customWidth="1"/>
    <col min="3364" max="3364" width="9.28515625" style="1306" customWidth="1"/>
    <col min="3365" max="3365" width="13.5703125" style="1306" customWidth="1"/>
    <col min="3366" max="3366" width="10.28515625" style="1306" customWidth="1"/>
    <col min="3367" max="3367" width="12.85546875" style="1306" customWidth="1"/>
    <col min="3368" max="3368" width="9.140625" style="1306" customWidth="1"/>
    <col min="3369" max="3369" width="9.7109375" style="1306" customWidth="1"/>
    <col min="3370" max="3370" width="9.28515625" style="1306" customWidth="1"/>
    <col min="3371" max="3371" width="9.42578125" style="1306" customWidth="1"/>
    <col min="3372" max="3372" width="10.5703125" style="1306" customWidth="1"/>
    <col min="3373" max="3373" width="12.42578125" style="1306" customWidth="1"/>
    <col min="3374" max="3374" width="14.5703125" style="1306" customWidth="1"/>
    <col min="3375" max="3375" width="12.28515625" style="1306" customWidth="1"/>
    <col min="3376" max="3376" width="25.85546875" style="1306" customWidth="1"/>
    <col min="3377" max="3608" width="0.85546875" style="1306"/>
    <col min="3609" max="3609" width="9.85546875" style="1306" customWidth="1"/>
    <col min="3610" max="3610" width="81.85546875" style="1306" customWidth="1"/>
    <col min="3611" max="3611" width="12.7109375" style="1306" customWidth="1"/>
    <col min="3612" max="3612" width="12.42578125" style="1306" customWidth="1"/>
    <col min="3613" max="3613" width="14.5703125" style="1306" customWidth="1"/>
    <col min="3614" max="3614" width="12.28515625" style="1306" customWidth="1"/>
    <col min="3615" max="3615" width="38.140625" style="1306" customWidth="1"/>
    <col min="3616" max="3616" width="46.85546875" style="1306" customWidth="1"/>
    <col min="3617" max="3619" width="12.7109375" style="1306" customWidth="1"/>
    <col min="3620" max="3620" width="9.28515625" style="1306" customWidth="1"/>
    <col min="3621" max="3621" width="13.5703125" style="1306" customWidth="1"/>
    <col min="3622" max="3622" width="10.28515625" style="1306" customWidth="1"/>
    <col min="3623" max="3623" width="12.85546875" style="1306" customWidth="1"/>
    <col min="3624" max="3624" width="9.140625" style="1306" customWidth="1"/>
    <col min="3625" max="3625" width="9.7109375" style="1306" customWidth="1"/>
    <col min="3626" max="3626" width="9.28515625" style="1306" customWidth="1"/>
    <col min="3627" max="3627" width="9.42578125" style="1306" customWidth="1"/>
    <col min="3628" max="3628" width="10.5703125" style="1306" customWidth="1"/>
    <col min="3629" max="3629" width="12.42578125" style="1306" customWidth="1"/>
    <col min="3630" max="3630" width="14.5703125" style="1306" customWidth="1"/>
    <col min="3631" max="3631" width="12.28515625" style="1306" customWidth="1"/>
    <col min="3632" max="3632" width="25.85546875" style="1306" customWidth="1"/>
    <col min="3633" max="3864" width="0.85546875" style="1306"/>
    <col min="3865" max="3865" width="9.85546875" style="1306" customWidth="1"/>
    <col min="3866" max="3866" width="81.85546875" style="1306" customWidth="1"/>
    <col min="3867" max="3867" width="12.7109375" style="1306" customWidth="1"/>
    <col min="3868" max="3868" width="12.42578125" style="1306" customWidth="1"/>
    <col min="3869" max="3869" width="14.5703125" style="1306" customWidth="1"/>
    <col min="3870" max="3870" width="12.28515625" style="1306" customWidth="1"/>
    <col min="3871" max="3871" width="38.140625" style="1306" customWidth="1"/>
    <col min="3872" max="3872" width="46.85546875" style="1306" customWidth="1"/>
    <col min="3873" max="3875" width="12.7109375" style="1306" customWidth="1"/>
    <col min="3876" max="3876" width="9.28515625" style="1306" customWidth="1"/>
    <col min="3877" max="3877" width="13.5703125" style="1306" customWidth="1"/>
    <col min="3878" max="3878" width="10.28515625" style="1306" customWidth="1"/>
    <col min="3879" max="3879" width="12.85546875" style="1306" customWidth="1"/>
    <col min="3880" max="3880" width="9.140625" style="1306" customWidth="1"/>
    <col min="3881" max="3881" width="9.7109375" style="1306" customWidth="1"/>
    <col min="3882" max="3882" width="9.28515625" style="1306" customWidth="1"/>
    <col min="3883" max="3883" width="9.42578125" style="1306" customWidth="1"/>
    <col min="3884" max="3884" width="10.5703125" style="1306" customWidth="1"/>
    <col min="3885" max="3885" width="12.42578125" style="1306" customWidth="1"/>
    <col min="3886" max="3886" width="14.5703125" style="1306" customWidth="1"/>
    <col min="3887" max="3887" width="12.28515625" style="1306" customWidth="1"/>
    <col min="3888" max="3888" width="25.85546875" style="1306" customWidth="1"/>
    <col min="3889" max="4120" width="0.85546875" style="1306"/>
    <col min="4121" max="4121" width="9.85546875" style="1306" customWidth="1"/>
    <col min="4122" max="4122" width="81.85546875" style="1306" customWidth="1"/>
    <col min="4123" max="4123" width="12.7109375" style="1306" customWidth="1"/>
    <col min="4124" max="4124" width="12.42578125" style="1306" customWidth="1"/>
    <col min="4125" max="4125" width="14.5703125" style="1306" customWidth="1"/>
    <col min="4126" max="4126" width="12.28515625" style="1306" customWidth="1"/>
    <col min="4127" max="4127" width="38.140625" style="1306" customWidth="1"/>
    <col min="4128" max="4128" width="46.85546875" style="1306" customWidth="1"/>
    <col min="4129" max="4131" width="12.7109375" style="1306" customWidth="1"/>
    <col min="4132" max="4132" width="9.28515625" style="1306" customWidth="1"/>
    <col min="4133" max="4133" width="13.5703125" style="1306" customWidth="1"/>
    <col min="4134" max="4134" width="10.28515625" style="1306" customWidth="1"/>
    <col min="4135" max="4135" width="12.85546875" style="1306" customWidth="1"/>
    <col min="4136" max="4136" width="9.140625" style="1306" customWidth="1"/>
    <col min="4137" max="4137" width="9.7109375" style="1306" customWidth="1"/>
    <col min="4138" max="4138" width="9.28515625" style="1306" customWidth="1"/>
    <col min="4139" max="4139" width="9.42578125" style="1306" customWidth="1"/>
    <col min="4140" max="4140" width="10.5703125" style="1306" customWidth="1"/>
    <col min="4141" max="4141" width="12.42578125" style="1306" customWidth="1"/>
    <col min="4142" max="4142" width="14.5703125" style="1306" customWidth="1"/>
    <col min="4143" max="4143" width="12.28515625" style="1306" customWidth="1"/>
    <col min="4144" max="4144" width="25.85546875" style="1306" customWidth="1"/>
    <col min="4145" max="4376" width="0.85546875" style="1306"/>
    <col min="4377" max="4377" width="9.85546875" style="1306" customWidth="1"/>
    <col min="4378" max="4378" width="81.85546875" style="1306" customWidth="1"/>
    <col min="4379" max="4379" width="12.7109375" style="1306" customWidth="1"/>
    <col min="4380" max="4380" width="12.42578125" style="1306" customWidth="1"/>
    <col min="4381" max="4381" width="14.5703125" style="1306" customWidth="1"/>
    <col min="4382" max="4382" width="12.28515625" style="1306" customWidth="1"/>
    <col min="4383" max="4383" width="38.140625" style="1306" customWidth="1"/>
    <col min="4384" max="4384" width="46.85546875" style="1306" customWidth="1"/>
    <col min="4385" max="4387" width="12.7109375" style="1306" customWidth="1"/>
    <col min="4388" max="4388" width="9.28515625" style="1306" customWidth="1"/>
    <col min="4389" max="4389" width="13.5703125" style="1306" customWidth="1"/>
    <col min="4390" max="4390" width="10.28515625" style="1306" customWidth="1"/>
    <col min="4391" max="4391" width="12.85546875" style="1306" customWidth="1"/>
    <col min="4392" max="4392" width="9.140625" style="1306" customWidth="1"/>
    <col min="4393" max="4393" width="9.7109375" style="1306" customWidth="1"/>
    <col min="4394" max="4394" width="9.28515625" style="1306" customWidth="1"/>
    <col min="4395" max="4395" width="9.42578125" style="1306" customWidth="1"/>
    <col min="4396" max="4396" width="10.5703125" style="1306" customWidth="1"/>
    <col min="4397" max="4397" width="12.42578125" style="1306" customWidth="1"/>
    <col min="4398" max="4398" width="14.5703125" style="1306" customWidth="1"/>
    <col min="4399" max="4399" width="12.28515625" style="1306" customWidth="1"/>
    <col min="4400" max="4400" width="25.85546875" style="1306" customWidth="1"/>
    <col min="4401" max="4632" width="0.85546875" style="1306"/>
    <col min="4633" max="4633" width="9.85546875" style="1306" customWidth="1"/>
    <col min="4634" max="4634" width="81.85546875" style="1306" customWidth="1"/>
    <col min="4635" max="4635" width="12.7109375" style="1306" customWidth="1"/>
    <col min="4636" max="4636" width="12.42578125" style="1306" customWidth="1"/>
    <col min="4637" max="4637" width="14.5703125" style="1306" customWidth="1"/>
    <col min="4638" max="4638" width="12.28515625" style="1306" customWidth="1"/>
    <col min="4639" max="4639" width="38.140625" style="1306" customWidth="1"/>
    <col min="4640" max="4640" width="46.85546875" style="1306" customWidth="1"/>
    <col min="4641" max="4643" width="12.7109375" style="1306" customWidth="1"/>
    <col min="4644" max="4644" width="9.28515625" style="1306" customWidth="1"/>
    <col min="4645" max="4645" width="13.5703125" style="1306" customWidth="1"/>
    <col min="4646" max="4646" width="10.28515625" style="1306" customWidth="1"/>
    <col min="4647" max="4647" width="12.85546875" style="1306" customWidth="1"/>
    <col min="4648" max="4648" width="9.140625" style="1306" customWidth="1"/>
    <col min="4649" max="4649" width="9.7109375" style="1306" customWidth="1"/>
    <col min="4650" max="4650" width="9.28515625" style="1306" customWidth="1"/>
    <col min="4651" max="4651" width="9.42578125" style="1306" customWidth="1"/>
    <col min="4652" max="4652" width="10.5703125" style="1306" customWidth="1"/>
    <col min="4653" max="4653" width="12.42578125" style="1306" customWidth="1"/>
    <col min="4654" max="4654" width="14.5703125" style="1306" customWidth="1"/>
    <col min="4655" max="4655" width="12.28515625" style="1306" customWidth="1"/>
    <col min="4656" max="4656" width="25.85546875" style="1306" customWidth="1"/>
    <col min="4657" max="4888" width="0.85546875" style="1306"/>
    <col min="4889" max="4889" width="9.85546875" style="1306" customWidth="1"/>
    <col min="4890" max="4890" width="81.85546875" style="1306" customWidth="1"/>
    <col min="4891" max="4891" width="12.7109375" style="1306" customWidth="1"/>
    <col min="4892" max="4892" width="12.42578125" style="1306" customWidth="1"/>
    <col min="4893" max="4893" width="14.5703125" style="1306" customWidth="1"/>
    <col min="4894" max="4894" width="12.28515625" style="1306" customWidth="1"/>
    <col min="4895" max="4895" width="38.140625" style="1306" customWidth="1"/>
    <col min="4896" max="4896" width="46.85546875" style="1306" customWidth="1"/>
    <col min="4897" max="4899" width="12.7109375" style="1306" customWidth="1"/>
    <col min="4900" max="4900" width="9.28515625" style="1306" customWidth="1"/>
    <col min="4901" max="4901" width="13.5703125" style="1306" customWidth="1"/>
    <col min="4902" max="4902" width="10.28515625" style="1306" customWidth="1"/>
    <col min="4903" max="4903" width="12.85546875" style="1306" customWidth="1"/>
    <col min="4904" max="4904" width="9.140625" style="1306" customWidth="1"/>
    <col min="4905" max="4905" width="9.7109375" style="1306" customWidth="1"/>
    <col min="4906" max="4906" width="9.28515625" style="1306" customWidth="1"/>
    <col min="4907" max="4907" width="9.42578125" style="1306" customWidth="1"/>
    <col min="4908" max="4908" width="10.5703125" style="1306" customWidth="1"/>
    <col min="4909" max="4909" width="12.42578125" style="1306" customWidth="1"/>
    <col min="4910" max="4910" width="14.5703125" style="1306" customWidth="1"/>
    <col min="4911" max="4911" width="12.28515625" style="1306" customWidth="1"/>
    <col min="4912" max="4912" width="25.85546875" style="1306" customWidth="1"/>
    <col min="4913" max="5144" width="0.85546875" style="1306"/>
    <col min="5145" max="5145" width="9.85546875" style="1306" customWidth="1"/>
    <col min="5146" max="5146" width="81.85546875" style="1306" customWidth="1"/>
    <col min="5147" max="5147" width="12.7109375" style="1306" customWidth="1"/>
    <col min="5148" max="5148" width="12.42578125" style="1306" customWidth="1"/>
    <col min="5149" max="5149" width="14.5703125" style="1306" customWidth="1"/>
    <col min="5150" max="5150" width="12.28515625" style="1306" customWidth="1"/>
    <col min="5151" max="5151" width="38.140625" style="1306" customWidth="1"/>
    <col min="5152" max="5152" width="46.85546875" style="1306" customWidth="1"/>
    <col min="5153" max="5155" width="12.7109375" style="1306" customWidth="1"/>
    <col min="5156" max="5156" width="9.28515625" style="1306" customWidth="1"/>
    <col min="5157" max="5157" width="13.5703125" style="1306" customWidth="1"/>
    <col min="5158" max="5158" width="10.28515625" style="1306" customWidth="1"/>
    <col min="5159" max="5159" width="12.85546875" style="1306" customWidth="1"/>
    <col min="5160" max="5160" width="9.140625" style="1306" customWidth="1"/>
    <col min="5161" max="5161" width="9.7109375" style="1306" customWidth="1"/>
    <col min="5162" max="5162" width="9.28515625" style="1306" customWidth="1"/>
    <col min="5163" max="5163" width="9.42578125" style="1306" customWidth="1"/>
    <col min="5164" max="5164" width="10.5703125" style="1306" customWidth="1"/>
    <col min="5165" max="5165" width="12.42578125" style="1306" customWidth="1"/>
    <col min="5166" max="5166" width="14.5703125" style="1306" customWidth="1"/>
    <col min="5167" max="5167" width="12.28515625" style="1306" customWidth="1"/>
    <col min="5168" max="5168" width="25.85546875" style="1306" customWidth="1"/>
    <col min="5169" max="5400" width="0.85546875" style="1306"/>
    <col min="5401" max="5401" width="9.85546875" style="1306" customWidth="1"/>
    <col min="5402" max="5402" width="81.85546875" style="1306" customWidth="1"/>
    <col min="5403" max="5403" width="12.7109375" style="1306" customWidth="1"/>
    <col min="5404" max="5404" width="12.42578125" style="1306" customWidth="1"/>
    <col min="5405" max="5405" width="14.5703125" style="1306" customWidth="1"/>
    <col min="5406" max="5406" width="12.28515625" style="1306" customWidth="1"/>
    <col min="5407" max="5407" width="38.140625" style="1306" customWidth="1"/>
    <col min="5408" max="5408" width="46.85546875" style="1306" customWidth="1"/>
    <col min="5409" max="5411" width="12.7109375" style="1306" customWidth="1"/>
    <col min="5412" max="5412" width="9.28515625" style="1306" customWidth="1"/>
    <col min="5413" max="5413" width="13.5703125" style="1306" customWidth="1"/>
    <col min="5414" max="5414" width="10.28515625" style="1306" customWidth="1"/>
    <col min="5415" max="5415" width="12.85546875" style="1306" customWidth="1"/>
    <col min="5416" max="5416" width="9.140625" style="1306" customWidth="1"/>
    <col min="5417" max="5417" width="9.7109375" style="1306" customWidth="1"/>
    <col min="5418" max="5418" width="9.28515625" style="1306" customWidth="1"/>
    <col min="5419" max="5419" width="9.42578125" style="1306" customWidth="1"/>
    <col min="5420" max="5420" width="10.5703125" style="1306" customWidth="1"/>
    <col min="5421" max="5421" width="12.42578125" style="1306" customWidth="1"/>
    <col min="5422" max="5422" width="14.5703125" style="1306" customWidth="1"/>
    <col min="5423" max="5423" width="12.28515625" style="1306" customWidth="1"/>
    <col min="5424" max="5424" width="25.85546875" style="1306" customWidth="1"/>
    <col min="5425" max="5656" width="0.85546875" style="1306"/>
    <col min="5657" max="5657" width="9.85546875" style="1306" customWidth="1"/>
    <col min="5658" max="5658" width="81.85546875" style="1306" customWidth="1"/>
    <col min="5659" max="5659" width="12.7109375" style="1306" customWidth="1"/>
    <col min="5660" max="5660" width="12.42578125" style="1306" customWidth="1"/>
    <col min="5661" max="5661" width="14.5703125" style="1306" customWidth="1"/>
    <col min="5662" max="5662" width="12.28515625" style="1306" customWidth="1"/>
    <col min="5663" max="5663" width="38.140625" style="1306" customWidth="1"/>
    <col min="5664" max="5664" width="46.85546875" style="1306" customWidth="1"/>
    <col min="5665" max="5667" width="12.7109375" style="1306" customWidth="1"/>
    <col min="5668" max="5668" width="9.28515625" style="1306" customWidth="1"/>
    <col min="5669" max="5669" width="13.5703125" style="1306" customWidth="1"/>
    <col min="5670" max="5670" width="10.28515625" style="1306" customWidth="1"/>
    <col min="5671" max="5671" width="12.85546875" style="1306" customWidth="1"/>
    <col min="5672" max="5672" width="9.140625" style="1306" customWidth="1"/>
    <col min="5673" max="5673" width="9.7109375" style="1306" customWidth="1"/>
    <col min="5674" max="5674" width="9.28515625" style="1306" customWidth="1"/>
    <col min="5675" max="5675" width="9.42578125" style="1306" customWidth="1"/>
    <col min="5676" max="5676" width="10.5703125" style="1306" customWidth="1"/>
    <col min="5677" max="5677" width="12.42578125" style="1306" customWidth="1"/>
    <col min="5678" max="5678" width="14.5703125" style="1306" customWidth="1"/>
    <col min="5679" max="5679" width="12.28515625" style="1306" customWidth="1"/>
    <col min="5680" max="5680" width="25.85546875" style="1306" customWidth="1"/>
    <col min="5681" max="5912" width="0.85546875" style="1306"/>
    <col min="5913" max="5913" width="9.85546875" style="1306" customWidth="1"/>
    <col min="5914" max="5914" width="81.85546875" style="1306" customWidth="1"/>
    <col min="5915" max="5915" width="12.7109375" style="1306" customWidth="1"/>
    <col min="5916" max="5916" width="12.42578125" style="1306" customWidth="1"/>
    <col min="5917" max="5917" width="14.5703125" style="1306" customWidth="1"/>
    <col min="5918" max="5918" width="12.28515625" style="1306" customWidth="1"/>
    <col min="5919" max="5919" width="38.140625" style="1306" customWidth="1"/>
    <col min="5920" max="5920" width="46.85546875" style="1306" customWidth="1"/>
    <col min="5921" max="5923" width="12.7109375" style="1306" customWidth="1"/>
    <col min="5924" max="5924" width="9.28515625" style="1306" customWidth="1"/>
    <col min="5925" max="5925" width="13.5703125" style="1306" customWidth="1"/>
    <col min="5926" max="5926" width="10.28515625" style="1306" customWidth="1"/>
    <col min="5927" max="5927" width="12.85546875" style="1306" customWidth="1"/>
    <col min="5928" max="5928" width="9.140625" style="1306" customWidth="1"/>
    <col min="5929" max="5929" width="9.7109375" style="1306" customWidth="1"/>
    <col min="5930" max="5930" width="9.28515625" style="1306" customWidth="1"/>
    <col min="5931" max="5931" width="9.42578125" style="1306" customWidth="1"/>
    <col min="5932" max="5932" width="10.5703125" style="1306" customWidth="1"/>
    <col min="5933" max="5933" width="12.42578125" style="1306" customWidth="1"/>
    <col min="5934" max="5934" width="14.5703125" style="1306" customWidth="1"/>
    <col min="5935" max="5935" width="12.28515625" style="1306" customWidth="1"/>
    <col min="5936" max="5936" width="25.85546875" style="1306" customWidth="1"/>
    <col min="5937" max="6168" width="0.85546875" style="1306"/>
    <col min="6169" max="6169" width="9.85546875" style="1306" customWidth="1"/>
    <col min="6170" max="6170" width="81.85546875" style="1306" customWidth="1"/>
    <col min="6171" max="6171" width="12.7109375" style="1306" customWidth="1"/>
    <col min="6172" max="6172" width="12.42578125" style="1306" customWidth="1"/>
    <col min="6173" max="6173" width="14.5703125" style="1306" customWidth="1"/>
    <col min="6174" max="6174" width="12.28515625" style="1306" customWidth="1"/>
    <col min="6175" max="6175" width="38.140625" style="1306" customWidth="1"/>
    <col min="6176" max="6176" width="46.85546875" style="1306" customWidth="1"/>
    <col min="6177" max="6179" width="12.7109375" style="1306" customWidth="1"/>
    <col min="6180" max="6180" width="9.28515625" style="1306" customWidth="1"/>
    <col min="6181" max="6181" width="13.5703125" style="1306" customWidth="1"/>
    <col min="6182" max="6182" width="10.28515625" style="1306" customWidth="1"/>
    <col min="6183" max="6183" width="12.85546875" style="1306" customWidth="1"/>
    <col min="6184" max="6184" width="9.140625" style="1306" customWidth="1"/>
    <col min="6185" max="6185" width="9.7109375" style="1306" customWidth="1"/>
    <col min="6186" max="6186" width="9.28515625" style="1306" customWidth="1"/>
    <col min="6187" max="6187" width="9.42578125" style="1306" customWidth="1"/>
    <col min="6188" max="6188" width="10.5703125" style="1306" customWidth="1"/>
    <col min="6189" max="6189" width="12.42578125" style="1306" customWidth="1"/>
    <col min="6190" max="6190" width="14.5703125" style="1306" customWidth="1"/>
    <col min="6191" max="6191" width="12.28515625" style="1306" customWidth="1"/>
    <col min="6192" max="6192" width="25.85546875" style="1306" customWidth="1"/>
    <col min="6193" max="6424" width="0.85546875" style="1306"/>
    <col min="6425" max="6425" width="9.85546875" style="1306" customWidth="1"/>
    <col min="6426" max="6426" width="81.85546875" style="1306" customWidth="1"/>
    <col min="6427" max="6427" width="12.7109375" style="1306" customWidth="1"/>
    <col min="6428" max="6428" width="12.42578125" style="1306" customWidth="1"/>
    <col min="6429" max="6429" width="14.5703125" style="1306" customWidth="1"/>
    <col min="6430" max="6430" width="12.28515625" style="1306" customWidth="1"/>
    <col min="6431" max="6431" width="38.140625" style="1306" customWidth="1"/>
    <col min="6432" max="6432" width="46.85546875" style="1306" customWidth="1"/>
    <col min="6433" max="6435" width="12.7109375" style="1306" customWidth="1"/>
    <col min="6436" max="6436" width="9.28515625" style="1306" customWidth="1"/>
    <col min="6437" max="6437" width="13.5703125" style="1306" customWidth="1"/>
    <col min="6438" max="6438" width="10.28515625" style="1306" customWidth="1"/>
    <col min="6439" max="6439" width="12.85546875" style="1306" customWidth="1"/>
    <col min="6440" max="6440" width="9.140625" style="1306" customWidth="1"/>
    <col min="6441" max="6441" width="9.7109375" style="1306" customWidth="1"/>
    <col min="6442" max="6442" width="9.28515625" style="1306" customWidth="1"/>
    <col min="6443" max="6443" width="9.42578125" style="1306" customWidth="1"/>
    <col min="6444" max="6444" width="10.5703125" style="1306" customWidth="1"/>
    <col min="6445" max="6445" width="12.42578125" style="1306" customWidth="1"/>
    <col min="6446" max="6446" width="14.5703125" style="1306" customWidth="1"/>
    <col min="6447" max="6447" width="12.28515625" style="1306" customWidth="1"/>
    <col min="6448" max="6448" width="25.85546875" style="1306" customWidth="1"/>
    <col min="6449" max="6680" width="0.85546875" style="1306"/>
    <col min="6681" max="6681" width="9.85546875" style="1306" customWidth="1"/>
    <col min="6682" max="6682" width="81.85546875" style="1306" customWidth="1"/>
    <col min="6683" max="6683" width="12.7109375" style="1306" customWidth="1"/>
    <col min="6684" max="6684" width="12.42578125" style="1306" customWidth="1"/>
    <col min="6685" max="6685" width="14.5703125" style="1306" customWidth="1"/>
    <col min="6686" max="6686" width="12.28515625" style="1306" customWidth="1"/>
    <col min="6687" max="6687" width="38.140625" style="1306" customWidth="1"/>
    <col min="6688" max="6688" width="46.85546875" style="1306" customWidth="1"/>
    <col min="6689" max="6691" width="12.7109375" style="1306" customWidth="1"/>
    <col min="6692" max="6692" width="9.28515625" style="1306" customWidth="1"/>
    <col min="6693" max="6693" width="13.5703125" style="1306" customWidth="1"/>
    <col min="6694" max="6694" width="10.28515625" style="1306" customWidth="1"/>
    <col min="6695" max="6695" width="12.85546875" style="1306" customWidth="1"/>
    <col min="6696" max="6696" width="9.140625" style="1306" customWidth="1"/>
    <col min="6697" max="6697" width="9.7109375" style="1306" customWidth="1"/>
    <col min="6698" max="6698" width="9.28515625" style="1306" customWidth="1"/>
    <col min="6699" max="6699" width="9.42578125" style="1306" customWidth="1"/>
    <col min="6700" max="6700" width="10.5703125" style="1306" customWidth="1"/>
    <col min="6701" max="6701" width="12.42578125" style="1306" customWidth="1"/>
    <col min="6702" max="6702" width="14.5703125" style="1306" customWidth="1"/>
    <col min="6703" max="6703" width="12.28515625" style="1306" customWidth="1"/>
    <col min="6704" max="6704" width="25.85546875" style="1306" customWidth="1"/>
    <col min="6705" max="6936" width="0.85546875" style="1306"/>
    <col min="6937" max="6937" width="9.85546875" style="1306" customWidth="1"/>
    <col min="6938" max="6938" width="81.85546875" style="1306" customWidth="1"/>
    <col min="6939" max="6939" width="12.7109375" style="1306" customWidth="1"/>
    <col min="6940" max="6940" width="12.42578125" style="1306" customWidth="1"/>
    <col min="6941" max="6941" width="14.5703125" style="1306" customWidth="1"/>
    <col min="6942" max="6942" width="12.28515625" style="1306" customWidth="1"/>
    <col min="6943" max="6943" width="38.140625" style="1306" customWidth="1"/>
    <col min="6944" max="6944" width="46.85546875" style="1306" customWidth="1"/>
    <col min="6945" max="6947" width="12.7109375" style="1306" customWidth="1"/>
    <col min="6948" max="6948" width="9.28515625" style="1306" customWidth="1"/>
    <col min="6949" max="6949" width="13.5703125" style="1306" customWidth="1"/>
    <col min="6950" max="6950" width="10.28515625" style="1306" customWidth="1"/>
    <col min="6951" max="6951" width="12.85546875" style="1306" customWidth="1"/>
    <col min="6952" max="6952" width="9.140625" style="1306" customWidth="1"/>
    <col min="6953" max="6953" width="9.7109375" style="1306" customWidth="1"/>
    <col min="6954" max="6954" width="9.28515625" style="1306" customWidth="1"/>
    <col min="6955" max="6955" width="9.42578125" style="1306" customWidth="1"/>
    <col min="6956" max="6956" width="10.5703125" style="1306" customWidth="1"/>
    <col min="6957" max="6957" width="12.42578125" style="1306" customWidth="1"/>
    <col min="6958" max="6958" width="14.5703125" style="1306" customWidth="1"/>
    <col min="6959" max="6959" width="12.28515625" style="1306" customWidth="1"/>
    <col min="6960" max="6960" width="25.85546875" style="1306" customWidth="1"/>
    <col min="6961" max="7192" width="0.85546875" style="1306"/>
    <col min="7193" max="7193" width="9.85546875" style="1306" customWidth="1"/>
    <col min="7194" max="7194" width="81.85546875" style="1306" customWidth="1"/>
    <col min="7195" max="7195" width="12.7109375" style="1306" customWidth="1"/>
    <col min="7196" max="7196" width="12.42578125" style="1306" customWidth="1"/>
    <col min="7197" max="7197" width="14.5703125" style="1306" customWidth="1"/>
    <col min="7198" max="7198" width="12.28515625" style="1306" customWidth="1"/>
    <col min="7199" max="7199" width="38.140625" style="1306" customWidth="1"/>
    <col min="7200" max="7200" width="46.85546875" style="1306" customWidth="1"/>
    <col min="7201" max="7203" width="12.7109375" style="1306" customWidth="1"/>
    <col min="7204" max="7204" width="9.28515625" style="1306" customWidth="1"/>
    <col min="7205" max="7205" width="13.5703125" style="1306" customWidth="1"/>
    <col min="7206" max="7206" width="10.28515625" style="1306" customWidth="1"/>
    <col min="7207" max="7207" width="12.85546875" style="1306" customWidth="1"/>
    <col min="7208" max="7208" width="9.140625" style="1306" customWidth="1"/>
    <col min="7209" max="7209" width="9.7109375" style="1306" customWidth="1"/>
    <col min="7210" max="7210" width="9.28515625" style="1306" customWidth="1"/>
    <col min="7211" max="7211" width="9.42578125" style="1306" customWidth="1"/>
    <col min="7212" max="7212" width="10.5703125" style="1306" customWidth="1"/>
    <col min="7213" max="7213" width="12.42578125" style="1306" customWidth="1"/>
    <col min="7214" max="7214" width="14.5703125" style="1306" customWidth="1"/>
    <col min="7215" max="7215" width="12.28515625" style="1306" customWidth="1"/>
    <col min="7216" max="7216" width="25.85546875" style="1306" customWidth="1"/>
    <col min="7217" max="7448" width="0.85546875" style="1306"/>
    <col min="7449" max="7449" width="9.85546875" style="1306" customWidth="1"/>
    <col min="7450" max="7450" width="81.85546875" style="1306" customWidth="1"/>
    <col min="7451" max="7451" width="12.7109375" style="1306" customWidth="1"/>
    <col min="7452" max="7452" width="12.42578125" style="1306" customWidth="1"/>
    <col min="7453" max="7453" width="14.5703125" style="1306" customWidth="1"/>
    <col min="7454" max="7454" width="12.28515625" style="1306" customWidth="1"/>
    <col min="7455" max="7455" width="38.140625" style="1306" customWidth="1"/>
    <col min="7456" max="7456" width="46.85546875" style="1306" customWidth="1"/>
    <col min="7457" max="7459" width="12.7109375" style="1306" customWidth="1"/>
    <col min="7460" max="7460" width="9.28515625" style="1306" customWidth="1"/>
    <col min="7461" max="7461" width="13.5703125" style="1306" customWidth="1"/>
    <col min="7462" max="7462" width="10.28515625" style="1306" customWidth="1"/>
    <col min="7463" max="7463" width="12.85546875" style="1306" customWidth="1"/>
    <col min="7464" max="7464" width="9.140625" style="1306" customWidth="1"/>
    <col min="7465" max="7465" width="9.7109375" style="1306" customWidth="1"/>
    <col min="7466" max="7466" width="9.28515625" style="1306" customWidth="1"/>
    <col min="7467" max="7467" width="9.42578125" style="1306" customWidth="1"/>
    <col min="7468" max="7468" width="10.5703125" style="1306" customWidth="1"/>
    <col min="7469" max="7469" width="12.42578125" style="1306" customWidth="1"/>
    <col min="7470" max="7470" width="14.5703125" style="1306" customWidth="1"/>
    <col min="7471" max="7471" width="12.28515625" style="1306" customWidth="1"/>
    <col min="7472" max="7472" width="25.85546875" style="1306" customWidth="1"/>
    <col min="7473" max="7704" width="0.85546875" style="1306"/>
    <col min="7705" max="7705" width="9.85546875" style="1306" customWidth="1"/>
    <col min="7706" max="7706" width="81.85546875" style="1306" customWidth="1"/>
    <col min="7707" max="7707" width="12.7109375" style="1306" customWidth="1"/>
    <col min="7708" max="7708" width="12.42578125" style="1306" customWidth="1"/>
    <col min="7709" max="7709" width="14.5703125" style="1306" customWidth="1"/>
    <col min="7710" max="7710" width="12.28515625" style="1306" customWidth="1"/>
    <col min="7711" max="7711" width="38.140625" style="1306" customWidth="1"/>
    <col min="7712" max="7712" width="46.85546875" style="1306" customWidth="1"/>
    <col min="7713" max="7715" width="12.7109375" style="1306" customWidth="1"/>
    <col min="7716" max="7716" width="9.28515625" style="1306" customWidth="1"/>
    <col min="7717" max="7717" width="13.5703125" style="1306" customWidth="1"/>
    <col min="7718" max="7718" width="10.28515625" style="1306" customWidth="1"/>
    <col min="7719" max="7719" width="12.85546875" style="1306" customWidth="1"/>
    <col min="7720" max="7720" width="9.140625" style="1306" customWidth="1"/>
    <col min="7721" max="7721" width="9.7109375" style="1306" customWidth="1"/>
    <col min="7722" max="7722" width="9.28515625" style="1306" customWidth="1"/>
    <col min="7723" max="7723" width="9.42578125" style="1306" customWidth="1"/>
    <col min="7724" max="7724" width="10.5703125" style="1306" customWidth="1"/>
    <col min="7725" max="7725" width="12.42578125" style="1306" customWidth="1"/>
    <col min="7726" max="7726" width="14.5703125" style="1306" customWidth="1"/>
    <col min="7727" max="7727" width="12.28515625" style="1306" customWidth="1"/>
    <col min="7728" max="7728" width="25.85546875" style="1306" customWidth="1"/>
    <col min="7729" max="7960" width="0.85546875" style="1306"/>
    <col min="7961" max="7961" width="9.85546875" style="1306" customWidth="1"/>
    <col min="7962" max="7962" width="81.85546875" style="1306" customWidth="1"/>
    <col min="7963" max="7963" width="12.7109375" style="1306" customWidth="1"/>
    <col min="7964" max="7964" width="12.42578125" style="1306" customWidth="1"/>
    <col min="7965" max="7965" width="14.5703125" style="1306" customWidth="1"/>
    <col min="7966" max="7966" width="12.28515625" style="1306" customWidth="1"/>
    <col min="7967" max="7967" width="38.140625" style="1306" customWidth="1"/>
    <col min="7968" max="7968" width="46.85546875" style="1306" customWidth="1"/>
    <col min="7969" max="7971" width="12.7109375" style="1306" customWidth="1"/>
    <col min="7972" max="7972" width="9.28515625" style="1306" customWidth="1"/>
    <col min="7973" max="7973" width="13.5703125" style="1306" customWidth="1"/>
    <col min="7974" max="7974" width="10.28515625" style="1306" customWidth="1"/>
    <col min="7975" max="7975" width="12.85546875" style="1306" customWidth="1"/>
    <col min="7976" max="7976" width="9.140625" style="1306" customWidth="1"/>
    <col min="7977" max="7977" width="9.7109375" style="1306" customWidth="1"/>
    <col min="7978" max="7978" width="9.28515625" style="1306" customWidth="1"/>
    <col min="7979" max="7979" width="9.42578125" style="1306" customWidth="1"/>
    <col min="7980" max="7980" width="10.5703125" style="1306" customWidth="1"/>
    <col min="7981" max="7981" width="12.42578125" style="1306" customWidth="1"/>
    <col min="7982" max="7982" width="14.5703125" style="1306" customWidth="1"/>
    <col min="7983" max="7983" width="12.28515625" style="1306" customWidth="1"/>
    <col min="7984" max="7984" width="25.85546875" style="1306" customWidth="1"/>
    <col min="7985" max="8216" width="0.85546875" style="1306"/>
    <col min="8217" max="8217" width="9.85546875" style="1306" customWidth="1"/>
    <col min="8218" max="8218" width="81.85546875" style="1306" customWidth="1"/>
    <col min="8219" max="8219" width="12.7109375" style="1306" customWidth="1"/>
    <col min="8220" max="8220" width="12.42578125" style="1306" customWidth="1"/>
    <col min="8221" max="8221" width="14.5703125" style="1306" customWidth="1"/>
    <col min="8222" max="8222" width="12.28515625" style="1306" customWidth="1"/>
    <col min="8223" max="8223" width="38.140625" style="1306" customWidth="1"/>
    <col min="8224" max="8224" width="46.85546875" style="1306" customWidth="1"/>
    <col min="8225" max="8227" width="12.7109375" style="1306" customWidth="1"/>
    <col min="8228" max="8228" width="9.28515625" style="1306" customWidth="1"/>
    <col min="8229" max="8229" width="13.5703125" style="1306" customWidth="1"/>
    <col min="8230" max="8230" width="10.28515625" style="1306" customWidth="1"/>
    <col min="8231" max="8231" width="12.85546875" style="1306" customWidth="1"/>
    <col min="8232" max="8232" width="9.140625" style="1306" customWidth="1"/>
    <col min="8233" max="8233" width="9.7109375" style="1306" customWidth="1"/>
    <col min="8234" max="8234" width="9.28515625" style="1306" customWidth="1"/>
    <col min="8235" max="8235" width="9.42578125" style="1306" customWidth="1"/>
    <col min="8236" max="8236" width="10.5703125" style="1306" customWidth="1"/>
    <col min="8237" max="8237" width="12.42578125" style="1306" customWidth="1"/>
    <col min="8238" max="8238" width="14.5703125" style="1306" customWidth="1"/>
    <col min="8239" max="8239" width="12.28515625" style="1306" customWidth="1"/>
    <col min="8240" max="8240" width="25.85546875" style="1306" customWidth="1"/>
    <col min="8241" max="8472" width="0.85546875" style="1306"/>
    <col min="8473" max="8473" width="9.85546875" style="1306" customWidth="1"/>
    <col min="8474" max="8474" width="81.85546875" style="1306" customWidth="1"/>
    <col min="8475" max="8475" width="12.7109375" style="1306" customWidth="1"/>
    <col min="8476" max="8476" width="12.42578125" style="1306" customWidth="1"/>
    <col min="8477" max="8477" width="14.5703125" style="1306" customWidth="1"/>
    <col min="8478" max="8478" width="12.28515625" style="1306" customWidth="1"/>
    <col min="8479" max="8479" width="38.140625" style="1306" customWidth="1"/>
    <col min="8480" max="8480" width="46.85546875" style="1306" customWidth="1"/>
    <col min="8481" max="8483" width="12.7109375" style="1306" customWidth="1"/>
    <col min="8484" max="8484" width="9.28515625" style="1306" customWidth="1"/>
    <col min="8485" max="8485" width="13.5703125" style="1306" customWidth="1"/>
    <col min="8486" max="8486" width="10.28515625" style="1306" customWidth="1"/>
    <col min="8487" max="8487" width="12.85546875" style="1306" customWidth="1"/>
    <col min="8488" max="8488" width="9.140625" style="1306" customWidth="1"/>
    <col min="8489" max="8489" width="9.7109375" style="1306" customWidth="1"/>
    <col min="8490" max="8490" width="9.28515625" style="1306" customWidth="1"/>
    <col min="8491" max="8491" width="9.42578125" style="1306" customWidth="1"/>
    <col min="8492" max="8492" width="10.5703125" style="1306" customWidth="1"/>
    <col min="8493" max="8493" width="12.42578125" style="1306" customWidth="1"/>
    <col min="8494" max="8494" width="14.5703125" style="1306" customWidth="1"/>
    <col min="8495" max="8495" width="12.28515625" style="1306" customWidth="1"/>
    <col min="8496" max="8496" width="25.85546875" style="1306" customWidth="1"/>
    <col min="8497" max="8728" width="0.85546875" style="1306"/>
    <col min="8729" max="8729" width="9.85546875" style="1306" customWidth="1"/>
    <col min="8730" max="8730" width="81.85546875" style="1306" customWidth="1"/>
    <col min="8731" max="8731" width="12.7109375" style="1306" customWidth="1"/>
    <col min="8732" max="8732" width="12.42578125" style="1306" customWidth="1"/>
    <col min="8733" max="8733" width="14.5703125" style="1306" customWidth="1"/>
    <col min="8734" max="8734" width="12.28515625" style="1306" customWidth="1"/>
    <col min="8735" max="8735" width="38.140625" style="1306" customWidth="1"/>
    <col min="8736" max="8736" width="46.85546875" style="1306" customWidth="1"/>
    <col min="8737" max="8739" width="12.7109375" style="1306" customWidth="1"/>
    <col min="8740" max="8740" width="9.28515625" style="1306" customWidth="1"/>
    <col min="8741" max="8741" width="13.5703125" style="1306" customWidth="1"/>
    <col min="8742" max="8742" width="10.28515625" style="1306" customWidth="1"/>
    <col min="8743" max="8743" width="12.85546875" style="1306" customWidth="1"/>
    <col min="8744" max="8744" width="9.140625" style="1306" customWidth="1"/>
    <col min="8745" max="8745" width="9.7109375" style="1306" customWidth="1"/>
    <col min="8746" max="8746" width="9.28515625" style="1306" customWidth="1"/>
    <col min="8747" max="8747" width="9.42578125" style="1306" customWidth="1"/>
    <col min="8748" max="8748" width="10.5703125" style="1306" customWidth="1"/>
    <col min="8749" max="8749" width="12.42578125" style="1306" customWidth="1"/>
    <col min="8750" max="8750" width="14.5703125" style="1306" customWidth="1"/>
    <col min="8751" max="8751" width="12.28515625" style="1306" customWidth="1"/>
    <col min="8752" max="8752" width="25.85546875" style="1306" customWidth="1"/>
    <col min="8753" max="8984" width="0.85546875" style="1306"/>
    <col min="8985" max="8985" width="9.85546875" style="1306" customWidth="1"/>
    <col min="8986" max="8986" width="81.85546875" style="1306" customWidth="1"/>
    <col min="8987" max="8987" width="12.7109375" style="1306" customWidth="1"/>
    <col min="8988" max="8988" width="12.42578125" style="1306" customWidth="1"/>
    <col min="8989" max="8989" width="14.5703125" style="1306" customWidth="1"/>
    <col min="8990" max="8990" width="12.28515625" style="1306" customWidth="1"/>
    <col min="8991" max="8991" width="38.140625" style="1306" customWidth="1"/>
    <col min="8992" max="8992" width="46.85546875" style="1306" customWidth="1"/>
    <col min="8993" max="8995" width="12.7109375" style="1306" customWidth="1"/>
    <col min="8996" max="8996" width="9.28515625" style="1306" customWidth="1"/>
    <col min="8997" max="8997" width="13.5703125" style="1306" customWidth="1"/>
    <col min="8998" max="8998" width="10.28515625" style="1306" customWidth="1"/>
    <col min="8999" max="8999" width="12.85546875" style="1306" customWidth="1"/>
    <col min="9000" max="9000" width="9.140625" style="1306" customWidth="1"/>
    <col min="9001" max="9001" width="9.7109375" style="1306" customWidth="1"/>
    <col min="9002" max="9002" width="9.28515625" style="1306" customWidth="1"/>
    <col min="9003" max="9003" width="9.42578125" style="1306" customWidth="1"/>
    <col min="9004" max="9004" width="10.5703125" style="1306" customWidth="1"/>
    <col min="9005" max="9005" width="12.42578125" style="1306" customWidth="1"/>
    <col min="9006" max="9006" width="14.5703125" style="1306" customWidth="1"/>
    <col min="9007" max="9007" width="12.28515625" style="1306" customWidth="1"/>
    <col min="9008" max="9008" width="25.85546875" style="1306" customWidth="1"/>
    <col min="9009" max="9240" width="0.85546875" style="1306"/>
    <col min="9241" max="9241" width="9.85546875" style="1306" customWidth="1"/>
    <col min="9242" max="9242" width="81.85546875" style="1306" customWidth="1"/>
    <col min="9243" max="9243" width="12.7109375" style="1306" customWidth="1"/>
    <col min="9244" max="9244" width="12.42578125" style="1306" customWidth="1"/>
    <col min="9245" max="9245" width="14.5703125" style="1306" customWidth="1"/>
    <col min="9246" max="9246" width="12.28515625" style="1306" customWidth="1"/>
    <col min="9247" max="9247" width="38.140625" style="1306" customWidth="1"/>
    <col min="9248" max="9248" width="46.85546875" style="1306" customWidth="1"/>
    <col min="9249" max="9251" width="12.7109375" style="1306" customWidth="1"/>
    <col min="9252" max="9252" width="9.28515625" style="1306" customWidth="1"/>
    <col min="9253" max="9253" width="13.5703125" style="1306" customWidth="1"/>
    <col min="9254" max="9254" width="10.28515625" style="1306" customWidth="1"/>
    <col min="9255" max="9255" width="12.85546875" style="1306" customWidth="1"/>
    <col min="9256" max="9256" width="9.140625" style="1306" customWidth="1"/>
    <col min="9257" max="9257" width="9.7109375" style="1306" customWidth="1"/>
    <col min="9258" max="9258" width="9.28515625" style="1306" customWidth="1"/>
    <col min="9259" max="9259" width="9.42578125" style="1306" customWidth="1"/>
    <col min="9260" max="9260" width="10.5703125" style="1306" customWidth="1"/>
    <col min="9261" max="9261" width="12.42578125" style="1306" customWidth="1"/>
    <col min="9262" max="9262" width="14.5703125" style="1306" customWidth="1"/>
    <col min="9263" max="9263" width="12.28515625" style="1306" customWidth="1"/>
    <col min="9264" max="9264" width="25.85546875" style="1306" customWidth="1"/>
    <col min="9265" max="9496" width="0.85546875" style="1306"/>
    <col min="9497" max="9497" width="9.85546875" style="1306" customWidth="1"/>
    <col min="9498" max="9498" width="81.85546875" style="1306" customWidth="1"/>
    <col min="9499" max="9499" width="12.7109375" style="1306" customWidth="1"/>
    <col min="9500" max="9500" width="12.42578125" style="1306" customWidth="1"/>
    <col min="9501" max="9501" width="14.5703125" style="1306" customWidth="1"/>
    <col min="9502" max="9502" width="12.28515625" style="1306" customWidth="1"/>
    <col min="9503" max="9503" width="38.140625" style="1306" customWidth="1"/>
    <col min="9504" max="9504" width="46.85546875" style="1306" customWidth="1"/>
    <col min="9505" max="9507" width="12.7109375" style="1306" customWidth="1"/>
    <col min="9508" max="9508" width="9.28515625" style="1306" customWidth="1"/>
    <col min="9509" max="9509" width="13.5703125" style="1306" customWidth="1"/>
    <col min="9510" max="9510" width="10.28515625" style="1306" customWidth="1"/>
    <col min="9511" max="9511" width="12.85546875" style="1306" customWidth="1"/>
    <col min="9512" max="9512" width="9.140625" style="1306" customWidth="1"/>
    <col min="9513" max="9513" width="9.7109375" style="1306" customWidth="1"/>
    <col min="9514" max="9514" width="9.28515625" style="1306" customWidth="1"/>
    <col min="9515" max="9515" width="9.42578125" style="1306" customWidth="1"/>
    <col min="9516" max="9516" width="10.5703125" style="1306" customWidth="1"/>
    <col min="9517" max="9517" width="12.42578125" style="1306" customWidth="1"/>
    <col min="9518" max="9518" width="14.5703125" style="1306" customWidth="1"/>
    <col min="9519" max="9519" width="12.28515625" style="1306" customWidth="1"/>
    <col min="9520" max="9520" width="25.85546875" style="1306" customWidth="1"/>
    <col min="9521" max="9752" width="0.85546875" style="1306"/>
    <col min="9753" max="9753" width="9.85546875" style="1306" customWidth="1"/>
    <col min="9754" max="9754" width="81.85546875" style="1306" customWidth="1"/>
    <col min="9755" max="9755" width="12.7109375" style="1306" customWidth="1"/>
    <col min="9756" max="9756" width="12.42578125" style="1306" customWidth="1"/>
    <col min="9757" max="9757" width="14.5703125" style="1306" customWidth="1"/>
    <col min="9758" max="9758" width="12.28515625" style="1306" customWidth="1"/>
    <col min="9759" max="9759" width="38.140625" style="1306" customWidth="1"/>
    <col min="9760" max="9760" width="46.85546875" style="1306" customWidth="1"/>
    <col min="9761" max="9763" width="12.7109375" style="1306" customWidth="1"/>
    <col min="9764" max="9764" width="9.28515625" style="1306" customWidth="1"/>
    <col min="9765" max="9765" width="13.5703125" style="1306" customWidth="1"/>
    <col min="9766" max="9766" width="10.28515625" style="1306" customWidth="1"/>
    <col min="9767" max="9767" width="12.85546875" style="1306" customWidth="1"/>
    <col min="9768" max="9768" width="9.140625" style="1306" customWidth="1"/>
    <col min="9769" max="9769" width="9.7109375" style="1306" customWidth="1"/>
    <col min="9770" max="9770" width="9.28515625" style="1306" customWidth="1"/>
    <col min="9771" max="9771" width="9.42578125" style="1306" customWidth="1"/>
    <col min="9772" max="9772" width="10.5703125" style="1306" customWidth="1"/>
    <col min="9773" max="9773" width="12.42578125" style="1306" customWidth="1"/>
    <col min="9774" max="9774" width="14.5703125" style="1306" customWidth="1"/>
    <col min="9775" max="9775" width="12.28515625" style="1306" customWidth="1"/>
    <col min="9776" max="9776" width="25.85546875" style="1306" customWidth="1"/>
    <col min="9777" max="10008" width="0.85546875" style="1306"/>
    <col min="10009" max="10009" width="9.85546875" style="1306" customWidth="1"/>
    <col min="10010" max="10010" width="81.85546875" style="1306" customWidth="1"/>
    <col min="10011" max="10011" width="12.7109375" style="1306" customWidth="1"/>
    <col min="10012" max="10012" width="12.42578125" style="1306" customWidth="1"/>
    <col min="10013" max="10013" width="14.5703125" style="1306" customWidth="1"/>
    <col min="10014" max="10014" width="12.28515625" style="1306" customWidth="1"/>
    <col min="10015" max="10015" width="38.140625" style="1306" customWidth="1"/>
    <col min="10016" max="10016" width="46.85546875" style="1306" customWidth="1"/>
    <col min="10017" max="10019" width="12.7109375" style="1306" customWidth="1"/>
    <col min="10020" max="10020" width="9.28515625" style="1306" customWidth="1"/>
    <col min="10021" max="10021" width="13.5703125" style="1306" customWidth="1"/>
    <col min="10022" max="10022" width="10.28515625" style="1306" customWidth="1"/>
    <col min="10023" max="10023" width="12.85546875" style="1306" customWidth="1"/>
    <col min="10024" max="10024" width="9.140625" style="1306" customWidth="1"/>
    <col min="10025" max="10025" width="9.7109375" style="1306" customWidth="1"/>
    <col min="10026" max="10026" width="9.28515625" style="1306" customWidth="1"/>
    <col min="10027" max="10027" width="9.42578125" style="1306" customWidth="1"/>
    <col min="10028" max="10028" width="10.5703125" style="1306" customWidth="1"/>
    <col min="10029" max="10029" width="12.42578125" style="1306" customWidth="1"/>
    <col min="10030" max="10030" width="14.5703125" style="1306" customWidth="1"/>
    <col min="10031" max="10031" width="12.28515625" style="1306" customWidth="1"/>
    <col min="10032" max="10032" width="25.85546875" style="1306" customWidth="1"/>
    <col min="10033" max="10264" width="0.85546875" style="1306"/>
    <col min="10265" max="10265" width="9.85546875" style="1306" customWidth="1"/>
    <col min="10266" max="10266" width="81.85546875" style="1306" customWidth="1"/>
    <col min="10267" max="10267" width="12.7109375" style="1306" customWidth="1"/>
    <col min="10268" max="10268" width="12.42578125" style="1306" customWidth="1"/>
    <col min="10269" max="10269" width="14.5703125" style="1306" customWidth="1"/>
    <col min="10270" max="10270" width="12.28515625" style="1306" customWidth="1"/>
    <col min="10271" max="10271" width="38.140625" style="1306" customWidth="1"/>
    <col min="10272" max="10272" width="46.85546875" style="1306" customWidth="1"/>
    <col min="10273" max="10275" width="12.7109375" style="1306" customWidth="1"/>
    <col min="10276" max="10276" width="9.28515625" style="1306" customWidth="1"/>
    <col min="10277" max="10277" width="13.5703125" style="1306" customWidth="1"/>
    <col min="10278" max="10278" width="10.28515625" style="1306" customWidth="1"/>
    <col min="10279" max="10279" width="12.85546875" style="1306" customWidth="1"/>
    <col min="10280" max="10280" width="9.140625" style="1306" customWidth="1"/>
    <col min="10281" max="10281" width="9.7109375" style="1306" customWidth="1"/>
    <col min="10282" max="10282" width="9.28515625" style="1306" customWidth="1"/>
    <col min="10283" max="10283" width="9.42578125" style="1306" customWidth="1"/>
    <col min="10284" max="10284" width="10.5703125" style="1306" customWidth="1"/>
    <col min="10285" max="10285" width="12.42578125" style="1306" customWidth="1"/>
    <col min="10286" max="10286" width="14.5703125" style="1306" customWidth="1"/>
    <col min="10287" max="10287" width="12.28515625" style="1306" customWidth="1"/>
    <col min="10288" max="10288" width="25.85546875" style="1306" customWidth="1"/>
    <col min="10289" max="10520" width="0.85546875" style="1306"/>
    <col min="10521" max="10521" width="9.85546875" style="1306" customWidth="1"/>
    <col min="10522" max="10522" width="81.85546875" style="1306" customWidth="1"/>
    <col min="10523" max="10523" width="12.7109375" style="1306" customWidth="1"/>
    <col min="10524" max="10524" width="12.42578125" style="1306" customWidth="1"/>
    <col min="10525" max="10525" width="14.5703125" style="1306" customWidth="1"/>
    <col min="10526" max="10526" width="12.28515625" style="1306" customWidth="1"/>
    <col min="10527" max="10527" width="38.140625" style="1306" customWidth="1"/>
    <col min="10528" max="10528" width="46.85546875" style="1306" customWidth="1"/>
    <col min="10529" max="10531" width="12.7109375" style="1306" customWidth="1"/>
    <col min="10532" max="10532" width="9.28515625" style="1306" customWidth="1"/>
    <col min="10533" max="10533" width="13.5703125" style="1306" customWidth="1"/>
    <col min="10534" max="10534" width="10.28515625" style="1306" customWidth="1"/>
    <col min="10535" max="10535" width="12.85546875" style="1306" customWidth="1"/>
    <col min="10536" max="10536" width="9.140625" style="1306" customWidth="1"/>
    <col min="10537" max="10537" width="9.7109375" style="1306" customWidth="1"/>
    <col min="10538" max="10538" width="9.28515625" style="1306" customWidth="1"/>
    <col min="10539" max="10539" width="9.42578125" style="1306" customWidth="1"/>
    <col min="10540" max="10540" width="10.5703125" style="1306" customWidth="1"/>
    <col min="10541" max="10541" width="12.42578125" style="1306" customWidth="1"/>
    <col min="10542" max="10542" width="14.5703125" style="1306" customWidth="1"/>
    <col min="10543" max="10543" width="12.28515625" style="1306" customWidth="1"/>
    <col min="10544" max="10544" width="25.85546875" style="1306" customWidth="1"/>
    <col min="10545" max="10776" width="0.85546875" style="1306"/>
    <col min="10777" max="10777" width="9.85546875" style="1306" customWidth="1"/>
    <col min="10778" max="10778" width="81.85546875" style="1306" customWidth="1"/>
    <col min="10779" max="10779" width="12.7109375" style="1306" customWidth="1"/>
    <col min="10780" max="10780" width="12.42578125" style="1306" customWidth="1"/>
    <col min="10781" max="10781" width="14.5703125" style="1306" customWidth="1"/>
    <col min="10782" max="10782" width="12.28515625" style="1306" customWidth="1"/>
    <col min="10783" max="10783" width="38.140625" style="1306" customWidth="1"/>
    <col min="10784" max="10784" width="46.85546875" style="1306" customWidth="1"/>
    <col min="10785" max="10787" width="12.7109375" style="1306" customWidth="1"/>
    <col min="10788" max="10788" width="9.28515625" style="1306" customWidth="1"/>
    <col min="10789" max="10789" width="13.5703125" style="1306" customWidth="1"/>
    <col min="10790" max="10790" width="10.28515625" style="1306" customWidth="1"/>
    <col min="10791" max="10791" width="12.85546875" style="1306" customWidth="1"/>
    <col min="10792" max="10792" width="9.140625" style="1306" customWidth="1"/>
    <col min="10793" max="10793" width="9.7109375" style="1306" customWidth="1"/>
    <col min="10794" max="10794" width="9.28515625" style="1306" customWidth="1"/>
    <col min="10795" max="10795" width="9.42578125" style="1306" customWidth="1"/>
    <col min="10796" max="10796" width="10.5703125" style="1306" customWidth="1"/>
    <col min="10797" max="10797" width="12.42578125" style="1306" customWidth="1"/>
    <col min="10798" max="10798" width="14.5703125" style="1306" customWidth="1"/>
    <col min="10799" max="10799" width="12.28515625" style="1306" customWidth="1"/>
    <col min="10800" max="10800" width="25.85546875" style="1306" customWidth="1"/>
    <col min="10801" max="11032" width="0.85546875" style="1306"/>
    <col min="11033" max="11033" width="9.85546875" style="1306" customWidth="1"/>
    <col min="11034" max="11034" width="81.85546875" style="1306" customWidth="1"/>
    <col min="11035" max="11035" width="12.7109375" style="1306" customWidth="1"/>
    <col min="11036" max="11036" width="12.42578125" style="1306" customWidth="1"/>
    <col min="11037" max="11037" width="14.5703125" style="1306" customWidth="1"/>
    <col min="11038" max="11038" width="12.28515625" style="1306" customWidth="1"/>
    <col min="11039" max="11039" width="38.140625" style="1306" customWidth="1"/>
    <col min="11040" max="11040" width="46.85546875" style="1306" customWidth="1"/>
    <col min="11041" max="11043" width="12.7109375" style="1306" customWidth="1"/>
    <col min="11044" max="11044" width="9.28515625" style="1306" customWidth="1"/>
    <col min="11045" max="11045" width="13.5703125" style="1306" customWidth="1"/>
    <col min="11046" max="11046" width="10.28515625" style="1306" customWidth="1"/>
    <col min="11047" max="11047" width="12.85546875" style="1306" customWidth="1"/>
    <col min="11048" max="11048" width="9.140625" style="1306" customWidth="1"/>
    <col min="11049" max="11049" width="9.7109375" style="1306" customWidth="1"/>
    <col min="11050" max="11050" width="9.28515625" style="1306" customWidth="1"/>
    <col min="11051" max="11051" width="9.42578125" style="1306" customWidth="1"/>
    <col min="11052" max="11052" width="10.5703125" style="1306" customWidth="1"/>
    <col min="11053" max="11053" width="12.42578125" style="1306" customWidth="1"/>
    <col min="11054" max="11054" width="14.5703125" style="1306" customWidth="1"/>
    <col min="11055" max="11055" width="12.28515625" style="1306" customWidth="1"/>
    <col min="11056" max="11056" width="25.85546875" style="1306" customWidth="1"/>
    <col min="11057" max="11288" width="0.85546875" style="1306"/>
    <col min="11289" max="11289" width="9.85546875" style="1306" customWidth="1"/>
    <col min="11290" max="11290" width="81.85546875" style="1306" customWidth="1"/>
    <col min="11291" max="11291" width="12.7109375" style="1306" customWidth="1"/>
    <col min="11292" max="11292" width="12.42578125" style="1306" customWidth="1"/>
    <col min="11293" max="11293" width="14.5703125" style="1306" customWidth="1"/>
    <col min="11294" max="11294" width="12.28515625" style="1306" customWidth="1"/>
    <col min="11295" max="11295" width="38.140625" style="1306" customWidth="1"/>
    <col min="11296" max="11296" width="46.85546875" style="1306" customWidth="1"/>
    <col min="11297" max="11299" width="12.7109375" style="1306" customWidth="1"/>
    <col min="11300" max="11300" width="9.28515625" style="1306" customWidth="1"/>
    <col min="11301" max="11301" width="13.5703125" style="1306" customWidth="1"/>
    <col min="11302" max="11302" width="10.28515625" style="1306" customWidth="1"/>
    <col min="11303" max="11303" width="12.85546875" style="1306" customWidth="1"/>
    <col min="11304" max="11304" width="9.140625" style="1306" customWidth="1"/>
    <col min="11305" max="11305" width="9.7109375" style="1306" customWidth="1"/>
    <col min="11306" max="11306" width="9.28515625" style="1306" customWidth="1"/>
    <col min="11307" max="11307" width="9.42578125" style="1306" customWidth="1"/>
    <col min="11308" max="11308" width="10.5703125" style="1306" customWidth="1"/>
    <col min="11309" max="11309" width="12.42578125" style="1306" customWidth="1"/>
    <col min="11310" max="11310" width="14.5703125" style="1306" customWidth="1"/>
    <col min="11311" max="11311" width="12.28515625" style="1306" customWidth="1"/>
    <col min="11312" max="11312" width="25.85546875" style="1306" customWidth="1"/>
    <col min="11313" max="11544" width="0.85546875" style="1306"/>
    <col min="11545" max="11545" width="9.85546875" style="1306" customWidth="1"/>
    <col min="11546" max="11546" width="81.85546875" style="1306" customWidth="1"/>
    <col min="11547" max="11547" width="12.7109375" style="1306" customWidth="1"/>
    <col min="11548" max="11548" width="12.42578125" style="1306" customWidth="1"/>
    <col min="11549" max="11549" width="14.5703125" style="1306" customWidth="1"/>
    <col min="11550" max="11550" width="12.28515625" style="1306" customWidth="1"/>
    <col min="11551" max="11551" width="38.140625" style="1306" customWidth="1"/>
    <col min="11552" max="11552" width="46.85546875" style="1306" customWidth="1"/>
    <col min="11553" max="11555" width="12.7109375" style="1306" customWidth="1"/>
    <col min="11556" max="11556" width="9.28515625" style="1306" customWidth="1"/>
    <col min="11557" max="11557" width="13.5703125" style="1306" customWidth="1"/>
    <col min="11558" max="11558" width="10.28515625" style="1306" customWidth="1"/>
    <col min="11559" max="11559" width="12.85546875" style="1306" customWidth="1"/>
    <col min="11560" max="11560" width="9.140625" style="1306" customWidth="1"/>
    <col min="11561" max="11561" width="9.7109375" style="1306" customWidth="1"/>
    <col min="11562" max="11562" width="9.28515625" style="1306" customWidth="1"/>
    <col min="11563" max="11563" width="9.42578125" style="1306" customWidth="1"/>
    <col min="11564" max="11564" width="10.5703125" style="1306" customWidth="1"/>
    <col min="11565" max="11565" width="12.42578125" style="1306" customWidth="1"/>
    <col min="11566" max="11566" width="14.5703125" style="1306" customWidth="1"/>
    <col min="11567" max="11567" width="12.28515625" style="1306" customWidth="1"/>
    <col min="11568" max="11568" width="25.85546875" style="1306" customWidth="1"/>
    <col min="11569" max="11800" width="0.85546875" style="1306"/>
    <col min="11801" max="11801" width="9.85546875" style="1306" customWidth="1"/>
    <col min="11802" max="11802" width="81.85546875" style="1306" customWidth="1"/>
    <col min="11803" max="11803" width="12.7109375" style="1306" customWidth="1"/>
    <col min="11804" max="11804" width="12.42578125" style="1306" customWidth="1"/>
    <col min="11805" max="11805" width="14.5703125" style="1306" customWidth="1"/>
    <col min="11806" max="11806" width="12.28515625" style="1306" customWidth="1"/>
    <col min="11807" max="11807" width="38.140625" style="1306" customWidth="1"/>
    <col min="11808" max="11808" width="46.85546875" style="1306" customWidth="1"/>
    <col min="11809" max="11811" width="12.7109375" style="1306" customWidth="1"/>
    <col min="11812" max="11812" width="9.28515625" style="1306" customWidth="1"/>
    <col min="11813" max="11813" width="13.5703125" style="1306" customWidth="1"/>
    <col min="11814" max="11814" width="10.28515625" style="1306" customWidth="1"/>
    <col min="11815" max="11815" width="12.85546875" style="1306" customWidth="1"/>
    <col min="11816" max="11816" width="9.140625" style="1306" customWidth="1"/>
    <col min="11817" max="11817" width="9.7109375" style="1306" customWidth="1"/>
    <col min="11818" max="11818" width="9.28515625" style="1306" customWidth="1"/>
    <col min="11819" max="11819" width="9.42578125" style="1306" customWidth="1"/>
    <col min="11820" max="11820" width="10.5703125" style="1306" customWidth="1"/>
    <col min="11821" max="11821" width="12.42578125" style="1306" customWidth="1"/>
    <col min="11822" max="11822" width="14.5703125" style="1306" customWidth="1"/>
    <col min="11823" max="11823" width="12.28515625" style="1306" customWidth="1"/>
    <col min="11824" max="11824" width="25.85546875" style="1306" customWidth="1"/>
    <col min="11825" max="12056" width="0.85546875" style="1306"/>
    <col min="12057" max="12057" width="9.85546875" style="1306" customWidth="1"/>
    <col min="12058" max="12058" width="81.85546875" style="1306" customWidth="1"/>
    <col min="12059" max="12059" width="12.7109375" style="1306" customWidth="1"/>
    <col min="12060" max="12060" width="12.42578125" style="1306" customWidth="1"/>
    <col min="12061" max="12061" width="14.5703125" style="1306" customWidth="1"/>
    <col min="12062" max="12062" width="12.28515625" style="1306" customWidth="1"/>
    <col min="12063" max="12063" width="38.140625" style="1306" customWidth="1"/>
    <col min="12064" max="12064" width="46.85546875" style="1306" customWidth="1"/>
    <col min="12065" max="12067" width="12.7109375" style="1306" customWidth="1"/>
    <col min="12068" max="12068" width="9.28515625" style="1306" customWidth="1"/>
    <col min="12069" max="12069" width="13.5703125" style="1306" customWidth="1"/>
    <col min="12070" max="12070" width="10.28515625" style="1306" customWidth="1"/>
    <col min="12071" max="12071" width="12.85546875" style="1306" customWidth="1"/>
    <col min="12072" max="12072" width="9.140625" style="1306" customWidth="1"/>
    <col min="12073" max="12073" width="9.7109375" style="1306" customWidth="1"/>
    <col min="12074" max="12074" width="9.28515625" style="1306" customWidth="1"/>
    <col min="12075" max="12075" width="9.42578125" style="1306" customWidth="1"/>
    <col min="12076" max="12076" width="10.5703125" style="1306" customWidth="1"/>
    <col min="12077" max="12077" width="12.42578125" style="1306" customWidth="1"/>
    <col min="12078" max="12078" width="14.5703125" style="1306" customWidth="1"/>
    <col min="12079" max="12079" width="12.28515625" style="1306" customWidth="1"/>
    <col min="12080" max="12080" width="25.85546875" style="1306" customWidth="1"/>
    <col min="12081" max="12312" width="0.85546875" style="1306"/>
    <col min="12313" max="12313" width="9.85546875" style="1306" customWidth="1"/>
    <col min="12314" max="12314" width="81.85546875" style="1306" customWidth="1"/>
    <col min="12315" max="12315" width="12.7109375" style="1306" customWidth="1"/>
    <col min="12316" max="12316" width="12.42578125" style="1306" customWidth="1"/>
    <col min="12317" max="12317" width="14.5703125" style="1306" customWidth="1"/>
    <col min="12318" max="12318" width="12.28515625" style="1306" customWidth="1"/>
    <col min="12319" max="12319" width="38.140625" style="1306" customWidth="1"/>
    <col min="12320" max="12320" width="46.85546875" style="1306" customWidth="1"/>
    <col min="12321" max="12323" width="12.7109375" style="1306" customWidth="1"/>
    <col min="12324" max="12324" width="9.28515625" style="1306" customWidth="1"/>
    <col min="12325" max="12325" width="13.5703125" style="1306" customWidth="1"/>
    <col min="12326" max="12326" width="10.28515625" style="1306" customWidth="1"/>
    <col min="12327" max="12327" width="12.85546875" style="1306" customWidth="1"/>
    <col min="12328" max="12328" width="9.140625" style="1306" customWidth="1"/>
    <col min="12329" max="12329" width="9.7109375" style="1306" customWidth="1"/>
    <col min="12330" max="12330" width="9.28515625" style="1306" customWidth="1"/>
    <col min="12331" max="12331" width="9.42578125" style="1306" customWidth="1"/>
    <col min="12332" max="12332" width="10.5703125" style="1306" customWidth="1"/>
    <col min="12333" max="12333" width="12.42578125" style="1306" customWidth="1"/>
    <col min="12334" max="12334" width="14.5703125" style="1306" customWidth="1"/>
    <col min="12335" max="12335" width="12.28515625" style="1306" customWidth="1"/>
    <col min="12336" max="12336" width="25.85546875" style="1306" customWidth="1"/>
    <col min="12337" max="12568" width="0.85546875" style="1306"/>
    <col min="12569" max="12569" width="9.85546875" style="1306" customWidth="1"/>
    <col min="12570" max="12570" width="81.85546875" style="1306" customWidth="1"/>
    <col min="12571" max="12571" width="12.7109375" style="1306" customWidth="1"/>
    <col min="12572" max="12572" width="12.42578125" style="1306" customWidth="1"/>
    <col min="12573" max="12573" width="14.5703125" style="1306" customWidth="1"/>
    <col min="12574" max="12574" width="12.28515625" style="1306" customWidth="1"/>
    <col min="12575" max="12575" width="38.140625" style="1306" customWidth="1"/>
    <col min="12576" max="12576" width="46.85546875" style="1306" customWidth="1"/>
    <col min="12577" max="12579" width="12.7109375" style="1306" customWidth="1"/>
    <col min="12580" max="12580" width="9.28515625" style="1306" customWidth="1"/>
    <col min="12581" max="12581" width="13.5703125" style="1306" customWidth="1"/>
    <col min="12582" max="12582" width="10.28515625" style="1306" customWidth="1"/>
    <col min="12583" max="12583" width="12.85546875" style="1306" customWidth="1"/>
    <col min="12584" max="12584" width="9.140625" style="1306" customWidth="1"/>
    <col min="12585" max="12585" width="9.7109375" style="1306" customWidth="1"/>
    <col min="12586" max="12586" width="9.28515625" style="1306" customWidth="1"/>
    <col min="12587" max="12587" width="9.42578125" style="1306" customWidth="1"/>
    <col min="12588" max="12588" width="10.5703125" style="1306" customWidth="1"/>
    <col min="12589" max="12589" width="12.42578125" style="1306" customWidth="1"/>
    <col min="12590" max="12590" width="14.5703125" style="1306" customWidth="1"/>
    <col min="12591" max="12591" width="12.28515625" style="1306" customWidth="1"/>
    <col min="12592" max="12592" width="25.85546875" style="1306" customWidth="1"/>
    <col min="12593" max="12824" width="0.85546875" style="1306"/>
    <col min="12825" max="12825" width="9.85546875" style="1306" customWidth="1"/>
    <col min="12826" max="12826" width="81.85546875" style="1306" customWidth="1"/>
    <col min="12827" max="12827" width="12.7109375" style="1306" customWidth="1"/>
    <col min="12828" max="12828" width="12.42578125" style="1306" customWidth="1"/>
    <col min="12829" max="12829" width="14.5703125" style="1306" customWidth="1"/>
    <col min="12830" max="12830" width="12.28515625" style="1306" customWidth="1"/>
    <col min="12831" max="12831" width="38.140625" style="1306" customWidth="1"/>
    <col min="12832" max="12832" width="46.85546875" style="1306" customWidth="1"/>
    <col min="12833" max="12835" width="12.7109375" style="1306" customWidth="1"/>
    <col min="12836" max="12836" width="9.28515625" style="1306" customWidth="1"/>
    <col min="12837" max="12837" width="13.5703125" style="1306" customWidth="1"/>
    <col min="12838" max="12838" width="10.28515625" style="1306" customWidth="1"/>
    <col min="12839" max="12839" width="12.85546875" style="1306" customWidth="1"/>
    <col min="12840" max="12840" width="9.140625" style="1306" customWidth="1"/>
    <col min="12841" max="12841" width="9.7109375" style="1306" customWidth="1"/>
    <col min="12842" max="12842" width="9.28515625" style="1306" customWidth="1"/>
    <col min="12843" max="12843" width="9.42578125" style="1306" customWidth="1"/>
    <col min="12844" max="12844" width="10.5703125" style="1306" customWidth="1"/>
    <col min="12845" max="12845" width="12.42578125" style="1306" customWidth="1"/>
    <col min="12846" max="12846" width="14.5703125" style="1306" customWidth="1"/>
    <col min="12847" max="12847" width="12.28515625" style="1306" customWidth="1"/>
    <col min="12848" max="12848" width="25.85546875" style="1306" customWidth="1"/>
    <col min="12849" max="13080" width="0.85546875" style="1306"/>
    <col min="13081" max="13081" width="9.85546875" style="1306" customWidth="1"/>
    <col min="13082" max="13082" width="81.85546875" style="1306" customWidth="1"/>
    <col min="13083" max="13083" width="12.7109375" style="1306" customWidth="1"/>
    <col min="13084" max="13084" width="12.42578125" style="1306" customWidth="1"/>
    <col min="13085" max="13085" width="14.5703125" style="1306" customWidth="1"/>
    <col min="13086" max="13086" width="12.28515625" style="1306" customWidth="1"/>
    <col min="13087" max="13087" width="38.140625" style="1306" customWidth="1"/>
    <col min="13088" max="13088" width="46.85546875" style="1306" customWidth="1"/>
    <col min="13089" max="13091" width="12.7109375" style="1306" customWidth="1"/>
    <col min="13092" max="13092" width="9.28515625" style="1306" customWidth="1"/>
    <col min="13093" max="13093" width="13.5703125" style="1306" customWidth="1"/>
    <col min="13094" max="13094" width="10.28515625" style="1306" customWidth="1"/>
    <col min="13095" max="13095" width="12.85546875" style="1306" customWidth="1"/>
    <col min="13096" max="13096" width="9.140625" style="1306" customWidth="1"/>
    <col min="13097" max="13097" width="9.7109375" style="1306" customWidth="1"/>
    <col min="13098" max="13098" width="9.28515625" style="1306" customWidth="1"/>
    <col min="13099" max="13099" width="9.42578125" style="1306" customWidth="1"/>
    <col min="13100" max="13100" width="10.5703125" style="1306" customWidth="1"/>
    <col min="13101" max="13101" width="12.42578125" style="1306" customWidth="1"/>
    <col min="13102" max="13102" width="14.5703125" style="1306" customWidth="1"/>
    <col min="13103" max="13103" width="12.28515625" style="1306" customWidth="1"/>
    <col min="13104" max="13104" width="25.85546875" style="1306" customWidth="1"/>
    <col min="13105" max="13336" width="0.85546875" style="1306"/>
    <col min="13337" max="13337" width="9.85546875" style="1306" customWidth="1"/>
    <col min="13338" max="13338" width="81.85546875" style="1306" customWidth="1"/>
    <col min="13339" max="13339" width="12.7109375" style="1306" customWidth="1"/>
    <col min="13340" max="13340" width="12.42578125" style="1306" customWidth="1"/>
    <col min="13341" max="13341" width="14.5703125" style="1306" customWidth="1"/>
    <col min="13342" max="13342" width="12.28515625" style="1306" customWidth="1"/>
    <col min="13343" max="13343" width="38.140625" style="1306" customWidth="1"/>
    <col min="13344" max="13344" width="46.85546875" style="1306" customWidth="1"/>
    <col min="13345" max="13347" width="12.7109375" style="1306" customWidth="1"/>
    <col min="13348" max="13348" width="9.28515625" style="1306" customWidth="1"/>
    <col min="13349" max="13349" width="13.5703125" style="1306" customWidth="1"/>
    <col min="13350" max="13350" width="10.28515625" style="1306" customWidth="1"/>
    <col min="13351" max="13351" width="12.85546875" style="1306" customWidth="1"/>
    <col min="13352" max="13352" width="9.140625" style="1306" customWidth="1"/>
    <col min="13353" max="13353" width="9.7109375" style="1306" customWidth="1"/>
    <col min="13354" max="13354" width="9.28515625" style="1306" customWidth="1"/>
    <col min="13355" max="13355" width="9.42578125" style="1306" customWidth="1"/>
    <col min="13356" max="13356" width="10.5703125" style="1306" customWidth="1"/>
    <col min="13357" max="13357" width="12.42578125" style="1306" customWidth="1"/>
    <col min="13358" max="13358" width="14.5703125" style="1306" customWidth="1"/>
    <col min="13359" max="13359" width="12.28515625" style="1306" customWidth="1"/>
    <col min="13360" max="13360" width="25.85546875" style="1306" customWidth="1"/>
    <col min="13361" max="13592" width="0.85546875" style="1306"/>
    <col min="13593" max="13593" width="9.85546875" style="1306" customWidth="1"/>
    <col min="13594" max="13594" width="81.85546875" style="1306" customWidth="1"/>
    <col min="13595" max="13595" width="12.7109375" style="1306" customWidth="1"/>
    <col min="13596" max="13596" width="12.42578125" style="1306" customWidth="1"/>
    <col min="13597" max="13597" width="14.5703125" style="1306" customWidth="1"/>
    <col min="13598" max="13598" width="12.28515625" style="1306" customWidth="1"/>
    <col min="13599" max="13599" width="38.140625" style="1306" customWidth="1"/>
    <col min="13600" max="13600" width="46.85546875" style="1306" customWidth="1"/>
    <col min="13601" max="13603" width="12.7109375" style="1306" customWidth="1"/>
    <col min="13604" max="13604" width="9.28515625" style="1306" customWidth="1"/>
    <col min="13605" max="13605" width="13.5703125" style="1306" customWidth="1"/>
    <col min="13606" max="13606" width="10.28515625" style="1306" customWidth="1"/>
    <col min="13607" max="13607" width="12.85546875" style="1306" customWidth="1"/>
    <col min="13608" max="13608" width="9.140625" style="1306" customWidth="1"/>
    <col min="13609" max="13609" width="9.7109375" style="1306" customWidth="1"/>
    <col min="13610" max="13610" width="9.28515625" style="1306" customWidth="1"/>
    <col min="13611" max="13611" width="9.42578125" style="1306" customWidth="1"/>
    <col min="13612" max="13612" width="10.5703125" style="1306" customWidth="1"/>
    <col min="13613" max="13613" width="12.42578125" style="1306" customWidth="1"/>
    <col min="13614" max="13614" width="14.5703125" style="1306" customWidth="1"/>
    <col min="13615" max="13615" width="12.28515625" style="1306" customWidth="1"/>
    <col min="13616" max="13616" width="25.85546875" style="1306" customWidth="1"/>
    <col min="13617" max="13848" width="0.85546875" style="1306"/>
    <col min="13849" max="13849" width="9.85546875" style="1306" customWidth="1"/>
    <col min="13850" max="13850" width="81.85546875" style="1306" customWidth="1"/>
    <col min="13851" max="13851" width="12.7109375" style="1306" customWidth="1"/>
    <col min="13852" max="13852" width="12.42578125" style="1306" customWidth="1"/>
    <col min="13853" max="13853" width="14.5703125" style="1306" customWidth="1"/>
    <col min="13854" max="13854" width="12.28515625" style="1306" customWidth="1"/>
    <col min="13855" max="13855" width="38.140625" style="1306" customWidth="1"/>
    <col min="13856" max="13856" width="46.85546875" style="1306" customWidth="1"/>
    <col min="13857" max="13859" width="12.7109375" style="1306" customWidth="1"/>
    <col min="13860" max="13860" width="9.28515625" style="1306" customWidth="1"/>
    <col min="13861" max="13861" width="13.5703125" style="1306" customWidth="1"/>
    <col min="13862" max="13862" width="10.28515625" style="1306" customWidth="1"/>
    <col min="13863" max="13863" width="12.85546875" style="1306" customWidth="1"/>
    <col min="13864" max="13864" width="9.140625" style="1306" customWidth="1"/>
    <col min="13865" max="13865" width="9.7109375" style="1306" customWidth="1"/>
    <col min="13866" max="13866" width="9.28515625" style="1306" customWidth="1"/>
    <col min="13867" max="13867" width="9.42578125" style="1306" customWidth="1"/>
    <col min="13868" max="13868" width="10.5703125" style="1306" customWidth="1"/>
    <col min="13869" max="13869" width="12.42578125" style="1306" customWidth="1"/>
    <col min="13870" max="13870" width="14.5703125" style="1306" customWidth="1"/>
    <col min="13871" max="13871" width="12.28515625" style="1306" customWidth="1"/>
    <col min="13872" max="13872" width="25.85546875" style="1306" customWidth="1"/>
    <col min="13873" max="14104" width="0.85546875" style="1306"/>
    <col min="14105" max="14105" width="9.85546875" style="1306" customWidth="1"/>
    <col min="14106" max="14106" width="81.85546875" style="1306" customWidth="1"/>
    <col min="14107" max="14107" width="12.7109375" style="1306" customWidth="1"/>
    <col min="14108" max="14108" width="12.42578125" style="1306" customWidth="1"/>
    <col min="14109" max="14109" width="14.5703125" style="1306" customWidth="1"/>
    <col min="14110" max="14110" width="12.28515625" style="1306" customWidth="1"/>
    <col min="14111" max="14111" width="38.140625" style="1306" customWidth="1"/>
    <col min="14112" max="14112" width="46.85546875" style="1306" customWidth="1"/>
    <col min="14113" max="14115" width="12.7109375" style="1306" customWidth="1"/>
    <col min="14116" max="14116" width="9.28515625" style="1306" customWidth="1"/>
    <col min="14117" max="14117" width="13.5703125" style="1306" customWidth="1"/>
    <col min="14118" max="14118" width="10.28515625" style="1306" customWidth="1"/>
    <col min="14119" max="14119" width="12.85546875" style="1306" customWidth="1"/>
    <col min="14120" max="14120" width="9.140625" style="1306" customWidth="1"/>
    <col min="14121" max="14121" width="9.7109375" style="1306" customWidth="1"/>
    <col min="14122" max="14122" width="9.28515625" style="1306" customWidth="1"/>
    <col min="14123" max="14123" width="9.42578125" style="1306" customWidth="1"/>
    <col min="14124" max="14124" width="10.5703125" style="1306" customWidth="1"/>
    <col min="14125" max="14125" width="12.42578125" style="1306" customWidth="1"/>
    <col min="14126" max="14126" width="14.5703125" style="1306" customWidth="1"/>
    <col min="14127" max="14127" width="12.28515625" style="1306" customWidth="1"/>
    <col min="14128" max="14128" width="25.85546875" style="1306" customWidth="1"/>
    <col min="14129" max="14360" width="0.85546875" style="1306"/>
    <col min="14361" max="14361" width="9.85546875" style="1306" customWidth="1"/>
    <col min="14362" max="14362" width="81.85546875" style="1306" customWidth="1"/>
    <col min="14363" max="14363" width="12.7109375" style="1306" customWidth="1"/>
    <col min="14364" max="14364" width="12.42578125" style="1306" customWidth="1"/>
    <col min="14365" max="14365" width="14.5703125" style="1306" customWidth="1"/>
    <col min="14366" max="14366" width="12.28515625" style="1306" customWidth="1"/>
    <col min="14367" max="14367" width="38.140625" style="1306" customWidth="1"/>
    <col min="14368" max="14368" width="46.85546875" style="1306" customWidth="1"/>
    <col min="14369" max="14371" width="12.7109375" style="1306" customWidth="1"/>
    <col min="14372" max="14372" width="9.28515625" style="1306" customWidth="1"/>
    <col min="14373" max="14373" width="13.5703125" style="1306" customWidth="1"/>
    <col min="14374" max="14374" width="10.28515625" style="1306" customWidth="1"/>
    <col min="14375" max="14375" width="12.85546875" style="1306" customWidth="1"/>
    <col min="14376" max="14376" width="9.140625" style="1306" customWidth="1"/>
    <col min="14377" max="14377" width="9.7109375" style="1306" customWidth="1"/>
    <col min="14378" max="14378" width="9.28515625" style="1306" customWidth="1"/>
    <col min="14379" max="14379" width="9.42578125" style="1306" customWidth="1"/>
    <col min="14380" max="14380" width="10.5703125" style="1306" customWidth="1"/>
    <col min="14381" max="14381" width="12.42578125" style="1306" customWidth="1"/>
    <col min="14382" max="14382" width="14.5703125" style="1306" customWidth="1"/>
    <col min="14383" max="14383" width="12.28515625" style="1306" customWidth="1"/>
    <col min="14384" max="14384" width="25.85546875" style="1306" customWidth="1"/>
    <col min="14385" max="14616" width="0.85546875" style="1306"/>
    <col min="14617" max="14617" width="9.85546875" style="1306" customWidth="1"/>
    <col min="14618" max="14618" width="81.85546875" style="1306" customWidth="1"/>
    <col min="14619" max="14619" width="12.7109375" style="1306" customWidth="1"/>
    <col min="14620" max="14620" width="12.42578125" style="1306" customWidth="1"/>
    <col min="14621" max="14621" width="14.5703125" style="1306" customWidth="1"/>
    <col min="14622" max="14622" width="12.28515625" style="1306" customWidth="1"/>
    <col min="14623" max="14623" width="38.140625" style="1306" customWidth="1"/>
    <col min="14624" max="14624" width="46.85546875" style="1306" customWidth="1"/>
    <col min="14625" max="14627" width="12.7109375" style="1306" customWidth="1"/>
    <col min="14628" max="14628" width="9.28515625" style="1306" customWidth="1"/>
    <col min="14629" max="14629" width="13.5703125" style="1306" customWidth="1"/>
    <col min="14630" max="14630" width="10.28515625" style="1306" customWidth="1"/>
    <col min="14631" max="14631" width="12.85546875" style="1306" customWidth="1"/>
    <col min="14632" max="14632" width="9.140625" style="1306" customWidth="1"/>
    <col min="14633" max="14633" width="9.7109375" style="1306" customWidth="1"/>
    <col min="14634" max="14634" width="9.28515625" style="1306" customWidth="1"/>
    <col min="14635" max="14635" width="9.42578125" style="1306" customWidth="1"/>
    <col min="14636" max="14636" width="10.5703125" style="1306" customWidth="1"/>
    <col min="14637" max="14637" width="12.42578125" style="1306" customWidth="1"/>
    <col min="14638" max="14638" width="14.5703125" style="1306" customWidth="1"/>
    <col min="14639" max="14639" width="12.28515625" style="1306" customWidth="1"/>
    <col min="14640" max="14640" width="25.85546875" style="1306" customWidth="1"/>
    <col min="14641" max="14872" width="0.85546875" style="1306"/>
    <col min="14873" max="14873" width="9.85546875" style="1306" customWidth="1"/>
    <col min="14874" max="14874" width="81.85546875" style="1306" customWidth="1"/>
    <col min="14875" max="14875" width="12.7109375" style="1306" customWidth="1"/>
    <col min="14876" max="14876" width="12.42578125" style="1306" customWidth="1"/>
    <col min="14877" max="14877" width="14.5703125" style="1306" customWidth="1"/>
    <col min="14878" max="14878" width="12.28515625" style="1306" customWidth="1"/>
    <col min="14879" max="14879" width="38.140625" style="1306" customWidth="1"/>
    <col min="14880" max="14880" width="46.85546875" style="1306" customWidth="1"/>
    <col min="14881" max="14883" width="12.7109375" style="1306" customWidth="1"/>
    <col min="14884" max="14884" width="9.28515625" style="1306" customWidth="1"/>
    <col min="14885" max="14885" width="13.5703125" style="1306" customWidth="1"/>
    <col min="14886" max="14886" width="10.28515625" style="1306" customWidth="1"/>
    <col min="14887" max="14887" width="12.85546875" style="1306" customWidth="1"/>
    <col min="14888" max="14888" width="9.140625" style="1306" customWidth="1"/>
    <col min="14889" max="14889" width="9.7109375" style="1306" customWidth="1"/>
    <col min="14890" max="14890" width="9.28515625" style="1306" customWidth="1"/>
    <col min="14891" max="14891" width="9.42578125" style="1306" customWidth="1"/>
    <col min="14892" max="14892" width="10.5703125" style="1306" customWidth="1"/>
    <col min="14893" max="14893" width="12.42578125" style="1306" customWidth="1"/>
    <col min="14894" max="14894" width="14.5703125" style="1306" customWidth="1"/>
    <col min="14895" max="14895" width="12.28515625" style="1306" customWidth="1"/>
    <col min="14896" max="14896" width="25.85546875" style="1306" customWidth="1"/>
    <col min="14897" max="15128" width="0.85546875" style="1306"/>
    <col min="15129" max="15129" width="9.85546875" style="1306" customWidth="1"/>
    <col min="15130" max="15130" width="81.85546875" style="1306" customWidth="1"/>
    <col min="15131" max="15131" width="12.7109375" style="1306" customWidth="1"/>
    <col min="15132" max="15132" width="12.42578125" style="1306" customWidth="1"/>
    <col min="15133" max="15133" width="14.5703125" style="1306" customWidth="1"/>
    <col min="15134" max="15134" width="12.28515625" style="1306" customWidth="1"/>
    <col min="15135" max="15135" width="38.140625" style="1306" customWidth="1"/>
    <col min="15136" max="15136" width="46.85546875" style="1306" customWidth="1"/>
    <col min="15137" max="15139" width="12.7109375" style="1306" customWidth="1"/>
    <col min="15140" max="15140" width="9.28515625" style="1306" customWidth="1"/>
    <col min="15141" max="15141" width="13.5703125" style="1306" customWidth="1"/>
    <col min="15142" max="15142" width="10.28515625" style="1306" customWidth="1"/>
    <col min="15143" max="15143" width="12.85546875" style="1306" customWidth="1"/>
    <col min="15144" max="15144" width="9.140625" style="1306" customWidth="1"/>
    <col min="15145" max="15145" width="9.7109375" style="1306" customWidth="1"/>
    <col min="15146" max="15146" width="9.28515625" style="1306" customWidth="1"/>
    <col min="15147" max="15147" width="9.42578125" style="1306" customWidth="1"/>
    <col min="15148" max="15148" width="10.5703125" style="1306" customWidth="1"/>
    <col min="15149" max="15149" width="12.42578125" style="1306" customWidth="1"/>
    <col min="15150" max="15150" width="14.5703125" style="1306" customWidth="1"/>
    <col min="15151" max="15151" width="12.28515625" style="1306" customWidth="1"/>
    <col min="15152" max="15152" width="25.85546875" style="1306" customWidth="1"/>
    <col min="15153" max="15384" width="0.85546875" style="1306"/>
    <col min="15385" max="15385" width="9.85546875" style="1306" customWidth="1"/>
    <col min="15386" max="15386" width="81.85546875" style="1306" customWidth="1"/>
    <col min="15387" max="15387" width="12.7109375" style="1306" customWidth="1"/>
    <col min="15388" max="15388" width="12.42578125" style="1306" customWidth="1"/>
    <col min="15389" max="15389" width="14.5703125" style="1306" customWidth="1"/>
    <col min="15390" max="15390" width="12.28515625" style="1306" customWidth="1"/>
    <col min="15391" max="15391" width="38.140625" style="1306" customWidth="1"/>
    <col min="15392" max="15392" width="46.85546875" style="1306" customWidth="1"/>
    <col min="15393" max="15395" width="12.7109375" style="1306" customWidth="1"/>
    <col min="15396" max="15396" width="9.28515625" style="1306" customWidth="1"/>
    <col min="15397" max="15397" width="13.5703125" style="1306" customWidth="1"/>
    <col min="15398" max="15398" width="10.28515625" style="1306" customWidth="1"/>
    <col min="15399" max="15399" width="12.85546875" style="1306" customWidth="1"/>
    <col min="15400" max="15400" width="9.140625" style="1306" customWidth="1"/>
    <col min="15401" max="15401" width="9.7109375" style="1306" customWidth="1"/>
    <col min="15402" max="15402" width="9.28515625" style="1306" customWidth="1"/>
    <col min="15403" max="15403" width="9.42578125" style="1306" customWidth="1"/>
    <col min="15404" max="15404" width="10.5703125" style="1306" customWidth="1"/>
    <col min="15405" max="15405" width="12.42578125" style="1306" customWidth="1"/>
    <col min="15406" max="15406" width="14.5703125" style="1306" customWidth="1"/>
    <col min="15407" max="15407" width="12.28515625" style="1306" customWidth="1"/>
    <col min="15408" max="15408" width="25.85546875" style="1306" customWidth="1"/>
    <col min="15409" max="15640" width="0.85546875" style="1306"/>
    <col min="15641" max="15641" width="9.85546875" style="1306" customWidth="1"/>
    <col min="15642" max="15642" width="81.85546875" style="1306" customWidth="1"/>
    <col min="15643" max="15643" width="12.7109375" style="1306" customWidth="1"/>
    <col min="15644" max="15644" width="12.42578125" style="1306" customWidth="1"/>
    <col min="15645" max="15645" width="14.5703125" style="1306" customWidth="1"/>
    <col min="15646" max="15646" width="12.28515625" style="1306" customWidth="1"/>
    <col min="15647" max="15647" width="38.140625" style="1306" customWidth="1"/>
    <col min="15648" max="15648" width="46.85546875" style="1306" customWidth="1"/>
    <col min="15649" max="15651" width="12.7109375" style="1306" customWidth="1"/>
    <col min="15652" max="15652" width="9.28515625" style="1306" customWidth="1"/>
    <col min="15653" max="15653" width="13.5703125" style="1306" customWidth="1"/>
    <col min="15654" max="15654" width="10.28515625" style="1306" customWidth="1"/>
    <col min="15655" max="15655" width="12.85546875" style="1306" customWidth="1"/>
    <col min="15656" max="15656" width="9.140625" style="1306" customWidth="1"/>
    <col min="15657" max="15657" width="9.7109375" style="1306" customWidth="1"/>
    <col min="15658" max="15658" width="9.28515625" style="1306" customWidth="1"/>
    <col min="15659" max="15659" width="9.42578125" style="1306" customWidth="1"/>
    <col min="15660" max="15660" width="10.5703125" style="1306" customWidth="1"/>
    <col min="15661" max="15661" width="12.42578125" style="1306" customWidth="1"/>
    <col min="15662" max="15662" width="14.5703125" style="1306" customWidth="1"/>
    <col min="15663" max="15663" width="12.28515625" style="1306" customWidth="1"/>
    <col min="15664" max="15664" width="25.85546875" style="1306" customWidth="1"/>
    <col min="15665" max="15896" width="0.85546875" style="1306"/>
    <col min="15897" max="15897" width="9.85546875" style="1306" customWidth="1"/>
    <col min="15898" max="15898" width="81.85546875" style="1306" customWidth="1"/>
    <col min="15899" max="15899" width="12.7109375" style="1306" customWidth="1"/>
    <col min="15900" max="15900" width="12.42578125" style="1306" customWidth="1"/>
    <col min="15901" max="15901" width="14.5703125" style="1306" customWidth="1"/>
    <col min="15902" max="15902" width="12.28515625" style="1306" customWidth="1"/>
    <col min="15903" max="15903" width="38.140625" style="1306" customWidth="1"/>
    <col min="15904" max="15904" width="46.85546875" style="1306" customWidth="1"/>
    <col min="15905" max="15907" width="12.7109375" style="1306" customWidth="1"/>
    <col min="15908" max="15908" width="9.28515625" style="1306" customWidth="1"/>
    <col min="15909" max="15909" width="13.5703125" style="1306" customWidth="1"/>
    <col min="15910" max="15910" width="10.28515625" style="1306" customWidth="1"/>
    <col min="15911" max="15911" width="12.85546875" style="1306" customWidth="1"/>
    <col min="15912" max="15912" width="9.140625" style="1306" customWidth="1"/>
    <col min="15913" max="15913" width="9.7109375" style="1306" customWidth="1"/>
    <col min="15914" max="15914" width="9.28515625" style="1306" customWidth="1"/>
    <col min="15915" max="15915" width="9.42578125" style="1306" customWidth="1"/>
    <col min="15916" max="15916" width="10.5703125" style="1306" customWidth="1"/>
    <col min="15917" max="15917" width="12.42578125" style="1306" customWidth="1"/>
    <col min="15918" max="15918" width="14.5703125" style="1306" customWidth="1"/>
    <col min="15919" max="15919" width="12.28515625" style="1306" customWidth="1"/>
    <col min="15920" max="15920" width="25.85546875" style="1306" customWidth="1"/>
    <col min="15921" max="16152" width="0.85546875" style="1306"/>
    <col min="16153" max="16153" width="9.85546875" style="1306" customWidth="1"/>
    <col min="16154" max="16154" width="81.85546875" style="1306" customWidth="1"/>
    <col min="16155" max="16155" width="12.7109375" style="1306" customWidth="1"/>
    <col min="16156" max="16156" width="12.42578125" style="1306" customWidth="1"/>
    <col min="16157" max="16157" width="14.5703125" style="1306" customWidth="1"/>
    <col min="16158" max="16158" width="12.28515625" style="1306" customWidth="1"/>
    <col min="16159" max="16159" width="38.140625" style="1306" customWidth="1"/>
    <col min="16160" max="16160" width="46.85546875" style="1306" customWidth="1"/>
    <col min="16161" max="16163" width="12.7109375" style="1306" customWidth="1"/>
    <col min="16164" max="16164" width="9.28515625" style="1306" customWidth="1"/>
    <col min="16165" max="16165" width="13.5703125" style="1306" customWidth="1"/>
    <col min="16166" max="16166" width="10.28515625" style="1306" customWidth="1"/>
    <col min="16167" max="16167" width="12.85546875" style="1306" customWidth="1"/>
    <col min="16168" max="16168" width="9.140625" style="1306" customWidth="1"/>
    <col min="16169" max="16169" width="9.7109375" style="1306" customWidth="1"/>
    <col min="16170" max="16170" width="9.28515625" style="1306" customWidth="1"/>
    <col min="16171" max="16171" width="9.42578125" style="1306" customWidth="1"/>
    <col min="16172" max="16172" width="10.5703125" style="1306" customWidth="1"/>
    <col min="16173" max="16173" width="12.42578125" style="1306" customWidth="1"/>
    <col min="16174" max="16174" width="14.5703125" style="1306" customWidth="1"/>
    <col min="16175" max="16175" width="12.28515625" style="1306" customWidth="1"/>
    <col min="16176" max="16176" width="25.85546875" style="1306" customWidth="1"/>
    <col min="16177" max="16384" width="0.85546875" style="1306"/>
  </cols>
  <sheetData>
    <row r="1" spans="1:32" x14ac:dyDescent="0.25">
      <c r="AF1" s="1306" t="s">
        <v>1684</v>
      </c>
    </row>
    <row r="2" spans="1:32" ht="29.25" customHeight="1" x14ac:dyDescent="0.3">
      <c r="A2" s="4020" t="s">
        <v>3550</v>
      </c>
      <c r="B2" s="4020"/>
      <c r="C2" s="4020"/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  <c r="O2" s="4020"/>
      <c r="P2" s="4020"/>
      <c r="Q2" s="4020"/>
      <c r="R2" s="4020"/>
      <c r="S2" s="4020"/>
      <c r="T2" s="4020"/>
      <c r="U2" s="4020"/>
      <c r="V2" s="4020"/>
      <c r="W2" s="4020"/>
      <c r="X2" s="4020"/>
      <c r="Y2" s="4020"/>
      <c r="Z2" s="4020"/>
      <c r="AA2" s="4020"/>
      <c r="AB2" s="4020"/>
      <c r="AC2" s="4020"/>
      <c r="AD2" s="4020"/>
      <c r="AE2" s="4020"/>
      <c r="AF2" s="4020"/>
    </row>
    <row r="4" spans="1:32" ht="15.75" customHeight="1" x14ac:dyDescent="0.25">
      <c r="A4" s="4005" t="s">
        <v>905</v>
      </c>
      <c r="B4" s="4005" t="s">
        <v>367</v>
      </c>
      <c r="C4" s="4005" t="s">
        <v>906</v>
      </c>
      <c r="D4" s="4021" t="s">
        <v>1807</v>
      </c>
      <c r="E4" s="4021" t="s">
        <v>1806</v>
      </c>
      <c r="F4" s="4007" t="str">
        <f>'тех вода 2018'!F4:P4</f>
        <v>Установлено на первый долгосрочный период регулирования 2016 - 2018 годы</v>
      </c>
      <c r="G4" s="4008"/>
      <c r="H4" s="4008"/>
      <c r="I4" s="4031"/>
      <c r="J4" s="4031"/>
      <c r="K4" s="4031"/>
      <c r="L4" s="4031"/>
      <c r="M4" s="4031"/>
      <c r="N4" s="4031"/>
      <c r="O4" s="4031"/>
      <c r="P4" s="4031"/>
      <c r="Q4" s="4032"/>
      <c r="R4" s="2973"/>
      <c r="S4" s="4008" t="s">
        <v>1824</v>
      </c>
      <c r="T4" s="4008"/>
      <c r="U4" s="4008"/>
      <c r="V4" s="4008"/>
      <c r="W4" s="4008"/>
      <c r="X4" s="4008"/>
      <c r="Y4" s="4008"/>
      <c r="Z4" s="4008"/>
      <c r="AA4" s="4008"/>
      <c r="AB4" s="4008"/>
      <c r="AC4" s="4008"/>
      <c r="AD4" s="4008"/>
      <c r="AE4" s="4009"/>
      <c r="AF4" s="4005" t="s">
        <v>907</v>
      </c>
    </row>
    <row r="5" spans="1:32" ht="36" customHeight="1" x14ac:dyDescent="0.25">
      <c r="A5" s="4005"/>
      <c r="B5" s="4005"/>
      <c r="C5" s="4005"/>
      <c r="D5" s="4022"/>
      <c r="E5" s="4022"/>
      <c r="F5" s="4007" t="s">
        <v>829</v>
      </c>
      <c r="G5" s="4008"/>
      <c r="H5" s="4008"/>
      <c r="I5" s="4005" t="s">
        <v>908</v>
      </c>
      <c r="J5" s="4005"/>
      <c r="K5" s="4005"/>
      <c r="L5" s="4005"/>
      <c r="M5" s="4005"/>
      <c r="N5" s="4007" t="s">
        <v>909</v>
      </c>
      <c r="O5" s="4008"/>
      <c r="P5" s="4008"/>
      <c r="Q5" s="4008"/>
      <c r="R5" s="4009"/>
      <c r="S5" s="2418" t="s">
        <v>1819</v>
      </c>
      <c r="T5" s="2418" t="s">
        <v>1825</v>
      </c>
      <c r="U5" s="2418" t="s">
        <v>1826</v>
      </c>
      <c r="V5" s="2418" t="s">
        <v>1827</v>
      </c>
      <c r="W5" s="2418" t="s">
        <v>1828</v>
      </c>
      <c r="X5" s="2418" t="s">
        <v>1829</v>
      </c>
      <c r="Y5" s="2418" t="s">
        <v>1819</v>
      </c>
      <c r="Z5" s="2728" t="s">
        <v>2092</v>
      </c>
      <c r="AA5" s="2418" t="s">
        <v>1825</v>
      </c>
      <c r="AB5" s="2418" t="s">
        <v>1826</v>
      </c>
      <c r="AC5" s="2418" t="s">
        <v>1827</v>
      </c>
      <c r="AD5" s="2418" t="s">
        <v>1828</v>
      </c>
      <c r="AE5" s="2418" t="s">
        <v>1829</v>
      </c>
      <c r="AF5" s="4009"/>
    </row>
    <row r="6" spans="1:32" ht="49.5" customHeight="1" x14ac:dyDescent="0.25">
      <c r="A6" s="4005"/>
      <c r="B6" s="4005"/>
      <c r="C6" s="4005"/>
      <c r="D6" s="4023"/>
      <c r="E6" s="4023"/>
      <c r="F6" s="2418" t="s">
        <v>1602</v>
      </c>
      <c r="G6" s="2418" t="s">
        <v>1821</v>
      </c>
      <c r="H6" s="2418" t="s">
        <v>1830</v>
      </c>
      <c r="I6" s="2418" t="s">
        <v>1602</v>
      </c>
      <c r="J6" s="2418" t="s">
        <v>1526</v>
      </c>
      <c r="K6" s="2418" t="str">
        <f>'вода 2018 коррект'!K6</f>
        <v>корректировка</v>
      </c>
      <c r="L6" s="2418" t="s">
        <v>1821</v>
      </c>
      <c r="M6" s="2418" t="s">
        <v>1830</v>
      </c>
      <c r="N6" s="2418" t="s">
        <v>1602</v>
      </c>
      <c r="O6" s="2418" t="s">
        <v>1526</v>
      </c>
      <c r="P6" s="2418" t="str">
        <f>'вода 2018 коррект'!P6</f>
        <v>корректировка</v>
      </c>
      <c r="Q6" s="2418" t="s">
        <v>1697</v>
      </c>
      <c r="R6" s="2972" t="s">
        <v>1693</v>
      </c>
      <c r="S6" s="4007" t="s">
        <v>122</v>
      </c>
      <c r="T6" s="4008"/>
      <c r="U6" s="4008"/>
      <c r="V6" s="4008"/>
      <c r="W6" s="4008"/>
      <c r="X6" s="4009"/>
      <c r="Y6" s="4007" t="s">
        <v>1537</v>
      </c>
      <c r="Z6" s="4008"/>
      <c r="AA6" s="4008"/>
      <c r="AB6" s="4008"/>
      <c r="AC6" s="4008"/>
      <c r="AD6" s="4008"/>
      <c r="AE6" s="4009"/>
      <c r="AF6" s="4009"/>
    </row>
    <row r="7" spans="1:32" s="2201" customFormat="1" ht="30" customHeight="1" x14ac:dyDescent="0.25">
      <c r="A7" s="2198"/>
      <c r="B7" s="2199" t="s">
        <v>910</v>
      </c>
      <c r="C7" s="4019" t="s">
        <v>911</v>
      </c>
      <c r="D7" s="4006" t="s">
        <v>911</v>
      </c>
      <c r="E7" s="4006" t="s">
        <v>911</v>
      </c>
      <c r="F7" s="4006" t="s">
        <v>911</v>
      </c>
      <c r="G7" s="4006" t="s">
        <v>911</v>
      </c>
      <c r="H7" s="4006" t="s">
        <v>911</v>
      </c>
      <c r="I7" s="2200">
        <v>0.01</v>
      </c>
      <c r="J7" s="2200"/>
      <c r="K7" s="2200">
        <v>0.01</v>
      </c>
      <c r="L7" s="4006" t="s">
        <v>911</v>
      </c>
      <c r="M7" s="2200">
        <v>0.01</v>
      </c>
      <c r="N7" s="2200">
        <v>0.01</v>
      </c>
      <c r="O7" s="2200">
        <v>0.01</v>
      </c>
      <c r="P7" s="4036" t="s">
        <v>911</v>
      </c>
      <c r="Q7" s="2200">
        <v>0.01</v>
      </c>
      <c r="R7" s="2974">
        <v>0.01</v>
      </c>
      <c r="S7" s="4010" t="s">
        <v>911</v>
      </c>
      <c r="T7" s="2200">
        <v>0.01</v>
      </c>
      <c r="U7" s="2200">
        <v>0.01</v>
      </c>
      <c r="V7" s="2200">
        <v>0.01</v>
      </c>
      <c r="W7" s="2200">
        <v>0.01</v>
      </c>
      <c r="X7" s="2200">
        <v>0.01</v>
      </c>
      <c r="Y7" s="4010" t="s">
        <v>911</v>
      </c>
      <c r="Z7" s="4013" t="s">
        <v>911</v>
      </c>
      <c r="AA7" s="2200">
        <v>0.01</v>
      </c>
      <c r="AB7" s="2200">
        <v>0.01</v>
      </c>
      <c r="AC7" s="2200">
        <v>0.01</v>
      </c>
      <c r="AD7" s="2200">
        <v>0.01</v>
      </c>
      <c r="AE7" s="2200">
        <v>0.01</v>
      </c>
      <c r="AF7" s="2358"/>
    </row>
    <row r="8" spans="1:32" s="2201" customFormat="1" ht="24" customHeight="1" x14ac:dyDescent="0.25">
      <c r="A8" s="2198"/>
      <c r="B8" s="2199" t="s">
        <v>912</v>
      </c>
      <c r="C8" s="4019"/>
      <c r="D8" s="4006"/>
      <c r="E8" s="4006"/>
      <c r="F8" s="4006"/>
      <c r="G8" s="4006"/>
      <c r="H8" s="4006"/>
      <c r="I8" s="2202">
        <v>7.3999999999999996E-2</v>
      </c>
      <c r="J8" s="2202"/>
      <c r="K8" s="2202">
        <v>7.0999999999999994E-2</v>
      </c>
      <c r="L8" s="4006"/>
      <c r="M8" s="2202">
        <v>3.6999999999999998E-2</v>
      </c>
      <c r="N8" s="2202">
        <v>5.8000000000000003E-2</v>
      </c>
      <c r="O8" s="2202">
        <v>0.04</v>
      </c>
      <c r="P8" s="4036"/>
      <c r="Q8" s="2202">
        <v>3.6999999999999998E-2</v>
      </c>
      <c r="R8" s="2202">
        <v>2.7E-2</v>
      </c>
      <c r="S8" s="4011"/>
      <c r="T8" s="2202">
        <v>3.6999999999999998E-2</v>
      </c>
      <c r="U8" s="2202">
        <v>3.6999999999999998E-2</v>
      </c>
      <c r="V8" s="2202">
        <v>3.6999999999999998E-2</v>
      </c>
      <c r="W8" s="2202">
        <v>3.6999999999999998E-2</v>
      </c>
      <c r="X8" s="2202">
        <v>3.6999999999999998E-2</v>
      </c>
      <c r="Y8" s="4011"/>
      <c r="Z8" s="4014"/>
      <c r="AA8" s="2202">
        <v>4.5999999999999999E-2</v>
      </c>
      <c r="AB8" s="2202">
        <v>3.4000000000000002E-2</v>
      </c>
      <c r="AC8" s="2202">
        <v>0.04</v>
      </c>
      <c r="AD8" s="2202">
        <v>0.04</v>
      </c>
      <c r="AE8" s="2202">
        <v>0.04</v>
      </c>
      <c r="AF8" s="2358"/>
    </row>
    <row r="9" spans="1:32" s="2201" customFormat="1" ht="30" customHeight="1" x14ac:dyDescent="0.25">
      <c r="A9" s="2198"/>
      <c r="B9" s="2199" t="s">
        <v>913</v>
      </c>
      <c r="C9" s="4019"/>
      <c r="D9" s="4006"/>
      <c r="E9" s="4006"/>
      <c r="F9" s="4006"/>
      <c r="G9" s="4006"/>
      <c r="H9" s="4006"/>
      <c r="I9" s="2203">
        <v>0</v>
      </c>
      <c r="J9" s="2203"/>
      <c r="K9" s="2203">
        <v>0</v>
      </c>
      <c r="L9" s="4006"/>
      <c r="M9" s="2203">
        <v>0</v>
      </c>
      <c r="N9" s="2203">
        <v>0</v>
      </c>
      <c r="O9" s="2203">
        <v>0</v>
      </c>
      <c r="P9" s="4036"/>
      <c r="Q9" s="2203">
        <v>0</v>
      </c>
      <c r="R9" s="2203">
        <v>0</v>
      </c>
      <c r="S9" s="4012"/>
      <c r="T9" s="2203">
        <v>0</v>
      </c>
      <c r="U9" s="2203">
        <v>0</v>
      </c>
      <c r="V9" s="2203">
        <v>0</v>
      </c>
      <c r="W9" s="2203">
        <v>0</v>
      </c>
      <c r="X9" s="2203">
        <v>0</v>
      </c>
      <c r="Y9" s="4012"/>
      <c r="Z9" s="4015"/>
      <c r="AA9" s="2203">
        <v>0</v>
      </c>
      <c r="AB9" s="2203">
        <v>0</v>
      </c>
      <c r="AC9" s="2203">
        <v>0</v>
      </c>
      <c r="AD9" s="2203">
        <v>0</v>
      </c>
      <c r="AE9" s="2203">
        <v>0</v>
      </c>
      <c r="AF9" s="2358"/>
    </row>
    <row r="10" spans="1:32" s="1308" customFormat="1" x14ac:dyDescent="0.25">
      <c r="A10" s="2154">
        <v>1</v>
      </c>
      <c r="B10" s="2155" t="s">
        <v>914</v>
      </c>
      <c r="C10" s="2154" t="s">
        <v>915</v>
      </c>
      <c r="D10" s="2156">
        <f t="shared" ref="D10:E10" si="0">D11+D22+D24+D28</f>
        <v>88530.32</v>
      </c>
      <c r="E10" s="2156">
        <f t="shared" si="0"/>
        <v>73012.949999999983</v>
      </c>
      <c r="F10" s="2156">
        <f t="shared" ref="F10:O10" si="1">F11+F22+F24+F28</f>
        <v>85119.686560402581</v>
      </c>
      <c r="G10" s="2156">
        <f t="shared" ref="G10:H10" si="2">G11+G22+G24+G28</f>
        <v>81207.200000000012</v>
      </c>
      <c r="H10" s="2156">
        <f t="shared" si="2"/>
        <v>83991.721064670361</v>
      </c>
      <c r="I10" s="2156">
        <f t="shared" si="1"/>
        <v>90133.71597037118</v>
      </c>
      <c r="J10" s="2156">
        <f t="shared" si="1"/>
        <v>89683.209999999992</v>
      </c>
      <c r="K10" s="2156">
        <f>K11+K22+K24+K28</f>
        <v>89936.60938437593</v>
      </c>
      <c r="L10" s="2156">
        <f t="shared" ref="L10:M10" si="3">L11+L22+L24+L28</f>
        <v>79280.170000000013</v>
      </c>
      <c r="M10" s="2156">
        <f t="shared" si="3"/>
        <v>86044.710593147334</v>
      </c>
      <c r="N10" s="2156">
        <f t="shared" si="1"/>
        <v>94243.238690983708</v>
      </c>
      <c r="O10" s="2156">
        <f t="shared" si="1"/>
        <v>92093.682063002489</v>
      </c>
      <c r="P10" s="2156">
        <f t="shared" ref="P10" si="4">P11+P22+P24+P28</f>
        <v>92263.49</v>
      </c>
      <c r="Q10" s="2156">
        <f>Q11+Q22+Q24+Q28</f>
        <v>88991.080014408988</v>
      </c>
      <c r="R10" s="2156">
        <f>R11+R22+R24+R28</f>
        <v>84596.043469316792</v>
      </c>
      <c r="S10" s="2156">
        <f t="shared" ref="S10:AE10" si="5">S11+S22+S24+S28</f>
        <v>113395.52</v>
      </c>
      <c r="T10" s="2156">
        <f t="shared" si="5"/>
        <v>121134.76000000001</v>
      </c>
      <c r="U10" s="2156">
        <f t="shared" si="5"/>
        <v>124960.26999999999</v>
      </c>
      <c r="V10" s="2156">
        <f t="shared" si="5"/>
        <v>128922.74</v>
      </c>
      <c r="W10" s="2156">
        <f t="shared" si="5"/>
        <v>133042.88</v>
      </c>
      <c r="X10" s="2156">
        <f t="shared" si="5"/>
        <v>0</v>
      </c>
      <c r="Y10" s="2156">
        <f t="shared" si="5"/>
        <v>96264.342668392695</v>
      </c>
      <c r="Z10" s="2821">
        <f>Y10/Q10*100</f>
        <v>108.17302436694337</v>
      </c>
      <c r="AA10" s="2156">
        <f t="shared" si="5"/>
        <v>99543.027872602281</v>
      </c>
      <c r="AB10" s="2156">
        <f t="shared" si="5"/>
        <v>101913.99973195847</v>
      </c>
      <c r="AC10" s="2156">
        <f t="shared" si="5"/>
        <v>104857.74200689301</v>
      </c>
      <c r="AD10" s="2156">
        <f t="shared" si="5"/>
        <v>107883.212349685</v>
      </c>
      <c r="AE10" s="2156">
        <f t="shared" si="5"/>
        <v>111000.61730132673</v>
      </c>
      <c r="AF10" s="2359"/>
    </row>
    <row r="11" spans="1:32" s="1309" customFormat="1" x14ac:dyDescent="0.25">
      <c r="A11" s="2157" t="s">
        <v>916</v>
      </c>
      <c r="B11" s="2158" t="s">
        <v>917</v>
      </c>
      <c r="C11" s="2157" t="s">
        <v>915</v>
      </c>
      <c r="D11" s="2159">
        <f t="shared" ref="D11:E11" si="6">D12+D13+D14</f>
        <v>75957.17</v>
      </c>
      <c r="E11" s="2159">
        <f t="shared" si="6"/>
        <v>67775.329999999987</v>
      </c>
      <c r="F11" s="2159">
        <f t="shared" ref="F11:O11" si="7">F12+F13+F14</f>
        <v>76161.408873341803</v>
      </c>
      <c r="G11" s="2159">
        <f t="shared" ref="G11:H11" si="8">G12+G13+G14</f>
        <v>76120.460000000006</v>
      </c>
      <c r="H11" s="2159">
        <f t="shared" si="8"/>
        <v>74908.690565591925</v>
      </c>
      <c r="I11" s="2159">
        <f t="shared" si="7"/>
        <v>80937.532120930948</v>
      </c>
      <c r="J11" s="2159">
        <f t="shared" si="7"/>
        <v>80154.599999999991</v>
      </c>
      <c r="K11" s="2159">
        <f t="shared" si="7"/>
        <v>80478.321315274574</v>
      </c>
      <c r="L11" s="2159">
        <f t="shared" ref="L11:M11" si="9">L12+L13+L14</f>
        <v>74030.680000000008</v>
      </c>
      <c r="M11" s="2159">
        <f t="shared" si="9"/>
        <v>76758.814908177053</v>
      </c>
      <c r="N11" s="2159">
        <f t="shared" si="7"/>
        <v>84851.363283419065</v>
      </c>
      <c r="O11" s="2159">
        <f t="shared" si="7"/>
        <v>82532.676247299867</v>
      </c>
      <c r="P11" s="2159">
        <f t="shared" ref="P11:AE11" si="10">P12+P13+P14</f>
        <v>82710.350000000006</v>
      </c>
      <c r="Q11" s="2159">
        <f t="shared" si="10"/>
        <v>83962.225065825914</v>
      </c>
      <c r="R11" s="2159">
        <f t="shared" ref="R11" si="11">R12+R13+R14</f>
        <v>79567.188520733718</v>
      </c>
      <c r="S11" s="2159">
        <f t="shared" si="10"/>
        <v>111296.05</v>
      </c>
      <c r="T11" s="2159">
        <f t="shared" si="10"/>
        <v>116131.46</v>
      </c>
      <c r="U11" s="2159">
        <f t="shared" si="10"/>
        <v>119956.96999999999</v>
      </c>
      <c r="V11" s="2159">
        <f t="shared" si="10"/>
        <v>123919.44</v>
      </c>
      <c r="W11" s="2159">
        <f t="shared" si="10"/>
        <v>128039.58</v>
      </c>
      <c r="X11" s="2159">
        <f t="shared" si="10"/>
        <v>0</v>
      </c>
      <c r="Y11" s="2159">
        <f t="shared" si="10"/>
        <v>91261.05605660181</v>
      </c>
      <c r="Z11" s="2821">
        <f>Y11/Q11*100</f>
        <v>108.69299376601043</v>
      </c>
      <c r="AA11" s="2159">
        <f t="shared" si="10"/>
        <v>94539.741260811395</v>
      </c>
      <c r="AB11" s="2159">
        <f t="shared" si="10"/>
        <v>96910.71312016758</v>
      </c>
      <c r="AC11" s="2159">
        <f t="shared" si="10"/>
        <v>99854.455395102123</v>
      </c>
      <c r="AD11" s="2159">
        <f t="shared" si="10"/>
        <v>102879.92573789411</v>
      </c>
      <c r="AE11" s="2159">
        <f t="shared" si="10"/>
        <v>105997.33068953584</v>
      </c>
      <c r="AF11" s="2360"/>
    </row>
    <row r="12" spans="1:32" s="1310" customFormat="1" ht="53.25" customHeight="1" x14ac:dyDescent="0.25">
      <c r="A12" s="2160" t="s">
        <v>918</v>
      </c>
      <c r="B12" s="2161" t="s">
        <v>919</v>
      </c>
      <c r="C12" s="2160" t="s">
        <v>915</v>
      </c>
      <c r="D12" s="2160">
        <v>63991.73</v>
      </c>
      <c r="E12" s="2160">
        <v>56507.61</v>
      </c>
      <c r="F12" s="2162">
        <f>стоки!BB75+стоки!BB76+стоки!BB77+стоки!BB79+стоки!BB78+стоки!BB81-F15-F17-'цех стоки'!AH19-'ОХР '!AQ21-'ОХР '!AQ17-'ОХР '!AQ24</f>
        <v>65769.170595226184</v>
      </c>
      <c r="G12" s="2162">
        <v>61981.599999999999</v>
      </c>
      <c r="H12" s="2162">
        <f>F12</f>
        <v>65769.170595226184</v>
      </c>
      <c r="I12" s="2162">
        <f>F12*(1-I7)*(1+I8)*(1+I9)</f>
        <v>69929.7283270802</v>
      </c>
      <c r="J12" s="2162">
        <v>68913.06</v>
      </c>
      <c r="K12" s="2162">
        <f>F12*(1-K7)*(1+K8)*(1+K9)</f>
        <v>69734.393890412364</v>
      </c>
      <c r="L12" s="2162">
        <v>61081.760000000002</v>
      </c>
      <c r="M12" s="2162">
        <f>F12*0.99*1.037</f>
        <v>67520.603608177058</v>
      </c>
      <c r="N12" s="2162">
        <f>I12*(1-N7)*(1+N8)*(1+N9)</f>
        <v>73245.79604435034</v>
      </c>
      <c r="O12" s="2162">
        <f>K12*(1-O7)*(1+O8)*(1+O9)</f>
        <v>71798.531949568569</v>
      </c>
      <c r="P12" s="2162">
        <v>70471.25</v>
      </c>
      <c r="Q12" s="2162">
        <f>N12</f>
        <v>73245.79604435034</v>
      </c>
      <c r="R12" s="2335">
        <f>F12*0.99*1.037*0.99*1.03</f>
        <v>68850.759499258143</v>
      </c>
      <c r="S12" s="2335">
        <v>92102.22</v>
      </c>
      <c r="T12" s="2335">
        <v>94865.25</v>
      </c>
      <c r="U12" s="2335">
        <v>97711.18</v>
      </c>
      <c r="V12" s="2335">
        <v>100642.49</v>
      </c>
      <c r="W12" s="2335">
        <v>103661.71</v>
      </c>
      <c r="X12" s="2335"/>
      <c r="Y12" s="2335">
        <f>стоки!BN97</f>
        <v>80511.434001577523</v>
      </c>
      <c r="Z12" s="2821">
        <f>Y12/Q12*100</f>
        <v>109.91952896904532</v>
      </c>
      <c r="AA12" s="2335">
        <f>Y12*(1-AA7)*(1+AA8)*(1+AA9)</f>
        <v>83372.810365993588</v>
      </c>
      <c r="AB12" s="2335">
        <f t="shared" ref="AB12:AE12" si="12">AA12*(1-AB7)*(1+AB8)*(1+AB9)</f>
        <v>85345.411059253005</v>
      </c>
      <c r="AC12" s="2335">
        <f t="shared" si="12"/>
        <v>87871.635226606901</v>
      </c>
      <c r="AD12" s="2335">
        <f t="shared" si="12"/>
        <v>90472.635629314464</v>
      </c>
      <c r="AE12" s="2335">
        <f t="shared" si="12"/>
        <v>93150.62564394217</v>
      </c>
      <c r="AF12" s="2361" t="str">
        <f>'очистка 2016-2018'!AD12</f>
        <v>Расчет представлен в приложении № *** (смета расходов по водоотведению на 2019 год)</v>
      </c>
    </row>
    <row r="13" spans="1:32" s="1310" customFormat="1" ht="68.25" customHeight="1" x14ac:dyDescent="0.25">
      <c r="A13" s="2160" t="s">
        <v>920</v>
      </c>
      <c r="B13" s="2161" t="s">
        <v>921</v>
      </c>
      <c r="C13" s="2160" t="s">
        <v>915</v>
      </c>
      <c r="D13" s="2160">
        <v>7909.24</v>
      </c>
      <c r="E13" s="2160">
        <v>9124.32</v>
      </c>
      <c r="F13" s="2162">
        <f>стоки!BB73+'цех стоки'!AH19+'ОХР '!AQ21+'ОХР '!AQ17</f>
        <v>7932.8583201665333</v>
      </c>
      <c r="G13" s="2162">
        <v>10316</v>
      </c>
      <c r="H13" s="2162">
        <f>'2018 к смета'!F10</f>
        <v>7470.4365935489632</v>
      </c>
      <c r="I13" s="2162">
        <f>'электр 2017-2018'!BP55+'цех стоки'!AH19*1.06+'ОХР '!AQ17*1.025+'ОХР '!AQ21*1.066</f>
        <v>8487.4768382307393</v>
      </c>
      <c r="J13" s="2162">
        <v>8194.4599999999991</v>
      </c>
      <c r="K13" s="2162">
        <f>'2017 к смета'!F4</f>
        <v>7843.1079887619744</v>
      </c>
      <c r="L13" s="2162">
        <v>11516.34</v>
      </c>
      <c r="M13" s="2162">
        <f>'ЭЭ стоки'!J40</f>
        <v>7541.6313</v>
      </c>
      <c r="N13" s="2162">
        <f>'электр 2017-2018'!BV55+'цех стоки'!AH19*1.06*1.051+'ОХР '!AQ17*1.025*1.03+'ОХР '!AQ21*1.066*1.067</f>
        <v>9049.018279834816</v>
      </c>
      <c r="O13" s="2162">
        <f>K13*1.043</f>
        <v>8180.3616322787384</v>
      </c>
      <c r="P13" s="2162">
        <v>8338.89</v>
      </c>
      <c r="Q13" s="2162">
        <f>'2018 к смета'!L10</f>
        <v>8258.6513019242266</v>
      </c>
      <c r="R13" s="2335">
        <f>Q13</f>
        <v>8258.6513019242266</v>
      </c>
      <c r="S13" s="2335">
        <v>12443.86</v>
      </c>
      <c r="T13" s="2335">
        <v>13305.47</v>
      </c>
      <c r="U13" s="2335">
        <v>14226.96</v>
      </c>
      <c r="V13" s="2335">
        <v>15212.51</v>
      </c>
      <c r="W13" s="2335">
        <v>16266.58</v>
      </c>
      <c r="X13" s="2335"/>
      <c r="Y13" s="2335">
        <f>стоки!BN98</f>
        <v>8882.0761197497486</v>
      </c>
      <c r="Z13" s="2821">
        <f>Y13/Q13*100</f>
        <v>107.54874851878378</v>
      </c>
      <c r="AA13" s="2335">
        <f>'ЭЭ стоки'!T40</f>
        <v>9255.1233167792379</v>
      </c>
      <c r="AB13" s="2335">
        <f>'ЭЭ стоки'!U40</f>
        <v>9625.3282494504074</v>
      </c>
      <c r="AC13" s="2335">
        <f>'ЭЭ стоки'!V40</f>
        <v>10010.341379428424</v>
      </c>
      <c r="AD13" s="2335">
        <f>'ЭЭ стоки'!W40</f>
        <v>10400.74469322613</v>
      </c>
      <c r="AE13" s="2335">
        <f>'ЭЭ стоки'!X40</f>
        <v>10806.37373626195</v>
      </c>
      <c r="AF13" s="2361" t="str">
        <f>'очистка 2016-2018'!AD13</f>
        <v>Расчет представлен в приложении № *** (расходы на электроэнергию по водоотведению )</v>
      </c>
    </row>
    <row r="14" spans="1:32" s="1310" customFormat="1" ht="18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4056.2</v>
      </c>
      <c r="E14" s="2162">
        <f>E15+E16+E17+E18+E21</f>
        <v>2143.4</v>
      </c>
      <c r="F14" s="2162">
        <f>F15+F16+F17+F18+F21</f>
        <v>2459.3799579490837</v>
      </c>
      <c r="G14" s="2162">
        <f t="shared" ref="G14:H14" si="13">G15+G16+G17+G18+G21</f>
        <v>3822.86</v>
      </c>
      <c r="H14" s="2162">
        <f t="shared" si="13"/>
        <v>1669.0833768167786</v>
      </c>
      <c r="I14" s="2162">
        <f t="shared" ref="I14:N14" si="14">I15+I16+I17+I18+I21</f>
        <v>2520.3269556200053</v>
      </c>
      <c r="J14" s="2162">
        <f t="shared" si="14"/>
        <v>3047.08</v>
      </c>
      <c r="K14" s="2162">
        <f t="shared" si="14"/>
        <v>2900.819436100242</v>
      </c>
      <c r="L14" s="2162">
        <f t="shared" si="14"/>
        <v>1432.58</v>
      </c>
      <c r="M14" s="2162">
        <f t="shared" si="14"/>
        <v>1696.58</v>
      </c>
      <c r="N14" s="2162">
        <f t="shared" si="14"/>
        <v>2556.5489592339159</v>
      </c>
      <c r="O14" s="2162">
        <f t="shared" ref="O14:AE14" si="15">O15+O16+O17+O18+O21</f>
        <v>2553.7826654525525</v>
      </c>
      <c r="P14" s="2162">
        <f t="shared" si="15"/>
        <v>3900.21</v>
      </c>
      <c r="Q14" s="2162">
        <f t="shared" si="15"/>
        <v>2457.7777195513509</v>
      </c>
      <c r="R14" s="2162">
        <f t="shared" si="15"/>
        <v>2457.7777195513509</v>
      </c>
      <c r="S14" s="2162">
        <f t="shared" si="15"/>
        <v>6749.9700000000012</v>
      </c>
      <c r="T14" s="2162">
        <f t="shared" si="15"/>
        <v>7960.74</v>
      </c>
      <c r="U14" s="2162">
        <f t="shared" si="15"/>
        <v>8018.83</v>
      </c>
      <c r="V14" s="2162">
        <f t="shared" si="15"/>
        <v>8064.44</v>
      </c>
      <c r="W14" s="2162">
        <f t="shared" si="15"/>
        <v>8111.29</v>
      </c>
      <c r="X14" s="2162">
        <f t="shared" si="15"/>
        <v>0</v>
      </c>
      <c r="Y14" s="2162">
        <f t="shared" si="15"/>
        <v>1867.5459352745386</v>
      </c>
      <c r="Z14" s="2821">
        <f>Y14/Q14*100</f>
        <v>75.985143832105578</v>
      </c>
      <c r="AA14" s="2162">
        <f t="shared" si="15"/>
        <v>1911.8075780385748</v>
      </c>
      <c r="AB14" s="2162">
        <f t="shared" si="15"/>
        <v>1939.9738114641727</v>
      </c>
      <c r="AC14" s="2162">
        <f t="shared" si="15"/>
        <v>1972.4787890667944</v>
      </c>
      <c r="AD14" s="2162">
        <f t="shared" si="15"/>
        <v>2006.5454153535211</v>
      </c>
      <c r="AE14" s="2162">
        <f t="shared" si="15"/>
        <v>2040.331309331717</v>
      </c>
      <c r="AF14" s="2361"/>
    </row>
    <row r="15" spans="1:32" s="1311" customFormat="1" ht="63.75" customHeight="1" x14ac:dyDescent="0.2">
      <c r="A15" s="1802" t="s">
        <v>924</v>
      </c>
      <c r="B15" s="1803" t="s">
        <v>925</v>
      </c>
      <c r="C15" s="1802" t="s">
        <v>915</v>
      </c>
      <c r="D15" s="1802">
        <v>494.19</v>
      </c>
      <c r="E15" s="1802">
        <v>206.8</v>
      </c>
      <c r="F15" s="1804">
        <f>'цех стоки'!AH38</f>
        <v>318.05</v>
      </c>
      <c r="G15" s="1804">
        <v>61.43</v>
      </c>
      <c r="H15" s="1804">
        <f>'2018 к смета'!F18</f>
        <v>61.43</v>
      </c>
      <c r="I15" s="1804">
        <v>337.9</v>
      </c>
      <c r="J15" s="1804">
        <v>349.86</v>
      </c>
      <c r="K15" s="1804">
        <f>'[24]корректировка 2017'!$F$9</f>
        <v>338.21463610024222</v>
      </c>
      <c r="L15" s="1804">
        <v>0</v>
      </c>
      <c r="M15" s="1804">
        <v>0</v>
      </c>
      <c r="N15" s="1804">
        <v>353.77</v>
      </c>
      <c r="O15" s="1804">
        <f>'[24]корректировка 2017'!$F$9*1.043</f>
        <v>352.75786545255261</v>
      </c>
      <c r="P15" s="1804">
        <v>372.03</v>
      </c>
      <c r="Q15" s="1804">
        <v>437.59</v>
      </c>
      <c r="R15" s="2315">
        <f>Q15</f>
        <v>437.59</v>
      </c>
      <c r="S15" s="2315">
        <v>450.72</v>
      </c>
      <c r="T15" s="2315">
        <v>464.24</v>
      </c>
      <c r="U15" s="2315">
        <v>478.17</v>
      </c>
      <c r="V15" s="2315">
        <v>492.51</v>
      </c>
      <c r="W15" s="2315">
        <v>507.29</v>
      </c>
      <c r="X15" s="2315"/>
      <c r="Y15" s="2315">
        <f>'Транспортировка КЭМЗ'!C12</f>
        <v>517.29666900000007</v>
      </c>
      <c r="Z15" s="2822">
        <v>0</v>
      </c>
      <c r="AA15" s="2315">
        <f>'Транспортировка КЭМЗ'!D12</f>
        <v>549.04411800000003</v>
      </c>
      <c r="AB15" s="2315">
        <f>'Транспортировка КЭМЗ'!E12</f>
        <v>562.11659700000007</v>
      </c>
      <c r="AC15" s="2315">
        <f>'Транспортировка КЭМЗ'!F12</f>
        <v>578.92407000000003</v>
      </c>
      <c r="AD15" s="2315">
        <f>'Транспортировка КЭМЗ'!G12</f>
        <v>596.66529150000008</v>
      </c>
      <c r="AE15" s="2315">
        <f>'Транспортировка КЭМЗ'!H12</f>
        <v>613.47276450000004</v>
      </c>
      <c r="AF15" s="2362" t="s">
        <v>2091</v>
      </c>
    </row>
    <row r="16" spans="1:32" s="1311" customFormat="1" ht="106.5" customHeight="1" x14ac:dyDescent="0.2">
      <c r="A16" s="1802" t="s">
        <v>926</v>
      </c>
      <c r="B16" s="1803" t="s">
        <v>927</v>
      </c>
      <c r="C16" s="1802" t="s">
        <v>915</v>
      </c>
      <c r="D16" s="1802">
        <v>1927.04</v>
      </c>
      <c r="E16" s="1802">
        <v>1783.57</v>
      </c>
      <c r="F16" s="1804">
        <f>стоки!BB80</f>
        <v>1676.7703977774761</v>
      </c>
      <c r="G16" s="1804">
        <v>3603.63</v>
      </c>
      <c r="H16" s="1804">
        <f>'2018 к смета'!F19</f>
        <v>1449.8533768167786</v>
      </c>
      <c r="I16" s="1804">
        <f>F16</f>
        <v>1676.7703977774761</v>
      </c>
      <c r="J16" s="1804">
        <v>1805.24</v>
      </c>
      <c r="K16" s="1804">
        <f>'2017 к смета'!F13</f>
        <v>1783.57</v>
      </c>
      <c r="L16" s="1804">
        <v>1266.71</v>
      </c>
      <c r="M16" s="1804">
        <f>'Н 2019-2024'!D31</f>
        <v>1265.31</v>
      </c>
      <c r="N16" s="1804">
        <f>I16</f>
        <v>1676.7703977774761</v>
      </c>
      <c r="O16" s="1804">
        <f>K16</f>
        <v>1783.57</v>
      </c>
      <c r="P16" s="1804">
        <v>1699.21</v>
      </c>
      <c r="Q16" s="1804">
        <f>'2018 к смета'!L19</f>
        <v>1502.7644400919853</v>
      </c>
      <c r="R16" s="2315">
        <f t="shared" ref="R16:R21" si="16">Q16</f>
        <v>1502.7644400919853</v>
      </c>
      <c r="S16" s="2315">
        <v>5882.27</v>
      </c>
      <c r="T16" s="2315">
        <v>5936.54</v>
      </c>
      <c r="U16" s="2315">
        <v>5962.21</v>
      </c>
      <c r="V16" s="2315">
        <v>5975.3</v>
      </c>
      <c r="W16" s="2315">
        <v>5988.38</v>
      </c>
      <c r="X16" s="2315"/>
      <c r="Y16" s="2315">
        <f>стоки!BN101</f>
        <v>1003.7504477745384</v>
      </c>
      <c r="Z16" s="2822">
        <f>Y16/Q16*100</f>
        <v>66.793598583760613</v>
      </c>
      <c r="AA16" s="2315">
        <f>'Н 2019-2024'!L31</f>
        <v>1004.4836817095747</v>
      </c>
      <c r="AB16" s="2315">
        <f>'Н 2019-2024'!M31</f>
        <v>1005.2462450020126</v>
      </c>
      <c r="AC16" s="2315">
        <f>'Н 2019-2024'!N31</f>
        <v>1006.039310826148</v>
      </c>
      <c r="AD16" s="2315">
        <f>'Н 2019-2024'!O31</f>
        <v>1006.8640992832488</v>
      </c>
      <c r="AE16" s="2315">
        <f>'Н 2019-2024'!P31</f>
        <v>1007.7218792786335</v>
      </c>
      <c r="AF16" s="2362" t="s">
        <v>2076</v>
      </c>
    </row>
    <row r="17" spans="1:33" s="1311" customFormat="1" ht="48.75" customHeight="1" x14ac:dyDescent="0.2">
      <c r="A17" s="1802" t="s">
        <v>928</v>
      </c>
      <c r="B17" s="1803" t="s">
        <v>929</v>
      </c>
      <c r="C17" s="1802" t="s">
        <v>915</v>
      </c>
      <c r="D17" s="1802">
        <v>184.67</v>
      </c>
      <c r="E17" s="1802">
        <v>153.03</v>
      </c>
      <c r="F17" s="1804">
        <f>'цех стоки'!AH43+'цех стоки'!AH29</f>
        <v>152.0548</v>
      </c>
      <c r="G17" s="1804">
        <v>157.80000000000001</v>
      </c>
      <c r="H17" s="1804">
        <f>'2018 к смета'!F20</f>
        <v>157.80000000000001</v>
      </c>
      <c r="I17" s="1804">
        <f>F17</f>
        <v>152.0548</v>
      </c>
      <c r="J17" s="1804">
        <v>176.8</v>
      </c>
      <c r="K17" s="1804">
        <f>I17</f>
        <v>152.0548</v>
      </c>
      <c r="L17" s="1804">
        <v>165.87</v>
      </c>
      <c r="M17" s="1804">
        <f>L17</f>
        <v>165.87</v>
      </c>
      <c r="N17" s="1804">
        <f>I17</f>
        <v>152.0548</v>
      </c>
      <c r="O17" s="1804">
        <f>K17</f>
        <v>152.0548</v>
      </c>
      <c r="P17" s="1804">
        <v>167.26</v>
      </c>
      <c r="Q17" s="1804">
        <f>K17</f>
        <v>152.0548</v>
      </c>
      <c r="R17" s="2315">
        <f t="shared" si="16"/>
        <v>152.0548</v>
      </c>
      <c r="S17" s="2315">
        <v>175.97</v>
      </c>
      <c r="T17" s="2315">
        <v>181.25</v>
      </c>
      <c r="U17" s="2315">
        <v>186.68</v>
      </c>
      <c r="V17" s="2315">
        <v>192.28</v>
      </c>
      <c r="W17" s="2315">
        <v>198.05</v>
      </c>
      <c r="X17" s="2315"/>
      <c r="Y17" s="2315">
        <f>стоки!BN48</f>
        <v>105.48881849999999</v>
      </c>
      <c r="Z17" s="2822">
        <v>0</v>
      </c>
      <c r="AA17" s="2315">
        <f>Y17*1.034</f>
        <v>109.07543832899999</v>
      </c>
      <c r="AB17" s="2315">
        <f>AA17*1.04</f>
        <v>113.43845586216</v>
      </c>
      <c r="AC17" s="2315">
        <f t="shared" ref="AC17:AE18" si="17">AB17*1.04</f>
        <v>117.9759940966464</v>
      </c>
      <c r="AD17" s="2315">
        <f t="shared" si="17"/>
        <v>122.69503386051227</v>
      </c>
      <c r="AE17" s="2315">
        <f t="shared" si="17"/>
        <v>127.60283521493277</v>
      </c>
      <c r="AF17" s="2362" t="s">
        <v>2077</v>
      </c>
    </row>
    <row r="18" spans="1:33" s="1311" customFormat="1" ht="42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f>стоки!BB82</f>
        <v>286.40476017160813</v>
      </c>
      <c r="G18" s="1804">
        <v>0</v>
      </c>
      <c r="H18" s="1804">
        <f>'2018 к смета'!F21</f>
        <v>0</v>
      </c>
      <c r="I18" s="1804">
        <f>'Резерв ДЗ'!F22</f>
        <v>353.60175784252925</v>
      </c>
      <c r="J18" s="1804">
        <v>353.6</v>
      </c>
      <c r="K18" s="1804">
        <v>265.39999999999998</v>
      </c>
      <c r="L18" s="1804">
        <v>0</v>
      </c>
      <c r="M18" s="1804">
        <v>265.39999999999998</v>
      </c>
      <c r="N18" s="1804">
        <f>'Резерв ДЗ'!F32</f>
        <v>373.95376145643951</v>
      </c>
      <c r="O18" s="1804">
        <v>265.39999999999998</v>
      </c>
      <c r="P18" s="1804">
        <v>370.51</v>
      </c>
      <c r="Q18" s="1804">
        <f>'рез к 2017'!G43</f>
        <v>365.36847945936529</v>
      </c>
      <c r="R18" s="2315">
        <f t="shared" si="16"/>
        <v>365.36847945936529</v>
      </c>
      <c r="S18" s="2315">
        <v>241.01</v>
      </c>
      <c r="T18" s="2315">
        <v>238.68</v>
      </c>
      <c r="U18" s="2315">
        <v>251.74</v>
      </c>
      <c r="V18" s="2315">
        <v>264.32</v>
      </c>
      <c r="W18" s="2315">
        <v>277.54000000000002</v>
      </c>
      <c r="X18" s="2315"/>
      <c r="Y18" s="2315">
        <f>S18</f>
        <v>241.01</v>
      </c>
      <c r="Z18" s="2822">
        <f>Y18/Q18*100</f>
        <v>65.963544626679834</v>
      </c>
      <c r="AA18" s="2315">
        <f>Y18*1.034</f>
        <v>249.20434</v>
      </c>
      <c r="AB18" s="2315">
        <f>AA18*1.04</f>
        <v>259.1725136</v>
      </c>
      <c r="AC18" s="2315">
        <f t="shared" si="17"/>
        <v>269.53941414400003</v>
      </c>
      <c r="AD18" s="2315">
        <f t="shared" si="17"/>
        <v>280.32099070976005</v>
      </c>
      <c r="AE18" s="2315">
        <f t="shared" si="17"/>
        <v>291.53383033815044</v>
      </c>
      <c r="AF18" s="2362" t="s">
        <v>2087</v>
      </c>
    </row>
    <row r="19" spans="1:33" s="1311" customFormat="1" ht="18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смета'!F22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v>0</v>
      </c>
      <c r="Q19" s="1804">
        <f>'2018 к смета'!F22</f>
        <v>0</v>
      </c>
      <c r="R19" s="2315">
        <f t="shared" si="16"/>
        <v>0</v>
      </c>
      <c r="S19" s="1804">
        <f>'2018 к смета'!G22</f>
        <v>0</v>
      </c>
      <c r="T19" s="1804">
        <f>'2018 к смета'!H22</f>
        <v>0</v>
      </c>
      <c r="U19" s="1804">
        <f>'2018 к смета'!I22</f>
        <v>0</v>
      </c>
      <c r="V19" s="1804">
        <f>'2018 к смета'!J22</f>
        <v>0</v>
      </c>
      <c r="W19" s="1804">
        <f>'2018 к смета'!K22</f>
        <v>0</v>
      </c>
      <c r="X19" s="1804">
        <f>'2018 к смета'!L22</f>
        <v>0</v>
      </c>
      <c r="Y19" s="1804">
        <f>'2018 к смета'!M22</f>
        <v>0</v>
      </c>
      <c r="Z19" s="2822">
        <v>0</v>
      </c>
      <c r="AA19" s="1804">
        <f>'2018 к смета'!N22</f>
        <v>0</v>
      </c>
      <c r="AB19" s="1804">
        <f>'2018 к смета'!O22</f>
        <v>0</v>
      </c>
      <c r="AC19" s="1804">
        <f>'2018 к смета'!P22</f>
        <v>0</v>
      </c>
      <c r="AD19" s="1804">
        <f>'2018 к смета'!Q22</f>
        <v>0</v>
      </c>
      <c r="AE19" s="1804">
        <f>'2018 к смета'!R22</f>
        <v>0</v>
      </c>
      <c r="AF19" s="2362"/>
    </row>
    <row r="20" spans="1:33" s="1311" customFormat="1" ht="34.5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смета'!F23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v>0</v>
      </c>
      <c r="Q20" s="1804">
        <f>'2018 к смета'!F23</f>
        <v>0</v>
      </c>
      <c r="R20" s="2315">
        <f t="shared" si="16"/>
        <v>0</v>
      </c>
      <c r="S20" s="1804">
        <f>'2018 к смета'!G23</f>
        <v>0</v>
      </c>
      <c r="T20" s="1804">
        <f>'2018 к смета'!H23</f>
        <v>0</v>
      </c>
      <c r="U20" s="1804">
        <f>'2018 к смета'!I23</f>
        <v>0</v>
      </c>
      <c r="V20" s="1804">
        <f>'2018 к смета'!J23</f>
        <v>0</v>
      </c>
      <c r="W20" s="1804">
        <f>'2018 к смета'!K23</f>
        <v>0</v>
      </c>
      <c r="X20" s="1804">
        <f>'2018 к смета'!L23</f>
        <v>0</v>
      </c>
      <c r="Y20" s="1804">
        <f>'2018 к смета'!M23</f>
        <v>0</v>
      </c>
      <c r="Z20" s="2822">
        <v>0</v>
      </c>
      <c r="AA20" s="1804">
        <f>'2018 к смета'!N23</f>
        <v>0</v>
      </c>
      <c r="AB20" s="1804">
        <f>'2018 к смета'!O23</f>
        <v>0</v>
      </c>
      <c r="AC20" s="1804">
        <f>'2018 к смета'!P23</f>
        <v>0</v>
      </c>
      <c r="AD20" s="1804">
        <f>'2018 к смета'!Q23</f>
        <v>0</v>
      </c>
      <c r="AE20" s="1804">
        <f>'2018 к смета'!R23</f>
        <v>0</v>
      </c>
      <c r="AF20" s="2362"/>
    </row>
    <row r="21" spans="1:33" s="1311" customFormat="1" ht="80.25" customHeight="1" x14ac:dyDescent="0.2">
      <c r="A21" s="1802" t="s">
        <v>936</v>
      </c>
      <c r="B21" s="1803" t="s">
        <v>937</v>
      </c>
      <c r="C21" s="1802" t="s">
        <v>915</v>
      </c>
      <c r="D21" s="1802">
        <v>1450.3</v>
      </c>
      <c r="E21" s="1802">
        <v>0</v>
      </c>
      <c r="F21" s="1804">
        <f>стоки!BB85</f>
        <v>26.100000000000009</v>
      </c>
      <c r="G21" s="1804">
        <v>0</v>
      </c>
      <c r="H21" s="1804">
        <f>'2018 к смета'!F24</f>
        <v>0</v>
      </c>
      <c r="I21" s="1804"/>
      <c r="J21" s="1804">
        <v>361.58</v>
      </c>
      <c r="K21" s="1804">
        <v>361.58</v>
      </c>
      <c r="L21" s="1804">
        <v>0</v>
      </c>
      <c r="M21" s="1804">
        <v>0</v>
      </c>
      <c r="N21" s="1804">
        <v>0</v>
      </c>
      <c r="O21" s="1804">
        <v>0</v>
      </c>
      <c r="P21" s="1804">
        <v>1291.2</v>
      </c>
      <c r="Q21" s="1804">
        <f>'2018 к смета'!F24</f>
        <v>0</v>
      </c>
      <c r="R21" s="2315">
        <f t="shared" si="16"/>
        <v>0</v>
      </c>
      <c r="S21" s="1804">
        <f>'2018 к смета'!G24</f>
        <v>0</v>
      </c>
      <c r="T21" s="2315">
        <v>1140.03</v>
      </c>
      <c r="U21" s="2315">
        <v>1140.03</v>
      </c>
      <c r="V21" s="2315">
        <v>1140.03</v>
      </c>
      <c r="W21" s="2315">
        <v>1140.03</v>
      </c>
      <c r="X21" s="2315"/>
      <c r="Y21" s="2315">
        <v>0</v>
      </c>
      <c r="Z21" s="2822">
        <v>0</v>
      </c>
      <c r="AA21" s="2315">
        <v>0</v>
      </c>
      <c r="AB21" s="2315">
        <v>0</v>
      </c>
      <c r="AC21" s="2315">
        <v>0</v>
      </c>
      <c r="AD21" s="2315">
        <v>0</v>
      </c>
      <c r="AE21" s="2315">
        <v>0</v>
      </c>
      <c r="AF21" s="2362"/>
    </row>
    <row r="22" spans="1:33" s="1309" customFormat="1" ht="36.75" customHeight="1" x14ac:dyDescent="0.25">
      <c r="A22" s="2157" t="s">
        <v>938</v>
      </c>
      <c r="B22" s="2158" t="s">
        <v>2</v>
      </c>
      <c r="C22" s="2157" t="s">
        <v>915</v>
      </c>
      <c r="D22" s="2157">
        <v>4899.58</v>
      </c>
      <c r="E22" s="2157">
        <v>5237.62</v>
      </c>
      <c r="F22" s="2159">
        <f>стоки!BB74+'ОХР '!AQ24</f>
        <v>4904.1021365654224</v>
      </c>
      <c r="G22" s="2159">
        <v>5086.74</v>
      </c>
      <c r="H22" s="2159">
        <f>'2018 к смета'!F25</f>
        <v>5028.8549485830717</v>
      </c>
      <c r="I22" s="2159">
        <f>F22</f>
        <v>4904.1021365654224</v>
      </c>
      <c r="J22" s="2159">
        <v>5257.98</v>
      </c>
      <c r="K22" s="2159">
        <f>'2017 к смета'!F19</f>
        <v>5175.5923841310778</v>
      </c>
      <c r="L22" s="2159">
        <v>5249.49</v>
      </c>
      <c r="M22" s="2159">
        <f>Аморт!AC33-'очистка 2016-2018'!M22</f>
        <v>5003.2</v>
      </c>
      <c r="N22" s="2159">
        <f>I22</f>
        <v>4904.1021365654224</v>
      </c>
      <c r="O22" s="2159">
        <f>K22</f>
        <v>5175.5923841310778</v>
      </c>
      <c r="P22" s="2159">
        <v>5159.6400000000003</v>
      </c>
      <c r="Q22" s="2159">
        <f>'2018 к смета'!L25</f>
        <v>5028.8549485830717</v>
      </c>
      <c r="R22" s="2334">
        <f>Q22</f>
        <v>5028.8549485830717</v>
      </c>
      <c r="S22" s="2334">
        <v>5003.3</v>
      </c>
      <c r="T22" s="2334">
        <v>5003.3</v>
      </c>
      <c r="U22" s="2334">
        <v>5003.3</v>
      </c>
      <c r="V22" s="2334">
        <v>5003.3</v>
      </c>
      <c r="W22" s="2334">
        <v>5003.3</v>
      </c>
      <c r="X22" s="2334"/>
      <c r="Y22" s="2334">
        <f>стоки!BN104</f>
        <v>5003.2866117908889</v>
      </c>
      <c r="Z22" s="2821">
        <f>Y22/Q22*100</f>
        <v>99.491567423327908</v>
      </c>
      <c r="AA22" s="2334">
        <f>Y22</f>
        <v>5003.2866117908889</v>
      </c>
      <c r="AB22" s="2334">
        <f t="shared" ref="AB22:AE22" si="18">AA22</f>
        <v>5003.2866117908889</v>
      </c>
      <c r="AC22" s="2334">
        <f t="shared" si="18"/>
        <v>5003.2866117908889</v>
      </c>
      <c r="AD22" s="2334">
        <f t="shared" si="18"/>
        <v>5003.2866117908889</v>
      </c>
      <c r="AE22" s="2334">
        <f t="shared" si="18"/>
        <v>5003.2866117908889</v>
      </c>
      <c r="AF22" s="2360" t="s">
        <v>2078</v>
      </c>
    </row>
    <row r="23" spans="1:33" s="2282" customFormat="1" ht="20.25" customHeight="1" x14ac:dyDescent="0.2">
      <c r="A23" s="2163" t="s">
        <v>199</v>
      </c>
      <c r="B23" s="2164" t="s">
        <v>939</v>
      </c>
      <c r="C23" s="2163" t="s">
        <v>44</v>
      </c>
      <c r="D23" s="2281">
        <f>D24/(D11+D22)*100</f>
        <v>4.4116292084458006</v>
      </c>
      <c r="E23" s="2281">
        <f>E24/(E11+E22)*100</f>
        <v>0</v>
      </c>
      <c r="F23" s="2281">
        <f>F24/(F11+F22)*100</f>
        <v>1.1102131952144343E-3</v>
      </c>
      <c r="G23" s="2281">
        <f t="shared" ref="G23:H23" si="19">G24/(G11+G22)*100</f>
        <v>0</v>
      </c>
      <c r="H23" s="2281">
        <f t="shared" si="19"/>
        <v>1.1258789523884078E-3</v>
      </c>
      <c r="I23" s="2281">
        <f t="shared" ref="I23:N23" si="20">I24/(I11+I22)*100</f>
        <v>0</v>
      </c>
      <c r="J23" s="2163">
        <f t="shared" si="20"/>
        <v>0</v>
      </c>
      <c r="K23" s="2281">
        <f t="shared" si="20"/>
        <v>0</v>
      </c>
      <c r="L23" s="2281">
        <f t="shared" si="20"/>
        <v>0</v>
      </c>
      <c r="M23" s="2281">
        <f t="shared" si="20"/>
        <v>0</v>
      </c>
      <c r="N23" s="2281">
        <f t="shared" si="20"/>
        <v>0</v>
      </c>
      <c r="O23" s="2281">
        <f t="shared" ref="O23:W23" si="21">O24/(O11+O22)*100</f>
        <v>0</v>
      </c>
      <c r="P23" s="2281">
        <f t="shared" si="21"/>
        <v>0</v>
      </c>
      <c r="Q23" s="2281">
        <f t="shared" si="21"/>
        <v>0</v>
      </c>
      <c r="R23" s="2281">
        <f t="shared" ref="R23" si="22">R24/(R11+R22)*100</f>
        <v>0</v>
      </c>
      <c r="S23" s="2281">
        <f t="shared" si="21"/>
        <v>-2.4968583229398957</v>
      </c>
      <c r="T23" s="2281">
        <f t="shared" si="21"/>
        <v>0</v>
      </c>
      <c r="U23" s="2281">
        <f t="shared" si="21"/>
        <v>0</v>
      </c>
      <c r="V23" s="2281">
        <f t="shared" si="21"/>
        <v>0</v>
      </c>
      <c r="W23" s="2281">
        <f t="shared" si="21"/>
        <v>0</v>
      </c>
      <c r="X23" s="2383"/>
      <c r="Y23" s="2383">
        <v>0</v>
      </c>
      <c r="Z23" s="2823">
        <v>0</v>
      </c>
      <c r="AA23" s="2383">
        <v>0</v>
      </c>
      <c r="AB23" s="2383">
        <v>0</v>
      </c>
      <c r="AC23" s="2383">
        <v>0</v>
      </c>
      <c r="AD23" s="2383">
        <v>0</v>
      </c>
      <c r="AE23" s="2383">
        <v>0</v>
      </c>
      <c r="AF23" s="2375"/>
    </row>
    <row r="24" spans="1:33" s="1309" customFormat="1" ht="21" customHeigh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3567.1</v>
      </c>
      <c r="E24" s="2159">
        <f>E25+E26+E27</f>
        <v>0</v>
      </c>
      <c r="F24" s="2159">
        <f>F25+F26+F27</f>
        <v>0.9</v>
      </c>
      <c r="G24" s="2159">
        <f t="shared" ref="G24:H24" si="23">G25+G26+G27</f>
        <v>0</v>
      </c>
      <c r="H24" s="2159">
        <f t="shared" si="23"/>
        <v>0.9</v>
      </c>
      <c r="I24" s="2159">
        <f t="shared" ref="I24:N24" si="24">I25+I26+I27</f>
        <v>0</v>
      </c>
      <c r="J24" s="2159">
        <f t="shared" si="24"/>
        <v>0</v>
      </c>
      <c r="K24" s="2159">
        <f t="shared" si="24"/>
        <v>0</v>
      </c>
      <c r="L24" s="2159">
        <f t="shared" si="24"/>
        <v>0</v>
      </c>
      <c r="M24" s="2159">
        <f t="shared" si="24"/>
        <v>0</v>
      </c>
      <c r="N24" s="2159">
        <f t="shared" si="24"/>
        <v>0</v>
      </c>
      <c r="O24" s="2159">
        <f t="shared" ref="O24:W24" si="25">O25+O26+O27</f>
        <v>0</v>
      </c>
      <c r="P24" s="2159">
        <f t="shared" si="25"/>
        <v>0</v>
      </c>
      <c r="Q24" s="2159">
        <f t="shared" si="25"/>
        <v>0</v>
      </c>
      <c r="R24" s="2159">
        <f t="shared" ref="R24" si="26">R25+R26+R27</f>
        <v>0</v>
      </c>
      <c r="S24" s="2159">
        <f t="shared" si="25"/>
        <v>-2903.83</v>
      </c>
      <c r="T24" s="2159">
        <f t="shared" si="25"/>
        <v>0</v>
      </c>
      <c r="U24" s="2159">
        <f t="shared" si="25"/>
        <v>0</v>
      </c>
      <c r="V24" s="2159">
        <f t="shared" si="25"/>
        <v>0</v>
      </c>
      <c r="W24" s="2159">
        <f t="shared" si="25"/>
        <v>0</v>
      </c>
      <c r="X24" s="2334"/>
      <c r="Y24" s="2334"/>
      <c r="Z24" s="2821">
        <v>0</v>
      </c>
      <c r="AA24" s="2334"/>
      <c r="AB24" s="2334"/>
      <c r="AC24" s="2334"/>
      <c r="AD24" s="2334"/>
      <c r="AE24" s="2334"/>
      <c r="AF24" s="2360"/>
    </row>
    <row r="25" spans="1:33" s="1310" customFormat="1" ht="33.75" customHeight="1" x14ac:dyDescent="0.25">
      <c r="A25" s="2160" t="s">
        <v>942</v>
      </c>
      <c r="B25" s="2161" t="s">
        <v>943</v>
      </c>
      <c r="C25" s="2160" t="s">
        <v>915</v>
      </c>
      <c r="D25" s="2160">
        <v>3567.1</v>
      </c>
      <c r="E25" s="2160">
        <v>0</v>
      </c>
      <c r="F25" s="2162">
        <f>стоки!BB92</f>
        <v>0.9</v>
      </c>
      <c r="G25" s="2162">
        <v>0</v>
      </c>
      <c r="H25" s="2162">
        <v>0.9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f>-ИП!F20</f>
        <v>0</v>
      </c>
      <c r="P25" s="2162">
        <f>-ИП!G20</f>
        <v>0</v>
      </c>
      <c r="Q25" s="2162">
        <f>-ИП!H20</f>
        <v>0</v>
      </c>
      <c r="R25" s="2162">
        <v>0</v>
      </c>
      <c r="S25" s="2162">
        <v>-2903.83</v>
      </c>
      <c r="T25" s="2162">
        <f>-ИП!J20</f>
        <v>0</v>
      </c>
      <c r="U25" s="2162">
        <f>-ИП!K20</f>
        <v>0</v>
      </c>
      <c r="V25" s="2162">
        <f>-ИП!L20</f>
        <v>0</v>
      </c>
      <c r="W25" s="2162">
        <f>-ИП!M20</f>
        <v>0</v>
      </c>
      <c r="X25" s="2162">
        <f>-ИП!N20</f>
        <v>0</v>
      </c>
      <c r="Y25" s="2162">
        <f>-ИП!O20</f>
        <v>0</v>
      </c>
      <c r="Z25" s="2821">
        <v>0</v>
      </c>
      <c r="AA25" s="2162">
        <f>-ИП!P20</f>
        <v>0</v>
      </c>
      <c r="AB25" s="2162">
        <f>-ИП!Q20</f>
        <v>0</v>
      </c>
      <c r="AC25" s="2162">
        <f>-ИП!R20</f>
        <v>0</v>
      </c>
      <c r="AD25" s="2162">
        <f>-ИП!S20</f>
        <v>0</v>
      </c>
      <c r="AE25" s="2162">
        <f>-ИП!T20</f>
        <v>0</v>
      </c>
      <c r="AF25" s="2361"/>
    </row>
    <row r="26" spans="1:33" s="1310" customFormat="1" ht="43.5" customHeight="1" x14ac:dyDescent="0.25">
      <c r="A26" s="2160" t="s">
        <v>944</v>
      </c>
      <c r="B26" s="2161" t="s">
        <v>945</v>
      </c>
      <c r="C26" s="2160" t="s">
        <v>915</v>
      </c>
      <c r="D26" s="2160">
        <v>0</v>
      </c>
      <c r="E26" s="2160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162">
        <v>0</v>
      </c>
      <c r="Y26" s="2162">
        <v>0</v>
      </c>
      <c r="Z26" s="2821">
        <v>0</v>
      </c>
      <c r="AA26" s="2162">
        <v>0</v>
      </c>
      <c r="AB26" s="2162">
        <v>0</v>
      </c>
      <c r="AC26" s="2162">
        <v>0</v>
      </c>
      <c r="AD26" s="2162">
        <v>0</v>
      </c>
      <c r="AE26" s="2162">
        <v>0</v>
      </c>
      <c r="AF26" s="2361"/>
    </row>
    <row r="27" spans="1:33" s="1310" customFormat="1" ht="30.75" customHeight="1" x14ac:dyDescent="0.25">
      <c r="A27" s="2160" t="s">
        <v>946</v>
      </c>
      <c r="B27" s="2161" t="s">
        <v>947</v>
      </c>
      <c r="C27" s="2160" t="s">
        <v>915</v>
      </c>
      <c r="D27" s="2160">
        <v>0</v>
      </c>
      <c r="E27" s="2160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162">
        <v>0</v>
      </c>
      <c r="Y27" s="2162">
        <v>0</v>
      </c>
      <c r="Z27" s="2821">
        <v>0</v>
      </c>
      <c r="AA27" s="2162">
        <v>0</v>
      </c>
      <c r="AB27" s="2162">
        <v>0</v>
      </c>
      <c r="AC27" s="2162">
        <v>0</v>
      </c>
      <c r="AD27" s="2162">
        <v>0</v>
      </c>
      <c r="AE27" s="2162">
        <v>0</v>
      </c>
      <c r="AF27" s="2361"/>
    </row>
    <row r="28" spans="1:33" s="1309" customFormat="1" ht="78.75" customHeight="1" x14ac:dyDescent="0.25">
      <c r="A28" s="2157" t="s">
        <v>200</v>
      </c>
      <c r="B28" s="2158" t="s">
        <v>948</v>
      </c>
      <c r="C28" s="2157" t="s">
        <v>915</v>
      </c>
      <c r="D28" s="2157">
        <v>4106.47</v>
      </c>
      <c r="E28" s="2157">
        <v>0</v>
      </c>
      <c r="F28" s="2159">
        <f>стоки!BB89</f>
        <v>4053.2755504953611</v>
      </c>
      <c r="G28" s="2159">
        <v>0</v>
      </c>
      <c r="H28" s="2159">
        <f>F28</f>
        <v>4053.2755504953611</v>
      </c>
      <c r="I28" s="2159">
        <f>(I11+I22)*0.05</f>
        <v>4292.0817128748185</v>
      </c>
      <c r="J28" s="2159">
        <v>4270.63</v>
      </c>
      <c r="K28" s="2159">
        <f>(K11+K22)*0.05</f>
        <v>4282.6956849702829</v>
      </c>
      <c r="L28" s="2159">
        <v>0</v>
      </c>
      <c r="M28" s="2159">
        <f>K28</f>
        <v>4282.6956849702829</v>
      </c>
      <c r="N28" s="2159">
        <f>(N11+N22)*0.05</f>
        <v>4487.7732709992242</v>
      </c>
      <c r="O28" s="2159">
        <f>(O11+O22)*0.05</f>
        <v>4385.4134315715473</v>
      </c>
      <c r="P28" s="2159">
        <v>4393.5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159">
        <v>0</v>
      </c>
      <c r="Y28" s="2159">
        <v>0</v>
      </c>
      <c r="Z28" s="2821">
        <v>0</v>
      </c>
      <c r="AA28" s="2159">
        <v>0</v>
      </c>
      <c r="AB28" s="2159">
        <v>0</v>
      </c>
      <c r="AC28" s="2159">
        <v>0</v>
      </c>
      <c r="AD28" s="2159">
        <v>0</v>
      </c>
      <c r="AE28" s="2159">
        <v>0</v>
      </c>
      <c r="AF28" s="2360">
        <f>'тех вода 2018'!AD28</f>
        <v>0</v>
      </c>
    </row>
    <row r="29" spans="1:33" s="2186" customFormat="1" ht="27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336"/>
      <c r="S29" s="2336"/>
      <c r="T29" s="2336"/>
      <c r="U29" s="2336"/>
      <c r="V29" s="2336"/>
      <c r="W29" s="2336"/>
      <c r="X29" s="2336"/>
      <c r="Y29" s="2336"/>
      <c r="Z29" s="2265"/>
      <c r="AA29" s="2336"/>
      <c r="AB29" s="2336"/>
      <c r="AC29" s="2336"/>
      <c r="AD29" s="2336"/>
      <c r="AE29" s="2336"/>
      <c r="AF29" s="2376"/>
    </row>
    <row r="30" spans="1:33" s="2079" customFormat="1" ht="36" customHeight="1" x14ac:dyDescent="0.25">
      <c r="A30" s="2276" t="s">
        <v>1714</v>
      </c>
      <c r="B30" s="2193" t="s">
        <v>1715</v>
      </c>
      <c r="C30" s="2276" t="s">
        <v>915</v>
      </c>
      <c r="D30" s="2276"/>
      <c r="E30" s="2276"/>
      <c r="F30" s="2277"/>
      <c r="G30" s="2277"/>
      <c r="H30" s="2277"/>
      <c r="I30" s="2277"/>
      <c r="J30" s="2277"/>
      <c r="K30" s="2277">
        <v>-5234.7</v>
      </c>
      <c r="L30" s="2277"/>
      <c r="M30" s="2277">
        <f>K30</f>
        <v>-5234.7</v>
      </c>
      <c r="N30" s="2277"/>
      <c r="O30" s="2277">
        <f>-K30</f>
        <v>5234.7</v>
      </c>
      <c r="P30" s="2277">
        <v>5234.7</v>
      </c>
      <c r="Q30" s="2277">
        <f>O30</f>
        <v>5234.7</v>
      </c>
      <c r="R30" s="2373">
        <f>Q30</f>
        <v>5234.7</v>
      </c>
      <c r="S30" s="2373"/>
      <c r="T30" s="2373"/>
      <c r="U30" s="2373"/>
      <c r="V30" s="2373"/>
      <c r="W30" s="2373"/>
      <c r="X30" s="2373"/>
      <c r="Y30" s="2373"/>
      <c r="Z30" s="2265"/>
      <c r="AA30" s="2373"/>
      <c r="AB30" s="2373"/>
      <c r="AC30" s="2373"/>
      <c r="AD30" s="2373"/>
      <c r="AE30" s="2373"/>
      <c r="AF30" s="2377" t="s">
        <v>1690</v>
      </c>
      <c r="AG30" s="2121"/>
    </row>
    <row r="31" spans="1:33" s="2191" customFormat="1" ht="16.5" customHeight="1" x14ac:dyDescent="0.2">
      <c r="A31" s="2187"/>
      <c r="B31" s="2188" t="s">
        <v>1716</v>
      </c>
      <c r="C31" s="2189" t="s">
        <v>915</v>
      </c>
      <c r="D31" s="2189"/>
      <c r="E31" s="2187">
        <f>D39*E37</f>
        <v>77402.272286443331</v>
      </c>
      <c r="F31" s="2190"/>
      <c r="G31" s="2190"/>
      <c r="H31" s="2190">
        <f>ТН!D56</f>
        <v>75099.622775800002</v>
      </c>
      <c r="I31" s="2190"/>
      <c r="J31" s="2190"/>
      <c r="K31" s="2190"/>
      <c r="L31" s="2190"/>
      <c r="M31" s="2190">
        <f>ТН!J56</f>
        <v>82259.710110899992</v>
      </c>
      <c r="N31" s="2190"/>
      <c r="O31" s="2190"/>
      <c r="P31" s="2190"/>
      <c r="Q31" s="2190"/>
      <c r="R31" s="2337">
        <f>M37*Q39</f>
        <v>97396.744271251693</v>
      </c>
      <c r="S31" s="2337"/>
      <c r="T31" s="2337"/>
      <c r="U31" s="2337"/>
      <c r="V31" s="2337"/>
      <c r="W31" s="2337"/>
      <c r="X31" s="2337"/>
      <c r="Y31" s="2337"/>
      <c r="Z31" s="2265"/>
      <c r="AA31" s="2337"/>
      <c r="AB31" s="2337"/>
      <c r="AC31" s="2337"/>
      <c r="AD31" s="2337"/>
      <c r="AE31" s="2337"/>
      <c r="AF31" s="2378"/>
    </row>
    <row r="32" spans="1:33" s="2195" customFormat="1" ht="60" customHeight="1" x14ac:dyDescent="0.2">
      <c r="A32" s="2192" t="s">
        <v>192</v>
      </c>
      <c r="B32" s="2193" t="s">
        <v>1717</v>
      </c>
      <c r="C32" s="2192" t="s">
        <v>915</v>
      </c>
      <c r="D32" s="2194">
        <f>D10-E31</f>
        <v>11128.047713556676</v>
      </c>
      <c r="E32" s="2194">
        <f>E10-E31</f>
        <v>-4389.3222864433483</v>
      </c>
      <c r="F32" s="2194"/>
      <c r="G32" s="2194"/>
      <c r="H32" s="2194">
        <f>H10-H31</f>
        <v>8892.0982888703584</v>
      </c>
      <c r="I32" s="2194"/>
      <c r="J32" s="2194"/>
      <c r="K32" s="2194"/>
      <c r="L32" s="2194"/>
      <c r="M32" s="2194">
        <f>(M10+M30)-M31</f>
        <v>-1449.6995177526551</v>
      </c>
      <c r="N32" s="2194"/>
      <c r="O32" s="2194"/>
      <c r="P32" s="2194"/>
      <c r="Q32" s="2194">
        <f>H32*1.039*1.037</f>
        <v>9580.7290566553438</v>
      </c>
      <c r="R32" s="2338">
        <f>(R10+R30)-R31</f>
        <v>-7566.0008019349043</v>
      </c>
      <c r="S32" s="2338">
        <v>7731.78</v>
      </c>
      <c r="T32" s="2338"/>
      <c r="U32" s="2338"/>
      <c r="V32" s="2338"/>
      <c r="W32" s="2338"/>
      <c r="X32" s="2338"/>
      <c r="Y32" s="2338">
        <f>M32*1.027*1.046-AA32</f>
        <v>-1557.3281093496475</v>
      </c>
      <c r="Z32" s="2265"/>
      <c r="AA32" s="2338"/>
      <c r="AB32" s="2338"/>
      <c r="AC32" s="2338"/>
      <c r="AD32" s="2338"/>
      <c r="AE32" s="2338"/>
      <c r="AF32" s="2379"/>
    </row>
    <row r="33" spans="1:32" s="2195" customFormat="1" ht="40.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>
        <v>0</v>
      </c>
      <c r="Q33" s="2194">
        <v>-3902.11</v>
      </c>
      <c r="R33" s="2338"/>
      <c r="S33" s="2338"/>
      <c r="T33" s="2338"/>
      <c r="U33" s="2338"/>
      <c r="V33" s="2338"/>
      <c r="W33" s="2338"/>
      <c r="X33" s="2338"/>
      <c r="Y33" s="2890">
        <f>'снятие ИП'!G5</f>
        <v>-3569.01</v>
      </c>
      <c r="Z33" s="2265"/>
      <c r="AA33" s="2338"/>
      <c r="AB33" s="2338"/>
      <c r="AC33" s="2338"/>
      <c r="AD33" s="2338"/>
      <c r="AE33" s="2338"/>
      <c r="AF33" s="2379"/>
    </row>
    <row r="34" spans="1:32" s="2197" customFormat="1" ht="181.5" customHeight="1" x14ac:dyDescent="0.25">
      <c r="A34" s="2343" t="s">
        <v>958</v>
      </c>
      <c r="B34" s="2218" t="s">
        <v>1719</v>
      </c>
      <c r="C34" s="2343" t="s">
        <v>915</v>
      </c>
      <c r="D34" s="2343"/>
      <c r="E34" s="2343"/>
      <c r="F34" s="2344"/>
      <c r="G34" s="2344"/>
      <c r="H34" s="2344"/>
      <c r="I34" s="2344"/>
      <c r="J34" s="2344"/>
      <c r="K34" s="2344"/>
      <c r="L34" s="2344"/>
      <c r="M34" s="2344"/>
      <c r="N34" s="2344"/>
      <c r="O34" s="2344"/>
      <c r="P34" s="2346">
        <v>0</v>
      </c>
      <c r="Q34" s="2346">
        <f>-А!C31</f>
        <v>-917.11610446699819</v>
      </c>
      <c r="R34" s="3035"/>
      <c r="S34" s="3035"/>
      <c r="T34" s="3035"/>
      <c r="U34" s="3035"/>
      <c r="V34" s="3035"/>
      <c r="W34" s="3035"/>
      <c r="X34" s="3035"/>
      <c r="Y34" s="3035">
        <f>-'А 2017'!C31</f>
        <v>-969.01570224930151</v>
      </c>
      <c r="Z34" s="3036"/>
      <c r="AA34" s="3035"/>
      <c r="AB34" s="3035"/>
      <c r="AC34" s="3035"/>
      <c r="AD34" s="3035"/>
      <c r="AE34" s="3035"/>
      <c r="AF34" s="3037"/>
    </row>
    <row r="35" spans="1:32" s="3034" customFormat="1" ht="58.5" customHeight="1" x14ac:dyDescent="0.25">
      <c r="A35" s="3031"/>
      <c r="B35" s="3042" t="s">
        <v>3572</v>
      </c>
      <c r="C35" s="3031"/>
      <c r="D35" s="3031"/>
      <c r="E35" s="3031"/>
      <c r="F35" s="3033"/>
      <c r="G35" s="3033"/>
      <c r="H35" s="3033"/>
      <c r="I35" s="3033"/>
      <c r="J35" s="3033"/>
      <c r="K35" s="3033"/>
      <c r="L35" s="3033"/>
      <c r="M35" s="3033"/>
      <c r="N35" s="3033"/>
      <c r="O35" s="3033"/>
      <c r="P35" s="2265"/>
      <c r="Q35" s="2265"/>
      <c r="R35" s="2265"/>
      <c r="S35" s="2265"/>
      <c r="T35" s="2265"/>
      <c r="U35" s="2265"/>
      <c r="V35" s="2265"/>
      <c r="W35" s="2265"/>
      <c r="X35" s="2265"/>
      <c r="Y35" s="2265">
        <f>-(Y32+Y33+Y34)</f>
        <v>6095.3538115989495</v>
      </c>
      <c r="Z35" s="2265"/>
      <c r="AA35" s="2265">
        <f>-Y35+2807.35</f>
        <v>-3288.0038115989496</v>
      </c>
      <c r="AB35" s="2265">
        <f>-2807.35</f>
        <v>-2807.35</v>
      </c>
      <c r="AC35" s="2265"/>
      <c r="AD35" s="2265"/>
      <c r="AE35" s="2265"/>
      <c r="AF35" s="3043"/>
    </row>
    <row r="36" spans="1:32" s="2372" customFormat="1" ht="30" customHeight="1" x14ac:dyDescent="0.2">
      <c r="A36" s="3038" t="s">
        <v>2079</v>
      </c>
      <c r="B36" s="2368" t="s">
        <v>1768</v>
      </c>
      <c r="C36" s="3038" t="s">
        <v>915</v>
      </c>
      <c r="D36" s="3038"/>
      <c r="E36" s="3038"/>
      <c r="F36" s="3039"/>
      <c r="G36" s="3039"/>
      <c r="H36" s="3039"/>
      <c r="I36" s="3039"/>
      <c r="J36" s="3039"/>
      <c r="K36" s="3039">
        <f>K10+K30</f>
        <v>84701.909384375933</v>
      </c>
      <c r="L36" s="3039"/>
      <c r="M36" s="3039"/>
      <c r="N36" s="3039"/>
      <c r="O36" s="3039"/>
      <c r="P36" s="3039"/>
      <c r="Q36" s="3039">
        <f>Q10+Q30+Q32+Q33+Q34</f>
        <v>98987.282966597326</v>
      </c>
      <c r="R36" s="3039"/>
      <c r="S36" s="3039">
        <f t="shared" ref="S36:X36" si="27">S10+S30+S32+S33+S34</f>
        <v>121127.3</v>
      </c>
      <c r="T36" s="3039">
        <f t="shared" si="27"/>
        <v>121134.76000000001</v>
      </c>
      <c r="U36" s="3039">
        <f t="shared" si="27"/>
        <v>124960.26999999999</v>
      </c>
      <c r="V36" s="3039">
        <f t="shared" si="27"/>
        <v>128922.74</v>
      </c>
      <c r="W36" s="3039">
        <f t="shared" si="27"/>
        <v>133042.88</v>
      </c>
      <c r="X36" s="3039">
        <f t="shared" si="27"/>
        <v>0</v>
      </c>
      <c r="Y36" s="3039">
        <f>Y10+Y30+Y32+Y33+Y34+Y35</f>
        <v>96264.342668392695</v>
      </c>
      <c r="Z36" s="3040">
        <f>Y36/Q36*100</f>
        <v>97.24920190089118</v>
      </c>
      <c r="AA36" s="3039">
        <f>AA10+AA30+AA32+AA33+AA34+AA35</f>
        <v>96255.024061003336</v>
      </c>
      <c r="AB36" s="3039">
        <f t="shared" ref="AB36:AE36" si="28">AB10+AB30+AB32+AB33+AB34+AB35</f>
        <v>99106.64973195846</v>
      </c>
      <c r="AC36" s="3039">
        <f t="shared" si="28"/>
        <v>104857.74200689301</v>
      </c>
      <c r="AD36" s="3039">
        <f t="shared" si="28"/>
        <v>107883.212349685</v>
      </c>
      <c r="AE36" s="3039">
        <f t="shared" si="28"/>
        <v>111000.61730132673</v>
      </c>
      <c r="AF36" s="3041"/>
    </row>
    <row r="37" spans="1:32" s="1308" customFormat="1" ht="24.75" customHeight="1" x14ac:dyDescent="0.25">
      <c r="A37" s="2820" t="s">
        <v>2080</v>
      </c>
      <c r="B37" s="2155" t="s">
        <v>1808</v>
      </c>
      <c r="C37" s="2154" t="s">
        <v>950</v>
      </c>
      <c r="D37" s="2399">
        <v>3644.7</v>
      </c>
      <c r="E37" s="2399">
        <v>3186.57</v>
      </c>
      <c r="F37" s="2156">
        <f>объемы!AA58</f>
        <v>3445</v>
      </c>
      <c r="G37" s="2156">
        <f>объемы!W58</f>
        <v>4196.72</v>
      </c>
      <c r="H37" s="2156">
        <f>объемы!Y58</f>
        <v>3040.84</v>
      </c>
      <c r="I37" s="2156">
        <f>F37</f>
        <v>3445</v>
      </c>
      <c r="J37" s="2156">
        <v>3200</v>
      </c>
      <c r="K37" s="2156">
        <f>объемы!AJ57</f>
        <v>3272.75</v>
      </c>
      <c r="L37" s="2156">
        <f>объемы!AN58</f>
        <v>3178.1</v>
      </c>
      <c r="M37" s="2156">
        <f>объемы!AP58</f>
        <v>3178.1</v>
      </c>
      <c r="N37" s="2156">
        <f>объемы!AJ57</f>
        <v>3272.75</v>
      </c>
      <c r="O37" s="2156">
        <f>K37</f>
        <v>3272.75</v>
      </c>
      <c r="P37" s="2156">
        <f>объемы!AL58</f>
        <v>3230</v>
      </c>
      <c r="Q37" s="2156">
        <f>объемы!AR58</f>
        <v>3230</v>
      </c>
      <c r="R37" s="2333"/>
      <c r="S37" s="2333">
        <f>объемы!AV58</f>
        <v>3230</v>
      </c>
      <c r="T37" s="2333">
        <f>S37</f>
        <v>3230</v>
      </c>
      <c r="U37" s="2333">
        <f t="shared" ref="U37:X37" si="29">T37</f>
        <v>3230</v>
      </c>
      <c r="V37" s="2333">
        <f t="shared" si="29"/>
        <v>3230</v>
      </c>
      <c r="W37" s="2333">
        <f t="shared" si="29"/>
        <v>3230</v>
      </c>
      <c r="X37" s="2333">
        <f t="shared" si="29"/>
        <v>3230</v>
      </c>
      <c r="Y37" s="2333">
        <f>объемы!AX58</f>
        <v>3002.3369764914323</v>
      </c>
      <c r="Z37" s="2821">
        <f>Y37/Q37*100</f>
        <v>92.951609179301315</v>
      </c>
      <c r="AA37" s="2333">
        <f>Y37</f>
        <v>3002.3369764914323</v>
      </c>
      <c r="AB37" s="2333">
        <f t="shared" ref="AB37:AE37" si="30">AA37</f>
        <v>3002.3369764914323</v>
      </c>
      <c r="AC37" s="2333">
        <f t="shared" si="30"/>
        <v>3002.3369764914323</v>
      </c>
      <c r="AD37" s="2333">
        <f t="shared" si="30"/>
        <v>3002.3369764914323</v>
      </c>
      <c r="AE37" s="2333">
        <f t="shared" si="30"/>
        <v>3002.3369764914323</v>
      </c>
      <c r="AF37" s="2364"/>
    </row>
    <row r="38" spans="1:32" s="1308" customFormat="1" ht="21.75" customHeight="1" x14ac:dyDescent="0.25">
      <c r="A38" s="2154" t="s">
        <v>2088</v>
      </c>
      <c r="B38" s="2166" t="s">
        <v>951</v>
      </c>
      <c r="C38" s="2154" t="s">
        <v>950</v>
      </c>
      <c r="D38" s="2399">
        <v>2600</v>
      </c>
      <c r="E38" s="2399">
        <v>2289.52</v>
      </c>
      <c r="F38" s="2156">
        <f>объемы!AA59</f>
        <v>2448</v>
      </c>
      <c r="G38" s="2156">
        <f>объемы!W59</f>
        <v>2239.89</v>
      </c>
      <c r="H38" s="2156">
        <f>объемы!Y59</f>
        <v>2239.89</v>
      </c>
      <c r="I38" s="2156">
        <f>F38</f>
        <v>2448</v>
      </c>
      <c r="J38" s="2156">
        <v>2300</v>
      </c>
      <c r="K38" s="2156">
        <f>объемы!AJ59</f>
        <v>2300</v>
      </c>
      <c r="L38" s="2156">
        <f>объемы!AN59</f>
        <v>2420.66</v>
      </c>
      <c r="M38" s="2156">
        <f>L38</f>
        <v>2420.66</v>
      </c>
      <c r="N38" s="2156">
        <f>объемы!AJ59</f>
        <v>2300</v>
      </c>
      <c r="O38" s="2156">
        <v>2300</v>
      </c>
      <c r="P38" s="2156">
        <f>объемы!AL59</f>
        <v>2280</v>
      </c>
      <c r="Q38" s="2156">
        <f>объемы!AR59</f>
        <v>2280</v>
      </c>
      <c r="R38" s="2333"/>
      <c r="S38" s="2333">
        <f>объемы!AV59</f>
        <v>2280</v>
      </c>
      <c r="T38" s="2333">
        <f>S38</f>
        <v>2280</v>
      </c>
      <c r="U38" s="2333">
        <f t="shared" ref="U38:X38" si="31">T38</f>
        <v>2280</v>
      </c>
      <c r="V38" s="2333">
        <f t="shared" si="31"/>
        <v>2280</v>
      </c>
      <c r="W38" s="2333">
        <f t="shared" si="31"/>
        <v>2280</v>
      </c>
      <c r="X38" s="2333">
        <f t="shared" si="31"/>
        <v>2280</v>
      </c>
      <c r="Y38" s="2333">
        <f>объемы!AX59</f>
        <v>2280</v>
      </c>
      <c r="Z38" s="2821">
        <f>Y38/Q38*100</f>
        <v>100</v>
      </c>
      <c r="AA38" s="2333">
        <f>Y38</f>
        <v>2280</v>
      </c>
      <c r="AB38" s="2333">
        <f t="shared" ref="AB38:AE38" si="32">AA38</f>
        <v>2280</v>
      </c>
      <c r="AC38" s="2333">
        <f t="shared" si="32"/>
        <v>2280</v>
      </c>
      <c r="AD38" s="2333">
        <f t="shared" si="32"/>
        <v>2280</v>
      </c>
      <c r="AE38" s="2333">
        <f t="shared" si="32"/>
        <v>2280</v>
      </c>
      <c r="AF38" s="2359"/>
    </row>
    <row r="39" spans="1:32" s="1307" customFormat="1" x14ac:dyDescent="0.25">
      <c r="A39" s="2167" t="s">
        <v>2081</v>
      </c>
      <c r="B39" s="2168" t="s">
        <v>953</v>
      </c>
      <c r="C39" s="2167" t="s">
        <v>954</v>
      </c>
      <c r="D39" s="2398">
        <f t="shared" ref="D39:J39" si="33">D10/D37</f>
        <v>24.290152824649493</v>
      </c>
      <c r="E39" s="2398">
        <f t="shared" si="33"/>
        <v>22.912708649111735</v>
      </c>
      <c r="F39" s="2398">
        <f t="shared" si="33"/>
        <v>24.708181875298283</v>
      </c>
      <c r="G39" s="2398">
        <f t="shared" si="33"/>
        <v>19.350159171924744</v>
      </c>
      <c r="H39" s="2398">
        <f t="shared" si="33"/>
        <v>27.621223433219228</v>
      </c>
      <c r="I39" s="2398">
        <f t="shared" si="33"/>
        <v>26.163633082836338</v>
      </c>
      <c r="J39" s="2398">
        <f t="shared" si="33"/>
        <v>28.026003124999999</v>
      </c>
      <c r="K39" s="2398">
        <f>K36/K37</f>
        <v>25.880959249675634</v>
      </c>
      <c r="L39" s="2398"/>
      <c r="M39" s="2398"/>
      <c r="N39" s="2398">
        <f>(N10+N30)/N37</f>
        <v>28.796345180959044</v>
      </c>
      <c r="O39" s="2398">
        <f>(O10+O30)/O37</f>
        <v>29.739021331602622</v>
      </c>
      <c r="P39" s="2398">
        <f>(P10+P30)/P37</f>
        <v>30.185198142414862</v>
      </c>
      <c r="Q39" s="2398">
        <f>Q36/Q37</f>
        <v>30.646217636717438</v>
      </c>
      <c r="R39" s="2398"/>
      <c r="S39" s="2398">
        <f t="shared" ref="S39:AE39" si="34">S36/S37</f>
        <v>37.500712074303408</v>
      </c>
      <c r="T39" s="2398">
        <f t="shared" si="34"/>
        <v>37.50302167182663</v>
      </c>
      <c r="U39" s="2398">
        <f t="shared" si="34"/>
        <v>38.687390092879255</v>
      </c>
      <c r="V39" s="2398">
        <f t="shared" si="34"/>
        <v>39.914160990712077</v>
      </c>
      <c r="W39" s="2398">
        <f t="shared" si="34"/>
        <v>41.189746130030962</v>
      </c>
      <c r="X39" s="2398">
        <f t="shared" si="34"/>
        <v>0</v>
      </c>
      <c r="Y39" s="2398">
        <f t="shared" si="34"/>
        <v>32.063137290101388</v>
      </c>
      <c r="Z39" s="2825">
        <f>Y39/Q39*100</f>
        <v>104.62347318086759</v>
      </c>
      <c r="AA39" s="2398">
        <f>AA36/AA37</f>
        <v>32.060033505462179</v>
      </c>
      <c r="AB39" s="2398">
        <f t="shared" si="34"/>
        <v>33.009835507463826</v>
      </c>
      <c r="AC39" s="2398">
        <f t="shared" si="34"/>
        <v>34.925374076240786</v>
      </c>
      <c r="AD39" s="2398">
        <f t="shared" si="34"/>
        <v>35.933079196112971</v>
      </c>
      <c r="AE39" s="2398">
        <f t="shared" si="34"/>
        <v>36.971405332070155</v>
      </c>
      <c r="AF39" s="2365"/>
    </row>
    <row r="40" spans="1:32" s="1307" customFormat="1" x14ac:dyDescent="0.25">
      <c r="A40" s="2167"/>
      <c r="B40" s="2170" t="s">
        <v>955</v>
      </c>
      <c r="C40" s="2167" t="s">
        <v>954</v>
      </c>
      <c r="D40" s="2397">
        <f>D39</f>
        <v>24.290152824649493</v>
      </c>
      <c r="E40" s="2167"/>
      <c r="F40" s="2169">
        <v>24.29</v>
      </c>
      <c r="G40" s="2169">
        <f>F40</f>
        <v>24.29</v>
      </c>
      <c r="H40" s="2169">
        <f>F40</f>
        <v>24.29</v>
      </c>
      <c r="I40" s="2169">
        <f>F41</f>
        <v>25.126363750596568</v>
      </c>
      <c r="J40" s="2169"/>
      <c r="K40" s="2169">
        <f>F41</f>
        <v>25.126363750596568</v>
      </c>
      <c r="L40" s="2169"/>
      <c r="M40" s="2169"/>
      <c r="N40" s="2169">
        <f>I41</f>
        <v>27.200902415076108</v>
      </c>
      <c r="O40" s="2169">
        <f>K41</f>
        <v>26.6355547487547</v>
      </c>
      <c r="P40" s="2169">
        <f>K41</f>
        <v>26.6355547487547</v>
      </c>
      <c r="Q40" s="2169">
        <f>K41</f>
        <v>26.6355547487547</v>
      </c>
      <c r="R40" s="2339"/>
      <c r="S40" s="2339"/>
      <c r="T40" s="2339"/>
      <c r="U40" s="2339"/>
      <c r="V40" s="2339"/>
      <c r="W40" s="2339"/>
      <c r="X40" s="2339"/>
      <c r="Y40" s="2339">
        <f>Y39</f>
        <v>32.063137290101388</v>
      </c>
      <c r="Z40" s="2339"/>
      <c r="AA40" s="2339">
        <f>Y41</f>
        <v>32.063137290101388</v>
      </c>
      <c r="AB40" s="2339">
        <f>AA41</f>
        <v>32.056929720822971</v>
      </c>
      <c r="AC40" s="2339">
        <f t="shared" ref="AC40:AE40" si="35">AB41</f>
        <v>33.962741294104681</v>
      </c>
      <c r="AD40" s="2339">
        <f t="shared" si="35"/>
        <v>35.88800685837689</v>
      </c>
      <c r="AE40" s="2339">
        <f t="shared" si="35"/>
        <v>35.978151533849051</v>
      </c>
      <c r="AF40" s="2365"/>
    </row>
    <row r="41" spans="1:32" s="1307" customFormat="1" x14ac:dyDescent="0.25">
      <c r="A41" s="2167"/>
      <c r="B41" s="2170" t="s">
        <v>956</v>
      </c>
      <c r="C41" s="2167" t="s">
        <v>954</v>
      </c>
      <c r="D41" s="2397">
        <f>D40</f>
        <v>24.290152824649493</v>
      </c>
      <c r="E41" s="2167"/>
      <c r="F41" s="2169">
        <f>F39*2-F40</f>
        <v>25.126363750596568</v>
      </c>
      <c r="G41" s="2169">
        <f t="shared" ref="G41:H41" si="36">G39*2-G40</f>
        <v>14.41031834384949</v>
      </c>
      <c r="H41" s="2169">
        <f t="shared" si="36"/>
        <v>30.952446866438457</v>
      </c>
      <c r="I41" s="2169">
        <f>I39*2-I40</f>
        <v>27.200902415076108</v>
      </c>
      <c r="J41" s="2169"/>
      <c r="K41" s="2169">
        <f>K39*2-K40</f>
        <v>26.6355547487547</v>
      </c>
      <c r="L41" s="2169"/>
      <c r="M41" s="2169"/>
      <c r="N41" s="2169">
        <f>N39*2-N40</f>
        <v>30.39178794684198</v>
      </c>
      <c r="O41" s="2169">
        <f>O39*2-O40</f>
        <v>32.842487914450544</v>
      </c>
      <c r="P41" s="2169">
        <f t="shared" ref="P41:Q41" si="37">P39*2-P40</f>
        <v>33.734841536075024</v>
      </c>
      <c r="Q41" s="2169">
        <f t="shared" si="37"/>
        <v>34.656880524680176</v>
      </c>
      <c r="R41" s="2339"/>
      <c r="S41" s="2339"/>
      <c r="T41" s="2339"/>
      <c r="U41" s="2339"/>
      <c r="V41" s="2339"/>
      <c r="W41" s="2339"/>
      <c r="X41" s="2339"/>
      <c r="Y41" s="2169">
        <f t="shared" ref="Y41:AE41" si="38">Y39*2-Y40</f>
        <v>32.063137290101388</v>
      </c>
      <c r="Z41" s="2169"/>
      <c r="AA41" s="2169">
        <f t="shared" si="38"/>
        <v>32.056929720822971</v>
      </c>
      <c r="AB41" s="2169">
        <f t="shared" si="38"/>
        <v>33.962741294104681</v>
      </c>
      <c r="AC41" s="2169">
        <f t="shared" si="38"/>
        <v>35.88800685837689</v>
      </c>
      <c r="AD41" s="2169">
        <f t="shared" si="38"/>
        <v>35.978151533849051</v>
      </c>
      <c r="AE41" s="2169">
        <f t="shared" si="38"/>
        <v>37.96465913029126</v>
      </c>
      <c r="AF41" s="2365"/>
    </row>
    <row r="42" spans="1:32" s="1307" customFormat="1" x14ac:dyDescent="0.25">
      <c r="A42" s="2167"/>
      <c r="B42" s="2168" t="s">
        <v>957</v>
      </c>
      <c r="C42" s="2167"/>
      <c r="D42" s="2167"/>
      <c r="E42" s="2167"/>
      <c r="F42" s="2169"/>
      <c r="G42" s="2169"/>
      <c r="H42" s="2169"/>
      <c r="I42" s="2169"/>
      <c r="J42" s="2169"/>
      <c r="K42" s="2169"/>
      <c r="L42" s="2169"/>
      <c r="M42" s="2169"/>
      <c r="N42" s="2169"/>
      <c r="O42" s="2169"/>
      <c r="P42" s="2169"/>
      <c r="Q42" s="2169"/>
      <c r="R42" s="2339"/>
      <c r="S42" s="2339"/>
      <c r="T42" s="2339"/>
      <c r="U42" s="2339"/>
      <c r="V42" s="2339"/>
      <c r="W42" s="2339"/>
      <c r="X42" s="2339"/>
      <c r="Y42" s="2339"/>
      <c r="Z42" s="2339"/>
      <c r="AA42" s="2339"/>
      <c r="AB42" s="2339"/>
      <c r="AC42" s="2339"/>
      <c r="AD42" s="2339"/>
      <c r="AE42" s="2339"/>
      <c r="AF42" s="2365"/>
    </row>
    <row r="43" spans="1:32" s="1307" customFormat="1" x14ac:dyDescent="0.25">
      <c r="A43" s="2167"/>
      <c r="B43" s="2170" t="s">
        <v>955</v>
      </c>
      <c r="C43" s="2167" t="s">
        <v>44</v>
      </c>
      <c r="D43" s="2167"/>
      <c r="E43" s="2167"/>
      <c r="F43" s="2169"/>
      <c r="G43" s="2169"/>
      <c r="H43" s="2169"/>
      <c r="I43" s="2169">
        <f>I40/F41*100</f>
        <v>100</v>
      </c>
      <c r="J43" s="2169"/>
      <c r="K43" s="2169">
        <f>K40/F41*100</f>
        <v>100</v>
      </c>
      <c r="L43" s="2169"/>
      <c r="M43" s="2169"/>
      <c r="N43" s="2169">
        <f>N40/I41*100</f>
        <v>100</v>
      </c>
      <c r="O43" s="2169">
        <f>O40/K41*100</f>
        <v>100</v>
      </c>
      <c r="P43" s="2169"/>
      <c r="Q43" s="2169"/>
      <c r="R43" s="2339"/>
      <c r="S43" s="2339"/>
      <c r="T43" s="2339"/>
      <c r="U43" s="2339"/>
      <c r="V43" s="2339"/>
      <c r="W43" s="2339"/>
      <c r="X43" s="2339"/>
      <c r="Y43" s="2339">
        <f>Y40/Q41*100</f>
        <v>92.515935666132137</v>
      </c>
      <c r="Z43" s="2339"/>
      <c r="AA43" s="2339">
        <f>AA40/Y41*100</f>
        <v>100</v>
      </c>
      <c r="AB43" s="2339">
        <f t="shared" ref="AB43:AE43" si="39">AB40/AA41*100</f>
        <v>100</v>
      </c>
      <c r="AC43" s="2339">
        <f t="shared" si="39"/>
        <v>100</v>
      </c>
      <c r="AD43" s="2339">
        <f t="shared" si="39"/>
        <v>100</v>
      </c>
      <c r="AE43" s="2339">
        <f t="shared" si="39"/>
        <v>100</v>
      </c>
      <c r="AF43" s="2365"/>
    </row>
    <row r="44" spans="1:32" s="1307" customFormat="1" x14ac:dyDescent="0.25">
      <c r="A44" s="2167"/>
      <c r="B44" s="2170" t="s">
        <v>956</v>
      </c>
      <c r="C44" s="2167" t="s">
        <v>44</v>
      </c>
      <c r="D44" s="2167"/>
      <c r="E44" s="2167"/>
      <c r="F44" s="2169">
        <f>F41/F40*100</f>
        <v>103.44324310661412</v>
      </c>
      <c r="G44" s="2169"/>
      <c r="H44" s="2169"/>
      <c r="I44" s="2169">
        <f>I41/I40*100</f>
        <v>108.25642215909687</v>
      </c>
      <c r="J44" s="2169"/>
      <c r="K44" s="2169">
        <f>K41/K40*100</f>
        <v>106.00640432152584</v>
      </c>
      <c r="L44" s="2169"/>
      <c r="M44" s="2169"/>
      <c r="N44" s="2169">
        <f>N41/N40*100</f>
        <v>111.73080761466694</v>
      </c>
      <c r="O44" s="2169">
        <f>O41/O40*100</f>
        <v>123.30318712804748</v>
      </c>
      <c r="P44" s="2169">
        <f t="shared" ref="P44:Q44" si="40">P41/P40*100</f>
        <v>126.6534219177554</v>
      </c>
      <c r="Q44" s="2169">
        <f t="shared" si="40"/>
        <v>130.11510686219327</v>
      </c>
      <c r="R44" s="2339"/>
      <c r="S44" s="2339"/>
      <c r="T44" s="2339"/>
      <c r="U44" s="2339"/>
      <c r="V44" s="2339"/>
      <c r="W44" s="2339"/>
      <c r="X44" s="2339"/>
      <c r="Y44" s="2339">
        <f>Y41/Y40*100</f>
        <v>100</v>
      </c>
      <c r="Z44" s="2339"/>
      <c r="AA44" s="2339">
        <f t="shared" ref="AA44:AE44" si="41">AA41/AA40*100</f>
        <v>99.980639544963267</v>
      </c>
      <c r="AB44" s="2339">
        <f t="shared" si="41"/>
        <v>105.94508454140498</v>
      </c>
      <c r="AC44" s="2339">
        <f t="shared" si="41"/>
        <v>105.66875785320191</v>
      </c>
      <c r="AD44" s="2339">
        <f t="shared" si="41"/>
        <v>100.2511832875754</v>
      </c>
      <c r="AE44" s="2339">
        <f t="shared" si="41"/>
        <v>105.52142762135308</v>
      </c>
      <c r="AF44" s="2365"/>
    </row>
    <row r="45" spans="1:32" ht="25.5" customHeight="1" x14ac:dyDescent="0.25">
      <c r="A45" s="2173" t="s">
        <v>2089</v>
      </c>
      <c r="B45" s="2174" t="s">
        <v>959</v>
      </c>
      <c r="C45" s="2175"/>
      <c r="D45" s="2175"/>
      <c r="E45" s="2175"/>
      <c r="F45" s="2175"/>
      <c r="G45" s="2175"/>
      <c r="H45" s="2175"/>
      <c r="I45" s="2175"/>
      <c r="J45" s="2175"/>
      <c r="K45" s="2175"/>
      <c r="L45" s="2175"/>
      <c r="M45" s="2175"/>
      <c r="N45" s="2175"/>
      <c r="O45" s="2175"/>
      <c r="P45" s="2175"/>
      <c r="Q45" s="2175"/>
      <c r="R45" s="2340"/>
      <c r="S45" s="2340"/>
      <c r="T45" s="2340"/>
      <c r="U45" s="2340"/>
      <c r="V45" s="2340"/>
      <c r="W45" s="2340"/>
      <c r="X45" s="2340"/>
      <c r="Y45" s="2340"/>
      <c r="Z45" s="2340"/>
      <c r="AA45" s="2340"/>
      <c r="AB45" s="2340"/>
      <c r="AC45" s="2340"/>
      <c r="AD45" s="2340"/>
      <c r="AE45" s="2340"/>
      <c r="AF45" s="2380"/>
    </row>
    <row r="46" spans="1:32" x14ac:dyDescent="0.25">
      <c r="A46" s="2175"/>
      <c r="B46" s="2176" t="s">
        <v>955</v>
      </c>
      <c r="C46" s="2177" t="s">
        <v>960</v>
      </c>
      <c r="D46" s="2177"/>
      <c r="E46" s="2177"/>
      <c r="F46" s="2179">
        <v>21.01</v>
      </c>
      <c r="G46" s="2179"/>
      <c r="H46" s="2179"/>
      <c r="I46" s="2179">
        <f>F47</f>
        <v>22.500000000000004</v>
      </c>
      <c r="J46" s="2179"/>
      <c r="K46" s="2179">
        <f>F47</f>
        <v>22.500000000000004</v>
      </c>
      <c r="L46" s="2179"/>
      <c r="M46" s="2179"/>
      <c r="N46" s="2179">
        <f>I47</f>
        <v>23.782500000000002</v>
      </c>
      <c r="O46" s="2179"/>
      <c r="P46" s="2179"/>
      <c r="Q46" s="2179">
        <f>K47</f>
        <v>23.467500000000001</v>
      </c>
      <c r="R46" s="2341"/>
      <c r="S46" s="2341"/>
      <c r="T46" s="2341"/>
      <c r="U46" s="2341"/>
      <c r="V46" s="2341"/>
      <c r="W46" s="2341"/>
      <c r="X46" s="2341"/>
      <c r="Y46" s="2179">
        <f>Q47</f>
        <v>24.87</v>
      </c>
      <c r="Z46" s="2341"/>
      <c r="AA46" s="2341">
        <f>Y47</f>
        <v>25.44201</v>
      </c>
      <c r="AB46" s="2341">
        <f t="shared" ref="AB46:AE46" si="42">AA47</f>
        <v>26.459690399999999</v>
      </c>
      <c r="AC46" s="2341">
        <f t="shared" si="42"/>
        <v>27.518078016</v>
      </c>
      <c r="AD46" s="2341">
        <f t="shared" si="42"/>
        <v>28.618801136640002</v>
      </c>
      <c r="AE46" s="2341">
        <f t="shared" si="42"/>
        <v>29.763553182105603</v>
      </c>
      <c r="AF46" s="2381"/>
    </row>
    <row r="47" spans="1:32" x14ac:dyDescent="0.25">
      <c r="A47" s="2175"/>
      <c r="B47" s="2176" t="s">
        <v>956</v>
      </c>
      <c r="C47" s="2177" t="s">
        <v>960</v>
      </c>
      <c r="D47" s="2177"/>
      <c r="E47" s="2177"/>
      <c r="F47" s="2179">
        <f>26.55/1.18</f>
        <v>22.500000000000004</v>
      </c>
      <c r="G47" s="2179"/>
      <c r="H47" s="2179"/>
      <c r="I47" s="2179">
        <f>I46*1.057</f>
        <v>23.782500000000002</v>
      </c>
      <c r="J47" s="2179"/>
      <c r="K47" s="2179">
        <f>K46*1.043</f>
        <v>23.467500000000001</v>
      </c>
      <c r="L47" s="2179"/>
      <c r="M47" s="2179"/>
      <c r="N47" s="2179">
        <f>N46*1.06</f>
        <v>25.209450000000004</v>
      </c>
      <c r="O47" s="2179"/>
      <c r="P47" s="2179"/>
      <c r="Q47" s="2179">
        <v>24.87</v>
      </c>
      <c r="R47" s="2341"/>
      <c r="S47" s="2341"/>
      <c r="T47" s="2341"/>
      <c r="U47" s="2341"/>
      <c r="V47" s="2341"/>
      <c r="W47" s="2341"/>
      <c r="X47" s="2341"/>
      <c r="Y47" s="2179">
        <f>Y46*1.023</f>
        <v>25.44201</v>
      </c>
      <c r="Z47" s="2341"/>
      <c r="AA47" s="2341">
        <f>AA46*1.04</f>
        <v>26.459690399999999</v>
      </c>
      <c r="AB47" s="2341">
        <f t="shared" ref="AB47:AE47" si="43">AB46*1.04</f>
        <v>27.518078016</v>
      </c>
      <c r="AC47" s="2341">
        <f t="shared" si="43"/>
        <v>28.618801136640002</v>
      </c>
      <c r="AD47" s="2341">
        <f t="shared" si="43"/>
        <v>29.763553182105603</v>
      </c>
      <c r="AE47" s="2341">
        <f t="shared" si="43"/>
        <v>30.954095309389828</v>
      </c>
      <c r="AF47" s="2381"/>
    </row>
    <row r="48" spans="1:32" x14ac:dyDescent="0.25">
      <c r="A48" s="2175"/>
      <c r="B48" s="2176" t="s">
        <v>357</v>
      </c>
      <c r="C48" s="2177" t="s">
        <v>44</v>
      </c>
      <c r="D48" s="2177"/>
      <c r="E48" s="2177"/>
      <c r="F48" s="2278">
        <f>F47/F46*100</f>
        <v>107.09186101856261</v>
      </c>
      <c r="G48" s="2278"/>
      <c r="H48" s="2278"/>
      <c r="I48" s="2178">
        <f>I47/I46*100</f>
        <v>105.69999999999999</v>
      </c>
      <c r="J48" s="2178"/>
      <c r="K48" s="2278">
        <f>K47/K46*100</f>
        <v>104.3</v>
      </c>
      <c r="L48" s="2278"/>
      <c r="M48" s="2278"/>
      <c r="N48" s="2278">
        <f>N47/N46*100</f>
        <v>106</v>
      </c>
      <c r="O48" s="2278"/>
      <c r="P48" s="2278"/>
      <c r="Q48" s="2278">
        <f>Q47/Q46*100</f>
        <v>105.97635027165228</v>
      </c>
      <c r="R48" s="2374"/>
      <c r="S48" s="2374"/>
      <c r="T48" s="2374"/>
      <c r="U48" s="2374"/>
      <c r="V48" s="2374"/>
      <c r="W48" s="2374"/>
      <c r="X48" s="2374"/>
      <c r="Y48" s="2278">
        <f>Y47/Y46*100</f>
        <v>102.3</v>
      </c>
      <c r="Z48" s="2278"/>
      <c r="AA48" s="2278">
        <f t="shared" ref="AA48:AE48" si="44">AA47/AA46*100</f>
        <v>104</v>
      </c>
      <c r="AB48" s="2278">
        <f t="shared" si="44"/>
        <v>104</v>
      </c>
      <c r="AC48" s="2278">
        <f t="shared" si="44"/>
        <v>104</v>
      </c>
      <c r="AD48" s="2278">
        <f t="shared" si="44"/>
        <v>104</v>
      </c>
      <c r="AE48" s="2278">
        <f t="shared" si="44"/>
        <v>104</v>
      </c>
      <c r="AF48" s="2382"/>
    </row>
    <row r="49" spans="1:32" x14ac:dyDescent="0.25">
      <c r="A49" s="2175"/>
      <c r="B49" s="2174" t="s">
        <v>961</v>
      </c>
      <c r="C49" s="2177" t="s">
        <v>915</v>
      </c>
      <c r="D49" s="2177"/>
      <c r="E49" s="2177"/>
      <c r="F49" s="2179">
        <f>(F40-F46)*F38/2+(F41-F47)*F38/2</f>
        <v>7229.3892307301912</v>
      </c>
      <c r="G49" s="2179"/>
      <c r="H49" s="2179"/>
      <c r="I49" s="2179">
        <f>(I40-I46)*I38/2+(I41-I47)*I38/2</f>
        <v>7398.793786783348</v>
      </c>
      <c r="J49" s="2179"/>
      <c r="K49" s="2179">
        <f>(K40-K46)*K38/2+(K41-K47)*K38/2</f>
        <v>6663.5812742539529</v>
      </c>
      <c r="L49" s="2179"/>
      <c r="M49" s="2179"/>
      <c r="N49" s="2179">
        <f>(N40-N46)*N38/2+(N41-N47)*N38/2</f>
        <v>9890.8514162057945</v>
      </c>
      <c r="O49" s="2179"/>
      <c r="P49" s="2179"/>
      <c r="Q49" s="2179">
        <f>(Q40-Q46)*Q38/2+(Q41-Q47)*Q38/2</f>
        <v>14768.626211715757</v>
      </c>
      <c r="R49" s="2341"/>
      <c r="S49" s="2341"/>
      <c r="T49" s="2341"/>
      <c r="U49" s="2341"/>
      <c r="V49" s="2341"/>
      <c r="W49" s="2341"/>
      <c r="X49" s="2341"/>
      <c r="Y49" s="2179">
        <f>(Y40-Y46)*Y38/2+(Y41-Y47)*Y38/2</f>
        <v>15748.261621431164</v>
      </c>
      <c r="Z49" s="2179"/>
      <c r="AA49" s="2179">
        <f t="shared" ref="AA49:AE49" si="45">(AA40-AA46)*AA38/2+(AA41-AA47)*AA38/2</f>
        <v>13928.937936453771</v>
      </c>
      <c r="AB49" s="2179">
        <f t="shared" si="45"/>
        <v>13727.768962777523</v>
      </c>
      <c r="AC49" s="2179">
        <f t="shared" si="45"/>
        <v>15633.810659819388</v>
      </c>
      <c r="AD49" s="2179">
        <f t="shared" si="45"/>
        <v>15371.536643767582</v>
      </c>
      <c r="AE49" s="2179">
        <f t="shared" si="45"/>
        <v>15076.684876815161</v>
      </c>
      <c r="AF49" s="2381"/>
    </row>
    <row r="50" spans="1:32" ht="32.25" customHeight="1" x14ac:dyDescent="0.25">
      <c r="A50" s="2173" t="s">
        <v>2090</v>
      </c>
      <c r="B50" s="2174" t="s">
        <v>1566</v>
      </c>
      <c r="C50" s="2175"/>
      <c r="D50" s="2175"/>
      <c r="E50" s="2175"/>
      <c r="F50" s="2182"/>
      <c r="G50" s="2182"/>
      <c r="H50" s="2182"/>
      <c r="I50" s="2182"/>
      <c r="J50" s="2182"/>
      <c r="K50" s="2182"/>
      <c r="L50" s="2182"/>
      <c r="M50" s="2182"/>
      <c r="N50" s="2175"/>
      <c r="O50" s="2175"/>
      <c r="P50" s="2175"/>
      <c r="Q50" s="2175"/>
      <c r="R50" s="2340"/>
      <c r="S50" s="2340"/>
      <c r="T50" s="2340"/>
      <c r="U50" s="2340"/>
      <c r="V50" s="2340"/>
      <c r="W50" s="2340"/>
      <c r="X50" s="2340"/>
      <c r="Y50" s="2340"/>
      <c r="Z50" s="2340"/>
      <c r="AA50" s="2340"/>
      <c r="AB50" s="2340"/>
      <c r="AC50" s="2340"/>
      <c r="AD50" s="2340"/>
      <c r="AE50" s="2340"/>
      <c r="AF50" s="2380"/>
    </row>
    <row r="51" spans="1:32" x14ac:dyDescent="0.25">
      <c r="A51" s="2175"/>
      <c r="B51" s="2176" t="s">
        <v>955</v>
      </c>
      <c r="C51" s="2177" t="s">
        <v>960</v>
      </c>
      <c r="D51" s="2177"/>
      <c r="E51" s="2177"/>
      <c r="F51" s="2179">
        <f>F46*1.18</f>
        <v>24.791800000000002</v>
      </c>
      <c r="G51" s="2179"/>
      <c r="H51" s="2179"/>
      <c r="I51" s="2179">
        <f>F52</f>
        <v>26.550000000000004</v>
      </c>
      <c r="J51" s="2179"/>
      <c r="K51" s="2472">
        <f>F52</f>
        <v>26.550000000000004</v>
      </c>
      <c r="L51" s="2472"/>
      <c r="M51" s="2472"/>
      <c r="N51" s="2179">
        <f>I52</f>
        <v>28.063350000000003</v>
      </c>
      <c r="O51" s="2179"/>
      <c r="P51" s="2179"/>
      <c r="Q51" s="2179">
        <f>Q46*1.18</f>
        <v>27.691649999999999</v>
      </c>
      <c r="R51" s="2341"/>
      <c r="S51" s="2341"/>
      <c r="T51" s="2341"/>
      <c r="U51" s="2341"/>
      <c r="V51" s="2341"/>
      <c r="W51" s="2341"/>
      <c r="X51" s="2341"/>
      <c r="Y51" s="2341">
        <f>Y46*1.2</f>
        <v>29.844000000000001</v>
      </c>
      <c r="Z51" s="2341"/>
      <c r="AA51" s="2341">
        <f t="shared" ref="AA51:AE51" si="46">AA46*1.2</f>
        <v>30.530411999999998</v>
      </c>
      <c r="AB51" s="2341">
        <f t="shared" si="46"/>
        <v>31.751628479999997</v>
      </c>
      <c r="AC51" s="2341">
        <f t="shared" si="46"/>
        <v>33.021693619200001</v>
      </c>
      <c r="AD51" s="2341">
        <f t="shared" si="46"/>
        <v>34.342561363968002</v>
      </c>
      <c r="AE51" s="2341">
        <f t="shared" si="46"/>
        <v>35.71626381852672</v>
      </c>
      <c r="AF51" s="2381"/>
    </row>
    <row r="52" spans="1:32" x14ac:dyDescent="0.25">
      <c r="A52" s="2175"/>
      <c r="B52" s="2176" t="s">
        <v>956</v>
      </c>
      <c r="C52" s="2177" t="s">
        <v>960</v>
      </c>
      <c r="D52" s="2177"/>
      <c r="E52" s="2177"/>
      <c r="F52" s="2179">
        <f>F47*1.18</f>
        <v>26.550000000000004</v>
      </c>
      <c r="G52" s="2179"/>
      <c r="H52" s="2179"/>
      <c r="I52" s="2179">
        <f>I51*1.057</f>
        <v>28.063350000000003</v>
      </c>
      <c r="J52" s="2179"/>
      <c r="K52" s="2472">
        <f>K47*1.18</f>
        <v>27.691649999999999</v>
      </c>
      <c r="L52" s="2472"/>
      <c r="M52" s="2472"/>
      <c r="N52" s="2180">
        <f>N51*1.046</f>
        <v>29.354264100000005</v>
      </c>
      <c r="O52" s="2180"/>
      <c r="P52" s="2180"/>
      <c r="Q52" s="2179">
        <f>Q47*1.18</f>
        <v>29.346599999999999</v>
      </c>
      <c r="R52" s="2341"/>
      <c r="S52" s="2341"/>
      <c r="T52" s="2341"/>
      <c r="U52" s="2341"/>
      <c r="V52" s="2341"/>
      <c r="W52" s="2341"/>
      <c r="X52" s="2341"/>
      <c r="Y52" s="2341">
        <f>Y47*1.2</f>
        <v>30.530411999999998</v>
      </c>
      <c r="Z52" s="2341"/>
      <c r="AA52" s="2341">
        <f t="shared" ref="AA52:AE52" si="47">AA47*1.2</f>
        <v>31.751628479999997</v>
      </c>
      <c r="AB52" s="2341">
        <f t="shared" si="47"/>
        <v>33.021693619200001</v>
      </c>
      <c r="AC52" s="2341">
        <f t="shared" si="47"/>
        <v>34.342561363968002</v>
      </c>
      <c r="AD52" s="2341">
        <f t="shared" si="47"/>
        <v>35.71626381852672</v>
      </c>
      <c r="AE52" s="2341">
        <f t="shared" si="47"/>
        <v>37.144914371267795</v>
      </c>
      <c r="AF52" s="2381"/>
    </row>
    <row r="53" spans="1:32" x14ac:dyDescent="0.25">
      <c r="A53" s="2175"/>
      <c r="B53" s="2176" t="s">
        <v>357</v>
      </c>
      <c r="C53" s="2177" t="s">
        <v>44</v>
      </c>
      <c r="D53" s="2177"/>
      <c r="E53" s="2177"/>
      <c r="F53" s="2179">
        <f>F52/F51*100</f>
        <v>107.09186101856261</v>
      </c>
      <c r="G53" s="2179"/>
      <c r="H53" s="2179"/>
      <c r="I53" s="2179">
        <f>I52/I51*100</f>
        <v>105.69999999999999</v>
      </c>
      <c r="J53" s="2178"/>
      <c r="K53" s="2179">
        <f>K52/K51*100</f>
        <v>104.29999999999997</v>
      </c>
      <c r="L53" s="2179"/>
      <c r="M53" s="2179"/>
      <c r="N53" s="2175">
        <f>N52/N51*100</f>
        <v>104.60000000000001</v>
      </c>
      <c r="O53" s="2175"/>
      <c r="P53" s="2175"/>
      <c r="Q53" s="2473">
        <f>Q52/Q51*100</f>
        <v>105.97635027165228</v>
      </c>
      <c r="R53" s="2474"/>
      <c r="S53" s="2474"/>
      <c r="T53" s="2474"/>
      <c r="U53" s="2474"/>
      <c r="V53" s="2474"/>
      <c r="W53" s="2474"/>
      <c r="X53" s="2474"/>
      <c r="Y53" s="2474">
        <f>Y52/Y51*100</f>
        <v>102.3</v>
      </c>
      <c r="Z53" s="2474"/>
      <c r="AA53" s="2474">
        <f t="shared" ref="AA53:AE53" si="48">AA52/AA51*100</f>
        <v>104</v>
      </c>
      <c r="AB53" s="2474">
        <f t="shared" si="48"/>
        <v>104</v>
      </c>
      <c r="AC53" s="2474">
        <f t="shared" si="48"/>
        <v>104</v>
      </c>
      <c r="AD53" s="2474">
        <f t="shared" si="48"/>
        <v>104</v>
      </c>
      <c r="AE53" s="2474">
        <f t="shared" si="48"/>
        <v>104.00000000000003</v>
      </c>
      <c r="AF53" s="2380"/>
    </row>
    <row r="56" spans="1:32" x14ac:dyDescent="0.25">
      <c r="M56" s="2771">
        <f>M38*K39*2%</f>
        <v>1252.9800563463964</v>
      </c>
    </row>
  </sheetData>
  <mergeCells count="25">
    <mergeCell ref="Z7:Z9"/>
    <mergeCell ref="G7:G9"/>
    <mergeCell ref="H7:H9"/>
    <mergeCell ref="F4:Q4"/>
    <mergeCell ref="P7:P9"/>
    <mergeCell ref="S4:AE4"/>
    <mergeCell ref="S6:X6"/>
    <mergeCell ref="Y6:AE6"/>
    <mergeCell ref="N5:R5"/>
    <mergeCell ref="AF4:AF6"/>
    <mergeCell ref="A2:AF2"/>
    <mergeCell ref="S7:S9"/>
    <mergeCell ref="Y7:Y9"/>
    <mergeCell ref="L7:L9"/>
    <mergeCell ref="I5:M5"/>
    <mergeCell ref="C7:C9"/>
    <mergeCell ref="F7:F9"/>
    <mergeCell ref="A4:A6"/>
    <mergeCell ref="B4:B6"/>
    <mergeCell ref="C4:C6"/>
    <mergeCell ref="D4:D6"/>
    <mergeCell ref="E4:E6"/>
    <mergeCell ref="D7:D9"/>
    <mergeCell ref="E7:E9"/>
    <mergeCell ref="F5:H5"/>
  </mergeCells>
  <pageMargins left="0.31496062992125984" right="0.31496062992125984" top="0.15748031496062992" bottom="0.35433070866141736" header="0.31496062992125984" footer="0.31496062992125984"/>
  <pageSetup paperSize="9" scale="41" fitToHeight="2" orientation="landscape" r:id="rId1"/>
  <colBreaks count="1" manualBreakCount="1">
    <brk id="3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E54"/>
  <sheetViews>
    <sheetView topLeftCell="N24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23.85546875" style="1313" customWidth="1"/>
    <col min="3" max="3" width="10.28515625" style="2799" customWidth="1"/>
    <col min="4" max="5" width="12.7109375" style="1306" hidden="1" customWidth="1"/>
    <col min="6" max="6" width="10.7109375" style="1306" customWidth="1"/>
    <col min="7" max="7" width="11.7109375" style="1306" customWidth="1"/>
    <col min="8" max="8" width="9.7109375" style="1306" customWidth="1"/>
    <col min="9" max="9" width="11.7109375" style="1306" customWidth="1"/>
    <col min="10" max="10" width="18.42578125" style="1306" hidden="1" customWidth="1"/>
    <col min="11" max="11" width="12.85546875" style="1306" customWidth="1"/>
    <col min="12" max="12" width="12.7109375" style="1306" customWidth="1"/>
    <col min="13" max="13" width="11.5703125" style="1306" customWidth="1"/>
    <col min="14" max="14" width="11.7109375" style="1306" customWidth="1"/>
    <col min="15" max="15" width="15" style="1306" hidden="1" customWidth="1"/>
    <col min="16" max="16" width="12.5703125" style="1306" customWidth="1"/>
    <col min="17" max="17" width="10.140625" style="1306" customWidth="1"/>
    <col min="18" max="18" width="10.42578125" style="1306" customWidth="1"/>
    <col min="19" max="19" width="9.85546875" style="1306" customWidth="1"/>
    <col min="20" max="20" width="11.7109375" style="1306" customWidth="1"/>
    <col min="21" max="21" width="11.5703125" style="1306" customWidth="1"/>
    <col min="22" max="22" width="13.85546875" style="1306" hidden="1" customWidth="1"/>
    <col min="23" max="24" width="10.5703125" style="1306" customWidth="1"/>
    <col min="25" max="25" width="12.42578125" style="1306" customWidth="1"/>
    <col min="26" max="26" width="11.28515625" style="1306" customWidth="1"/>
    <col min="27" max="27" width="11.42578125" style="1306" customWidth="1"/>
    <col min="28" max="28" width="10" style="1306" customWidth="1"/>
    <col min="29" max="29" width="11.140625" style="1306" customWidth="1"/>
    <col min="30" max="30" width="24.140625" style="1306" customWidth="1"/>
    <col min="31" max="32" width="12.7109375" style="1306" customWidth="1"/>
    <col min="33" max="33" width="9.28515625" style="1306" customWidth="1"/>
    <col min="34" max="34" width="13.5703125" style="1306" customWidth="1"/>
    <col min="35" max="35" width="10.28515625" style="1306" customWidth="1"/>
    <col min="36" max="36" width="12.85546875" style="1306" customWidth="1"/>
    <col min="37" max="37" width="9.140625" style="1306" customWidth="1"/>
    <col min="38" max="38" width="9.7109375" style="1306" customWidth="1"/>
    <col min="39" max="39" width="9.28515625" style="1306" customWidth="1"/>
    <col min="40" max="40" width="9.42578125" style="1306" customWidth="1"/>
    <col min="41" max="41" width="10.5703125" style="1306" customWidth="1"/>
    <col min="42" max="42" width="12.42578125" style="1306" customWidth="1"/>
    <col min="43" max="43" width="14.5703125" style="1306" customWidth="1"/>
    <col min="44" max="44" width="12.28515625" style="1306" customWidth="1"/>
    <col min="45" max="45" width="25.85546875" style="1306" customWidth="1"/>
    <col min="46" max="277" width="0.85546875" style="1306"/>
    <col min="278" max="278" width="9.85546875" style="1306" customWidth="1"/>
    <col min="279" max="279" width="81.85546875" style="1306" customWidth="1"/>
    <col min="280" max="280" width="12.7109375" style="1306" customWidth="1"/>
    <col min="281" max="281" width="12.42578125" style="1306" customWidth="1"/>
    <col min="282" max="282" width="14.5703125" style="1306" customWidth="1"/>
    <col min="283" max="283" width="12.28515625" style="1306" customWidth="1"/>
    <col min="284" max="284" width="38.140625" style="1306" customWidth="1"/>
    <col min="285" max="285" width="46.85546875" style="1306" customWidth="1"/>
    <col min="286" max="288" width="12.7109375" style="1306" customWidth="1"/>
    <col min="289" max="289" width="9.28515625" style="1306" customWidth="1"/>
    <col min="290" max="290" width="13.5703125" style="1306" customWidth="1"/>
    <col min="291" max="291" width="10.28515625" style="1306" customWidth="1"/>
    <col min="292" max="292" width="12.85546875" style="1306" customWidth="1"/>
    <col min="293" max="293" width="9.140625" style="1306" customWidth="1"/>
    <col min="294" max="294" width="9.7109375" style="1306" customWidth="1"/>
    <col min="295" max="295" width="9.28515625" style="1306" customWidth="1"/>
    <col min="296" max="296" width="9.42578125" style="1306" customWidth="1"/>
    <col min="297" max="297" width="10.5703125" style="1306" customWidth="1"/>
    <col min="298" max="298" width="12.42578125" style="1306" customWidth="1"/>
    <col min="299" max="299" width="14.5703125" style="1306" customWidth="1"/>
    <col min="300" max="300" width="12.28515625" style="1306" customWidth="1"/>
    <col min="301" max="301" width="25.85546875" style="1306" customWidth="1"/>
    <col min="302" max="533" width="0.85546875" style="1306"/>
    <col min="534" max="534" width="9.85546875" style="1306" customWidth="1"/>
    <col min="535" max="535" width="81.85546875" style="1306" customWidth="1"/>
    <col min="536" max="536" width="12.7109375" style="1306" customWidth="1"/>
    <col min="537" max="537" width="12.42578125" style="1306" customWidth="1"/>
    <col min="538" max="538" width="14.5703125" style="1306" customWidth="1"/>
    <col min="539" max="539" width="12.28515625" style="1306" customWidth="1"/>
    <col min="540" max="540" width="38.140625" style="1306" customWidth="1"/>
    <col min="541" max="541" width="46.85546875" style="1306" customWidth="1"/>
    <col min="542" max="544" width="12.7109375" style="1306" customWidth="1"/>
    <col min="545" max="545" width="9.28515625" style="1306" customWidth="1"/>
    <col min="546" max="546" width="13.5703125" style="1306" customWidth="1"/>
    <col min="547" max="547" width="10.28515625" style="1306" customWidth="1"/>
    <col min="548" max="548" width="12.85546875" style="1306" customWidth="1"/>
    <col min="549" max="549" width="9.140625" style="1306" customWidth="1"/>
    <col min="550" max="550" width="9.7109375" style="1306" customWidth="1"/>
    <col min="551" max="551" width="9.28515625" style="1306" customWidth="1"/>
    <col min="552" max="552" width="9.42578125" style="1306" customWidth="1"/>
    <col min="553" max="553" width="10.5703125" style="1306" customWidth="1"/>
    <col min="554" max="554" width="12.42578125" style="1306" customWidth="1"/>
    <col min="555" max="555" width="14.5703125" style="1306" customWidth="1"/>
    <col min="556" max="556" width="12.28515625" style="1306" customWidth="1"/>
    <col min="557" max="557" width="25.85546875" style="1306" customWidth="1"/>
    <col min="558" max="789" width="0.85546875" style="1306"/>
    <col min="790" max="790" width="9.85546875" style="1306" customWidth="1"/>
    <col min="791" max="791" width="81.85546875" style="1306" customWidth="1"/>
    <col min="792" max="792" width="12.7109375" style="1306" customWidth="1"/>
    <col min="793" max="793" width="12.42578125" style="1306" customWidth="1"/>
    <col min="794" max="794" width="14.5703125" style="1306" customWidth="1"/>
    <col min="795" max="795" width="12.28515625" style="1306" customWidth="1"/>
    <col min="796" max="796" width="38.140625" style="1306" customWidth="1"/>
    <col min="797" max="797" width="46.85546875" style="1306" customWidth="1"/>
    <col min="798" max="800" width="12.7109375" style="1306" customWidth="1"/>
    <col min="801" max="801" width="9.28515625" style="1306" customWidth="1"/>
    <col min="802" max="802" width="13.5703125" style="1306" customWidth="1"/>
    <col min="803" max="803" width="10.28515625" style="1306" customWidth="1"/>
    <col min="804" max="804" width="12.85546875" style="1306" customWidth="1"/>
    <col min="805" max="805" width="9.140625" style="1306" customWidth="1"/>
    <col min="806" max="806" width="9.7109375" style="1306" customWidth="1"/>
    <col min="807" max="807" width="9.28515625" style="1306" customWidth="1"/>
    <col min="808" max="808" width="9.42578125" style="1306" customWidth="1"/>
    <col min="809" max="809" width="10.5703125" style="1306" customWidth="1"/>
    <col min="810" max="810" width="12.42578125" style="1306" customWidth="1"/>
    <col min="811" max="811" width="14.5703125" style="1306" customWidth="1"/>
    <col min="812" max="812" width="12.28515625" style="1306" customWidth="1"/>
    <col min="813" max="813" width="25.85546875" style="1306" customWidth="1"/>
    <col min="814" max="1045" width="0.85546875" style="1306"/>
    <col min="1046" max="1046" width="9.85546875" style="1306" customWidth="1"/>
    <col min="1047" max="1047" width="81.85546875" style="1306" customWidth="1"/>
    <col min="1048" max="1048" width="12.7109375" style="1306" customWidth="1"/>
    <col min="1049" max="1049" width="12.42578125" style="1306" customWidth="1"/>
    <col min="1050" max="1050" width="14.5703125" style="1306" customWidth="1"/>
    <col min="1051" max="1051" width="12.28515625" style="1306" customWidth="1"/>
    <col min="1052" max="1052" width="38.140625" style="1306" customWidth="1"/>
    <col min="1053" max="1053" width="46.85546875" style="1306" customWidth="1"/>
    <col min="1054" max="1056" width="12.7109375" style="1306" customWidth="1"/>
    <col min="1057" max="1057" width="9.28515625" style="1306" customWidth="1"/>
    <col min="1058" max="1058" width="13.5703125" style="1306" customWidth="1"/>
    <col min="1059" max="1059" width="10.28515625" style="1306" customWidth="1"/>
    <col min="1060" max="1060" width="12.85546875" style="1306" customWidth="1"/>
    <col min="1061" max="1061" width="9.140625" style="1306" customWidth="1"/>
    <col min="1062" max="1062" width="9.7109375" style="1306" customWidth="1"/>
    <col min="1063" max="1063" width="9.28515625" style="1306" customWidth="1"/>
    <col min="1064" max="1064" width="9.42578125" style="1306" customWidth="1"/>
    <col min="1065" max="1065" width="10.5703125" style="1306" customWidth="1"/>
    <col min="1066" max="1066" width="12.42578125" style="1306" customWidth="1"/>
    <col min="1067" max="1067" width="14.5703125" style="1306" customWidth="1"/>
    <col min="1068" max="1068" width="12.28515625" style="1306" customWidth="1"/>
    <col min="1069" max="1069" width="25.85546875" style="1306" customWidth="1"/>
    <col min="1070" max="1301" width="0.85546875" style="1306"/>
    <col min="1302" max="1302" width="9.85546875" style="1306" customWidth="1"/>
    <col min="1303" max="1303" width="81.85546875" style="1306" customWidth="1"/>
    <col min="1304" max="1304" width="12.7109375" style="1306" customWidth="1"/>
    <col min="1305" max="1305" width="12.42578125" style="1306" customWidth="1"/>
    <col min="1306" max="1306" width="14.5703125" style="1306" customWidth="1"/>
    <col min="1307" max="1307" width="12.28515625" style="1306" customWidth="1"/>
    <col min="1308" max="1308" width="38.140625" style="1306" customWidth="1"/>
    <col min="1309" max="1309" width="46.85546875" style="1306" customWidth="1"/>
    <col min="1310" max="1312" width="12.7109375" style="1306" customWidth="1"/>
    <col min="1313" max="1313" width="9.28515625" style="1306" customWidth="1"/>
    <col min="1314" max="1314" width="13.5703125" style="1306" customWidth="1"/>
    <col min="1315" max="1315" width="10.28515625" style="1306" customWidth="1"/>
    <col min="1316" max="1316" width="12.85546875" style="1306" customWidth="1"/>
    <col min="1317" max="1317" width="9.140625" style="1306" customWidth="1"/>
    <col min="1318" max="1318" width="9.7109375" style="1306" customWidth="1"/>
    <col min="1319" max="1319" width="9.28515625" style="1306" customWidth="1"/>
    <col min="1320" max="1320" width="9.42578125" style="1306" customWidth="1"/>
    <col min="1321" max="1321" width="10.5703125" style="1306" customWidth="1"/>
    <col min="1322" max="1322" width="12.42578125" style="1306" customWidth="1"/>
    <col min="1323" max="1323" width="14.5703125" style="1306" customWidth="1"/>
    <col min="1324" max="1324" width="12.28515625" style="1306" customWidth="1"/>
    <col min="1325" max="1325" width="25.85546875" style="1306" customWidth="1"/>
    <col min="1326" max="1557" width="0.85546875" style="1306"/>
    <col min="1558" max="1558" width="9.85546875" style="1306" customWidth="1"/>
    <col min="1559" max="1559" width="81.85546875" style="1306" customWidth="1"/>
    <col min="1560" max="1560" width="12.7109375" style="1306" customWidth="1"/>
    <col min="1561" max="1561" width="12.42578125" style="1306" customWidth="1"/>
    <col min="1562" max="1562" width="14.5703125" style="1306" customWidth="1"/>
    <col min="1563" max="1563" width="12.28515625" style="1306" customWidth="1"/>
    <col min="1564" max="1564" width="38.140625" style="1306" customWidth="1"/>
    <col min="1565" max="1565" width="46.85546875" style="1306" customWidth="1"/>
    <col min="1566" max="1568" width="12.7109375" style="1306" customWidth="1"/>
    <col min="1569" max="1569" width="9.28515625" style="1306" customWidth="1"/>
    <col min="1570" max="1570" width="13.5703125" style="1306" customWidth="1"/>
    <col min="1571" max="1571" width="10.28515625" style="1306" customWidth="1"/>
    <col min="1572" max="1572" width="12.85546875" style="1306" customWidth="1"/>
    <col min="1573" max="1573" width="9.140625" style="1306" customWidth="1"/>
    <col min="1574" max="1574" width="9.7109375" style="1306" customWidth="1"/>
    <col min="1575" max="1575" width="9.28515625" style="1306" customWidth="1"/>
    <col min="1576" max="1576" width="9.42578125" style="1306" customWidth="1"/>
    <col min="1577" max="1577" width="10.5703125" style="1306" customWidth="1"/>
    <col min="1578" max="1578" width="12.42578125" style="1306" customWidth="1"/>
    <col min="1579" max="1579" width="14.5703125" style="1306" customWidth="1"/>
    <col min="1580" max="1580" width="12.28515625" style="1306" customWidth="1"/>
    <col min="1581" max="1581" width="25.85546875" style="1306" customWidth="1"/>
    <col min="1582" max="1813" width="0.85546875" style="1306"/>
    <col min="1814" max="1814" width="9.85546875" style="1306" customWidth="1"/>
    <col min="1815" max="1815" width="81.85546875" style="1306" customWidth="1"/>
    <col min="1816" max="1816" width="12.7109375" style="1306" customWidth="1"/>
    <col min="1817" max="1817" width="12.42578125" style="1306" customWidth="1"/>
    <col min="1818" max="1818" width="14.5703125" style="1306" customWidth="1"/>
    <col min="1819" max="1819" width="12.28515625" style="1306" customWidth="1"/>
    <col min="1820" max="1820" width="38.140625" style="1306" customWidth="1"/>
    <col min="1821" max="1821" width="46.85546875" style="1306" customWidth="1"/>
    <col min="1822" max="1824" width="12.7109375" style="1306" customWidth="1"/>
    <col min="1825" max="1825" width="9.28515625" style="1306" customWidth="1"/>
    <col min="1826" max="1826" width="13.5703125" style="1306" customWidth="1"/>
    <col min="1827" max="1827" width="10.28515625" style="1306" customWidth="1"/>
    <col min="1828" max="1828" width="12.85546875" style="1306" customWidth="1"/>
    <col min="1829" max="1829" width="9.140625" style="1306" customWidth="1"/>
    <col min="1830" max="1830" width="9.7109375" style="1306" customWidth="1"/>
    <col min="1831" max="1831" width="9.28515625" style="1306" customWidth="1"/>
    <col min="1832" max="1832" width="9.42578125" style="1306" customWidth="1"/>
    <col min="1833" max="1833" width="10.5703125" style="1306" customWidth="1"/>
    <col min="1834" max="1834" width="12.42578125" style="1306" customWidth="1"/>
    <col min="1835" max="1835" width="14.5703125" style="1306" customWidth="1"/>
    <col min="1836" max="1836" width="12.28515625" style="1306" customWidth="1"/>
    <col min="1837" max="1837" width="25.85546875" style="1306" customWidth="1"/>
    <col min="1838" max="2069" width="0.85546875" style="1306"/>
    <col min="2070" max="2070" width="9.85546875" style="1306" customWidth="1"/>
    <col min="2071" max="2071" width="81.85546875" style="1306" customWidth="1"/>
    <col min="2072" max="2072" width="12.7109375" style="1306" customWidth="1"/>
    <col min="2073" max="2073" width="12.42578125" style="1306" customWidth="1"/>
    <col min="2074" max="2074" width="14.5703125" style="1306" customWidth="1"/>
    <col min="2075" max="2075" width="12.28515625" style="1306" customWidth="1"/>
    <col min="2076" max="2076" width="38.140625" style="1306" customWidth="1"/>
    <col min="2077" max="2077" width="46.85546875" style="1306" customWidth="1"/>
    <col min="2078" max="2080" width="12.7109375" style="1306" customWidth="1"/>
    <col min="2081" max="2081" width="9.28515625" style="1306" customWidth="1"/>
    <col min="2082" max="2082" width="13.5703125" style="1306" customWidth="1"/>
    <col min="2083" max="2083" width="10.28515625" style="1306" customWidth="1"/>
    <col min="2084" max="2084" width="12.85546875" style="1306" customWidth="1"/>
    <col min="2085" max="2085" width="9.140625" style="1306" customWidth="1"/>
    <col min="2086" max="2086" width="9.7109375" style="1306" customWidth="1"/>
    <col min="2087" max="2087" width="9.28515625" style="1306" customWidth="1"/>
    <col min="2088" max="2088" width="9.42578125" style="1306" customWidth="1"/>
    <col min="2089" max="2089" width="10.5703125" style="1306" customWidth="1"/>
    <col min="2090" max="2090" width="12.42578125" style="1306" customWidth="1"/>
    <col min="2091" max="2091" width="14.5703125" style="1306" customWidth="1"/>
    <col min="2092" max="2092" width="12.28515625" style="1306" customWidth="1"/>
    <col min="2093" max="2093" width="25.85546875" style="1306" customWidth="1"/>
    <col min="2094" max="2325" width="0.85546875" style="1306"/>
    <col min="2326" max="2326" width="9.85546875" style="1306" customWidth="1"/>
    <col min="2327" max="2327" width="81.85546875" style="1306" customWidth="1"/>
    <col min="2328" max="2328" width="12.7109375" style="1306" customWidth="1"/>
    <col min="2329" max="2329" width="12.42578125" style="1306" customWidth="1"/>
    <col min="2330" max="2330" width="14.5703125" style="1306" customWidth="1"/>
    <col min="2331" max="2331" width="12.28515625" style="1306" customWidth="1"/>
    <col min="2332" max="2332" width="38.140625" style="1306" customWidth="1"/>
    <col min="2333" max="2333" width="46.85546875" style="1306" customWidth="1"/>
    <col min="2334" max="2336" width="12.7109375" style="1306" customWidth="1"/>
    <col min="2337" max="2337" width="9.28515625" style="1306" customWidth="1"/>
    <col min="2338" max="2338" width="13.5703125" style="1306" customWidth="1"/>
    <col min="2339" max="2339" width="10.28515625" style="1306" customWidth="1"/>
    <col min="2340" max="2340" width="12.85546875" style="1306" customWidth="1"/>
    <col min="2341" max="2341" width="9.140625" style="1306" customWidth="1"/>
    <col min="2342" max="2342" width="9.7109375" style="1306" customWidth="1"/>
    <col min="2343" max="2343" width="9.28515625" style="1306" customWidth="1"/>
    <col min="2344" max="2344" width="9.42578125" style="1306" customWidth="1"/>
    <col min="2345" max="2345" width="10.5703125" style="1306" customWidth="1"/>
    <col min="2346" max="2346" width="12.42578125" style="1306" customWidth="1"/>
    <col min="2347" max="2347" width="14.5703125" style="1306" customWidth="1"/>
    <col min="2348" max="2348" width="12.28515625" style="1306" customWidth="1"/>
    <col min="2349" max="2349" width="25.85546875" style="1306" customWidth="1"/>
    <col min="2350" max="2581" width="0.85546875" style="1306"/>
    <col min="2582" max="2582" width="9.85546875" style="1306" customWidth="1"/>
    <col min="2583" max="2583" width="81.85546875" style="1306" customWidth="1"/>
    <col min="2584" max="2584" width="12.7109375" style="1306" customWidth="1"/>
    <col min="2585" max="2585" width="12.42578125" style="1306" customWidth="1"/>
    <col min="2586" max="2586" width="14.5703125" style="1306" customWidth="1"/>
    <col min="2587" max="2587" width="12.28515625" style="1306" customWidth="1"/>
    <col min="2588" max="2588" width="38.140625" style="1306" customWidth="1"/>
    <col min="2589" max="2589" width="46.85546875" style="1306" customWidth="1"/>
    <col min="2590" max="2592" width="12.7109375" style="1306" customWidth="1"/>
    <col min="2593" max="2593" width="9.28515625" style="1306" customWidth="1"/>
    <col min="2594" max="2594" width="13.5703125" style="1306" customWidth="1"/>
    <col min="2595" max="2595" width="10.28515625" style="1306" customWidth="1"/>
    <col min="2596" max="2596" width="12.85546875" style="1306" customWidth="1"/>
    <col min="2597" max="2597" width="9.140625" style="1306" customWidth="1"/>
    <col min="2598" max="2598" width="9.7109375" style="1306" customWidth="1"/>
    <col min="2599" max="2599" width="9.28515625" style="1306" customWidth="1"/>
    <col min="2600" max="2600" width="9.42578125" style="1306" customWidth="1"/>
    <col min="2601" max="2601" width="10.5703125" style="1306" customWidth="1"/>
    <col min="2602" max="2602" width="12.42578125" style="1306" customWidth="1"/>
    <col min="2603" max="2603" width="14.5703125" style="1306" customWidth="1"/>
    <col min="2604" max="2604" width="12.28515625" style="1306" customWidth="1"/>
    <col min="2605" max="2605" width="25.85546875" style="1306" customWidth="1"/>
    <col min="2606" max="2837" width="0.85546875" style="1306"/>
    <col min="2838" max="2838" width="9.85546875" style="1306" customWidth="1"/>
    <col min="2839" max="2839" width="81.85546875" style="1306" customWidth="1"/>
    <col min="2840" max="2840" width="12.7109375" style="1306" customWidth="1"/>
    <col min="2841" max="2841" width="12.42578125" style="1306" customWidth="1"/>
    <col min="2842" max="2842" width="14.5703125" style="1306" customWidth="1"/>
    <col min="2843" max="2843" width="12.28515625" style="1306" customWidth="1"/>
    <col min="2844" max="2844" width="38.140625" style="1306" customWidth="1"/>
    <col min="2845" max="2845" width="46.85546875" style="1306" customWidth="1"/>
    <col min="2846" max="2848" width="12.7109375" style="1306" customWidth="1"/>
    <col min="2849" max="2849" width="9.28515625" style="1306" customWidth="1"/>
    <col min="2850" max="2850" width="13.5703125" style="1306" customWidth="1"/>
    <col min="2851" max="2851" width="10.28515625" style="1306" customWidth="1"/>
    <col min="2852" max="2852" width="12.85546875" style="1306" customWidth="1"/>
    <col min="2853" max="2853" width="9.140625" style="1306" customWidth="1"/>
    <col min="2854" max="2854" width="9.7109375" style="1306" customWidth="1"/>
    <col min="2855" max="2855" width="9.28515625" style="1306" customWidth="1"/>
    <col min="2856" max="2856" width="9.42578125" style="1306" customWidth="1"/>
    <col min="2857" max="2857" width="10.5703125" style="1306" customWidth="1"/>
    <col min="2858" max="2858" width="12.42578125" style="1306" customWidth="1"/>
    <col min="2859" max="2859" width="14.5703125" style="1306" customWidth="1"/>
    <col min="2860" max="2860" width="12.28515625" style="1306" customWidth="1"/>
    <col min="2861" max="2861" width="25.85546875" style="1306" customWidth="1"/>
    <col min="2862" max="3093" width="0.85546875" style="1306"/>
    <col min="3094" max="3094" width="9.85546875" style="1306" customWidth="1"/>
    <col min="3095" max="3095" width="81.85546875" style="1306" customWidth="1"/>
    <col min="3096" max="3096" width="12.7109375" style="1306" customWidth="1"/>
    <col min="3097" max="3097" width="12.42578125" style="1306" customWidth="1"/>
    <col min="3098" max="3098" width="14.5703125" style="1306" customWidth="1"/>
    <col min="3099" max="3099" width="12.28515625" style="1306" customWidth="1"/>
    <col min="3100" max="3100" width="38.140625" style="1306" customWidth="1"/>
    <col min="3101" max="3101" width="46.85546875" style="1306" customWidth="1"/>
    <col min="3102" max="3104" width="12.7109375" style="1306" customWidth="1"/>
    <col min="3105" max="3105" width="9.28515625" style="1306" customWidth="1"/>
    <col min="3106" max="3106" width="13.5703125" style="1306" customWidth="1"/>
    <col min="3107" max="3107" width="10.28515625" style="1306" customWidth="1"/>
    <col min="3108" max="3108" width="12.85546875" style="1306" customWidth="1"/>
    <col min="3109" max="3109" width="9.140625" style="1306" customWidth="1"/>
    <col min="3110" max="3110" width="9.7109375" style="1306" customWidth="1"/>
    <col min="3111" max="3111" width="9.28515625" style="1306" customWidth="1"/>
    <col min="3112" max="3112" width="9.42578125" style="1306" customWidth="1"/>
    <col min="3113" max="3113" width="10.5703125" style="1306" customWidth="1"/>
    <col min="3114" max="3114" width="12.42578125" style="1306" customWidth="1"/>
    <col min="3115" max="3115" width="14.5703125" style="1306" customWidth="1"/>
    <col min="3116" max="3116" width="12.28515625" style="1306" customWidth="1"/>
    <col min="3117" max="3117" width="25.85546875" style="1306" customWidth="1"/>
    <col min="3118" max="3349" width="0.85546875" style="1306"/>
    <col min="3350" max="3350" width="9.85546875" style="1306" customWidth="1"/>
    <col min="3351" max="3351" width="81.85546875" style="1306" customWidth="1"/>
    <col min="3352" max="3352" width="12.7109375" style="1306" customWidth="1"/>
    <col min="3353" max="3353" width="12.42578125" style="1306" customWidth="1"/>
    <col min="3354" max="3354" width="14.5703125" style="1306" customWidth="1"/>
    <col min="3355" max="3355" width="12.28515625" style="1306" customWidth="1"/>
    <col min="3356" max="3356" width="38.140625" style="1306" customWidth="1"/>
    <col min="3357" max="3357" width="46.85546875" style="1306" customWidth="1"/>
    <col min="3358" max="3360" width="12.7109375" style="1306" customWidth="1"/>
    <col min="3361" max="3361" width="9.28515625" style="1306" customWidth="1"/>
    <col min="3362" max="3362" width="13.5703125" style="1306" customWidth="1"/>
    <col min="3363" max="3363" width="10.28515625" style="1306" customWidth="1"/>
    <col min="3364" max="3364" width="12.85546875" style="1306" customWidth="1"/>
    <col min="3365" max="3365" width="9.140625" style="1306" customWidth="1"/>
    <col min="3366" max="3366" width="9.7109375" style="1306" customWidth="1"/>
    <col min="3367" max="3367" width="9.28515625" style="1306" customWidth="1"/>
    <col min="3368" max="3368" width="9.42578125" style="1306" customWidth="1"/>
    <col min="3369" max="3369" width="10.5703125" style="1306" customWidth="1"/>
    <col min="3370" max="3370" width="12.42578125" style="1306" customWidth="1"/>
    <col min="3371" max="3371" width="14.5703125" style="1306" customWidth="1"/>
    <col min="3372" max="3372" width="12.28515625" style="1306" customWidth="1"/>
    <col min="3373" max="3373" width="25.85546875" style="1306" customWidth="1"/>
    <col min="3374" max="3605" width="0.85546875" style="1306"/>
    <col min="3606" max="3606" width="9.85546875" style="1306" customWidth="1"/>
    <col min="3607" max="3607" width="81.85546875" style="1306" customWidth="1"/>
    <col min="3608" max="3608" width="12.7109375" style="1306" customWidth="1"/>
    <col min="3609" max="3609" width="12.42578125" style="1306" customWidth="1"/>
    <col min="3610" max="3610" width="14.5703125" style="1306" customWidth="1"/>
    <col min="3611" max="3611" width="12.28515625" style="1306" customWidth="1"/>
    <col min="3612" max="3612" width="38.140625" style="1306" customWidth="1"/>
    <col min="3613" max="3613" width="46.85546875" style="1306" customWidth="1"/>
    <col min="3614" max="3616" width="12.7109375" style="1306" customWidth="1"/>
    <col min="3617" max="3617" width="9.28515625" style="1306" customWidth="1"/>
    <col min="3618" max="3618" width="13.5703125" style="1306" customWidth="1"/>
    <col min="3619" max="3619" width="10.28515625" style="1306" customWidth="1"/>
    <col min="3620" max="3620" width="12.85546875" style="1306" customWidth="1"/>
    <col min="3621" max="3621" width="9.140625" style="1306" customWidth="1"/>
    <col min="3622" max="3622" width="9.7109375" style="1306" customWidth="1"/>
    <col min="3623" max="3623" width="9.28515625" style="1306" customWidth="1"/>
    <col min="3624" max="3624" width="9.42578125" style="1306" customWidth="1"/>
    <col min="3625" max="3625" width="10.5703125" style="1306" customWidth="1"/>
    <col min="3626" max="3626" width="12.42578125" style="1306" customWidth="1"/>
    <col min="3627" max="3627" width="14.5703125" style="1306" customWidth="1"/>
    <col min="3628" max="3628" width="12.28515625" style="1306" customWidth="1"/>
    <col min="3629" max="3629" width="25.85546875" style="1306" customWidth="1"/>
    <col min="3630" max="3861" width="0.85546875" style="1306"/>
    <col min="3862" max="3862" width="9.85546875" style="1306" customWidth="1"/>
    <col min="3863" max="3863" width="81.85546875" style="1306" customWidth="1"/>
    <col min="3864" max="3864" width="12.7109375" style="1306" customWidth="1"/>
    <col min="3865" max="3865" width="12.42578125" style="1306" customWidth="1"/>
    <col min="3866" max="3866" width="14.5703125" style="1306" customWidth="1"/>
    <col min="3867" max="3867" width="12.28515625" style="1306" customWidth="1"/>
    <col min="3868" max="3868" width="38.140625" style="1306" customWidth="1"/>
    <col min="3869" max="3869" width="46.85546875" style="1306" customWidth="1"/>
    <col min="3870" max="3872" width="12.7109375" style="1306" customWidth="1"/>
    <col min="3873" max="3873" width="9.28515625" style="1306" customWidth="1"/>
    <col min="3874" max="3874" width="13.5703125" style="1306" customWidth="1"/>
    <col min="3875" max="3875" width="10.28515625" style="1306" customWidth="1"/>
    <col min="3876" max="3876" width="12.85546875" style="1306" customWidth="1"/>
    <col min="3877" max="3877" width="9.140625" style="1306" customWidth="1"/>
    <col min="3878" max="3878" width="9.7109375" style="1306" customWidth="1"/>
    <col min="3879" max="3879" width="9.28515625" style="1306" customWidth="1"/>
    <col min="3880" max="3880" width="9.42578125" style="1306" customWidth="1"/>
    <col min="3881" max="3881" width="10.5703125" style="1306" customWidth="1"/>
    <col min="3882" max="3882" width="12.42578125" style="1306" customWidth="1"/>
    <col min="3883" max="3883" width="14.5703125" style="1306" customWidth="1"/>
    <col min="3884" max="3884" width="12.28515625" style="1306" customWidth="1"/>
    <col min="3885" max="3885" width="25.85546875" style="1306" customWidth="1"/>
    <col min="3886" max="4117" width="0.85546875" style="1306"/>
    <col min="4118" max="4118" width="9.85546875" style="1306" customWidth="1"/>
    <col min="4119" max="4119" width="81.85546875" style="1306" customWidth="1"/>
    <col min="4120" max="4120" width="12.7109375" style="1306" customWidth="1"/>
    <col min="4121" max="4121" width="12.42578125" style="1306" customWidth="1"/>
    <col min="4122" max="4122" width="14.5703125" style="1306" customWidth="1"/>
    <col min="4123" max="4123" width="12.28515625" style="1306" customWidth="1"/>
    <col min="4124" max="4124" width="38.140625" style="1306" customWidth="1"/>
    <col min="4125" max="4125" width="46.85546875" style="1306" customWidth="1"/>
    <col min="4126" max="4128" width="12.7109375" style="1306" customWidth="1"/>
    <col min="4129" max="4129" width="9.28515625" style="1306" customWidth="1"/>
    <col min="4130" max="4130" width="13.5703125" style="1306" customWidth="1"/>
    <col min="4131" max="4131" width="10.28515625" style="1306" customWidth="1"/>
    <col min="4132" max="4132" width="12.85546875" style="1306" customWidth="1"/>
    <col min="4133" max="4133" width="9.140625" style="1306" customWidth="1"/>
    <col min="4134" max="4134" width="9.7109375" style="1306" customWidth="1"/>
    <col min="4135" max="4135" width="9.28515625" style="1306" customWidth="1"/>
    <col min="4136" max="4136" width="9.42578125" style="1306" customWidth="1"/>
    <col min="4137" max="4137" width="10.5703125" style="1306" customWidth="1"/>
    <col min="4138" max="4138" width="12.42578125" style="1306" customWidth="1"/>
    <col min="4139" max="4139" width="14.5703125" style="1306" customWidth="1"/>
    <col min="4140" max="4140" width="12.28515625" style="1306" customWidth="1"/>
    <col min="4141" max="4141" width="25.85546875" style="1306" customWidth="1"/>
    <col min="4142" max="4373" width="0.85546875" style="1306"/>
    <col min="4374" max="4374" width="9.85546875" style="1306" customWidth="1"/>
    <col min="4375" max="4375" width="81.85546875" style="1306" customWidth="1"/>
    <col min="4376" max="4376" width="12.7109375" style="1306" customWidth="1"/>
    <col min="4377" max="4377" width="12.42578125" style="1306" customWidth="1"/>
    <col min="4378" max="4378" width="14.5703125" style="1306" customWidth="1"/>
    <col min="4379" max="4379" width="12.28515625" style="1306" customWidth="1"/>
    <col min="4380" max="4380" width="38.140625" style="1306" customWidth="1"/>
    <col min="4381" max="4381" width="46.85546875" style="1306" customWidth="1"/>
    <col min="4382" max="4384" width="12.7109375" style="1306" customWidth="1"/>
    <col min="4385" max="4385" width="9.28515625" style="1306" customWidth="1"/>
    <col min="4386" max="4386" width="13.5703125" style="1306" customWidth="1"/>
    <col min="4387" max="4387" width="10.28515625" style="1306" customWidth="1"/>
    <col min="4388" max="4388" width="12.85546875" style="1306" customWidth="1"/>
    <col min="4389" max="4389" width="9.140625" style="1306" customWidth="1"/>
    <col min="4390" max="4390" width="9.7109375" style="1306" customWidth="1"/>
    <col min="4391" max="4391" width="9.28515625" style="1306" customWidth="1"/>
    <col min="4392" max="4392" width="9.42578125" style="1306" customWidth="1"/>
    <col min="4393" max="4393" width="10.5703125" style="1306" customWidth="1"/>
    <col min="4394" max="4394" width="12.42578125" style="1306" customWidth="1"/>
    <col min="4395" max="4395" width="14.5703125" style="1306" customWidth="1"/>
    <col min="4396" max="4396" width="12.28515625" style="1306" customWidth="1"/>
    <col min="4397" max="4397" width="25.85546875" style="1306" customWidth="1"/>
    <col min="4398" max="4629" width="0.85546875" style="1306"/>
    <col min="4630" max="4630" width="9.85546875" style="1306" customWidth="1"/>
    <col min="4631" max="4631" width="81.85546875" style="1306" customWidth="1"/>
    <col min="4632" max="4632" width="12.7109375" style="1306" customWidth="1"/>
    <col min="4633" max="4633" width="12.42578125" style="1306" customWidth="1"/>
    <col min="4634" max="4634" width="14.5703125" style="1306" customWidth="1"/>
    <col min="4635" max="4635" width="12.28515625" style="1306" customWidth="1"/>
    <col min="4636" max="4636" width="38.140625" style="1306" customWidth="1"/>
    <col min="4637" max="4637" width="46.85546875" style="1306" customWidth="1"/>
    <col min="4638" max="4640" width="12.7109375" style="1306" customWidth="1"/>
    <col min="4641" max="4641" width="9.28515625" style="1306" customWidth="1"/>
    <col min="4642" max="4642" width="13.5703125" style="1306" customWidth="1"/>
    <col min="4643" max="4643" width="10.28515625" style="1306" customWidth="1"/>
    <col min="4644" max="4644" width="12.85546875" style="1306" customWidth="1"/>
    <col min="4645" max="4645" width="9.140625" style="1306" customWidth="1"/>
    <col min="4646" max="4646" width="9.7109375" style="1306" customWidth="1"/>
    <col min="4647" max="4647" width="9.28515625" style="1306" customWidth="1"/>
    <col min="4648" max="4648" width="9.42578125" style="1306" customWidth="1"/>
    <col min="4649" max="4649" width="10.5703125" style="1306" customWidth="1"/>
    <col min="4650" max="4650" width="12.42578125" style="1306" customWidth="1"/>
    <col min="4651" max="4651" width="14.5703125" style="1306" customWidth="1"/>
    <col min="4652" max="4652" width="12.28515625" style="1306" customWidth="1"/>
    <col min="4653" max="4653" width="25.85546875" style="1306" customWidth="1"/>
    <col min="4654" max="4885" width="0.85546875" style="1306"/>
    <col min="4886" max="4886" width="9.85546875" style="1306" customWidth="1"/>
    <col min="4887" max="4887" width="81.85546875" style="1306" customWidth="1"/>
    <col min="4888" max="4888" width="12.7109375" style="1306" customWidth="1"/>
    <col min="4889" max="4889" width="12.42578125" style="1306" customWidth="1"/>
    <col min="4890" max="4890" width="14.5703125" style="1306" customWidth="1"/>
    <col min="4891" max="4891" width="12.28515625" style="1306" customWidth="1"/>
    <col min="4892" max="4892" width="38.140625" style="1306" customWidth="1"/>
    <col min="4893" max="4893" width="46.85546875" style="1306" customWidth="1"/>
    <col min="4894" max="4896" width="12.7109375" style="1306" customWidth="1"/>
    <col min="4897" max="4897" width="9.28515625" style="1306" customWidth="1"/>
    <col min="4898" max="4898" width="13.5703125" style="1306" customWidth="1"/>
    <col min="4899" max="4899" width="10.28515625" style="1306" customWidth="1"/>
    <col min="4900" max="4900" width="12.85546875" style="1306" customWidth="1"/>
    <col min="4901" max="4901" width="9.140625" style="1306" customWidth="1"/>
    <col min="4902" max="4902" width="9.7109375" style="1306" customWidth="1"/>
    <col min="4903" max="4903" width="9.28515625" style="1306" customWidth="1"/>
    <col min="4904" max="4904" width="9.42578125" style="1306" customWidth="1"/>
    <col min="4905" max="4905" width="10.5703125" style="1306" customWidth="1"/>
    <col min="4906" max="4906" width="12.42578125" style="1306" customWidth="1"/>
    <col min="4907" max="4907" width="14.5703125" style="1306" customWidth="1"/>
    <col min="4908" max="4908" width="12.28515625" style="1306" customWidth="1"/>
    <col min="4909" max="4909" width="25.85546875" style="1306" customWidth="1"/>
    <col min="4910" max="5141" width="0.85546875" style="1306"/>
    <col min="5142" max="5142" width="9.85546875" style="1306" customWidth="1"/>
    <col min="5143" max="5143" width="81.85546875" style="1306" customWidth="1"/>
    <col min="5144" max="5144" width="12.7109375" style="1306" customWidth="1"/>
    <col min="5145" max="5145" width="12.42578125" style="1306" customWidth="1"/>
    <col min="5146" max="5146" width="14.5703125" style="1306" customWidth="1"/>
    <col min="5147" max="5147" width="12.28515625" style="1306" customWidth="1"/>
    <col min="5148" max="5148" width="38.140625" style="1306" customWidth="1"/>
    <col min="5149" max="5149" width="46.85546875" style="1306" customWidth="1"/>
    <col min="5150" max="5152" width="12.7109375" style="1306" customWidth="1"/>
    <col min="5153" max="5153" width="9.28515625" style="1306" customWidth="1"/>
    <col min="5154" max="5154" width="13.5703125" style="1306" customWidth="1"/>
    <col min="5155" max="5155" width="10.28515625" style="1306" customWidth="1"/>
    <col min="5156" max="5156" width="12.85546875" style="1306" customWidth="1"/>
    <col min="5157" max="5157" width="9.140625" style="1306" customWidth="1"/>
    <col min="5158" max="5158" width="9.7109375" style="1306" customWidth="1"/>
    <col min="5159" max="5159" width="9.28515625" style="1306" customWidth="1"/>
    <col min="5160" max="5160" width="9.42578125" style="1306" customWidth="1"/>
    <col min="5161" max="5161" width="10.5703125" style="1306" customWidth="1"/>
    <col min="5162" max="5162" width="12.42578125" style="1306" customWidth="1"/>
    <col min="5163" max="5163" width="14.5703125" style="1306" customWidth="1"/>
    <col min="5164" max="5164" width="12.28515625" style="1306" customWidth="1"/>
    <col min="5165" max="5165" width="25.85546875" style="1306" customWidth="1"/>
    <col min="5166" max="5397" width="0.85546875" style="1306"/>
    <col min="5398" max="5398" width="9.85546875" style="1306" customWidth="1"/>
    <col min="5399" max="5399" width="81.85546875" style="1306" customWidth="1"/>
    <col min="5400" max="5400" width="12.7109375" style="1306" customWidth="1"/>
    <col min="5401" max="5401" width="12.42578125" style="1306" customWidth="1"/>
    <col min="5402" max="5402" width="14.5703125" style="1306" customWidth="1"/>
    <col min="5403" max="5403" width="12.28515625" style="1306" customWidth="1"/>
    <col min="5404" max="5404" width="38.140625" style="1306" customWidth="1"/>
    <col min="5405" max="5405" width="46.85546875" style="1306" customWidth="1"/>
    <col min="5406" max="5408" width="12.7109375" style="1306" customWidth="1"/>
    <col min="5409" max="5409" width="9.28515625" style="1306" customWidth="1"/>
    <col min="5410" max="5410" width="13.5703125" style="1306" customWidth="1"/>
    <col min="5411" max="5411" width="10.28515625" style="1306" customWidth="1"/>
    <col min="5412" max="5412" width="12.85546875" style="1306" customWidth="1"/>
    <col min="5413" max="5413" width="9.140625" style="1306" customWidth="1"/>
    <col min="5414" max="5414" width="9.7109375" style="1306" customWidth="1"/>
    <col min="5415" max="5415" width="9.28515625" style="1306" customWidth="1"/>
    <col min="5416" max="5416" width="9.42578125" style="1306" customWidth="1"/>
    <col min="5417" max="5417" width="10.5703125" style="1306" customWidth="1"/>
    <col min="5418" max="5418" width="12.42578125" style="1306" customWidth="1"/>
    <col min="5419" max="5419" width="14.5703125" style="1306" customWidth="1"/>
    <col min="5420" max="5420" width="12.28515625" style="1306" customWidth="1"/>
    <col min="5421" max="5421" width="25.85546875" style="1306" customWidth="1"/>
    <col min="5422" max="5653" width="0.85546875" style="1306"/>
    <col min="5654" max="5654" width="9.85546875" style="1306" customWidth="1"/>
    <col min="5655" max="5655" width="81.85546875" style="1306" customWidth="1"/>
    <col min="5656" max="5656" width="12.7109375" style="1306" customWidth="1"/>
    <col min="5657" max="5657" width="12.42578125" style="1306" customWidth="1"/>
    <col min="5658" max="5658" width="14.5703125" style="1306" customWidth="1"/>
    <col min="5659" max="5659" width="12.28515625" style="1306" customWidth="1"/>
    <col min="5660" max="5660" width="38.140625" style="1306" customWidth="1"/>
    <col min="5661" max="5661" width="46.85546875" style="1306" customWidth="1"/>
    <col min="5662" max="5664" width="12.7109375" style="1306" customWidth="1"/>
    <col min="5665" max="5665" width="9.28515625" style="1306" customWidth="1"/>
    <col min="5666" max="5666" width="13.5703125" style="1306" customWidth="1"/>
    <col min="5667" max="5667" width="10.28515625" style="1306" customWidth="1"/>
    <col min="5668" max="5668" width="12.85546875" style="1306" customWidth="1"/>
    <col min="5669" max="5669" width="9.140625" style="1306" customWidth="1"/>
    <col min="5670" max="5670" width="9.7109375" style="1306" customWidth="1"/>
    <col min="5671" max="5671" width="9.28515625" style="1306" customWidth="1"/>
    <col min="5672" max="5672" width="9.42578125" style="1306" customWidth="1"/>
    <col min="5673" max="5673" width="10.5703125" style="1306" customWidth="1"/>
    <col min="5674" max="5674" width="12.42578125" style="1306" customWidth="1"/>
    <col min="5675" max="5675" width="14.5703125" style="1306" customWidth="1"/>
    <col min="5676" max="5676" width="12.28515625" style="1306" customWidth="1"/>
    <col min="5677" max="5677" width="25.85546875" style="1306" customWidth="1"/>
    <col min="5678" max="5909" width="0.85546875" style="1306"/>
    <col min="5910" max="5910" width="9.85546875" style="1306" customWidth="1"/>
    <col min="5911" max="5911" width="81.85546875" style="1306" customWidth="1"/>
    <col min="5912" max="5912" width="12.7109375" style="1306" customWidth="1"/>
    <col min="5913" max="5913" width="12.42578125" style="1306" customWidth="1"/>
    <col min="5914" max="5914" width="14.5703125" style="1306" customWidth="1"/>
    <col min="5915" max="5915" width="12.28515625" style="1306" customWidth="1"/>
    <col min="5916" max="5916" width="38.140625" style="1306" customWidth="1"/>
    <col min="5917" max="5917" width="46.85546875" style="1306" customWidth="1"/>
    <col min="5918" max="5920" width="12.7109375" style="1306" customWidth="1"/>
    <col min="5921" max="5921" width="9.28515625" style="1306" customWidth="1"/>
    <col min="5922" max="5922" width="13.5703125" style="1306" customWidth="1"/>
    <col min="5923" max="5923" width="10.28515625" style="1306" customWidth="1"/>
    <col min="5924" max="5924" width="12.85546875" style="1306" customWidth="1"/>
    <col min="5925" max="5925" width="9.140625" style="1306" customWidth="1"/>
    <col min="5926" max="5926" width="9.7109375" style="1306" customWidth="1"/>
    <col min="5927" max="5927" width="9.28515625" style="1306" customWidth="1"/>
    <col min="5928" max="5928" width="9.42578125" style="1306" customWidth="1"/>
    <col min="5929" max="5929" width="10.5703125" style="1306" customWidth="1"/>
    <col min="5930" max="5930" width="12.42578125" style="1306" customWidth="1"/>
    <col min="5931" max="5931" width="14.5703125" style="1306" customWidth="1"/>
    <col min="5932" max="5932" width="12.28515625" style="1306" customWidth="1"/>
    <col min="5933" max="5933" width="25.85546875" style="1306" customWidth="1"/>
    <col min="5934" max="6165" width="0.85546875" style="1306"/>
    <col min="6166" max="6166" width="9.85546875" style="1306" customWidth="1"/>
    <col min="6167" max="6167" width="81.85546875" style="1306" customWidth="1"/>
    <col min="6168" max="6168" width="12.7109375" style="1306" customWidth="1"/>
    <col min="6169" max="6169" width="12.42578125" style="1306" customWidth="1"/>
    <col min="6170" max="6170" width="14.5703125" style="1306" customWidth="1"/>
    <col min="6171" max="6171" width="12.28515625" style="1306" customWidth="1"/>
    <col min="6172" max="6172" width="38.140625" style="1306" customWidth="1"/>
    <col min="6173" max="6173" width="46.85546875" style="1306" customWidth="1"/>
    <col min="6174" max="6176" width="12.7109375" style="1306" customWidth="1"/>
    <col min="6177" max="6177" width="9.28515625" style="1306" customWidth="1"/>
    <col min="6178" max="6178" width="13.5703125" style="1306" customWidth="1"/>
    <col min="6179" max="6179" width="10.28515625" style="1306" customWidth="1"/>
    <col min="6180" max="6180" width="12.85546875" style="1306" customWidth="1"/>
    <col min="6181" max="6181" width="9.140625" style="1306" customWidth="1"/>
    <col min="6182" max="6182" width="9.7109375" style="1306" customWidth="1"/>
    <col min="6183" max="6183" width="9.28515625" style="1306" customWidth="1"/>
    <col min="6184" max="6184" width="9.42578125" style="1306" customWidth="1"/>
    <col min="6185" max="6185" width="10.5703125" style="1306" customWidth="1"/>
    <col min="6186" max="6186" width="12.42578125" style="1306" customWidth="1"/>
    <col min="6187" max="6187" width="14.5703125" style="1306" customWidth="1"/>
    <col min="6188" max="6188" width="12.28515625" style="1306" customWidth="1"/>
    <col min="6189" max="6189" width="25.85546875" style="1306" customWidth="1"/>
    <col min="6190" max="6421" width="0.85546875" style="1306"/>
    <col min="6422" max="6422" width="9.85546875" style="1306" customWidth="1"/>
    <col min="6423" max="6423" width="81.85546875" style="1306" customWidth="1"/>
    <col min="6424" max="6424" width="12.7109375" style="1306" customWidth="1"/>
    <col min="6425" max="6425" width="12.42578125" style="1306" customWidth="1"/>
    <col min="6426" max="6426" width="14.5703125" style="1306" customWidth="1"/>
    <col min="6427" max="6427" width="12.28515625" style="1306" customWidth="1"/>
    <col min="6428" max="6428" width="38.140625" style="1306" customWidth="1"/>
    <col min="6429" max="6429" width="46.85546875" style="1306" customWidth="1"/>
    <col min="6430" max="6432" width="12.7109375" style="1306" customWidth="1"/>
    <col min="6433" max="6433" width="9.28515625" style="1306" customWidth="1"/>
    <col min="6434" max="6434" width="13.5703125" style="1306" customWidth="1"/>
    <col min="6435" max="6435" width="10.28515625" style="1306" customWidth="1"/>
    <col min="6436" max="6436" width="12.85546875" style="1306" customWidth="1"/>
    <col min="6437" max="6437" width="9.140625" style="1306" customWidth="1"/>
    <col min="6438" max="6438" width="9.7109375" style="1306" customWidth="1"/>
    <col min="6439" max="6439" width="9.28515625" style="1306" customWidth="1"/>
    <col min="6440" max="6440" width="9.42578125" style="1306" customWidth="1"/>
    <col min="6441" max="6441" width="10.5703125" style="1306" customWidth="1"/>
    <col min="6442" max="6442" width="12.42578125" style="1306" customWidth="1"/>
    <col min="6443" max="6443" width="14.5703125" style="1306" customWidth="1"/>
    <col min="6444" max="6444" width="12.28515625" style="1306" customWidth="1"/>
    <col min="6445" max="6445" width="25.85546875" style="1306" customWidth="1"/>
    <col min="6446" max="6677" width="0.85546875" style="1306"/>
    <col min="6678" max="6678" width="9.85546875" style="1306" customWidth="1"/>
    <col min="6679" max="6679" width="81.85546875" style="1306" customWidth="1"/>
    <col min="6680" max="6680" width="12.7109375" style="1306" customWidth="1"/>
    <col min="6681" max="6681" width="12.42578125" style="1306" customWidth="1"/>
    <col min="6682" max="6682" width="14.5703125" style="1306" customWidth="1"/>
    <col min="6683" max="6683" width="12.28515625" style="1306" customWidth="1"/>
    <col min="6684" max="6684" width="38.140625" style="1306" customWidth="1"/>
    <col min="6685" max="6685" width="46.85546875" style="1306" customWidth="1"/>
    <col min="6686" max="6688" width="12.7109375" style="1306" customWidth="1"/>
    <col min="6689" max="6689" width="9.28515625" style="1306" customWidth="1"/>
    <col min="6690" max="6690" width="13.5703125" style="1306" customWidth="1"/>
    <col min="6691" max="6691" width="10.28515625" style="1306" customWidth="1"/>
    <col min="6692" max="6692" width="12.85546875" style="1306" customWidth="1"/>
    <col min="6693" max="6693" width="9.140625" style="1306" customWidth="1"/>
    <col min="6694" max="6694" width="9.7109375" style="1306" customWidth="1"/>
    <col min="6695" max="6695" width="9.28515625" style="1306" customWidth="1"/>
    <col min="6696" max="6696" width="9.42578125" style="1306" customWidth="1"/>
    <col min="6697" max="6697" width="10.5703125" style="1306" customWidth="1"/>
    <col min="6698" max="6698" width="12.42578125" style="1306" customWidth="1"/>
    <col min="6699" max="6699" width="14.5703125" style="1306" customWidth="1"/>
    <col min="6700" max="6700" width="12.28515625" style="1306" customWidth="1"/>
    <col min="6701" max="6701" width="25.85546875" style="1306" customWidth="1"/>
    <col min="6702" max="6933" width="0.85546875" style="1306"/>
    <col min="6934" max="6934" width="9.85546875" style="1306" customWidth="1"/>
    <col min="6935" max="6935" width="81.85546875" style="1306" customWidth="1"/>
    <col min="6936" max="6936" width="12.7109375" style="1306" customWidth="1"/>
    <col min="6937" max="6937" width="12.42578125" style="1306" customWidth="1"/>
    <col min="6938" max="6938" width="14.5703125" style="1306" customWidth="1"/>
    <col min="6939" max="6939" width="12.28515625" style="1306" customWidth="1"/>
    <col min="6940" max="6940" width="38.140625" style="1306" customWidth="1"/>
    <col min="6941" max="6941" width="46.85546875" style="1306" customWidth="1"/>
    <col min="6942" max="6944" width="12.7109375" style="1306" customWidth="1"/>
    <col min="6945" max="6945" width="9.28515625" style="1306" customWidth="1"/>
    <col min="6946" max="6946" width="13.5703125" style="1306" customWidth="1"/>
    <col min="6947" max="6947" width="10.28515625" style="1306" customWidth="1"/>
    <col min="6948" max="6948" width="12.85546875" style="1306" customWidth="1"/>
    <col min="6949" max="6949" width="9.140625" style="1306" customWidth="1"/>
    <col min="6950" max="6950" width="9.7109375" style="1306" customWidth="1"/>
    <col min="6951" max="6951" width="9.28515625" style="1306" customWidth="1"/>
    <col min="6952" max="6952" width="9.42578125" style="1306" customWidth="1"/>
    <col min="6953" max="6953" width="10.5703125" style="1306" customWidth="1"/>
    <col min="6954" max="6954" width="12.42578125" style="1306" customWidth="1"/>
    <col min="6955" max="6955" width="14.5703125" style="1306" customWidth="1"/>
    <col min="6956" max="6956" width="12.28515625" style="1306" customWidth="1"/>
    <col min="6957" max="6957" width="25.85546875" style="1306" customWidth="1"/>
    <col min="6958" max="7189" width="0.85546875" style="1306"/>
    <col min="7190" max="7190" width="9.85546875" style="1306" customWidth="1"/>
    <col min="7191" max="7191" width="81.85546875" style="1306" customWidth="1"/>
    <col min="7192" max="7192" width="12.7109375" style="1306" customWidth="1"/>
    <col min="7193" max="7193" width="12.42578125" style="1306" customWidth="1"/>
    <col min="7194" max="7194" width="14.5703125" style="1306" customWidth="1"/>
    <col min="7195" max="7195" width="12.28515625" style="1306" customWidth="1"/>
    <col min="7196" max="7196" width="38.140625" style="1306" customWidth="1"/>
    <col min="7197" max="7197" width="46.85546875" style="1306" customWidth="1"/>
    <col min="7198" max="7200" width="12.7109375" style="1306" customWidth="1"/>
    <col min="7201" max="7201" width="9.28515625" style="1306" customWidth="1"/>
    <col min="7202" max="7202" width="13.5703125" style="1306" customWidth="1"/>
    <col min="7203" max="7203" width="10.28515625" style="1306" customWidth="1"/>
    <col min="7204" max="7204" width="12.85546875" style="1306" customWidth="1"/>
    <col min="7205" max="7205" width="9.140625" style="1306" customWidth="1"/>
    <col min="7206" max="7206" width="9.7109375" style="1306" customWidth="1"/>
    <col min="7207" max="7207" width="9.28515625" style="1306" customWidth="1"/>
    <col min="7208" max="7208" width="9.42578125" style="1306" customWidth="1"/>
    <col min="7209" max="7209" width="10.5703125" style="1306" customWidth="1"/>
    <col min="7210" max="7210" width="12.42578125" style="1306" customWidth="1"/>
    <col min="7211" max="7211" width="14.5703125" style="1306" customWidth="1"/>
    <col min="7212" max="7212" width="12.28515625" style="1306" customWidth="1"/>
    <col min="7213" max="7213" width="25.85546875" style="1306" customWidth="1"/>
    <col min="7214" max="7445" width="0.85546875" style="1306"/>
    <col min="7446" max="7446" width="9.85546875" style="1306" customWidth="1"/>
    <col min="7447" max="7447" width="81.85546875" style="1306" customWidth="1"/>
    <col min="7448" max="7448" width="12.7109375" style="1306" customWidth="1"/>
    <col min="7449" max="7449" width="12.42578125" style="1306" customWidth="1"/>
    <col min="7450" max="7450" width="14.5703125" style="1306" customWidth="1"/>
    <col min="7451" max="7451" width="12.28515625" style="1306" customWidth="1"/>
    <col min="7452" max="7452" width="38.140625" style="1306" customWidth="1"/>
    <col min="7453" max="7453" width="46.85546875" style="1306" customWidth="1"/>
    <col min="7454" max="7456" width="12.7109375" style="1306" customWidth="1"/>
    <col min="7457" max="7457" width="9.28515625" style="1306" customWidth="1"/>
    <col min="7458" max="7458" width="13.5703125" style="1306" customWidth="1"/>
    <col min="7459" max="7459" width="10.28515625" style="1306" customWidth="1"/>
    <col min="7460" max="7460" width="12.85546875" style="1306" customWidth="1"/>
    <col min="7461" max="7461" width="9.140625" style="1306" customWidth="1"/>
    <col min="7462" max="7462" width="9.7109375" style="1306" customWidth="1"/>
    <col min="7463" max="7463" width="9.28515625" style="1306" customWidth="1"/>
    <col min="7464" max="7464" width="9.42578125" style="1306" customWidth="1"/>
    <col min="7465" max="7465" width="10.5703125" style="1306" customWidth="1"/>
    <col min="7466" max="7466" width="12.42578125" style="1306" customWidth="1"/>
    <col min="7467" max="7467" width="14.5703125" style="1306" customWidth="1"/>
    <col min="7468" max="7468" width="12.28515625" style="1306" customWidth="1"/>
    <col min="7469" max="7469" width="25.85546875" style="1306" customWidth="1"/>
    <col min="7470" max="7701" width="0.85546875" style="1306"/>
    <col min="7702" max="7702" width="9.85546875" style="1306" customWidth="1"/>
    <col min="7703" max="7703" width="81.85546875" style="1306" customWidth="1"/>
    <col min="7704" max="7704" width="12.7109375" style="1306" customWidth="1"/>
    <col min="7705" max="7705" width="12.42578125" style="1306" customWidth="1"/>
    <col min="7706" max="7706" width="14.5703125" style="1306" customWidth="1"/>
    <col min="7707" max="7707" width="12.28515625" style="1306" customWidth="1"/>
    <col min="7708" max="7708" width="38.140625" style="1306" customWidth="1"/>
    <col min="7709" max="7709" width="46.85546875" style="1306" customWidth="1"/>
    <col min="7710" max="7712" width="12.7109375" style="1306" customWidth="1"/>
    <col min="7713" max="7713" width="9.28515625" style="1306" customWidth="1"/>
    <col min="7714" max="7714" width="13.5703125" style="1306" customWidth="1"/>
    <col min="7715" max="7715" width="10.28515625" style="1306" customWidth="1"/>
    <col min="7716" max="7716" width="12.85546875" style="1306" customWidth="1"/>
    <col min="7717" max="7717" width="9.140625" style="1306" customWidth="1"/>
    <col min="7718" max="7718" width="9.7109375" style="1306" customWidth="1"/>
    <col min="7719" max="7719" width="9.28515625" style="1306" customWidth="1"/>
    <col min="7720" max="7720" width="9.42578125" style="1306" customWidth="1"/>
    <col min="7721" max="7721" width="10.5703125" style="1306" customWidth="1"/>
    <col min="7722" max="7722" width="12.42578125" style="1306" customWidth="1"/>
    <col min="7723" max="7723" width="14.5703125" style="1306" customWidth="1"/>
    <col min="7724" max="7724" width="12.28515625" style="1306" customWidth="1"/>
    <col min="7725" max="7725" width="25.85546875" style="1306" customWidth="1"/>
    <col min="7726" max="7957" width="0.85546875" style="1306"/>
    <col min="7958" max="7958" width="9.85546875" style="1306" customWidth="1"/>
    <col min="7959" max="7959" width="81.85546875" style="1306" customWidth="1"/>
    <col min="7960" max="7960" width="12.7109375" style="1306" customWidth="1"/>
    <col min="7961" max="7961" width="12.42578125" style="1306" customWidth="1"/>
    <col min="7962" max="7962" width="14.5703125" style="1306" customWidth="1"/>
    <col min="7963" max="7963" width="12.28515625" style="1306" customWidth="1"/>
    <col min="7964" max="7964" width="38.140625" style="1306" customWidth="1"/>
    <col min="7965" max="7965" width="46.85546875" style="1306" customWidth="1"/>
    <col min="7966" max="7968" width="12.7109375" style="1306" customWidth="1"/>
    <col min="7969" max="7969" width="9.28515625" style="1306" customWidth="1"/>
    <col min="7970" max="7970" width="13.5703125" style="1306" customWidth="1"/>
    <col min="7971" max="7971" width="10.28515625" style="1306" customWidth="1"/>
    <col min="7972" max="7972" width="12.85546875" style="1306" customWidth="1"/>
    <col min="7973" max="7973" width="9.140625" style="1306" customWidth="1"/>
    <col min="7974" max="7974" width="9.7109375" style="1306" customWidth="1"/>
    <col min="7975" max="7975" width="9.28515625" style="1306" customWidth="1"/>
    <col min="7976" max="7976" width="9.42578125" style="1306" customWidth="1"/>
    <col min="7977" max="7977" width="10.5703125" style="1306" customWidth="1"/>
    <col min="7978" max="7978" width="12.42578125" style="1306" customWidth="1"/>
    <col min="7979" max="7979" width="14.5703125" style="1306" customWidth="1"/>
    <col min="7980" max="7980" width="12.28515625" style="1306" customWidth="1"/>
    <col min="7981" max="7981" width="25.85546875" style="1306" customWidth="1"/>
    <col min="7982" max="8213" width="0.85546875" style="1306"/>
    <col min="8214" max="8214" width="9.85546875" style="1306" customWidth="1"/>
    <col min="8215" max="8215" width="81.85546875" style="1306" customWidth="1"/>
    <col min="8216" max="8216" width="12.7109375" style="1306" customWidth="1"/>
    <col min="8217" max="8217" width="12.42578125" style="1306" customWidth="1"/>
    <col min="8218" max="8218" width="14.5703125" style="1306" customWidth="1"/>
    <col min="8219" max="8219" width="12.28515625" style="1306" customWidth="1"/>
    <col min="8220" max="8220" width="38.140625" style="1306" customWidth="1"/>
    <col min="8221" max="8221" width="46.85546875" style="1306" customWidth="1"/>
    <col min="8222" max="8224" width="12.7109375" style="1306" customWidth="1"/>
    <col min="8225" max="8225" width="9.28515625" style="1306" customWidth="1"/>
    <col min="8226" max="8226" width="13.5703125" style="1306" customWidth="1"/>
    <col min="8227" max="8227" width="10.28515625" style="1306" customWidth="1"/>
    <col min="8228" max="8228" width="12.85546875" style="1306" customWidth="1"/>
    <col min="8229" max="8229" width="9.140625" style="1306" customWidth="1"/>
    <col min="8230" max="8230" width="9.7109375" style="1306" customWidth="1"/>
    <col min="8231" max="8231" width="9.28515625" style="1306" customWidth="1"/>
    <col min="8232" max="8232" width="9.42578125" style="1306" customWidth="1"/>
    <col min="8233" max="8233" width="10.5703125" style="1306" customWidth="1"/>
    <col min="8234" max="8234" width="12.42578125" style="1306" customWidth="1"/>
    <col min="8235" max="8235" width="14.5703125" style="1306" customWidth="1"/>
    <col min="8236" max="8236" width="12.28515625" style="1306" customWidth="1"/>
    <col min="8237" max="8237" width="25.85546875" style="1306" customWidth="1"/>
    <col min="8238" max="8469" width="0.85546875" style="1306"/>
    <col min="8470" max="8470" width="9.85546875" style="1306" customWidth="1"/>
    <col min="8471" max="8471" width="81.85546875" style="1306" customWidth="1"/>
    <col min="8472" max="8472" width="12.7109375" style="1306" customWidth="1"/>
    <col min="8473" max="8473" width="12.42578125" style="1306" customWidth="1"/>
    <col min="8474" max="8474" width="14.5703125" style="1306" customWidth="1"/>
    <col min="8475" max="8475" width="12.28515625" style="1306" customWidth="1"/>
    <col min="8476" max="8476" width="38.140625" style="1306" customWidth="1"/>
    <col min="8477" max="8477" width="46.85546875" style="1306" customWidth="1"/>
    <col min="8478" max="8480" width="12.7109375" style="1306" customWidth="1"/>
    <col min="8481" max="8481" width="9.28515625" style="1306" customWidth="1"/>
    <col min="8482" max="8482" width="13.5703125" style="1306" customWidth="1"/>
    <col min="8483" max="8483" width="10.28515625" style="1306" customWidth="1"/>
    <col min="8484" max="8484" width="12.85546875" style="1306" customWidth="1"/>
    <col min="8485" max="8485" width="9.140625" style="1306" customWidth="1"/>
    <col min="8486" max="8486" width="9.7109375" style="1306" customWidth="1"/>
    <col min="8487" max="8487" width="9.28515625" style="1306" customWidth="1"/>
    <col min="8488" max="8488" width="9.42578125" style="1306" customWidth="1"/>
    <col min="8489" max="8489" width="10.5703125" style="1306" customWidth="1"/>
    <col min="8490" max="8490" width="12.42578125" style="1306" customWidth="1"/>
    <col min="8491" max="8491" width="14.5703125" style="1306" customWidth="1"/>
    <col min="8492" max="8492" width="12.28515625" style="1306" customWidth="1"/>
    <col min="8493" max="8493" width="25.85546875" style="1306" customWidth="1"/>
    <col min="8494" max="8725" width="0.85546875" style="1306"/>
    <col min="8726" max="8726" width="9.85546875" style="1306" customWidth="1"/>
    <col min="8727" max="8727" width="81.85546875" style="1306" customWidth="1"/>
    <col min="8728" max="8728" width="12.7109375" style="1306" customWidth="1"/>
    <col min="8729" max="8729" width="12.42578125" style="1306" customWidth="1"/>
    <col min="8730" max="8730" width="14.5703125" style="1306" customWidth="1"/>
    <col min="8731" max="8731" width="12.28515625" style="1306" customWidth="1"/>
    <col min="8732" max="8732" width="38.140625" style="1306" customWidth="1"/>
    <col min="8733" max="8733" width="46.85546875" style="1306" customWidth="1"/>
    <col min="8734" max="8736" width="12.7109375" style="1306" customWidth="1"/>
    <col min="8737" max="8737" width="9.28515625" style="1306" customWidth="1"/>
    <col min="8738" max="8738" width="13.5703125" style="1306" customWidth="1"/>
    <col min="8739" max="8739" width="10.28515625" style="1306" customWidth="1"/>
    <col min="8740" max="8740" width="12.85546875" style="1306" customWidth="1"/>
    <col min="8741" max="8741" width="9.140625" style="1306" customWidth="1"/>
    <col min="8742" max="8742" width="9.7109375" style="1306" customWidth="1"/>
    <col min="8743" max="8743" width="9.28515625" style="1306" customWidth="1"/>
    <col min="8744" max="8744" width="9.42578125" style="1306" customWidth="1"/>
    <col min="8745" max="8745" width="10.5703125" style="1306" customWidth="1"/>
    <col min="8746" max="8746" width="12.42578125" style="1306" customWidth="1"/>
    <col min="8747" max="8747" width="14.5703125" style="1306" customWidth="1"/>
    <col min="8748" max="8748" width="12.28515625" style="1306" customWidth="1"/>
    <col min="8749" max="8749" width="25.85546875" style="1306" customWidth="1"/>
    <col min="8750" max="8981" width="0.85546875" style="1306"/>
    <col min="8982" max="8982" width="9.85546875" style="1306" customWidth="1"/>
    <col min="8983" max="8983" width="81.85546875" style="1306" customWidth="1"/>
    <col min="8984" max="8984" width="12.7109375" style="1306" customWidth="1"/>
    <col min="8985" max="8985" width="12.42578125" style="1306" customWidth="1"/>
    <col min="8986" max="8986" width="14.5703125" style="1306" customWidth="1"/>
    <col min="8987" max="8987" width="12.28515625" style="1306" customWidth="1"/>
    <col min="8988" max="8988" width="38.140625" style="1306" customWidth="1"/>
    <col min="8989" max="8989" width="46.85546875" style="1306" customWidth="1"/>
    <col min="8990" max="8992" width="12.7109375" style="1306" customWidth="1"/>
    <col min="8993" max="8993" width="9.28515625" style="1306" customWidth="1"/>
    <col min="8994" max="8994" width="13.5703125" style="1306" customWidth="1"/>
    <col min="8995" max="8995" width="10.28515625" style="1306" customWidth="1"/>
    <col min="8996" max="8996" width="12.85546875" style="1306" customWidth="1"/>
    <col min="8997" max="8997" width="9.140625" style="1306" customWidth="1"/>
    <col min="8998" max="8998" width="9.7109375" style="1306" customWidth="1"/>
    <col min="8999" max="8999" width="9.28515625" style="1306" customWidth="1"/>
    <col min="9000" max="9000" width="9.42578125" style="1306" customWidth="1"/>
    <col min="9001" max="9001" width="10.5703125" style="1306" customWidth="1"/>
    <col min="9002" max="9002" width="12.42578125" style="1306" customWidth="1"/>
    <col min="9003" max="9003" width="14.5703125" style="1306" customWidth="1"/>
    <col min="9004" max="9004" width="12.28515625" style="1306" customWidth="1"/>
    <col min="9005" max="9005" width="25.85546875" style="1306" customWidth="1"/>
    <col min="9006" max="9237" width="0.85546875" style="1306"/>
    <col min="9238" max="9238" width="9.85546875" style="1306" customWidth="1"/>
    <col min="9239" max="9239" width="81.85546875" style="1306" customWidth="1"/>
    <col min="9240" max="9240" width="12.7109375" style="1306" customWidth="1"/>
    <col min="9241" max="9241" width="12.42578125" style="1306" customWidth="1"/>
    <col min="9242" max="9242" width="14.5703125" style="1306" customWidth="1"/>
    <col min="9243" max="9243" width="12.28515625" style="1306" customWidth="1"/>
    <col min="9244" max="9244" width="38.140625" style="1306" customWidth="1"/>
    <col min="9245" max="9245" width="46.85546875" style="1306" customWidth="1"/>
    <col min="9246" max="9248" width="12.7109375" style="1306" customWidth="1"/>
    <col min="9249" max="9249" width="9.28515625" style="1306" customWidth="1"/>
    <col min="9250" max="9250" width="13.5703125" style="1306" customWidth="1"/>
    <col min="9251" max="9251" width="10.28515625" style="1306" customWidth="1"/>
    <col min="9252" max="9252" width="12.85546875" style="1306" customWidth="1"/>
    <col min="9253" max="9253" width="9.140625" style="1306" customWidth="1"/>
    <col min="9254" max="9254" width="9.7109375" style="1306" customWidth="1"/>
    <col min="9255" max="9255" width="9.28515625" style="1306" customWidth="1"/>
    <col min="9256" max="9256" width="9.42578125" style="1306" customWidth="1"/>
    <col min="9257" max="9257" width="10.5703125" style="1306" customWidth="1"/>
    <col min="9258" max="9258" width="12.42578125" style="1306" customWidth="1"/>
    <col min="9259" max="9259" width="14.5703125" style="1306" customWidth="1"/>
    <col min="9260" max="9260" width="12.28515625" style="1306" customWidth="1"/>
    <col min="9261" max="9261" width="25.85546875" style="1306" customWidth="1"/>
    <col min="9262" max="9493" width="0.85546875" style="1306"/>
    <col min="9494" max="9494" width="9.85546875" style="1306" customWidth="1"/>
    <col min="9495" max="9495" width="81.85546875" style="1306" customWidth="1"/>
    <col min="9496" max="9496" width="12.7109375" style="1306" customWidth="1"/>
    <col min="9497" max="9497" width="12.42578125" style="1306" customWidth="1"/>
    <col min="9498" max="9498" width="14.5703125" style="1306" customWidth="1"/>
    <col min="9499" max="9499" width="12.28515625" style="1306" customWidth="1"/>
    <col min="9500" max="9500" width="38.140625" style="1306" customWidth="1"/>
    <col min="9501" max="9501" width="46.85546875" style="1306" customWidth="1"/>
    <col min="9502" max="9504" width="12.7109375" style="1306" customWidth="1"/>
    <col min="9505" max="9505" width="9.28515625" style="1306" customWidth="1"/>
    <col min="9506" max="9506" width="13.5703125" style="1306" customWidth="1"/>
    <col min="9507" max="9507" width="10.28515625" style="1306" customWidth="1"/>
    <col min="9508" max="9508" width="12.85546875" style="1306" customWidth="1"/>
    <col min="9509" max="9509" width="9.140625" style="1306" customWidth="1"/>
    <col min="9510" max="9510" width="9.7109375" style="1306" customWidth="1"/>
    <col min="9511" max="9511" width="9.28515625" style="1306" customWidth="1"/>
    <col min="9512" max="9512" width="9.42578125" style="1306" customWidth="1"/>
    <col min="9513" max="9513" width="10.5703125" style="1306" customWidth="1"/>
    <col min="9514" max="9514" width="12.42578125" style="1306" customWidth="1"/>
    <col min="9515" max="9515" width="14.5703125" style="1306" customWidth="1"/>
    <col min="9516" max="9516" width="12.28515625" style="1306" customWidth="1"/>
    <col min="9517" max="9517" width="25.85546875" style="1306" customWidth="1"/>
    <col min="9518" max="9749" width="0.85546875" style="1306"/>
    <col min="9750" max="9750" width="9.85546875" style="1306" customWidth="1"/>
    <col min="9751" max="9751" width="81.85546875" style="1306" customWidth="1"/>
    <col min="9752" max="9752" width="12.7109375" style="1306" customWidth="1"/>
    <col min="9753" max="9753" width="12.42578125" style="1306" customWidth="1"/>
    <col min="9754" max="9754" width="14.5703125" style="1306" customWidth="1"/>
    <col min="9755" max="9755" width="12.28515625" style="1306" customWidth="1"/>
    <col min="9756" max="9756" width="38.140625" style="1306" customWidth="1"/>
    <col min="9757" max="9757" width="46.85546875" style="1306" customWidth="1"/>
    <col min="9758" max="9760" width="12.7109375" style="1306" customWidth="1"/>
    <col min="9761" max="9761" width="9.28515625" style="1306" customWidth="1"/>
    <col min="9762" max="9762" width="13.5703125" style="1306" customWidth="1"/>
    <col min="9763" max="9763" width="10.28515625" style="1306" customWidth="1"/>
    <col min="9764" max="9764" width="12.85546875" style="1306" customWidth="1"/>
    <col min="9765" max="9765" width="9.140625" style="1306" customWidth="1"/>
    <col min="9766" max="9766" width="9.7109375" style="1306" customWidth="1"/>
    <col min="9767" max="9767" width="9.28515625" style="1306" customWidth="1"/>
    <col min="9768" max="9768" width="9.42578125" style="1306" customWidth="1"/>
    <col min="9769" max="9769" width="10.5703125" style="1306" customWidth="1"/>
    <col min="9770" max="9770" width="12.42578125" style="1306" customWidth="1"/>
    <col min="9771" max="9771" width="14.5703125" style="1306" customWidth="1"/>
    <col min="9772" max="9772" width="12.28515625" style="1306" customWidth="1"/>
    <col min="9773" max="9773" width="25.85546875" style="1306" customWidth="1"/>
    <col min="9774" max="10005" width="0.85546875" style="1306"/>
    <col min="10006" max="10006" width="9.85546875" style="1306" customWidth="1"/>
    <col min="10007" max="10007" width="81.85546875" style="1306" customWidth="1"/>
    <col min="10008" max="10008" width="12.7109375" style="1306" customWidth="1"/>
    <col min="10009" max="10009" width="12.42578125" style="1306" customWidth="1"/>
    <col min="10010" max="10010" width="14.5703125" style="1306" customWidth="1"/>
    <col min="10011" max="10011" width="12.28515625" style="1306" customWidth="1"/>
    <col min="10012" max="10012" width="38.140625" style="1306" customWidth="1"/>
    <col min="10013" max="10013" width="46.85546875" style="1306" customWidth="1"/>
    <col min="10014" max="10016" width="12.7109375" style="1306" customWidth="1"/>
    <col min="10017" max="10017" width="9.28515625" style="1306" customWidth="1"/>
    <col min="10018" max="10018" width="13.5703125" style="1306" customWidth="1"/>
    <col min="10019" max="10019" width="10.28515625" style="1306" customWidth="1"/>
    <col min="10020" max="10020" width="12.85546875" style="1306" customWidth="1"/>
    <col min="10021" max="10021" width="9.140625" style="1306" customWidth="1"/>
    <col min="10022" max="10022" width="9.7109375" style="1306" customWidth="1"/>
    <col min="10023" max="10023" width="9.28515625" style="1306" customWidth="1"/>
    <col min="10024" max="10024" width="9.42578125" style="1306" customWidth="1"/>
    <col min="10025" max="10025" width="10.5703125" style="1306" customWidth="1"/>
    <col min="10026" max="10026" width="12.42578125" style="1306" customWidth="1"/>
    <col min="10027" max="10027" width="14.5703125" style="1306" customWidth="1"/>
    <col min="10028" max="10028" width="12.28515625" style="1306" customWidth="1"/>
    <col min="10029" max="10029" width="25.85546875" style="1306" customWidth="1"/>
    <col min="10030" max="10261" width="0.85546875" style="1306"/>
    <col min="10262" max="10262" width="9.85546875" style="1306" customWidth="1"/>
    <col min="10263" max="10263" width="81.85546875" style="1306" customWidth="1"/>
    <col min="10264" max="10264" width="12.7109375" style="1306" customWidth="1"/>
    <col min="10265" max="10265" width="12.42578125" style="1306" customWidth="1"/>
    <col min="10266" max="10266" width="14.5703125" style="1306" customWidth="1"/>
    <col min="10267" max="10267" width="12.28515625" style="1306" customWidth="1"/>
    <col min="10268" max="10268" width="38.140625" style="1306" customWidth="1"/>
    <col min="10269" max="10269" width="46.85546875" style="1306" customWidth="1"/>
    <col min="10270" max="10272" width="12.7109375" style="1306" customWidth="1"/>
    <col min="10273" max="10273" width="9.28515625" style="1306" customWidth="1"/>
    <col min="10274" max="10274" width="13.5703125" style="1306" customWidth="1"/>
    <col min="10275" max="10275" width="10.28515625" style="1306" customWidth="1"/>
    <col min="10276" max="10276" width="12.85546875" style="1306" customWidth="1"/>
    <col min="10277" max="10277" width="9.140625" style="1306" customWidth="1"/>
    <col min="10278" max="10278" width="9.7109375" style="1306" customWidth="1"/>
    <col min="10279" max="10279" width="9.28515625" style="1306" customWidth="1"/>
    <col min="10280" max="10280" width="9.42578125" style="1306" customWidth="1"/>
    <col min="10281" max="10281" width="10.5703125" style="1306" customWidth="1"/>
    <col min="10282" max="10282" width="12.42578125" style="1306" customWidth="1"/>
    <col min="10283" max="10283" width="14.5703125" style="1306" customWidth="1"/>
    <col min="10284" max="10284" width="12.28515625" style="1306" customWidth="1"/>
    <col min="10285" max="10285" width="25.85546875" style="1306" customWidth="1"/>
    <col min="10286" max="10517" width="0.85546875" style="1306"/>
    <col min="10518" max="10518" width="9.85546875" style="1306" customWidth="1"/>
    <col min="10519" max="10519" width="81.85546875" style="1306" customWidth="1"/>
    <col min="10520" max="10520" width="12.7109375" style="1306" customWidth="1"/>
    <col min="10521" max="10521" width="12.42578125" style="1306" customWidth="1"/>
    <col min="10522" max="10522" width="14.5703125" style="1306" customWidth="1"/>
    <col min="10523" max="10523" width="12.28515625" style="1306" customWidth="1"/>
    <col min="10524" max="10524" width="38.140625" style="1306" customWidth="1"/>
    <col min="10525" max="10525" width="46.85546875" style="1306" customWidth="1"/>
    <col min="10526" max="10528" width="12.7109375" style="1306" customWidth="1"/>
    <col min="10529" max="10529" width="9.28515625" style="1306" customWidth="1"/>
    <col min="10530" max="10530" width="13.5703125" style="1306" customWidth="1"/>
    <col min="10531" max="10531" width="10.28515625" style="1306" customWidth="1"/>
    <col min="10532" max="10532" width="12.85546875" style="1306" customWidth="1"/>
    <col min="10533" max="10533" width="9.140625" style="1306" customWidth="1"/>
    <col min="10534" max="10534" width="9.7109375" style="1306" customWidth="1"/>
    <col min="10535" max="10535" width="9.28515625" style="1306" customWidth="1"/>
    <col min="10536" max="10536" width="9.42578125" style="1306" customWidth="1"/>
    <col min="10537" max="10537" width="10.5703125" style="1306" customWidth="1"/>
    <col min="10538" max="10538" width="12.42578125" style="1306" customWidth="1"/>
    <col min="10539" max="10539" width="14.5703125" style="1306" customWidth="1"/>
    <col min="10540" max="10540" width="12.28515625" style="1306" customWidth="1"/>
    <col min="10541" max="10541" width="25.85546875" style="1306" customWidth="1"/>
    <col min="10542" max="10773" width="0.85546875" style="1306"/>
    <col min="10774" max="10774" width="9.85546875" style="1306" customWidth="1"/>
    <col min="10775" max="10775" width="81.85546875" style="1306" customWidth="1"/>
    <col min="10776" max="10776" width="12.7109375" style="1306" customWidth="1"/>
    <col min="10777" max="10777" width="12.42578125" style="1306" customWidth="1"/>
    <col min="10778" max="10778" width="14.5703125" style="1306" customWidth="1"/>
    <col min="10779" max="10779" width="12.28515625" style="1306" customWidth="1"/>
    <col min="10780" max="10780" width="38.140625" style="1306" customWidth="1"/>
    <col min="10781" max="10781" width="46.85546875" style="1306" customWidth="1"/>
    <col min="10782" max="10784" width="12.7109375" style="1306" customWidth="1"/>
    <col min="10785" max="10785" width="9.28515625" style="1306" customWidth="1"/>
    <col min="10786" max="10786" width="13.5703125" style="1306" customWidth="1"/>
    <col min="10787" max="10787" width="10.28515625" style="1306" customWidth="1"/>
    <col min="10788" max="10788" width="12.85546875" style="1306" customWidth="1"/>
    <col min="10789" max="10789" width="9.140625" style="1306" customWidth="1"/>
    <col min="10790" max="10790" width="9.7109375" style="1306" customWidth="1"/>
    <col min="10791" max="10791" width="9.28515625" style="1306" customWidth="1"/>
    <col min="10792" max="10792" width="9.42578125" style="1306" customWidth="1"/>
    <col min="10793" max="10793" width="10.5703125" style="1306" customWidth="1"/>
    <col min="10794" max="10794" width="12.42578125" style="1306" customWidth="1"/>
    <col min="10795" max="10795" width="14.5703125" style="1306" customWidth="1"/>
    <col min="10796" max="10796" width="12.28515625" style="1306" customWidth="1"/>
    <col min="10797" max="10797" width="25.85546875" style="1306" customWidth="1"/>
    <col min="10798" max="11029" width="0.85546875" style="1306"/>
    <col min="11030" max="11030" width="9.85546875" style="1306" customWidth="1"/>
    <col min="11031" max="11031" width="81.85546875" style="1306" customWidth="1"/>
    <col min="11032" max="11032" width="12.7109375" style="1306" customWidth="1"/>
    <col min="11033" max="11033" width="12.42578125" style="1306" customWidth="1"/>
    <col min="11034" max="11034" width="14.5703125" style="1306" customWidth="1"/>
    <col min="11035" max="11035" width="12.28515625" style="1306" customWidth="1"/>
    <col min="11036" max="11036" width="38.140625" style="1306" customWidth="1"/>
    <col min="11037" max="11037" width="46.85546875" style="1306" customWidth="1"/>
    <col min="11038" max="11040" width="12.7109375" style="1306" customWidth="1"/>
    <col min="11041" max="11041" width="9.28515625" style="1306" customWidth="1"/>
    <col min="11042" max="11042" width="13.5703125" style="1306" customWidth="1"/>
    <col min="11043" max="11043" width="10.28515625" style="1306" customWidth="1"/>
    <col min="11044" max="11044" width="12.85546875" style="1306" customWidth="1"/>
    <col min="11045" max="11045" width="9.140625" style="1306" customWidth="1"/>
    <col min="11046" max="11046" width="9.7109375" style="1306" customWidth="1"/>
    <col min="11047" max="11047" width="9.28515625" style="1306" customWidth="1"/>
    <col min="11048" max="11048" width="9.42578125" style="1306" customWidth="1"/>
    <col min="11049" max="11049" width="10.5703125" style="1306" customWidth="1"/>
    <col min="11050" max="11050" width="12.42578125" style="1306" customWidth="1"/>
    <col min="11051" max="11051" width="14.5703125" style="1306" customWidth="1"/>
    <col min="11052" max="11052" width="12.28515625" style="1306" customWidth="1"/>
    <col min="11053" max="11053" width="25.85546875" style="1306" customWidth="1"/>
    <col min="11054" max="11285" width="0.85546875" style="1306"/>
    <col min="11286" max="11286" width="9.85546875" style="1306" customWidth="1"/>
    <col min="11287" max="11287" width="81.85546875" style="1306" customWidth="1"/>
    <col min="11288" max="11288" width="12.7109375" style="1306" customWidth="1"/>
    <col min="11289" max="11289" width="12.42578125" style="1306" customWidth="1"/>
    <col min="11290" max="11290" width="14.5703125" style="1306" customWidth="1"/>
    <col min="11291" max="11291" width="12.28515625" style="1306" customWidth="1"/>
    <col min="11292" max="11292" width="38.140625" style="1306" customWidth="1"/>
    <col min="11293" max="11293" width="46.85546875" style="1306" customWidth="1"/>
    <col min="11294" max="11296" width="12.7109375" style="1306" customWidth="1"/>
    <col min="11297" max="11297" width="9.28515625" style="1306" customWidth="1"/>
    <col min="11298" max="11298" width="13.5703125" style="1306" customWidth="1"/>
    <col min="11299" max="11299" width="10.28515625" style="1306" customWidth="1"/>
    <col min="11300" max="11300" width="12.85546875" style="1306" customWidth="1"/>
    <col min="11301" max="11301" width="9.140625" style="1306" customWidth="1"/>
    <col min="11302" max="11302" width="9.7109375" style="1306" customWidth="1"/>
    <col min="11303" max="11303" width="9.28515625" style="1306" customWidth="1"/>
    <col min="11304" max="11304" width="9.42578125" style="1306" customWidth="1"/>
    <col min="11305" max="11305" width="10.5703125" style="1306" customWidth="1"/>
    <col min="11306" max="11306" width="12.42578125" style="1306" customWidth="1"/>
    <col min="11307" max="11307" width="14.5703125" style="1306" customWidth="1"/>
    <col min="11308" max="11308" width="12.28515625" style="1306" customWidth="1"/>
    <col min="11309" max="11309" width="25.85546875" style="1306" customWidth="1"/>
    <col min="11310" max="11541" width="0.85546875" style="1306"/>
    <col min="11542" max="11542" width="9.85546875" style="1306" customWidth="1"/>
    <col min="11543" max="11543" width="81.85546875" style="1306" customWidth="1"/>
    <col min="11544" max="11544" width="12.7109375" style="1306" customWidth="1"/>
    <col min="11545" max="11545" width="12.42578125" style="1306" customWidth="1"/>
    <col min="11546" max="11546" width="14.5703125" style="1306" customWidth="1"/>
    <col min="11547" max="11547" width="12.28515625" style="1306" customWidth="1"/>
    <col min="11548" max="11548" width="38.140625" style="1306" customWidth="1"/>
    <col min="11549" max="11549" width="46.85546875" style="1306" customWidth="1"/>
    <col min="11550" max="11552" width="12.7109375" style="1306" customWidth="1"/>
    <col min="11553" max="11553" width="9.28515625" style="1306" customWidth="1"/>
    <col min="11554" max="11554" width="13.5703125" style="1306" customWidth="1"/>
    <col min="11555" max="11555" width="10.28515625" style="1306" customWidth="1"/>
    <col min="11556" max="11556" width="12.85546875" style="1306" customWidth="1"/>
    <col min="11557" max="11557" width="9.140625" style="1306" customWidth="1"/>
    <col min="11558" max="11558" width="9.7109375" style="1306" customWidth="1"/>
    <col min="11559" max="11559" width="9.28515625" style="1306" customWidth="1"/>
    <col min="11560" max="11560" width="9.42578125" style="1306" customWidth="1"/>
    <col min="11561" max="11561" width="10.5703125" style="1306" customWidth="1"/>
    <col min="11562" max="11562" width="12.42578125" style="1306" customWidth="1"/>
    <col min="11563" max="11563" width="14.5703125" style="1306" customWidth="1"/>
    <col min="11564" max="11564" width="12.28515625" style="1306" customWidth="1"/>
    <col min="11565" max="11565" width="25.85546875" style="1306" customWidth="1"/>
    <col min="11566" max="11797" width="0.85546875" style="1306"/>
    <col min="11798" max="11798" width="9.85546875" style="1306" customWidth="1"/>
    <col min="11799" max="11799" width="81.85546875" style="1306" customWidth="1"/>
    <col min="11800" max="11800" width="12.7109375" style="1306" customWidth="1"/>
    <col min="11801" max="11801" width="12.42578125" style="1306" customWidth="1"/>
    <col min="11802" max="11802" width="14.5703125" style="1306" customWidth="1"/>
    <col min="11803" max="11803" width="12.28515625" style="1306" customWidth="1"/>
    <col min="11804" max="11804" width="38.140625" style="1306" customWidth="1"/>
    <col min="11805" max="11805" width="46.85546875" style="1306" customWidth="1"/>
    <col min="11806" max="11808" width="12.7109375" style="1306" customWidth="1"/>
    <col min="11809" max="11809" width="9.28515625" style="1306" customWidth="1"/>
    <col min="11810" max="11810" width="13.5703125" style="1306" customWidth="1"/>
    <col min="11811" max="11811" width="10.28515625" style="1306" customWidth="1"/>
    <col min="11812" max="11812" width="12.85546875" style="1306" customWidth="1"/>
    <col min="11813" max="11813" width="9.140625" style="1306" customWidth="1"/>
    <col min="11814" max="11814" width="9.7109375" style="1306" customWidth="1"/>
    <col min="11815" max="11815" width="9.28515625" style="1306" customWidth="1"/>
    <col min="11816" max="11816" width="9.42578125" style="1306" customWidth="1"/>
    <col min="11817" max="11817" width="10.5703125" style="1306" customWidth="1"/>
    <col min="11818" max="11818" width="12.42578125" style="1306" customWidth="1"/>
    <col min="11819" max="11819" width="14.5703125" style="1306" customWidth="1"/>
    <col min="11820" max="11820" width="12.28515625" style="1306" customWidth="1"/>
    <col min="11821" max="11821" width="25.85546875" style="1306" customWidth="1"/>
    <col min="11822" max="12053" width="0.85546875" style="1306"/>
    <col min="12054" max="12054" width="9.85546875" style="1306" customWidth="1"/>
    <col min="12055" max="12055" width="81.85546875" style="1306" customWidth="1"/>
    <col min="12056" max="12056" width="12.7109375" style="1306" customWidth="1"/>
    <col min="12057" max="12057" width="12.42578125" style="1306" customWidth="1"/>
    <col min="12058" max="12058" width="14.5703125" style="1306" customWidth="1"/>
    <col min="12059" max="12059" width="12.28515625" style="1306" customWidth="1"/>
    <col min="12060" max="12060" width="38.140625" style="1306" customWidth="1"/>
    <col min="12061" max="12061" width="46.85546875" style="1306" customWidth="1"/>
    <col min="12062" max="12064" width="12.7109375" style="1306" customWidth="1"/>
    <col min="12065" max="12065" width="9.28515625" style="1306" customWidth="1"/>
    <col min="12066" max="12066" width="13.5703125" style="1306" customWidth="1"/>
    <col min="12067" max="12067" width="10.28515625" style="1306" customWidth="1"/>
    <col min="12068" max="12068" width="12.85546875" style="1306" customWidth="1"/>
    <col min="12069" max="12069" width="9.140625" style="1306" customWidth="1"/>
    <col min="12070" max="12070" width="9.7109375" style="1306" customWidth="1"/>
    <col min="12071" max="12071" width="9.28515625" style="1306" customWidth="1"/>
    <col min="12072" max="12072" width="9.42578125" style="1306" customWidth="1"/>
    <col min="12073" max="12073" width="10.5703125" style="1306" customWidth="1"/>
    <col min="12074" max="12074" width="12.42578125" style="1306" customWidth="1"/>
    <col min="12075" max="12075" width="14.5703125" style="1306" customWidth="1"/>
    <col min="12076" max="12076" width="12.28515625" style="1306" customWidth="1"/>
    <col min="12077" max="12077" width="25.85546875" style="1306" customWidth="1"/>
    <col min="12078" max="12309" width="0.85546875" style="1306"/>
    <col min="12310" max="12310" width="9.85546875" style="1306" customWidth="1"/>
    <col min="12311" max="12311" width="81.85546875" style="1306" customWidth="1"/>
    <col min="12312" max="12312" width="12.7109375" style="1306" customWidth="1"/>
    <col min="12313" max="12313" width="12.42578125" style="1306" customWidth="1"/>
    <col min="12314" max="12314" width="14.5703125" style="1306" customWidth="1"/>
    <col min="12315" max="12315" width="12.28515625" style="1306" customWidth="1"/>
    <col min="12316" max="12316" width="38.140625" style="1306" customWidth="1"/>
    <col min="12317" max="12317" width="46.85546875" style="1306" customWidth="1"/>
    <col min="12318" max="12320" width="12.7109375" style="1306" customWidth="1"/>
    <col min="12321" max="12321" width="9.28515625" style="1306" customWidth="1"/>
    <col min="12322" max="12322" width="13.5703125" style="1306" customWidth="1"/>
    <col min="12323" max="12323" width="10.28515625" style="1306" customWidth="1"/>
    <col min="12324" max="12324" width="12.85546875" style="1306" customWidth="1"/>
    <col min="12325" max="12325" width="9.140625" style="1306" customWidth="1"/>
    <col min="12326" max="12326" width="9.7109375" style="1306" customWidth="1"/>
    <col min="12327" max="12327" width="9.28515625" style="1306" customWidth="1"/>
    <col min="12328" max="12328" width="9.42578125" style="1306" customWidth="1"/>
    <col min="12329" max="12329" width="10.5703125" style="1306" customWidth="1"/>
    <col min="12330" max="12330" width="12.42578125" style="1306" customWidth="1"/>
    <col min="12331" max="12331" width="14.5703125" style="1306" customWidth="1"/>
    <col min="12332" max="12332" width="12.28515625" style="1306" customWidth="1"/>
    <col min="12333" max="12333" width="25.85546875" style="1306" customWidth="1"/>
    <col min="12334" max="12565" width="0.85546875" style="1306"/>
    <col min="12566" max="12566" width="9.85546875" style="1306" customWidth="1"/>
    <col min="12567" max="12567" width="81.85546875" style="1306" customWidth="1"/>
    <col min="12568" max="12568" width="12.7109375" style="1306" customWidth="1"/>
    <col min="12569" max="12569" width="12.42578125" style="1306" customWidth="1"/>
    <col min="12570" max="12570" width="14.5703125" style="1306" customWidth="1"/>
    <col min="12571" max="12571" width="12.28515625" style="1306" customWidth="1"/>
    <col min="12572" max="12572" width="38.140625" style="1306" customWidth="1"/>
    <col min="12573" max="12573" width="46.85546875" style="1306" customWidth="1"/>
    <col min="12574" max="12576" width="12.7109375" style="1306" customWidth="1"/>
    <col min="12577" max="12577" width="9.28515625" style="1306" customWidth="1"/>
    <col min="12578" max="12578" width="13.5703125" style="1306" customWidth="1"/>
    <col min="12579" max="12579" width="10.28515625" style="1306" customWidth="1"/>
    <col min="12580" max="12580" width="12.85546875" style="1306" customWidth="1"/>
    <col min="12581" max="12581" width="9.140625" style="1306" customWidth="1"/>
    <col min="12582" max="12582" width="9.7109375" style="1306" customWidth="1"/>
    <col min="12583" max="12583" width="9.28515625" style="1306" customWidth="1"/>
    <col min="12584" max="12584" width="9.42578125" style="1306" customWidth="1"/>
    <col min="12585" max="12585" width="10.5703125" style="1306" customWidth="1"/>
    <col min="12586" max="12586" width="12.42578125" style="1306" customWidth="1"/>
    <col min="12587" max="12587" width="14.5703125" style="1306" customWidth="1"/>
    <col min="12588" max="12588" width="12.28515625" style="1306" customWidth="1"/>
    <col min="12589" max="12589" width="25.85546875" style="1306" customWidth="1"/>
    <col min="12590" max="12821" width="0.85546875" style="1306"/>
    <col min="12822" max="12822" width="9.85546875" style="1306" customWidth="1"/>
    <col min="12823" max="12823" width="81.85546875" style="1306" customWidth="1"/>
    <col min="12824" max="12824" width="12.7109375" style="1306" customWidth="1"/>
    <col min="12825" max="12825" width="12.42578125" style="1306" customWidth="1"/>
    <col min="12826" max="12826" width="14.5703125" style="1306" customWidth="1"/>
    <col min="12827" max="12827" width="12.28515625" style="1306" customWidth="1"/>
    <col min="12828" max="12828" width="38.140625" style="1306" customWidth="1"/>
    <col min="12829" max="12829" width="46.85546875" style="1306" customWidth="1"/>
    <col min="12830" max="12832" width="12.7109375" style="1306" customWidth="1"/>
    <col min="12833" max="12833" width="9.28515625" style="1306" customWidth="1"/>
    <col min="12834" max="12834" width="13.5703125" style="1306" customWidth="1"/>
    <col min="12835" max="12835" width="10.28515625" style="1306" customWidth="1"/>
    <col min="12836" max="12836" width="12.85546875" style="1306" customWidth="1"/>
    <col min="12837" max="12837" width="9.140625" style="1306" customWidth="1"/>
    <col min="12838" max="12838" width="9.7109375" style="1306" customWidth="1"/>
    <col min="12839" max="12839" width="9.28515625" style="1306" customWidth="1"/>
    <col min="12840" max="12840" width="9.42578125" style="1306" customWidth="1"/>
    <col min="12841" max="12841" width="10.5703125" style="1306" customWidth="1"/>
    <col min="12842" max="12842" width="12.42578125" style="1306" customWidth="1"/>
    <col min="12843" max="12843" width="14.5703125" style="1306" customWidth="1"/>
    <col min="12844" max="12844" width="12.28515625" style="1306" customWidth="1"/>
    <col min="12845" max="12845" width="25.85546875" style="1306" customWidth="1"/>
    <col min="12846" max="13077" width="0.85546875" style="1306"/>
    <col min="13078" max="13078" width="9.85546875" style="1306" customWidth="1"/>
    <col min="13079" max="13079" width="81.85546875" style="1306" customWidth="1"/>
    <col min="13080" max="13080" width="12.7109375" style="1306" customWidth="1"/>
    <col min="13081" max="13081" width="12.42578125" style="1306" customWidth="1"/>
    <col min="13082" max="13082" width="14.5703125" style="1306" customWidth="1"/>
    <col min="13083" max="13083" width="12.28515625" style="1306" customWidth="1"/>
    <col min="13084" max="13084" width="38.140625" style="1306" customWidth="1"/>
    <col min="13085" max="13085" width="46.85546875" style="1306" customWidth="1"/>
    <col min="13086" max="13088" width="12.7109375" style="1306" customWidth="1"/>
    <col min="13089" max="13089" width="9.28515625" style="1306" customWidth="1"/>
    <col min="13090" max="13090" width="13.5703125" style="1306" customWidth="1"/>
    <col min="13091" max="13091" width="10.28515625" style="1306" customWidth="1"/>
    <col min="13092" max="13092" width="12.85546875" style="1306" customWidth="1"/>
    <col min="13093" max="13093" width="9.140625" style="1306" customWidth="1"/>
    <col min="13094" max="13094" width="9.7109375" style="1306" customWidth="1"/>
    <col min="13095" max="13095" width="9.28515625" style="1306" customWidth="1"/>
    <col min="13096" max="13096" width="9.42578125" style="1306" customWidth="1"/>
    <col min="13097" max="13097" width="10.5703125" style="1306" customWidth="1"/>
    <col min="13098" max="13098" width="12.42578125" style="1306" customWidth="1"/>
    <col min="13099" max="13099" width="14.5703125" style="1306" customWidth="1"/>
    <col min="13100" max="13100" width="12.28515625" style="1306" customWidth="1"/>
    <col min="13101" max="13101" width="25.85546875" style="1306" customWidth="1"/>
    <col min="13102" max="13333" width="0.85546875" style="1306"/>
    <col min="13334" max="13334" width="9.85546875" style="1306" customWidth="1"/>
    <col min="13335" max="13335" width="81.85546875" style="1306" customWidth="1"/>
    <col min="13336" max="13336" width="12.7109375" style="1306" customWidth="1"/>
    <col min="13337" max="13337" width="12.42578125" style="1306" customWidth="1"/>
    <col min="13338" max="13338" width="14.5703125" style="1306" customWidth="1"/>
    <col min="13339" max="13339" width="12.28515625" style="1306" customWidth="1"/>
    <col min="13340" max="13340" width="38.140625" style="1306" customWidth="1"/>
    <col min="13341" max="13341" width="46.85546875" style="1306" customWidth="1"/>
    <col min="13342" max="13344" width="12.7109375" style="1306" customWidth="1"/>
    <col min="13345" max="13345" width="9.28515625" style="1306" customWidth="1"/>
    <col min="13346" max="13346" width="13.5703125" style="1306" customWidth="1"/>
    <col min="13347" max="13347" width="10.28515625" style="1306" customWidth="1"/>
    <col min="13348" max="13348" width="12.85546875" style="1306" customWidth="1"/>
    <col min="13349" max="13349" width="9.140625" style="1306" customWidth="1"/>
    <col min="13350" max="13350" width="9.7109375" style="1306" customWidth="1"/>
    <col min="13351" max="13351" width="9.28515625" style="1306" customWidth="1"/>
    <col min="13352" max="13352" width="9.42578125" style="1306" customWidth="1"/>
    <col min="13353" max="13353" width="10.5703125" style="1306" customWidth="1"/>
    <col min="13354" max="13354" width="12.42578125" style="1306" customWidth="1"/>
    <col min="13355" max="13355" width="14.5703125" style="1306" customWidth="1"/>
    <col min="13356" max="13356" width="12.28515625" style="1306" customWidth="1"/>
    <col min="13357" max="13357" width="25.85546875" style="1306" customWidth="1"/>
    <col min="13358" max="13589" width="0.85546875" style="1306"/>
    <col min="13590" max="13590" width="9.85546875" style="1306" customWidth="1"/>
    <col min="13591" max="13591" width="81.85546875" style="1306" customWidth="1"/>
    <col min="13592" max="13592" width="12.7109375" style="1306" customWidth="1"/>
    <col min="13593" max="13593" width="12.42578125" style="1306" customWidth="1"/>
    <col min="13594" max="13594" width="14.5703125" style="1306" customWidth="1"/>
    <col min="13595" max="13595" width="12.28515625" style="1306" customWidth="1"/>
    <col min="13596" max="13596" width="38.140625" style="1306" customWidth="1"/>
    <col min="13597" max="13597" width="46.85546875" style="1306" customWidth="1"/>
    <col min="13598" max="13600" width="12.7109375" style="1306" customWidth="1"/>
    <col min="13601" max="13601" width="9.28515625" style="1306" customWidth="1"/>
    <col min="13602" max="13602" width="13.5703125" style="1306" customWidth="1"/>
    <col min="13603" max="13603" width="10.28515625" style="1306" customWidth="1"/>
    <col min="13604" max="13604" width="12.85546875" style="1306" customWidth="1"/>
    <col min="13605" max="13605" width="9.140625" style="1306" customWidth="1"/>
    <col min="13606" max="13606" width="9.7109375" style="1306" customWidth="1"/>
    <col min="13607" max="13607" width="9.28515625" style="1306" customWidth="1"/>
    <col min="13608" max="13608" width="9.42578125" style="1306" customWidth="1"/>
    <col min="13609" max="13609" width="10.5703125" style="1306" customWidth="1"/>
    <col min="13610" max="13610" width="12.42578125" style="1306" customWidth="1"/>
    <col min="13611" max="13611" width="14.5703125" style="1306" customWidth="1"/>
    <col min="13612" max="13612" width="12.28515625" style="1306" customWidth="1"/>
    <col min="13613" max="13613" width="25.85546875" style="1306" customWidth="1"/>
    <col min="13614" max="13845" width="0.85546875" style="1306"/>
    <col min="13846" max="13846" width="9.85546875" style="1306" customWidth="1"/>
    <col min="13847" max="13847" width="81.85546875" style="1306" customWidth="1"/>
    <col min="13848" max="13848" width="12.7109375" style="1306" customWidth="1"/>
    <col min="13849" max="13849" width="12.42578125" style="1306" customWidth="1"/>
    <col min="13850" max="13850" width="14.5703125" style="1306" customWidth="1"/>
    <col min="13851" max="13851" width="12.28515625" style="1306" customWidth="1"/>
    <col min="13852" max="13852" width="38.140625" style="1306" customWidth="1"/>
    <col min="13853" max="13853" width="46.85546875" style="1306" customWidth="1"/>
    <col min="13854" max="13856" width="12.7109375" style="1306" customWidth="1"/>
    <col min="13857" max="13857" width="9.28515625" style="1306" customWidth="1"/>
    <col min="13858" max="13858" width="13.5703125" style="1306" customWidth="1"/>
    <col min="13859" max="13859" width="10.28515625" style="1306" customWidth="1"/>
    <col min="13860" max="13860" width="12.85546875" style="1306" customWidth="1"/>
    <col min="13861" max="13861" width="9.140625" style="1306" customWidth="1"/>
    <col min="13862" max="13862" width="9.7109375" style="1306" customWidth="1"/>
    <col min="13863" max="13863" width="9.28515625" style="1306" customWidth="1"/>
    <col min="13864" max="13864" width="9.42578125" style="1306" customWidth="1"/>
    <col min="13865" max="13865" width="10.5703125" style="1306" customWidth="1"/>
    <col min="13866" max="13866" width="12.42578125" style="1306" customWidth="1"/>
    <col min="13867" max="13867" width="14.5703125" style="1306" customWidth="1"/>
    <col min="13868" max="13868" width="12.28515625" style="1306" customWidth="1"/>
    <col min="13869" max="13869" width="25.85546875" style="1306" customWidth="1"/>
    <col min="13870" max="14101" width="0.85546875" style="1306"/>
    <col min="14102" max="14102" width="9.85546875" style="1306" customWidth="1"/>
    <col min="14103" max="14103" width="81.85546875" style="1306" customWidth="1"/>
    <col min="14104" max="14104" width="12.7109375" style="1306" customWidth="1"/>
    <col min="14105" max="14105" width="12.42578125" style="1306" customWidth="1"/>
    <col min="14106" max="14106" width="14.5703125" style="1306" customWidth="1"/>
    <col min="14107" max="14107" width="12.28515625" style="1306" customWidth="1"/>
    <col min="14108" max="14108" width="38.140625" style="1306" customWidth="1"/>
    <col min="14109" max="14109" width="46.85546875" style="1306" customWidth="1"/>
    <col min="14110" max="14112" width="12.7109375" style="1306" customWidth="1"/>
    <col min="14113" max="14113" width="9.28515625" style="1306" customWidth="1"/>
    <col min="14114" max="14114" width="13.5703125" style="1306" customWidth="1"/>
    <col min="14115" max="14115" width="10.28515625" style="1306" customWidth="1"/>
    <col min="14116" max="14116" width="12.85546875" style="1306" customWidth="1"/>
    <col min="14117" max="14117" width="9.140625" style="1306" customWidth="1"/>
    <col min="14118" max="14118" width="9.7109375" style="1306" customWidth="1"/>
    <col min="14119" max="14119" width="9.28515625" style="1306" customWidth="1"/>
    <col min="14120" max="14120" width="9.42578125" style="1306" customWidth="1"/>
    <col min="14121" max="14121" width="10.5703125" style="1306" customWidth="1"/>
    <col min="14122" max="14122" width="12.42578125" style="1306" customWidth="1"/>
    <col min="14123" max="14123" width="14.5703125" style="1306" customWidth="1"/>
    <col min="14124" max="14124" width="12.28515625" style="1306" customWidth="1"/>
    <col min="14125" max="14125" width="25.85546875" style="1306" customWidth="1"/>
    <col min="14126" max="14357" width="0.85546875" style="1306"/>
    <col min="14358" max="14358" width="9.85546875" style="1306" customWidth="1"/>
    <col min="14359" max="14359" width="81.85546875" style="1306" customWidth="1"/>
    <col min="14360" max="14360" width="12.7109375" style="1306" customWidth="1"/>
    <col min="14361" max="14361" width="12.42578125" style="1306" customWidth="1"/>
    <col min="14362" max="14362" width="14.5703125" style="1306" customWidth="1"/>
    <col min="14363" max="14363" width="12.28515625" style="1306" customWidth="1"/>
    <col min="14364" max="14364" width="38.140625" style="1306" customWidth="1"/>
    <col min="14365" max="14365" width="46.85546875" style="1306" customWidth="1"/>
    <col min="14366" max="14368" width="12.7109375" style="1306" customWidth="1"/>
    <col min="14369" max="14369" width="9.28515625" style="1306" customWidth="1"/>
    <col min="14370" max="14370" width="13.5703125" style="1306" customWidth="1"/>
    <col min="14371" max="14371" width="10.28515625" style="1306" customWidth="1"/>
    <col min="14372" max="14372" width="12.85546875" style="1306" customWidth="1"/>
    <col min="14373" max="14373" width="9.140625" style="1306" customWidth="1"/>
    <col min="14374" max="14374" width="9.7109375" style="1306" customWidth="1"/>
    <col min="14375" max="14375" width="9.28515625" style="1306" customWidth="1"/>
    <col min="14376" max="14376" width="9.42578125" style="1306" customWidth="1"/>
    <col min="14377" max="14377" width="10.5703125" style="1306" customWidth="1"/>
    <col min="14378" max="14378" width="12.42578125" style="1306" customWidth="1"/>
    <col min="14379" max="14379" width="14.5703125" style="1306" customWidth="1"/>
    <col min="14380" max="14380" width="12.28515625" style="1306" customWidth="1"/>
    <col min="14381" max="14381" width="25.85546875" style="1306" customWidth="1"/>
    <col min="14382" max="14613" width="0.85546875" style="1306"/>
    <col min="14614" max="14614" width="9.85546875" style="1306" customWidth="1"/>
    <col min="14615" max="14615" width="81.85546875" style="1306" customWidth="1"/>
    <col min="14616" max="14616" width="12.7109375" style="1306" customWidth="1"/>
    <col min="14617" max="14617" width="12.42578125" style="1306" customWidth="1"/>
    <col min="14618" max="14618" width="14.5703125" style="1306" customWidth="1"/>
    <col min="14619" max="14619" width="12.28515625" style="1306" customWidth="1"/>
    <col min="14620" max="14620" width="38.140625" style="1306" customWidth="1"/>
    <col min="14621" max="14621" width="46.85546875" style="1306" customWidth="1"/>
    <col min="14622" max="14624" width="12.7109375" style="1306" customWidth="1"/>
    <col min="14625" max="14625" width="9.28515625" style="1306" customWidth="1"/>
    <col min="14626" max="14626" width="13.5703125" style="1306" customWidth="1"/>
    <col min="14627" max="14627" width="10.28515625" style="1306" customWidth="1"/>
    <col min="14628" max="14628" width="12.85546875" style="1306" customWidth="1"/>
    <col min="14629" max="14629" width="9.140625" style="1306" customWidth="1"/>
    <col min="14630" max="14630" width="9.7109375" style="1306" customWidth="1"/>
    <col min="14631" max="14631" width="9.28515625" style="1306" customWidth="1"/>
    <col min="14632" max="14632" width="9.42578125" style="1306" customWidth="1"/>
    <col min="14633" max="14633" width="10.5703125" style="1306" customWidth="1"/>
    <col min="14634" max="14634" width="12.42578125" style="1306" customWidth="1"/>
    <col min="14635" max="14635" width="14.5703125" style="1306" customWidth="1"/>
    <col min="14636" max="14636" width="12.28515625" style="1306" customWidth="1"/>
    <col min="14637" max="14637" width="25.85546875" style="1306" customWidth="1"/>
    <col min="14638" max="14869" width="0.85546875" style="1306"/>
    <col min="14870" max="14870" width="9.85546875" style="1306" customWidth="1"/>
    <col min="14871" max="14871" width="81.85546875" style="1306" customWidth="1"/>
    <col min="14872" max="14872" width="12.7109375" style="1306" customWidth="1"/>
    <col min="14873" max="14873" width="12.42578125" style="1306" customWidth="1"/>
    <col min="14874" max="14874" width="14.5703125" style="1306" customWidth="1"/>
    <col min="14875" max="14875" width="12.28515625" style="1306" customWidth="1"/>
    <col min="14876" max="14876" width="38.140625" style="1306" customWidth="1"/>
    <col min="14877" max="14877" width="46.85546875" style="1306" customWidth="1"/>
    <col min="14878" max="14880" width="12.7109375" style="1306" customWidth="1"/>
    <col min="14881" max="14881" width="9.28515625" style="1306" customWidth="1"/>
    <col min="14882" max="14882" width="13.5703125" style="1306" customWidth="1"/>
    <col min="14883" max="14883" width="10.28515625" style="1306" customWidth="1"/>
    <col min="14884" max="14884" width="12.85546875" style="1306" customWidth="1"/>
    <col min="14885" max="14885" width="9.140625" style="1306" customWidth="1"/>
    <col min="14886" max="14886" width="9.7109375" style="1306" customWidth="1"/>
    <col min="14887" max="14887" width="9.28515625" style="1306" customWidth="1"/>
    <col min="14888" max="14888" width="9.42578125" style="1306" customWidth="1"/>
    <col min="14889" max="14889" width="10.5703125" style="1306" customWidth="1"/>
    <col min="14890" max="14890" width="12.42578125" style="1306" customWidth="1"/>
    <col min="14891" max="14891" width="14.5703125" style="1306" customWidth="1"/>
    <col min="14892" max="14892" width="12.28515625" style="1306" customWidth="1"/>
    <col min="14893" max="14893" width="25.85546875" style="1306" customWidth="1"/>
    <col min="14894" max="15125" width="0.85546875" style="1306"/>
    <col min="15126" max="15126" width="9.85546875" style="1306" customWidth="1"/>
    <col min="15127" max="15127" width="81.85546875" style="1306" customWidth="1"/>
    <col min="15128" max="15128" width="12.7109375" style="1306" customWidth="1"/>
    <col min="15129" max="15129" width="12.42578125" style="1306" customWidth="1"/>
    <col min="15130" max="15130" width="14.5703125" style="1306" customWidth="1"/>
    <col min="15131" max="15131" width="12.28515625" style="1306" customWidth="1"/>
    <col min="15132" max="15132" width="38.140625" style="1306" customWidth="1"/>
    <col min="15133" max="15133" width="46.85546875" style="1306" customWidth="1"/>
    <col min="15134" max="15136" width="12.7109375" style="1306" customWidth="1"/>
    <col min="15137" max="15137" width="9.28515625" style="1306" customWidth="1"/>
    <col min="15138" max="15138" width="13.5703125" style="1306" customWidth="1"/>
    <col min="15139" max="15139" width="10.28515625" style="1306" customWidth="1"/>
    <col min="15140" max="15140" width="12.85546875" style="1306" customWidth="1"/>
    <col min="15141" max="15141" width="9.140625" style="1306" customWidth="1"/>
    <col min="15142" max="15142" width="9.7109375" style="1306" customWidth="1"/>
    <col min="15143" max="15143" width="9.28515625" style="1306" customWidth="1"/>
    <col min="15144" max="15144" width="9.42578125" style="1306" customWidth="1"/>
    <col min="15145" max="15145" width="10.5703125" style="1306" customWidth="1"/>
    <col min="15146" max="15146" width="12.42578125" style="1306" customWidth="1"/>
    <col min="15147" max="15147" width="14.5703125" style="1306" customWidth="1"/>
    <col min="15148" max="15148" width="12.28515625" style="1306" customWidth="1"/>
    <col min="15149" max="15149" width="25.85546875" style="1306" customWidth="1"/>
    <col min="15150" max="15381" width="0.85546875" style="1306"/>
    <col min="15382" max="15382" width="9.85546875" style="1306" customWidth="1"/>
    <col min="15383" max="15383" width="81.85546875" style="1306" customWidth="1"/>
    <col min="15384" max="15384" width="12.7109375" style="1306" customWidth="1"/>
    <col min="15385" max="15385" width="12.42578125" style="1306" customWidth="1"/>
    <col min="15386" max="15386" width="14.5703125" style="1306" customWidth="1"/>
    <col min="15387" max="15387" width="12.28515625" style="1306" customWidth="1"/>
    <col min="15388" max="15388" width="38.140625" style="1306" customWidth="1"/>
    <col min="15389" max="15389" width="46.85546875" style="1306" customWidth="1"/>
    <col min="15390" max="15392" width="12.7109375" style="1306" customWidth="1"/>
    <col min="15393" max="15393" width="9.28515625" style="1306" customWidth="1"/>
    <col min="15394" max="15394" width="13.5703125" style="1306" customWidth="1"/>
    <col min="15395" max="15395" width="10.28515625" style="1306" customWidth="1"/>
    <col min="15396" max="15396" width="12.85546875" style="1306" customWidth="1"/>
    <col min="15397" max="15397" width="9.140625" style="1306" customWidth="1"/>
    <col min="15398" max="15398" width="9.7109375" style="1306" customWidth="1"/>
    <col min="15399" max="15399" width="9.28515625" style="1306" customWidth="1"/>
    <col min="15400" max="15400" width="9.42578125" style="1306" customWidth="1"/>
    <col min="15401" max="15401" width="10.5703125" style="1306" customWidth="1"/>
    <col min="15402" max="15402" width="12.42578125" style="1306" customWidth="1"/>
    <col min="15403" max="15403" width="14.5703125" style="1306" customWidth="1"/>
    <col min="15404" max="15404" width="12.28515625" style="1306" customWidth="1"/>
    <col min="15405" max="15405" width="25.85546875" style="1306" customWidth="1"/>
    <col min="15406" max="15637" width="0.85546875" style="1306"/>
    <col min="15638" max="15638" width="9.85546875" style="1306" customWidth="1"/>
    <col min="15639" max="15639" width="81.85546875" style="1306" customWidth="1"/>
    <col min="15640" max="15640" width="12.7109375" style="1306" customWidth="1"/>
    <col min="15641" max="15641" width="12.42578125" style="1306" customWidth="1"/>
    <col min="15642" max="15642" width="14.5703125" style="1306" customWidth="1"/>
    <col min="15643" max="15643" width="12.28515625" style="1306" customWidth="1"/>
    <col min="15644" max="15644" width="38.140625" style="1306" customWidth="1"/>
    <col min="15645" max="15645" width="46.85546875" style="1306" customWidth="1"/>
    <col min="15646" max="15648" width="12.7109375" style="1306" customWidth="1"/>
    <col min="15649" max="15649" width="9.28515625" style="1306" customWidth="1"/>
    <col min="15650" max="15650" width="13.5703125" style="1306" customWidth="1"/>
    <col min="15651" max="15651" width="10.28515625" style="1306" customWidth="1"/>
    <col min="15652" max="15652" width="12.85546875" style="1306" customWidth="1"/>
    <col min="15653" max="15653" width="9.140625" style="1306" customWidth="1"/>
    <col min="15654" max="15654" width="9.7109375" style="1306" customWidth="1"/>
    <col min="15655" max="15655" width="9.28515625" style="1306" customWidth="1"/>
    <col min="15656" max="15656" width="9.42578125" style="1306" customWidth="1"/>
    <col min="15657" max="15657" width="10.5703125" style="1306" customWidth="1"/>
    <col min="15658" max="15658" width="12.42578125" style="1306" customWidth="1"/>
    <col min="15659" max="15659" width="14.5703125" style="1306" customWidth="1"/>
    <col min="15660" max="15660" width="12.28515625" style="1306" customWidth="1"/>
    <col min="15661" max="15661" width="25.85546875" style="1306" customWidth="1"/>
    <col min="15662" max="15893" width="0.85546875" style="1306"/>
    <col min="15894" max="15894" width="9.85546875" style="1306" customWidth="1"/>
    <col min="15895" max="15895" width="81.85546875" style="1306" customWidth="1"/>
    <col min="15896" max="15896" width="12.7109375" style="1306" customWidth="1"/>
    <col min="15897" max="15897" width="12.42578125" style="1306" customWidth="1"/>
    <col min="15898" max="15898" width="14.5703125" style="1306" customWidth="1"/>
    <col min="15899" max="15899" width="12.28515625" style="1306" customWidth="1"/>
    <col min="15900" max="15900" width="38.140625" style="1306" customWidth="1"/>
    <col min="15901" max="15901" width="46.85546875" style="1306" customWidth="1"/>
    <col min="15902" max="15904" width="12.7109375" style="1306" customWidth="1"/>
    <col min="15905" max="15905" width="9.28515625" style="1306" customWidth="1"/>
    <col min="15906" max="15906" width="13.5703125" style="1306" customWidth="1"/>
    <col min="15907" max="15907" width="10.28515625" style="1306" customWidth="1"/>
    <col min="15908" max="15908" width="12.85546875" style="1306" customWidth="1"/>
    <col min="15909" max="15909" width="9.140625" style="1306" customWidth="1"/>
    <col min="15910" max="15910" width="9.7109375" style="1306" customWidth="1"/>
    <col min="15911" max="15911" width="9.28515625" style="1306" customWidth="1"/>
    <col min="15912" max="15912" width="9.42578125" style="1306" customWidth="1"/>
    <col min="15913" max="15913" width="10.5703125" style="1306" customWidth="1"/>
    <col min="15914" max="15914" width="12.42578125" style="1306" customWidth="1"/>
    <col min="15915" max="15915" width="14.5703125" style="1306" customWidth="1"/>
    <col min="15916" max="15916" width="12.28515625" style="1306" customWidth="1"/>
    <col min="15917" max="15917" width="25.85546875" style="1306" customWidth="1"/>
    <col min="15918" max="16149" width="0.85546875" style="1306"/>
    <col min="16150" max="16150" width="9.85546875" style="1306" customWidth="1"/>
    <col min="16151" max="16151" width="81.85546875" style="1306" customWidth="1"/>
    <col min="16152" max="16152" width="12.7109375" style="1306" customWidth="1"/>
    <col min="16153" max="16153" width="12.42578125" style="1306" customWidth="1"/>
    <col min="16154" max="16154" width="14.5703125" style="1306" customWidth="1"/>
    <col min="16155" max="16155" width="12.28515625" style="1306" customWidth="1"/>
    <col min="16156" max="16156" width="38.140625" style="1306" customWidth="1"/>
    <col min="16157" max="16157" width="46.85546875" style="1306" customWidth="1"/>
    <col min="16158" max="16160" width="12.7109375" style="1306" customWidth="1"/>
    <col min="16161" max="16161" width="9.28515625" style="1306" customWidth="1"/>
    <col min="16162" max="16162" width="13.5703125" style="1306" customWidth="1"/>
    <col min="16163" max="16163" width="10.28515625" style="1306" customWidth="1"/>
    <col min="16164" max="16164" width="12.85546875" style="1306" customWidth="1"/>
    <col min="16165" max="16165" width="9.140625" style="1306" customWidth="1"/>
    <col min="16166" max="16166" width="9.7109375" style="1306" customWidth="1"/>
    <col min="16167" max="16167" width="9.28515625" style="1306" customWidth="1"/>
    <col min="16168" max="16168" width="9.42578125" style="1306" customWidth="1"/>
    <col min="16169" max="16169" width="10.5703125" style="1306" customWidth="1"/>
    <col min="16170" max="16170" width="12.42578125" style="1306" customWidth="1"/>
    <col min="16171" max="16171" width="14.5703125" style="1306" customWidth="1"/>
    <col min="16172" max="16172" width="12.28515625" style="1306" customWidth="1"/>
    <col min="16173" max="16173" width="25.85546875" style="1306" customWidth="1"/>
    <col min="16174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20" t="s">
        <v>3549</v>
      </c>
      <c r="B2" s="4020"/>
      <c r="C2" s="4020"/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  <c r="O2" s="4020"/>
      <c r="P2" s="4020"/>
      <c r="Q2" s="4020"/>
      <c r="R2" s="4020"/>
      <c r="S2" s="4020"/>
      <c r="T2" s="4020"/>
      <c r="U2" s="4020"/>
      <c r="V2" s="4020"/>
      <c r="W2" s="4020"/>
      <c r="X2" s="4020"/>
      <c r="Y2" s="4020"/>
      <c r="Z2" s="4020"/>
      <c r="AA2" s="4020"/>
      <c r="AB2" s="4020"/>
      <c r="AC2" s="4020"/>
      <c r="AD2" s="4020"/>
    </row>
    <row r="4" spans="1:30" ht="15.75" customHeight="1" x14ac:dyDescent="0.25">
      <c r="A4" s="4005" t="s">
        <v>905</v>
      </c>
      <c r="B4" s="4005" t="s">
        <v>367</v>
      </c>
      <c r="C4" s="4005" t="s">
        <v>906</v>
      </c>
      <c r="D4" s="4021" t="s">
        <v>1807</v>
      </c>
      <c r="E4" s="4021" t="s">
        <v>1806</v>
      </c>
      <c r="F4" s="4007" t="str">
        <f>'стоки 2018'!F4:Q4</f>
        <v>Установлено на первый долгосрочный период регулирования 2016 - 2018 годы</v>
      </c>
      <c r="G4" s="4008"/>
      <c r="H4" s="4008"/>
      <c r="I4" s="4008"/>
      <c r="J4" s="4008"/>
      <c r="K4" s="4008"/>
      <c r="L4" s="4008"/>
      <c r="M4" s="4008"/>
      <c r="N4" s="4031"/>
      <c r="O4" s="4031"/>
      <c r="P4" s="4032"/>
      <c r="Q4" s="4008" t="s">
        <v>1824</v>
      </c>
      <c r="R4" s="4008"/>
      <c r="S4" s="4008"/>
      <c r="T4" s="4008"/>
      <c r="U4" s="4008"/>
      <c r="V4" s="4008"/>
      <c r="W4" s="4008"/>
      <c r="X4" s="4008"/>
      <c r="Y4" s="4008"/>
      <c r="Z4" s="4008"/>
      <c r="AA4" s="4008"/>
      <c r="AB4" s="4008"/>
      <c r="AC4" s="4009"/>
      <c r="AD4" s="4005" t="s">
        <v>907</v>
      </c>
    </row>
    <row r="5" spans="1:30" ht="35.25" customHeight="1" x14ac:dyDescent="0.25">
      <c r="A5" s="4005"/>
      <c r="B5" s="4005"/>
      <c r="C5" s="4005"/>
      <c r="D5" s="4022"/>
      <c r="E5" s="4022"/>
      <c r="F5" s="4007" t="s">
        <v>829</v>
      </c>
      <c r="G5" s="4008"/>
      <c r="H5" s="4008"/>
      <c r="I5" s="4005"/>
      <c r="J5" s="4005"/>
      <c r="K5" s="4005"/>
      <c r="L5" s="4005"/>
      <c r="M5" s="4005"/>
      <c r="N5" s="4005" t="s">
        <v>909</v>
      </c>
      <c r="O5" s="4005"/>
      <c r="P5" s="4005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4009"/>
    </row>
    <row r="6" spans="1:30" ht="41.25" customHeight="1" x14ac:dyDescent="0.25">
      <c r="A6" s="4005"/>
      <c r="B6" s="4005"/>
      <c r="C6" s="4005"/>
      <c r="D6" s="4023"/>
      <c r="E6" s="4023"/>
      <c r="F6" s="2418" t="s">
        <v>1602</v>
      </c>
      <c r="G6" s="2418" t="s">
        <v>1821</v>
      </c>
      <c r="H6" s="2418" t="s">
        <v>1830</v>
      </c>
      <c r="I6" s="2418" t="s">
        <v>1602</v>
      </c>
      <c r="J6" s="2144" t="s">
        <v>1526</v>
      </c>
      <c r="K6" s="2418" t="s">
        <v>1697</v>
      </c>
      <c r="L6" s="2418" t="s">
        <v>1821</v>
      </c>
      <c r="M6" s="2418" t="s">
        <v>1830</v>
      </c>
      <c r="N6" s="2418" t="s">
        <v>1602</v>
      </c>
      <c r="O6" s="2418" t="s">
        <v>1702</v>
      </c>
      <c r="P6" s="2418" t="s">
        <v>1697</v>
      </c>
      <c r="Q6" s="4007" t="s">
        <v>122</v>
      </c>
      <c r="R6" s="4008"/>
      <c r="S6" s="4008"/>
      <c r="T6" s="4008"/>
      <c r="U6" s="4008"/>
      <c r="V6" s="4009"/>
      <c r="W6" s="4007" t="s">
        <v>1537</v>
      </c>
      <c r="X6" s="4008"/>
      <c r="Y6" s="4008"/>
      <c r="Z6" s="4008"/>
      <c r="AA6" s="4008"/>
      <c r="AB6" s="4008"/>
      <c r="AC6" s="4009"/>
      <c r="AD6" s="4009"/>
    </row>
    <row r="7" spans="1:30" s="2201" customFormat="1" ht="45.75" customHeight="1" x14ac:dyDescent="0.25">
      <c r="A7" s="4037"/>
      <c r="B7" s="2199" t="s">
        <v>910</v>
      </c>
      <c r="C7" s="4019" t="s">
        <v>911</v>
      </c>
      <c r="D7" s="4006" t="s">
        <v>911</v>
      </c>
      <c r="E7" s="4006" t="s">
        <v>911</v>
      </c>
      <c r="F7" s="4006" t="s">
        <v>911</v>
      </c>
      <c r="G7" s="4006" t="s">
        <v>911</v>
      </c>
      <c r="H7" s="4006" t="s">
        <v>911</v>
      </c>
      <c r="I7" s="2200">
        <v>0.01</v>
      </c>
      <c r="J7" s="2200"/>
      <c r="K7" s="2200">
        <v>0.01</v>
      </c>
      <c r="L7" s="4010" t="s">
        <v>911</v>
      </c>
      <c r="M7" s="2200">
        <v>0.01</v>
      </c>
      <c r="N7" s="2200">
        <v>0.01</v>
      </c>
      <c r="O7" s="4006" t="s">
        <v>911</v>
      </c>
      <c r="P7" s="2200">
        <v>0.01</v>
      </c>
      <c r="Q7" s="4010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4010" t="s">
        <v>911</v>
      </c>
      <c r="X7" s="4013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16"/>
    </row>
    <row r="8" spans="1:30" s="2201" customFormat="1" ht="33.75" customHeight="1" x14ac:dyDescent="0.25">
      <c r="A8" s="4038"/>
      <c r="B8" s="2199" t="s">
        <v>912</v>
      </c>
      <c r="C8" s="4019"/>
      <c r="D8" s="4006"/>
      <c r="E8" s="4006"/>
      <c r="F8" s="4006"/>
      <c r="G8" s="4006"/>
      <c r="H8" s="4006"/>
      <c r="I8" s="2200">
        <v>7.3999999999999996E-2</v>
      </c>
      <c r="J8" s="2200"/>
      <c r="K8" s="2202">
        <v>7.0999999999999994E-2</v>
      </c>
      <c r="L8" s="4011"/>
      <c r="M8" s="2202">
        <v>3.6999999999999998E-2</v>
      </c>
      <c r="N8" s="2202">
        <v>5.8000000000000003E-2</v>
      </c>
      <c r="O8" s="4006"/>
      <c r="P8" s="2202">
        <v>3.6999999999999998E-2</v>
      </c>
      <c r="Q8" s="4011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4011"/>
      <c r="X8" s="4014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17"/>
    </row>
    <row r="9" spans="1:30" s="2201" customFormat="1" ht="45.75" customHeight="1" x14ac:dyDescent="0.25">
      <c r="A9" s="4039"/>
      <c r="B9" s="2199" t="s">
        <v>913</v>
      </c>
      <c r="C9" s="4019"/>
      <c r="D9" s="4006"/>
      <c r="E9" s="4006"/>
      <c r="F9" s="4006"/>
      <c r="G9" s="4006"/>
      <c r="H9" s="4006"/>
      <c r="I9" s="2203">
        <v>0</v>
      </c>
      <c r="J9" s="2203"/>
      <c r="K9" s="2203">
        <v>0</v>
      </c>
      <c r="L9" s="4012"/>
      <c r="M9" s="2203">
        <v>0</v>
      </c>
      <c r="N9" s="2203">
        <v>0</v>
      </c>
      <c r="O9" s="4006"/>
      <c r="P9" s="2203">
        <v>0</v>
      </c>
      <c r="Q9" s="4012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12"/>
      <c r="X9" s="4015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18"/>
    </row>
    <row r="10" spans="1:30" s="1308" customFormat="1" ht="25.5" x14ac:dyDescent="0.25">
      <c r="A10" s="2154">
        <v>1</v>
      </c>
      <c r="B10" s="2155" t="s">
        <v>914</v>
      </c>
      <c r="C10" s="2154" t="s">
        <v>915</v>
      </c>
      <c r="D10" s="2156">
        <f>D11+D22+D24+D28</f>
        <v>357.19</v>
      </c>
      <c r="E10" s="2156">
        <f>E11+E22+E24+E28</f>
        <v>331.11</v>
      </c>
      <c r="F10" s="2156">
        <f>F11+F22+F24+F28</f>
        <v>265.72014801492907</v>
      </c>
      <c r="G10" s="2156">
        <f t="shared" ref="G10:H10" si="0">G11+G22+G24+G28</f>
        <v>347.01</v>
      </c>
      <c r="H10" s="2156">
        <f t="shared" si="0"/>
        <v>269.31954980966469</v>
      </c>
      <c r="I10" s="2156">
        <f>I11+I22+I24+I28</f>
        <v>281.78079818910476</v>
      </c>
      <c r="J10" s="2156">
        <f>J11+J22+J24+J28</f>
        <v>355.28000000000003</v>
      </c>
      <c r="K10" s="2156">
        <f>K11+K22+K24+K28</f>
        <v>335.24464410116946</v>
      </c>
      <c r="L10" s="2156">
        <f t="shared" ref="L10:M10" si="1">L11+L22+L24+L28</f>
        <v>309.01999999999992</v>
      </c>
      <c r="M10" s="2156">
        <f t="shared" si="1"/>
        <v>274.32604240017127</v>
      </c>
      <c r="N10" s="2156">
        <f>N11+N22+N24+N28</f>
        <v>295.19784732288377</v>
      </c>
      <c r="O10" s="2156">
        <f t="shared" ref="O10" si="2">O11+O22+O24+O28</f>
        <v>321.74</v>
      </c>
      <c r="P10" s="2156">
        <f>P11+P22+P24+P28+P32+P33-P34</f>
        <v>269.60817185247686</v>
      </c>
      <c r="Q10" s="2156">
        <f t="shared" ref="Q10:AC10" si="3">Q11+Q22+Q24+Q28</f>
        <v>452.32</v>
      </c>
      <c r="R10" s="2156">
        <f t="shared" si="3"/>
        <v>467.46000000000004</v>
      </c>
      <c r="S10" s="2156">
        <f t="shared" si="3"/>
        <v>483.04</v>
      </c>
      <c r="T10" s="2156">
        <f t="shared" si="3"/>
        <v>499.20000000000005</v>
      </c>
      <c r="U10" s="2156">
        <f t="shared" si="3"/>
        <v>516.01</v>
      </c>
      <c r="V10" s="2156">
        <f t="shared" si="3"/>
        <v>0</v>
      </c>
      <c r="W10" s="2156">
        <f>W11+W22+W24+W28</f>
        <v>264.21623643095779</v>
      </c>
      <c r="X10" s="2821">
        <f>W10/P10*100</f>
        <v>98.000084572930007</v>
      </c>
      <c r="Y10" s="2156">
        <f t="shared" si="3"/>
        <v>273.56212254049359</v>
      </c>
      <c r="Z10" s="2156">
        <f t="shared" si="3"/>
        <v>279.90203227222241</v>
      </c>
      <c r="AA10" s="2156">
        <f t="shared" si="3"/>
        <v>287.77784091789164</v>
      </c>
      <c r="AB10" s="2156">
        <f t="shared" si="3"/>
        <v>295.87735928964918</v>
      </c>
      <c r="AC10" s="2156">
        <f t="shared" si="3"/>
        <v>304.25317620309391</v>
      </c>
      <c r="AD10" s="2359"/>
    </row>
    <row r="11" spans="1:30" s="1309" customFormat="1" x14ac:dyDescent="0.25">
      <c r="A11" s="2157" t="s">
        <v>916</v>
      </c>
      <c r="B11" s="2158" t="s">
        <v>917</v>
      </c>
      <c r="C11" s="2157" t="s">
        <v>915</v>
      </c>
      <c r="D11" s="2159">
        <f>D12+D13+D14</f>
        <v>357.19</v>
      </c>
      <c r="E11" s="2159">
        <f>E12+E13+E14</f>
        <v>325.89</v>
      </c>
      <c r="F11" s="2159">
        <f>F12+F13+F14</f>
        <v>260.46893422019303</v>
      </c>
      <c r="G11" s="2159">
        <f t="shared" ref="G11:H11" si="4">G12+G13+G14</f>
        <v>343.03999999999996</v>
      </c>
      <c r="H11" s="2159">
        <f t="shared" si="4"/>
        <v>264.19954980966469</v>
      </c>
      <c r="I11" s="2159">
        <f>I12+I13+I14</f>
        <v>276.52958439436873</v>
      </c>
      <c r="J11" s="2159">
        <f>J12+J13+J14</f>
        <v>333.24</v>
      </c>
      <c r="K11" s="2159">
        <f>K12+K13+K14</f>
        <v>314.16061342968521</v>
      </c>
      <c r="L11" s="2159">
        <f t="shared" ref="L11:M11" si="5">L12+L13+L14</f>
        <v>305.92999999999995</v>
      </c>
      <c r="M11" s="2159">
        <f t="shared" si="5"/>
        <v>271.2360424001713</v>
      </c>
      <c r="N11" s="2159">
        <f>N12+N13+N14</f>
        <v>289.94663352814774</v>
      </c>
      <c r="O11" s="2159">
        <f t="shared" ref="O11:AC11" si="6">O12+O13+O14</f>
        <v>302.26</v>
      </c>
      <c r="P11" s="2159">
        <f t="shared" si="6"/>
        <v>292.08097754926894</v>
      </c>
      <c r="Q11" s="2159">
        <f t="shared" si="6"/>
        <v>449.33</v>
      </c>
      <c r="R11" s="2159">
        <f t="shared" si="6"/>
        <v>464.47</v>
      </c>
      <c r="S11" s="2159">
        <f t="shared" si="6"/>
        <v>480.05</v>
      </c>
      <c r="T11" s="2159">
        <f t="shared" si="6"/>
        <v>496.21000000000004</v>
      </c>
      <c r="U11" s="2159">
        <f t="shared" si="6"/>
        <v>513.02</v>
      </c>
      <c r="V11" s="2159">
        <f t="shared" si="6"/>
        <v>0</v>
      </c>
      <c r="W11" s="2159">
        <f t="shared" si="6"/>
        <v>261.2128482218468</v>
      </c>
      <c r="X11" s="2821">
        <f>W11/P11*100</f>
        <v>89.431653650838925</v>
      </c>
      <c r="Y11" s="2159">
        <f t="shared" si="6"/>
        <v>270.5587343313826</v>
      </c>
      <c r="Z11" s="2159">
        <f t="shared" si="6"/>
        <v>276.89864406311142</v>
      </c>
      <c r="AA11" s="2159">
        <f t="shared" si="6"/>
        <v>284.77445270878064</v>
      </c>
      <c r="AB11" s="2159">
        <f t="shared" si="6"/>
        <v>292.87397108053818</v>
      </c>
      <c r="AC11" s="2159">
        <f t="shared" si="6"/>
        <v>301.24978799398292</v>
      </c>
      <c r="AD11" s="2360"/>
    </row>
    <row r="12" spans="1:30" s="1310" customFormat="1" ht="53.25" customHeight="1" x14ac:dyDescent="0.25">
      <c r="A12" s="2160" t="s">
        <v>918</v>
      </c>
      <c r="B12" s="2161" t="s">
        <v>919</v>
      </c>
      <c r="C12" s="2160" t="s">
        <v>915</v>
      </c>
      <c r="D12" s="2160">
        <v>289.52</v>
      </c>
      <c r="E12" s="2160">
        <v>261.37</v>
      </c>
      <c r="F12" s="2162">
        <f>стоки!BC75+стоки!BC76+стоки!BC77+стоки!BC78+стоки!BC79+стоки!BC81</f>
        <v>219.71405316440331</v>
      </c>
      <c r="G12" s="2162">
        <v>271.14999999999998</v>
      </c>
      <c r="H12" s="2162">
        <f>F12</f>
        <v>219.71405316440331</v>
      </c>
      <c r="I12" s="2162">
        <f>F12*(1-I7)*(1+I8)*(1+I9)</f>
        <v>233.61316416758348</v>
      </c>
      <c r="J12" s="2162">
        <v>279</v>
      </c>
      <c r="K12" s="2162">
        <f>F12*(1-K7)*(1+K8)*(1+K9)</f>
        <v>232.96061342968517</v>
      </c>
      <c r="L12" s="2162">
        <v>236.25</v>
      </c>
      <c r="M12" s="2162">
        <f>F12*0.99*1.037</f>
        <v>225.56503840017135</v>
      </c>
      <c r="N12" s="2162">
        <f>I12*(1-N7)*(1+N8)*(1+N9)</f>
        <v>244.69110041241029</v>
      </c>
      <c r="O12" s="2162">
        <v>248.06</v>
      </c>
      <c r="P12" s="2162">
        <f>N12</f>
        <v>244.69110041241029</v>
      </c>
      <c r="Q12" s="2335">
        <v>356.28</v>
      </c>
      <c r="R12" s="2335">
        <v>367</v>
      </c>
      <c r="S12" s="2335">
        <v>378.04</v>
      </c>
      <c r="T12" s="2335">
        <v>389.42</v>
      </c>
      <c r="U12" s="2335">
        <v>401.14</v>
      </c>
      <c r="V12" s="2335"/>
      <c r="W12" s="2335">
        <f>стоки!BO97</f>
        <v>213.10499531289966</v>
      </c>
      <c r="X12" s="2821">
        <f>W12/P12*100</f>
        <v>87.091436898900525</v>
      </c>
      <c r="Y12" s="2335">
        <f>W12*(1-Y7)*(1+Y8)*(1+Y9)</f>
        <v>220.67874684632011</v>
      </c>
      <c r="Z12" s="2335">
        <f t="shared" ref="Z12:AC12" si="7">Y12*(1-Z7)*(1+Z8)*(1+Z9)</f>
        <v>225.90000599670404</v>
      </c>
      <c r="AA12" s="2335">
        <f t="shared" si="7"/>
        <v>232.58664617420649</v>
      </c>
      <c r="AB12" s="2335">
        <f t="shared" si="7"/>
        <v>239.471210900963</v>
      </c>
      <c r="AC12" s="2335">
        <f t="shared" si="7"/>
        <v>246.5595587436315</v>
      </c>
      <c r="AD12" s="2361" t="s">
        <v>2084</v>
      </c>
    </row>
    <row r="13" spans="1:30" s="1310" customFormat="1" ht="97.5" customHeight="1" x14ac:dyDescent="0.25">
      <c r="A13" s="2160" t="s">
        <v>920</v>
      </c>
      <c r="B13" s="2161" t="s">
        <v>921</v>
      </c>
      <c r="C13" s="2160" t="s">
        <v>915</v>
      </c>
      <c r="D13" s="2160">
        <v>50.67</v>
      </c>
      <c r="E13" s="2160">
        <v>53.99</v>
      </c>
      <c r="F13" s="2162">
        <f>стоки!BC73</f>
        <v>32.75059349993262</v>
      </c>
      <c r="G13" s="2162">
        <v>62.71</v>
      </c>
      <c r="H13" s="2162">
        <f>'2018 к смета'!J10</f>
        <v>23.594366645261381</v>
      </c>
      <c r="I13" s="2162">
        <f>F13*1.066</f>
        <v>34.912132670928173</v>
      </c>
      <c r="J13" s="2162">
        <v>43.77</v>
      </c>
      <c r="K13" s="2162">
        <f>'2017 к смета'!G4</f>
        <v>70.73</v>
      </c>
      <c r="L13" s="2162">
        <v>62.03</v>
      </c>
      <c r="M13" s="2162">
        <f>'ЭЭ стоки'!J41</f>
        <v>38.021003999999998</v>
      </c>
      <c r="N13" s="2162">
        <f>I13*1.067</f>
        <v>37.25124555988036</v>
      </c>
      <c r="O13" s="2162">
        <v>44.58</v>
      </c>
      <c r="P13" s="2162">
        <f>'2018 к смета'!M10</f>
        <v>36.689984838989993</v>
      </c>
      <c r="Q13" s="2335">
        <v>58.57</v>
      </c>
      <c r="R13" s="2335">
        <v>62.67</v>
      </c>
      <c r="S13" s="2335">
        <v>67.06</v>
      </c>
      <c r="T13" s="2335">
        <v>71.760000000000005</v>
      </c>
      <c r="U13" s="2335">
        <v>76.78</v>
      </c>
      <c r="V13" s="2335"/>
      <c r="W13" s="2335">
        <f>стоки!BO98</f>
        <v>42.193680383698222</v>
      </c>
      <c r="X13" s="2821">
        <f t="shared" ref="X13:X14" si="8">W13/P13*100</f>
        <v>115.00053916310023</v>
      </c>
      <c r="Y13" s="2335">
        <f>'ЭЭ стоки'!T41</f>
        <v>43.965814959813549</v>
      </c>
      <c r="Z13" s="2335">
        <f>'ЭЭ стоки'!U41</f>
        <v>45.724447558206087</v>
      </c>
      <c r="AA13" s="2335">
        <f>'ЭЭ стоки'!V41</f>
        <v>47.553425460534335</v>
      </c>
      <c r="AB13" s="2335">
        <f>'ЭЭ стоки'!W41</f>
        <v>49.408009053495164</v>
      </c>
      <c r="AC13" s="2335">
        <f>'ЭЭ стоки'!X41</f>
        <v>51.334921406581472</v>
      </c>
      <c r="AD13" s="2361" t="s">
        <v>2085</v>
      </c>
    </row>
    <row r="14" spans="1:30" s="1310" customFormat="1" ht="33.75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17</v>
      </c>
      <c r="E14" s="2162">
        <f>E15+E16+E17+E18+E21</f>
        <v>10.53</v>
      </c>
      <c r="F14" s="2162">
        <f>F15+F16+F17+F18+F21</f>
        <v>8.0042875558570898</v>
      </c>
      <c r="G14" s="2162">
        <f t="shared" ref="G14:H14" si="9">G15+G16+G17+G18+G21</f>
        <v>9.18</v>
      </c>
      <c r="H14" s="2162">
        <f t="shared" si="9"/>
        <v>20.89113</v>
      </c>
      <c r="I14" s="2162">
        <f t="shared" ref="I14:AC14" si="10">I15+I16+I17+I18+I21</f>
        <v>8.0042875558570898</v>
      </c>
      <c r="J14" s="2162">
        <f t="shared" si="10"/>
        <v>10.47</v>
      </c>
      <c r="K14" s="2162">
        <f t="shared" si="10"/>
        <v>10.47</v>
      </c>
      <c r="L14" s="2162">
        <f t="shared" si="10"/>
        <v>7.65</v>
      </c>
      <c r="M14" s="2162">
        <f t="shared" si="10"/>
        <v>7.6499999999999995</v>
      </c>
      <c r="N14" s="2162">
        <f t="shared" si="10"/>
        <v>8.0042875558570898</v>
      </c>
      <c r="O14" s="2162">
        <f t="shared" si="10"/>
        <v>9.6199999999999992</v>
      </c>
      <c r="P14" s="2162">
        <f t="shared" si="10"/>
        <v>10.699892297868619</v>
      </c>
      <c r="Q14" s="2162">
        <f t="shared" si="10"/>
        <v>34.479999999999997</v>
      </c>
      <c r="R14" s="2162">
        <f t="shared" si="10"/>
        <v>34.799999999999997</v>
      </c>
      <c r="S14" s="2162">
        <f t="shared" si="10"/>
        <v>34.950000000000003</v>
      </c>
      <c r="T14" s="2162">
        <f t="shared" si="10"/>
        <v>35.03</v>
      </c>
      <c r="U14" s="2162">
        <f t="shared" si="10"/>
        <v>35.1</v>
      </c>
      <c r="V14" s="2162">
        <f t="shared" si="10"/>
        <v>0</v>
      </c>
      <c r="W14" s="2162">
        <f t="shared" si="10"/>
        <v>5.9141725252489437</v>
      </c>
      <c r="X14" s="2821">
        <f t="shared" si="8"/>
        <v>55.273196781868783</v>
      </c>
      <c r="Y14" s="2162">
        <f t="shared" si="10"/>
        <v>5.9141725252489437</v>
      </c>
      <c r="Z14" s="2162">
        <f t="shared" si="10"/>
        <v>5.2741905082012792</v>
      </c>
      <c r="AA14" s="2162">
        <f t="shared" si="10"/>
        <v>4.6343810740398172</v>
      </c>
      <c r="AB14" s="2162">
        <f t="shared" si="10"/>
        <v>3.9947511260800086</v>
      </c>
      <c r="AC14" s="2162">
        <f t="shared" si="10"/>
        <v>3.3553078437699169</v>
      </c>
      <c r="AD14" s="2361"/>
    </row>
    <row r="15" spans="1:30" s="1311" customFormat="1" ht="114" customHeight="1" x14ac:dyDescent="0.2">
      <c r="A15" s="1802" t="s">
        <v>924</v>
      </c>
      <c r="B15" s="1803" t="s">
        <v>925</v>
      </c>
      <c r="C15" s="1802" t="s">
        <v>915</v>
      </c>
      <c r="D15" s="1802">
        <v>0</v>
      </c>
      <c r="E15" s="1802">
        <v>0</v>
      </c>
      <c r="F15" s="1804">
        <v>0</v>
      </c>
      <c r="G15" s="1804">
        <v>0</v>
      </c>
      <c r="H15" s="1804">
        <f>'2018 к смета'!J18</f>
        <v>0</v>
      </c>
      <c r="I15" s="1804">
        <f>F15*1.084</f>
        <v>0</v>
      </c>
      <c r="J15" s="1804">
        <v>0</v>
      </c>
      <c r="K15" s="1804">
        <v>0</v>
      </c>
      <c r="L15" s="1804">
        <v>0</v>
      </c>
      <c r="M15" s="1804">
        <v>0</v>
      </c>
      <c r="N15" s="1804">
        <f>I15*1.079</f>
        <v>0</v>
      </c>
      <c r="O15" s="1804">
        <v>0</v>
      </c>
      <c r="P15" s="1804">
        <f>'2018 к смета'!M18</f>
        <v>0</v>
      </c>
      <c r="Q15" s="1804">
        <f>'2018 к смета'!N18</f>
        <v>0</v>
      </c>
      <c r="R15" s="1804">
        <f>'2018 к смета'!O18</f>
        <v>0</v>
      </c>
      <c r="S15" s="1804">
        <f>'2018 к смета'!P18</f>
        <v>0</v>
      </c>
      <c r="T15" s="1804">
        <f>'2018 к смета'!Q18</f>
        <v>0</v>
      </c>
      <c r="U15" s="1804">
        <f>'2018 к смета'!R18</f>
        <v>0</v>
      </c>
      <c r="V15" s="1804">
        <f>'2018 к смета'!S18</f>
        <v>0</v>
      </c>
      <c r="W15" s="1804">
        <f>'2018 к смета'!T18</f>
        <v>0</v>
      </c>
      <c r="X15" s="2822">
        <v>0</v>
      </c>
      <c r="Y15" s="1804">
        <f>'2018 к смета'!U18</f>
        <v>0</v>
      </c>
      <c r="Z15" s="1804">
        <f>'2018 к смета'!V18</f>
        <v>0</v>
      </c>
      <c r="AA15" s="1804">
        <f>'2018 к смета'!W18</f>
        <v>0</v>
      </c>
      <c r="AB15" s="1804">
        <f>'2018 к смета'!X18</f>
        <v>0</v>
      </c>
      <c r="AC15" s="1804">
        <f>'2018 к смета'!Y18</f>
        <v>0</v>
      </c>
      <c r="AD15" s="2362"/>
    </row>
    <row r="16" spans="1:30" s="1311" customFormat="1" ht="192.75" customHeight="1" x14ac:dyDescent="0.2">
      <c r="A16" s="1802" t="s">
        <v>926</v>
      </c>
      <c r="B16" s="1803" t="s">
        <v>927</v>
      </c>
      <c r="C16" s="1802" t="s">
        <v>915</v>
      </c>
      <c r="D16" s="1802">
        <v>8.9</v>
      </c>
      <c r="E16" s="1802">
        <v>10.53</v>
      </c>
      <c r="F16" s="1804">
        <f>стоки!BC42</f>
        <v>8.0042875558570898</v>
      </c>
      <c r="G16" s="1804">
        <v>9.18</v>
      </c>
      <c r="H16" s="1804">
        <f>'2018 к смета'!J19</f>
        <v>20.89113</v>
      </c>
      <c r="I16" s="1804">
        <f>F16</f>
        <v>8.0042875558570898</v>
      </c>
      <c r="J16" s="1804">
        <v>10.47</v>
      </c>
      <c r="K16" s="1804">
        <f>'2017 к смета'!G11</f>
        <v>10.47</v>
      </c>
      <c r="L16" s="1804">
        <v>7.65</v>
      </c>
      <c r="M16" s="1804">
        <f>'Н 2019-2024'!D39</f>
        <v>7.6499999999999995</v>
      </c>
      <c r="N16" s="1804">
        <f>I16</f>
        <v>8.0042875558570898</v>
      </c>
      <c r="O16" s="1804">
        <v>9.6199999999999992</v>
      </c>
      <c r="P16" s="1804">
        <f>'2018 к смета'!M19</f>
        <v>10.699892297868619</v>
      </c>
      <c r="Q16" s="2315">
        <v>34.479999999999997</v>
      </c>
      <c r="R16" s="2315">
        <v>34.799999999999997</v>
      </c>
      <c r="S16" s="2315">
        <v>34.950000000000003</v>
      </c>
      <c r="T16" s="2315">
        <v>35.03</v>
      </c>
      <c r="U16" s="2315">
        <v>35.1</v>
      </c>
      <c r="V16" s="2315"/>
      <c r="W16" s="2315">
        <f>стоки!BO101</f>
        <v>5.9141725252489437</v>
      </c>
      <c r="X16" s="2822">
        <f t="shared" ref="X16:X18" si="11">W16/P16*100</f>
        <v>55.273196781868783</v>
      </c>
      <c r="Y16" s="2315">
        <f>'Н 2019-2024'!K39</f>
        <v>5.9141725252489437</v>
      </c>
      <c r="Z16" s="2315">
        <f>'Н 2019-2024'!L39</f>
        <v>5.2741905082012792</v>
      </c>
      <c r="AA16" s="2315">
        <f>'Н 2019-2024'!M39</f>
        <v>4.6343810740398172</v>
      </c>
      <c r="AB16" s="2315">
        <f>'Н 2019-2024'!N39</f>
        <v>3.9947511260800086</v>
      </c>
      <c r="AC16" s="2315">
        <f>'Н 2019-2024'!O39</f>
        <v>3.3553078437699169</v>
      </c>
      <c r="AD16" s="2362" t="s">
        <v>2076</v>
      </c>
    </row>
    <row r="17" spans="1:31" s="1311" customFormat="1" ht="69.75" customHeight="1" x14ac:dyDescent="0.2">
      <c r="A17" s="1802" t="s">
        <v>928</v>
      </c>
      <c r="B17" s="1803" t="s">
        <v>929</v>
      </c>
      <c r="C17" s="1802" t="s">
        <v>915</v>
      </c>
      <c r="D17" s="1802">
        <v>0</v>
      </c>
      <c r="E17" s="1802">
        <v>0</v>
      </c>
      <c r="F17" s="1804">
        <v>0</v>
      </c>
      <c r="G17" s="1804">
        <v>0</v>
      </c>
      <c r="H17" s="1804">
        <f>'2018 к смета'!J20</f>
        <v>0</v>
      </c>
      <c r="I17" s="1804">
        <v>0</v>
      </c>
      <c r="J17" s="1804">
        <v>0</v>
      </c>
      <c r="K17" s="1804">
        <v>0</v>
      </c>
      <c r="L17" s="1804">
        <v>0</v>
      </c>
      <c r="M17" s="1804">
        <v>0</v>
      </c>
      <c r="N17" s="1804">
        <v>0</v>
      </c>
      <c r="O17" s="1804">
        <v>0</v>
      </c>
      <c r="P17" s="1804">
        <f>'2018 к смета'!M20</f>
        <v>0</v>
      </c>
      <c r="Q17" s="1804">
        <f>'2018 к смета'!N20</f>
        <v>0</v>
      </c>
      <c r="R17" s="1804">
        <f>'2018 к смета'!O20</f>
        <v>0</v>
      </c>
      <c r="S17" s="1804">
        <f>'2018 к смета'!P20</f>
        <v>0</v>
      </c>
      <c r="T17" s="1804">
        <f>'2018 к смета'!Q20</f>
        <v>0</v>
      </c>
      <c r="U17" s="1804">
        <f>'2018 к смета'!R20</f>
        <v>0</v>
      </c>
      <c r="V17" s="1804">
        <f>'2018 к смета'!S20</f>
        <v>0</v>
      </c>
      <c r="W17" s="1804">
        <f>стоки!BO102</f>
        <v>0</v>
      </c>
      <c r="X17" s="2822">
        <v>0</v>
      </c>
      <c r="Y17" s="1804">
        <f>'2018 к смета'!U20</f>
        <v>0</v>
      </c>
      <c r="Z17" s="1804">
        <f>'2018 к смета'!V20</f>
        <v>0</v>
      </c>
      <c r="AA17" s="1804">
        <f>'2018 к смета'!W20</f>
        <v>0</v>
      </c>
      <c r="AB17" s="1804">
        <f>'2018 к смета'!X20</f>
        <v>0</v>
      </c>
      <c r="AC17" s="1804">
        <f>'2018 к смета'!Y20</f>
        <v>0</v>
      </c>
      <c r="AD17" s="2362" t="s">
        <v>2077</v>
      </c>
    </row>
    <row r="18" spans="1:31" s="1311" customFormat="1" ht="138" hidden="1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v>0</v>
      </c>
      <c r="G18" s="1804">
        <v>0</v>
      </c>
      <c r="H18" s="1804">
        <f>'2018 к смета'!J21</f>
        <v>0</v>
      </c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1804">
        <v>0</v>
      </c>
      <c r="O18" s="1804">
        <v>0</v>
      </c>
      <c r="P18" s="1804">
        <f>'2018 к смета'!M21</f>
        <v>0</v>
      </c>
      <c r="Q18" s="1804">
        <f>'2018 к смета'!N21</f>
        <v>0</v>
      </c>
      <c r="R18" s="1804">
        <f>'2018 к смета'!O21</f>
        <v>0</v>
      </c>
      <c r="S18" s="1804">
        <f>'2018 к смета'!P21</f>
        <v>0</v>
      </c>
      <c r="T18" s="1804">
        <f>'2018 к смета'!Q21</f>
        <v>0</v>
      </c>
      <c r="U18" s="1804">
        <f>'2018 к смета'!R21</f>
        <v>0</v>
      </c>
      <c r="V18" s="1804">
        <f>'2018 к смета'!S21</f>
        <v>0</v>
      </c>
      <c r="W18" s="1804">
        <f>'2018 к смета'!T21</f>
        <v>0</v>
      </c>
      <c r="X18" s="2822" t="e">
        <f t="shared" si="11"/>
        <v>#DIV/0!</v>
      </c>
      <c r="Y18" s="1804">
        <f>'2018 к смета'!U21</f>
        <v>0</v>
      </c>
      <c r="Z18" s="1804">
        <f>'2018 к смета'!V21</f>
        <v>0</v>
      </c>
      <c r="AA18" s="1804">
        <f>'2018 к смета'!W21</f>
        <v>0</v>
      </c>
      <c r="AB18" s="1804">
        <f>'2018 к смета'!X21</f>
        <v>0</v>
      </c>
      <c r="AC18" s="1804">
        <f>'2018 к смета'!Y21</f>
        <v>0</v>
      </c>
      <c r="AD18" s="2362"/>
    </row>
    <row r="19" spans="1:31" s="1311" customFormat="1" ht="23.25" hidden="1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смета'!J22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f>'2018 к смета'!M22</f>
        <v>0</v>
      </c>
      <c r="Q19" s="1804">
        <f>'2018 к смета'!N22</f>
        <v>0</v>
      </c>
      <c r="R19" s="1804">
        <f>'2018 к смета'!O22</f>
        <v>0</v>
      </c>
      <c r="S19" s="1804">
        <f>'2018 к смета'!P22</f>
        <v>0</v>
      </c>
      <c r="T19" s="1804">
        <f>'2018 к смета'!Q22</f>
        <v>0</v>
      </c>
      <c r="U19" s="1804">
        <f>'2018 к смета'!R22</f>
        <v>0</v>
      </c>
      <c r="V19" s="1804">
        <f>'2018 к смета'!S22</f>
        <v>0</v>
      </c>
      <c r="W19" s="1804">
        <f>'2018 к смета'!T22</f>
        <v>0</v>
      </c>
      <c r="X19" s="2822">
        <v>0</v>
      </c>
      <c r="Y19" s="1804">
        <f>'2018 к смета'!U22</f>
        <v>0</v>
      </c>
      <c r="Z19" s="1804">
        <f>'2018 к смета'!V22</f>
        <v>0</v>
      </c>
      <c r="AA19" s="1804">
        <f>'2018 к смета'!W22</f>
        <v>0</v>
      </c>
      <c r="AB19" s="1804">
        <f>'2018 к смета'!X22</f>
        <v>0</v>
      </c>
      <c r="AC19" s="1804">
        <f>'2018 к смета'!Y22</f>
        <v>0</v>
      </c>
      <c r="AD19" s="2362"/>
    </row>
    <row r="20" spans="1:31" s="1311" customFormat="1" ht="87.7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смета'!J23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f>'2018 к смета'!M23</f>
        <v>0</v>
      </c>
      <c r="Q20" s="1804">
        <f>'2018 к смета'!N23</f>
        <v>0</v>
      </c>
      <c r="R20" s="1804">
        <f>'2018 к смета'!O23</f>
        <v>0</v>
      </c>
      <c r="S20" s="1804">
        <f>'2018 к смета'!P23</f>
        <v>0</v>
      </c>
      <c r="T20" s="1804">
        <f>'2018 к смета'!Q23</f>
        <v>0</v>
      </c>
      <c r="U20" s="1804">
        <f>'2018 к смета'!R23</f>
        <v>0</v>
      </c>
      <c r="V20" s="1804">
        <f>'2018 к смета'!S23</f>
        <v>0</v>
      </c>
      <c r="W20" s="1804">
        <f>'2018 к смета'!T23</f>
        <v>0</v>
      </c>
      <c r="X20" s="2822">
        <v>0</v>
      </c>
      <c r="Y20" s="1804">
        <f>'2018 к смета'!U23</f>
        <v>0</v>
      </c>
      <c r="Z20" s="1804">
        <f>'2018 к смета'!V23</f>
        <v>0</v>
      </c>
      <c r="AA20" s="1804">
        <f>'2018 к смета'!W23</f>
        <v>0</v>
      </c>
      <c r="AB20" s="1804">
        <f>'2018 к смета'!X23</f>
        <v>0</v>
      </c>
      <c r="AC20" s="1804">
        <f>'2018 к смета'!Y23</f>
        <v>0</v>
      </c>
      <c r="AD20" s="2362"/>
    </row>
    <row r="21" spans="1:31" s="1311" customFormat="1" ht="144.75" hidden="1" customHeight="1" x14ac:dyDescent="0.2">
      <c r="A21" s="1802" t="s">
        <v>936</v>
      </c>
      <c r="B21" s="1803" t="s">
        <v>937</v>
      </c>
      <c r="C21" s="1802" t="s">
        <v>915</v>
      </c>
      <c r="D21" s="1802">
        <v>8.1</v>
      </c>
      <c r="E21" s="1802">
        <v>0</v>
      </c>
      <c r="F21" s="1804">
        <v>0</v>
      </c>
      <c r="G21" s="1804">
        <v>0</v>
      </c>
      <c r="H21" s="1804">
        <f>'2018 к смета'!J24</f>
        <v>0</v>
      </c>
      <c r="I21" s="1804">
        <v>0</v>
      </c>
      <c r="J21" s="1804">
        <v>0</v>
      </c>
      <c r="K21" s="1804">
        <v>0</v>
      </c>
      <c r="L21" s="1804">
        <v>0</v>
      </c>
      <c r="M21" s="1804">
        <v>0</v>
      </c>
      <c r="N21" s="1804">
        <v>0</v>
      </c>
      <c r="O21" s="1804">
        <v>0</v>
      </c>
      <c r="P21" s="1804">
        <f>'2018 к смета'!M24</f>
        <v>0</v>
      </c>
      <c r="Q21" s="1804">
        <f>'2018 к смета'!N24</f>
        <v>0</v>
      </c>
      <c r="R21" s="1804">
        <f>'2018 к смета'!O24</f>
        <v>0</v>
      </c>
      <c r="S21" s="1804">
        <f>'2018 к смета'!P24</f>
        <v>0</v>
      </c>
      <c r="T21" s="1804">
        <f>'2018 к смета'!Q24</f>
        <v>0</v>
      </c>
      <c r="U21" s="1804">
        <f>'2018 к смета'!R24</f>
        <v>0</v>
      </c>
      <c r="V21" s="1804">
        <f>'2018 к смета'!S24</f>
        <v>0</v>
      </c>
      <c r="W21" s="1804">
        <f>'2018 к смета'!T24</f>
        <v>0</v>
      </c>
      <c r="X21" s="2822">
        <v>0</v>
      </c>
      <c r="Y21" s="1804">
        <f>'2018 к смета'!U24</f>
        <v>0</v>
      </c>
      <c r="Z21" s="1804">
        <f>'2018 к смета'!V24</f>
        <v>0</v>
      </c>
      <c r="AA21" s="1804">
        <f>'2018 к смета'!W24</f>
        <v>0</v>
      </c>
      <c r="AB21" s="1804">
        <f>'2018 к смета'!X24</f>
        <v>0</v>
      </c>
      <c r="AC21" s="1804">
        <f>'2018 к смета'!Y24</f>
        <v>0</v>
      </c>
      <c r="AD21" s="2362"/>
    </row>
    <row r="22" spans="1:31" s="1309" customFormat="1" ht="14.25" customHeight="1" x14ac:dyDescent="0.25">
      <c r="A22" s="2157" t="s">
        <v>938</v>
      </c>
      <c r="B22" s="2158" t="s">
        <v>2</v>
      </c>
      <c r="C22" s="2157" t="s">
        <v>915</v>
      </c>
      <c r="D22" s="2157">
        <v>0</v>
      </c>
      <c r="E22" s="2157">
        <v>5.22</v>
      </c>
      <c r="F22" s="2159">
        <f>стоки!BC74</f>
        <v>5.2512137947360316</v>
      </c>
      <c r="G22" s="2159">
        <v>3.97</v>
      </c>
      <c r="H22" s="2159">
        <f>'2018 к смета'!G25</f>
        <v>5.12</v>
      </c>
      <c r="I22" s="2159">
        <f>F22</f>
        <v>5.2512137947360316</v>
      </c>
      <c r="J22" s="2159">
        <v>5.12</v>
      </c>
      <c r="K22" s="2159">
        <f>'2017 к смета'!G19</f>
        <v>5.12</v>
      </c>
      <c r="L22" s="2159">
        <v>3.09</v>
      </c>
      <c r="M22" s="2159">
        <f>L22</f>
        <v>3.09</v>
      </c>
      <c r="N22" s="2159">
        <f>I22</f>
        <v>5.2512137947360316</v>
      </c>
      <c r="O22" s="2159">
        <v>4.16</v>
      </c>
      <c r="P22" s="2159">
        <f>'2018 к смета'!M25</f>
        <v>5.12</v>
      </c>
      <c r="Q22" s="2334">
        <v>2.99</v>
      </c>
      <c r="R22" s="2334">
        <v>2.99</v>
      </c>
      <c r="S22" s="2334">
        <v>2.99</v>
      </c>
      <c r="T22" s="2334">
        <v>2.99</v>
      </c>
      <c r="U22" s="2334">
        <v>2.99</v>
      </c>
      <c r="V22" s="2334"/>
      <c r="W22" s="2334">
        <f>стоки!BO104</f>
        <v>3.0033882091110118</v>
      </c>
      <c r="X22" s="2821">
        <f>W22/P22*100</f>
        <v>58.659925959199441</v>
      </c>
      <c r="Y22" s="2334">
        <f>W22</f>
        <v>3.0033882091110118</v>
      </c>
      <c r="Z22" s="2334">
        <f t="shared" ref="Z22:AC22" si="12">Y22</f>
        <v>3.0033882091110118</v>
      </c>
      <c r="AA22" s="2334">
        <f t="shared" si="12"/>
        <v>3.0033882091110118</v>
      </c>
      <c r="AB22" s="2334">
        <f t="shared" si="12"/>
        <v>3.0033882091110118</v>
      </c>
      <c r="AC22" s="2334">
        <f t="shared" si="12"/>
        <v>3.0033882091110118</v>
      </c>
      <c r="AD22" s="2360" t="s">
        <v>2078</v>
      </c>
    </row>
    <row r="23" spans="1:31" s="1312" customFormat="1" ht="16.5" customHeight="1" x14ac:dyDescent="0.2">
      <c r="A23" s="2163" t="s">
        <v>199</v>
      </c>
      <c r="B23" s="2164" t="s">
        <v>939</v>
      </c>
      <c r="C23" s="2274" t="s">
        <v>44</v>
      </c>
      <c r="D23" s="2275">
        <f>D24/(D11+D22)*100</f>
        <v>0</v>
      </c>
      <c r="E23" s="2275">
        <f>E24/(E11+E22)*100</f>
        <v>0</v>
      </c>
      <c r="F23" s="2275">
        <f>F24/(F11+F22)*100</f>
        <v>0</v>
      </c>
      <c r="G23" s="2275">
        <f t="shared" ref="G23:H23" si="13">G24/(G11+G22)*100</f>
        <v>0</v>
      </c>
      <c r="H23" s="2275">
        <f t="shared" si="13"/>
        <v>0</v>
      </c>
      <c r="I23" s="2275">
        <f t="shared" ref="I23:P23" si="14">I24/(I11+I22)*100</f>
        <v>0</v>
      </c>
      <c r="J23" s="2275">
        <f t="shared" si="14"/>
        <v>0</v>
      </c>
      <c r="K23" s="2275">
        <f t="shared" si="14"/>
        <v>0</v>
      </c>
      <c r="L23" s="2275">
        <f t="shared" si="14"/>
        <v>0</v>
      </c>
      <c r="M23" s="2275">
        <f t="shared" si="14"/>
        <v>0</v>
      </c>
      <c r="N23" s="2275">
        <f t="shared" si="14"/>
        <v>0</v>
      </c>
      <c r="O23" s="2275">
        <f>O24/(O11+O22)*100</f>
        <v>0</v>
      </c>
      <c r="P23" s="2275">
        <f t="shared" si="14"/>
        <v>0</v>
      </c>
      <c r="Q23" s="2275">
        <f t="shared" ref="Q23:AC23" si="15">Q24/(Q11+Q22)*100</f>
        <v>0</v>
      </c>
      <c r="R23" s="2275">
        <f t="shared" si="15"/>
        <v>0</v>
      </c>
      <c r="S23" s="2275">
        <f t="shared" si="15"/>
        <v>0</v>
      </c>
      <c r="T23" s="2275">
        <f t="shared" si="15"/>
        <v>0</v>
      </c>
      <c r="U23" s="2275">
        <f t="shared" si="15"/>
        <v>0</v>
      </c>
      <c r="V23" s="2275" t="e">
        <f t="shared" si="15"/>
        <v>#DIV/0!</v>
      </c>
      <c r="W23" s="2275">
        <v>0</v>
      </c>
      <c r="X23" s="2823">
        <v>0</v>
      </c>
      <c r="Y23" s="2275">
        <f t="shared" si="15"/>
        <v>0</v>
      </c>
      <c r="Z23" s="2275">
        <f t="shared" si="15"/>
        <v>0</v>
      </c>
      <c r="AA23" s="2275">
        <f t="shared" si="15"/>
        <v>0</v>
      </c>
      <c r="AB23" s="2275">
        <f t="shared" si="15"/>
        <v>0</v>
      </c>
      <c r="AC23" s="2275">
        <f t="shared" si="15"/>
        <v>0</v>
      </c>
      <c r="AD23" s="2363"/>
    </row>
    <row r="24" spans="1:31" s="1309" customForma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0</v>
      </c>
      <c r="E24" s="2159">
        <f>E25+E26+E27</f>
        <v>0</v>
      </c>
      <c r="F24" s="2159">
        <f>F25+F26+F27</f>
        <v>0</v>
      </c>
      <c r="G24" s="2159">
        <f t="shared" ref="G24:H24" si="16">G25+G26+G27</f>
        <v>0</v>
      </c>
      <c r="H24" s="2159">
        <f t="shared" si="16"/>
        <v>0</v>
      </c>
      <c r="I24" s="2159">
        <f t="shared" ref="I24:P24" si="17">I25+I26+I27</f>
        <v>0</v>
      </c>
      <c r="J24" s="2159">
        <f t="shared" si="17"/>
        <v>0</v>
      </c>
      <c r="K24" s="2159">
        <f t="shared" si="17"/>
        <v>0</v>
      </c>
      <c r="L24" s="2159">
        <f t="shared" ref="L24:M24" si="18">L25+L26+L27</f>
        <v>0</v>
      </c>
      <c r="M24" s="2159">
        <f t="shared" si="18"/>
        <v>0</v>
      </c>
      <c r="N24" s="2159">
        <f t="shared" si="17"/>
        <v>0</v>
      </c>
      <c r="O24" s="2159">
        <f t="shared" si="17"/>
        <v>0</v>
      </c>
      <c r="P24" s="2159">
        <f t="shared" si="17"/>
        <v>0</v>
      </c>
      <c r="Q24" s="2159">
        <f t="shared" ref="Q24:AC24" si="19">Q25+Q26+Q27</f>
        <v>0</v>
      </c>
      <c r="R24" s="2159">
        <f t="shared" si="19"/>
        <v>0</v>
      </c>
      <c r="S24" s="2159">
        <f t="shared" si="19"/>
        <v>0</v>
      </c>
      <c r="T24" s="2159">
        <f t="shared" si="19"/>
        <v>0</v>
      </c>
      <c r="U24" s="2159">
        <f t="shared" si="19"/>
        <v>0</v>
      </c>
      <c r="V24" s="2159">
        <f t="shared" si="19"/>
        <v>0</v>
      </c>
      <c r="W24" s="2159">
        <f t="shared" si="19"/>
        <v>0</v>
      </c>
      <c r="X24" s="2821">
        <v>0</v>
      </c>
      <c r="Y24" s="2159">
        <f t="shared" si="19"/>
        <v>0</v>
      </c>
      <c r="Z24" s="2159">
        <f t="shared" si="19"/>
        <v>0</v>
      </c>
      <c r="AA24" s="2159">
        <f t="shared" si="19"/>
        <v>0</v>
      </c>
      <c r="AB24" s="2159">
        <f t="shared" si="19"/>
        <v>0</v>
      </c>
      <c r="AC24" s="2159">
        <f t="shared" si="19"/>
        <v>0</v>
      </c>
      <c r="AD24" s="2360"/>
    </row>
    <row r="25" spans="1:31" s="1310" customFormat="1" ht="35.25" hidden="1" customHeight="1" x14ac:dyDescent="0.25">
      <c r="A25" s="2160" t="s">
        <v>942</v>
      </c>
      <c r="B25" s="2161" t="s">
        <v>943</v>
      </c>
      <c r="C25" s="2160" t="s">
        <v>915</v>
      </c>
      <c r="D25" s="2162">
        <v>0</v>
      </c>
      <c r="E25" s="2162">
        <v>0</v>
      </c>
      <c r="F25" s="2162">
        <v>0</v>
      </c>
      <c r="G25" s="2162">
        <v>0</v>
      </c>
      <c r="H25" s="2162">
        <v>0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v>0</v>
      </c>
      <c r="P25" s="2162">
        <v>0</v>
      </c>
      <c r="Q25" s="2162">
        <v>0</v>
      </c>
      <c r="R25" s="2162">
        <v>0</v>
      </c>
      <c r="S25" s="2162">
        <v>0</v>
      </c>
      <c r="T25" s="2162">
        <v>0</v>
      </c>
      <c r="U25" s="2162">
        <v>0</v>
      </c>
      <c r="V25" s="2162">
        <v>0</v>
      </c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1" s="1310" customFormat="1" ht="56.25" hidden="1" customHeight="1" x14ac:dyDescent="0.25">
      <c r="A26" s="2160" t="s">
        <v>944</v>
      </c>
      <c r="B26" s="2161" t="s">
        <v>945</v>
      </c>
      <c r="C26" s="2160" t="s">
        <v>915</v>
      </c>
      <c r="D26" s="2162">
        <v>0</v>
      </c>
      <c r="E26" s="2162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1" s="1310" customFormat="1" ht="75" hidden="1" customHeight="1" x14ac:dyDescent="0.25">
      <c r="A27" s="2160" t="s">
        <v>946</v>
      </c>
      <c r="B27" s="2161" t="s">
        <v>947</v>
      </c>
      <c r="C27" s="2160" t="s">
        <v>915</v>
      </c>
      <c r="D27" s="2162">
        <v>0</v>
      </c>
      <c r="E27" s="2162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1" s="1309" customFormat="1" ht="105.75" customHeight="1" x14ac:dyDescent="0.25">
      <c r="A28" s="2157" t="s">
        <v>200</v>
      </c>
      <c r="B28" s="2158" t="s">
        <v>948</v>
      </c>
      <c r="C28" s="2157" t="s">
        <v>915</v>
      </c>
      <c r="D28" s="2157">
        <v>0</v>
      </c>
      <c r="E28" s="2157">
        <v>0</v>
      </c>
      <c r="F28" s="2159">
        <v>0</v>
      </c>
      <c r="G28" s="2159">
        <v>0</v>
      </c>
      <c r="H28" s="2159">
        <v>0</v>
      </c>
      <c r="I28" s="2159">
        <v>0</v>
      </c>
      <c r="J28" s="2159">
        <v>16.920000000000002</v>
      </c>
      <c r="K28" s="2159">
        <f>(K11+K22)*0.05</f>
        <v>15.964030671484261</v>
      </c>
      <c r="L28" s="2159">
        <v>0</v>
      </c>
      <c r="M28" s="2159">
        <v>0</v>
      </c>
      <c r="N28" s="2159">
        <v>0</v>
      </c>
      <c r="O28" s="2159">
        <v>15.32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/>
    </row>
    <row r="29" spans="1:31" s="2186" customFormat="1" ht="69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336"/>
      <c r="R29" s="2336"/>
      <c r="S29" s="2336"/>
      <c r="T29" s="2336"/>
      <c r="U29" s="2336"/>
      <c r="V29" s="2336"/>
      <c r="W29" s="2336"/>
      <c r="X29" s="2265"/>
      <c r="Y29" s="2336"/>
      <c r="Z29" s="2336"/>
      <c r="AA29" s="2336"/>
      <c r="AB29" s="2336"/>
      <c r="AC29" s="2336"/>
      <c r="AD29" s="2336"/>
    </row>
    <row r="30" spans="1:31" s="2079" customFormat="1" ht="46.5" hidden="1" customHeight="1" x14ac:dyDescent="0.25">
      <c r="A30" s="2276" t="s">
        <v>1714</v>
      </c>
      <c r="B30" s="2188" t="s">
        <v>1715</v>
      </c>
      <c r="C30" s="2276" t="s">
        <v>915</v>
      </c>
      <c r="D30" s="2276"/>
      <c r="E30" s="2276"/>
      <c r="F30" s="2277"/>
      <c r="G30" s="2277"/>
      <c r="H30" s="2277"/>
      <c r="I30" s="2277"/>
      <c r="J30" s="2277"/>
      <c r="K30" s="2277">
        <v>0</v>
      </c>
      <c r="L30" s="2277"/>
      <c r="M30" s="2277"/>
      <c r="N30" s="2277">
        <v>0</v>
      </c>
      <c r="O30" s="2277">
        <v>0</v>
      </c>
      <c r="P30" s="2277">
        <v>0</v>
      </c>
      <c r="Q30" s="2373"/>
      <c r="R30" s="2373"/>
      <c r="S30" s="2373"/>
      <c r="T30" s="2373"/>
      <c r="U30" s="2373"/>
      <c r="V30" s="2373"/>
      <c r="W30" s="2373"/>
      <c r="X30" s="2265"/>
      <c r="Y30" s="2373"/>
      <c r="Z30" s="2373"/>
      <c r="AA30" s="2373"/>
      <c r="AB30" s="2373"/>
      <c r="AC30" s="2373"/>
      <c r="AD30" s="2373"/>
      <c r="AE30" s="2121"/>
    </row>
    <row r="31" spans="1:31" s="2191" customFormat="1" ht="21.75" customHeight="1" x14ac:dyDescent="0.2">
      <c r="A31" s="2187"/>
      <c r="B31" s="2188" t="s">
        <v>1716</v>
      </c>
      <c r="C31" s="2189" t="s">
        <v>915</v>
      </c>
      <c r="D31" s="2189"/>
      <c r="E31" s="2189"/>
      <c r="F31" s="2190"/>
      <c r="G31" s="2190"/>
      <c r="H31" s="2190">
        <f>ТН!D72</f>
        <v>289.80907689999992</v>
      </c>
      <c r="I31" s="2190"/>
      <c r="J31" s="2190"/>
      <c r="K31" s="2190"/>
      <c r="L31" s="2190"/>
      <c r="M31" s="2190">
        <f>ТН!J72</f>
        <v>280.37668049999996</v>
      </c>
      <c r="N31" s="2190"/>
      <c r="O31" s="2190"/>
      <c r="P31" s="2190"/>
      <c r="Q31" s="2337"/>
      <c r="R31" s="2337"/>
      <c r="S31" s="2337"/>
      <c r="T31" s="2337"/>
      <c r="U31" s="2337"/>
      <c r="V31" s="2337"/>
      <c r="W31" s="2337"/>
      <c r="X31" s="2265"/>
      <c r="Y31" s="2337"/>
      <c r="Z31" s="2337"/>
      <c r="AA31" s="2337"/>
      <c r="AB31" s="2337"/>
      <c r="AC31" s="2337"/>
      <c r="AD31" s="2337"/>
    </row>
    <row r="32" spans="1:31" s="2195" customFormat="1" ht="90" customHeight="1" x14ac:dyDescent="0.2">
      <c r="A32" s="2192" t="s">
        <v>192</v>
      </c>
      <c r="B32" s="2193" t="s">
        <v>1717</v>
      </c>
      <c r="C32" s="2752" t="s">
        <v>915</v>
      </c>
      <c r="D32" s="2192"/>
      <c r="E32" s="2192"/>
      <c r="F32" s="2194"/>
      <c r="G32" s="2194"/>
      <c r="H32" s="2194">
        <f>H11-H31</f>
        <v>-25.609527090335234</v>
      </c>
      <c r="I32" s="2194"/>
      <c r="J32" s="2194"/>
      <c r="K32" s="2194"/>
      <c r="L32" s="2194"/>
      <c r="M32" s="2801">
        <f>M11-M31</f>
        <v>-9.1406380998286636</v>
      </c>
      <c r="N32" s="2194"/>
      <c r="O32" s="2194"/>
      <c r="P32" s="2194">
        <f>H32*1.039*1.037</f>
        <v>-27.592805696792059</v>
      </c>
      <c r="Q32" s="2338"/>
      <c r="R32" s="2338"/>
      <c r="S32" s="2338"/>
      <c r="T32" s="2338"/>
      <c r="U32" s="2338"/>
      <c r="V32" s="2338"/>
      <c r="W32" s="2338">
        <f>M32*1.027*1.046</f>
        <v>-9.8192573536361429</v>
      </c>
      <c r="X32" s="2265"/>
      <c r="Y32" s="2338"/>
      <c r="Z32" s="2338"/>
      <c r="AA32" s="2338"/>
      <c r="AB32" s="2338"/>
      <c r="AC32" s="2338"/>
      <c r="AD32" s="2338"/>
    </row>
    <row r="33" spans="1:30" s="2195" customFormat="1" ht="94.5" customHeight="1" x14ac:dyDescent="0.2">
      <c r="A33" s="2192" t="s">
        <v>952</v>
      </c>
      <c r="B33" s="2193" t="s">
        <v>1718</v>
      </c>
      <c r="C33" s="275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>
        <v>0</v>
      </c>
      <c r="Q33" s="2338"/>
      <c r="R33" s="2338"/>
      <c r="S33" s="2338"/>
      <c r="T33" s="2338"/>
      <c r="U33" s="2338"/>
      <c r="V33" s="2338"/>
      <c r="W33" s="2338"/>
      <c r="X33" s="2265"/>
      <c r="Y33" s="2338"/>
      <c r="Z33" s="2338"/>
      <c r="AA33" s="2338"/>
      <c r="AB33" s="2338"/>
      <c r="AC33" s="2338"/>
      <c r="AD33" s="2338"/>
    </row>
    <row r="34" spans="1:30" s="2197" customFormat="1" ht="285" customHeight="1" x14ac:dyDescent="0.25">
      <c r="A34" s="2192" t="s">
        <v>958</v>
      </c>
      <c r="B34" s="2218" t="s">
        <v>1719</v>
      </c>
      <c r="C34" s="2752" t="s">
        <v>915</v>
      </c>
      <c r="D34" s="2192"/>
      <c r="E34" s="2192"/>
      <c r="F34" s="2196"/>
      <c r="G34" s="2196"/>
      <c r="H34" s="2196"/>
      <c r="I34" s="2196"/>
      <c r="J34" s="2196"/>
      <c r="K34" s="2196"/>
      <c r="L34" s="2196"/>
      <c r="M34" s="2196"/>
      <c r="N34" s="2196"/>
      <c r="O34" s="2196"/>
      <c r="P34" s="2194">
        <v>0</v>
      </c>
      <c r="Q34" s="2338"/>
      <c r="R34" s="2338"/>
      <c r="S34" s="2338"/>
      <c r="T34" s="2338"/>
      <c r="U34" s="2338"/>
      <c r="V34" s="2338"/>
      <c r="W34" s="2338"/>
      <c r="X34" s="2265"/>
      <c r="Y34" s="2338"/>
      <c r="Z34" s="2338"/>
      <c r="AA34" s="2338"/>
      <c r="AB34" s="2338"/>
      <c r="AC34" s="2338"/>
      <c r="AD34" s="2338"/>
    </row>
    <row r="35" spans="1:30" s="2806" customFormat="1" ht="30" customHeight="1" x14ac:dyDescent="0.25">
      <c r="A35" s="2802"/>
      <c r="B35" s="2807" t="s">
        <v>1840</v>
      </c>
      <c r="C35" s="2802" t="s">
        <v>915</v>
      </c>
      <c r="D35" s="2802"/>
      <c r="E35" s="2802"/>
      <c r="F35" s="2803"/>
      <c r="G35" s="2803"/>
      <c r="H35" s="2803"/>
      <c r="I35" s="2803"/>
      <c r="J35" s="2803"/>
      <c r="K35" s="2803"/>
      <c r="L35" s="2803"/>
      <c r="M35" s="2803"/>
      <c r="N35" s="2803"/>
      <c r="O35" s="2803"/>
      <c r="P35" s="2804">
        <f>P10</f>
        <v>269.60817185247686</v>
      </c>
      <c r="Q35" s="2804">
        <f t="shared" ref="Q35:U35" si="20">Q10</f>
        <v>452.32</v>
      </c>
      <c r="R35" s="2804">
        <f t="shared" si="20"/>
        <v>467.46000000000004</v>
      </c>
      <c r="S35" s="2804">
        <f t="shared" si="20"/>
        <v>483.04</v>
      </c>
      <c r="T35" s="2804">
        <f t="shared" si="20"/>
        <v>499.20000000000005</v>
      </c>
      <c r="U35" s="2804">
        <f t="shared" si="20"/>
        <v>516.01</v>
      </c>
      <c r="V35" s="2805"/>
      <c r="W35" s="2805">
        <f>W10+W32+W33+W34</f>
        <v>254.39697907732165</v>
      </c>
      <c r="X35" s="2824">
        <f>W35/P35*100</f>
        <v>94.358037195000747</v>
      </c>
      <c r="Y35" s="2805">
        <f t="shared" ref="Y35:AC35" si="21">Y10+Y32+Y33+Y34</f>
        <v>273.56212254049359</v>
      </c>
      <c r="Z35" s="2805">
        <f t="shared" si="21"/>
        <v>279.90203227222241</v>
      </c>
      <c r="AA35" s="2805">
        <f t="shared" si="21"/>
        <v>287.77784091789164</v>
      </c>
      <c r="AB35" s="2805">
        <f t="shared" si="21"/>
        <v>295.87735928964918</v>
      </c>
      <c r="AC35" s="2805">
        <f t="shared" si="21"/>
        <v>304.25317620309391</v>
      </c>
      <c r="AD35" s="2805"/>
    </row>
    <row r="36" spans="1:30" s="1308" customFormat="1" x14ac:dyDescent="0.25">
      <c r="A36" s="2154" t="s">
        <v>2079</v>
      </c>
      <c r="B36" s="2155" t="s">
        <v>949</v>
      </c>
      <c r="C36" s="2154" t="s">
        <v>950</v>
      </c>
      <c r="D36" s="2403">
        <v>28</v>
      </c>
      <c r="E36" s="2154">
        <v>23.38</v>
      </c>
      <c r="F36" s="2156">
        <f>объемы!AB58</f>
        <v>18.93</v>
      </c>
      <c r="G36" s="2156">
        <f>объемы!X58</f>
        <v>20.65</v>
      </c>
      <c r="H36" s="2156">
        <f>объемы!Z58</f>
        <v>20.65</v>
      </c>
      <c r="I36" s="2156">
        <f>F36</f>
        <v>18.93</v>
      </c>
      <c r="J36" s="2156">
        <v>23</v>
      </c>
      <c r="K36" s="2156">
        <f>объемы!AK57</f>
        <v>23</v>
      </c>
      <c r="L36" s="2156">
        <f>объемы!AO61</f>
        <v>19.22</v>
      </c>
      <c r="M36" s="2156">
        <f>объемы!AQ57</f>
        <v>19.22</v>
      </c>
      <c r="N36" s="2156">
        <f>I36</f>
        <v>18.93</v>
      </c>
      <c r="O36" s="2156">
        <f>объемы!AM58</f>
        <v>23</v>
      </c>
      <c r="P36" s="2156">
        <f>объемы!AS58</f>
        <v>18.93</v>
      </c>
      <c r="Q36" s="2333">
        <f>объемы!AW58</f>
        <v>18.93</v>
      </c>
      <c r="R36" s="2333">
        <f>Q36</f>
        <v>18.93</v>
      </c>
      <c r="S36" s="2333">
        <f t="shared" ref="S36:V36" si="22">R36</f>
        <v>18.93</v>
      </c>
      <c r="T36" s="2333">
        <f t="shared" si="22"/>
        <v>18.93</v>
      </c>
      <c r="U36" s="2333">
        <f t="shared" si="22"/>
        <v>18.93</v>
      </c>
      <c r="V36" s="2333">
        <f t="shared" si="22"/>
        <v>18.93</v>
      </c>
      <c r="W36" s="2333">
        <f>объемы!AY58</f>
        <v>17.666666666666668</v>
      </c>
      <c r="X36" s="2821">
        <f>W36/P36*100</f>
        <v>93.32628983976052</v>
      </c>
      <c r="Y36" s="2333">
        <f>W36</f>
        <v>17.666666666666668</v>
      </c>
      <c r="Z36" s="2333">
        <f t="shared" ref="Z36:AC36" si="23">Y36</f>
        <v>17.666666666666668</v>
      </c>
      <c r="AA36" s="2333">
        <f t="shared" si="23"/>
        <v>17.666666666666668</v>
      </c>
      <c r="AB36" s="2333">
        <f t="shared" si="23"/>
        <v>17.666666666666668</v>
      </c>
      <c r="AC36" s="2333">
        <f t="shared" si="23"/>
        <v>17.666666666666668</v>
      </c>
      <c r="AD36" s="2364"/>
    </row>
    <row r="37" spans="1:30" s="1308" customFormat="1" ht="25.5" x14ac:dyDescent="0.25">
      <c r="A37" s="2154" t="s">
        <v>2082</v>
      </c>
      <c r="B37" s="2166" t="s">
        <v>951</v>
      </c>
      <c r="C37" s="2154" t="s">
        <v>950</v>
      </c>
      <c r="D37" s="2154">
        <v>0</v>
      </c>
      <c r="E37" s="2154">
        <v>0</v>
      </c>
      <c r="F37" s="2156">
        <f>F36</f>
        <v>18.93</v>
      </c>
      <c r="G37" s="2156">
        <f t="shared" ref="G37:H37" si="24">G36</f>
        <v>20.65</v>
      </c>
      <c r="H37" s="2156">
        <f t="shared" si="24"/>
        <v>20.65</v>
      </c>
      <c r="I37" s="2156">
        <f>F37</f>
        <v>18.93</v>
      </c>
      <c r="J37" s="2156">
        <v>0</v>
      </c>
      <c r="K37" s="2156">
        <f>K36</f>
        <v>23</v>
      </c>
      <c r="L37" s="2156">
        <f>L36</f>
        <v>19.22</v>
      </c>
      <c r="M37" s="2156">
        <f>M36</f>
        <v>19.22</v>
      </c>
      <c r="N37" s="2156">
        <f>I37</f>
        <v>18.93</v>
      </c>
      <c r="O37" s="2156">
        <f>O36</f>
        <v>23</v>
      </c>
      <c r="P37" s="2156">
        <f>P36</f>
        <v>18.93</v>
      </c>
      <c r="Q37" s="2333">
        <f>Q36</f>
        <v>18.93</v>
      </c>
      <c r="R37" s="2333">
        <f t="shared" ref="R37:AC37" si="25">R36</f>
        <v>18.93</v>
      </c>
      <c r="S37" s="2333">
        <f t="shared" si="25"/>
        <v>18.93</v>
      </c>
      <c r="T37" s="2333">
        <f t="shared" si="25"/>
        <v>18.93</v>
      </c>
      <c r="U37" s="2333">
        <f t="shared" si="25"/>
        <v>18.93</v>
      </c>
      <c r="V37" s="2333">
        <f t="shared" si="25"/>
        <v>18.93</v>
      </c>
      <c r="W37" s="2333">
        <f t="shared" si="25"/>
        <v>17.666666666666668</v>
      </c>
      <c r="X37" s="2821">
        <f>W37/P37*100</f>
        <v>93.32628983976052</v>
      </c>
      <c r="Y37" s="2333">
        <f t="shared" si="25"/>
        <v>17.666666666666668</v>
      </c>
      <c r="Z37" s="2333">
        <f t="shared" si="25"/>
        <v>17.666666666666668</v>
      </c>
      <c r="AA37" s="2333">
        <f t="shared" si="25"/>
        <v>17.666666666666668</v>
      </c>
      <c r="AB37" s="2333">
        <f t="shared" si="25"/>
        <v>17.666666666666668</v>
      </c>
      <c r="AC37" s="2333">
        <f t="shared" si="25"/>
        <v>17.666666666666668</v>
      </c>
      <c r="AD37" s="2359"/>
    </row>
    <row r="38" spans="1:30" s="2402" customFormat="1" ht="23.25" customHeight="1" x14ac:dyDescent="0.2">
      <c r="A38" s="2167" t="s">
        <v>958</v>
      </c>
      <c r="B38" s="2168" t="s">
        <v>953</v>
      </c>
      <c r="C38" s="2167" t="s">
        <v>954</v>
      </c>
      <c r="D38" s="2398">
        <f>D10/D36</f>
        <v>12.756785714285714</v>
      </c>
      <c r="E38" s="2398">
        <f>E10/E36</f>
        <v>14.162104362703166</v>
      </c>
      <c r="F38" s="2398">
        <f>F10/F36</f>
        <v>14.036986160323776</v>
      </c>
      <c r="G38" s="2398">
        <f t="shared" ref="G38:H38" si="26">G10/G36</f>
        <v>16.804358353510896</v>
      </c>
      <c r="H38" s="2398">
        <f t="shared" si="26"/>
        <v>13.042108949620568</v>
      </c>
      <c r="I38" s="2398">
        <f>I10/I36</f>
        <v>14.885409307401202</v>
      </c>
      <c r="J38" s="2398">
        <f>J10/J36</f>
        <v>15.446956521739132</v>
      </c>
      <c r="K38" s="2398">
        <f>K10/K36</f>
        <v>14.575854091355193</v>
      </c>
      <c r="L38" s="2398">
        <f t="shared" ref="L38:M38" si="27">L10/L36</f>
        <v>16.078043704474503</v>
      </c>
      <c r="M38" s="2398">
        <f t="shared" si="27"/>
        <v>14.272947055159797</v>
      </c>
      <c r="N38" s="2398">
        <f>N10/N36</f>
        <v>15.59418105245028</v>
      </c>
      <c r="O38" s="2398">
        <f t="shared" ref="O38:V38" si="28">O10/O36</f>
        <v>13.988695652173913</v>
      </c>
      <c r="P38" s="2398">
        <f>P10/P36</f>
        <v>14.242375692154086</v>
      </c>
      <c r="Q38" s="2398">
        <f t="shared" si="28"/>
        <v>23.894347596407819</v>
      </c>
      <c r="R38" s="2398">
        <f t="shared" si="28"/>
        <v>24.694136291600636</v>
      </c>
      <c r="S38" s="2398">
        <f t="shared" si="28"/>
        <v>25.51716851558373</v>
      </c>
      <c r="T38" s="2398">
        <f t="shared" si="28"/>
        <v>26.370839936608562</v>
      </c>
      <c r="U38" s="2398">
        <f t="shared" si="28"/>
        <v>27.258848388800846</v>
      </c>
      <c r="V38" s="2398">
        <f t="shared" si="28"/>
        <v>0</v>
      </c>
      <c r="W38" s="2398">
        <f>W35/W36</f>
        <v>14.399829004376697</v>
      </c>
      <c r="X38" s="2825">
        <f>W38/P38*100</f>
        <v>101.10552702460551</v>
      </c>
      <c r="Y38" s="2398">
        <f t="shared" ref="Y38:AC38" si="29">Y35/Y36</f>
        <v>15.484648445688315</v>
      </c>
      <c r="Z38" s="2398">
        <f t="shared" si="29"/>
        <v>15.843511260691834</v>
      </c>
      <c r="AA38" s="2398">
        <f t="shared" si="29"/>
        <v>16.289311750069338</v>
      </c>
      <c r="AB38" s="2398">
        <f t="shared" si="29"/>
        <v>16.747775054131086</v>
      </c>
      <c r="AC38" s="2398">
        <f t="shared" si="29"/>
        <v>17.221877898288334</v>
      </c>
      <c r="AD38" s="2406"/>
    </row>
    <row r="39" spans="1:30" s="1307" customFormat="1" x14ac:dyDescent="0.25">
      <c r="A39" s="2167"/>
      <c r="B39" s="2170" t="s">
        <v>955</v>
      </c>
      <c r="C39" s="2167" t="s">
        <v>954</v>
      </c>
      <c r="D39" s="2401">
        <v>12.04</v>
      </c>
      <c r="E39" s="2167"/>
      <c r="F39" s="2169">
        <v>13.79</v>
      </c>
      <c r="G39" s="2169">
        <v>13.79</v>
      </c>
      <c r="H39" s="2169">
        <v>13.79</v>
      </c>
      <c r="I39" s="2169">
        <f>F40</f>
        <v>14.283972320647553</v>
      </c>
      <c r="J39" s="2169">
        <f>F40</f>
        <v>14.283972320647553</v>
      </c>
      <c r="K39" s="2169">
        <f>F40</f>
        <v>14.283972320647553</v>
      </c>
      <c r="L39" s="2169"/>
      <c r="M39" s="2169"/>
      <c r="N39" s="2169">
        <f>I40</f>
        <v>15.486846294154851</v>
      </c>
      <c r="O39" s="2169">
        <f>K40</f>
        <v>14.867735862062833</v>
      </c>
      <c r="P39" s="2169">
        <f>P38</f>
        <v>14.242375692154086</v>
      </c>
      <c r="Q39" s="2339"/>
      <c r="R39" s="2339"/>
      <c r="S39" s="2339"/>
      <c r="T39" s="2339"/>
      <c r="U39" s="2339"/>
      <c r="V39" s="2339"/>
      <c r="W39" s="2339">
        <f>P40</f>
        <v>14.242375692154086</v>
      </c>
      <c r="X39" s="2339"/>
      <c r="Y39" s="2339">
        <f>W40</f>
        <v>14.557282316599307</v>
      </c>
      <c r="Z39" s="2339">
        <f>Z38</f>
        <v>15.843511260691834</v>
      </c>
      <c r="AA39" s="2339">
        <f t="shared" ref="AA39:AC39" si="30">Z40</f>
        <v>15.843511260691834</v>
      </c>
      <c r="AB39" s="2339">
        <f t="shared" si="30"/>
        <v>16.735112239446842</v>
      </c>
      <c r="AC39" s="2339">
        <f t="shared" si="30"/>
        <v>16.76043786881533</v>
      </c>
      <c r="AD39" s="2365"/>
    </row>
    <row r="40" spans="1:30" s="1307" customFormat="1" x14ac:dyDescent="0.25">
      <c r="A40" s="2167"/>
      <c r="B40" s="2170" t="s">
        <v>956</v>
      </c>
      <c r="C40" s="2167" t="s">
        <v>954</v>
      </c>
      <c r="D40" s="2169">
        <v>13.79</v>
      </c>
      <c r="E40" s="2167"/>
      <c r="F40" s="2169">
        <f>F38*2-F39</f>
        <v>14.283972320647553</v>
      </c>
      <c r="G40" s="2169">
        <f t="shared" ref="G40:H40" si="31">G38*2-G39</f>
        <v>19.818716707021792</v>
      </c>
      <c r="H40" s="2169">
        <f t="shared" si="31"/>
        <v>12.294217899241136</v>
      </c>
      <c r="I40" s="2169">
        <f>I38*2-I39</f>
        <v>15.486846294154851</v>
      </c>
      <c r="J40" s="2169">
        <f>J38*2-J39</f>
        <v>16.609940722830711</v>
      </c>
      <c r="K40" s="2169">
        <f>K38*2-K39</f>
        <v>14.867735862062833</v>
      </c>
      <c r="L40" s="2169"/>
      <c r="M40" s="2169"/>
      <c r="N40" s="2169">
        <f>N38*2-N39</f>
        <v>15.701515810745708</v>
      </c>
      <c r="O40" s="2169">
        <f t="shared" ref="O40:P40" si="32">O38*2-O39</f>
        <v>13.109655442284993</v>
      </c>
      <c r="P40" s="2169">
        <f t="shared" si="32"/>
        <v>14.242375692154086</v>
      </c>
      <c r="Q40" s="2339"/>
      <c r="R40" s="2339"/>
      <c r="S40" s="2339"/>
      <c r="T40" s="2339"/>
      <c r="U40" s="2339"/>
      <c r="V40" s="2339"/>
      <c r="W40" s="2169">
        <f t="shared" ref="W40:AC40" si="33">W38*2-W39</f>
        <v>14.557282316599307</v>
      </c>
      <c r="X40" s="2169"/>
      <c r="Y40" s="2169">
        <f t="shared" si="33"/>
        <v>16.412014574777324</v>
      </c>
      <c r="Z40" s="2169">
        <f t="shared" si="33"/>
        <v>15.843511260691834</v>
      </c>
      <c r="AA40" s="2169">
        <f t="shared" si="33"/>
        <v>16.735112239446842</v>
      </c>
      <c r="AB40" s="2169">
        <f t="shared" si="33"/>
        <v>16.76043786881533</v>
      </c>
      <c r="AC40" s="2169">
        <f t="shared" si="33"/>
        <v>17.683317927761337</v>
      </c>
      <c r="AD40" s="2365"/>
    </row>
    <row r="41" spans="1:30" s="1307" customFormat="1" x14ac:dyDescent="0.25">
      <c r="A41" s="2167"/>
      <c r="B41" s="2168" t="s">
        <v>957</v>
      </c>
      <c r="C41" s="2167"/>
      <c r="D41" s="2167"/>
      <c r="E41" s="2167"/>
      <c r="F41" s="2169"/>
      <c r="G41" s="2169"/>
      <c r="H41" s="2169"/>
      <c r="I41" s="2169"/>
      <c r="J41" s="2169"/>
      <c r="K41" s="2169"/>
      <c r="L41" s="2169"/>
      <c r="M41" s="2169"/>
      <c r="N41" s="2169"/>
      <c r="O41" s="2169"/>
      <c r="P41" s="2169"/>
      <c r="Q41" s="2339"/>
      <c r="R41" s="2339"/>
      <c r="S41" s="2339"/>
      <c r="T41" s="2339"/>
      <c r="U41" s="2339"/>
      <c r="V41" s="2339"/>
      <c r="W41" s="2339"/>
      <c r="X41" s="2339"/>
      <c r="Y41" s="2339"/>
      <c r="Z41" s="2339"/>
      <c r="AA41" s="2339"/>
      <c r="AB41" s="2339"/>
      <c r="AC41" s="2339"/>
      <c r="AD41" s="2365"/>
    </row>
    <row r="42" spans="1:30" s="1307" customFormat="1" x14ac:dyDescent="0.25">
      <c r="A42" s="2167"/>
      <c r="B42" s="2170" t="s">
        <v>955</v>
      </c>
      <c r="C42" s="2167" t="s">
        <v>44</v>
      </c>
      <c r="D42" s="2167"/>
      <c r="E42" s="2167"/>
      <c r="F42" s="2169"/>
      <c r="G42" s="2169"/>
      <c r="H42" s="2169"/>
      <c r="I42" s="2169">
        <f>I39/F40*100</f>
        <v>100</v>
      </c>
      <c r="J42" s="2169">
        <f>J39/F40*100</f>
        <v>100</v>
      </c>
      <c r="K42" s="2169">
        <f>K39/F40*100</f>
        <v>100</v>
      </c>
      <c r="L42" s="2169"/>
      <c r="M42" s="2169"/>
      <c r="N42" s="2169">
        <f>N39/I40*100</f>
        <v>100</v>
      </c>
      <c r="O42" s="2169"/>
      <c r="P42" s="2169">
        <f>P39/K40*100</f>
        <v>95.79384396043487</v>
      </c>
      <c r="Q42" s="2339"/>
      <c r="R42" s="2339"/>
      <c r="S42" s="2339"/>
      <c r="T42" s="2339"/>
      <c r="U42" s="2339"/>
      <c r="V42" s="2339"/>
      <c r="W42" s="2339">
        <f>W39/P40*100</f>
        <v>100</v>
      </c>
      <c r="X42" s="2339"/>
      <c r="Y42" s="2339">
        <f>Y39/W40*100</f>
        <v>100</v>
      </c>
      <c r="Z42" s="2339">
        <f t="shared" ref="Z42:AC42" si="34">Z39/Y40*100</f>
        <v>96.536054050553972</v>
      </c>
      <c r="AA42" s="2339">
        <f t="shared" si="34"/>
        <v>100</v>
      </c>
      <c r="AB42" s="2339">
        <f t="shared" si="34"/>
        <v>100</v>
      </c>
      <c r="AC42" s="2339">
        <f t="shared" si="34"/>
        <v>100</v>
      </c>
      <c r="AD42" s="2365"/>
    </row>
    <row r="43" spans="1:30" s="1307" customFormat="1" x14ac:dyDescent="0.25">
      <c r="A43" s="2167"/>
      <c r="B43" s="2170" t="s">
        <v>956</v>
      </c>
      <c r="C43" s="2167" t="s">
        <v>44</v>
      </c>
      <c r="D43" s="2167"/>
      <c r="E43" s="2167"/>
      <c r="F43" s="2169">
        <f>F40/F39*100</f>
        <v>103.58210529838689</v>
      </c>
      <c r="G43" s="2169">
        <f t="shared" ref="G43:H43" si="35">G40/G39*100</f>
        <v>143.71803268326173</v>
      </c>
      <c r="H43" s="2169">
        <f t="shared" si="35"/>
        <v>89.153139225824049</v>
      </c>
      <c r="I43" s="2169">
        <f>I40/I39*100</f>
        <v>108.42114466833948</v>
      </c>
      <c r="J43" s="2169">
        <f>J40/J39*100</f>
        <v>116.28376441769603</v>
      </c>
      <c r="K43" s="2313">
        <f>K40/K39*100</f>
        <v>104.08684312956451</v>
      </c>
      <c r="L43" s="2313"/>
      <c r="M43" s="2313"/>
      <c r="N43" s="2169">
        <f>N40/N39*100</f>
        <v>101.38614093866147</v>
      </c>
      <c r="O43" s="2169">
        <f t="shared" ref="O43:P43" si="36">O40/O39*100</f>
        <v>88.175197379825434</v>
      </c>
      <c r="P43" s="2169">
        <f t="shared" si="36"/>
        <v>100</v>
      </c>
      <c r="Q43" s="2339"/>
      <c r="R43" s="2339"/>
      <c r="S43" s="2339"/>
      <c r="T43" s="2339"/>
      <c r="U43" s="2339"/>
      <c r="V43" s="2339"/>
      <c r="W43" s="2339">
        <f>W40/W39*100</f>
        <v>102.21105404921104</v>
      </c>
      <c r="X43" s="2339"/>
      <c r="Y43" s="2339">
        <f t="shared" ref="Y43:AC43" si="37">Y40/Y39*100</f>
        <v>112.74092387466519</v>
      </c>
      <c r="Z43" s="2339">
        <f t="shared" si="37"/>
        <v>100</v>
      </c>
      <c r="AA43" s="2339">
        <f t="shared" si="37"/>
        <v>105.6275465967389</v>
      </c>
      <c r="AB43" s="2339">
        <f t="shared" si="37"/>
        <v>100.15133229467558</v>
      </c>
      <c r="AC43" s="2339">
        <f t="shared" si="37"/>
        <v>105.50630040915057</v>
      </c>
      <c r="AD43" s="2365"/>
    </row>
    <row r="44" spans="1:30" ht="36.75" customHeight="1" x14ac:dyDescent="0.25">
      <c r="A44" s="2173" t="s">
        <v>2079</v>
      </c>
      <c r="B44" s="2174" t="s">
        <v>2083</v>
      </c>
      <c r="C44" s="2175"/>
      <c r="D44" s="2175"/>
      <c r="E44" s="2175"/>
      <c r="F44" s="2175"/>
      <c r="G44" s="2175"/>
      <c r="H44" s="2175"/>
      <c r="I44" s="2175"/>
      <c r="J44" s="2175"/>
      <c r="K44" s="2175"/>
      <c r="L44" s="2175"/>
      <c r="M44" s="2175"/>
      <c r="N44" s="2175"/>
      <c r="O44" s="2178"/>
      <c r="P44" s="2175"/>
      <c r="Q44" s="2340"/>
      <c r="R44" s="2340"/>
      <c r="S44" s="2340"/>
      <c r="T44" s="2340"/>
      <c r="U44" s="2340"/>
      <c r="V44" s="2340"/>
      <c r="W44" s="2340"/>
      <c r="X44" s="2340"/>
      <c r="Y44" s="2340"/>
      <c r="Z44" s="2340"/>
      <c r="AA44" s="2340"/>
      <c r="AB44" s="2340"/>
      <c r="AC44" s="2340"/>
      <c r="AD44" s="2380"/>
    </row>
    <row r="45" spans="1:30" x14ac:dyDescent="0.25">
      <c r="A45" s="2175"/>
      <c r="B45" s="2176" t="s">
        <v>955</v>
      </c>
      <c r="C45" s="2177" t="s">
        <v>960</v>
      </c>
      <c r="D45" s="2177"/>
      <c r="E45" s="2177"/>
      <c r="F45" s="2179">
        <v>13.79</v>
      </c>
      <c r="G45" s="2179"/>
      <c r="H45" s="2179"/>
      <c r="I45" s="2179">
        <f>F46</f>
        <v>14.283972320647553</v>
      </c>
      <c r="J45" s="2179"/>
      <c r="K45" s="2179">
        <f>F46</f>
        <v>14.283972320647553</v>
      </c>
      <c r="L45" s="2179"/>
      <c r="M45" s="2179"/>
      <c r="N45" s="2179">
        <f t="shared" ref="N45" si="38">I46</f>
        <v>15.486846294154851</v>
      </c>
      <c r="O45" s="2179">
        <f t="shared" ref="O45" si="39">J46</f>
        <v>0</v>
      </c>
      <c r="P45" s="2179">
        <f>P39</f>
        <v>14.242375692154086</v>
      </c>
      <c r="Q45" s="2341"/>
      <c r="R45" s="2341"/>
      <c r="S45" s="2341"/>
      <c r="T45" s="2341"/>
      <c r="U45" s="2341"/>
      <c r="V45" s="2341"/>
      <c r="W45" s="2341">
        <f>W39</f>
        <v>14.242375692154086</v>
      </c>
      <c r="X45" s="2341"/>
      <c r="Y45" s="2341">
        <f t="shared" ref="Y45:AC45" si="40">Y39</f>
        <v>14.557282316599307</v>
      </c>
      <c r="Z45" s="2341">
        <f t="shared" si="40"/>
        <v>15.843511260691834</v>
      </c>
      <c r="AA45" s="2341">
        <f t="shared" si="40"/>
        <v>15.843511260691834</v>
      </c>
      <c r="AB45" s="2341">
        <f t="shared" si="40"/>
        <v>16.735112239446842</v>
      </c>
      <c r="AC45" s="2341">
        <f t="shared" si="40"/>
        <v>16.76043786881533</v>
      </c>
      <c r="AD45" s="2381"/>
    </row>
    <row r="46" spans="1:30" x14ac:dyDescent="0.25">
      <c r="A46" s="2175"/>
      <c r="B46" s="2176" t="s">
        <v>956</v>
      </c>
      <c r="C46" s="2177" t="s">
        <v>960</v>
      </c>
      <c r="D46" s="2177"/>
      <c r="E46" s="2177"/>
      <c r="F46" s="2179">
        <f>F40</f>
        <v>14.283972320647553</v>
      </c>
      <c r="G46" s="2179"/>
      <c r="H46" s="2179"/>
      <c r="I46" s="2179">
        <f>I40</f>
        <v>15.486846294154851</v>
      </c>
      <c r="J46" s="2179"/>
      <c r="K46" s="2179">
        <f>K40</f>
        <v>14.867735862062833</v>
      </c>
      <c r="L46" s="2179"/>
      <c r="M46" s="2179"/>
      <c r="N46" s="2179">
        <f t="shared" ref="N46:P46" si="41">N40</f>
        <v>15.701515810745708</v>
      </c>
      <c r="O46" s="2179">
        <f t="shared" si="41"/>
        <v>13.109655442284993</v>
      </c>
      <c r="P46" s="2179">
        <f t="shared" si="41"/>
        <v>14.242375692154086</v>
      </c>
      <c r="Q46" s="2341"/>
      <c r="R46" s="2341"/>
      <c r="S46" s="2341"/>
      <c r="T46" s="2341"/>
      <c r="U46" s="2341"/>
      <c r="V46" s="2341"/>
      <c r="W46" s="2341">
        <f>W40</f>
        <v>14.557282316599307</v>
      </c>
      <c r="X46" s="2341"/>
      <c r="Y46" s="2341">
        <f t="shared" ref="Y46:AC46" si="42">Y40</f>
        <v>16.412014574777324</v>
      </c>
      <c r="Z46" s="2341">
        <f t="shared" si="42"/>
        <v>15.843511260691834</v>
      </c>
      <c r="AA46" s="2341">
        <f t="shared" si="42"/>
        <v>16.735112239446842</v>
      </c>
      <c r="AB46" s="2341">
        <f t="shared" si="42"/>
        <v>16.76043786881533</v>
      </c>
      <c r="AC46" s="2341">
        <f t="shared" si="42"/>
        <v>17.683317927761337</v>
      </c>
      <c r="AD46" s="2381"/>
    </row>
    <row r="47" spans="1:30" x14ac:dyDescent="0.25">
      <c r="A47" s="2175"/>
      <c r="B47" s="2176" t="s">
        <v>357</v>
      </c>
      <c r="C47" s="2177" t="s">
        <v>44</v>
      </c>
      <c r="D47" s="2177"/>
      <c r="E47" s="2177"/>
      <c r="F47" s="2179">
        <f>F46/F45*100</f>
        <v>103.58210529838689</v>
      </c>
      <c r="G47" s="2179"/>
      <c r="H47" s="2179"/>
      <c r="I47" s="2179">
        <f>I46/I45*100</f>
        <v>108.42114466833948</v>
      </c>
      <c r="J47" s="2179"/>
      <c r="K47" s="2179">
        <f t="shared" ref="K47:P47" si="43">K46/K45*100</f>
        <v>104.08684312956451</v>
      </c>
      <c r="L47" s="2179"/>
      <c r="M47" s="2179"/>
      <c r="N47" s="2179">
        <f t="shared" si="43"/>
        <v>101.38614093866147</v>
      </c>
      <c r="O47" s="2179">
        <v>0</v>
      </c>
      <c r="P47" s="2179">
        <f t="shared" si="43"/>
        <v>100</v>
      </c>
      <c r="Q47" s="2341"/>
      <c r="R47" s="2341"/>
      <c r="S47" s="2341"/>
      <c r="T47" s="2341"/>
      <c r="U47" s="2341"/>
      <c r="V47" s="2341"/>
      <c r="W47" s="2179">
        <f t="shared" ref="W47:AC47" si="44">W46/W45*100</f>
        <v>102.21105404921104</v>
      </c>
      <c r="X47" s="2179"/>
      <c r="Y47" s="2179">
        <f t="shared" si="44"/>
        <v>112.74092387466519</v>
      </c>
      <c r="Z47" s="2179">
        <f t="shared" si="44"/>
        <v>100</v>
      </c>
      <c r="AA47" s="2179">
        <f t="shared" si="44"/>
        <v>105.6275465967389</v>
      </c>
      <c r="AB47" s="2179">
        <f t="shared" si="44"/>
        <v>100.15133229467558</v>
      </c>
      <c r="AC47" s="2179">
        <f t="shared" si="44"/>
        <v>105.50630040915057</v>
      </c>
      <c r="AD47" s="2381"/>
    </row>
    <row r="48" spans="1:30" x14ac:dyDescent="0.25">
      <c r="A48" s="2175"/>
      <c r="B48" s="2174" t="s">
        <v>961</v>
      </c>
      <c r="C48" s="2177" t="s">
        <v>915</v>
      </c>
      <c r="D48" s="2177"/>
      <c r="E48" s="2177"/>
      <c r="F48" s="2178">
        <f>(F39-F45)*F37/2+(F40-F46)*F37/2</f>
        <v>0</v>
      </c>
      <c r="G48" s="2178"/>
      <c r="H48" s="2178"/>
      <c r="I48" s="2178">
        <f>(I39-I45)*I37/2+(I40-I46)*I37/2</f>
        <v>0</v>
      </c>
      <c r="J48" s="2178">
        <f t="shared" ref="J48:N48" si="45">(J39-J45)*J37/2+(J40-J46)*J37/2</f>
        <v>0</v>
      </c>
      <c r="K48" s="2178">
        <f t="shared" si="45"/>
        <v>0</v>
      </c>
      <c r="L48" s="2178"/>
      <c r="M48" s="2178"/>
      <c r="N48" s="2178">
        <f t="shared" si="45"/>
        <v>0</v>
      </c>
      <c r="O48" s="2178">
        <v>0</v>
      </c>
      <c r="P48" s="2178"/>
      <c r="Q48" s="2342"/>
      <c r="R48" s="2342"/>
      <c r="S48" s="2342"/>
      <c r="T48" s="2342"/>
      <c r="U48" s="2342"/>
      <c r="V48" s="2342"/>
      <c r="W48" s="2178">
        <f t="shared" ref="W48:AC48" si="46">(W39-W45)*W37/2+(W40-W46)*W37/2</f>
        <v>0</v>
      </c>
      <c r="X48" s="2178"/>
      <c r="Y48" s="2178">
        <f t="shared" si="46"/>
        <v>0</v>
      </c>
      <c r="Z48" s="2178">
        <f t="shared" si="46"/>
        <v>0</v>
      </c>
      <c r="AA48" s="2178">
        <f t="shared" si="46"/>
        <v>0</v>
      </c>
      <c r="AB48" s="2178">
        <f t="shared" si="46"/>
        <v>0</v>
      </c>
      <c r="AC48" s="2178">
        <f t="shared" si="46"/>
        <v>0</v>
      </c>
      <c r="AD48" s="2380"/>
    </row>
    <row r="49" spans="3:23" x14ac:dyDescent="0.25">
      <c r="C49" s="2800"/>
      <c r="D49" s="1320"/>
      <c r="E49" s="1320"/>
    </row>
    <row r="51" spans="3:23" x14ac:dyDescent="0.25">
      <c r="K51" s="2118">
        <f>K46*1.18</f>
        <v>17.543928317234144</v>
      </c>
      <c r="L51" s="2118"/>
      <c r="M51" s="2118"/>
    </row>
    <row r="52" spans="3:23" x14ac:dyDescent="0.25">
      <c r="W52" s="1306">
        <v>14.4</v>
      </c>
    </row>
    <row r="53" spans="3:23" x14ac:dyDescent="0.25">
      <c r="W53" s="1306">
        <f>W37*W52</f>
        <v>254.40000000000003</v>
      </c>
    </row>
    <row r="54" spans="3:23" x14ac:dyDescent="0.25">
      <c r="W54" s="2385">
        <f>W35-W53</f>
        <v>-3.0209226783881604E-3</v>
      </c>
    </row>
  </sheetData>
  <mergeCells count="27">
    <mergeCell ref="B4:B6"/>
    <mergeCell ref="C4:C6"/>
    <mergeCell ref="F4:P4"/>
    <mergeCell ref="G7:G9"/>
    <mergeCell ref="H7:H9"/>
    <mergeCell ref="D4:D6"/>
    <mergeCell ref="E4:E6"/>
    <mergeCell ref="D7:D9"/>
    <mergeCell ref="E7:E9"/>
    <mergeCell ref="O7:O9"/>
    <mergeCell ref="F5:H5"/>
    <mergeCell ref="A2:AD2"/>
    <mergeCell ref="Q7:Q9"/>
    <mergeCell ref="W7:W9"/>
    <mergeCell ref="L7:L9"/>
    <mergeCell ref="I5:M5"/>
    <mergeCell ref="N5:P5"/>
    <mergeCell ref="A7:A9"/>
    <mergeCell ref="Q4:AC4"/>
    <mergeCell ref="Q6:V6"/>
    <mergeCell ref="W6:AC6"/>
    <mergeCell ref="AD4:AD6"/>
    <mergeCell ref="AD7:AD9"/>
    <mergeCell ref="X7:X9"/>
    <mergeCell ref="C7:C9"/>
    <mergeCell ref="F7:F9"/>
    <mergeCell ref="A4:A6"/>
  </mergeCells>
  <pageMargins left="0.31496062992125984" right="0.31496062992125984" top="0.35433070866141736" bottom="0.35433070866141736" header="0.31496062992125984" footer="0.31496062992125984"/>
  <pageSetup paperSize="9" scale="47" fitToHeight="3" orientation="landscape" r:id="rId1"/>
  <colBreaks count="1" manualBreakCount="1">
    <brk id="2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U76"/>
  <sheetViews>
    <sheetView topLeftCell="A39" zoomScale="79" zoomScaleNormal="79" zoomScaleSheetLayoutView="100" zoomScalePageLayoutView="80" workbookViewId="0">
      <selection activeCell="AU45" sqref="AU45"/>
    </sheetView>
  </sheetViews>
  <sheetFormatPr defaultRowHeight="12.75" outlineLevelCol="1" x14ac:dyDescent="0.2"/>
  <cols>
    <col min="1" max="1" width="50.570312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7" hidden="1" customWidth="1" collapsed="1"/>
    <col min="22" max="22" width="13.42578125" style="367" hidden="1" customWidth="1" outlineLevel="1"/>
    <col min="23" max="23" width="13.85546875" style="367" hidden="1" customWidth="1" collapsed="1"/>
    <col min="24" max="28" width="13.85546875" style="367" hidden="1" customWidth="1"/>
    <col min="29" max="32" width="14.140625" hidden="1" customWidth="1"/>
    <col min="33" max="37" width="17.7109375" customWidth="1"/>
    <col min="38" max="38" width="13.85546875" style="627" customWidth="1"/>
    <col min="39" max="39" width="11.7109375" style="627" customWidth="1"/>
    <col min="40" max="40" width="12.28515625" style="627" customWidth="1"/>
    <col min="41" max="41" width="13.28515625" customWidth="1"/>
    <col min="42" max="42" width="12.5703125" customWidth="1"/>
    <col min="43" max="43" width="14.140625" customWidth="1"/>
    <col min="44" max="44" width="12" customWidth="1"/>
    <col min="45" max="45" width="12.28515625" customWidth="1"/>
    <col min="46" max="46" width="11.140625" customWidth="1"/>
    <col min="47" max="47" width="12.42578125" customWidth="1"/>
    <col min="48" max="48" width="12.5703125" customWidth="1"/>
    <col min="49" max="49" width="11.28515625" customWidth="1"/>
    <col min="50" max="50" width="11.140625" customWidth="1"/>
    <col min="51" max="52" width="12" customWidth="1"/>
  </cols>
  <sheetData>
    <row r="1" spans="1:47" x14ac:dyDescent="0.2">
      <c r="AL1" s="627" t="s">
        <v>1510</v>
      </c>
    </row>
    <row r="2" spans="1:47" ht="20.25" x14ac:dyDescent="0.3">
      <c r="A2" s="4049" t="s">
        <v>55</v>
      </c>
      <c r="B2" s="4049"/>
      <c r="C2" s="4049"/>
      <c r="D2" s="4049"/>
      <c r="E2" s="4049"/>
      <c r="F2" s="4049"/>
      <c r="G2" s="4049"/>
      <c r="H2" s="4049"/>
      <c r="I2" s="4049"/>
      <c r="J2" s="4049"/>
      <c r="K2" s="4049"/>
      <c r="L2" s="4049"/>
      <c r="M2" s="4049"/>
      <c r="N2" s="4049"/>
      <c r="O2" s="4049"/>
      <c r="P2" s="4049"/>
      <c r="Q2" s="4049"/>
      <c r="R2" s="4049"/>
      <c r="S2" s="4049"/>
      <c r="T2" s="4049"/>
      <c r="U2" s="4049"/>
      <c r="V2" s="4049"/>
      <c r="W2" s="4049"/>
      <c r="X2" s="4049"/>
      <c r="Y2" s="4049"/>
      <c r="Z2" s="4049"/>
      <c r="AA2" s="4049"/>
      <c r="AB2" s="4049"/>
      <c r="AC2" s="4049"/>
      <c r="AD2" s="4049"/>
      <c r="AE2" s="4049"/>
      <c r="AF2" s="4049"/>
      <c r="AG2" s="4049"/>
      <c r="AH2" s="4049"/>
      <c r="AI2" s="4049"/>
      <c r="AJ2" s="4049"/>
      <c r="AK2" s="4049"/>
      <c r="AL2" s="4049"/>
      <c r="AM2" s="3572"/>
      <c r="AN2" s="3572"/>
    </row>
    <row r="3" spans="1:4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47" ht="16.5" customHeight="1" x14ac:dyDescent="0.3">
      <c r="A4" s="3785" t="s">
        <v>536</v>
      </c>
      <c r="B4" s="3768" t="s">
        <v>58</v>
      </c>
      <c r="C4" s="3785" t="s">
        <v>59</v>
      </c>
      <c r="D4" s="3785"/>
      <c r="E4" s="3975" t="s">
        <v>67</v>
      </c>
      <c r="F4" s="3975"/>
      <c r="G4" s="3975" t="s">
        <v>95</v>
      </c>
      <c r="H4" s="3975"/>
      <c r="I4" s="3975" t="s">
        <v>120</v>
      </c>
      <c r="J4" s="3975"/>
      <c r="K4" s="3975"/>
      <c r="L4" s="3975"/>
      <c r="M4" s="3975"/>
      <c r="N4" s="3777" t="s">
        <v>158</v>
      </c>
      <c r="O4" s="3777"/>
      <c r="P4" s="3777"/>
      <c r="Q4" s="3777"/>
      <c r="R4" s="3777"/>
      <c r="S4" s="3777"/>
      <c r="T4" s="3777"/>
      <c r="U4" s="4050" t="s">
        <v>235</v>
      </c>
      <c r="V4" s="4050"/>
      <c r="W4" s="4050"/>
      <c r="X4" s="4050"/>
      <c r="Y4" s="4050"/>
      <c r="Z4" s="4050"/>
      <c r="AA4" s="4050" t="s">
        <v>373</v>
      </c>
      <c r="AB4" s="4050"/>
      <c r="AC4" s="4050"/>
      <c r="AD4" s="4050"/>
      <c r="AE4" s="4050"/>
      <c r="AF4" s="4052" t="s">
        <v>829</v>
      </c>
      <c r="AG4" s="4053"/>
      <c r="AH4" s="4054"/>
      <c r="AI4" s="2575" t="s">
        <v>908</v>
      </c>
      <c r="AJ4" s="4052" t="s">
        <v>1819</v>
      </c>
      <c r="AK4" s="4054"/>
      <c r="AL4" s="3971" t="s">
        <v>243</v>
      </c>
      <c r="AM4" s="4058"/>
      <c r="AN4" s="4058"/>
    </row>
    <row r="5" spans="1:47" ht="12.75" customHeight="1" x14ac:dyDescent="0.2">
      <c r="A5" s="3785"/>
      <c r="B5" s="3768"/>
      <c r="C5" s="3768" t="s">
        <v>61</v>
      </c>
      <c r="D5" s="3768" t="s">
        <v>62</v>
      </c>
      <c r="E5" s="3777" t="s">
        <v>61</v>
      </c>
      <c r="F5" s="3777" t="s">
        <v>66</v>
      </c>
      <c r="G5" s="3777" t="s">
        <v>61</v>
      </c>
      <c r="H5" s="3777" t="s">
        <v>112</v>
      </c>
      <c r="I5" s="3777" t="s">
        <v>60</v>
      </c>
      <c r="J5" s="3777" t="s">
        <v>63</v>
      </c>
      <c r="K5" s="3777" t="s">
        <v>110</v>
      </c>
      <c r="L5" s="3777" t="s">
        <v>61</v>
      </c>
      <c r="M5" s="3777" t="s">
        <v>119</v>
      </c>
      <c r="N5" s="3777" t="s">
        <v>122</v>
      </c>
      <c r="O5" s="3777" t="s">
        <v>157</v>
      </c>
      <c r="P5" s="3777" t="s">
        <v>244</v>
      </c>
      <c r="Q5" s="3777" t="s">
        <v>166</v>
      </c>
      <c r="R5" s="3777" t="s">
        <v>157</v>
      </c>
      <c r="S5" s="3777" t="s">
        <v>110</v>
      </c>
      <c r="T5" s="3777" t="s">
        <v>61</v>
      </c>
      <c r="U5" s="3768" t="s">
        <v>560</v>
      </c>
      <c r="V5" s="3768" t="s">
        <v>240</v>
      </c>
      <c r="W5" s="3768" t="s">
        <v>561</v>
      </c>
      <c r="X5" s="3768" t="s">
        <v>384</v>
      </c>
      <c r="Y5" s="3768" t="s">
        <v>130</v>
      </c>
      <c r="Z5" s="3768" t="s">
        <v>654</v>
      </c>
      <c r="AA5" s="3768" t="s">
        <v>560</v>
      </c>
      <c r="AB5" s="3768" t="s">
        <v>561</v>
      </c>
      <c r="AC5" s="3768" t="s">
        <v>562</v>
      </c>
      <c r="AD5" s="3768" t="s">
        <v>384</v>
      </c>
      <c r="AE5" s="3768" t="s">
        <v>130</v>
      </c>
      <c r="AF5" s="3768" t="s">
        <v>560</v>
      </c>
      <c r="AG5" s="4003" t="s">
        <v>1602</v>
      </c>
      <c r="AH5" s="4003" t="s">
        <v>61</v>
      </c>
      <c r="AI5" s="4003" t="s">
        <v>61</v>
      </c>
      <c r="AJ5" s="4055" t="s">
        <v>122</v>
      </c>
      <c r="AK5" s="4055" t="s">
        <v>1537</v>
      </c>
      <c r="AL5" s="3971"/>
      <c r="AM5" s="4058"/>
      <c r="AN5" s="4058"/>
    </row>
    <row r="6" spans="1:47" ht="12.75" customHeight="1" x14ac:dyDescent="0.2">
      <c r="A6" s="3785"/>
      <c r="B6" s="3768"/>
      <c r="C6" s="3768"/>
      <c r="D6" s="3768"/>
      <c r="E6" s="3777"/>
      <c r="F6" s="3777"/>
      <c r="G6" s="3777"/>
      <c r="H6" s="3777"/>
      <c r="I6" s="3777"/>
      <c r="J6" s="3777"/>
      <c r="K6" s="3777"/>
      <c r="L6" s="3777"/>
      <c r="M6" s="3777"/>
      <c r="N6" s="3777"/>
      <c r="O6" s="3777"/>
      <c r="P6" s="3777"/>
      <c r="Q6" s="3777"/>
      <c r="R6" s="3777"/>
      <c r="S6" s="3777"/>
      <c r="T6" s="3777"/>
      <c r="U6" s="3768"/>
      <c r="V6" s="3768"/>
      <c r="W6" s="3768"/>
      <c r="X6" s="3768"/>
      <c r="Y6" s="3768"/>
      <c r="Z6" s="3768"/>
      <c r="AA6" s="3768"/>
      <c r="AB6" s="3768"/>
      <c r="AC6" s="3768"/>
      <c r="AD6" s="3768"/>
      <c r="AE6" s="3768"/>
      <c r="AF6" s="3768"/>
      <c r="AG6" s="4051"/>
      <c r="AH6" s="4051"/>
      <c r="AI6" s="4051"/>
      <c r="AJ6" s="4056"/>
      <c r="AK6" s="4056"/>
      <c r="AL6" s="3971"/>
      <c r="AM6" s="4058"/>
      <c r="AN6" s="4058"/>
    </row>
    <row r="7" spans="1:47" ht="19.5" customHeight="1" x14ac:dyDescent="0.2">
      <c r="A7" s="3785"/>
      <c r="B7" s="3768"/>
      <c r="C7" s="3768"/>
      <c r="D7" s="3768"/>
      <c r="E7" s="3777"/>
      <c r="F7" s="3777"/>
      <c r="G7" s="3777"/>
      <c r="H7" s="3777"/>
      <c r="I7" s="3777"/>
      <c r="J7" s="3777"/>
      <c r="K7" s="3777"/>
      <c r="L7" s="3777"/>
      <c r="M7" s="3777"/>
      <c r="N7" s="3777"/>
      <c r="O7" s="3777"/>
      <c r="P7" s="3777"/>
      <c r="Q7" s="3777"/>
      <c r="R7" s="3777"/>
      <c r="S7" s="3777"/>
      <c r="T7" s="3777"/>
      <c r="U7" s="3768"/>
      <c r="V7" s="3768"/>
      <c r="W7" s="3768"/>
      <c r="X7" s="3768"/>
      <c r="Y7" s="3768"/>
      <c r="Z7" s="3768"/>
      <c r="AA7" s="3768"/>
      <c r="AB7" s="3768"/>
      <c r="AC7" s="3768"/>
      <c r="AD7" s="3768"/>
      <c r="AE7" s="3768"/>
      <c r="AF7" s="3768"/>
      <c r="AG7" s="4004"/>
      <c r="AH7" s="4004"/>
      <c r="AI7" s="4004"/>
      <c r="AJ7" s="4057"/>
      <c r="AK7" s="4057"/>
      <c r="AL7" s="3971"/>
      <c r="AM7" s="4058"/>
      <c r="AN7" s="4058"/>
    </row>
    <row r="8" spans="1:47" ht="38.25" customHeight="1" x14ac:dyDescent="0.2">
      <c r="A8" s="1681" t="s">
        <v>72</v>
      </c>
      <c r="B8" s="2475">
        <v>4357</v>
      </c>
      <c r="C8" s="2561">
        <v>5406.5</v>
      </c>
      <c r="D8" s="2562">
        <f>C8/B8*100</f>
        <v>124.08767500573789</v>
      </c>
      <c r="E8" s="2563">
        <v>6087.5</v>
      </c>
      <c r="F8" s="2564">
        <f t="shared" ref="F8:F16" si="0">E8/C8*100</f>
        <v>112.59594932026265</v>
      </c>
      <c r="G8" s="2563">
        <v>6903.5</v>
      </c>
      <c r="H8" s="2564">
        <f>G8/E8*100</f>
        <v>113.40451745379876</v>
      </c>
      <c r="I8" s="2563">
        <v>6484.8</v>
      </c>
      <c r="J8" s="2563">
        <v>3738.1</v>
      </c>
      <c r="K8" s="2563">
        <v>5035.8999999999996</v>
      </c>
      <c r="L8" s="2563">
        <v>7062.7</v>
      </c>
      <c r="M8" s="2564">
        <f>L8/G8*100</f>
        <v>102.30607662779749</v>
      </c>
      <c r="N8" s="2563">
        <v>8395.1</v>
      </c>
      <c r="O8" s="2564">
        <f t="shared" ref="O8:O17" si="1">N8/L8*100</f>
        <v>118.86530646919735</v>
      </c>
      <c r="P8" s="2563">
        <v>7191.3</v>
      </c>
      <c r="Q8" s="2564">
        <f t="shared" ref="Q8:Q17" si="2">P8/I8*100</f>
        <v>110.89470762398224</v>
      </c>
      <c r="R8" s="2564">
        <f t="shared" ref="R8:R17" si="3">P8/L8*100</f>
        <v>101.82083339232872</v>
      </c>
      <c r="S8" s="2563">
        <v>5453.4</v>
      </c>
      <c r="T8" s="2563">
        <v>6885.5</v>
      </c>
      <c r="U8" s="2565">
        <v>8933.7000000000007</v>
      </c>
      <c r="V8" s="2566">
        <f>U8/P8</f>
        <v>1.2422927704309374</v>
      </c>
      <c r="W8" s="2563">
        <f>P8*1.056</f>
        <v>7594.0128000000004</v>
      </c>
      <c r="X8" s="2563">
        <v>3201.3</v>
      </c>
      <c r="Y8" s="2563">
        <v>4939.3</v>
      </c>
      <c r="Z8" s="2563">
        <v>6586.3</v>
      </c>
      <c r="AA8" s="2563">
        <v>7973.7</v>
      </c>
      <c r="AB8" s="2563">
        <f>T8*1.074*1.067</f>
        <v>7890.4938089999996</v>
      </c>
      <c r="AC8" s="2566">
        <f>AB8/W8</f>
        <v>1.039041415495112</v>
      </c>
      <c r="AD8" s="2563">
        <v>3191.57</v>
      </c>
      <c r="AE8" s="2563">
        <v>5009.13</v>
      </c>
      <c r="AF8" s="2563">
        <f>SUM(AB8*1.1)</f>
        <v>8679.5431898999996</v>
      </c>
      <c r="AG8" s="2563">
        <f>AE8/9*12*1.074</f>
        <v>7173.074160000001</v>
      </c>
      <c r="AH8" s="2563">
        <v>6605.9</v>
      </c>
      <c r="AI8" s="2563">
        <v>6256.63</v>
      </c>
      <c r="AJ8" s="2563">
        <v>9899.81</v>
      </c>
      <c r="AK8" s="2563">
        <f>AK9*AK10*12/1000</f>
        <v>7831.709945391618</v>
      </c>
      <c r="AL8" s="4040" t="s">
        <v>247</v>
      </c>
      <c r="AM8" s="4041"/>
      <c r="AN8" s="4041"/>
      <c r="AQ8" s="156"/>
      <c r="AT8" s="156">
        <f>SUM(AK8)</f>
        <v>7831.709945391618</v>
      </c>
      <c r="AU8">
        <f>SUM(AT8/AT45)</f>
        <v>0.34515950517826671</v>
      </c>
    </row>
    <row r="9" spans="1:47" ht="38.25" customHeight="1" x14ac:dyDescent="0.2">
      <c r="A9" s="1756" t="s">
        <v>1469</v>
      </c>
      <c r="B9" s="2475"/>
      <c r="C9" s="2561"/>
      <c r="D9" s="2562"/>
      <c r="E9" s="2563"/>
      <c r="F9" s="2564"/>
      <c r="G9" s="2563"/>
      <c r="H9" s="2564"/>
      <c r="I9" s="2563"/>
      <c r="J9" s="2563"/>
      <c r="K9" s="2563"/>
      <c r="L9" s="2563"/>
      <c r="M9" s="2564"/>
      <c r="N9" s="2563"/>
      <c r="O9" s="2564"/>
      <c r="P9" s="2563"/>
      <c r="Q9" s="2564"/>
      <c r="R9" s="2564"/>
      <c r="S9" s="2563"/>
      <c r="T9" s="2563"/>
      <c r="U9" s="2565"/>
      <c r="V9" s="2566"/>
      <c r="W9" s="2563"/>
      <c r="X9" s="2563"/>
      <c r="Y9" s="2563"/>
      <c r="Z9" s="2563"/>
      <c r="AA9" s="2563"/>
      <c r="AB9" s="2563"/>
      <c r="AC9" s="2566"/>
      <c r="AD9" s="2563">
        <v>13</v>
      </c>
      <c r="AE9" s="2563">
        <v>13</v>
      </c>
      <c r="AF9" s="2563"/>
      <c r="AG9" s="1689">
        <f>AD9</f>
        <v>13</v>
      </c>
      <c r="AH9" s="1689">
        <v>13</v>
      </c>
      <c r="AI9" s="1689">
        <v>13</v>
      </c>
      <c r="AJ9" s="1689">
        <v>14</v>
      </c>
      <c r="AK9" s="1689">
        <v>13</v>
      </c>
      <c r="AL9" s="3813" t="s">
        <v>2096</v>
      </c>
      <c r="AM9" s="4060"/>
      <c r="AN9" s="3814"/>
      <c r="AT9" s="156"/>
    </row>
    <row r="10" spans="1:47" ht="38.25" customHeight="1" x14ac:dyDescent="0.2">
      <c r="A10" s="1756" t="s">
        <v>1470</v>
      </c>
      <c r="B10" s="2475"/>
      <c r="C10" s="2561"/>
      <c r="D10" s="2562"/>
      <c r="E10" s="2563"/>
      <c r="F10" s="2564"/>
      <c r="G10" s="2563"/>
      <c r="H10" s="2564"/>
      <c r="I10" s="2563"/>
      <c r="J10" s="2563"/>
      <c r="K10" s="2563"/>
      <c r="L10" s="2563"/>
      <c r="M10" s="2564"/>
      <c r="N10" s="2563"/>
      <c r="O10" s="2564"/>
      <c r="P10" s="2563"/>
      <c r="Q10" s="2564"/>
      <c r="R10" s="2564"/>
      <c r="S10" s="2563"/>
      <c r="T10" s="2563"/>
      <c r="U10" s="2565"/>
      <c r="V10" s="2566"/>
      <c r="W10" s="2563"/>
      <c r="X10" s="2563"/>
      <c r="Y10" s="2563"/>
      <c r="Z10" s="2563"/>
      <c r="AA10" s="2563"/>
      <c r="AB10" s="2563"/>
      <c r="AC10" s="2566"/>
      <c r="AD10" s="2563">
        <f>AD8/AD9/6*1000</f>
        <v>40917.564102564109</v>
      </c>
      <c r="AE10" s="2563">
        <f>AE8/AE9/9*1000</f>
        <v>42813.076923076922</v>
      </c>
      <c r="AF10" s="2563"/>
      <c r="AG10" s="1689">
        <f>AG8/AG9/12*1000</f>
        <v>45981.244615384618</v>
      </c>
      <c r="AH10" s="1689">
        <v>42345.51</v>
      </c>
      <c r="AI10" s="1689">
        <v>40106.6</v>
      </c>
      <c r="AJ10" s="1689">
        <v>58927.44</v>
      </c>
      <c r="AK10" s="1689">
        <f>AG10*0.99*1.037*0.99*1.027*1.046</f>
        <v>50203.268880715492</v>
      </c>
      <c r="AL10" s="3813" t="s">
        <v>2097</v>
      </c>
      <c r="AM10" s="4060"/>
      <c r="AN10" s="3814"/>
      <c r="AT10" s="156"/>
    </row>
    <row r="11" spans="1:47" ht="38.25" customHeight="1" x14ac:dyDescent="0.2">
      <c r="A11" s="1681" t="s">
        <v>117</v>
      </c>
      <c r="B11" s="2475">
        <v>1088.3</v>
      </c>
      <c r="C11" s="2561">
        <v>1239</v>
      </c>
      <c r="D11" s="2562">
        <f>C11/B11*100</f>
        <v>113.84728475604153</v>
      </c>
      <c r="E11" s="2563">
        <v>1492.4</v>
      </c>
      <c r="F11" s="2564">
        <f t="shared" si="0"/>
        <v>120.45197740112997</v>
      </c>
      <c r="G11" s="2563">
        <v>2283.5</v>
      </c>
      <c r="H11" s="2564">
        <f t="shared" ref="H11:H45" si="4">G11/E11*100</f>
        <v>153.00857678906459</v>
      </c>
      <c r="I11" s="2563">
        <f>I8*30.2/100</f>
        <v>1958.4096</v>
      </c>
      <c r="J11" s="2563">
        <v>1276.0999999999999</v>
      </c>
      <c r="K11" s="2563">
        <v>1509.5</v>
      </c>
      <c r="L11" s="2563">
        <v>2054.4</v>
      </c>
      <c r="M11" s="2564">
        <f t="shared" ref="M11:M45" si="5">L11/G11*100</f>
        <v>89.967155682067002</v>
      </c>
      <c r="N11" s="2563">
        <v>2535.3000000000002</v>
      </c>
      <c r="O11" s="2564">
        <f t="shared" si="1"/>
        <v>123.40829439252336</v>
      </c>
      <c r="P11" s="2563">
        <v>2171.6999999999998</v>
      </c>
      <c r="Q11" s="2564">
        <f t="shared" si="2"/>
        <v>110.89100053431109</v>
      </c>
      <c r="R11" s="2564">
        <f t="shared" si="3"/>
        <v>105.70969626168223</v>
      </c>
      <c r="S11" s="2563">
        <v>1600.4</v>
      </c>
      <c r="T11" s="2563">
        <v>1941.4</v>
      </c>
      <c r="U11" s="2565">
        <v>2698</v>
      </c>
      <c r="V11" s="2566">
        <f t="shared" ref="V11:V45" si="6">U11/P11</f>
        <v>1.2423447069116362</v>
      </c>
      <c r="W11" s="2563">
        <f>W8*S12</f>
        <v>2228.6019886896256</v>
      </c>
      <c r="X11" s="2563">
        <v>962.5</v>
      </c>
      <c r="Y11" s="2563">
        <v>1485.4</v>
      </c>
      <c r="Z11" s="2563">
        <v>1966.3</v>
      </c>
      <c r="AA11" s="2563">
        <v>2408.1</v>
      </c>
      <c r="AB11" s="2563">
        <f>AB8*AB12</f>
        <v>2372.9150899699553</v>
      </c>
      <c r="AC11" s="2566">
        <f>AB11/W11</f>
        <v>1.0647549908026346</v>
      </c>
      <c r="AD11" s="2563">
        <v>957.03</v>
      </c>
      <c r="AE11" s="2563">
        <v>1502.4</v>
      </c>
      <c r="AF11" s="2563">
        <f>SUM(AF8*AF12)</f>
        <v>2621.2220433497996</v>
      </c>
      <c r="AG11" s="2563">
        <f>AG8*AG12</f>
        <v>2141.4778738909558</v>
      </c>
      <c r="AH11" s="2563">
        <v>1987.5</v>
      </c>
      <c r="AI11" s="2563">
        <v>1853.81</v>
      </c>
      <c r="AJ11" s="2563">
        <v>2965.98</v>
      </c>
      <c r="AK11" s="2563">
        <f>AK8*AI12</f>
        <v>2320.4987691243427</v>
      </c>
      <c r="AL11" s="4040"/>
      <c r="AM11" s="4041"/>
      <c r="AN11" s="4041"/>
      <c r="AT11" s="156">
        <f t="shared" ref="AT11:AT45" si="7">SUM(AK11)</f>
        <v>2320.4987691243427</v>
      </c>
      <c r="AU11">
        <f>SUM(AT11/AT45)</f>
        <v>0.10226913566800699</v>
      </c>
    </row>
    <row r="12" spans="1:47" s="182" customFormat="1" ht="20.25" customHeight="1" x14ac:dyDescent="0.2">
      <c r="A12" s="1756" t="s">
        <v>318</v>
      </c>
      <c r="B12" s="2567"/>
      <c r="C12" s="2562"/>
      <c r="D12" s="2562"/>
      <c r="E12" s="2568">
        <f>E11/E8</f>
        <v>0.24515811088295689</v>
      </c>
      <c r="F12" s="2568">
        <f t="shared" ref="F12:W12" si="8">F11/F8</f>
        <v>1.0697718535017811</v>
      </c>
      <c r="G12" s="2568">
        <f t="shared" si="8"/>
        <v>0.33077424494821467</v>
      </c>
      <c r="H12" s="2568">
        <f t="shared" si="8"/>
        <v>1.3492282337994217</v>
      </c>
      <c r="I12" s="2568">
        <f t="shared" si="8"/>
        <v>0.30199999999999999</v>
      </c>
      <c r="J12" s="2568">
        <f t="shared" si="8"/>
        <v>0.34137663518899974</v>
      </c>
      <c r="K12" s="2568">
        <f t="shared" si="8"/>
        <v>0.29974781071903733</v>
      </c>
      <c r="L12" s="2568">
        <f t="shared" si="8"/>
        <v>0.29088025825817326</v>
      </c>
      <c r="M12" s="2568">
        <f t="shared" si="8"/>
        <v>0.87939210111026878</v>
      </c>
      <c r="N12" s="2568">
        <f t="shared" si="8"/>
        <v>0.3019975938344987</v>
      </c>
      <c r="O12" s="2568">
        <f t="shared" si="8"/>
        <v>1.0382196290765739</v>
      </c>
      <c r="P12" s="2568">
        <f t="shared" si="8"/>
        <v>0.3019899044678987</v>
      </c>
      <c r="Q12" s="2568">
        <f t="shared" si="8"/>
        <v>0.99996657108575715</v>
      </c>
      <c r="R12" s="2568">
        <f t="shared" si="8"/>
        <v>1.0381931942588725</v>
      </c>
      <c r="S12" s="2568">
        <f t="shared" si="8"/>
        <v>0.29346829500861854</v>
      </c>
      <c r="T12" s="2568">
        <f>T11/T8</f>
        <v>0.2819548326192724</v>
      </c>
      <c r="U12" s="2568">
        <f t="shared" si="8"/>
        <v>0.30200252974691333</v>
      </c>
      <c r="V12" s="2566">
        <f t="shared" si="6"/>
        <v>1.0000418069572123</v>
      </c>
      <c r="W12" s="2568">
        <f t="shared" si="8"/>
        <v>0.29346829500861854</v>
      </c>
      <c r="X12" s="2568">
        <f>X11/X8</f>
        <v>0.30065910723768469</v>
      </c>
      <c r="Y12" s="2568">
        <f>Y11/Y8</f>
        <v>0.30073087279574029</v>
      </c>
      <c r="Z12" s="2568">
        <f>Z11/Z8</f>
        <v>0.29854394728451483</v>
      </c>
      <c r="AA12" s="2568">
        <f>X12</f>
        <v>0.30065910723768469</v>
      </c>
      <c r="AB12" s="2568">
        <f>Y12</f>
        <v>0.30073087279574029</v>
      </c>
      <c r="AC12" s="2568">
        <f>Z12</f>
        <v>0.29854394728451483</v>
      </c>
      <c r="AD12" s="2568">
        <f t="shared" ref="AD12:AE12" si="9">AD11/AD8</f>
        <v>0.29986182349125978</v>
      </c>
      <c r="AE12" s="2568">
        <f t="shared" si="9"/>
        <v>0.29993232357714816</v>
      </c>
      <c r="AF12" s="2568">
        <v>0.30199999999999999</v>
      </c>
      <c r="AG12" s="2568">
        <f>Z12</f>
        <v>0.29854394728451483</v>
      </c>
      <c r="AH12" s="2568">
        <f>AH11/AH8</f>
        <v>0.30086740640942189</v>
      </c>
      <c r="AI12" s="2568">
        <f>AI11/AI8</f>
        <v>0.29629528995641424</v>
      </c>
      <c r="AJ12" s="2568">
        <f t="shared" ref="AJ12:AK12" si="10">AJ11/AJ8</f>
        <v>0.29959968928696612</v>
      </c>
      <c r="AK12" s="2568">
        <f t="shared" si="10"/>
        <v>0.29629528995641424</v>
      </c>
      <c r="AL12" s="4059" t="s">
        <v>2098</v>
      </c>
      <c r="AM12" s="4041"/>
      <c r="AN12" s="4041"/>
      <c r="AT12" s="156"/>
      <c r="AU12">
        <f>SUM(AT12/AT45)</f>
        <v>0</v>
      </c>
    </row>
    <row r="13" spans="1:47" ht="30.75" customHeight="1" x14ac:dyDescent="0.2">
      <c r="A13" s="1681" t="s">
        <v>83</v>
      </c>
      <c r="B13" s="2475">
        <v>324.39999999999998</v>
      </c>
      <c r="C13" s="2561">
        <v>328</v>
      </c>
      <c r="D13" s="2562"/>
      <c r="E13" s="2563">
        <v>140.6</v>
      </c>
      <c r="F13" s="2564">
        <f t="shared" si="0"/>
        <v>42.865853658536587</v>
      </c>
      <c r="G13" s="2563">
        <v>140.6</v>
      </c>
      <c r="H13" s="2564">
        <f t="shared" si="4"/>
        <v>100</v>
      </c>
      <c r="I13" s="2563">
        <v>159.69999999999999</v>
      </c>
      <c r="J13" s="2563">
        <v>0</v>
      </c>
      <c r="K13" s="2563">
        <v>147.30000000000001</v>
      </c>
      <c r="L13" s="2563">
        <v>147.30000000000001</v>
      </c>
      <c r="M13" s="2564">
        <f t="shared" si="5"/>
        <v>104.76529160739689</v>
      </c>
      <c r="N13" s="2563">
        <v>166.9</v>
      </c>
      <c r="O13" s="2564">
        <f t="shared" si="1"/>
        <v>113.306177868296</v>
      </c>
      <c r="P13" s="2563">
        <v>166.9</v>
      </c>
      <c r="Q13" s="2564">
        <f t="shared" si="2"/>
        <v>104.50845335003132</v>
      </c>
      <c r="R13" s="2564">
        <f t="shared" si="3"/>
        <v>113.306177868296</v>
      </c>
      <c r="S13" s="2563">
        <v>0</v>
      </c>
      <c r="T13" s="2563">
        <v>0</v>
      </c>
      <c r="U13" s="2565">
        <v>183</v>
      </c>
      <c r="V13" s="2566">
        <f t="shared" si="6"/>
        <v>1.0964649490713001</v>
      </c>
      <c r="W13" s="2563">
        <v>0</v>
      </c>
      <c r="X13" s="2563">
        <v>80</v>
      </c>
      <c r="Y13" s="2563">
        <v>240</v>
      </c>
      <c r="Z13" s="2563">
        <v>389.6</v>
      </c>
      <c r="AA13" s="2563">
        <v>0</v>
      </c>
      <c r="AB13" s="2563">
        <v>0</v>
      </c>
      <c r="AC13" s="2566"/>
      <c r="AD13" s="2563">
        <v>528</v>
      </c>
      <c r="AE13" s="2563">
        <v>792</v>
      </c>
      <c r="AF13" s="2563">
        <v>1056</v>
      </c>
      <c r="AG13" s="1689">
        <v>1056</v>
      </c>
      <c r="AH13" s="1689">
        <v>1056</v>
      </c>
      <c r="AI13" s="1689">
        <v>1022.37</v>
      </c>
      <c r="AJ13" s="1689">
        <v>1187.3900000000001</v>
      </c>
      <c r="AK13" s="1689">
        <f>AI13*1.027*1.046</f>
        <v>1098.2727935400001</v>
      </c>
      <c r="AL13" s="4040" t="s">
        <v>2099</v>
      </c>
      <c r="AM13" s="4041"/>
      <c r="AN13" s="4041"/>
      <c r="AT13" s="156">
        <f t="shared" si="7"/>
        <v>1098.2727935400001</v>
      </c>
      <c r="AU13">
        <f>SUM(AT13/AT45)</f>
        <v>4.8403132471993453E-2</v>
      </c>
    </row>
    <row r="14" spans="1:47" ht="20.25" customHeight="1" x14ac:dyDescent="0.2">
      <c r="A14" s="1681" t="s">
        <v>52</v>
      </c>
      <c r="B14" s="2475">
        <v>107.6</v>
      </c>
      <c r="C14" s="2561">
        <v>91.5</v>
      </c>
      <c r="D14" s="2562">
        <f>C14/B14*100</f>
        <v>85.037174721189587</v>
      </c>
      <c r="E14" s="2563">
        <v>103.9</v>
      </c>
      <c r="F14" s="2564">
        <f t="shared" si="0"/>
        <v>113.55191256830601</v>
      </c>
      <c r="G14" s="2563">
        <v>103.5</v>
      </c>
      <c r="H14" s="2564">
        <f t="shared" si="4"/>
        <v>99.615014436958603</v>
      </c>
      <c r="I14" s="2563">
        <v>112.9</v>
      </c>
      <c r="J14" s="2563">
        <v>50</v>
      </c>
      <c r="K14" s="2563">
        <v>74.5</v>
      </c>
      <c r="L14" s="2563">
        <v>97.9</v>
      </c>
      <c r="M14" s="2564">
        <f t="shared" si="5"/>
        <v>94.589371980676333</v>
      </c>
      <c r="N14" s="2563">
        <v>119.7</v>
      </c>
      <c r="O14" s="2564">
        <f t="shared" si="1"/>
        <v>122.26762002042901</v>
      </c>
      <c r="P14" s="2563">
        <v>118.4</v>
      </c>
      <c r="Q14" s="2564">
        <f t="shared" si="2"/>
        <v>104.87156775907881</v>
      </c>
      <c r="R14" s="2564">
        <f t="shared" si="3"/>
        <v>120.93973442288049</v>
      </c>
      <c r="S14" s="2563">
        <v>86.7</v>
      </c>
      <c r="T14" s="2563">
        <v>113.5</v>
      </c>
      <c r="U14" s="2565">
        <v>124.3</v>
      </c>
      <c r="V14" s="2566">
        <f t="shared" si="6"/>
        <v>1.0498310810810809</v>
      </c>
      <c r="W14" s="2563">
        <f>P14*1.048</f>
        <v>124.08320000000001</v>
      </c>
      <c r="X14" s="2563">
        <v>58.3</v>
      </c>
      <c r="Y14" s="2563">
        <v>86.2</v>
      </c>
      <c r="Z14" s="2563">
        <v>114.6</v>
      </c>
      <c r="AA14" s="2563">
        <v>131</v>
      </c>
      <c r="AB14" s="2563">
        <f>AA14</f>
        <v>131</v>
      </c>
      <c r="AC14" s="2566">
        <f>AB14/W14</f>
        <v>1.0557432432432432</v>
      </c>
      <c r="AD14" s="2563">
        <v>75.569999999999993</v>
      </c>
      <c r="AE14" s="2563">
        <v>113.59</v>
      </c>
      <c r="AF14" s="2563">
        <f>SUM(AB14*1.1)</f>
        <v>144.10000000000002</v>
      </c>
      <c r="AG14" s="1689">
        <f>AF14</f>
        <v>144.10000000000002</v>
      </c>
      <c r="AH14" s="1689">
        <v>158.79</v>
      </c>
      <c r="AI14" s="1689">
        <v>122.86</v>
      </c>
      <c r="AJ14" s="1689">
        <v>162.03</v>
      </c>
      <c r="AK14" s="1689">
        <f>AJ14</f>
        <v>162.03</v>
      </c>
      <c r="AL14" s="4040" t="s">
        <v>2100</v>
      </c>
      <c r="AM14" s="4041"/>
      <c r="AN14" s="4041"/>
      <c r="AT14" s="156">
        <f t="shared" si="7"/>
        <v>162.03</v>
      </c>
      <c r="AU14">
        <f>SUM(AT14/AT45)</f>
        <v>7.1409941141835805E-3</v>
      </c>
    </row>
    <row r="15" spans="1:47" ht="57" customHeight="1" x14ac:dyDescent="0.2">
      <c r="A15" s="1681" t="s">
        <v>31</v>
      </c>
      <c r="B15" s="2475">
        <v>2520.4</v>
      </c>
      <c r="C15" s="2561">
        <v>1777.2</v>
      </c>
      <c r="D15" s="2562">
        <f>C15/B15*100</f>
        <v>70.512617044913512</v>
      </c>
      <c r="E15" s="2563">
        <v>1991.1</v>
      </c>
      <c r="F15" s="2564">
        <f t="shared" si="0"/>
        <v>112.03578663065497</v>
      </c>
      <c r="G15" s="2563">
        <v>2194.3000000000002</v>
      </c>
      <c r="H15" s="2564">
        <f t="shared" si="4"/>
        <v>110.20541409271259</v>
      </c>
      <c r="I15" s="2563">
        <v>1991.3</v>
      </c>
      <c r="J15" s="2563">
        <v>1139.5</v>
      </c>
      <c r="K15" s="2563">
        <v>1737</v>
      </c>
      <c r="L15" s="2563">
        <v>2367.8000000000002</v>
      </c>
      <c r="M15" s="2564">
        <f t="shared" si="5"/>
        <v>107.90684956478147</v>
      </c>
      <c r="N15" s="2563">
        <v>2413.4</v>
      </c>
      <c r="O15" s="2564">
        <f t="shared" si="1"/>
        <v>101.92583833094011</v>
      </c>
      <c r="P15" s="2563">
        <v>2188.6</v>
      </c>
      <c r="Q15" s="2564">
        <f t="shared" si="2"/>
        <v>109.90810023602671</v>
      </c>
      <c r="R15" s="2564">
        <f t="shared" si="3"/>
        <v>92.431793225779188</v>
      </c>
      <c r="S15" s="2563">
        <v>2103.8000000000002</v>
      </c>
      <c r="T15" s="2563">
        <v>2562.8000000000002</v>
      </c>
      <c r="U15" s="2565">
        <v>2520</v>
      </c>
      <c r="V15" s="2566">
        <f t="shared" si="6"/>
        <v>1.1514209997258522</v>
      </c>
      <c r="W15" s="2563">
        <f>P15*1.03</f>
        <v>2254.2579999999998</v>
      </c>
      <c r="X15" s="2563">
        <v>606.20000000000005</v>
      </c>
      <c r="Y15" s="2563">
        <v>1009.7</v>
      </c>
      <c r="Z15" s="2563">
        <v>1396.8</v>
      </c>
      <c r="AA15" s="2563">
        <v>2637.1</v>
      </c>
      <c r="AB15" s="2563">
        <f>AA15</f>
        <v>2637.1</v>
      </c>
      <c r="AC15" s="2566">
        <f>AB15/W15</f>
        <v>1.1698306050150427</v>
      </c>
      <c r="AD15" s="2563">
        <v>730.2</v>
      </c>
      <c r="AE15" s="2563">
        <v>1127.3599999999999</v>
      </c>
      <c r="AF15" s="2563">
        <f>SUM(AB15*1.15)</f>
        <v>3032.6649999999995</v>
      </c>
      <c r="AG15" s="1689">
        <f>AE15/3*4*1.033</f>
        <v>1552.7505066666663</v>
      </c>
      <c r="AH15" s="1689">
        <v>1643.01</v>
      </c>
      <c r="AI15" s="1689">
        <v>1662.72</v>
      </c>
      <c r="AJ15" s="1689">
        <v>2011.89</v>
      </c>
      <c r="AK15" s="1689">
        <f>AI15*1.221*1.019</f>
        <v>2068.75456128</v>
      </c>
      <c r="AL15" s="4040" t="s">
        <v>2101</v>
      </c>
      <c r="AM15" s="4041"/>
      <c r="AN15" s="4041"/>
      <c r="AO15" s="1252">
        <f>Z15*1.044*1.033</f>
        <v>1506.3817535999999</v>
      </c>
      <c r="AP15">
        <f>AE15/3*4*1.033</f>
        <v>1552.7505066666663</v>
      </c>
      <c r="AT15" s="156">
        <f t="shared" si="7"/>
        <v>2068.75456128</v>
      </c>
      <c r="AU15">
        <f>SUM(AT15/AT45)</f>
        <v>9.1174252581564613E-2</v>
      </c>
    </row>
    <row r="16" spans="1:47" ht="38.25" customHeight="1" x14ac:dyDescent="0.2">
      <c r="A16" s="1681" t="s">
        <v>71</v>
      </c>
      <c r="B16" s="2475">
        <v>113.7</v>
      </c>
      <c r="C16" s="2561">
        <v>71.400000000000006</v>
      </c>
      <c r="D16" s="2562">
        <f>C16/B16*100</f>
        <v>62.79683377308708</v>
      </c>
      <c r="E16" s="2563">
        <v>95.5</v>
      </c>
      <c r="F16" s="2564">
        <f t="shared" si="0"/>
        <v>133.75350140056022</v>
      </c>
      <c r="G16" s="2563">
        <v>111.7</v>
      </c>
      <c r="H16" s="2564">
        <f t="shared" si="4"/>
        <v>116.96335078534032</v>
      </c>
      <c r="I16" s="2563">
        <v>93.4</v>
      </c>
      <c r="J16" s="2563">
        <v>61.3</v>
      </c>
      <c r="K16" s="2563">
        <v>93.4</v>
      </c>
      <c r="L16" s="2563">
        <v>132.30000000000001</v>
      </c>
      <c r="M16" s="2564">
        <f t="shared" si="5"/>
        <v>118.44225604297225</v>
      </c>
      <c r="N16" s="2563">
        <v>122.9</v>
      </c>
      <c r="O16" s="2564">
        <f t="shared" si="1"/>
        <v>92.894935752078595</v>
      </c>
      <c r="P16" s="2563">
        <v>130.69999999999999</v>
      </c>
      <c r="Q16" s="2564">
        <f t="shared" si="2"/>
        <v>139.93576017130619</v>
      </c>
      <c r="R16" s="2564">
        <f t="shared" si="3"/>
        <v>98.790627362055915</v>
      </c>
      <c r="S16" s="2563">
        <v>58.4</v>
      </c>
      <c r="T16" s="2563">
        <v>130.69999999999999</v>
      </c>
      <c r="U16" s="2565">
        <v>148.19999999999999</v>
      </c>
      <c r="V16" s="2566">
        <f t="shared" si="6"/>
        <v>1.13389441469013</v>
      </c>
      <c r="W16" s="2563">
        <f>S16/3*4*1.048</f>
        <v>81.604266666666661</v>
      </c>
      <c r="X16" s="2563">
        <v>70</v>
      </c>
      <c r="Y16" s="2563">
        <v>94.99</v>
      </c>
      <c r="Z16" s="2563">
        <v>124.7</v>
      </c>
      <c r="AA16" s="2563">
        <v>191.1</v>
      </c>
      <c r="AB16" s="2563">
        <f>Y16/3*4*1.049</f>
        <v>132.85934666666665</v>
      </c>
      <c r="AC16" s="2566">
        <f>AB16/W16</f>
        <v>1.6280931389208406</v>
      </c>
      <c r="AD16" s="2563">
        <v>78.25</v>
      </c>
      <c r="AE16" s="2563">
        <v>112.2</v>
      </c>
      <c r="AF16" s="2563">
        <f>SUM(Z16*1.1)</f>
        <v>137.17000000000002</v>
      </c>
      <c r="AG16" s="1689">
        <f>AF16</f>
        <v>137.17000000000002</v>
      </c>
      <c r="AH16" s="1689">
        <v>173.18</v>
      </c>
      <c r="AI16" s="1689">
        <v>144.38</v>
      </c>
      <c r="AJ16" s="1689">
        <v>154.24</v>
      </c>
      <c r="AK16" s="1689">
        <v>154.24</v>
      </c>
      <c r="AL16" s="4040" t="s">
        <v>2100</v>
      </c>
      <c r="AM16" s="4041"/>
      <c r="AN16" s="4041"/>
      <c r="AT16" s="156">
        <f t="shared" si="7"/>
        <v>154.24</v>
      </c>
      <c r="AU16">
        <f>SUM(AT16/AT45)</f>
        <v>6.7976728517661882E-3</v>
      </c>
    </row>
    <row r="17" spans="1:47" ht="20.25" customHeight="1" x14ac:dyDescent="0.2">
      <c r="A17" s="1681" t="s">
        <v>846</v>
      </c>
      <c r="B17" s="2475">
        <f>SUM(B18:B22)</f>
        <v>636.9</v>
      </c>
      <c r="C17" s="2561">
        <f>SUM(C18:C22)</f>
        <v>812.49999999999989</v>
      </c>
      <c r="D17" s="2562">
        <f>C17/B17*100</f>
        <v>127.57104726016641</v>
      </c>
      <c r="E17" s="2563">
        <f>SUM(E18:E22)</f>
        <v>929.9</v>
      </c>
      <c r="F17" s="2563">
        <f>SUM(F18:F22)</f>
        <v>498.86527273998672</v>
      </c>
      <c r="G17" s="2563">
        <f>SUM(G18:G22)</f>
        <v>882.49999999999989</v>
      </c>
      <c r="H17" s="2564">
        <f t="shared" si="4"/>
        <v>94.902677707280347</v>
      </c>
      <c r="I17" s="2563">
        <f>SUM(I18:I22)</f>
        <v>978.70000000000016</v>
      </c>
      <c r="J17" s="2563">
        <f>SUM(J18:J22)</f>
        <v>526.9</v>
      </c>
      <c r="K17" s="2563">
        <f>SUM(K18:K22)</f>
        <v>542.70000000000005</v>
      </c>
      <c r="L17" s="2563">
        <f>SUM(L18:L22)</f>
        <v>790.2</v>
      </c>
      <c r="M17" s="2564">
        <f t="shared" si="5"/>
        <v>89.541076487252141</v>
      </c>
      <c r="N17" s="2563">
        <f>SUM(N18:N22)</f>
        <v>1105.9999999999998</v>
      </c>
      <c r="O17" s="2564">
        <f t="shared" si="1"/>
        <v>139.96456593267524</v>
      </c>
      <c r="P17" s="2563">
        <f>SUM(P18:P22)</f>
        <v>868.5</v>
      </c>
      <c r="Q17" s="2564">
        <f t="shared" si="2"/>
        <v>88.740165525697336</v>
      </c>
      <c r="R17" s="2564">
        <f t="shared" si="3"/>
        <v>109.90888382687926</v>
      </c>
      <c r="S17" s="2563">
        <f>SUM(S18:S22)</f>
        <v>477.5</v>
      </c>
      <c r="T17" s="2563">
        <f>SUM(T18:T22)</f>
        <v>5233.3999999999996</v>
      </c>
      <c r="U17" s="2563">
        <f>SUM(U18:U22)</f>
        <v>990.9</v>
      </c>
      <c r="V17" s="2566">
        <f t="shared" si="6"/>
        <v>1.1409326424870465</v>
      </c>
      <c r="W17" s="2563">
        <f t="shared" ref="W17:AB17" si="11">SUM(W18:W22)</f>
        <v>729.71640000000002</v>
      </c>
      <c r="X17" s="2563">
        <f t="shared" si="11"/>
        <v>2335.7000000000003</v>
      </c>
      <c r="Y17" s="2563">
        <f t="shared" si="11"/>
        <v>2529</v>
      </c>
      <c r="Z17" s="2563">
        <f t="shared" si="11"/>
        <v>4147.5</v>
      </c>
      <c r="AA17" s="2563">
        <f t="shared" si="11"/>
        <v>5434.9</v>
      </c>
      <c r="AB17" s="2563">
        <f t="shared" si="11"/>
        <v>4876.6199500000002</v>
      </c>
      <c r="AC17" s="2566">
        <f>AB17/(W17+W25)</f>
        <v>0.96894515275477255</v>
      </c>
      <c r="AD17" s="2563">
        <f t="shared" ref="AD17:AH17" si="12">SUM(AD18:AD22)</f>
        <v>2106.85</v>
      </c>
      <c r="AE17" s="2563">
        <f t="shared" si="12"/>
        <v>2260.81</v>
      </c>
      <c r="AF17" s="2563">
        <f t="shared" si="12"/>
        <v>4616.423065</v>
      </c>
      <c r="AG17" s="1689">
        <f t="shared" si="12"/>
        <v>4448.0314096000002</v>
      </c>
      <c r="AH17" s="1689">
        <f t="shared" si="12"/>
        <v>4402.38</v>
      </c>
      <c r="AI17" s="1689">
        <v>5875.51</v>
      </c>
      <c r="AJ17" s="1689">
        <v>6364.15</v>
      </c>
      <c r="AK17" s="1689">
        <f t="shared" ref="AK17" si="13">SUM(AK18:AK22)</f>
        <v>6364.15</v>
      </c>
      <c r="AL17" s="4040" t="s">
        <v>2100</v>
      </c>
      <c r="AM17" s="4041"/>
      <c r="AN17" s="4041"/>
      <c r="AT17" s="156"/>
      <c r="AU17">
        <f>SUM(AT17/AT45)</f>
        <v>0</v>
      </c>
    </row>
    <row r="18" spans="1:47" ht="38.25" customHeight="1" x14ac:dyDescent="0.2">
      <c r="A18" s="1756" t="s">
        <v>555</v>
      </c>
      <c r="B18" s="2567">
        <v>240.3</v>
      </c>
      <c r="C18" s="2562">
        <v>359.1</v>
      </c>
      <c r="D18" s="2562">
        <f t="shared" ref="D18:D26" si="14">C18/B18*100</f>
        <v>149.43820224719101</v>
      </c>
      <c r="E18" s="2564">
        <v>465.8</v>
      </c>
      <c r="F18" s="2564">
        <f t="shared" ref="F18:F25" si="15">E18/C18*100</f>
        <v>129.71317181843497</v>
      </c>
      <c r="G18" s="2564">
        <v>457.7</v>
      </c>
      <c r="H18" s="2564">
        <f t="shared" si="4"/>
        <v>98.261056247316432</v>
      </c>
      <c r="I18" s="2564">
        <v>479.1</v>
      </c>
      <c r="J18" s="2564">
        <v>293.2</v>
      </c>
      <c r="K18" s="2564">
        <v>287.8</v>
      </c>
      <c r="L18" s="2564">
        <v>441.5</v>
      </c>
      <c r="M18" s="2564">
        <f t="shared" si="5"/>
        <v>96.460563688005237</v>
      </c>
      <c r="N18" s="2564">
        <v>551</v>
      </c>
      <c r="O18" s="2564">
        <f t="shared" ref="O18:O26" si="16">N18/L18*100</f>
        <v>124.80181200453002</v>
      </c>
      <c r="P18" s="2564">
        <v>512.6</v>
      </c>
      <c r="Q18" s="2564">
        <f t="shared" ref="Q18:Q26" si="17">P18/I18*100</f>
        <v>106.99227718639115</v>
      </c>
      <c r="R18" s="2564">
        <f t="shared" ref="R18:R26" si="18">P18/L18*100</f>
        <v>116.10419026047565</v>
      </c>
      <c r="S18" s="2563">
        <v>228</v>
      </c>
      <c r="T18" s="2563">
        <v>4866.7</v>
      </c>
      <c r="U18" s="2565">
        <v>550</v>
      </c>
      <c r="V18" s="2566">
        <f t="shared" si="6"/>
        <v>1.0729613733905579</v>
      </c>
      <c r="W18" s="2563">
        <f>S18/5*8*1.015</f>
        <v>370.27199999999999</v>
      </c>
      <c r="X18" s="2563">
        <v>2130</v>
      </c>
      <c r="Y18" s="2563">
        <v>2267.8000000000002</v>
      </c>
      <c r="Z18" s="2563">
        <v>3728</v>
      </c>
      <c r="AA18" s="2563">
        <v>5023</v>
      </c>
      <c r="AB18" s="2563">
        <f>1630/3*8*1.035</f>
        <v>4498.8</v>
      </c>
      <c r="AC18" s="2566">
        <f>AB18/(W18+W25)</f>
        <v>0.96262478944989949</v>
      </c>
      <c r="AD18" s="2563">
        <v>2001.55</v>
      </c>
      <c r="AE18" s="2563">
        <v>2110.23</v>
      </c>
      <c r="AF18" s="2563">
        <f>SUM(Z18*1.1)</f>
        <v>4100.8</v>
      </c>
      <c r="AG18" s="1689">
        <f>AF18</f>
        <v>4100.8</v>
      </c>
      <c r="AH18" s="1689">
        <v>4114.47</v>
      </c>
      <c r="AI18" s="1689">
        <v>4870.7</v>
      </c>
      <c r="AJ18" s="1689">
        <v>5268.15</v>
      </c>
      <c r="AK18" s="1689">
        <f>AJ18</f>
        <v>5268.15</v>
      </c>
      <c r="AL18" s="4040" t="s">
        <v>2100</v>
      </c>
      <c r="AM18" s="4041"/>
      <c r="AN18" s="4041"/>
      <c r="AT18" s="156">
        <f t="shared" si="7"/>
        <v>5268.15</v>
      </c>
      <c r="AU18">
        <f>SUM(AT18/AT45)</f>
        <v>0.23217816541773884</v>
      </c>
    </row>
    <row r="19" spans="1:47" ht="38.25" customHeight="1" x14ac:dyDescent="0.2">
      <c r="A19" s="1756" t="s">
        <v>556</v>
      </c>
      <c r="B19" s="2567">
        <v>27.6</v>
      </c>
      <c r="C19" s="2562">
        <v>31.9</v>
      </c>
      <c r="D19" s="2562">
        <f t="shared" si="14"/>
        <v>115.57971014492752</v>
      </c>
      <c r="E19" s="2564">
        <v>32</v>
      </c>
      <c r="F19" s="2564">
        <f t="shared" si="15"/>
        <v>100.31347962382446</v>
      </c>
      <c r="G19" s="2564">
        <v>38.4</v>
      </c>
      <c r="H19" s="2564">
        <f t="shared" si="4"/>
        <v>120</v>
      </c>
      <c r="I19" s="2564">
        <v>34.700000000000003</v>
      </c>
      <c r="J19" s="2564">
        <v>19.2</v>
      </c>
      <c r="K19" s="2564">
        <v>30.8</v>
      </c>
      <c r="L19" s="2564">
        <v>41.5</v>
      </c>
      <c r="M19" s="2564">
        <f t="shared" si="5"/>
        <v>108.07291666666667</v>
      </c>
      <c r="N19" s="2564">
        <v>42.4</v>
      </c>
      <c r="O19" s="2564">
        <f t="shared" si="16"/>
        <v>102.16867469879519</v>
      </c>
      <c r="P19" s="2564">
        <v>42.4</v>
      </c>
      <c r="Q19" s="2564">
        <f t="shared" si="17"/>
        <v>122.19020172910662</v>
      </c>
      <c r="R19" s="2564">
        <f t="shared" si="18"/>
        <v>102.16867469879519</v>
      </c>
      <c r="S19" s="2563">
        <v>1.5</v>
      </c>
      <c r="T19" s="2563">
        <v>1.5</v>
      </c>
      <c r="U19" s="2565">
        <v>44.5</v>
      </c>
      <c r="V19" s="2566">
        <f t="shared" si="6"/>
        <v>1.0495283018867925</v>
      </c>
      <c r="W19" s="2563">
        <f>P19*1.048</f>
        <v>44.435200000000002</v>
      </c>
      <c r="X19" s="2563">
        <v>0</v>
      </c>
      <c r="Y19" s="2563">
        <v>0</v>
      </c>
      <c r="Z19" s="2563">
        <v>0</v>
      </c>
      <c r="AA19" s="2563">
        <v>47</v>
      </c>
      <c r="AB19" s="2563">
        <f>(E19+G19+L19+S19)/4*1.049</f>
        <v>29.739149999999999</v>
      </c>
      <c r="AC19" s="2566">
        <f>AB19/W19</f>
        <v>0.66927008317730086</v>
      </c>
      <c r="AD19" s="2563">
        <v>0</v>
      </c>
      <c r="AE19" s="2563">
        <v>0</v>
      </c>
      <c r="AF19" s="2563">
        <f>SUM(AB19*1.1)</f>
        <v>32.713065</v>
      </c>
      <c r="AG19" s="1689">
        <v>0</v>
      </c>
      <c r="AH19" s="1689">
        <v>0</v>
      </c>
      <c r="AI19" s="1689">
        <v>0</v>
      </c>
      <c r="AJ19" s="1689">
        <v>30</v>
      </c>
      <c r="AK19" s="1689">
        <v>30</v>
      </c>
      <c r="AL19" s="4040" t="s">
        <v>2100</v>
      </c>
      <c r="AM19" s="4041"/>
      <c r="AN19" s="4041"/>
      <c r="AT19" s="156">
        <f t="shared" si="7"/>
        <v>30</v>
      </c>
      <c r="AU19">
        <f>SUM(AT19/AT45)</f>
        <v>1.3221614727242325E-3</v>
      </c>
    </row>
    <row r="20" spans="1:47" ht="38.25" customHeight="1" x14ac:dyDescent="0.2">
      <c r="A20" s="1756" t="s">
        <v>557</v>
      </c>
      <c r="B20" s="2567">
        <v>315.7</v>
      </c>
      <c r="C20" s="2562">
        <v>352.3</v>
      </c>
      <c r="D20" s="2562">
        <f t="shared" si="14"/>
        <v>111.59328476401649</v>
      </c>
      <c r="E20" s="2564">
        <v>378.8</v>
      </c>
      <c r="F20" s="2564">
        <f t="shared" si="15"/>
        <v>107.52199829690605</v>
      </c>
      <c r="G20" s="2564">
        <v>338.8</v>
      </c>
      <c r="H20" s="2564">
        <f t="shared" si="4"/>
        <v>89.440337909186908</v>
      </c>
      <c r="I20" s="2564">
        <v>422.8</v>
      </c>
      <c r="J20" s="2564">
        <v>198.2</v>
      </c>
      <c r="K20" s="2564">
        <v>199.6</v>
      </c>
      <c r="L20" s="2564">
        <v>260.2</v>
      </c>
      <c r="M20" s="2564">
        <f t="shared" si="5"/>
        <v>76.800472255017709</v>
      </c>
      <c r="N20" s="2564">
        <v>454.4</v>
      </c>
      <c r="O20" s="2564">
        <f t="shared" si="16"/>
        <v>174.63489623366641</v>
      </c>
      <c r="P20" s="2564">
        <v>279.2</v>
      </c>
      <c r="Q20" s="2564">
        <f t="shared" si="17"/>
        <v>66.035950804162724</v>
      </c>
      <c r="R20" s="2564">
        <f t="shared" si="18"/>
        <v>107.3020753266718</v>
      </c>
      <c r="S20" s="2563">
        <v>222.9</v>
      </c>
      <c r="T20" s="2563">
        <v>315.10000000000002</v>
      </c>
      <c r="U20" s="2565">
        <v>339.3</v>
      </c>
      <c r="V20" s="2566">
        <f t="shared" si="6"/>
        <v>1.2152578796561606</v>
      </c>
      <c r="W20" s="2563">
        <f>P20</f>
        <v>279.2</v>
      </c>
      <c r="X20" s="2563">
        <v>188.9</v>
      </c>
      <c r="Y20" s="2563">
        <v>235.5</v>
      </c>
      <c r="Z20" s="2563">
        <v>385.4</v>
      </c>
      <c r="AA20" s="2563">
        <v>309.7</v>
      </c>
      <c r="AB20" s="2563">
        <f>W20*1.049</f>
        <v>292.88079999999997</v>
      </c>
      <c r="AC20" s="2566">
        <f>AB20/W20</f>
        <v>1.0489999999999999</v>
      </c>
      <c r="AD20" s="2563">
        <v>87.9</v>
      </c>
      <c r="AE20" s="2563">
        <v>124.62</v>
      </c>
      <c r="AF20" s="2563">
        <f>SUM(Z20*1.1)</f>
        <v>423.94</v>
      </c>
      <c r="AG20" s="1689">
        <f>AB20*1.062</f>
        <v>311.0394096</v>
      </c>
      <c r="AH20" s="1689">
        <v>246.83</v>
      </c>
      <c r="AI20" s="1689">
        <v>966.16</v>
      </c>
      <c r="AJ20" s="1689">
        <v>1025</v>
      </c>
      <c r="AK20" s="1689">
        <v>1025</v>
      </c>
      <c r="AL20" s="4040" t="s">
        <v>2100</v>
      </c>
      <c r="AM20" s="4041"/>
      <c r="AN20" s="4041"/>
      <c r="AT20" s="156">
        <f t="shared" si="7"/>
        <v>1025</v>
      </c>
      <c r="AU20">
        <f>SUM(AT20/AT45)</f>
        <v>4.5173850318077947E-2</v>
      </c>
    </row>
    <row r="21" spans="1:47" ht="38.25" customHeight="1" x14ac:dyDescent="0.2">
      <c r="A21" s="1756" t="s">
        <v>558</v>
      </c>
      <c r="B21" s="2567">
        <v>23.9</v>
      </c>
      <c r="C21" s="2562">
        <v>47.8</v>
      </c>
      <c r="D21" s="2562">
        <f t="shared" si="14"/>
        <v>200</v>
      </c>
      <c r="E21" s="2564">
        <v>34</v>
      </c>
      <c r="F21" s="2564">
        <f t="shared" si="15"/>
        <v>71.129707112970721</v>
      </c>
      <c r="G21" s="2564">
        <v>32.799999999999997</v>
      </c>
      <c r="H21" s="2564">
        <f t="shared" si="4"/>
        <v>96.470588235294102</v>
      </c>
      <c r="I21" s="2564">
        <v>34.700000000000003</v>
      </c>
      <c r="J21" s="2564">
        <v>16.3</v>
      </c>
      <c r="K21" s="2564">
        <v>24.5</v>
      </c>
      <c r="L21" s="2564">
        <v>32.200000000000003</v>
      </c>
      <c r="M21" s="2564">
        <f t="shared" si="5"/>
        <v>98.170731707317088</v>
      </c>
      <c r="N21" s="2564">
        <v>40.6</v>
      </c>
      <c r="O21" s="2564">
        <f t="shared" si="16"/>
        <v>126.08695652173911</v>
      </c>
      <c r="P21" s="2564">
        <v>34.299999999999997</v>
      </c>
      <c r="Q21" s="2564">
        <f t="shared" si="17"/>
        <v>98.8472622478386</v>
      </c>
      <c r="R21" s="2564">
        <f t="shared" si="18"/>
        <v>106.52173913043477</v>
      </c>
      <c r="S21" s="2563">
        <v>25.1</v>
      </c>
      <c r="T21" s="2563">
        <v>33.4</v>
      </c>
      <c r="U21" s="2565">
        <v>40.1</v>
      </c>
      <c r="V21" s="2566">
        <f t="shared" si="6"/>
        <v>1.1690962099125366</v>
      </c>
      <c r="W21" s="2563">
        <f>P21*1.044</f>
        <v>35.809199999999997</v>
      </c>
      <c r="X21" s="2563">
        <v>16.8</v>
      </c>
      <c r="Y21" s="2563">
        <v>25.7</v>
      </c>
      <c r="Z21" s="2563">
        <v>34.1</v>
      </c>
      <c r="AA21" s="2563">
        <v>37.700000000000003</v>
      </c>
      <c r="AB21" s="2563">
        <f>AA21</f>
        <v>37.700000000000003</v>
      </c>
      <c r="AC21" s="2566">
        <f>AB21/W21</f>
        <v>1.0528020732102366</v>
      </c>
      <c r="AD21" s="2563">
        <v>17.399999999999999</v>
      </c>
      <c r="AE21" s="2563">
        <v>25.96</v>
      </c>
      <c r="AF21" s="2563">
        <f>SUM(AA21*1.1)</f>
        <v>41.470000000000006</v>
      </c>
      <c r="AG21" s="1689">
        <f>AD21*2*1.04</f>
        <v>36.192</v>
      </c>
      <c r="AH21" s="1689">
        <v>41.08</v>
      </c>
      <c r="AI21" s="1689">
        <v>38.65</v>
      </c>
      <c r="AJ21" s="1689">
        <v>41</v>
      </c>
      <c r="AK21" s="1689">
        <v>41</v>
      </c>
      <c r="AL21" s="4040" t="s">
        <v>2100</v>
      </c>
      <c r="AM21" s="4041"/>
      <c r="AN21" s="4041"/>
      <c r="AT21" s="156">
        <f t="shared" si="7"/>
        <v>41</v>
      </c>
      <c r="AU21">
        <f>SUM(AT21/AT45)</f>
        <v>1.8069540127231179E-3</v>
      </c>
    </row>
    <row r="22" spans="1:47" ht="28.5" customHeight="1" x14ac:dyDescent="0.2">
      <c r="A22" s="1756" t="s">
        <v>559</v>
      </c>
      <c r="B22" s="2567">
        <v>29.4</v>
      </c>
      <c r="C22" s="2562">
        <v>21.4</v>
      </c>
      <c r="D22" s="2562">
        <f t="shared" si="14"/>
        <v>72.789115646258509</v>
      </c>
      <c r="E22" s="2564">
        <v>19.3</v>
      </c>
      <c r="F22" s="2564">
        <f t="shared" si="15"/>
        <v>90.186915887850475</v>
      </c>
      <c r="G22" s="2564">
        <v>14.8</v>
      </c>
      <c r="H22" s="2564">
        <f t="shared" si="4"/>
        <v>76.683937823834199</v>
      </c>
      <c r="I22" s="2564">
        <v>7.4</v>
      </c>
      <c r="J22" s="2564">
        <v>0</v>
      </c>
      <c r="K22" s="2564">
        <v>0</v>
      </c>
      <c r="L22" s="2564">
        <v>14.8</v>
      </c>
      <c r="M22" s="2564">
        <f t="shared" si="5"/>
        <v>100</v>
      </c>
      <c r="N22" s="2564">
        <v>17.600000000000001</v>
      </c>
      <c r="O22" s="2564"/>
      <c r="P22" s="2564">
        <v>0</v>
      </c>
      <c r="Q22" s="2564">
        <f t="shared" si="17"/>
        <v>0</v>
      </c>
      <c r="R22" s="2564"/>
      <c r="S22" s="2563">
        <v>0</v>
      </c>
      <c r="T22" s="2563">
        <v>16.7</v>
      </c>
      <c r="U22" s="2565">
        <v>17</v>
      </c>
      <c r="V22" s="2566"/>
      <c r="W22" s="2563">
        <f>P22</f>
        <v>0</v>
      </c>
      <c r="X22" s="2563">
        <v>0</v>
      </c>
      <c r="Y22" s="2563">
        <v>0</v>
      </c>
      <c r="Z22" s="2563">
        <v>0</v>
      </c>
      <c r="AA22" s="2563">
        <v>17.5</v>
      </c>
      <c r="AB22" s="2563">
        <f>AA22</f>
        <v>17.5</v>
      </c>
      <c r="AC22" s="2566"/>
      <c r="AD22" s="2563">
        <v>0</v>
      </c>
      <c r="AE22" s="2563">
        <v>0</v>
      </c>
      <c r="AF22" s="2563">
        <f>SUM(AB22)</f>
        <v>17.5</v>
      </c>
      <c r="AG22" s="1689">
        <v>0</v>
      </c>
      <c r="AH22" s="1689">
        <v>0</v>
      </c>
      <c r="AI22" s="1689">
        <v>0</v>
      </c>
      <c r="AJ22" s="1689">
        <v>0</v>
      </c>
      <c r="AK22" s="1689">
        <v>0</v>
      </c>
      <c r="AL22" s="4040"/>
      <c r="AM22" s="4041"/>
      <c r="AN22" s="4041"/>
      <c r="AT22" s="156">
        <f t="shared" si="7"/>
        <v>0</v>
      </c>
      <c r="AU22">
        <f>SUM(AT22/AT45)</f>
        <v>0</v>
      </c>
    </row>
    <row r="23" spans="1:47" ht="27" customHeight="1" x14ac:dyDescent="0.2">
      <c r="A23" s="1681" t="s">
        <v>30</v>
      </c>
      <c r="B23" s="2475">
        <v>596.20000000000005</v>
      </c>
      <c r="C23" s="2561">
        <v>491.2</v>
      </c>
      <c r="D23" s="2562">
        <f t="shared" si="14"/>
        <v>82.388460248238843</v>
      </c>
      <c r="E23" s="2563">
        <v>434.9</v>
      </c>
      <c r="F23" s="2564">
        <f t="shared" si="15"/>
        <v>88.538273615635177</v>
      </c>
      <c r="G23" s="2563">
        <v>447.9</v>
      </c>
      <c r="H23" s="2564">
        <f t="shared" si="4"/>
        <v>102.98919291791215</v>
      </c>
      <c r="I23" s="2564">
        <v>638.6</v>
      </c>
      <c r="J23" s="2563">
        <v>240.8</v>
      </c>
      <c r="K23" s="2563">
        <v>453.7</v>
      </c>
      <c r="L23" s="2564">
        <v>604.6</v>
      </c>
      <c r="M23" s="2564">
        <f t="shared" si="5"/>
        <v>134.98548783210541</v>
      </c>
      <c r="N23" s="2563">
        <v>692.7</v>
      </c>
      <c r="O23" s="2564">
        <f t="shared" si="16"/>
        <v>114.57161759841216</v>
      </c>
      <c r="P23" s="2564">
        <v>634.6</v>
      </c>
      <c r="Q23" s="2564">
        <f t="shared" si="17"/>
        <v>99.373629815220795</v>
      </c>
      <c r="R23" s="2564">
        <f t="shared" si="18"/>
        <v>104.96195831955011</v>
      </c>
      <c r="S23" s="2563">
        <v>521.70000000000005</v>
      </c>
      <c r="T23" s="2563">
        <v>640.4</v>
      </c>
      <c r="U23" s="2565">
        <v>743.4</v>
      </c>
      <c r="V23" s="2566">
        <f t="shared" si="6"/>
        <v>1.1714465805231642</v>
      </c>
      <c r="W23" s="2563">
        <f>P23*1.048</f>
        <v>665.06080000000009</v>
      </c>
      <c r="X23" s="2563">
        <v>580.4</v>
      </c>
      <c r="Y23" s="2563">
        <v>679.7</v>
      </c>
      <c r="Z23" s="2563">
        <v>819.2</v>
      </c>
      <c r="AA23" s="2563">
        <v>748.4</v>
      </c>
      <c r="AB23" s="2563">
        <f>AA23</f>
        <v>748.4</v>
      </c>
      <c r="AC23" s="2566">
        <f>AB23/W23</f>
        <v>1.1253106482895998</v>
      </c>
      <c r="AD23" s="2563">
        <v>235.18</v>
      </c>
      <c r="AE23" s="2563">
        <v>379.87</v>
      </c>
      <c r="AF23" s="2563">
        <f>SUM(Z23*1.1)</f>
        <v>901.12000000000012</v>
      </c>
      <c r="AG23" s="1689">
        <f>AB23*1.062</f>
        <v>794.80079999999998</v>
      </c>
      <c r="AH23" s="1689">
        <v>865.88</v>
      </c>
      <c r="AI23" s="1689">
        <v>805.79</v>
      </c>
      <c r="AJ23" s="1689">
        <v>893.69</v>
      </c>
      <c r="AK23" s="1689">
        <f>AI23*1.027*1.046</f>
        <v>865.61346117999994</v>
      </c>
      <c r="AL23" s="4040" t="s">
        <v>2099</v>
      </c>
      <c r="AM23" s="4041"/>
      <c r="AN23" s="4041"/>
      <c r="AO23">
        <f>AD23*2*1.062</f>
        <v>499.52232000000004</v>
      </c>
      <c r="AT23" s="156">
        <f t="shared" si="7"/>
        <v>865.61346117999994</v>
      </c>
      <c r="AU23">
        <f>SUM(AT23/AT45)</f>
        <v>3.8149358954788964E-2</v>
      </c>
    </row>
    <row r="24" spans="1:47" ht="20.25" customHeight="1" x14ac:dyDescent="0.2">
      <c r="A24" s="1681" t="s">
        <v>291</v>
      </c>
      <c r="B24" s="2475"/>
      <c r="C24" s="2561"/>
      <c r="D24" s="2562"/>
      <c r="E24" s="2563"/>
      <c r="F24" s="2564"/>
      <c r="G24" s="2563"/>
      <c r="H24" s="2564"/>
      <c r="I24" s="2564"/>
      <c r="J24" s="2563"/>
      <c r="K24" s="2563"/>
      <c r="L24" s="2564"/>
      <c r="M24" s="2564"/>
      <c r="N24" s="2563"/>
      <c r="O24" s="2564"/>
      <c r="P24" s="2564"/>
      <c r="Q24" s="2564"/>
      <c r="R24" s="2564"/>
      <c r="S24" s="2563"/>
      <c r="T24" s="2563"/>
      <c r="U24" s="2565"/>
      <c r="V24" s="2566"/>
      <c r="W24" s="2563">
        <f>7.607*3.39</f>
        <v>25.787730000000003</v>
      </c>
      <c r="X24" s="2563">
        <v>0</v>
      </c>
      <c r="Y24" s="2563">
        <v>0</v>
      </c>
      <c r="Z24" s="2563">
        <v>0</v>
      </c>
      <c r="AA24" s="2563">
        <v>27.2</v>
      </c>
      <c r="AB24" s="2563">
        <f>7.607/2*3.39+7.607/2*3.39*1.033</f>
        <v>26.213227545000002</v>
      </c>
      <c r="AC24" s="2566">
        <f>AB24/W24</f>
        <v>1.0165</v>
      </c>
      <c r="AD24" s="2563">
        <v>0</v>
      </c>
      <c r="AE24" s="2563">
        <v>0</v>
      </c>
      <c r="AF24" s="2563">
        <f>SUM(AA24*1.1)</f>
        <v>29.92</v>
      </c>
      <c r="AG24" s="2576">
        <v>27.1</v>
      </c>
      <c r="AH24" s="2576">
        <v>0</v>
      </c>
      <c r="AI24" s="2576">
        <v>0</v>
      </c>
      <c r="AJ24" s="2576">
        <v>48.94</v>
      </c>
      <c r="AK24" s="2576">
        <v>0</v>
      </c>
      <c r="AL24" s="4042" t="s">
        <v>2102</v>
      </c>
      <c r="AM24" s="4043"/>
      <c r="AN24" s="4043"/>
      <c r="AT24" s="156">
        <f t="shared" si="7"/>
        <v>0</v>
      </c>
      <c r="AU24">
        <f>SUM(AT24/AT45)</f>
        <v>0</v>
      </c>
    </row>
    <row r="25" spans="1:47" ht="20.25" customHeight="1" x14ac:dyDescent="0.2">
      <c r="A25" s="1681" t="s">
        <v>84</v>
      </c>
      <c r="B25" s="2475">
        <v>2265.5</v>
      </c>
      <c r="C25" s="2561">
        <v>2370.8000000000002</v>
      </c>
      <c r="D25" s="2562">
        <f t="shared" si="14"/>
        <v>104.64798057823882</v>
      </c>
      <c r="E25" s="2563">
        <v>3361.3</v>
      </c>
      <c r="F25" s="2564">
        <f t="shared" si="15"/>
        <v>141.77914627973681</v>
      </c>
      <c r="G25" s="2563">
        <v>3843.8</v>
      </c>
      <c r="H25" s="2564">
        <f t="shared" si="4"/>
        <v>114.35456519798888</v>
      </c>
      <c r="I25" s="2563">
        <v>2976.4</v>
      </c>
      <c r="J25" s="2563">
        <v>2205.8000000000002</v>
      </c>
      <c r="K25" s="2563">
        <v>2484.8000000000002</v>
      </c>
      <c r="L25" s="2564">
        <v>3864.3</v>
      </c>
      <c r="M25" s="2564">
        <f t="shared" si="5"/>
        <v>100.5333263957542</v>
      </c>
      <c r="N25" s="2563">
        <v>4898</v>
      </c>
      <c r="O25" s="2564">
        <f t="shared" si="16"/>
        <v>126.74999353052299</v>
      </c>
      <c r="P25" s="2564">
        <v>3475.4</v>
      </c>
      <c r="Q25" s="2564">
        <f t="shared" si="17"/>
        <v>116.76521972853111</v>
      </c>
      <c r="R25" s="2564">
        <f t="shared" si="18"/>
        <v>89.936081567166099</v>
      </c>
      <c r="S25" s="2563">
        <v>2996.7</v>
      </c>
      <c r="T25" s="2563">
        <v>0</v>
      </c>
      <c r="U25" s="2565">
        <v>4889.2</v>
      </c>
      <c r="V25" s="2566">
        <f t="shared" si="6"/>
        <v>1.4068020947229094</v>
      </c>
      <c r="W25" s="2563">
        <v>4303.2</v>
      </c>
      <c r="X25" s="2563">
        <v>0</v>
      </c>
      <c r="Y25" s="2563">
        <v>0</v>
      </c>
      <c r="Z25" s="2563">
        <v>0</v>
      </c>
      <c r="AA25" s="2563">
        <v>0</v>
      </c>
      <c r="AB25" s="2563">
        <v>0</v>
      </c>
      <c r="AC25" s="2566"/>
      <c r="AD25" s="2563">
        <v>0</v>
      </c>
      <c r="AE25" s="2563">
        <v>0</v>
      </c>
      <c r="AF25" s="2563">
        <f>SUM(Z25*1.1)</f>
        <v>0</v>
      </c>
      <c r="AG25" s="1689">
        <f>AF25</f>
        <v>0</v>
      </c>
      <c r="AH25" s="1689">
        <v>0</v>
      </c>
      <c r="AI25" s="1689">
        <v>0</v>
      </c>
      <c r="AJ25" s="1689">
        <v>0</v>
      </c>
      <c r="AK25" s="1689">
        <v>0</v>
      </c>
      <c r="AL25" s="4040"/>
      <c r="AM25" s="4041"/>
      <c r="AN25" s="4041"/>
      <c r="AT25" s="156">
        <f t="shared" si="7"/>
        <v>0</v>
      </c>
      <c r="AU25">
        <f>SUM(AT25/AT45)</f>
        <v>0</v>
      </c>
    </row>
    <row r="26" spans="1:47" ht="20.25" customHeight="1" x14ac:dyDescent="0.2">
      <c r="A26" s="1681" t="s">
        <v>848</v>
      </c>
      <c r="B26" s="2475">
        <f>SUM(B27:B40)</f>
        <v>612.30000000000007</v>
      </c>
      <c r="C26" s="2561">
        <f>SUM(C27:C40)</f>
        <v>1059.2000000000003</v>
      </c>
      <c r="D26" s="2562">
        <f t="shared" si="14"/>
        <v>172.98709782786219</v>
      </c>
      <c r="E26" s="2563">
        <f>SUM(E27:E40)</f>
        <v>1540.5</v>
      </c>
      <c r="F26" s="2563">
        <f>SUM(F27:F40)</f>
        <v>7226.5100998898079</v>
      </c>
      <c r="G26" s="2563">
        <f>SUM(G27:G40)</f>
        <v>1630.6000000000001</v>
      </c>
      <c r="H26" s="2564">
        <f t="shared" si="4"/>
        <v>105.84875040571245</v>
      </c>
      <c r="I26" s="2563">
        <f>SUM(I27:I42)</f>
        <v>574.80000000000007</v>
      </c>
      <c r="J26" s="2563">
        <f>SUM(J27:J41)</f>
        <v>833.19999999999993</v>
      </c>
      <c r="K26" s="2563">
        <f>SUM(K27:K42)</f>
        <v>1422.4999999999998</v>
      </c>
      <c r="L26" s="2563">
        <f>SUM(L27:L42)</f>
        <v>2181.3999999999996</v>
      </c>
      <c r="M26" s="2564">
        <f t="shared" si="5"/>
        <v>133.77897706365752</v>
      </c>
      <c r="N26" s="2563">
        <f>SUM(N27:N41)</f>
        <v>1609.2</v>
      </c>
      <c r="O26" s="2564">
        <f t="shared" si="16"/>
        <v>73.769139084991309</v>
      </c>
      <c r="P26" s="2563">
        <f>SUM(P27:P41)</f>
        <v>688.09999999999991</v>
      </c>
      <c r="Q26" s="2564">
        <f t="shared" si="17"/>
        <v>119.71120389700762</v>
      </c>
      <c r="R26" s="2564">
        <f t="shared" si="18"/>
        <v>31.543962592830294</v>
      </c>
      <c r="S26" s="2563">
        <f>SUM(S27:S42)</f>
        <v>1530.4999999999998</v>
      </c>
      <c r="T26" s="2563">
        <f>SUM(T27:T42)</f>
        <v>1994.6</v>
      </c>
      <c r="U26" s="2563">
        <f t="shared" ref="U26:Y26" si="19">SUM(U27:U44)</f>
        <v>1927.9999999999998</v>
      </c>
      <c r="V26" s="2563">
        <f t="shared" si="19"/>
        <v>20.175819892344588</v>
      </c>
      <c r="W26" s="2563">
        <f t="shared" si="19"/>
        <v>717.20720000000006</v>
      </c>
      <c r="X26" s="2563">
        <f t="shared" si="19"/>
        <v>567.9</v>
      </c>
      <c r="Y26" s="2563">
        <f t="shared" si="19"/>
        <v>1099.3100000000002</v>
      </c>
      <c r="Z26" s="2563">
        <f>SUM(Z27:Z44)</f>
        <v>1771.4000000000003</v>
      </c>
      <c r="AA26" s="2563">
        <f t="shared" ref="AA26:AB26" si="20">SUM(AA27:AA44)</f>
        <v>1836.6</v>
      </c>
      <c r="AB26" s="2563">
        <f t="shared" si="20"/>
        <v>884.60680579999996</v>
      </c>
      <c r="AC26" s="2566">
        <f t="shared" ref="AC26:AC35" si="21">AB26/W26</f>
        <v>1.2334048038000733</v>
      </c>
      <c r="AD26" s="2563">
        <f t="shared" ref="AD26:AK26" si="22">SUM(AD27:AD44)</f>
        <v>1469.5699999999997</v>
      </c>
      <c r="AE26" s="2563">
        <f t="shared" si="22"/>
        <v>2026.9600000000003</v>
      </c>
      <c r="AF26" s="2563">
        <f t="shared" si="22"/>
        <v>2123.25</v>
      </c>
      <c r="AG26" s="2563">
        <f>SUM(AG27:AG44)</f>
        <v>1245.10448</v>
      </c>
      <c r="AH26" s="2563">
        <f t="shared" si="22"/>
        <v>2531.66</v>
      </c>
      <c r="AI26" s="2563">
        <f t="shared" si="22"/>
        <v>2092.3800000000006</v>
      </c>
      <c r="AJ26" s="2563">
        <f t="shared" si="22"/>
        <v>2708.1000000000004</v>
      </c>
      <c r="AK26" s="2563">
        <f t="shared" si="22"/>
        <v>1824.8485971790187</v>
      </c>
      <c r="AL26" s="4040"/>
      <c r="AM26" s="4041"/>
      <c r="AN26" s="4041"/>
      <c r="AT26" s="156"/>
      <c r="AU26">
        <f>SUM(AT26/AT45)</f>
        <v>0</v>
      </c>
    </row>
    <row r="27" spans="1:47" ht="45.75" customHeight="1" x14ac:dyDescent="0.2">
      <c r="A27" s="1756" t="s">
        <v>542</v>
      </c>
      <c r="B27" s="2567">
        <v>84.7</v>
      </c>
      <c r="C27" s="2562">
        <v>70.5</v>
      </c>
      <c r="D27" s="2562">
        <f t="shared" ref="D27:D40" si="23">C27/B27*100</f>
        <v>83.234946871310498</v>
      </c>
      <c r="E27" s="2563">
        <v>133.5</v>
      </c>
      <c r="F27" s="2564">
        <f t="shared" ref="F27:F40" si="24">E27/C27*100</f>
        <v>189.36170212765958</v>
      </c>
      <c r="G27" s="2564">
        <v>78.5</v>
      </c>
      <c r="H27" s="2564">
        <f t="shared" si="4"/>
        <v>58.801498127340821</v>
      </c>
      <c r="I27" s="2564">
        <v>117.7</v>
      </c>
      <c r="J27" s="2563">
        <v>78.5</v>
      </c>
      <c r="K27" s="2563">
        <v>491.2</v>
      </c>
      <c r="L27" s="2564">
        <v>491.2</v>
      </c>
      <c r="M27" s="2564">
        <f t="shared" si="5"/>
        <v>625.73248407643302</v>
      </c>
      <c r="N27" s="2564">
        <v>123</v>
      </c>
      <c r="O27" s="2564">
        <f t="shared" ref="O27:O39" si="25">N27/L27*100</f>
        <v>25.04071661237785</v>
      </c>
      <c r="P27" s="2564">
        <v>123</v>
      </c>
      <c r="Q27" s="2564">
        <f t="shared" ref="Q27:Q40" si="26">P27/I27*100</f>
        <v>104.50297366185217</v>
      </c>
      <c r="R27" s="2564">
        <f t="shared" ref="R27:R42" si="27">P27/L27*100</f>
        <v>25.04071661237785</v>
      </c>
      <c r="S27" s="2563">
        <v>192.6</v>
      </c>
      <c r="T27" s="2563">
        <v>192.6</v>
      </c>
      <c r="U27" s="2565">
        <v>240</v>
      </c>
      <c r="V27" s="2566">
        <f t="shared" si="6"/>
        <v>1.9512195121951219</v>
      </c>
      <c r="W27" s="2563">
        <f>P27*1.048</f>
        <v>128.904</v>
      </c>
      <c r="X27" s="2563">
        <v>0</v>
      </c>
      <c r="Y27" s="2563">
        <v>0</v>
      </c>
      <c r="Z27" s="2563">
        <v>242.3</v>
      </c>
      <c r="AA27" s="2563">
        <v>141</v>
      </c>
      <c r="AB27" s="2563">
        <v>141</v>
      </c>
      <c r="AC27" s="2566">
        <f t="shared" si="21"/>
        <v>1.0938372742506051</v>
      </c>
      <c r="AD27" s="2563">
        <v>0</v>
      </c>
      <c r="AE27" s="2563">
        <v>0</v>
      </c>
      <c r="AF27" s="2563">
        <f>SUM(Z27*1.1)</f>
        <v>266.53000000000003</v>
      </c>
      <c r="AG27" s="1689">
        <f>AF27</f>
        <v>266.53000000000003</v>
      </c>
      <c r="AH27" s="1689">
        <v>0</v>
      </c>
      <c r="AI27" s="1689">
        <v>0</v>
      </c>
      <c r="AJ27" s="1689">
        <v>299.69</v>
      </c>
      <c r="AK27" s="1689">
        <f>AG27*0.99*1.037*0.99*1.027*1.046</f>
        <v>291.00293753901855</v>
      </c>
      <c r="AL27" s="4040" t="s">
        <v>2103</v>
      </c>
      <c r="AM27" s="4041"/>
      <c r="AN27" s="4041"/>
      <c r="AT27" s="156">
        <f t="shared" si="7"/>
        <v>291.00293753901855</v>
      </c>
      <c r="AU27">
        <f>SUM(AT27/AT45)</f>
        <v>1.2825095748788887E-2</v>
      </c>
    </row>
    <row r="28" spans="1:47" ht="20.25" customHeight="1" x14ac:dyDescent="0.2">
      <c r="A28" s="1756" t="s">
        <v>543</v>
      </c>
      <c r="B28" s="2567">
        <v>131.6</v>
      </c>
      <c r="C28" s="2562">
        <v>171.2</v>
      </c>
      <c r="D28" s="2562">
        <f t="shared" si="23"/>
        <v>130.09118541033436</v>
      </c>
      <c r="E28" s="2564">
        <v>112.7</v>
      </c>
      <c r="F28" s="2564">
        <f t="shared" si="24"/>
        <v>65.829439252336456</v>
      </c>
      <c r="G28" s="2564">
        <v>319</v>
      </c>
      <c r="H28" s="2564">
        <f t="shared" si="4"/>
        <v>283.05235137533271</v>
      </c>
      <c r="I28" s="2564">
        <v>102.5</v>
      </c>
      <c r="J28" s="2564">
        <v>56.8</v>
      </c>
      <c r="K28" s="2564">
        <v>159.5</v>
      </c>
      <c r="L28" s="2564">
        <v>193.1</v>
      </c>
      <c r="M28" s="2564">
        <f t="shared" si="5"/>
        <v>60.532915360501562</v>
      </c>
      <c r="N28" s="2564">
        <v>245.6</v>
      </c>
      <c r="O28" s="2564">
        <f t="shared" si="25"/>
        <v>127.18798549974106</v>
      </c>
      <c r="P28" s="2564">
        <v>223.1</v>
      </c>
      <c r="Q28" s="2564">
        <f t="shared" si="26"/>
        <v>217.65853658536588</v>
      </c>
      <c r="R28" s="2564">
        <f t="shared" si="27"/>
        <v>115.53599171413775</v>
      </c>
      <c r="S28" s="2563">
        <v>280</v>
      </c>
      <c r="T28" s="2563">
        <v>321.39999999999998</v>
      </c>
      <c r="U28" s="2565">
        <v>260.8</v>
      </c>
      <c r="V28" s="2566">
        <f t="shared" si="6"/>
        <v>1.1689825190497536</v>
      </c>
      <c r="W28" s="2563">
        <f t="shared" ref="W28:W42" si="28">P28*1.048</f>
        <v>233.80879999999999</v>
      </c>
      <c r="X28" s="2563">
        <v>4.9000000000000004</v>
      </c>
      <c r="Y28" s="2563">
        <v>142.5</v>
      </c>
      <c r="Z28" s="2563">
        <v>203.7</v>
      </c>
      <c r="AA28" s="2563">
        <v>273.2</v>
      </c>
      <c r="AB28" s="2563">
        <v>273.2</v>
      </c>
      <c r="AC28" s="2566">
        <f t="shared" si="21"/>
        <v>1.1684761223700733</v>
      </c>
      <c r="AD28" s="2563">
        <v>65.5</v>
      </c>
      <c r="AE28" s="2563">
        <v>229.74</v>
      </c>
      <c r="AF28" s="2563">
        <f>SUM(AB28*1.1)</f>
        <v>300.52000000000004</v>
      </c>
      <c r="AG28" s="1689">
        <f>AF28</f>
        <v>300.52000000000004</v>
      </c>
      <c r="AH28" s="1689">
        <v>404.68</v>
      </c>
      <c r="AI28" s="1689">
        <v>453.94</v>
      </c>
      <c r="AJ28" s="1689">
        <v>481.58</v>
      </c>
      <c r="AK28" s="1689">
        <f>AJ28</f>
        <v>481.58</v>
      </c>
      <c r="AL28" s="4040" t="s">
        <v>2100</v>
      </c>
      <c r="AM28" s="4041"/>
      <c r="AN28" s="4041"/>
      <c r="AT28" s="156">
        <f t="shared" si="7"/>
        <v>481.58</v>
      </c>
      <c r="AU28">
        <f>SUM(AT28/AT45)</f>
        <v>2.1224217401151196E-2</v>
      </c>
    </row>
    <row r="29" spans="1:47" ht="37.5" customHeight="1" x14ac:dyDescent="0.2">
      <c r="A29" s="1756" t="s">
        <v>544</v>
      </c>
      <c r="B29" s="2567">
        <v>2</v>
      </c>
      <c r="C29" s="2562">
        <v>5</v>
      </c>
      <c r="D29" s="2562">
        <f t="shared" si="23"/>
        <v>250</v>
      </c>
      <c r="E29" s="2564">
        <v>7.5</v>
      </c>
      <c r="F29" s="2564">
        <f t="shared" si="24"/>
        <v>150</v>
      </c>
      <c r="G29" s="2564">
        <v>13.9</v>
      </c>
      <c r="H29" s="2564">
        <f t="shared" si="4"/>
        <v>185.33333333333331</v>
      </c>
      <c r="I29" s="2564">
        <v>6</v>
      </c>
      <c r="J29" s="2564">
        <v>2.9</v>
      </c>
      <c r="K29" s="2564"/>
      <c r="L29" s="2564">
        <v>19.399999999999999</v>
      </c>
      <c r="M29" s="2564">
        <f t="shared" si="5"/>
        <v>139.56834532374097</v>
      </c>
      <c r="N29" s="2564">
        <v>14.6</v>
      </c>
      <c r="O29" s="2564"/>
      <c r="P29" s="2564">
        <v>6.3</v>
      </c>
      <c r="Q29" s="2564">
        <f t="shared" si="26"/>
        <v>105</v>
      </c>
      <c r="R29" s="2564"/>
      <c r="S29" s="2563">
        <v>2.5</v>
      </c>
      <c r="T29" s="2563">
        <v>21</v>
      </c>
      <c r="U29" s="2565">
        <v>21</v>
      </c>
      <c r="V29" s="2566">
        <f t="shared" si="6"/>
        <v>3.3333333333333335</v>
      </c>
      <c r="W29" s="2563">
        <f>P29</f>
        <v>6.3</v>
      </c>
      <c r="X29" s="2563">
        <v>2.6</v>
      </c>
      <c r="Y29" s="2563">
        <v>4.91</v>
      </c>
      <c r="Z29" s="2563">
        <v>15.6</v>
      </c>
      <c r="AA29" s="2563">
        <v>6.8</v>
      </c>
      <c r="AB29" s="2563">
        <v>6.8</v>
      </c>
      <c r="AC29" s="2566">
        <f t="shared" si="21"/>
        <v>1.0793650793650793</v>
      </c>
      <c r="AD29" s="2563">
        <v>1.86</v>
      </c>
      <c r="AE29" s="2563">
        <v>12.54</v>
      </c>
      <c r="AF29" s="2563">
        <f>SUM(Z29*1.1)</f>
        <v>17.16</v>
      </c>
      <c r="AG29" s="1689">
        <f>AF29</f>
        <v>17.16</v>
      </c>
      <c r="AH29" s="1689">
        <v>18.12</v>
      </c>
      <c r="AI29" s="1689">
        <v>16.98</v>
      </c>
      <c r="AJ29" s="1689">
        <v>19.3</v>
      </c>
      <c r="AK29" s="1689">
        <f>AI29*1.027*1.046</f>
        <v>18.240629160000001</v>
      </c>
      <c r="AL29" s="4040" t="s">
        <v>2099</v>
      </c>
      <c r="AM29" s="4041"/>
      <c r="AN29" s="4041"/>
      <c r="AT29" s="156">
        <f t="shared" si="7"/>
        <v>18.240629160000001</v>
      </c>
      <c r="AU29">
        <f>SUM(AT29/AT45)</f>
        <v>8.0390190378673944E-4</v>
      </c>
    </row>
    <row r="30" spans="1:47" ht="43.5" customHeight="1" x14ac:dyDescent="0.2">
      <c r="A30" s="1756" t="s">
        <v>545</v>
      </c>
      <c r="B30" s="2567">
        <v>74.7</v>
      </c>
      <c r="C30" s="2567">
        <v>67.5</v>
      </c>
      <c r="D30" s="2562">
        <f t="shared" si="23"/>
        <v>90.361445783132524</v>
      </c>
      <c r="E30" s="2564">
        <v>69.599999999999994</v>
      </c>
      <c r="F30" s="2564">
        <f t="shared" si="24"/>
        <v>103.11111111111111</v>
      </c>
      <c r="G30" s="2564">
        <v>69.599999999999994</v>
      </c>
      <c r="H30" s="2564">
        <f t="shared" si="4"/>
        <v>100</v>
      </c>
      <c r="I30" s="2564">
        <v>66.5</v>
      </c>
      <c r="J30" s="2564">
        <v>34.799999999999997</v>
      </c>
      <c r="K30" s="2564">
        <v>50.1</v>
      </c>
      <c r="L30" s="2564">
        <v>69.400000000000006</v>
      </c>
      <c r="M30" s="2564">
        <f t="shared" si="5"/>
        <v>99.712643678160944</v>
      </c>
      <c r="N30" s="2564">
        <v>73.900000000000006</v>
      </c>
      <c r="O30" s="2564">
        <f t="shared" si="25"/>
        <v>106.48414985590777</v>
      </c>
      <c r="P30" s="2564">
        <v>70.099999999999994</v>
      </c>
      <c r="Q30" s="2564">
        <f t="shared" si="26"/>
        <v>105.41353383458645</v>
      </c>
      <c r="R30" s="2564">
        <f t="shared" si="27"/>
        <v>101.00864553314119</v>
      </c>
      <c r="S30" s="2563">
        <v>16.7</v>
      </c>
      <c r="T30" s="2563">
        <v>81.900000000000006</v>
      </c>
      <c r="U30" s="2565">
        <v>82.3</v>
      </c>
      <c r="V30" s="2566">
        <f t="shared" si="6"/>
        <v>1.1740370898716119</v>
      </c>
      <c r="W30" s="2563">
        <f>P30</f>
        <v>70.099999999999994</v>
      </c>
      <c r="X30" s="2563">
        <v>37.799999999999997</v>
      </c>
      <c r="Y30" s="2563">
        <v>56.7</v>
      </c>
      <c r="Z30" s="2563">
        <v>75.599999999999994</v>
      </c>
      <c r="AA30" s="2563">
        <v>84.2</v>
      </c>
      <c r="AB30" s="2563">
        <f>AA30</f>
        <v>84.2</v>
      </c>
      <c r="AC30" s="2566">
        <f t="shared" si="21"/>
        <v>1.2011412268188304</v>
      </c>
      <c r="AD30" s="2563">
        <v>41.55</v>
      </c>
      <c r="AE30" s="2563">
        <v>62.34</v>
      </c>
      <c r="AF30" s="2563">
        <f>SUM(AB30*1.1)</f>
        <v>92.62</v>
      </c>
      <c r="AG30" s="1689">
        <f>AE30/3*4*1.062</f>
        <v>88.273440000000008</v>
      </c>
      <c r="AH30" s="1689">
        <v>83.16</v>
      </c>
      <c r="AI30" s="1689">
        <v>83.16</v>
      </c>
      <c r="AJ30" s="1689">
        <v>90.91</v>
      </c>
      <c r="AK30" s="1689">
        <f>AI30*1.027*1.046</f>
        <v>89.333964719999997</v>
      </c>
      <c r="AL30" s="4040" t="s">
        <v>2099</v>
      </c>
      <c r="AM30" s="4041"/>
      <c r="AN30" s="4041"/>
      <c r="AT30" s="156">
        <f t="shared" si="7"/>
        <v>89.333964719999997</v>
      </c>
      <c r="AU30">
        <f>SUM(AT30/AT45)</f>
        <v>3.9371308786163278E-3</v>
      </c>
    </row>
    <row r="31" spans="1:47" ht="20.25" customHeight="1" x14ac:dyDescent="0.2">
      <c r="A31" s="1756" t="s">
        <v>546</v>
      </c>
      <c r="B31" s="2567">
        <v>17</v>
      </c>
      <c r="C31" s="2562">
        <v>50.1</v>
      </c>
      <c r="D31" s="2562">
        <f t="shared" si="23"/>
        <v>294.70588235294122</v>
      </c>
      <c r="E31" s="2564">
        <v>33</v>
      </c>
      <c r="F31" s="2564">
        <f t="shared" si="24"/>
        <v>65.868263473053887</v>
      </c>
      <c r="G31" s="2564">
        <v>29.6</v>
      </c>
      <c r="H31" s="2564">
        <f t="shared" si="4"/>
        <v>89.696969696969703</v>
      </c>
      <c r="I31" s="2564">
        <v>35.6</v>
      </c>
      <c r="J31" s="2564">
        <v>6.2</v>
      </c>
      <c r="K31" s="2564">
        <v>13.7</v>
      </c>
      <c r="L31" s="2564">
        <v>13.7</v>
      </c>
      <c r="M31" s="2564">
        <f t="shared" si="5"/>
        <v>46.283783783783775</v>
      </c>
      <c r="N31" s="2564">
        <v>37.200000000000003</v>
      </c>
      <c r="O31" s="2564">
        <f t="shared" si="25"/>
        <v>271.5328467153285</v>
      </c>
      <c r="P31" s="2564">
        <v>19.2</v>
      </c>
      <c r="Q31" s="2564">
        <f t="shared" si="26"/>
        <v>53.932584269662918</v>
      </c>
      <c r="R31" s="2564">
        <f t="shared" si="27"/>
        <v>140.14598540145985</v>
      </c>
      <c r="S31" s="2563">
        <v>23.2</v>
      </c>
      <c r="T31" s="2563">
        <v>23.3</v>
      </c>
      <c r="U31" s="2565">
        <v>20.2</v>
      </c>
      <c r="V31" s="2566">
        <f t="shared" si="6"/>
        <v>1.0520833333333333</v>
      </c>
      <c r="W31" s="2563">
        <f t="shared" si="28"/>
        <v>20.121600000000001</v>
      </c>
      <c r="X31" s="2563">
        <v>37.799999999999997</v>
      </c>
      <c r="Y31" s="2563">
        <v>47</v>
      </c>
      <c r="Z31" s="2563">
        <v>47.2</v>
      </c>
      <c r="AA31" s="2563">
        <v>21.6</v>
      </c>
      <c r="AB31" s="2563">
        <f>AA31</f>
        <v>21.6</v>
      </c>
      <c r="AC31" s="2566">
        <f t="shared" si="21"/>
        <v>1.0734732824427482</v>
      </c>
      <c r="AD31" s="2563">
        <v>39.18</v>
      </c>
      <c r="AE31" s="2563">
        <v>91.2</v>
      </c>
      <c r="AF31" s="2563">
        <f>SUM(Z31*1.1)</f>
        <v>51.920000000000009</v>
      </c>
      <c r="AG31" s="1689">
        <f>AF31</f>
        <v>51.920000000000009</v>
      </c>
      <c r="AH31" s="1689">
        <v>249.52</v>
      </c>
      <c r="AI31" s="1689">
        <v>151.34</v>
      </c>
      <c r="AJ31" s="1689">
        <v>160.56</v>
      </c>
      <c r="AK31" s="1689">
        <v>160.56</v>
      </c>
      <c r="AL31" s="4044" t="s">
        <v>2100</v>
      </c>
      <c r="AM31" s="4045"/>
      <c r="AN31" s="4045"/>
      <c r="AT31" s="156">
        <f t="shared" si="7"/>
        <v>160.56</v>
      </c>
      <c r="AU31">
        <f>SUM(AT31/AT45)</f>
        <v>7.076208202020093E-3</v>
      </c>
    </row>
    <row r="32" spans="1:47" ht="20.25" customHeight="1" x14ac:dyDescent="0.2">
      <c r="A32" s="1756" t="s">
        <v>547</v>
      </c>
      <c r="B32" s="2567">
        <v>3.9</v>
      </c>
      <c r="C32" s="2562">
        <v>6.4</v>
      </c>
      <c r="D32" s="2562">
        <f t="shared" si="23"/>
        <v>164.10256410256412</v>
      </c>
      <c r="E32" s="2564">
        <v>7.3</v>
      </c>
      <c r="F32" s="2564">
        <f t="shared" si="24"/>
        <v>114.0625</v>
      </c>
      <c r="G32" s="2564">
        <v>6.3</v>
      </c>
      <c r="H32" s="2564">
        <f t="shared" si="4"/>
        <v>86.301369863013704</v>
      </c>
      <c r="I32" s="2564">
        <v>6</v>
      </c>
      <c r="J32" s="2564">
        <v>3.6</v>
      </c>
      <c r="K32" s="2564">
        <v>3.8</v>
      </c>
      <c r="L32" s="2564">
        <v>5.5</v>
      </c>
      <c r="M32" s="2564">
        <f t="shared" si="5"/>
        <v>87.301587301587304</v>
      </c>
      <c r="N32" s="2564">
        <v>6.8</v>
      </c>
      <c r="O32" s="2564">
        <f t="shared" si="25"/>
        <v>123.63636363636363</v>
      </c>
      <c r="P32" s="2564">
        <v>5.3</v>
      </c>
      <c r="Q32" s="2564">
        <f t="shared" si="26"/>
        <v>88.333333333333329</v>
      </c>
      <c r="R32" s="2564">
        <f t="shared" si="27"/>
        <v>96.36363636363636</v>
      </c>
      <c r="S32" s="2563">
        <v>4.2</v>
      </c>
      <c r="T32" s="2563">
        <v>4.2</v>
      </c>
      <c r="U32" s="2565">
        <v>5.7</v>
      </c>
      <c r="V32" s="2566">
        <f t="shared" si="6"/>
        <v>1.0754716981132075</v>
      </c>
      <c r="W32" s="2563">
        <f>P32</f>
        <v>5.3</v>
      </c>
      <c r="X32" s="2563">
        <v>0</v>
      </c>
      <c r="Y32" s="2563">
        <v>0</v>
      </c>
      <c r="Z32" s="2563"/>
      <c r="AA32" s="2563">
        <v>6</v>
      </c>
      <c r="AB32" s="2563">
        <f>AA32</f>
        <v>6</v>
      </c>
      <c r="AC32" s="2566">
        <f t="shared" si="21"/>
        <v>1.1320754716981132</v>
      </c>
      <c r="AD32" s="2563">
        <v>0.7</v>
      </c>
      <c r="AE32" s="2563">
        <v>0.7</v>
      </c>
      <c r="AF32" s="2563">
        <f>SUM(AB32)</f>
        <v>6</v>
      </c>
      <c r="AG32" s="1689"/>
      <c r="AH32" s="1689">
        <v>0</v>
      </c>
      <c r="AI32" s="1689">
        <v>0</v>
      </c>
      <c r="AJ32" s="1689">
        <v>0</v>
      </c>
      <c r="AK32" s="1689">
        <v>0</v>
      </c>
      <c r="AL32" s="4040"/>
      <c r="AM32" s="4041"/>
      <c r="AN32" s="4041"/>
      <c r="AT32" s="156">
        <f t="shared" si="7"/>
        <v>0</v>
      </c>
      <c r="AU32">
        <f>SUM(AT32/AT45)</f>
        <v>0</v>
      </c>
    </row>
    <row r="33" spans="1:47" ht="35.25" customHeight="1" x14ac:dyDescent="0.2">
      <c r="A33" s="1756" t="s">
        <v>548</v>
      </c>
      <c r="B33" s="2567">
        <v>12.6</v>
      </c>
      <c r="C33" s="2567">
        <v>3.3</v>
      </c>
      <c r="D33" s="2562">
        <f t="shared" si="23"/>
        <v>26.190476190476193</v>
      </c>
      <c r="E33" s="2564">
        <v>197.5</v>
      </c>
      <c r="F33" s="2564">
        <f t="shared" si="24"/>
        <v>5984.848484848485</v>
      </c>
      <c r="G33" s="2564">
        <v>73.2</v>
      </c>
      <c r="H33" s="2564">
        <f t="shared" si="4"/>
        <v>37.063291139240505</v>
      </c>
      <c r="I33" s="2564">
        <v>3.6</v>
      </c>
      <c r="J33" s="2564">
        <v>46.2</v>
      </c>
      <c r="K33" s="2564">
        <v>40.5</v>
      </c>
      <c r="L33" s="2564">
        <v>98.8</v>
      </c>
      <c r="M33" s="2564">
        <f t="shared" si="5"/>
        <v>134.9726775956284</v>
      </c>
      <c r="N33" s="2564">
        <v>77.3</v>
      </c>
      <c r="O33" s="2564">
        <f t="shared" si="25"/>
        <v>78.238866396761125</v>
      </c>
      <c r="P33" s="2564">
        <v>56.6</v>
      </c>
      <c r="Q33" s="2564">
        <f t="shared" si="26"/>
        <v>1572.2222222222222</v>
      </c>
      <c r="R33" s="2564">
        <f t="shared" si="27"/>
        <v>57.287449392712553</v>
      </c>
      <c r="S33" s="2563">
        <v>71.400000000000006</v>
      </c>
      <c r="T33" s="2563">
        <v>147.19999999999999</v>
      </c>
      <c r="U33" s="2565">
        <v>104</v>
      </c>
      <c r="V33" s="2566">
        <f t="shared" si="6"/>
        <v>1.8374558303886925</v>
      </c>
      <c r="W33" s="2563">
        <f t="shared" si="28"/>
        <v>59.316800000000001</v>
      </c>
      <c r="X33" s="2563">
        <v>57.1</v>
      </c>
      <c r="Y33" s="2563">
        <v>75.400000000000006</v>
      </c>
      <c r="Z33" s="2563">
        <v>120.8</v>
      </c>
      <c r="AA33" s="2563">
        <v>60.6</v>
      </c>
      <c r="AB33" s="2563">
        <f>AA33</f>
        <v>60.6</v>
      </c>
      <c r="AC33" s="2566">
        <f t="shared" si="21"/>
        <v>1.021632994362474</v>
      </c>
      <c r="AD33" s="2563">
        <v>777.98</v>
      </c>
      <c r="AE33" s="2563">
        <v>815.25</v>
      </c>
      <c r="AF33" s="2563">
        <f t="shared" ref="AF33:AF39" si="29">SUM(Z33*1.1)</f>
        <v>132.88</v>
      </c>
      <c r="AG33" s="1689">
        <f>AF33</f>
        <v>132.88</v>
      </c>
      <c r="AH33" s="1689">
        <v>386.79</v>
      </c>
      <c r="AI33" s="1689">
        <v>59.09</v>
      </c>
      <c r="AJ33" s="1689">
        <v>149.41</v>
      </c>
      <c r="AK33" s="1689">
        <f>AI33*1.027*1.046</f>
        <v>63.476959780000001</v>
      </c>
      <c r="AL33" s="4040" t="s">
        <v>2099</v>
      </c>
      <c r="AM33" s="4041"/>
      <c r="AN33" s="4041"/>
      <c r="AT33" s="156">
        <f t="shared" si="7"/>
        <v>63.476959780000001</v>
      </c>
      <c r="AU33">
        <f>SUM(AT33/AT45)</f>
        <v>2.7975596875593894E-3</v>
      </c>
    </row>
    <row r="34" spans="1:47" ht="38.25" customHeight="1" x14ac:dyDescent="0.2">
      <c r="A34" s="1756" t="s">
        <v>549</v>
      </c>
      <c r="B34" s="2567">
        <v>135.5</v>
      </c>
      <c r="C34" s="2567">
        <v>181.6</v>
      </c>
      <c r="D34" s="2562">
        <f t="shared" si="23"/>
        <v>134.02214022140222</v>
      </c>
      <c r="E34" s="2564">
        <v>362.1</v>
      </c>
      <c r="F34" s="2564">
        <f t="shared" si="24"/>
        <v>199.39427312775334</v>
      </c>
      <c r="G34" s="2564">
        <v>395.9</v>
      </c>
      <c r="H34" s="2564">
        <f t="shared" si="4"/>
        <v>109.33443800055231</v>
      </c>
      <c r="I34" s="2564">
        <v>133.5</v>
      </c>
      <c r="J34" s="2564">
        <v>256.10000000000002</v>
      </c>
      <c r="K34" s="2564">
        <v>77.099999999999994</v>
      </c>
      <c r="L34" s="2564">
        <v>109.7</v>
      </c>
      <c r="M34" s="2564">
        <f t="shared" si="5"/>
        <v>27.709017428643602</v>
      </c>
      <c r="N34" s="2564">
        <v>139.5</v>
      </c>
      <c r="O34" s="2564">
        <f t="shared" si="25"/>
        <v>127.16499544211486</v>
      </c>
      <c r="P34" s="2564">
        <v>107.8</v>
      </c>
      <c r="Q34" s="2564">
        <f t="shared" si="26"/>
        <v>80.749063670411985</v>
      </c>
      <c r="R34" s="2564">
        <f t="shared" si="27"/>
        <v>98.268003646308117</v>
      </c>
      <c r="S34" s="2563">
        <v>214</v>
      </c>
      <c r="T34" s="2563">
        <v>253.7</v>
      </c>
      <c r="U34" s="2565">
        <v>176.8</v>
      </c>
      <c r="V34" s="2566">
        <f t="shared" si="6"/>
        <v>1.6400742115027831</v>
      </c>
      <c r="W34" s="2563">
        <f t="shared" si="28"/>
        <v>112.9744</v>
      </c>
      <c r="X34" s="2563">
        <v>7.9</v>
      </c>
      <c r="Y34" s="2563">
        <v>20.100000000000001</v>
      </c>
      <c r="Z34" s="2563">
        <v>43.2</v>
      </c>
      <c r="AA34" s="2563">
        <v>178</v>
      </c>
      <c r="AB34" s="2563">
        <v>28.16</v>
      </c>
      <c r="AC34" s="2566">
        <f t="shared" si="21"/>
        <v>0.24926000934725034</v>
      </c>
      <c r="AD34" s="2563">
        <v>59.79</v>
      </c>
      <c r="AE34" s="2563">
        <v>117.23</v>
      </c>
      <c r="AF34" s="2563">
        <f t="shared" si="29"/>
        <v>47.52000000000001</v>
      </c>
      <c r="AG34" s="1689">
        <f>AF34</f>
        <v>47.52000000000001</v>
      </c>
      <c r="AH34" s="1689">
        <v>122.83</v>
      </c>
      <c r="AI34" s="1689">
        <v>51.35</v>
      </c>
      <c r="AJ34" s="1689">
        <v>54.48</v>
      </c>
      <c r="AK34" s="1689">
        <v>54.48</v>
      </c>
      <c r="AL34" s="4044" t="s">
        <v>2100</v>
      </c>
      <c r="AM34" s="4045"/>
      <c r="AN34" s="4045"/>
      <c r="AT34" s="156">
        <f t="shared" si="7"/>
        <v>54.48</v>
      </c>
      <c r="AU34">
        <f>SUM(AT34/AT45)</f>
        <v>2.4010452344672062E-3</v>
      </c>
    </row>
    <row r="35" spans="1:47" ht="38.25" customHeight="1" x14ac:dyDescent="0.2">
      <c r="A35" s="1756" t="s">
        <v>550</v>
      </c>
      <c r="B35" s="2567">
        <v>46.1</v>
      </c>
      <c r="C35" s="2562">
        <v>102.2</v>
      </c>
      <c r="D35" s="2562">
        <f t="shared" si="23"/>
        <v>221.69197396963125</v>
      </c>
      <c r="E35" s="2564">
        <v>50.2</v>
      </c>
      <c r="F35" s="2564">
        <f t="shared" si="24"/>
        <v>49.119373776908027</v>
      </c>
      <c r="G35" s="2564">
        <v>38.799999999999997</v>
      </c>
      <c r="H35" s="2564">
        <f t="shared" si="4"/>
        <v>77.290836653386435</v>
      </c>
      <c r="I35" s="2564">
        <v>56.8</v>
      </c>
      <c r="J35" s="2564">
        <v>23.8</v>
      </c>
      <c r="K35" s="2564">
        <v>39.299999999999997</v>
      </c>
      <c r="L35" s="2564">
        <v>30.8</v>
      </c>
      <c r="M35" s="2564">
        <f t="shared" si="5"/>
        <v>79.381443298969074</v>
      </c>
      <c r="N35" s="2564">
        <v>59.4</v>
      </c>
      <c r="O35" s="2564">
        <f t="shared" si="25"/>
        <v>192.85714285714283</v>
      </c>
      <c r="P35" s="2564">
        <v>55</v>
      </c>
      <c r="Q35" s="2564">
        <f t="shared" si="26"/>
        <v>96.83098591549296</v>
      </c>
      <c r="R35" s="2564">
        <f t="shared" si="27"/>
        <v>178.57142857142856</v>
      </c>
      <c r="S35" s="2563">
        <v>18.2</v>
      </c>
      <c r="T35" s="2563">
        <v>13.8</v>
      </c>
      <c r="U35" s="2565">
        <v>59.6</v>
      </c>
      <c r="V35" s="2566">
        <f t="shared" si="6"/>
        <v>1.0836363636363637</v>
      </c>
      <c r="W35" s="2563">
        <f t="shared" si="28"/>
        <v>57.64</v>
      </c>
      <c r="X35" s="2563">
        <v>3.8</v>
      </c>
      <c r="Y35" s="2563">
        <v>3.8</v>
      </c>
      <c r="Z35" s="2563">
        <v>44.6</v>
      </c>
      <c r="AA35" s="2563">
        <v>65.599999999999994</v>
      </c>
      <c r="AB35" s="2563">
        <f>13.8*1.077*1.049</f>
        <v>15.590867399999999</v>
      </c>
      <c r="AC35" s="2566">
        <f t="shared" si="21"/>
        <v>0.27048694309507282</v>
      </c>
      <c r="AD35" s="2563">
        <v>26.9</v>
      </c>
      <c r="AE35" s="2563">
        <v>26.9</v>
      </c>
      <c r="AF35" s="2563">
        <f t="shared" si="29"/>
        <v>49.06</v>
      </c>
      <c r="AG35" s="1689">
        <f>AF35</f>
        <v>49.06</v>
      </c>
      <c r="AH35" s="1689">
        <v>145.01</v>
      </c>
      <c r="AI35" s="1689">
        <v>58.6</v>
      </c>
      <c r="AJ35" s="1689">
        <v>62.17</v>
      </c>
      <c r="AK35" s="1689">
        <v>62.17</v>
      </c>
      <c r="AL35" s="4040" t="s">
        <v>2100</v>
      </c>
      <c r="AM35" s="4041"/>
      <c r="AN35" s="4041"/>
      <c r="AT35" s="156">
        <f t="shared" si="7"/>
        <v>62.17</v>
      </c>
      <c r="AU35">
        <f>SUM(AT35/AT45)</f>
        <v>2.7399592919755181E-3</v>
      </c>
    </row>
    <row r="36" spans="1:47" ht="20.25" customHeight="1" x14ac:dyDescent="0.2">
      <c r="A36" s="1675" t="s">
        <v>563</v>
      </c>
      <c r="B36" s="2567">
        <v>21.5</v>
      </c>
      <c r="C36" s="2562">
        <v>304.3</v>
      </c>
      <c r="D36" s="2562">
        <f t="shared" si="23"/>
        <v>1415.3488372093025</v>
      </c>
      <c r="E36" s="2564">
        <v>523.9</v>
      </c>
      <c r="F36" s="2564">
        <f t="shared" si="24"/>
        <v>172.16562602694708</v>
      </c>
      <c r="G36" s="2564">
        <v>556</v>
      </c>
      <c r="H36" s="2564">
        <f t="shared" si="4"/>
        <v>106.12712349685054</v>
      </c>
      <c r="I36" s="2564">
        <v>0</v>
      </c>
      <c r="J36" s="2564">
        <v>275.10000000000002</v>
      </c>
      <c r="K36" s="2564">
        <v>473.8</v>
      </c>
      <c r="L36" s="2564">
        <v>672.1</v>
      </c>
      <c r="M36" s="2564">
        <f t="shared" si="5"/>
        <v>120.88129496402877</v>
      </c>
      <c r="N36" s="2564">
        <v>715</v>
      </c>
      <c r="O36" s="2564">
        <f t="shared" si="25"/>
        <v>106.38297872340425</v>
      </c>
      <c r="P36" s="2564">
        <v>0</v>
      </c>
      <c r="Q36" s="2564"/>
      <c r="R36" s="2564">
        <f t="shared" si="27"/>
        <v>0</v>
      </c>
      <c r="S36" s="2563">
        <v>540.79999999999995</v>
      </c>
      <c r="T36" s="2563">
        <v>706</v>
      </c>
      <c r="U36" s="2565">
        <v>741.3</v>
      </c>
      <c r="V36" s="2566"/>
      <c r="W36" s="2563">
        <f t="shared" si="28"/>
        <v>0</v>
      </c>
      <c r="X36" s="2563">
        <v>313.60000000000002</v>
      </c>
      <c r="Y36" s="2563">
        <v>497.5</v>
      </c>
      <c r="Z36" s="2563">
        <v>652.29999999999995</v>
      </c>
      <c r="AA36" s="2563">
        <v>735</v>
      </c>
      <c r="AB36" s="2563">
        <v>0</v>
      </c>
      <c r="AC36" s="2566"/>
      <c r="AD36" s="2563">
        <v>306.45999999999998</v>
      </c>
      <c r="AE36" s="2563">
        <v>459.06</v>
      </c>
      <c r="AF36" s="2563">
        <f t="shared" si="29"/>
        <v>717.53</v>
      </c>
      <c r="AG36" s="1689">
        <v>0</v>
      </c>
      <c r="AH36" s="1689">
        <v>632.22</v>
      </c>
      <c r="AI36" s="1689">
        <v>579.72</v>
      </c>
      <c r="AJ36" s="1689">
        <v>615.02</v>
      </c>
      <c r="AK36" s="1689">
        <v>0</v>
      </c>
      <c r="AL36" s="4044" t="s">
        <v>2104</v>
      </c>
      <c r="AM36" s="4045"/>
      <c r="AN36" s="4045"/>
      <c r="AT36" s="156">
        <f t="shared" si="7"/>
        <v>0</v>
      </c>
      <c r="AU36">
        <f>SUM(AT36/AT45)</f>
        <v>0</v>
      </c>
    </row>
    <row r="37" spans="1:47" ht="20.25" customHeight="1" x14ac:dyDescent="0.2">
      <c r="A37" s="1675" t="s">
        <v>578</v>
      </c>
      <c r="B37" s="2567"/>
      <c r="C37" s="2562"/>
      <c r="D37" s="2562"/>
      <c r="E37" s="2564"/>
      <c r="F37" s="2564"/>
      <c r="G37" s="2564"/>
      <c r="H37" s="2564"/>
      <c r="I37" s="2564"/>
      <c r="J37" s="2564"/>
      <c r="K37" s="2564"/>
      <c r="L37" s="2564"/>
      <c r="M37" s="2564"/>
      <c r="N37" s="2564"/>
      <c r="O37" s="2564"/>
      <c r="P37" s="2564"/>
      <c r="Q37" s="2564"/>
      <c r="R37" s="2564"/>
      <c r="S37" s="2563"/>
      <c r="T37" s="2563"/>
      <c r="U37" s="2565"/>
      <c r="V37" s="2566"/>
      <c r="W37" s="2563"/>
      <c r="X37" s="2563"/>
      <c r="Y37" s="2563"/>
      <c r="Z37" s="2563">
        <v>35.9</v>
      </c>
      <c r="AA37" s="2563"/>
      <c r="AB37" s="2563"/>
      <c r="AC37" s="2566"/>
      <c r="AD37" s="2563">
        <v>21.6</v>
      </c>
      <c r="AE37" s="2563">
        <v>34.4</v>
      </c>
      <c r="AF37" s="2563">
        <f t="shared" si="29"/>
        <v>39.49</v>
      </c>
      <c r="AG37" s="1689">
        <v>0</v>
      </c>
      <c r="AH37" s="1689">
        <v>172.41</v>
      </c>
      <c r="AI37" s="1689">
        <v>318.67</v>
      </c>
      <c r="AJ37" s="1689">
        <v>338.08</v>
      </c>
      <c r="AK37" s="1689">
        <f>AJ37</f>
        <v>338.08</v>
      </c>
      <c r="AL37" s="4044" t="s">
        <v>2100</v>
      </c>
      <c r="AM37" s="4045"/>
      <c r="AN37" s="4045"/>
      <c r="AT37" s="156">
        <f t="shared" si="7"/>
        <v>338.08</v>
      </c>
      <c r="AU37">
        <f>SUM(AT37/AT45)</f>
        <v>1.4899878356620284E-2</v>
      </c>
    </row>
    <row r="38" spans="1:47" ht="38.25" customHeight="1" x14ac:dyDescent="0.2">
      <c r="A38" s="1756" t="s">
        <v>551</v>
      </c>
      <c r="B38" s="2567">
        <v>57</v>
      </c>
      <c r="C38" s="2562">
        <v>74.2</v>
      </c>
      <c r="D38" s="2562">
        <f t="shared" si="23"/>
        <v>130.17543859649123</v>
      </c>
      <c r="E38" s="2564">
        <v>24.3</v>
      </c>
      <c r="F38" s="2564">
        <f t="shared" si="24"/>
        <v>32.749326145552558</v>
      </c>
      <c r="G38" s="2564">
        <v>26.9</v>
      </c>
      <c r="H38" s="2564">
        <f t="shared" si="4"/>
        <v>110.69958847736625</v>
      </c>
      <c r="I38" s="2564">
        <v>26.1</v>
      </c>
      <c r="J38" s="2564">
        <v>12.9</v>
      </c>
      <c r="K38" s="2564">
        <v>3.8</v>
      </c>
      <c r="L38" s="2564">
        <v>8.1</v>
      </c>
      <c r="M38" s="2564">
        <f t="shared" si="5"/>
        <v>30.111524163568777</v>
      </c>
      <c r="N38" s="2564">
        <v>27.3</v>
      </c>
      <c r="O38" s="2564">
        <f t="shared" si="25"/>
        <v>337.03703703703707</v>
      </c>
      <c r="P38" s="2564">
        <v>5.3</v>
      </c>
      <c r="Q38" s="2564">
        <f t="shared" si="26"/>
        <v>20.306513409961685</v>
      </c>
      <c r="R38" s="2564">
        <f t="shared" si="27"/>
        <v>65.432098765432102</v>
      </c>
      <c r="S38" s="2563">
        <v>17.7</v>
      </c>
      <c r="T38" s="2563">
        <v>21.2</v>
      </c>
      <c r="U38" s="2565">
        <v>9.5</v>
      </c>
      <c r="V38" s="2566">
        <f t="shared" si="6"/>
        <v>1.7924528301886793</v>
      </c>
      <c r="W38" s="2563">
        <f t="shared" si="28"/>
        <v>5.5544000000000002</v>
      </c>
      <c r="X38" s="2563">
        <v>14</v>
      </c>
      <c r="Y38" s="2563">
        <v>27.5</v>
      </c>
      <c r="Z38" s="2563">
        <v>48.8</v>
      </c>
      <c r="AA38" s="2563">
        <v>6.4</v>
      </c>
      <c r="AB38" s="2563">
        <f>W38*1.049</f>
        <v>5.8265655999999995</v>
      </c>
      <c r="AC38" s="2566">
        <f>AB38/W38</f>
        <v>1.0489999999999999</v>
      </c>
      <c r="AD38" s="2563">
        <v>18.73</v>
      </c>
      <c r="AE38" s="2563">
        <v>27.19</v>
      </c>
      <c r="AF38" s="2563">
        <f t="shared" si="29"/>
        <v>53.68</v>
      </c>
      <c r="AG38" s="1689">
        <f>AE38/3*4*1.062</f>
        <v>38.501040000000003</v>
      </c>
      <c r="AH38" s="1689">
        <v>114.88</v>
      </c>
      <c r="AI38" s="1689">
        <v>91.34</v>
      </c>
      <c r="AJ38" s="1689">
        <v>96.9</v>
      </c>
      <c r="AK38" s="1689">
        <f>AJ38</f>
        <v>96.9</v>
      </c>
      <c r="AL38" s="4040" t="s">
        <v>2100</v>
      </c>
      <c r="AM38" s="4041"/>
      <c r="AN38" s="4041"/>
      <c r="AQ38" t="s">
        <v>997</v>
      </c>
      <c r="AT38" s="156">
        <f t="shared" si="7"/>
        <v>96.9</v>
      </c>
      <c r="AU38">
        <f>SUM(AT38/AT45)</f>
        <v>4.2705815568992713E-3</v>
      </c>
    </row>
    <row r="39" spans="1:47" ht="38.25" customHeight="1" x14ac:dyDescent="0.2">
      <c r="A39" s="1756" t="s">
        <v>552</v>
      </c>
      <c r="B39" s="2567">
        <v>21.7</v>
      </c>
      <c r="C39" s="2562">
        <v>18.899999999999999</v>
      </c>
      <c r="D39" s="2562">
        <f t="shared" si="23"/>
        <v>87.096774193548384</v>
      </c>
      <c r="E39" s="2564">
        <v>18.899999999999999</v>
      </c>
      <c r="F39" s="2564">
        <f t="shared" si="24"/>
        <v>100</v>
      </c>
      <c r="G39" s="2564">
        <v>18.2</v>
      </c>
      <c r="H39" s="2564">
        <f t="shared" si="4"/>
        <v>96.296296296296305</v>
      </c>
      <c r="I39" s="2564">
        <v>15.7</v>
      </c>
      <c r="J39" s="2564">
        <v>36.299999999999997</v>
      </c>
      <c r="K39" s="2564">
        <v>41.1</v>
      </c>
      <c r="L39" s="2564">
        <v>57.5</v>
      </c>
      <c r="M39" s="2564">
        <f t="shared" si="5"/>
        <v>315.93406593406598</v>
      </c>
      <c r="N39" s="2564">
        <v>16.399999999999999</v>
      </c>
      <c r="O39" s="2564">
        <f t="shared" si="25"/>
        <v>28.521739130434781</v>
      </c>
      <c r="P39" s="2564">
        <v>16.399999999999999</v>
      </c>
      <c r="Q39" s="2564">
        <f t="shared" si="26"/>
        <v>104.45859872611464</v>
      </c>
      <c r="R39" s="2564">
        <f t="shared" si="27"/>
        <v>28.521739130434781</v>
      </c>
      <c r="S39" s="2563">
        <v>22.1</v>
      </c>
      <c r="T39" s="2563">
        <v>35.799999999999997</v>
      </c>
      <c r="U39" s="2565">
        <v>66.7</v>
      </c>
      <c r="V39" s="2566">
        <f t="shared" si="6"/>
        <v>4.0670731707317076</v>
      </c>
      <c r="W39" s="2563">
        <f t="shared" si="28"/>
        <v>17.187200000000001</v>
      </c>
      <c r="X39" s="2563">
        <v>30.9</v>
      </c>
      <c r="Y39" s="2563">
        <v>47.6</v>
      </c>
      <c r="Z39" s="2563">
        <v>100.9</v>
      </c>
      <c r="AA39" s="2563">
        <v>34.6</v>
      </c>
      <c r="AB39" s="2563">
        <f>W39*1.049</f>
        <v>18.029372800000001</v>
      </c>
      <c r="AC39" s="2566">
        <f>AB39/W39</f>
        <v>1.0489999999999999</v>
      </c>
      <c r="AD39" s="2563">
        <v>79.8</v>
      </c>
      <c r="AE39" s="2563">
        <v>108.69</v>
      </c>
      <c r="AF39" s="2563">
        <f t="shared" si="29"/>
        <v>110.99000000000001</v>
      </c>
      <c r="AG39" s="1689">
        <f>AF39</f>
        <v>110.99000000000001</v>
      </c>
      <c r="AH39" s="1689">
        <v>136.12</v>
      </c>
      <c r="AI39" s="1689">
        <v>153.36000000000001</v>
      </c>
      <c r="AJ39" s="1689">
        <v>162.69999999999999</v>
      </c>
      <c r="AK39" s="1689">
        <f>AI39</f>
        <v>153.36000000000001</v>
      </c>
      <c r="AL39" s="4044" t="s">
        <v>2105</v>
      </c>
      <c r="AM39" s="4045"/>
      <c r="AN39" s="4045"/>
      <c r="AQ39">
        <v>2013</v>
      </c>
      <c r="AR39">
        <v>2014</v>
      </c>
      <c r="AT39" s="156">
        <f t="shared" si="7"/>
        <v>153.36000000000001</v>
      </c>
      <c r="AU39">
        <f>SUM(AT39/AT45)</f>
        <v>6.7588894485662776E-3</v>
      </c>
    </row>
    <row r="40" spans="1:47" ht="32.25" customHeight="1" x14ac:dyDescent="0.2">
      <c r="A40" s="1756" t="s">
        <v>553</v>
      </c>
      <c r="B40" s="2567">
        <v>4</v>
      </c>
      <c r="C40" s="2567">
        <v>4</v>
      </c>
      <c r="D40" s="2562">
        <f t="shared" si="23"/>
        <v>100</v>
      </c>
      <c r="E40" s="2564">
        <v>0</v>
      </c>
      <c r="F40" s="2564">
        <f t="shared" si="24"/>
        <v>0</v>
      </c>
      <c r="G40" s="2564">
        <v>4.7</v>
      </c>
      <c r="H40" s="2564"/>
      <c r="I40" s="2564">
        <v>4.8</v>
      </c>
      <c r="J40" s="2564">
        <v>0</v>
      </c>
      <c r="K40" s="2564">
        <v>0</v>
      </c>
      <c r="L40" s="2564">
        <v>0</v>
      </c>
      <c r="M40" s="2564">
        <f t="shared" si="5"/>
        <v>0</v>
      </c>
      <c r="N40" s="2564">
        <v>5</v>
      </c>
      <c r="O40" s="2564"/>
      <c r="P40" s="2564">
        <v>0</v>
      </c>
      <c r="Q40" s="2564">
        <f t="shared" si="26"/>
        <v>0</v>
      </c>
      <c r="R40" s="2564" t="e">
        <f t="shared" si="27"/>
        <v>#DIV/0!</v>
      </c>
      <c r="S40" s="2563">
        <v>0</v>
      </c>
      <c r="T40" s="2563">
        <v>0</v>
      </c>
      <c r="U40" s="2565">
        <v>0</v>
      </c>
      <c r="V40" s="2566"/>
      <c r="W40" s="2563">
        <f t="shared" si="28"/>
        <v>0</v>
      </c>
      <c r="X40" s="2563">
        <v>0</v>
      </c>
      <c r="Y40" s="2563">
        <v>0</v>
      </c>
      <c r="Z40" s="2563">
        <v>0</v>
      </c>
      <c r="AA40" s="2563">
        <v>0</v>
      </c>
      <c r="AB40" s="2563">
        <v>0</v>
      </c>
      <c r="AC40" s="2566"/>
      <c r="AD40" s="2563">
        <v>0</v>
      </c>
      <c r="AE40" s="2563">
        <v>0</v>
      </c>
      <c r="AF40" s="2563">
        <v>0</v>
      </c>
      <c r="AG40" s="1689">
        <v>0</v>
      </c>
      <c r="AH40" s="1689">
        <v>0</v>
      </c>
      <c r="AI40" s="1689">
        <v>0.19</v>
      </c>
      <c r="AJ40" s="1689">
        <v>30</v>
      </c>
      <c r="AK40" s="1689">
        <f>AI40*1.027*1.046</f>
        <v>0.20410597999999999</v>
      </c>
      <c r="AL40" s="4040" t="s">
        <v>2099</v>
      </c>
      <c r="AM40" s="4041"/>
      <c r="AN40" s="4041"/>
      <c r="AR40" s="156">
        <f>W19+W24+W25+W18-Z18+W32</f>
        <v>1020.9949299999996</v>
      </c>
      <c r="AT40" s="156">
        <f t="shared" si="7"/>
        <v>0.20410597999999999</v>
      </c>
      <c r="AU40">
        <f>SUM(AT40/AT45)</f>
        <v>8.9953687702874248E-6</v>
      </c>
    </row>
    <row r="41" spans="1:47" ht="20.25" customHeight="1" x14ac:dyDescent="0.2">
      <c r="A41" s="1756" t="s">
        <v>554</v>
      </c>
      <c r="B41" s="2567"/>
      <c r="C41" s="2567"/>
      <c r="D41" s="2562"/>
      <c r="E41" s="2564"/>
      <c r="F41" s="2564"/>
      <c r="G41" s="2564"/>
      <c r="H41" s="2564"/>
      <c r="I41" s="2564">
        <f>E41*1.03</f>
        <v>0</v>
      </c>
      <c r="J41" s="2564"/>
      <c r="K41" s="2564">
        <v>0</v>
      </c>
      <c r="L41" s="2564">
        <v>127.9</v>
      </c>
      <c r="M41" s="2564"/>
      <c r="N41" s="2564">
        <v>68.2</v>
      </c>
      <c r="O41" s="2564"/>
      <c r="P41" s="2564">
        <v>0</v>
      </c>
      <c r="Q41" s="2564"/>
      <c r="R41" s="2564">
        <f t="shared" si="27"/>
        <v>0</v>
      </c>
      <c r="S41" s="2563">
        <v>0</v>
      </c>
      <c r="T41" s="2563">
        <v>172.5</v>
      </c>
      <c r="U41" s="2565">
        <v>140.1</v>
      </c>
      <c r="V41" s="2566"/>
      <c r="W41" s="2563">
        <f t="shared" si="28"/>
        <v>0</v>
      </c>
      <c r="X41" s="2563">
        <v>54</v>
      </c>
      <c r="Y41" s="2563">
        <v>162</v>
      </c>
      <c r="Z41" s="2563">
        <v>128</v>
      </c>
      <c r="AA41" s="2563">
        <v>223.6</v>
      </c>
      <c r="AB41" s="2563">
        <f>AA41</f>
        <v>223.6</v>
      </c>
      <c r="AC41" s="2566"/>
      <c r="AD41" s="2563">
        <v>20.99</v>
      </c>
      <c r="AE41" s="2563">
        <v>31.49</v>
      </c>
      <c r="AF41" s="2563">
        <f>SUM(AB41)</f>
        <v>223.6</v>
      </c>
      <c r="AG41" s="1689">
        <f>Z41</f>
        <v>128</v>
      </c>
      <c r="AH41" s="1689">
        <v>45</v>
      </c>
      <c r="AI41" s="1689">
        <v>72.86</v>
      </c>
      <c r="AJ41" s="1689">
        <v>131.84</v>
      </c>
      <c r="AK41" s="1689">
        <v>0</v>
      </c>
      <c r="AL41" s="4042" t="s">
        <v>2102</v>
      </c>
      <c r="AM41" s="4043"/>
      <c r="AN41" s="4043"/>
      <c r="AT41" s="156">
        <f t="shared" si="7"/>
        <v>0</v>
      </c>
      <c r="AU41">
        <f>SUM(AT41/AT45)</f>
        <v>0</v>
      </c>
    </row>
    <row r="42" spans="1:47" ht="20.25" customHeight="1" x14ac:dyDescent="0.2">
      <c r="A42" s="1756" t="s">
        <v>295</v>
      </c>
      <c r="B42" s="2567"/>
      <c r="C42" s="2567"/>
      <c r="D42" s="2562"/>
      <c r="E42" s="2564"/>
      <c r="F42" s="2564"/>
      <c r="G42" s="2564"/>
      <c r="H42" s="2564"/>
      <c r="I42" s="2564"/>
      <c r="J42" s="2564"/>
      <c r="K42" s="2564">
        <f>1.4+9.5+17.7</f>
        <v>28.6</v>
      </c>
      <c r="L42" s="2564">
        <v>284.2</v>
      </c>
      <c r="M42" s="2564"/>
      <c r="N42" s="2564"/>
      <c r="O42" s="2564"/>
      <c r="P42" s="2564">
        <v>0</v>
      </c>
      <c r="Q42" s="2564"/>
      <c r="R42" s="2564">
        <f t="shared" si="27"/>
        <v>0</v>
      </c>
      <c r="S42" s="2563">
        <v>127.1</v>
      </c>
      <c r="T42" s="2563">
        <v>0</v>
      </c>
      <c r="U42" s="2565">
        <v>0</v>
      </c>
      <c r="V42" s="2566"/>
      <c r="W42" s="2563">
        <f t="shared" si="28"/>
        <v>0</v>
      </c>
      <c r="X42" s="2563">
        <v>3.5</v>
      </c>
      <c r="Y42" s="2563">
        <v>14.3</v>
      </c>
      <c r="Z42" s="2563"/>
      <c r="AA42" s="2563"/>
      <c r="AB42" s="2563">
        <v>0</v>
      </c>
      <c r="AC42" s="2566"/>
      <c r="AD42" s="2563"/>
      <c r="AE42" s="2563"/>
      <c r="AF42" s="2563">
        <v>0</v>
      </c>
      <c r="AG42" s="1689">
        <v>0</v>
      </c>
      <c r="AH42" s="1689">
        <v>0</v>
      </c>
      <c r="AI42" s="1689">
        <v>0</v>
      </c>
      <c r="AJ42" s="1689">
        <v>0</v>
      </c>
      <c r="AK42" s="1689">
        <v>0</v>
      </c>
      <c r="AL42" s="4044"/>
      <c r="AM42" s="4045"/>
      <c r="AN42" s="4045"/>
      <c r="AT42" s="156">
        <f t="shared" si="7"/>
        <v>0</v>
      </c>
      <c r="AU42">
        <f>SUM(AT42/AT45)</f>
        <v>0</v>
      </c>
    </row>
    <row r="43" spans="1:47" ht="20.25" customHeight="1" x14ac:dyDescent="0.2">
      <c r="A43" s="1756" t="s">
        <v>847</v>
      </c>
      <c r="B43" s="2567"/>
      <c r="C43" s="2567"/>
      <c r="D43" s="2562"/>
      <c r="E43" s="2564"/>
      <c r="F43" s="2564"/>
      <c r="G43" s="2564"/>
      <c r="H43" s="2564"/>
      <c r="I43" s="2564"/>
      <c r="J43" s="2564"/>
      <c r="K43" s="2564"/>
      <c r="L43" s="2564"/>
      <c r="M43" s="2564"/>
      <c r="N43" s="2564"/>
      <c r="O43" s="2564"/>
      <c r="P43" s="2564"/>
      <c r="Q43" s="2564"/>
      <c r="R43" s="2564"/>
      <c r="S43" s="2563"/>
      <c r="T43" s="2563"/>
      <c r="U43" s="2565"/>
      <c r="V43" s="2566"/>
      <c r="W43" s="2563"/>
      <c r="X43" s="2563"/>
      <c r="Y43" s="2563"/>
      <c r="Z43" s="2563">
        <v>6.4</v>
      </c>
      <c r="AA43" s="2563"/>
      <c r="AB43" s="2563"/>
      <c r="AC43" s="2566"/>
      <c r="AD43" s="2563"/>
      <c r="AE43" s="2563"/>
      <c r="AF43" s="2563">
        <f>SUM(Z43*1.1)</f>
        <v>7.0400000000000009</v>
      </c>
      <c r="AG43" s="1689">
        <f>AF43</f>
        <v>7.0400000000000009</v>
      </c>
      <c r="AH43" s="1689">
        <v>0</v>
      </c>
      <c r="AI43" s="1689">
        <v>0</v>
      </c>
      <c r="AJ43" s="1689">
        <v>7.92</v>
      </c>
      <c r="AK43" s="1689">
        <v>7.92</v>
      </c>
      <c r="AL43" s="4044" t="s">
        <v>2100</v>
      </c>
      <c r="AM43" s="4045"/>
      <c r="AN43" s="4045"/>
      <c r="AT43" s="156">
        <f t="shared" si="7"/>
        <v>7.92</v>
      </c>
      <c r="AU43">
        <f>SUM(AT43/AT45)</f>
        <v>3.4905062879919739E-4</v>
      </c>
    </row>
    <row r="44" spans="1:47" ht="20.25" customHeight="1" x14ac:dyDescent="0.2">
      <c r="A44" s="1756" t="s">
        <v>609</v>
      </c>
      <c r="B44" s="2567"/>
      <c r="C44" s="2567"/>
      <c r="D44" s="2562"/>
      <c r="E44" s="2564"/>
      <c r="F44" s="2564"/>
      <c r="G44" s="2564"/>
      <c r="H44" s="2564"/>
      <c r="I44" s="2564"/>
      <c r="J44" s="2564"/>
      <c r="K44" s="2564"/>
      <c r="L44" s="2564"/>
      <c r="M44" s="2564"/>
      <c r="N44" s="2564"/>
      <c r="O44" s="2564"/>
      <c r="P44" s="2564"/>
      <c r="Q44" s="2564"/>
      <c r="R44" s="2564"/>
      <c r="S44" s="2563"/>
      <c r="T44" s="2563"/>
      <c r="U44" s="2565"/>
      <c r="V44" s="2566"/>
      <c r="W44" s="2563"/>
      <c r="X44" s="2563"/>
      <c r="Y44" s="2563"/>
      <c r="Z44" s="2563">
        <v>6.1</v>
      </c>
      <c r="AA44" s="2563"/>
      <c r="AB44" s="2563"/>
      <c r="AC44" s="2566"/>
      <c r="AD44" s="2563">
        <v>8.5299999999999994</v>
      </c>
      <c r="AE44" s="2563">
        <v>10.23</v>
      </c>
      <c r="AF44" s="2563">
        <f>SUM(Z44*1.1)</f>
        <v>6.71</v>
      </c>
      <c r="AG44" s="1689">
        <f>AF44</f>
        <v>6.71</v>
      </c>
      <c r="AH44" s="1689">
        <v>20.92</v>
      </c>
      <c r="AI44" s="1689">
        <v>1.78</v>
      </c>
      <c r="AJ44" s="1689">
        <v>7.54</v>
      </c>
      <c r="AK44" s="1689">
        <v>7.54</v>
      </c>
      <c r="AL44" s="4044" t="s">
        <v>2100</v>
      </c>
      <c r="AM44" s="4045"/>
      <c r="AN44" s="4045"/>
      <c r="AT44" s="156">
        <f t="shared" si="7"/>
        <v>7.54</v>
      </c>
      <c r="AU44">
        <f>SUM(AT44/AT45)</f>
        <v>3.3230325014469044E-4</v>
      </c>
    </row>
    <row r="45" spans="1:47" ht="20.100000000000001" customHeight="1" x14ac:dyDescent="0.2">
      <c r="A45" s="2570" t="s">
        <v>54</v>
      </c>
      <c r="B45" s="2477">
        <f>B8+B11+B13+B14+B15+B16+B17+B23+B25+B26</f>
        <v>12622.300000000001</v>
      </c>
      <c r="C45" s="2571">
        <f>C8+C11+C13+C14+C15+C16+C17+C23+C25+C26</f>
        <v>13647.300000000003</v>
      </c>
      <c r="D45" s="2562">
        <f>C45/B45*100</f>
        <v>108.12054855295787</v>
      </c>
      <c r="E45" s="1828">
        <f>E8+E11+E13+E14+E15+E16+E17+E23+E25+E26</f>
        <v>16177.599999999999</v>
      </c>
      <c r="F45" s="1828">
        <f>F8+F11+F13+F14+F15+F16+F17+F23+F25+F26</f>
        <v>8590.9477735046166</v>
      </c>
      <c r="G45" s="1828">
        <f>G8+G11+G13+G14+G15+G16+G17+G23+G25+G26</f>
        <v>18541.900000000001</v>
      </c>
      <c r="H45" s="2564">
        <f t="shared" si="4"/>
        <v>114.61465235881715</v>
      </c>
      <c r="I45" s="1828">
        <f>I8+I11+I13+I14+I15+I16+I17+I23+I25+I26</f>
        <v>15969.009599999999</v>
      </c>
      <c r="J45" s="1828">
        <f>J8+J11+J13+J14+J15+J16+J17+J23+J25+J26</f>
        <v>10071.700000000001</v>
      </c>
      <c r="K45" s="1828">
        <f>K8+K11+K13+K14+K15+K16+K17+K23+K25+K26</f>
        <v>13501.300000000003</v>
      </c>
      <c r="L45" s="1828">
        <f>L8+L11+L13+L14+L15+L16+L17+L23+L25+L26</f>
        <v>19302.900000000001</v>
      </c>
      <c r="M45" s="2564">
        <f t="shared" si="5"/>
        <v>104.10421801433509</v>
      </c>
      <c r="N45" s="1828">
        <f>N8+N11+N13+N14+N15+N16+N17+N23+N25+N26</f>
        <v>22059.200000000001</v>
      </c>
      <c r="O45" s="2564">
        <f>N45/L45*100</f>
        <v>114.27920157074843</v>
      </c>
      <c r="P45" s="1828">
        <f>P8+P11+P13+P14+P15+P16+P17+P23+P25+P26</f>
        <v>17634.2</v>
      </c>
      <c r="Q45" s="2564">
        <f>P45/I45*100</f>
        <v>110.42763729066832</v>
      </c>
      <c r="R45" s="2564">
        <f>P45/L45*100</f>
        <v>91.355184972206246</v>
      </c>
      <c r="S45" s="1828">
        <f>S8+S11+S13+S14+S15+S16+S17+S23+S25+S26</f>
        <v>14829.099999999999</v>
      </c>
      <c r="T45" s="1828">
        <f>T8+T11+T13+T14+T15+T16+T17+T23+T25+T26</f>
        <v>19502.300000000003</v>
      </c>
      <c r="U45" s="1828">
        <f>U8+U11+U13+U14+U15+U16+U17+U23+U25+U26</f>
        <v>23158.7</v>
      </c>
      <c r="V45" s="2566">
        <f t="shared" si="6"/>
        <v>1.3132832790826916</v>
      </c>
      <c r="W45" s="1828">
        <f t="shared" ref="W45:AB45" si="30">W8+W11+W13+W14+W15+W16+W17+W23+W25+W26+W24</f>
        <v>18723.532385356291</v>
      </c>
      <c r="X45" s="1828">
        <f t="shared" si="30"/>
        <v>8462.2999999999993</v>
      </c>
      <c r="Y45" s="1828">
        <f t="shared" si="30"/>
        <v>12163.6</v>
      </c>
      <c r="Z45" s="1828">
        <f t="shared" si="30"/>
        <v>17316.400000000001</v>
      </c>
      <c r="AA45" s="1828">
        <f t="shared" si="30"/>
        <v>21388.100000000002</v>
      </c>
      <c r="AB45" s="1828">
        <f t="shared" si="30"/>
        <v>19700.208228981621</v>
      </c>
      <c r="AC45" s="2566">
        <f>AB45/W45</f>
        <v>1.0521630119532994</v>
      </c>
      <c r="AD45" s="1828">
        <f t="shared" ref="AD45:AF45" si="31">AD8+AD11+AD13+AD14+AD15+AD16+AD17+AD23+AD25+AD26+AD24</f>
        <v>9372.2199999999993</v>
      </c>
      <c r="AE45" s="1828">
        <f t="shared" si="31"/>
        <v>13324.320000000003</v>
      </c>
      <c r="AF45" s="1828">
        <f t="shared" si="31"/>
        <v>23341.413298249798</v>
      </c>
      <c r="AG45" s="1828">
        <f>AG8+AG11+AG13+AG14+AG15+AG16+AG17+AG23+AG25+AG26+AG24</f>
        <v>18719.609230157621</v>
      </c>
      <c r="AH45" s="1828">
        <f t="shared" ref="AH45:AK45" si="32">AH8+AH11+AH13+AH14+AH15+AH16+AH17+AH23+AH25+AH26+AH24</f>
        <v>19424.300000000003</v>
      </c>
      <c r="AI45" s="1828">
        <f t="shared" si="32"/>
        <v>19836.45</v>
      </c>
      <c r="AJ45" s="1828">
        <f t="shared" si="32"/>
        <v>26396.219999999998</v>
      </c>
      <c r="AK45" s="1828">
        <f t="shared" si="32"/>
        <v>22690.118127694979</v>
      </c>
      <c r="AL45" s="4044"/>
      <c r="AM45" s="4044"/>
      <c r="AN45" s="4044"/>
      <c r="AT45" s="156">
        <f t="shared" si="7"/>
        <v>22690.118127694979</v>
      </c>
      <c r="AU45" s="156"/>
    </row>
    <row r="46" spans="1:47" ht="20.100000000000001" customHeight="1" x14ac:dyDescent="0.2">
      <c r="A46" s="1756" t="s">
        <v>219</v>
      </c>
      <c r="B46" s="1681"/>
      <c r="C46" s="1681"/>
      <c r="D46" s="1681"/>
      <c r="E46" s="2572"/>
      <c r="F46" s="2572"/>
      <c r="G46" s="2572"/>
      <c r="H46" s="2572"/>
      <c r="I46" s="2572"/>
      <c r="J46" s="2572"/>
      <c r="K46" s="2572">
        <f t="shared" ref="K46:X46" si="33">K45-K36</f>
        <v>13027.500000000004</v>
      </c>
      <c r="L46" s="2572">
        <f t="shared" si="33"/>
        <v>18630.800000000003</v>
      </c>
      <c r="M46" s="2572">
        <f t="shared" si="33"/>
        <v>-16.777076949693679</v>
      </c>
      <c r="N46" s="2572">
        <f t="shared" si="33"/>
        <v>21344.2</v>
      </c>
      <c r="O46" s="2572">
        <f t="shared" si="33"/>
        <v>7.8962228473441769</v>
      </c>
      <c r="P46" s="2572">
        <f t="shared" si="33"/>
        <v>17634.2</v>
      </c>
      <c r="Q46" s="2572">
        <f t="shared" si="33"/>
        <v>110.42763729066832</v>
      </c>
      <c r="R46" s="2572">
        <f t="shared" si="33"/>
        <v>91.355184972206246</v>
      </c>
      <c r="S46" s="2572">
        <f t="shared" si="33"/>
        <v>14288.3</v>
      </c>
      <c r="T46" s="2572">
        <f t="shared" si="33"/>
        <v>18796.300000000003</v>
      </c>
      <c r="U46" s="2572">
        <f t="shared" si="33"/>
        <v>22417.4</v>
      </c>
      <c r="V46" s="2572">
        <f t="shared" si="33"/>
        <v>1.3132832790826916</v>
      </c>
      <c r="W46" s="2572">
        <f t="shared" si="33"/>
        <v>18723.532385356291</v>
      </c>
      <c r="X46" s="2572">
        <f t="shared" si="33"/>
        <v>8148.6999999999989</v>
      </c>
      <c r="Y46" s="2572"/>
      <c r="Z46" s="2572">
        <f>SUM(Z45-Z36-Z37)</f>
        <v>16628.2</v>
      </c>
      <c r="AA46" s="2572">
        <f t="shared" ref="AA46:AB46" si="34">SUM(AA45-AA36-AA37)</f>
        <v>20653.100000000002</v>
      </c>
      <c r="AB46" s="2572">
        <f t="shared" si="34"/>
        <v>19700.208228981621</v>
      </c>
      <c r="AC46" s="2566">
        <f>AB46/W46</f>
        <v>1.0521630119532994</v>
      </c>
      <c r="AD46" s="2572">
        <f t="shared" ref="AD46" si="35">SUM(AD45-AD36-AD37)</f>
        <v>9044.16</v>
      </c>
      <c r="AE46" s="2572">
        <f t="shared" ref="AE46" si="36">SUM(AE45-AE36-AE37)</f>
        <v>12830.860000000004</v>
      </c>
      <c r="AF46" s="2572">
        <f t="shared" ref="AF46" si="37">SUM(AF45-AF36-AF37)</f>
        <v>22584.393298249797</v>
      </c>
      <c r="AG46" s="2577">
        <f t="shared" ref="AG46:AJ46" si="38">SUM(AG45-AG36-AG37)</f>
        <v>18719.609230157621</v>
      </c>
      <c r="AH46" s="2577">
        <f t="shared" si="38"/>
        <v>18619.670000000002</v>
      </c>
      <c r="AI46" s="2577">
        <f t="shared" si="38"/>
        <v>18938.060000000001</v>
      </c>
      <c r="AJ46" s="2577">
        <f t="shared" si="38"/>
        <v>25443.119999999995</v>
      </c>
      <c r="AK46" s="2577">
        <f>SUM(AK45-AK36-AK37)</f>
        <v>22352.038127694977</v>
      </c>
      <c r="AL46" s="4047"/>
      <c r="AM46" s="4048"/>
      <c r="AN46" s="4048"/>
      <c r="AO46" s="129"/>
    </row>
    <row r="47" spans="1:47" ht="19.5" customHeight="1" x14ac:dyDescent="0.2">
      <c r="A47" s="3785" t="s">
        <v>154</v>
      </c>
      <c r="B47" s="3785"/>
      <c r="C47" s="3785"/>
      <c r="D47" s="1681"/>
      <c r="E47" s="2572"/>
      <c r="F47" s="2572"/>
      <c r="G47" s="2572"/>
      <c r="H47" s="2572"/>
      <c r="I47" s="2564">
        <v>1679.5</v>
      </c>
      <c r="J47" s="2572"/>
      <c r="K47" s="2564">
        <f>I47/I45*K46</f>
        <v>1370.1342035638834</v>
      </c>
      <c r="L47" s="2572">
        <f>I47/I45*L46</f>
        <v>1959.4470404726922</v>
      </c>
      <c r="M47" s="2572"/>
      <c r="N47" s="2564">
        <f>вода!O16</f>
        <v>1662.3</v>
      </c>
      <c r="O47" s="2572"/>
      <c r="P47" s="2564">
        <f>N47/N45*P45</f>
        <v>1328.848310908827</v>
      </c>
      <c r="Q47" s="2572"/>
      <c r="R47" s="2572"/>
      <c r="S47" s="2564">
        <v>832.1</v>
      </c>
      <c r="T47" s="2564"/>
      <c r="U47" s="2572">
        <f>вода!Y16</f>
        <v>1803.5</v>
      </c>
      <c r="V47" s="2572"/>
      <c r="W47" s="2572">
        <f>W46*(P47/P46)</f>
        <v>1410.9363841017698</v>
      </c>
      <c r="X47" s="2572">
        <v>658.7</v>
      </c>
      <c r="Y47" s="2572"/>
      <c r="Z47" s="2572">
        <v>1490.4</v>
      </c>
      <c r="AA47" s="2572">
        <f>SUM(AA45*AA51)</f>
        <v>1665.6132835608219</v>
      </c>
      <c r="AB47" s="2572">
        <f>AB46*(W47/W46)</f>
        <v>1484.5350755710156</v>
      </c>
      <c r="AC47" s="1681"/>
      <c r="AD47" s="2572">
        <v>1047.32</v>
      </c>
      <c r="AE47" s="2572">
        <v>1465.34</v>
      </c>
      <c r="AF47" s="2572">
        <f>SUM(AF45*AF51)</f>
        <v>2008.9650493007493</v>
      </c>
      <c r="AG47" s="2578">
        <f>SUM(AG45*AG51)</f>
        <v>1611.1723912953566</v>
      </c>
      <c r="AH47" s="2578">
        <v>1817.18</v>
      </c>
      <c r="AI47" s="2578">
        <v>1309.4000000000001</v>
      </c>
      <c r="AJ47" s="2578">
        <v>1742.41</v>
      </c>
      <c r="AK47" s="2578">
        <f>AK46*AJ51</f>
        <v>1475.4542413298955</v>
      </c>
      <c r="AL47" s="4044"/>
      <c r="AM47" s="4045"/>
      <c r="AN47" s="4045"/>
      <c r="AT47" s="156">
        <f>SUM(AT8:AT44)</f>
        <v>22690.118127694983</v>
      </c>
      <c r="AU47" s="156">
        <f>SUM(AU8:AU44)</f>
        <v>1.0000000000000002</v>
      </c>
    </row>
    <row r="48" spans="1:47" ht="20.100000000000001" customHeight="1" x14ac:dyDescent="0.2">
      <c r="A48" s="3785" t="s">
        <v>151</v>
      </c>
      <c r="B48" s="3785"/>
      <c r="C48" s="3785"/>
      <c r="D48" s="1681"/>
      <c r="E48" s="2572"/>
      <c r="F48" s="2572"/>
      <c r="G48" s="2572"/>
      <c r="H48" s="2572"/>
      <c r="I48" s="2564">
        <v>8659.2999999999993</v>
      </c>
      <c r="J48" s="2572"/>
      <c r="K48" s="2564">
        <f>I48/I45*K46</f>
        <v>7064.2471622034736</v>
      </c>
      <c r="L48" s="2572">
        <f>I48/I45*L46</f>
        <v>10102.673270357356</v>
      </c>
      <c r="M48" s="2572"/>
      <c r="N48" s="2564">
        <f>вода!O26</f>
        <v>13061</v>
      </c>
      <c r="O48" s="2572"/>
      <c r="P48" s="2564">
        <f>N48/N45*P45</f>
        <v>10441.008114528178</v>
      </c>
      <c r="Q48" s="2572"/>
      <c r="R48" s="2572"/>
      <c r="S48" s="2564">
        <v>7957</v>
      </c>
      <c r="T48" s="2564"/>
      <c r="U48" s="2572">
        <f>вода!Y26</f>
        <v>13533.8</v>
      </c>
      <c r="V48" s="2572"/>
      <c r="W48" s="2572">
        <f>W46*(P48/P46)</f>
        <v>11085.989359774539</v>
      </c>
      <c r="X48" s="2572">
        <v>4626.8999999999996</v>
      </c>
      <c r="Y48" s="2572"/>
      <c r="Z48" s="2572">
        <v>9696.2999999999993</v>
      </c>
      <c r="AA48" s="2572">
        <f>SUM(AA45*AA52)</f>
        <v>12499.072390937314</v>
      </c>
      <c r="AB48" s="2572">
        <f>AB46*(W48/W46)</f>
        <v>11664.267955262609</v>
      </c>
      <c r="AC48" s="1681"/>
      <c r="AD48" s="2572">
        <v>5322.04</v>
      </c>
      <c r="AE48" s="2572">
        <v>7066.56</v>
      </c>
      <c r="AF48" s="2572">
        <f>SUM(AF45*AF52)</f>
        <v>13069.99987086343</v>
      </c>
      <c r="AG48" s="2578">
        <f>SUM(AG45*AG52)</f>
        <v>10482.025535236962</v>
      </c>
      <c r="AH48" s="2578">
        <v>10745.24</v>
      </c>
      <c r="AI48" s="2578">
        <v>13297.15</v>
      </c>
      <c r="AJ48" s="2578">
        <v>17694.43</v>
      </c>
      <c r="AK48" s="2578">
        <f>AK46*AJ52</f>
        <v>14983.454979835366</v>
      </c>
      <c r="AL48" s="4044"/>
      <c r="AM48" s="4045"/>
      <c r="AN48" s="4045"/>
    </row>
    <row r="49" spans="1:40" ht="20.100000000000001" customHeight="1" x14ac:dyDescent="0.2">
      <c r="A49" s="3785" t="s">
        <v>152</v>
      </c>
      <c r="B49" s="3785"/>
      <c r="C49" s="3785"/>
      <c r="D49" s="1681"/>
      <c r="E49" s="2572"/>
      <c r="F49" s="2572"/>
      <c r="G49" s="2572"/>
      <c r="H49" s="2572"/>
      <c r="I49" s="2564">
        <v>3523.1</v>
      </c>
      <c r="J49" s="2572"/>
      <c r="K49" s="2564">
        <f>I49/I45*K46</f>
        <v>2874.1410018314482</v>
      </c>
      <c r="L49" s="2572">
        <f>I49/I45*L46</f>
        <v>4110.3470486986253</v>
      </c>
      <c r="M49" s="2572"/>
      <c r="N49" s="2564">
        <f>вода!O34</f>
        <v>4691.6000000000004</v>
      </c>
      <c r="O49" s="2572"/>
      <c r="P49" s="2564">
        <f>N49/N45*P45</f>
        <v>3750.4811017625302</v>
      </c>
      <c r="Q49" s="2572"/>
      <c r="R49" s="2572"/>
      <c r="S49" s="2564">
        <v>3991.4</v>
      </c>
      <c r="T49" s="2564"/>
      <c r="U49" s="2572">
        <f>вода!Y34</f>
        <v>5004</v>
      </c>
      <c r="V49" s="2572"/>
      <c r="W49" s="2572">
        <f>W46*(P49/P46)</f>
        <v>3982.1627501966336</v>
      </c>
      <c r="X49" s="2572">
        <v>1750</v>
      </c>
      <c r="Y49" s="2572"/>
      <c r="Z49" s="2572">
        <v>3840.1</v>
      </c>
      <c r="AA49" s="2572">
        <f>SUM(AA45*AA53)</f>
        <v>4621.4188361177448</v>
      </c>
      <c r="AB49" s="2572">
        <f>AB46*(W49/W46)</f>
        <v>4189.8843533351246</v>
      </c>
      <c r="AC49" s="1681"/>
      <c r="AD49" s="2572">
        <v>1853.14</v>
      </c>
      <c r="AE49" s="2572">
        <v>3037.94</v>
      </c>
      <c r="AF49" s="2572">
        <f>SUM(AF45*AF53)</f>
        <v>5176.2122153917117</v>
      </c>
      <c r="AG49" s="2578">
        <f>SUM(AG45*AG53)</f>
        <v>4151.2769054034479</v>
      </c>
      <c r="AH49" s="2578">
        <v>4356.6499999999996</v>
      </c>
      <c r="AI49" s="2578">
        <v>2827.72</v>
      </c>
      <c r="AJ49" s="2578">
        <v>3762.83</v>
      </c>
      <c r="AK49" s="2578">
        <f>AK46*AJ53</f>
        <v>3186.3243914482641</v>
      </c>
      <c r="AL49" s="4044"/>
      <c r="AM49" s="4045"/>
      <c r="AN49" s="4045"/>
    </row>
    <row r="50" spans="1:40" ht="20.100000000000001" customHeight="1" x14ac:dyDescent="0.2">
      <c r="A50" s="3785" t="s">
        <v>153</v>
      </c>
      <c r="B50" s="3785"/>
      <c r="C50" s="3785"/>
      <c r="D50" s="1681"/>
      <c r="E50" s="2572"/>
      <c r="F50" s="2572"/>
      <c r="G50" s="2572"/>
      <c r="H50" s="2572"/>
      <c r="I50" s="2564">
        <v>2107</v>
      </c>
      <c r="J50" s="2572"/>
      <c r="K50" s="2564">
        <f>I50/I45*K46</f>
        <v>1718.888220844955</v>
      </c>
      <c r="L50" s="2572">
        <f>I50/I45*L45</f>
        <v>2546.8837027939417</v>
      </c>
      <c r="M50" s="2572"/>
      <c r="N50" s="2564">
        <f>N45-N47-N48-N49</f>
        <v>2644.3000000000011</v>
      </c>
      <c r="O50" s="2572"/>
      <c r="P50" s="2564">
        <f>N50/N45*P45</f>
        <v>2113.8624728004652</v>
      </c>
      <c r="Q50" s="2572"/>
      <c r="R50" s="2572"/>
      <c r="S50" s="2564">
        <v>2048.6</v>
      </c>
      <c r="T50" s="2564"/>
      <c r="U50" s="2572">
        <f>вода!Y42</f>
        <v>2817.5</v>
      </c>
      <c r="V50" s="2572"/>
      <c r="W50" s="2572">
        <f>W46*(P50/P46)</f>
        <v>2244.4438912833493</v>
      </c>
      <c r="X50" s="2572">
        <v>1113.8</v>
      </c>
      <c r="Y50" s="2572"/>
      <c r="Z50" s="2572">
        <v>2289.6</v>
      </c>
      <c r="AA50" s="2572">
        <f>SUM(AA45*AA54)</f>
        <v>2602.0878438772475</v>
      </c>
      <c r="AB50" s="2572">
        <f>AB46*(W50/W46)</f>
        <v>2361.5208448128728</v>
      </c>
      <c r="AC50" s="1681"/>
      <c r="AD50" s="2572">
        <v>1149.72</v>
      </c>
      <c r="AE50" s="2572">
        <v>1754.48</v>
      </c>
      <c r="AF50" s="2572">
        <f>SUM(AF45*AF54)</f>
        <v>3086.2361626939046</v>
      </c>
      <c r="AG50" s="2578">
        <f>SUM(AG45*AG54)</f>
        <v>2475.1343982218523</v>
      </c>
      <c r="AH50" s="2578">
        <v>2505.2399999999998</v>
      </c>
      <c r="AI50" s="2578">
        <v>2402.1799999999998</v>
      </c>
      <c r="AJ50" s="2578">
        <v>3196.56</v>
      </c>
      <c r="AK50" s="2578">
        <f>AK46*AJ54</f>
        <v>2706.8129829750114</v>
      </c>
      <c r="AL50" s="4044"/>
      <c r="AM50" s="4045"/>
      <c r="AN50" s="4045"/>
    </row>
    <row r="51" spans="1:40" ht="20.100000000000001" customHeight="1" x14ac:dyDescent="0.3">
      <c r="A51" s="3785" t="s">
        <v>842</v>
      </c>
      <c r="B51" s="3785"/>
      <c r="C51" s="3785"/>
      <c r="D51" s="1781"/>
      <c r="E51" s="1781"/>
      <c r="F51" s="1781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781"/>
      <c r="R51" s="1781"/>
      <c r="S51" s="1781"/>
      <c r="T51" s="1781"/>
      <c r="U51" s="2573">
        <f>U47/U45</f>
        <v>7.7875701140392162E-2</v>
      </c>
      <c r="V51" s="1781"/>
      <c r="W51" s="1781"/>
      <c r="X51" s="1781"/>
      <c r="Y51" s="1781"/>
      <c r="Z51" s="2573">
        <f>Z47/Z45</f>
        <v>8.6068697881776804E-2</v>
      </c>
      <c r="AA51" s="2574">
        <f>U51</f>
        <v>7.7875701140392162E-2</v>
      </c>
      <c r="AB51" s="2573">
        <f>AB47/AB45</f>
        <v>7.535631391890911E-2</v>
      </c>
      <c r="AC51" s="1781"/>
      <c r="AD51" s="2573">
        <f t="shared" ref="AD51:AE51" si="39">AD47/AD45</f>
        <v>0.11174727012383405</v>
      </c>
      <c r="AE51" s="2573">
        <f t="shared" si="39"/>
        <v>0.10997484299386381</v>
      </c>
      <c r="AF51" s="2574">
        <f>SUM(Z51)</f>
        <v>8.6068697881776804E-2</v>
      </c>
      <c r="AG51" s="2579">
        <f>SUM(AF51)</f>
        <v>8.6068697881776804E-2</v>
      </c>
      <c r="AH51" s="2579">
        <f>AH47/AH45</f>
        <v>9.3551891187842018E-2</v>
      </c>
      <c r="AI51" s="2579">
        <f>AI47/AI45</f>
        <v>6.6009795099425561E-2</v>
      </c>
      <c r="AJ51" s="2579">
        <f>AJ47/AJ45</f>
        <v>6.6009830195384048E-2</v>
      </c>
      <c r="AK51" s="2579">
        <f>AK47/AK45</f>
        <v>6.5026291755131665E-2</v>
      </c>
      <c r="AL51" s="3997"/>
      <c r="AM51" s="4046"/>
      <c r="AN51" s="4046"/>
    </row>
    <row r="52" spans="1:40" ht="20.100000000000001" customHeight="1" x14ac:dyDescent="0.3">
      <c r="A52" s="3785" t="s">
        <v>843</v>
      </c>
      <c r="B52" s="3785"/>
      <c r="C52" s="3785"/>
      <c r="D52" s="1781"/>
      <c r="E52" s="1781"/>
      <c r="F52" s="1781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781"/>
      <c r="R52" s="1781"/>
      <c r="S52" s="1781"/>
      <c r="T52" s="1781"/>
      <c r="U52" s="2573">
        <f>U48/U45</f>
        <v>0.58439376994390868</v>
      </c>
      <c r="V52" s="1781"/>
      <c r="W52" s="1781"/>
      <c r="X52" s="1781"/>
      <c r="Y52" s="1781"/>
      <c r="Z52" s="2573">
        <f>Z48/Z45</f>
        <v>0.55994895012820212</v>
      </c>
      <c r="AA52" s="2574">
        <f>U52</f>
        <v>0.58439376994390868</v>
      </c>
      <c r="AB52" s="2573">
        <f>AB48/AB45</f>
        <v>0.59208856168854718</v>
      </c>
      <c r="AC52" s="1781"/>
      <c r="AD52" s="2573">
        <f t="shared" ref="AD52:AE52" si="40">AD48/AD45</f>
        <v>0.56785265390697193</v>
      </c>
      <c r="AE52" s="2573">
        <f t="shared" si="40"/>
        <v>0.53035051694945778</v>
      </c>
      <c r="AF52" s="2574">
        <f>SUM(Z52)</f>
        <v>0.55994895012820212</v>
      </c>
      <c r="AG52" s="2579">
        <f>SUM(AF52)</f>
        <v>0.55994895012820212</v>
      </c>
      <c r="AH52" s="2579">
        <f>AH48/AH45</f>
        <v>0.55318544297606598</v>
      </c>
      <c r="AI52" s="2579">
        <f>AI48/AI45</f>
        <v>0.67033919879817205</v>
      </c>
      <c r="AJ52" s="2579">
        <f>AJ48/AJ45</f>
        <v>0.67033954104034599</v>
      </c>
      <c r="AK52" s="2579">
        <f>AK48/AK45</f>
        <v>0.66035156342121215</v>
      </c>
      <c r="AL52" s="3997"/>
      <c r="AM52" s="4046"/>
      <c r="AN52" s="4046"/>
    </row>
    <row r="53" spans="1:40" ht="20.100000000000001" customHeight="1" x14ac:dyDescent="0.3">
      <c r="A53" s="3785" t="s">
        <v>844</v>
      </c>
      <c r="B53" s="3785"/>
      <c r="C53" s="3785"/>
      <c r="D53" s="1781"/>
      <c r="E53" s="1781"/>
      <c r="F53" s="1781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781"/>
      <c r="R53" s="1781"/>
      <c r="S53" s="1781"/>
      <c r="T53" s="1781"/>
      <c r="U53" s="2573">
        <f>U49/U45</f>
        <v>0.21607430468895059</v>
      </c>
      <c r="V53" s="1781"/>
      <c r="W53" s="1781"/>
      <c r="X53" s="1781"/>
      <c r="Y53" s="1781"/>
      <c r="Z53" s="2573">
        <f>Z49/Z45</f>
        <v>0.2217608740846827</v>
      </c>
      <c r="AA53" s="2574">
        <f>U53</f>
        <v>0.21607430468895059</v>
      </c>
      <c r="AB53" s="2573">
        <f>AB49/AB45</f>
        <v>0.21268223688982377</v>
      </c>
      <c r="AC53" s="1781"/>
      <c r="AD53" s="2573">
        <f t="shared" ref="AD53:AE53" si="41">AD49/AD45</f>
        <v>0.19772689928320081</v>
      </c>
      <c r="AE53" s="2573">
        <f t="shared" si="41"/>
        <v>0.22799962774835783</v>
      </c>
      <c r="AF53" s="2574">
        <f>SUM(Z53)</f>
        <v>0.2217608740846827</v>
      </c>
      <c r="AG53" s="2579">
        <f>SUM(AF53)</f>
        <v>0.2217608740846827</v>
      </c>
      <c r="AH53" s="2579">
        <f>AH49/AH45</f>
        <v>0.22428864875439522</v>
      </c>
      <c r="AI53" s="2579">
        <f>AI49/AI45</f>
        <v>0.14255171666301175</v>
      </c>
      <c r="AJ53" s="2579">
        <f>AJ49/AJ45</f>
        <v>0.14255185022704009</v>
      </c>
      <c r="AK53" s="2579">
        <f>AK49/AK45</f>
        <v>0.14042784499914604</v>
      </c>
      <c r="AL53" s="3997"/>
      <c r="AM53" s="4046"/>
      <c r="AN53" s="4046"/>
    </row>
    <row r="54" spans="1:40" ht="20.100000000000001" customHeight="1" x14ac:dyDescent="0.3">
      <c r="A54" s="3785" t="s">
        <v>845</v>
      </c>
      <c r="B54" s="3785"/>
      <c r="C54" s="3785"/>
      <c r="D54" s="1781"/>
      <c r="E54" s="1781"/>
      <c r="F54" s="1781"/>
      <c r="G54" s="1781"/>
      <c r="H54" s="1781"/>
      <c r="I54" s="1781"/>
      <c r="J54" s="1781"/>
      <c r="K54" s="1781"/>
      <c r="L54" s="1781"/>
      <c r="M54" s="1781"/>
      <c r="N54" s="1781"/>
      <c r="O54" s="1781"/>
      <c r="P54" s="1781"/>
      <c r="Q54" s="1781"/>
      <c r="R54" s="1781"/>
      <c r="S54" s="1781"/>
      <c r="T54" s="1781"/>
      <c r="U54" s="2573">
        <f>U50/U45</f>
        <v>0.12166054225841692</v>
      </c>
      <c r="V54" s="1781"/>
      <c r="W54" s="1781"/>
      <c r="X54" s="1781"/>
      <c r="Y54" s="1781"/>
      <c r="Z54" s="2573">
        <f>Z50/Z45</f>
        <v>0.13222147790533828</v>
      </c>
      <c r="AA54" s="2574">
        <f>U54</f>
        <v>0.12166054225841692</v>
      </c>
      <c r="AB54" s="2573">
        <f>AB50/AB45</f>
        <v>0.11987288750272002</v>
      </c>
      <c r="AC54" s="1781"/>
      <c r="AD54" s="2573">
        <f t="shared" ref="AD54:AE54" si="42">AD50/AD45</f>
        <v>0.1226731766859933</v>
      </c>
      <c r="AE54" s="2573">
        <f t="shared" si="42"/>
        <v>0.1316750123083204</v>
      </c>
      <c r="AF54" s="2574">
        <f>SUM(Z54)</f>
        <v>0.13222147790533828</v>
      </c>
      <c r="AG54" s="2579">
        <f>SUM(AF54)</f>
        <v>0.13222147790533828</v>
      </c>
      <c r="AH54" s="2579">
        <f>AH50/AH45</f>
        <v>0.12897453190076344</v>
      </c>
      <c r="AI54" s="2579">
        <f>AI50/AI45</f>
        <v>0.12109928943939061</v>
      </c>
      <c r="AJ54" s="2579">
        <f>AJ50/AJ45</f>
        <v>0.12109915737935205</v>
      </c>
      <c r="AK54" s="2579">
        <f>AK50/AK45</f>
        <v>0.11929479466531047</v>
      </c>
      <c r="AL54" s="3997"/>
      <c r="AM54" s="4046"/>
      <c r="AN54" s="4046"/>
    </row>
    <row r="73" spans="21:44" x14ac:dyDescent="0.2">
      <c r="AC73" s="367"/>
      <c r="AD73" s="367"/>
      <c r="AE73" s="367"/>
      <c r="AF73" s="367"/>
      <c r="AG73" s="367"/>
      <c r="AH73" s="367"/>
      <c r="AI73" s="367"/>
      <c r="AJ73" s="367"/>
      <c r="AK73" s="367"/>
      <c r="AL73" s="367">
        <v>8</v>
      </c>
      <c r="AM73" s="367">
        <v>9</v>
      </c>
      <c r="AN73" s="367">
        <v>10</v>
      </c>
      <c r="AO73" s="367">
        <v>11</v>
      </c>
      <c r="AP73" s="367">
        <v>12</v>
      </c>
      <c r="AQ73" t="s">
        <v>296</v>
      </c>
    </row>
    <row r="74" spans="21:44" x14ac:dyDescent="0.2">
      <c r="U74" s="619"/>
      <c r="W74" s="619"/>
      <c r="X74" s="619"/>
      <c r="Y74" s="619"/>
      <c r="Z74" s="619"/>
      <c r="AA74" s="619"/>
      <c r="AB74" s="619"/>
      <c r="AC74" s="128"/>
      <c r="AD74" s="128"/>
      <c r="AE74" s="128"/>
      <c r="AF74" s="128"/>
      <c r="AG74" s="128"/>
      <c r="AH74" s="128"/>
      <c r="AI74" s="128"/>
      <c r="AJ74" s="128"/>
      <c r="AK74" s="128"/>
      <c r="AL74" s="1057">
        <v>5300</v>
      </c>
      <c r="AM74" s="1057">
        <v>4625</v>
      </c>
      <c r="AN74" s="1057">
        <f>SUM(U74)</f>
        <v>0</v>
      </c>
      <c r="AO74" s="128">
        <f>SUM(U74)</f>
        <v>0</v>
      </c>
      <c r="AP74" s="128">
        <f>SUM(U74)</f>
        <v>0</v>
      </c>
      <c r="AQ74">
        <v>52000</v>
      </c>
      <c r="AR74" s="128">
        <f>SUM(U74:AP74)</f>
        <v>9925</v>
      </c>
    </row>
    <row r="75" spans="21:44" x14ac:dyDescent="0.2">
      <c r="U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  <c r="AK75" s="619"/>
      <c r="AL75" s="619">
        <f>SUM(AL74/AQ74*100)</f>
        <v>10.192307692307692</v>
      </c>
      <c r="AM75" s="619">
        <f>SUM(AM74/AQ74*100)</f>
        <v>8.8942307692307701</v>
      </c>
      <c r="AN75" s="619">
        <f>SUM(AN74/AQ74*100)</f>
        <v>0</v>
      </c>
      <c r="AO75" s="619">
        <f>SUM(AO74/AQ74*100)</f>
        <v>0</v>
      </c>
      <c r="AP75" s="619">
        <f>SUM(AP74/AQ74*100)</f>
        <v>0</v>
      </c>
      <c r="AQ75" s="128">
        <f>SUM(U75:AP75)</f>
        <v>19.08653846153846</v>
      </c>
    </row>
    <row r="76" spans="21:44" x14ac:dyDescent="0.2">
      <c r="U76" s="619"/>
    </row>
  </sheetData>
  <mergeCells count="103">
    <mergeCell ref="AL21:AN21"/>
    <mergeCell ref="AL22:AN22"/>
    <mergeCell ref="AB5:AB7"/>
    <mergeCell ref="AC5:AC7"/>
    <mergeCell ref="AL14:AN14"/>
    <mergeCell ref="AL15:AN15"/>
    <mergeCell ref="AL16:AN16"/>
    <mergeCell ref="AL17:AN17"/>
    <mergeCell ref="AL18:AN18"/>
    <mergeCell ref="AL4:AN7"/>
    <mergeCell ref="AL8:AN8"/>
    <mergeCell ref="AL11:AN11"/>
    <mergeCell ref="AL12:AN12"/>
    <mergeCell ref="AL13:AN13"/>
    <mergeCell ref="AL9:AN9"/>
    <mergeCell ref="AL10:AN10"/>
    <mergeCell ref="AL19:AN19"/>
    <mergeCell ref="AL20:AN20"/>
    <mergeCell ref="AK5:AK7"/>
    <mergeCell ref="A2:AN2"/>
    <mergeCell ref="U4:Z4"/>
    <mergeCell ref="AA4:AE4"/>
    <mergeCell ref="Z5:Z7"/>
    <mergeCell ref="AD5:AD7"/>
    <mergeCell ref="AE5:AE7"/>
    <mergeCell ref="AF5:AF7"/>
    <mergeCell ref="AG5:AG7"/>
    <mergeCell ref="AH5:AH7"/>
    <mergeCell ref="AA5:AA7"/>
    <mergeCell ref="D5:D7"/>
    <mergeCell ref="Q5:Q7"/>
    <mergeCell ref="G5:G7"/>
    <mergeCell ref="U5:U7"/>
    <mergeCell ref="V5:V7"/>
    <mergeCell ref="S5:S7"/>
    <mergeCell ref="W5:W7"/>
    <mergeCell ref="X5:X7"/>
    <mergeCell ref="Y5:Y7"/>
    <mergeCell ref="F5:F7"/>
    <mergeCell ref="AF4:AH4"/>
    <mergeCell ref="AI5:AI7"/>
    <mergeCell ref="AJ4:AK4"/>
    <mergeCell ref="AJ5:AJ7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A53:C53"/>
    <mergeCell ref="A54:C54"/>
    <mergeCell ref="AL37:AN37"/>
    <mergeCell ref="AL43:AN43"/>
    <mergeCell ref="AL44:AN44"/>
    <mergeCell ref="AL51:AN51"/>
    <mergeCell ref="AL52:AN52"/>
    <mergeCell ref="AL53:AN53"/>
    <mergeCell ref="AL54:AN54"/>
    <mergeCell ref="AL50:AN50"/>
    <mergeCell ref="AL45:AN45"/>
    <mergeCell ref="AL46:AN46"/>
    <mergeCell ref="AL47:AN47"/>
    <mergeCell ref="A48:C48"/>
    <mergeCell ref="A51:C51"/>
    <mergeCell ref="A52:C52"/>
    <mergeCell ref="A47:C47"/>
    <mergeCell ref="AL48:AN48"/>
    <mergeCell ref="AL49:AN49"/>
    <mergeCell ref="AL38:AN38"/>
    <mergeCell ref="A49:C49"/>
    <mergeCell ref="AL42:AN42"/>
    <mergeCell ref="AL23:AN23"/>
    <mergeCell ref="AL24:AN24"/>
    <mergeCell ref="AL25:AN25"/>
    <mergeCell ref="AL39:AN39"/>
    <mergeCell ref="AL40:AN40"/>
    <mergeCell ref="AL41:AN41"/>
    <mergeCell ref="AL32:AN32"/>
    <mergeCell ref="AL33:AN33"/>
    <mergeCell ref="AL30:AN30"/>
    <mergeCell ref="AL31:AN31"/>
    <mergeCell ref="AL34:AN34"/>
    <mergeCell ref="AL35:AN35"/>
    <mergeCell ref="AL36:AN36"/>
    <mergeCell ref="AL26:AN26"/>
    <mergeCell ref="AL27:AN27"/>
    <mergeCell ref="AL28:AN28"/>
    <mergeCell ref="AL29:AN29"/>
  </mergeCells>
  <phoneticPr fontId="8" type="noConversion"/>
  <printOptions horizontalCentered="1" verticalCentered="1"/>
  <pageMargins left="0.15748031496062992" right="0.19685039370078741" top="0.19685039370078741" bottom="0.1968503937007874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A317"/>
  <sheetViews>
    <sheetView zoomScale="80" zoomScaleNormal="80" zoomScalePageLayoutView="80" workbookViewId="0">
      <selection activeCell="AL47" sqref="AL47"/>
    </sheetView>
  </sheetViews>
  <sheetFormatPr defaultRowHeight="12.75" outlineLevelCol="1" x14ac:dyDescent="0.2"/>
  <cols>
    <col min="1" max="1" width="48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7" hidden="1" customWidth="1" collapsed="1"/>
    <col min="20" max="21" width="10.42578125" style="327" hidden="1" customWidth="1" outlineLevel="1"/>
    <col min="22" max="22" width="13.28515625" style="585" hidden="1" customWidth="1" collapsed="1"/>
    <col min="23" max="23" width="10" hidden="1" customWidth="1" outlineLevel="1"/>
    <col min="24" max="24" width="12.85546875" style="367" hidden="1" customWidth="1" collapsed="1"/>
    <col min="25" max="25" width="13.7109375" style="367" hidden="1" customWidth="1"/>
    <col min="26" max="29" width="12.85546875" style="367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8" width="18.140625" customWidth="1"/>
    <col min="39" max="53" width="12.85546875" customWidth="1"/>
  </cols>
  <sheetData>
    <row r="1" spans="1:42" x14ac:dyDescent="0.2">
      <c r="AM1" t="s">
        <v>1511</v>
      </c>
    </row>
    <row r="2" spans="1:42" ht="20.25" x14ac:dyDescent="0.3">
      <c r="A2" s="4063" t="s">
        <v>82</v>
      </c>
      <c r="B2" s="4063"/>
      <c r="C2" s="4063"/>
      <c r="D2" s="4063"/>
      <c r="E2" s="4063"/>
      <c r="F2" s="4063"/>
      <c r="G2" s="4063"/>
      <c r="H2" s="4063"/>
      <c r="I2" s="4063"/>
      <c r="J2" s="4063"/>
      <c r="K2" s="4063"/>
      <c r="L2" s="4063"/>
      <c r="M2" s="4063"/>
      <c r="N2" s="4063"/>
      <c r="O2" s="4063"/>
      <c r="P2" s="4063"/>
      <c r="Q2" s="4063"/>
      <c r="R2" s="4063"/>
      <c r="S2" s="4063"/>
      <c r="T2" s="4063"/>
      <c r="U2" s="4063"/>
      <c r="V2" s="4063"/>
      <c r="W2" s="4063"/>
      <c r="X2" s="4063"/>
      <c r="Y2" s="4063"/>
      <c r="Z2" s="4063"/>
      <c r="AA2" s="4063"/>
      <c r="AB2" s="4063"/>
      <c r="AC2" s="4063"/>
      <c r="AD2" s="4063"/>
      <c r="AE2" s="4063"/>
      <c r="AF2" s="4063"/>
      <c r="AG2" s="4063"/>
      <c r="AH2" s="4063"/>
      <c r="AI2" s="4063"/>
      <c r="AJ2" s="4063"/>
      <c r="AK2" s="4063"/>
      <c r="AL2" s="4063"/>
      <c r="AM2" s="4063"/>
      <c r="AN2" s="3491"/>
      <c r="AO2" s="3491"/>
    </row>
    <row r="3" spans="1:42" ht="15.75" x14ac:dyDescent="0.25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/>
      <c r="T3" s="399"/>
      <c r="U3" s="399"/>
      <c r="V3" s="402"/>
      <c r="W3" s="5"/>
      <c r="X3" s="402"/>
      <c r="Y3" s="402"/>
      <c r="Z3" s="402"/>
      <c r="AA3" s="402"/>
      <c r="AB3" s="402"/>
      <c r="AC3" s="402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42" x14ac:dyDescent="0.2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5"/>
      <c r="N4" s="5"/>
      <c r="O4" s="5"/>
      <c r="P4" s="401" t="s">
        <v>56</v>
      </c>
      <c r="Q4" s="401"/>
      <c r="R4" s="5"/>
      <c r="S4" s="399"/>
      <c r="T4" s="399"/>
      <c r="U4" s="399"/>
      <c r="V4" s="402"/>
      <c r="W4" s="5"/>
      <c r="X4" s="402"/>
      <c r="Y4" s="402"/>
      <c r="Z4" s="402"/>
      <c r="AA4" s="402"/>
      <c r="AB4" s="402"/>
      <c r="AC4" s="402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42" ht="16.5" customHeight="1" x14ac:dyDescent="0.2">
      <c r="A5" s="3785" t="s">
        <v>536</v>
      </c>
      <c r="B5" s="3768" t="s">
        <v>58</v>
      </c>
      <c r="C5" s="3785" t="s">
        <v>59</v>
      </c>
      <c r="D5" s="3785"/>
      <c r="E5" s="3785" t="s">
        <v>67</v>
      </c>
      <c r="F5" s="3785"/>
      <c r="G5" s="3785" t="s">
        <v>95</v>
      </c>
      <c r="H5" s="3785"/>
      <c r="I5" s="3785" t="s">
        <v>120</v>
      </c>
      <c r="J5" s="3785"/>
      <c r="K5" s="3785"/>
      <c r="L5" s="3785"/>
      <c r="M5" s="3785"/>
      <c r="N5" s="3768" t="s">
        <v>159</v>
      </c>
      <c r="O5" s="3768"/>
      <c r="P5" s="3768"/>
      <c r="Q5" s="3768"/>
      <c r="R5" s="3768"/>
      <c r="S5" s="3768"/>
      <c r="T5" s="3768"/>
      <c r="U5" s="3768"/>
      <c r="V5" s="3975" t="s">
        <v>235</v>
      </c>
      <c r="W5" s="3975"/>
      <c r="X5" s="3975"/>
      <c r="Y5" s="3975"/>
      <c r="Z5" s="3975"/>
      <c r="AA5" s="4083"/>
      <c r="AB5" s="3975" t="s">
        <v>373</v>
      </c>
      <c r="AC5" s="3975"/>
      <c r="AD5" s="3975"/>
      <c r="AE5" s="4083"/>
      <c r="AF5" s="4083"/>
      <c r="AG5" s="4086" t="s">
        <v>829</v>
      </c>
      <c r="AH5" s="4087"/>
      <c r="AI5" s="4088"/>
      <c r="AJ5" s="2477" t="s">
        <v>908</v>
      </c>
      <c r="AK5" s="4086" t="s">
        <v>1819</v>
      </c>
      <c r="AL5" s="4088"/>
      <c r="AM5" s="3960" t="s">
        <v>243</v>
      </c>
      <c r="AN5" s="4066"/>
      <c r="AO5" s="4066"/>
    </row>
    <row r="6" spans="1:42" ht="13.5" customHeight="1" x14ac:dyDescent="0.2">
      <c r="A6" s="3785"/>
      <c r="B6" s="3768"/>
      <c r="C6" s="3768" t="s">
        <v>61</v>
      </c>
      <c r="D6" s="3768" t="s">
        <v>62</v>
      </c>
      <c r="E6" s="3768" t="s">
        <v>61</v>
      </c>
      <c r="F6" s="3768" t="s">
        <v>66</v>
      </c>
      <c r="G6" s="3768" t="s">
        <v>61</v>
      </c>
      <c r="H6" s="3768" t="s">
        <v>112</v>
      </c>
      <c r="I6" s="3768" t="s">
        <v>60</v>
      </c>
      <c r="J6" s="3768" t="s">
        <v>63</v>
      </c>
      <c r="K6" s="3768" t="s">
        <v>110</v>
      </c>
      <c r="L6" s="3768" t="s">
        <v>61</v>
      </c>
      <c r="M6" s="3768" t="s">
        <v>119</v>
      </c>
      <c r="N6" s="3768" t="s">
        <v>122</v>
      </c>
      <c r="O6" s="3768" t="s">
        <v>166</v>
      </c>
      <c r="P6" s="3768" t="s">
        <v>123</v>
      </c>
      <c r="Q6" s="3768" t="s">
        <v>209</v>
      </c>
      <c r="R6" s="3768" t="s">
        <v>210</v>
      </c>
      <c r="S6" s="3768" t="s">
        <v>110</v>
      </c>
      <c r="T6" s="3768" t="s">
        <v>64</v>
      </c>
      <c r="U6" s="3768" t="s">
        <v>61</v>
      </c>
      <c r="V6" s="3768" t="s">
        <v>560</v>
      </c>
      <c r="W6" s="3768" t="s">
        <v>240</v>
      </c>
      <c r="X6" s="3768" t="s">
        <v>561</v>
      </c>
      <c r="Y6" s="3768" t="s">
        <v>384</v>
      </c>
      <c r="Z6" s="3768" t="s">
        <v>130</v>
      </c>
      <c r="AA6" s="3768" t="s">
        <v>654</v>
      </c>
      <c r="AB6" s="3768" t="s">
        <v>560</v>
      </c>
      <c r="AC6" s="3768" t="s">
        <v>561</v>
      </c>
      <c r="AD6" s="3768" t="s">
        <v>562</v>
      </c>
      <c r="AE6" s="3768" t="s">
        <v>384</v>
      </c>
      <c r="AF6" s="3768" t="s">
        <v>130</v>
      </c>
      <c r="AG6" s="3768" t="s">
        <v>560</v>
      </c>
      <c r="AH6" s="3768" t="s">
        <v>1602</v>
      </c>
      <c r="AI6" s="4055" t="s">
        <v>61</v>
      </c>
      <c r="AJ6" s="4055" t="s">
        <v>61</v>
      </c>
      <c r="AK6" s="4055" t="s">
        <v>1839</v>
      </c>
      <c r="AL6" s="4055" t="s">
        <v>1924</v>
      </c>
      <c r="AM6" s="3960"/>
      <c r="AN6" s="4066"/>
      <c r="AO6" s="4066"/>
    </row>
    <row r="7" spans="1:42" ht="14.25" customHeight="1" x14ac:dyDescent="0.2">
      <c r="A7" s="3785"/>
      <c r="B7" s="3768"/>
      <c r="C7" s="3768"/>
      <c r="D7" s="3768"/>
      <c r="E7" s="3768"/>
      <c r="F7" s="3768"/>
      <c r="G7" s="3768"/>
      <c r="H7" s="3768"/>
      <c r="I7" s="3768"/>
      <c r="J7" s="3768"/>
      <c r="K7" s="3768"/>
      <c r="L7" s="3768"/>
      <c r="M7" s="3768"/>
      <c r="N7" s="3768"/>
      <c r="O7" s="3768"/>
      <c r="P7" s="3768"/>
      <c r="Q7" s="3768"/>
      <c r="R7" s="3768"/>
      <c r="S7" s="3768"/>
      <c r="T7" s="3768"/>
      <c r="U7" s="3768"/>
      <c r="V7" s="3768"/>
      <c r="W7" s="3768"/>
      <c r="X7" s="3768"/>
      <c r="Y7" s="3768"/>
      <c r="Z7" s="3768"/>
      <c r="AA7" s="3768"/>
      <c r="AB7" s="3768"/>
      <c r="AC7" s="3768"/>
      <c r="AD7" s="3768"/>
      <c r="AE7" s="3768"/>
      <c r="AF7" s="3768"/>
      <c r="AG7" s="3768"/>
      <c r="AH7" s="3768"/>
      <c r="AI7" s="4056"/>
      <c r="AJ7" s="4056"/>
      <c r="AK7" s="4056"/>
      <c r="AL7" s="4056"/>
      <c r="AM7" s="3960"/>
      <c r="AN7" s="4066"/>
      <c r="AO7" s="4066"/>
    </row>
    <row r="8" spans="1:42" ht="29.25" customHeight="1" x14ac:dyDescent="0.2">
      <c r="A8" s="3785"/>
      <c r="B8" s="3768"/>
      <c r="C8" s="3768"/>
      <c r="D8" s="3768"/>
      <c r="E8" s="3768"/>
      <c r="F8" s="3768"/>
      <c r="G8" s="3768"/>
      <c r="H8" s="3768"/>
      <c r="I8" s="3768"/>
      <c r="J8" s="3768"/>
      <c r="K8" s="3768"/>
      <c r="L8" s="3768"/>
      <c r="M8" s="3768"/>
      <c r="N8" s="3768"/>
      <c r="O8" s="3768"/>
      <c r="P8" s="3768"/>
      <c r="Q8" s="3768"/>
      <c r="R8" s="3768"/>
      <c r="S8" s="3768"/>
      <c r="T8" s="3768"/>
      <c r="U8" s="3768"/>
      <c r="V8" s="3768"/>
      <c r="W8" s="3768"/>
      <c r="X8" s="3768"/>
      <c r="Y8" s="3768"/>
      <c r="Z8" s="3768"/>
      <c r="AA8" s="3768"/>
      <c r="AB8" s="3768"/>
      <c r="AC8" s="3768"/>
      <c r="AD8" s="3768"/>
      <c r="AE8" s="3768"/>
      <c r="AF8" s="3768"/>
      <c r="AG8" s="3768"/>
      <c r="AH8" s="3768"/>
      <c r="AI8" s="4057"/>
      <c r="AJ8" s="4057"/>
      <c r="AK8" s="4057"/>
      <c r="AL8" s="4057"/>
      <c r="AM8" s="3960"/>
      <c r="AN8" s="4066"/>
      <c r="AO8" s="4066"/>
    </row>
    <row r="9" spans="1:42" ht="46.5" customHeight="1" x14ac:dyDescent="0.2">
      <c r="A9" s="1681" t="s">
        <v>72</v>
      </c>
      <c r="B9" s="2475">
        <v>3590.7</v>
      </c>
      <c r="C9" s="2561">
        <v>3994.1</v>
      </c>
      <c r="D9" s="2562">
        <f t="shared" ref="D9:D18" si="0">C9/B9*100</f>
        <v>111.23457821594675</v>
      </c>
      <c r="E9" s="2563">
        <v>5061.1000000000004</v>
      </c>
      <c r="F9" s="2564">
        <f>E9/C9*100</f>
        <v>126.71440374552465</v>
      </c>
      <c r="G9" s="2563">
        <v>5204.1000000000004</v>
      </c>
      <c r="H9" s="2564">
        <f>G9/E9*100</f>
        <v>102.82547272332101</v>
      </c>
      <c r="I9" s="2563">
        <v>5863.5</v>
      </c>
      <c r="J9" s="2563">
        <v>2662.2</v>
      </c>
      <c r="K9" s="2563">
        <v>3506.3</v>
      </c>
      <c r="L9" s="2563">
        <v>5246.3</v>
      </c>
      <c r="M9" s="2564">
        <f>L9/G9*100</f>
        <v>100.81089909878749</v>
      </c>
      <c r="N9" s="2563">
        <v>7305.8</v>
      </c>
      <c r="O9" s="2564">
        <f>N9/I9*100</f>
        <v>124.59793638611751</v>
      </c>
      <c r="P9" s="2563">
        <v>6279.8</v>
      </c>
      <c r="Q9" s="2564">
        <f>P9/I9*100</f>
        <v>107.09985503538842</v>
      </c>
      <c r="R9" s="2564">
        <f>P9/L9*100</f>
        <v>119.69959781179116</v>
      </c>
      <c r="S9" s="2563">
        <v>4175.6000000000004</v>
      </c>
      <c r="T9" s="2563"/>
      <c r="U9" s="2563">
        <v>5450.9</v>
      </c>
      <c r="V9" s="2563">
        <v>7339.4</v>
      </c>
      <c r="W9" s="2566">
        <f>V9/P9</f>
        <v>1.1687314882639575</v>
      </c>
      <c r="X9" s="2565">
        <f>P9*1.056</f>
        <v>6631.4688000000006</v>
      </c>
      <c r="Y9" s="2565"/>
      <c r="Z9" s="2565"/>
      <c r="AA9" s="2565">
        <v>4558.8999999999996</v>
      </c>
      <c r="AB9" s="2565">
        <v>7001.8</v>
      </c>
      <c r="AC9" s="2565">
        <f>U9*1.074*1.067</f>
        <v>6246.5024621999992</v>
      </c>
      <c r="AD9" s="2566">
        <f>AC9/X9</f>
        <v>0.94194855628363938</v>
      </c>
      <c r="AE9" s="2565">
        <v>2176.5</v>
      </c>
      <c r="AF9" s="2565">
        <v>3321.14</v>
      </c>
      <c r="AG9" s="2565">
        <f>SUM(AC9*1.1)</f>
        <v>6871.1527084199997</v>
      </c>
      <c r="AH9" s="2565">
        <f>AF9/3*4*1.074</f>
        <v>4755.87248</v>
      </c>
      <c r="AI9" s="2565">
        <v>5466</v>
      </c>
      <c r="AJ9" s="2565">
        <v>4915.54</v>
      </c>
      <c r="AK9" s="2565">
        <v>7986.52</v>
      </c>
      <c r="AL9" s="2565">
        <f>AL10*AL11*12/1000</f>
        <v>5192.5594201064687</v>
      </c>
      <c r="AM9" s="4044" t="str">
        <f>'цех вода'!AL8</f>
        <v xml:space="preserve"> </v>
      </c>
      <c r="AN9" s="4045"/>
      <c r="AO9" s="4045"/>
    </row>
    <row r="10" spans="1:42" s="182" customFormat="1" ht="28.5" customHeight="1" x14ac:dyDescent="0.2">
      <c r="A10" s="1756" t="s">
        <v>1469</v>
      </c>
      <c r="B10" s="2567"/>
      <c r="C10" s="2562"/>
      <c r="D10" s="2562"/>
      <c r="E10" s="2564"/>
      <c r="F10" s="2564"/>
      <c r="G10" s="2564"/>
      <c r="H10" s="2564"/>
      <c r="I10" s="2564"/>
      <c r="J10" s="2564"/>
      <c r="K10" s="2564"/>
      <c r="L10" s="2564"/>
      <c r="M10" s="2564"/>
      <c r="N10" s="2564"/>
      <c r="O10" s="2564"/>
      <c r="P10" s="2564"/>
      <c r="Q10" s="2564"/>
      <c r="R10" s="2564"/>
      <c r="S10" s="2564"/>
      <c r="T10" s="2564"/>
      <c r="U10" s="2564"/>
      <c r="V10" s="2564"/>
      <c r="W10" s="2580"/>
      <c r="X10" s="2572"/>
      <c r="Y10" s="2572"/>
      <c r="Z10" s="2572"/>
      <c r="AA10" s="2572"/>
      <c r="AB10" s="2572"/>
      <c r="AC10" s="2572"/>
      <c r="AD10" s="2580"/>
      <c r="AE10" s="2572">
        <v>10</v>
      </c>
      <c r="AF10" s="2572">
        <f>AE10</f>
        <v>10</v>
      </c>
      <c r="AG10" s="2572"/>
      <c r="AH10" s="2578">
        <f>AE10</f>
        <v>10</v>
      </c>
      <c r="AI10" s="2578">
        <v>12</v>
      </c>
      <c r="AJ10" s="2578">
        <v>10</v>
      </c>
      <c r="AK10" s="2578">
        <v>11</v>
      </c>
      <c r="AL10" s="2578">
        <v>10</v>
      </c>
      <c r="AM10" s="4084" t="str">
        <f>'цех вода'!AL9</f>
        <v>исходя из фактической численности за 2017 год</v>
      </c>
      <c r="AN10" s="4085"/>
      <c r="AO10" s="4085"/>
    </row>
    <row r="11" spans="1:42" s="182" customFormat="1" ht="33" customHeight="1" x14ac:dyDescent="0.2">
      <c r="A11" s="1756" t="s">
        <v>1470</v>
      </c>
      <c r="B11" s="2567"/>
      <c r="C11" s="2562"/>
      <c r="D11" s="2562"/>
      <c r="E11" s="2564"/>
      <c r="F11" s="2564"/>
      <c r="G11" s="2564"/>
      <c r="H11" s="2564"/>
      <c r="I11" s="2564"/>
      <c r="J11" s="2564"/>
      <c r="K11" s="2564"/>
      <c r="L11" s="2564"/>
      <c r="M11" s="2564"/>
      <c r="N11" s="2564"/>
      <c r="O11" s="2564"/>
      <c r="P11" s="2564"/>
      <c r="Q11" s="2564"/>
      <c r="R11" s="2564"/>
      <c r="S11" s="2564"/>
      <c r="T11" s="2564"/>
      <c r="U11" s="2564"/>
      <c r="V11" s="2564"/>
      <c r="W11" s="2580"/>
      <c r="X11" s="2572"/>
      <c r="Y11" s="2572"/>
      <c r="Z11" s="2572"/>
      <c r="AA11" s="2572"/>
      <c r="AB11" s="2572"/>
      <c r="AC11" s="2572"/>
      <c r="AD11" s="2580"/>
      <c r="AE11" s="2572">
        <f>AE9/AE10/6*1000</f>
        <v>36275</v>
      </c>
      <c r="AF11" s="2572">
        <f>AF9/AF10/9*1000</f>
        <v>36901.555555555555</v>
      </c>
      <c r="AG11" s="2572"/>
      <c r="AH11" s="2578">
        <f>AH9/AH10*1000/12</f>
        <v>39632.270666666664</v>
      </c>
      <c r="AI11" s="2578">
        <f t="shared" ref="AI11:AK11" si="1">AI9/AI10*1000/12</f>
        <v>37958.333333333336</v>
      </c>
      <c r="AJ11" s="2578">
        <f t="shared" si="1"/>
        <v>40962.833333333336</v>
      </c>
      <c r="AK11" s="2578">
        <f t="shared" si="1"/>
        <v>60503.939393939399</v>
      </c>
      <c r="AL11" s="1699">
        <f>AH11*0.99*1.037*0.99*1.027*1.046</f>
        <v>43271.328500887241</v>
      </c>
      <c r="AM11" s="4084" t="str">
        <f>'цех вода'!AL10</f>
        <v>исходя из утвержденной в тарифах на догосрочный период регулирования</v>
      </c>
      <c r="AN11" s="4085"/>
      <c r="AO11" s="4085"/>
    </row>
    <row r="12" spans="1:42" ht="41.25" customHeight="1" x14ac:dyDescent="0.2">
      <c r="A12" s="1681" t="s">
        <v>5</v>
      </c>
      <c r="B12" s="2475">
        <v>898.5</v>
      </c>
      <c r="C12" s="2561">
        <v>887.6</v>
      </c>
      <c r="D12" s="2562">
        <f t="shared" si="0"/>
        <v>98.786867000556484</v>
      </c>
      <c r="E12" s="2563">
        <v>1300.4000000000001</v>
      </c>
      <c r="F12" s="2564">
        <f t="shared" ref="F12:F45" si="2">E12/C12*100</f>
        <v>146.50743578188374</v>
      </c>
      <c r="G12" s="2563">
        <v>1722.2</v>
      </c>
      <c r="H12" s="2564">
        <f t="shared" ref="H12:H45" si="3">G12/E12*100</f>
        <v>132.4361734850815</v>
      </c>
      <c r="I12" s="2563">
        <f>I9*30.2/100</f>
        <v>1770.7769999999998</v>
      </c>
      <c r="J12" s="2563">
        <v>858</v>
      </c>
      <c r="K12" s="2563">
        <v>1052.7</v>
      </c>
      <c r="L12" s="2563">
        <v>1516.7</v>
      </c>
      <c r="M12" s="2564">
        <f t="shared" ref="M12:M45" si="4">L12/G12*100</f>
        <v>88.067587968877021</v>
      </c>
      <c r="N12" s="2563">
        <v>2206.35</v>
      </c>
      <c r="O12" s="2564">
        <f t="shared" ref="O12:O45" si="5">N12/I12*100</f>
        <v>124.59784603030195</v>
      </c>
      <c r="P12" s="2563">
        <f>P9*30.2/100</f>
        <v>1896.4995999999999</v>
      </c>
      <c r="Q12" s="2564">
        <f t="shared" ref="Q12:Q41" si="6">P12/I12*100</f>
        <v>107.09985503538842</v>
      </c>
      <c r="R12" s="2564">
        <f>P12/L12*100</f>
        <v>125.04118151249422</v>
      </c>
      <c r="S12" s="2563">
        <v>1252.8</v>
      </c>
      <c r="T12" s="2563"/>
      <c r="U12" s="2563">
        <v>1634.9</v>
      </c>
      <c r="V12" s="2563">
        <v>2216.5</v>
      </c>
      <c r="W12" s="2566">
        <f t="shared" ref="W12:W42" si="7">V12/P12</f>
        <v>1.1687321210086203</v>
      </c>
      <c r="X12" s="2565">
        <f>X9*S13</f>
        <v>1989.6312177028451</v>
      </c>
      <c r="Y12" s="2565"/>
      <c r="Z12" s="2565"/>
      <c r="AA12" s="2565">
        <v>1368.5</v>
      </c>
      <c r="AB12" s="2565">
        <v>2114.54</v>
      </c>
      <c r="AC12" s="2565">
        <f>AC9*AC13</f>
        <v>1873.5267342000002</v>
      </c>
      <c r="AD12" s="2566">
        <f t="shared" ref="AD12:AD46" si="8">AC12/X12</f>
        <v>0.9416452242657839</v>
      </c>
      <c r="AE12" s="2565">
        <v>653.79999999999995</v>
      </c>
      <c r="AF12" s="2565">
        <v>997.09</v>
      </c>
      <c r="AG12" s="2565">
        <f>SUM(AG9*AG13)</f>
        <v>2075.0881179428397</v>
      </c>
      <c r="AH12" s="2565">
        <f>AH9*AH13</f>
        <v>1427.627605097721</v>
      </c>
      <c r="AI12" s="2565">
        <v>1645.78</v>
      </c>
      <c r="AJ12" s="2565">
        <v>1479.99</v>
      </c>
      <c r="AK12" s="2565">
        <v>2399.9499999999998</v>
      </c>
      <c r="AL12" s="2565">
        <f>AL9*AK13</f>
        <v>1560.3645868644314</v>
      </c>
      <c r="AM12" s="4044" t="s">
        <v>247</v>
      </c>
      <c r="AN12" s="4045"/>
      <c r="AO12" s="4045"/>
    </row>
    <row r="13" spans="1:42" ht="18.75" x14ac:dyDescent="0.2">
      <c r="A13" s="1681" t="s">
        <v>318</v>
      </c>
      <c r="B13" s="2475"/>
      <c r="C13" s="2561"/>
      <c r="D13" s="2562"/>
      <c r="E13" s="2581">
        <f>E12/E9</f>
        <v>0.25694019086759795</v>
      </c>
      <c r="F13" s="2581">
        <f t="shared" ref="F13:X13" si="9">F12/F9</f>
        <v>1.1562019111584869</v>
      </c>
      <c r="G13" s="2581">
        <f t="shared" si="9"/>
        <v>0.33093138102649833</v>
      </c>
      <c r="H13" s="2581">
        <f t="shared" si="9"/>
        <v>1.2879704802470091</v>
      </c>
      <c r="I13" s="2581">
        <f t="shared" si="9"/>
        <v>0.30199999999999999</v>
      </c>
      <c r="J13" s="2581">
        <f t="shared" si="9"/>
        <v>0.32228983547441969</v>
      </c>
      <c r="K13" s="2581">
        <f t="shared" si="9"/>
        <v>0.3002310127484813</v>
      </c>
      <c r="L13" s="2581">
        <f t="shared" si="9"/>
        <v>0.28909898404589901</v>
      </c>
      <c r="M13" s="2581">
        <f t="shared" si="9"/>
        <v>0.8735919305964831</v>
      </c>
      <c r="N13" s="2581">
        <f t="shared" si="9"/>
        <v>0.30199978099592101</v>
      </c>
      <c r="O13" s="2581">
        <f t="shared" si="9"/>
        <v>0.99999927482093054</v>
      </c>
      <c r="P13" s="2581">
        <f t="shared" si="9"/>
        <v>0.30199999999999999</v>
      </c>
      <c r="Q13" s="2581">
        <f t="shared" si="9"/>
        <v>1</v>
      </c>
      <c r="R13" s="2581">
        <f t="shared" si="9"/>
        <v>1.0446249093426518</v>
      </c>
      <c r="S13" s="2581">
        <f t="shared" si="9"/>
        <v>0.30002873838490274</v>
      </c>
      <c r="T13" s="2581" t="e">
        <f>T12/T9</f>
        <v>#DIV/0!</v>
      </c>
      <c r="U13" s="2581">
        <f>U12/U9</f>
        <v>0.29993212130106961</v>
      </c>
      <c r="V13" s="2581">
        <f t="shared" si="9"/>
        <v>0.30200016350110365</v>
      </c>
      <c r="W13" s="2566">
        <f t="shared" si="7"/>
        <v>1.0000005413943829</v>
      </c>
      <c r="X13" s="2581">
        <f t="shared" si="9"/>
        <v>0.30002873838490274</v>
      </c>
      <c r="Y13" s="2581"/>
      <c r="Z13" s="2581"/>
      <c r="AA13" s="2581">
        <f>SUM(AA12/AA9)</f>
        <v>0.30018206146219484</v>
      </c>
      <c r="AB13" s="2581">
        <f>AB12/AB9</f>
        <v>0.30199948584649661</v>
      </c>
      <c r="AC13" s="2581">
        <f>U13</f>
        <v>0.29993212130106961</v>
      </c>
      <c r="AD13" s="2566">
        <f t="shared" si="8"/>
        <v>0.9996779739022561</v>
      </c>
      <c r="AE13" s="2581">
        <f t="shared" ref="AE13:AF13" si="10">SUM(AE12/AE9)</f>
        <v>0.30039053526303694</v>
      </c>
      <c r="AF13" s="2581">
        <f t="shared" si="10"/>
        <v>0.30022522386891248</v>
      </c>
      <c r="AG13" s="2581">
        <v>0.30199999999999999</v>
      </c>
      <c r="AH13" s="2581">
        <f>AA13</f>
        <v>0.30018206146219484</v>
      </c>
      <c r="AI13" s="2581">
        <f>AI12/AI9</f>
        <v>0.30109403585803146</v>
      </c>
      <c r="AJ13" s="2581">
        <f t="shared" ref="AJ13:AL13" si="11">AJ12/AJ9</f>
        <v>0.30108390939754331</v>
      </c>
      <c r="AK13" s="2581">
        <f t="shared" si="11"/>
        <v>0.30050009265612554</v>
      </c>
      <c r="AL13" s="2581">
        <f t="shared" si="11"/>
        <v>0.30050009265612554</v>
      </c>
      <c r="AM13" s="4044"/>
      <c r="AN13" s="4045"/>
      <c r="AO13" s="4045"/>
    </row>
    <row r="14" spans="1:42" ht="19.5" customHeight="1" x14ac:dyDescent="0.2">
      <c r="A14" s="1681" t="s">
        <v>52</v>
      </c>
      <c r="B14" s="2475">
        <v>45.4</v>
      </c>
      <c r="C14" s="2561">
        <v>31.8</v>
      </c>
      <c r="D14" s="2562">
        <f t="shared" si="0"/>
        <v>70.044052863436121</v>
      </c>
      <c r="E14" s="2563">
        <v>39.799999999999997</v>
      </c>
      <c r="F14" s="2564">
        <f t="shared" si="2"/>
        <v>125.1572327044025</v>
      </c>
      <c r="G14" s="2563">
        <v>38.6</v>
      </c>
      <c r="H14" s="2564">
        <f t="shared" si="3"/>
        <v>96.984924623115589</v>
      </c>
      <c r="I14" s="2563">
        <v>44.2</v>
      </c>
      <c r="J14" s="2563">
        <v>17.899999999999999</v>
      </c>
      <c r="K14" s="2563">
        <v>38.1</v>
      </c>
      <c r="L14" s="2563">
        <v>39.4</v>
      </c>
      <c r="M14" s="2564">
        <f t="shared" si="4"/>
        <v>102.07253886010361</v>
      </c>
      <c r="N14" s="2563">
        <v>48.62</v>
      </c>
      <c r="O14" s="2564">
        <f t="shared" si="5"/>
        <v>109.99999999999999</v>
      </c>
      <c r="P14" s="2563">
        <v>46.4</v>
      </c>
      <c r="Q14" s="2564">
        <f t="shared" si="6"/>
        <v>104.97737556561084</v>
      </c>
      <c r="R14" s="2564">
        <f>P14/L14*100</f>
        <v>117.76649746192894</v>
      </c>
      <c r="S14" s="2563">
        <v>32.9</v>
      </c>
      <c r="T14" s="2563"/>
      <c r="U14" s="2563">
        <v>43.5</v>
      </c>
      <c r="V14" s="2563">
        <v>50.82</v>
      </c>
      <c r="W14" s="2566">
        <f t="shared" si="7"/>
        <v>1.0952586206896553</v>
      </c>
      <c r="X14" s="2565">
        <f>P14*1.048</f>
        <v>48.627200000000002</v>
      </c>
      <c r="Y14" s="2565"/>
      <c r="Z14" s="2565"/>
      <c r="AA14" s="2565">
        <v>35.1</v>
      </c>
      <c r="AB14" s="2565">
        <v>53.148000000000003</v>
      </c>
      <c r="AC14" s="2565">
        <f>X14*1.076</f>
        <v>52.322867200000005</v>
      </c>
      <c r="AD14" s="2566">
        <f t="shared" si="8"/>
        <v>1.0760000000000001</v>
      </c>
      <c r="AE14" s="2565">
        <v>22.87</v>
      </c>
      <c r="AF14" s="2565">
        <v>36.43</v>
      </c>
      <c r="AG14" s="2565">
        <f>SUM(AC14*1.1)</f>
        <v>57.555153920000009</v>
      </c>
      <c r="AH14" s="2593">
        <f>AG14</f>
        <v>57.555153920000009</v>
      </c>
      <c r="AI14" s="2593">
        <v>49.68</v>
      </c>
      <c r="AJ14" s="2593">
        <v>39.72</v>
      </c>
      <c r="AK14" s="2593">
        <v>66.3</v>
      </c>
      <c r="AL14" s="2593">
        <f>AK14</f>
        <v>66.3</v>
      </c>
      <c r="AM14" s="4044" t="s">
        <v>2100</v>
      </c>
      <c r="AN14" s="4045"/>
      <c r="AO14" s="4045"/>
    </row>
    <row r="15" spans="1:42" ht="40.5" customHeight="1" x14ac:dyDescent="0.2">
      <c r="A15" s="1681" t="s">
        <v>31</v>
      </c>
      <c r="B15" s="2475">
        <v>644.5</v>
      </c>
      <c r="C15" s="2561">
        <v>514</v>
      </c>
      <c r="D15" s="2562">
        <f t="shared" si="0"/>
        <v>79.751745539177648</v>
      </c>
      <c r="E15" s="2563">
        <v>579.70000000000005</v>
      </c>
      <c r="F15" s="2564">
        <f t="shared" si="2"/>
        <v>112.78210116731518</v>
      </c>
      <c r="G15" s="2563">
        <v>612.70000000000005</v>
      </c>
      <c r="H15" s="2564">
        <f t="shared" si="3"/>
        <v>105.69259962049335</v>
      </c>
      <c r="I15" s="2563">
        <v>587</v>
      </c>
      <c r="J15" s="2563">
        <v>290.39999999999998</v>
      </c>
      <c r="K15" s="2563">
        <v>517.5</v>
      </c>
      <c r="L15" s="2563">
        <v>750.9</v>
      </c>
      <c r="M15" s="2564">
        <f t="shared" si="4"/>
        <v>122.5559001142484</v>
      </c>
      <c r="N15" s="2563">
        <v>682</v>
      </c>
      <c r="O15" s="2564">
        <f t="shared" si="5"/>
        <v>116.1839863713799</v>
      </c>
      <c r="P15" s="2563">
        <v>650.4</v>
      </c>
      <c r="Q15" s="2564">
        <f t="shared" si="6"/>
        <v>110.8006814310051</v>
      </c>
      <c r="R15" s="2564">
        <f>P15/L15*100</f>
        <v>86.616060727127447</v>
      </c>
      <c r="S15" s="2563">
        <v>668.6</v>
      </c>
      <c r="T15" s="2563"/>
      <c r="U15" s="2563">
        <v>837.1</v>
      </c>
      <c r="V15" s="2563">
        <v>867.3</v>
      </c>
      <c r="W15" s="2566">
        <f t="shared" si="7"/>
        <v>1.3334870848708487</v>
      </c>
      <c r="X15" s="2565">
        <f>P15*1.03</f>
        <v>669.91200000000003</v>
      </c>
      <c r="Y15" s="2565"/>
      <c r="Z15" s="2565"/>
      <c r="AA15" s="2565">
        <v>594.9</v>
      </c>
      <c r="AB15" s="2565">
        <v>824.4</v>
      </c>
      <c r="AC15" s="2565">
        <f>AB15</f>
        <v>824.4</v>
      </c>
      <c r="AD15" s="2566">
        <f t="shared" si="8"/>
        <v>1.2306093934725755</v>
      </c>
      <c r="AE15" s="2565">
        <v>286.11</v>
      </c>
      <c r="AF15" s="2565">
        <v>440.35</v>
      </c>
      <c r="AG15" s="2565">
        <f>SUM(AC15*1.1)</f>
        <v>906.84</v>
      </c>
      <c r="AH15" s="2593">
        <f>AA15*1.044*1.033</f>
        <v>641.57109479999997</v>
      </c>
      <c r="AI15" s="2593">
        <v>707.5</v>
      </c>
      <c r="AJ15" s="2593">
        <v>790.73</v>
      </c>
      <c r="AK15" s="2593">
        <v>739.02</v>
      </c>
      <c r="AL15" s="1689">
        <f>AK15</f>
        <v>739.02</v>
      </c>
      <c r="AM15" s="4044" t="s">
        <v>2100</v>
      </c>
      <c r="AN15" s="4045"/>
      <c r="AO15" s="4045"/>
      <c r="AP15">
        <f>AA15*1.044*1.033</f>
        <v>641.57109479999997</v>
      </c>
    </row>
    <row r="16" spans="1:42" ht="18.75" customHeight="1" x14ac:dyDescent="0.2">
      <c r="A16" s="1681" t="s">
        <v>71</v>
      </c>
      <c r="B16" s="2475">
        <v>17.3</v>
      </c>
      <c r="C16" s="2561">
        <v>13.5</v>
      </c>
      <c r="D16" s="2562">
        <f t="shared" si="0"/>
        <v>78.034682080924853</v>
      </c>
      <c r="E16" s="2563">
        <v>28.4</v>
      </c>
      <c r="F16" s="2564">
        <f t="shared" si="2"/>
        <v>210.37037037037035</v>
      </c>
      <c r="G16" s="2563">
        <v>20</v>
      </c>
      <c r="H16" s="2564">
        <f t="shared" si="3"/>
        <v>70.422535211267615</v>
      </c>
      <c r="I16" s="2563">
        <v>19.5</v>
      </c>
      <c r="J16" s="2563">
        <v>10.199999999999999</v>
      </c>
      <c r="K16" s="2563">
        <v>50.4</v>
      </c>
      <c r="L16" s="2563">
        <v>93.1</v>
      </c>
      <c r="M16" s="2564">
        <f t="shared" si="4"/>
        <v>465.49999999999994</v>
      </c>
      <c r="N16" s="2563">
        <v>21.78</v>
      </c>
      <c r="O16" s="2564">
        <f t="shared" si="5"/>
        <v>111.69230769230769</v>
      </c>
      <c r="P16" s="2563">
        <v>20.5</v>
      </c>
      <c r="Q16" s="2564">
        <f t="shared" si="6"/>
        <v>105.12820512820514</v>
      </c>
      <c r="R16" s="2564">
        <f>P16/L16*100</f>
        <v>22.019334049409238</v>
      </c>
      <c r="S16" s="2563">
        <v>72.400000000000006</v>
      </c>
      <c r="T16" s="2563"/>
      <c r="U16" s="2563">
        <f>96.4+14.5</f>
        <v>110.9</v>
      </c>
      <c r="V16" s="2563">
        <v>103.3</v>
      </c>
      <c r="W16" s="2566">
        <f t="shared" si="7"/>
        <v>5.0390243902439025</v>
      </c>
      <c r="X16" s="2565">
        <f>P16*1.048</f>
        <v>21.484000000000002</v>
      </c>
      <c r="Y16" s="2565"/>
      <c r="Z16" s="2565"/>
      <c r="AA16" s="2565">
        <v>90.9</v>
      </c>
      <c r="AB16" s="2565">
        <f>90.072+14.5</f>
        <v>104.572</v>
      </c>
      <c r="AC16" s="2565">
        <f>AB16</f>
        <v>104.572</v>
      </c>
      <c r="AD16" s="2566">
        <f t="shared" si="8"/>
        <v>4.8674362316142243</v>
      </c>
      <c r="AE16" s="2565">
        <v>44.31</v>
      </c>
      <c r="AF16" s="2565">
        <v>52.63</v>
      </c>
      <c r="AG16" s="2565">
        <f>SUM(AC16*1.1)</f>
        <v>115.02920000000002</v>
      </c>
      <c r="AH16" s="2593">
        <f>AE16*2*1.062</f>
        <v>94.114440000000016</v>
      </c>
      <c r="AI16" s="2593">
        <v>78.150000000000006</v>
      </c>
      <c r="AJ16" s="2593">
        <v>66.77</v>
      </c>
      <c r="AK16" s="2593">
        <v>108.41</v>
      </c>
      <c r="AL16" s="2593">
        <f>AK16</f>
        <v>108.41</v>
      </c>
      <c r="AM16" s="4040" t="s">
        <v>2100</v>
      </c>
      <c r="AN16" s="4041"/>
      <c r="AO16" s="4041"/>
      <c r="AP16">
        <f>AF16/3*4*1.062</f>
        <v>74.524079999999998</v>
      </c>
    </row>
    <row r="17" spans="1:41" ht="42.75" customHeight="1" x14ac:dyDescent="0.2">
      <c r="A17" s="1674" t="s">
        <v>998</v>
      </c>
      <c r="B17" s="2475"/>
      <c r="C17" s="2561"/>
      <c r="D17" s="2562"/>
      <c r="E17" s="2563"/>
      <c r="F17" s="2564"/>
      <c r="G17" s="2563"/>
      <c r="H17" s="2564"/>
      <c r="I17" s="2563"/>
      <c r="J17" s="2563"/>
      <c r="K17" s="2563"/>
      <c r="L17" s="2563"/>
      <c r="M17" s="2564"/>
      <c r="N17" s="2563"/>
      <c r="O17" s="2564"/>
      <c r="P17" s="2563"/>
      <c r="Q17" s="2564"/>
      <c r="R17" s="2564"/>
      <c r="S17" s="2563"/>
      <c r="T17" s="2563"/>
      <c r="U17" s="2563"/>
      <c r="V17" s="2563"/>
      <c r="W17" s="2566"/>
      <c r="X17" s="2565"/>
      <c r="Y17" s="2565"/>
      <c r="Z17" s="2565"/>
      <c r="AA17" s="2565"/>
      <c r="AB17" s="2565"/>
      <c r="AC17" s="2565"/>
      <c r="AD17" s="2566"/>
      <c r="AE17" s="2565"/>
      <c r="AF17" s="2582">
        <v>206.8</v>
      </c>
      <c r="AG17" s="2565"/>
      <c r="AH17" s="2593"/>
      <c r="AI17" s="2593">
        <v>0</v>
      </c>
      <c r="AJ17" s="2593">
        <v>0</v>
      </c>
      <c r="AK17" s="2593">
        <v>0</v>
      </c>
      <c r="AL17" s="2593">
        <v>0</v>
      </c>
      <c r="AM17" s="4080"/>
      <c r="AN17" s="4081"/>
      <c r="AO17" s="4082"/>
    </row>
    <row r="18" spans="1:41" ht="18.75" x14ac:dyDescent="0.2">
      <c r="A18" s="1681" t="s">
        <v>850</v>
      </c>
      <c r="B18" s="2475">
        <f>SUM(B19:B23)</f>
        <v>471.59999999999997</v>
      </c>
      <c r="C18" s="2561">
        <f>SUM(C19:C23)</f>
        <v>352.20000000000005</v>
      </c>
      <c r="D18" s="2562">
        <f t="shared" si="0"/>
        <v>74.681933842239204</v>
      </c>
      <c r="E18" s="2563">
        <f>SUM(E19:E23)</f>
        <v>471.29999999999995</v>
      </c>
      <c r="F18" s="2563">
        <f>SUM(F19:F23)</f>
        <v>530.71550893713459</v>
      </c>
      <c r="G18" s="2563">
        <f>SUM(G19:G23)</f>
        <v>454.09999999999997</v>
      </c>
      <c r="H18" s="2564">
        <f t="shared" si="3"/>
        <v>96.350519838743892</v>
      </c>
      <c r="I18" s="2563">
        <f>SUM(I19:I22)</f>
        <v>453.5</v>
      </c>
      <c r="J18" s="2563">
        <f>SUM(J19:J23)</f>
        <v>283.89999999999998</v>
      </c>
      <c r="K18" s="2563">
        <f>SUM(K19:K23)</f>
        <v>296.89999999999998</v>
      </c>
      <c r="L18" s="2563">
        <f>SUM(L19:L23)</f>
        <v>549.20000000000005</v>
      </c>
      <c r="M18" s="2564">
        <f t="shared" si="4"/>
        <v>120.94252367319976</v>
      </c>
      <c r="N18" s="2563">
        <f>SUM(N19:N23)</f>
        <v>577.11</v>
      </c>
      <c r="O18" s="2564">
        <f t="shared" si="5"/>
        <v>127.25689084895259</v>
      </c>
      <c r="P18" s="2563">
        <f t="shared" ref="P18:V18" si="12">SUM(P19:P22)</f>
        <v>537.5</v>
      </c>
      <c r="Q18" s="2563">
        <f t="shared" si="12"/>
        <v>446.08399155210333</v>
      </c>
      <c r="R18" s="2563">
        <f t="shared" si="12"/>
        <v>422.88989770621242</v>
      </c>
      <c r="S18" s="2563">
        <f t="shared" si="12"/>
        <v>277.40000000000003</v>
      </c>
      <c r="T18" s="2563">
        <f t="shared" si="12"/>
        <v>0</v>
      </c>
      <c r="U18" s="2563">
        <f t="shared" si="12"/>
        <v>412.7</v>
      </c>
      <c r="V18" s="2563">
        <f t="shared" si="12"/>
        <v>771.33999999999992</v>
      </c>
      <c r="W18" s="2566">
        <f t="shared" si="7"/>
        <v>1.4350511627906974</v>
      </c>
      <c r="X18" s="2563">
        <f>SUM(X19:X22)</f>
        <v>434.14643333333339</v>
      </c>
      <c r="Y18" s="2563"/>
      <c r="Z18" s="2563"/>
      <c r="AA18" s="2563">
        <f>SUM(AA19:AA22)</f>
        <v>437.90000000000003</v>
      </c>
      <c r="AB18" s="2563">
        <f>SUM(AB19:AB22)</f>
        <v>511.51799999999997</v>
      </c>
      <c r="AC18" s="2563">
        <f>SUM(AC19:AC22)</f>
        <v>457.87871249999995</v>
      </c>
      <c r="AD18" s="2566">
        <f t="shared" si="8"/>
        <v>1.0546642269624387</v>
      </c>
      <c r="AE18" s="2563">
        <f t="shared" ref="AE18:AF18" si="13">SUM(AE19:AE22)</f>
        <v>214.23999999999998</v>
      </c>
      <c r="AF18" s="2563">
        <f t="shared" si="13"/>
        <v>237</v>
      </c>
      <c r="AG18" s="2563">
        <f t="shared" ref="AG18" si="14">SUM(AG19:AG22)</f>
        <v>513.89349000000016</v>
      </c>
      <c r="AH18" s="1689">
        <f t="shared" ref="AH18:AL18" si="15">SUM(AH19:AH22)</f>
        <v>486.57128000000006</v>
      </c>
      <c r="AI18" s="1689">
        <f t="shared" si="15"/>
        <v>491.28999999999996</v>
      </c>
      <c r="AJ18" s="1689">
        <f t="shared" si="15"/>
        <v>458.75000000000006</v>
      </c>
      <c r="AK18" s="1689">
        <f t="shared" si="15"/>
        <v>564.03</v>
      </c>
      <c r="AL18" s="1689">
        <f t="shared" si="15"/>
        <v>564.03</v>
      </c>
      <c r="AM18" s="4040" t="s">
        <v>2100</v>
      </c>
      <c r="AN18" s="4041"/>
      <c r="AO18" s="4041"/>
    </row>
    <row r="19" spans="1:41" ht="42.75" customHeight="1" x14ac:dyDescent="0.2">
      <c r="A19" s="1756" t="s">
        <v>555</v>
      </c>
      <c r="B19" s="2567">
        <v>272.89999999999998</v>
      </c>
      <c r="C19" s="2562">
        <v>192.5</v>
      </c>
      <c r="D19" s="2562">
        <f>C19/B19*100</f>
        <v>70.538658849395389</v>
      </c>
      <c r="E19" s="2564">
        <v>235.4</v>
      </c>
      <c r="F19" s="2564">
        <f t="shared" si="2"/>
        <v>122.28571428571429</v>
      </c>
      <c r="G19" s="2564">
        <v>255.7</v>
      </c>
      <c r="H19" s="2564">
        <f t="shared" si="3"/>
        <v>108.62361937128291</v>
      </c>
      <c r="I19" s="2563">
        <v>242.8</v>
      </c>
      <c r="J19" s="2564">
        <v>165.5</v>
      </c>
      <c r="K19" s="2564">
        <v>165.8</v>
      </c>
      <c r="L19" s="2564">
        <v>266.2</v>
      </c>
      <c r="M19" s="2564">
        <f t="shared" si="4"/>
        <v>104.10637465780211</v>
      </c>
      <c r="N19" s="2564">
        <v>338.3</v>
      </c>
      <c r="O19" s="2564">
        <f t="shared" si="5"/>
        <v>139.332784184514</v>
      </c>
      <c r="P19" s="2563">
        <v>309.89999999999998</v>
      </c>
      <c r="Q19" s="2564">
        <f t="shared" si="6"/>
        <v>127.63591433278417</v>
      </c>
      <c r="R19" s="2564">
        <f>P19/L19*100</f>
        <v>116.41622839969948</v>
      </c>
      <c r="S19" s="2563">
        <v>175</v>
      </c>
      <c r="T19" s="2563"/>
      <c r="U19" s="2563">
        <v>275.7</v>
      </c>
      <c r="V19" s="2563">
        <v>465.7</v>
      </c>
      <c r="W19" s="2566">
        <f t="shared" si="7"/>
        <v>1.5027428202646016</v>
      </c>
      <c r="X19" s="2565">
        <f>S19/6*9*1.015</f>
        <v>266.4375</v>
      </c>
      <c r="Y19" s="2565"/>
      <c r="Z19" s="2565"/>
      <c r="AA19" s="2565">
        <v>282.60000000000002</v>
      </c>
      <c r="AB19" s="2565">
        <v>328.8</v>
      </c>
      <c r="AC19" s="2565">
        <f>X19*1.035</f>
        <v>275.7628125</v>
      </c>
      <c r="AD19" s="2566">
        <f t="shared" si="8"/>
        <v>1.0349999999999999</v>
      </c>
      <c r="AE19" s="2565">
        <v>175.2</v>
      </c>
      <c r="AF19" s="2565">
        <v>179.53</v>
      </c>
      <c r="AG19" s="2565">
        <f>SUM(AA19*1.1)</f>
        <v>310.86000000000007</v>
      </c>
      <c r="AH19" s="2593">
        <f>AG19</f>
        <v>310.86000000000007</v>
      </c>
      <c r="AI19" s="2593">
        <v>324.56</v>
      </c>
      <c r="AJ19" s="2593">
        <v>327.06</v>
      </c>
      <c r="AK19" s="2593">
        <v>356.3</v>
      </c>
      <c r="AL19" s="1689">
        <f>AK19</f>
        <v>356.3</v>
      </c>
      <c r="AM19" s="4040" t="s">
        <v>2100</v>
      </c>
      <c r="AN19" s="4041"/>
      <c r="AO19" s="4041"/>
    </row>
    <row r="20" spans="1:41" ht="42.75" customHeight="1" x14ac:dyDescent="0.2">
      <c r="A20" s="1756" t="s">
        <v>556</v>
      </c>
      <c r="B20" s="2567">
        <v>12</v>
      </c>
      <c r="C20" s="2562">
        <v>13.2</v>
      </c>
      <c r="D20" s="2562">
        <f>C20/B20*100</f>
        <v>109.99999999999999</v>
      </c>
      <c r="E20" s="2564">
        <v>15.2</v>
      </c>
      <c r="F20" s="2564">
        <f t="shared" si="2"/>
        <v>115.15151515151516</v>
      </c>
      <c r="G20" s="2564">
        <v>16.399999999999999</v>
      </c>
      <c r="H20" s="2564">
        <f t="shared" si="3"/>
        <v>107.89473684210526</v>
      </c>
      <c r="I20" s="2563">
        <v>16.3</v>
      </c>
      <c r="J20" s="2564">
        <v>8.4</v>
      </c>
      <c r="K20" s="2564">
        <v>13.5</v>
      </c>
      <c r="L20" s="2564">
        <v>17.8</v>
      </c>
      <c r="M20" s="2564">
        <f t="shared" si="4"/>
        <v>108.53658536585367</v>
      </c>
      <c r="N20" s="2564">
        <v>17.93</v>
      </c>
      <c r="O20" s="2564">
        <f t="shared" si="5"/>
        <v>109.99999999999999</v>
      </c>
      <c r="P20" s="2563">
        <v>17.100000000000001</v>
      </c>
      <c r="Q20" s="2564">
        <f t="shared" si="6"/>
        <v>104.9079754601227</v>
      </c>
      <c r="R20" s="2564">
        <f>P20/L20*100</f>
        <v>96.067415730337075</v>
      </c>
      <c r="S20" s="2563">
        <v>0</v>
      </c>
      <c r="T20" s="2563"/>
      <c r="U20" s="2563">
        <v>0</v>
      </c>
      <c r="V20" s="2563">
        <v>18.899999999999999</v>
      </c>
      <c r="W20" s="2566">
        <f t="shared" si="7"/>
        <v>1.1052631578947367</v>
      </c>
      <c r="X20" s="2565">
        <f>P20</f>
        <v>17.100000000000001</v>
      </c>
      <c r="Y20" s="2565"/>
      <c r="Z20" s="2565"/>
      <c r="AA20" s="2565">
        <v>0.3</v>
      </c>
      <c r="AB20" s="2565">
        <v>18.54</v>
      </c>
      <c r="AC20" s="2565">
        <f>X20*1.049</f>
        <v>17.937899999999999</v>
      </c>
      <c r="AD20" s="2566">
        <f t="shared" si="8"/>
        <v>1.0489999999999999</v>
      </c>
      <c r="AE20" s="2565">
        <v>0</v>
      </c>
      <c r="AF20" s="2565">
        <v>0</v>
      </c>
      <c r="AG20" s="2565">
        <f>SUM(AC20*1.1)</f>
        <v>19.73169</v>
      </c>
      <c r="AH20" s="2593">
        <v>0</v>
      </c>
      <c r="AI20" s="2593">
        <v>0</v>
      </c>
      <c r="AJ20" s="2593">
        <v>5.17</v>
      </c>
      <c r="AK20" s="2593">
        <v>5.33</v>
      </c>
      <c r="AL20" s="2593">
        <f>AK20</f>
        <v>5.33</v>
      </c>
      <c r="AM20" s="4040" t="s">
        <v>2100</v>
      </c>
      <c r="AN20" s="4041"/>
      <c r="AO20" s="4041"/>
    </row>
    <row r="21" spans="1:41" ht="18.75" customHeight="1" x14ac:dyDescent="0.2">
      <c r="A21" s="1756" t="s">
        <v>557</v>
      </c>
      <c r="B21" s="2567">
        <v>163.5</v>
      </c>
      <c r="C21" s="2562">
        <v>122.4</v>
      </c>
      <c r="D21" s="2562">
        <f>C21/B21*100</f>
        <v>74.862385321100916</v>
      </c>
      <c r="E21" s="2564">
        <v>186.8</v>
      </c>
      <c r="F21" s="2564">
        <f t="shared" si="2"/>
        <v>152.61437908496734</v>
      </c>
      <c r="G21" s="2564">
        <v>158.30000000000001</v>
      </c>
      <c r="H21" s="2564">
        <f t="shared" si="3"/>
        <v>84.743040685224841</v>
      </c>
      <c r="I21" s="2563">
        <v>163.69999999999999</v>
      </c>
      <c r="J21" s="2564">
        <v>99</v>
      </c>
      <c r="K21" s="2564">
        <v>100.1</v>
      </c>
      <c r="L21" s="2564">
        <v>241.7</v>
      </c>
      <c r="M21" s="2564">
        <f t="shared" si="4"/>
        <v>152.68477574226151</v>
      </c>
      <c r="N21" s="2564">
        <v>187.11</v>
      </c>
      <c r="O21" s="2564">
        <f t="shared" si="5"/>
        <v>114.30054978619428</v>
      </c>
      <c r="P21" s="2563">
        <v>178.4</v>
      </c>
      <c r="Q21" s="2564">
        <f t="shared" si="6"/>
        <v>108.97984117287723</v>
      </c>
      <c r="R21" s="2564">
        <f>P21/L21*100</f>
        <v>73.810508895324787</v>
      </c>
      <c r="S21" s="2563">
        <v>83.8</v>
      </c>
      <c r="T21" s="2563"/>
      <c r="U21" s="2563">
        <v>100.3</v>
      </c>
      <c r="V21" s="2563">
        <v>252.93</v>
      </c>
      <c r="W21" s="2566">
        <f t="shared" si="7"/>
        <v>1.4177690582959641</v>
      </c>
      <c r="X21" s="2565">
        <f>S21/9*12*1.048</f>
        <v>117.09653333333333</v>
      </c>
      <c r="Y21" s="2565"/>
      <c r="Z21" s="2565"/>
      <c r="AA21" s="2565">
        <v>131</v>
      </c>
      <c r="AB21" s="2565">
        <v>128.54</v>
      </c>
      <c r="AC21" s="2565">
        <f>AB21</f>
        <v>128.54</v>
      </c>
      <c r="AD21" s="2566">
        <f t="shared" si="8"/>
        <v>1.0977267758567291</v>
      </c>
      <c r="AE21" s="2565">
        <v>26.16</v>
      </c>
      <c r="AF21" s="2565">
        <v>38.049999999999997</v>
      </c>
      <c r="AG21" s="2565">
        <f>SUM(AA21*1.1)</f>
        <v>144.10000000000002</v>
      </c>
      <c r="AH21" s="2593">
        <f>AC21*1.062</f>
        <v>136.50948</v>
      </c>
      <c r="AI21" s="2593">
        <v>132.46</v>
      </c>
      <c r="AJ21" s="2593">
        <v>103.61</v>
      </c>
      <c r="AK21" s="2593">
        <v>157.24</v>
      </c>
      <c r="AL21" s="2593">
        <f>AK21</f>
        <v>157.24</v>
      </c>
      <c r="AM21" s="4040" t="s">
        <v>2100</v>
      </c>
      <c r="AN21" s="4041"/>
      <c r="AO21" s="4041"/>
    </row>
    <row r="22" spans="1:41" ht="18.75" customHeight="1" x14ac:dyDescent="0.2">
      <c r="A22" s="1756" t="s">
        <v>558</v>
      </c>
      <c r="B22" s="2567">
        <v>23.2</v>
      </c>
      <c r="C22" s="2562">
        <v>24.1</v>
      </c>
      <c r="D22" s="2562">
        <f>C22/B22*100</f>
        <v>103.8793103448276</v>
      </c>
      <c r="E22" s="2564">
        <v>33.9</v>
      </c>
      <c r="F22" s="2564">
        <f t="shared" si="2"/>
        <v>140.66390041493776</v>
      </c>
      <c r="G22" s="2564">
        <v>23.7</v>
      </c>
      <c r="H22" s="2564">
        <f t="shared" si="3"/>
        <v>69.911504424778755</v>
      </c>
      <c r="I22" s="2563">
        <v>30.7</v>
      </c>
      <c r="J22" s="2564">
        <v>11</v>
      </c>
      <c r="K22" s="2564">
        <v>17.5</v>
      </c>
      <c r="L22" s="2564">
        <v>23.5</v>
      </c>
      <c r="M22" s="2564">
        <f t="shared" si="4"/>
        <v>99.156118143459921</v>
      </c>
      <c r="N22" s="2564">
        <v>33.770000000000003</v>
      </c>
      <c r="O22" s="2564">
        <f t="shared" si="5"/>
        <v>110.00000000000001</v>
      </c>
      <c r="P22" s="2563">
        <v>32.1</v>
      </c>
      <c r="Q22" s="2564">
        <f t="shared" si="6"/>
        <v>104.56026058631922</v>
      </c>
      <c r="R22" s="2564">
        <f>P22/L22*100</f>
        <v>136.59574468085108</v>
      </c>
      <c r="S22" s="2563">
        <v>18.600000000000001</v>
      </c>
      <c r="T22" s="2563"/>
      <c r="U22" s="2563">
        <v>36.700000000000003</v>
      </c>
      <c r="V22" s="2563">
        <v>33.81</v>
      </c>
      <c r="W22" s="2566">
        <f t="shared" si="7"/>
        <v>1.0532710280373832</v>
      </c>
      <c r="X22" s="2565">
        <f>P22*1.044</f>
        <v>33.5124</v>
      </c>
      <c r="Y22" s="2565"/>
      <c r="Z22" s="2565"/>
      <c r="AA22" s="2565">
        <v>24</v>
      </c>
      <c r="AB22" s="2565">
        <v>35.637999999999998</v>
      </c>
      <c r="AC22" s="2565">
        <f>AB22</f>
        <v>35.637999999999998</v>
      </c>
      <c r="AD22" s="2566">
        <f t="shared" si="8"/>
        <v>1.0634272687124766</v>
      </c>
      <c r="AE22" s="2565">
        <v>12.88</v>
      </c>
      <c r="AF22" s="2565">
        <v>19.420000000000002</v>
      </c>
      <c r="AG22" s="2565">
        <f>SUM(AC22*1.1)</f>
        <v>39.201799999999999</v>
      </c>
      <c r="AH22" s="2593">
        <f>AG22</f>
        <v>39.201799999999999</v>
      </c>
      <c r="AI22" s="2593">
        <v>34.270000000000003</v>
      </c>
      <c r="AJ22" s="2593">
        <v>22.91</v>
      </c>
      <c r="AK22" s="2593">
        <v>45.16</v>
      </c>
      <c r="AL22" s="2593">
        <f>AK22</f>
        <v>45.16</v>
      </c>
      <c r="AM22" s="4040" t="s">
        <v>2100</v>
      </c>
      <c r="AN22" s="4041"/>
      <c r="AO22" s="4041"/>
    </row>
    <row r="23" spans="1:41" ht="18.75" hidden="1" x14ac:dyDescent="0.2">
      <c r="A23" s="1756" t="s">
        <v>53</v>
      </c>
      <c r="B23" s="2567"/>
      <c r="C23" s="2562"/>
      <c r="D23" s="2562"/>
      <c r="E23" s="2564"/>
      <c r="F23" s="2564"/>
      <c r="G23" s="2564"/>
      <c r="H23" s="2564"/>
      <c r="I23" s="2563"/>
      <c r="J23" s="2564"/>
      <c r="K23" s="2564"/>
      <c r="L23" s="2564"/>
      <c r="M23" s="2564"/>
      <c r="N23" s="2564"/>
      <c r="O23" s="2564"/>
      <c r="P23" s="2563">
        <f>L23*1.049</f>
        <v>0</v>
      </c>
      <c r="Q23" s="2564" t="e">
        <f t="shared" si="6"/>
        <v>#DIV/0!</v>
      </c>
      <c r="R23" s="2564"/>
      <c r="S23" s="2563"/>
      <c r="T23" s="2563"/>
      <c r="U23" s="2563"/>
      <c r="V23" s="2563"/>
      <c r="W23" s="2566" t="e">
        <f t="shared" si="7"/>
        <v>#DIV/0!</v>
      </c>
      <c r="X23" s="2565"/>
      <c r="Y23" s="2565"/>
      <c r="Z23" s="2565"/>
      <c r="AA23" s="2565"/>
      <c r="AB23" s="2565"/>
      <c r="AC23" s="2565"/>
      <c r="AD23" s="2566" t="e">
        <f t="shared" si="8"/>
        <v>#DIV/0!</v>
      </c>
      <c r="AE23" s="2565"/>
      <c r="AF23" s="2565"/>
      <c r="AG23" s="2565"/>
      <c r="AH23" s="2593"/>
      <c r="AI23" s="2593"/>
      <c r="AJ23" s="2593"/>
      <c r="AK23" s="2593"/>
      <c r="AL23" s="2593"/>
      <c r="AM23" s="1868"/>
      <c r="AN23" s="2583"/>
      <c r="AO23" s="2583"/>
    </row>
    <row r="24" spans="1:41" ht="35.25" customHeight="1" x14ac:dyDescent="0.2">
      <c r="A24" s="1681" t="s">
        <v>30</v>
      </c>
      <c r="B24" s="2475">
        <v>583.79999999999995</v>
      </c>
      <c r="C24" s="2561">
        <v>428.9</v>
      </c>
      <c r="D24" s="2562">
        <f>C24/B24*100</f>
        <v>73.466940733127785</v>
      </c>
      <c r="E24" s="2563">
        <v>512.20000000000005</v>
      </c>
      <c r="F24" s="2564">
        <f t="shared" si="2"/>
        <v>119.42177663791097</v>
      </c>
      <c r="G24" s="2563">
        <v>410.6</v>
      </c>
      <c r="H24" s="2564">
        <f t="shared" si="3"/>
        <v>80.163998438110113</v>
      </c>
      <c r="I24" s="2563">
        <v>549.1</v>
      </c>
      <c r="J24" s="2563">
        <v>209.5</v>
      </c>
      <c r="K24" s="2563">
        <v>387.9</v>
      </c>
      <c r="L24" s="2563">
        <v>533.79999999999995</v>
      </c>
      <c r="M24" s="2564">
        <f t="shared" si="4"/>
        <v>130.00487092060396</v>
      </c>
      <c r="N24" s="2563">
        <v>604.01</v>
      </c>
      <c r="O24" s="2564">
        <f t="shared" si="5"/>
        <v>109.99999999999999</v>
      </c>
      <c r="P24" s="2563">
        <v>579</v>
      </c>
      <c r="Q24" s="2564">
        <f t="shared" si="6"/>
        <v>105.44527408486614</v>
      </c>
      <c r="R24" s="2564">
        <f>P24/L24*100</f>
        <v>108.46759085799927</v>
      </c>
      <c r="S24" s="2563">
        <v>426.5</v>
      </c>
      <c r="T24" s="2563"/>
      <c r="U24" s="2563">
        <v>554.29999999999995</v>
      </c>
      <c r="V24" s="2563">
        <v>698.46</v>
      </c>
      <c r="W24" s="2566">
        <f t="shared" si="7"/>
        <v>1.2063212435233162</v>
      </c>
      <c r="X24" s="2565">
        <f>P24*1.048</f>
        <v>606.79200000000003</v>
      </c>
      <c r="Y24" s="2565"/>
      <c r="Z24" s="2565"/>
      <c r="AA24" s="2565">
        <v>391.5</v>
      </c>
      <c r="AB24" s="2565">
        <v>645.6</v>
      </c>
      <c r="AC24" s="2565">
        <f>AB24</f>
        <v>645.6</v>
      </c>
      <c r="AD24" s="2566">
        <f t="shared" si="8"/>
        <v>1.0639560178776253</v>
      </c>
      <c r="AE24" s="2565">
        <v>424.39</v>
      </c>
      <c r="AF24" s="2565">
        <v>525.45000000000005</v>
      </c>
      <c r="AG24" s="2565">
        <f>SUM(AC24*1.1)</f>
        <v>710.16000000000008</v>
      </c>
      <c r="AH24" s="2593">
        <f>AG24</f>
        <v>710.16000000000008</v>
      </c>
      <c r="AI24" s="2593">
        <v>762.78</v>
      </c>
      <c r="AJ24" s="2593">
        <v>833.62</v>
      </c>
      <c r="AK24" s="2593">
        <v>884.39</v>
      </c>
      <c r="AL24" s="1689">
        <f>AJ24*1.027*1.046</f>
        <v>895.50961603999997</v>
      </c>
      <c r="AM24" s="4040" t="s">
        <v>2099</v>
      </c>
      <c r="AN24" s="4041"/>
      <c r="AO24" s="4041"/>
    </row>
    <row r="25" spans="1:41" ht="18.75" x14ac:dyDescent="0.2">
      <c r="A25" s="1681" t="s">
        <v>851</v>
      </c>
      <c r="B25" s="2475">
        <f>SUM(B26:B40)</f>
        <v>1274</v>
      </c>
      <c r="C25" s="2561">
        <f>SUM(C26:C40)</f>
        <v>1570.1999999999998</v>
      </c>
      <c r="D25" s="2562">
        <f>C25/B25*100</f>
        <v>123.24960753532181</v>
      </c>
      <c r="E25" s="2563">
        <f>SUM(E26:E41)</f>
        <v>2458.1999999999998</v>
      </c>
      <c r="F25" s="2563">
        <f>SUM(F26:F41)</f>
        <v>1921.4028595453462</v>
      </c>
      <c r="G25" s="2563">
        <f>SUM(G26:G44)</f>
        <v>1923.4</v>
      </c>
      <c r="H25" s="2564">
        <f t="shared" si="3"/>
        <v>78.24424375559353</v>
      </c>
      <c r="I25" s="2563">
        <f>SUM(I26:I41)</f>
        <v>1629.7320000000004</v>
      </c>
      <c r="J25" s="2563">
        <f>SUM(J26:J41)</f>
        <v>1107.6000000000001</v>
      </c>
      <c r="K25" s="2563">
        <f>SUM(K26:K44)</f>
        <v>2027.9</v>
      </c>
      <c r="L25" s="2563">
        <f>SUM(L26:L44)</f>
        <v>3341.3000000000006</v>
      </c>
      <c r="M25" s="2564">
        <f t="shared" si="4"/>
        <v>173.71841530622859</v>
      </c>
      <c r="N25" s="2563">
        <f>SUM(N26:N44)</f>
        <v>2703.43</v>
      </c>
      <c r="O25" s="2564">
        <f t="shared" si="5"/>
        <v>165.88187505675776</v>
      </c>
      <c r="P25" s="2563">
        <f>SUM(P26:P44)</f>
        <v>1876.2000000000003</v>
      </c>
      <c r="Q25" s="2563">
        <f t="shared" ref="Q25:AC25" si="16">SUM(Q26:Q44)</f>
        <v>1650.0918364803115</v>
      </c>
      <c r="R25" s="2563" t="e">
        <f t="shared" si="16"/>
        <v>#DIV/0!</v>
      </c>
      <c r="S25" s="2563">
        <f t="shared" si="16"/>
        <v>2098.5</v>
      </c>
      <c r="T25" s="2563">
        <f t="shared" si="16"/>
        <v>0</v>
      </c>
      <c r="U25" s="2563">
        <f t="shared" si="16"/>
        <v>2454.1000000000004</v>
      </c>
      <c r="V25" s="2563">
        <f t="shared" si="16"/>
        <v>3781.8249999999998</v>
      </c>
      <c r="W25" s="2566">
        <f t="shared" si="7"/>
        <v>2.0156832960238775</v>
      </c>
      <c r="X25" s="2563">
        <f t="shared" si="16"/>
        <v>2043.1773000000003</v>
      </c>
      <c r="Y25" s="2563"/>
      <c r="Z25" s="2563"/>
      <c r="AA25" s="2563">
        <f t="shared" si="16"/>
        <v>2151.9</v>
      </c>
      <c r="AB25" s="2563">
        <f t="shared" si="16"/>
        <v>3030.5219999999999</v>
      </c>
      <c r="AC25" s="2563">
        <f t="shared" si="16"/>
        <v>1551.6120093000002</v>
      </c>
      <c r="AD25" s="2566">
        <f t="shared" si="8"/>
        <v>0.75941133904531921</v>
      </c>
      <c r="AE25" s="2563">
        <f t="shared" ref="AE25:AF25" si="17">SUM(AE26:AE44)</f>
        <v>1396.08</v>
      </c>
      <c r="AF25" s="2563">
        <f t="shared" si="17"/>
        <v>2018.5900000000001</v>
      </c>
      <c r="AG25" s="2563">
        <f t="shared" ref="AG25:AL25" si="18">SUM(AG26:AG44)</f>
        <v>3301.3489307700006</v>
      </c>
      <c r="AH25" s="2563">
        <f t="shared" si="18"/>
        <v>2251.9940915978004</v>
      </c>
      <c r="AI25" s="2563">
        <f t="shared" si="18"/>
        <v>3079.7400000000002</v>
      </c>
      <c r="AJ25" s="2563">
        <f t="shared" si="18"/>
        <v>2168.15</v>
      </c>
      <c r="AK25" s="2563">
        <f t="shared" si="18"/>
        <v>6767.4799999999987</v>
      </c>
      <c r="AL25" s="2563">
        <f t="shared" si="18"/>
        <v>6198.2877710817211</v>
      </c>
      <c r="AM25" s="4044"/>
      <c r="AN25" s="4045"/>
      <c r="AO25" s="4045"/>
    </row>
    <row r="26" spans="1:41" ht="47.25" customHeight="1" x14ac:dyDescent="0.2">
      <c r="A26" s="1756" t="s">
        <v>542</v>
      </c>
      <c r="B26" s="2567">
        <v>81.7</v>
      </c>
      <c r="C26" s="2562">
        <v>71.599999999999994</v>
      </c>
      <c r="D26" s="2562">
        <f t="shared" ref="D26:D34" si="19">C26/B26*100</f>
        <v>87.6376988984088</v>
      </c>
      <c r="E26" s="2564">
        <v>58.8</v>
      </c>
      <c r="F26" s="2564">
        <f t="shared" si="2"/>
        <v>82.122905027932973</v>
      </c>
      <c r="G26" s="2564">
        <v>81.8</v>
      </c>
      <c r="H26" s="2564">
        <f t="shared" si="3"/>
        <v>139.1156462585034</v>
      </c>
      <c r="I26" s="2563">
        <v>84.3</v>
      </c>
      <c r="J26" s="2563">
        <v>81.8</v>
      </c>
      <c r="K26" s="2563">
        <v>402.6</v>
      </c>
      <c r="L26" s="2564">
        <v>402.6</v>
      </c>
      <c r="M26" s="2564">
        <f t="shared" si="4"/>
        <v>492.17603911980444</v>
      </c>
      <c r="N26" s="2564">
        <v>92.73</v>
      </c>
      <c r="O26" s="2564">
        <f t="shared" si="5"/>
        <v>110.00000000000001</v>
      </c>
      <c r="P26" s="2563">
        <v>88.4</v>
      </c>
      <c r="Q26" s="2564">
        <f t="shared" si="6"/>
        <v>104.86358244365364</v>
      </c>
      <c r="R26" s="2564">
        <f t="shared" ref="R26:R37" si="20">P26/L26*100</f>
        <v>21.957277694982615</v>
      </c>
      <c r="S26" s="2563">
        <v>169.5</v>
      </c>
      <c r="T26" s="2563"/>
      <c r="U26" s="2563">
        <v>169.5</v>
      </c>
      <c r="V26" s="2563">
        <v>240</v>
      </c>
      <c r="W26" s="2566">
        <f t="shared" si="7"/>
        <v>2.7149321266968323</v>
      </c>
      <c r="X26" s="2565">
        <f>P26*1.048</f>
        <v>92.643200000000007</v>
      </c>
      <c r="Y26" s="2565"/>
      <c r="Z26" s="2565"/>
      <c r="AA26" s="2565">
        <v>273.8</v>
      </c>
      <c r="AB26" s="2565">
        <v>98</v>
      </c>
      <c r="AC26" s="2565">
        <f>AB26</f>
        <v>98</v>
      </c>
      <c r="AD26" s="2566">
        <f t="shared" si="8"/>
        <v>1.0578218368968255</v>
      </c>
      <c r="AE26" s="2565">
        <v>0</v>
      </c>
      <c r="AF26" s="2565">
        <v>0</v>
      </c>
      <c r="AG26" s="2565">
        <f>SUM(AA26*1.1)</f>
        <v>301.18000000000006</v>
      </c>
      <c r="AH26" s="2593">
        <f>AG26</f>
        <v>301.18000000000006</v>
      </c>
      <c r="AI26" s="2593">
        <v>0</v>
      </c>
      <c r="AJ26" s="2593">
        <v>0</v>
      </c>
      <c r="AK26" s="2593">
        <v>346.93</v>
      </c>
      <c r="AL26" s="1689">
        <f>AH26*0.99*1.037*0.99*1.027*1.046</f>
        <v>328.83452042172217</v>
      </c>
      <c r="AM26" s="4040" t="s">
        <v>2103</v>
      </c>
      <c r="AN26" s="4041"/>
      <c r="AO26" s="4041"/>
    </row>
    <row r="27" spans="1:41" ht="18.75" customHeight="1" x14ac:dyDescent="0.2">
      <c r="A27" s="1756" t="s">
        <v>543</v>
      </c>
      <c r="B27" s="2567">
        <v>58.5</v>
      </c>
      <c r="C27" s="2562">
        <v>91.6</v>
      </c>
      <c r="D27" s="2562">
        <f t="shared" si="19"/>
        <v>156.58119658119659</v>
      </c>
      <c r="E27" s="2564">
        <v>197.3</v>
      </c>
      <c r="F27" s="2564">
        <f t="shared" si="2"/>
        <v>215.39301310043672</v>
      </c>
      <c r="G27" s="2564">
        <v>132.5</v>
      </c>
      <c r="H27" s="2564">
        <f t="shared" si="3"/>
        <v>67.156614292954885</v>
      </c>
      <c r="I27" s="2563">
        <v>82.5</v>
      </c>
      <c r="J27" s="2564">
        <v>40.700000000000003</v>
      </c>
      <c r="K27" s="2564">
        <v>201.6</v>
      </c>
      <c r="L27" s="2564">
        <v>268.8</v>
      </c>
      <c r="M27" s="2564">
        <f t="shared" si="4"/>
        <v>202.8679245283019</v>
      </c>
      <c r="N27" s="2564">
        <v>112.42</v>
      </c>
      <c r="O27" s="2564">
        <f t="shared" si="5"/>
        <v>136.26666666666668</v>
      </c>
      <c r="P27" s="2563">
        <v>112.4</v>
      </c>
      <c r="Q27" s="2564">
        <f t="shared" si="6"/>
        <v>136.24242424242425</v>
      </c>
      <c r="R27" s="2564">
        <f t="shared" si="20"/>
        <v>41.81547619047619</v>
      </c>
      <c r="S27" s="2563">
        <v>283.3</v>
      </c>
      <c r="T27" s="2563"/>
      <c r="U27" s="2563">
        <v>316.10000000000002</v>
      </c>
      <c r="V27" s="2563">
        <v>285.60000000000002</v>
      </c>
      <c r="W27" s="2566">
        <f t="shared" si="7"/>
        <v>2.5409252669039146</v>
      </c>
      <c r="X27" s="2565">
        <f t="shared" ref="X27:X44" si="21">P27*1.048</f>
        <v>117.79520000000001</v>
      </c>
      <c r="Y27" s="2565"/>
      <c r="Z27" s="2565"/>
      <c r="AA27" s="2565">
        <v>185.6</v>
      </c>
      <c r="AB27" s="2565">
        <v>133.9</v>
      </c>
      <c r="AC27" s="2565">
        <f>AB27</f>
        <v>133.9</v>
      </c>
      <c r="AD27" s="2566">
        <f t="shared" si="8"/>
        <v>1.1367186438836216</v>
      </c>
      <c r="AE27" s="2565">
        <v>45.04</v>
      </c>
      <c r="AF27" s="2565">
        <v>215.01</v>
      </c>
      <c r="AG27" s="2565">
        <f>SUM(AA27*1.1)</f>
        <v>204.16</v>
      </c>
      <c r="AH27" s="2593">
        <f>AG27</f>
        <v>204.16</v>
      </c>
      <c r="AI27" s="2593">
        <v>272</v>
      </c>
      <c r="AJ27" s="2593">
        <v>355.13</v>
      </c>
      <c r="AK27" s="2593">
        <v>376.76</v>
      </c>
      <c r="AL27" s="2593">
        <f>AK27</f>
        <v>376.76</v>
      </c>
      <c r="AM27" s="4044" t="s">
        <v>2100</v>
      </c>
      <c r="AN27" s="4045"/>
      <c r="AO27" s="4045"/>
    </row>
    <row r="28" spans="1:41" ht="42" customHeight="1" x14ac:dyDescent="0.2">
      <c r="A28" s="1756" t="s">
        <v>564</v>
      </c>
      <c r="B28" s="2567">
        <v>796.5</v>
      </c>
      <c r="C28" s="2562">
        <v>579.4</v>
      </c>
      <c r="D28" s="2562">
        <f t="shared" si="19"/>
        <v>72.743251726302574</v>
      </c>
      <c r="E28" s="2564">
        <v>931.4</v>
      </c>
      <c r="F28" s="2564">
        <f t="shared" si="2"/>
        <v>160.75250258888505</v>
      </c>
      <c r="G28" s="2564">
        <v>362.1</v>
      </c>
      <c r="H28" s="2564">
        <f t="shared" si="3"/>
        <v>38.876959415933008</v>
      </c>
      <c r="I28" s="2563">
        <v>672.9</v>
      </c>
      <c r="J28" s="2564">
        <v>330.4</v>
      </c>
      <c r="K28" s="2564">
        <v>0</v>
      </c>
      <c r="L28" s="2564">
        <v>758.8</v>
      </c>
      <c r="M28" s="2564">
        <f t="shared" si="4"/>
        <v>209.55537144435237</v>
      </c>
      <c r="N28" s="2564">
        <v>740.19</v>
      </c>
      <c r="O28" s="2564">
        <f t="shared" si="5"/>
        <v>110.00000000000001</v>
      </c>
      <c r="P28" s="2563">
        <v>705.8</v>
      </c>
      <c r="Q28" s="2564">
        <f t="shared" si="6"/>
        <v>104.88928518353396</v>
      </c>
      <c r="R28" s="2564">
        <f t="shared" si="20"/>
        <v>93.015287295730104</v>
      </c>
      <c r="S28" s="2563">
        <v>240.3</v>
      </c>
      <c r="T28" s="2563"/>
      <c r="U28" s="2563">
        <v>240.3</v>
      </c>
      <c r="V28" s="2563">
        <v>875.7</v>
      </c>
      <c r="W28" s="2566">
        <f t="shared" si="7"/>
        <v>1.2407197506375744</v>
      </c>
      <c r="X28" s="2565">
        <f>P28*1.044</f>
        <v>736.85519999999997</v>
      </c>
      <c r="Y28" s="2565"/>
      <c r="Z28" s="2565"/>
      <c r="AA28" s="2565">
        <v>0</v>
      </c>
      <c r="AB28" s="2565">
        <v>786.92</v>
      </c>
      <c r="AC28" s="2565">
        <f>U28*1.077*1.049</f>
        <v>271.48445190000001</v>
      </c>
      <c r="AD28" s="2566">
        <f t="shared" si="8"/>
        <v>0.36843663707604973</v>
      </c>
      <c r="AE28" s="2565">
        <v>0</v>
      </c>
      <c r="AF28" s="2565">
        <v>0</v>
      </c>
      <c r="AG28" s="2565">
        <f>SUM(AC28*1.1)</f>
        <v>298.63289709000003</v>
      </c>
      <c r="AH28" s="2593">
        <f>AC28*1.062</f>
        <v>288.31648791780003</v>
      </c>
      <c r="AI28" s="2593">
        <v>0</v>
      </c>
      <c r="AJ28" s="2593">
        <v>0</v>
      </c>
      <c r="AK28" s="2593">
        <v>3012.97</v>
      </c>
      <c r="AL28" s="1689">
        <f>AK28</f>
        <v>3012.97</v>
      </c>
      <c r="AM28" s="4044" t="s">
        <v>2100</v>
      </c>
      <c r="AN28" s="4045"/>
      <c r="AO28" s="4045"/>
    </row>
    <row r="29" spans="1:41" ht="38.25" customHeight="1" x14ac:dyDescent="0.2">
      <c r="A29" s="1756" t="s">
        <v>545</v>
      </c>
      <c r="B29" s="2567">
        <v>61.2</v>
      </c>
      <c r="C29" s="2567">
        <v>61.2</v>
      </c>
      <c r="D29" s="2562">
        <f t="shared" si="19"/>
        <v>100</v>
      </c>
      <c r="E29" s="2564">
        <v>61.2</v>
      </c>
      <c r="F29" s="2564">
        <f t="shared" si="2"/>
        <v>100</v>
      </c>
      <c r="G29" s="2564">
        <v>61</v>
      </c>
      <c r="H29" s="2564">
        <f t="shared" si="3"/>
        <v>99.673202614379079</v>
      </c>
      <c r="I29" s="2563">
        <f>E29*1.03</f>
        <v>63.036000000000001</v>
      </c>
      <c r="J29" s="2564">
        <v>30.6</v>
      </c>
      <c r="K29" s="2564">
        <v>45.9</v>
      </c>
      <c r="L29" s="2564">
        <v>61</v>
      </c>
      <c r="M29" s="2564">
        <f t="shared" si="4"/>
        <v>100</v>
      </c>
      <c r="N29" s="2564">
        <v>69.3</v>
      </c>
      <c r="O29" s="2564">
        <f t="shared" si="5"/>
        <v>109.93717875499713</v>
      </c>
      <c r="P29" s="2563">
        <v>66.099999999999994</v>
      </c>
      <c r="Q29" s="2564">
        <f t="shared" si="6"/>
        <v>104.86071451234213</v>
      </c>
      <c r="R29" s="2564">
        <f t="shared" si="20"/>
        <v>108.3606557377049</v>
      </c>
      <c r="S29" s="2563">
        <v>56.7</v>
      </c>
      <c r="T29" s="2563"/>
      <c r="U29" s="2563">
        <v>75.599999999999994</v>
      </c>
      <c r="V29" s="2563">
        <v>69.3</v>
      </c>
      <c r="W29" s="2566">
        <f t="shared" si="7"/>
        <v>1.0484114977307111</v>
      </c>
      <c r="X29" s="2565">
        <f>P29</f>
        <v>66.099999999999994</v>
      </c>
      <c r="Y29" s="2565"/>
      <c r="Z29" s="2565"/>
      <c r="AA29" s="2565">
        <v>75.599999999999994</v>
      </c>
      <c r="AB29" s="2565">
        <v>77.867999999999995</v>
      </c>
      <c r="AC29" s="2565">
        <f>AB29</f>
        <v>77.867999999999995</v>
      </c>
      <c r="AD29" s="2566">
        <f t="shared" si="8"/>
        <v>1.1780332829046898</v>
      </c>
      <c r="AE29" s="2565">
        <v>41.55</v>
      </c>
      <c r="AF29" s="2565">
        <v>62.34</v>
      </c>
      <c r="AG29" s="2565">
        <f>SUM(AC29*1.1)</f>
        <v>85.654799999999994</v>
      </c>
      <c r="AH29" s="2593">
        <f>AG29</f>
        <v>85.654799999999994</v>
      </c>
      <c r="AI29" s="2593">
        <v>83.16</v>
      </c>
      <c r="AJ29" s="2593">
        <v>83.16</v>
      </c>
      <c r="AK29" s="2593">
        <v>88.22</v>
      </c>
      <c r="AL29" s="1689">
        <f>AK29</f>
        <v>88.22</v>
      </c>
      <c r="AM29" s="4044" t="s">
        <v>2100</v>
      </c>
      <c r="AN29" s="4045"/>
      <c r="AO29" s="4045"/>
    </row>
    <row r="30" spans="1:41" ht="33" customHeight="1" x14ac:dyDescent="0.2">
      <c r="A30" s="1756" t="s">
        <v>546</v>
      </c>
      <c r="B30" s="2567">
        <v>3.8</v>
      </c>
      <c r="C30" s="2562">
        <v>11.5</v>
      </c>
      <c r="D30" s="2562">
        <f t="shared" si="19"/>
        <v>302.63157894736844</v>
      </c>
      <c r="E30" s="2564">
        <v>1.9</v>
      </c>
      <c r="F30" s="2564">
        <f t="shared" si="2"/>
        <v>16.521739130434781</v>
      </c>
      <c r="G30" s="2564">
        <v>37.1</v>
      </c>
      <c r="H30" s="2564">
        <f t="shared" si="3"/>
        <v>1952.6315789473686</v>
      </c>
      <c r="I30" s="2563">
        <v>10.9</v>
      </c>
      <c r="J30" s="2564">
        <v>3.5</v>
      </c>
      <c r="K30" s="2564">
        <v>23.7</v>
      </c>
      <c r="L30" s="2564">
        <v>23.7</v>
      </c>
      <c r="M30" s="2564">
        <f t="shared" si="4"/>
        <v>63.881401617250667</v>
      </c>
      <c r="N30" s="2564">
        <v>14.19</v>
      </c>
      <c r="O30" s="2564">
        <f t="shared" si="5"/>
        <v>130.18348623853211</v>
      </c>
      <c r="P30" s="2563">
        <v>14.2</v>
      </c>
      <c r="Q30" s="2564">
        <f t="shared" si="6"/>
        <v>130.27522935779817</v>
      </c>
      <c r="R30" s="2564">
        <f t="shared" si="20"/>
        <v>59.915611814345993</v>
      </c>
      <c r="S30" s="2563">
        <v>51.1</v>
      </c>
      <c r="T30" s="2563"/>
      <c r="U30" s="2563">
        <v>51.1</v>
      </c>
      <c r="V30" s="2563">
        <v>25.8</v>
      </c>
      <c r="W30" s="2566">
        <f t="shared" si="7"/>
        <v>1.8169014084507045</v>
      </c>
      <c r="X30" s="2565">
        <f t="shared" si="21"/>
        <v>14.881600000000001</v>
      </c>
      <c r="Y30" s="2565"/>
      <c r="Z30" s="2565"/>
      <c r="AA30" s="2565">
        <v>50.4</v>
      </c>
      <c r="AB30" s="2565">
        <v>15.862</v>
      </c>
      <c r="AC30" s="2565">
        <f>AB30</f>
        <v>15.862</v>
      </c>
      <c r="AD30" s="2566">
        <f t="shared" si="8"/>
        <v>1.0658800129018384</v>
      </c>
      <c r="AE30" s="2565">
        <v>33.6</v>
      </c>
      <c r="AF30" s="2565">
        <v>67.5</v>
      </c>
      <c r="AG30" s="2565">
        <f>SUM(AA30*1.1)</f>
        <v>55.440000000000005</v>
      </c>
      <c r="AH30" s="2593">
        <f>AG30</f>
        <v>55.440000000000005</v>
      </c>
      <c r="AI30" s="2593">
        <v>43.16</v>
      </c>
      <c r="AJ30" s="2593">
        <v>56.49</v>
      </c>
      <c r="AK30" s="2593">
        <v>63.86</v>
      </c>
      <c r="AL30" s="1689">
        <f>AJ30*1.027*1.046</f>
        <v>60.683930579999995</v>
      </c>
      <c r="AM30" s="4040" t="s">
        <v>2099</v>
      </c>
      <c r="AN30" s="4041"/>
      <c r="AO30" s="4041"/>
    </row>
    <row r="31" spans="1:41" ht="30" customHeight="1" x14ac:dyDescent="0.2">
      <c r="A31" s="1756" t="s">
        <v>547</v>
      </c>
      <c r="B31" s="2567">
        <v>2.8</v>
      </c>
      <c r="C31" s="2562">
        <v>4.2</v>
      </c>
      <c r="D31" s="2562">
        <f t="shared" si="19"/>
        <v>150.00000000000003</v>
      </c>
      <c r="E31" s="2564">
        <v>7.2</v>
      </c>
      <c r="F31" s="2564">
        <f t="shared" si="2"/>
        <v>171.42857142857142</v>
      </c>
      <c r="G31" s="2564">
        <v>5.9</v>
      </c>
      <c r="H31" s="2564">
        <f t="shared" si="3"/>
        <v>81.944444444444443</v>
      </c>
      <c r="I31" s="2563">
        <v>9.6999999999999993</v>
      </c>
      <c r="J31" s="2564">
        <v>3.2</v>
      </c>
      <c r="K31" s="2564">
        <v>3.7</v>
      </c>
      <c r="L31" s="2564">
        <v>5.5</v>
      </c>
      <c r="M31" s="2564">
        <f t="shared" si="4"/>
        <v>93.220338983050837</v>
      </c>
      <c r="N31" s="2564">
        <v>12.98</v>
      </c>
      <c r="O31" s="2564">
        <f t="shared" si="5"/>
        <v>133.81443298969074</v>
      </c>
      <c r="P31" s="2563">
        <v>5.2</v>
      </c>
      <c r="Q31" s="2564">
        <f t="shared" si="6"/>
        <v>53.608247422680421</v>
      </c>
      <c r="R31" s="2564">
        <f t="shared" si="20"/>
        <v>94.545454545454547</v>
      </c>
      <c r="S31" s="2563">
        <v>4.0999999999999996</v>
      </c>
      <c r="T31" s="2563"/>
      <c r="U31" s="2563">
        <v>4.2</v>
      </c>
      <c r="V31" s="2563">
        <v>6.3</v>
      </c>
      <c r="W31" s="2566">
        <f t="shared" si="7"/>
        <v>1.2115384615384615</v>
      </c>
      <c r="X31" s="2565">
        <f>P31</f>
        <v>5.2</v>
      </c>
      <c r="Y31" s="2565"/>
      <c r="Z31" s="2565"/>
      <c r="AA31" s="2565">
        <v>0</v>
      </c>
      <c r="AB31" s="2565">
        <v>158.21</v>
      </c>
      <c r="AC31" s="2565">
        <f>X31</f>
        <v>5.2</v>
      </c>
      <c r="AD31" s="2566">
        <f t="shared" si="8"/>
        <v>1</v>
      </c>
      <c r="AE31" s="2565">
        <v>0</v>
      </c>
      <c r="AF31" s="2565">
        <v>0</v>
      </c>
      <c r="AG31" s="2565">
        <f>SUM(AC31*1.1)</f>
        <v>5.7200000000000006</v>
      </c>
      <c r="AH31" s="2593">
        <v>0</v>
      </c>
      <c r="AI31" s="2593">
        <v>0</v>
      </c>
      <c r="AJ31" s="2593">
        <v>0</v>
      </c>
      <c r="AK31" s="2593">
        <v>0</v>
      </c>
      <c r="AL31" s="2593">
        <v>0</v>
      </c>
      <c r="AM31" s="4040"/>
      <c r="AN31" s="4041"/>
      <c r="AO31" s="4041"/>
    </row>
    <row r="32" spans="1:41" ht="44.25" customHeight="1" x14ac:dyDescent="0.2">
      <c r="A32" s="1756" t="s">
        <v>575</v>
      </c>
      <c r="B32" s="2567">
        <v>51.5</v>
      </c>
      <c r="C32" s="2567">
        <v>192.5</v>
      </c>
      <c r="D32" s="2562">
        <f t="shared" si="19"/>
        <v>373.78640776699029</v>
      </c>
      <c r="E32" s="2564">
        <v>211.5</v>
      </c>
      <c r="F32" s="2564">
        <f t="shared" si="2"/>
        <v>109.87012987012987</v>
      </c>
      <c r="G32" s="2564">
        <v>29.9</v>
      </c>
      <c r="H32" s="2564">
        <f t="shared" si="3"/>
        <v>14.137115839243497</v>
      </c>
      <c r="I32" s="2563">
        <v>253.5</v>
      </c>
      <c r="J32" s="2564">
        <v>132.1</v>
      </c>
      <c r="K32" s="2564">
        <v>40.6</v>
      </c>
      <c r="L32" s="2564">
        <v>42.8</v>
      </c>
      <c r="M32" s="2564">
        <f t="shared" si="4"/>
        <v>143.1438127090301</v>
      </c>
      <c r="N32" s="2564">
        <v>278.85000000000002</v>
      </c>
      <c r="O32" s="2564">
        <f t="shared" si="5"/>
        <v>110.00000000000001</v>
      </c>
      <c r="P32" s="2563">
        <v>265.89999999999998</v>
      </c>
      <c r="Q32" s="2564">
        <f t="shared" si="6"/>
        <v>104.89151873767257</v>
      </c>
      <c r="R32" s="2564">
        <f t="shared" si="20"/>
        <v>621.26168224299056</v>
      </c>
      <c r="S32" s="2563">
        <v>98</v>
      </c>
      <c r="T32" s="2563"/>
      <c r="U32" s="2563">
        <v>98.2</v>
      </c>
      <c r="V32" s="2563">
        <v>316.05</v>
      </c>
      <c r="W32" s="2566">
        <f t="shared" si="7"/>
        <v>1.1886047386235428</v>
      </c>
      <c r="X32" s="2565">
        <f t="shared" si="21"/>
        <v>278.66319999999996</v>
      </c>
      <c r="Y32" s="2565"/>
      <c r="Z32" s="2565"/>
      <c r="AA32" s="2565">
        <v>507.1</v>
      </c>
      <c r="AB32" s="2565">
        <v>296.64</v>
      </c>
      <c r="AC32" s="2565">
        <f>U32*1.077*1.049</f>
        <v>110.94370859999999</v>
      </c>
      <c r="AD32" s="2566">
        <f t="shared" si="8"/>
        <v>0.39812830901245666</v>
      </c>
      <c r="AE32" s="2565">
        <v>487.79</v>
      </c>
      <c r="AF32" s="2565">
        <v>487.79</v>
      </c>
      <c r="AG32" s="2565">
        <f>SUM(AA32*1.1)</f>
        <v>557.81000000000006</v>
      </c>
      <c r="AH32" s="2593">
        <f>AG32</f>
        <v>557.81000000000006</v>
      </c>
      <c r="AI32" s="2593">
        <v>9.58</v>
      </c>
      <c r="AJ32" s="2593">
        <v>4.43</v>
      </c>
      <c r="AK32" s="2593">
        <v>642.54</v>
      </c>
      <c r="AL32" s="2593">
        <f t="shared" ref="AL32:AL37" si="22">AK32</f>
        <v>642.54</v>
      </c>
      <c r="AM32" s="4044" t="s">
        <v>2100</v>
      </c>
      <c r="AN32" s="4045"/>
      <c r="AO32" s="4045"/>
    </row>
    <row r="33" spans="1:41" ht="18.75" customHeight="1" x14ac:dyDescent="0.2">
      <c r="A33" s="1756" t="s">
        <v>576</v>
      </c>
      <c r="B33" s="2567">
        <v>8.6999999999999993</v>
      </c>
      <c r="C33" s="2562">
        <v>7.2</v>
      </c>
      <c r="D33" s="2562">
        <f t="shared" si="19"/>
        <v>82.758620689655189</v>
      </c>
      <c r="E33" s="2564">
        <v>22.4</v>
      </c>
      <c r="F33" s="2564">
        <f t="shared" si="2"/>
        <v>311.11111111111109</v>
      </c>
      <c r="G33" s="2564">
        <v>17.3</v>
      </c>
      <c r="H33" s="2564">
        <f t="shared" si="3"/>
        <v>77.232142857142861</v>
      </c>
      <c r="I33" s="2563">
        <v>28.9</v>
      </c>
      <c r="J33" s="2564">
        <v>2.5</v>
      </c>
      <c r="K33" s="2564">
        <v>0</v>
      </c>
      <c r="L33" s="2564">
        <v>69.3</v>
      </c>
      <c r="M33" s="2564">
        <f t="shared" si="4"/>
        <v>400.5780346820809</v>
      </c>
      <c r="N33" s="2564">
        <v>31.79</v>
      </c>
      <c r="O33" s="2564">
        <f t="shared" si="5"/>
        <v>110.00000000000001</v>
      </c>
      <c r="P33" s="2563">
        <v>30.3</v>
      </c>
      <c r="Q33" s="2564">
        <f t="shared" si="6"/>
        <v>104.84429065743946</v>
      </c>
      <c r="R33" s="2564">
        <f t="shared" si="20"/>
        <v>43.722943722943725</v>
      </c>
      <c r="S33" s="2563">
        <v>2.5</v>
      </c>
      <c r="T33" s="2563"/>
      <c r="U33" s="2563">
        <v>10</v>
      </c>
      <c r="V33" s="2563">
        <v>72.099999999999994</v>
      </c>
      <c r="W33" s="2566">
        <f t="shared" si="7"/>
        <v>2.3795379537953791</v>
      </c>
      <c r="X33" s="2565">
        <f t="shared" si="21"/>
        <v>31.7544</v>
      </c>
      <c r="Y33" s="2565"/>
      <c r="Z33" s="2565"/>
      <c r="AA33" s="2565">
        <v>27.3</v>
      </c>
      <c r="AB33" s="2565">
        <v>33.372</v>
      </c>
      <c r="AC33" s="2565">
        <f>AB33</f>
        <v>33.372</v>
      </c>
      <c r="AD33" s="2566">
        <f t="shared" si="8"/>
        <v>1.0509409719597913</v>
      </c>
      <c r="AE33" s="2565">
        <v>388.02</v>
      </c>
      <c r="AF33" s="2565">
        <v>389.92</v>
      </c>
      <c r="AG33" s="2565">
        <f>SUM(AC33*1.1)</f>
        <v>36.709200000000003</v>
      </c>
      <c r="AH33" s="2593">
        <f>AG33</f>
        <v>36.709200000000003</v>
      </c>
      <c r="AI33" s="2593">
        <v>639.74</v>
      </c>
      <c r="AJ33" s="2593">
        <v>124.49</v>
      </c>
      <c r="AK33" s="2593">
        <v>132.07</v>
      </c>
      <c r="AL33" s="2593">
        <f t="shared" si="22"/>
        <v>132.07</v>
      </c>
      <c r="AM33" s="4044" t="s">
        <v>2100</v>
      </c>
      <c r="AN33" s="4045"/>
      <c r="AO33" s="4045"/>
    </row>
    <row r="34" spans="1:41" ht="18.75" x14ac:dyDescent="0.2">
      <c r="A34" s="1756" t="s">
        <v>550</v>
      </c>
      <c r="B34" s="2567">
        <v>20.9</v>
      </c>
      <c r="C34" s="2562">
        <v>26.9</v>
      </c>
      <c r="D34" s="2562">
        <f t="shared" si="19"/>
        <v>128.70813397129186</v>
      </c>
      <c r="E34" s="2564">
        <v>50.6</v>
      </c>
      <c r="F34" s="2564">
        <f t="shared" si="2"/>
        <v>188.10408921933086</v>
      </c>
      <c r="G34" s="2564">
        <v>29.7</v>
      </c>
      <c r="H34" s="2564">
        <f t="shared" si="3"/>
        <v>58.695652173913039</v>
      </c>
      <c r="I34" s="2563">
        <v>0</v>
      </c>
      <c r="J34" s="2564">
        <v>14.7</v>
      </c>
      <c r="K34" s="2564">
        <v>18.3</v>
      </c>
      <c r="L34" s="2564">
        <v>18.3</v>
      </c>
      <c r="M34" s="2564">
        <f t="shared" si="4"/>
        <v>61.616161616161627</v>
      </c>
      <c r="N34" s="2564">
        <v>0</v>
      </c>
      <c r="O34" s="2564"/>
      <c r="P34" s="2563">
        <v>0</v>
      </c>
      <c r="Q34" s="2564"/>
      <c r="R34" s="2564">
        <f t="shared" si="20"/>
        <v>0</v>
      </c>
      <c r="S34" s="2563">
        <v>0</v>
      </c>
      <c r="T34" s="2563"/>
      <c r="U34" s="2563">
        <v>0</v>
      </c>
      <c r="V34" s="2563">
        <v>24.7</v>
      </c>
      <c r="W34" s="2566"/>
      <c r="X34" s="2565">
        <f t="shared" si="21"/>
        <v>0</v>
      </c>
      <c r="Y34" s="2565"/>
      <c r="Z34" s="2565"/>
      <c r="AA34" s="2565">
        <v>0</v>
      </c>
      <c r="AB34" s="2565"/>
      <c r="AC34" s="2565"/>
      <c r="AD34" s="2566"/>
      <c r="AE34" s="2565">
        <v>9.5</v>
      </c>
      <c r="AF34" s="2565">
        <v>9.5</v>
      </c>
      <c r="AG34" s="2565">
        <v>0</v>
      </c>
      <c r="AH34" s="2593">
        <v>0</v>
      </c>
      <c r="AI34" s="2593">
        <v>60.9</v>
      </c>
      <c r="AJ34" s="2593">
        <v>16.760000000000002</v>
      </c>
      <c r="AK34" s="2593">
        <v>17.78</v>
      </c>
      <c r="AL34" s="2593">
        <f t="shared" si="22"/>
        <v>17.78</v>
      </c>
      <c r="AM34" s="4044" t="s">
        <v>2100</v>
      </c>
      <c r="AN34" s="4045"/>
      <c r="AO34" s="4045"/>
    </row>
    <row r="35" spans="1:41" ht="18.75" x14ac:dyDescent="0.2">
      <c r="A35" s="1756" t="s">
        <v>577</v>
      </c>
      <c r="B35" s="2567"/>
      <c r="C35" s="2562">
        <v>5.0999999999999996</v>
      </c>
      <c r="D35" s="2562"/>
      <c r="E35" s="2564">
        <v>2</v>
      </c>
      <c r="F35" s="2564">
        <f t="shared" si="2"/>
        <v>39.215686274509807</v>
      </c>
      <c r="G35" s="2564">
        <v>3.3</v>
      </c>
      <c r="H35" s="2564">
        <f t="shared" si="3"/>
        <v>165</v>
      </c>
      <c r="I35" s="2563">
        <v>0</v>
      </c>
      <c r="J35" s="2564">
        <v>2.8</v>
      </c>
      <c r="K35" s="2564">
        <v>5.4</v>
      </c>
      <c r="L35" s="2564">
        <v>8</v>
      </c>
      <c r="M35" s="2564">
        <f t="shared" si="4"/>
        <v>242.42424242424244</v>
      </c>
      <c r="N35" s="2564">
        <v>10.1</v>
      </c>
      <c r="O35" s="2564"/>
      <c r="P35" s="2563">
        <v>0</v>
      </c>
      <c r="Q35" s="2564"/>
      <c r="R35" s="2564">
        <f t="shared" si="20"/>
        <v>0</v>
      </c>
      <c r="S35" s="2563">
        <v>5.0999999999999996</v>
      </c>
      <c r="T35" s="2563"/>
      <c r="U35" s="2563">
        <v>6.5</v>
      </c>
      <c r="V35" s="2563">
        <v>8.4</v>
      </c>
      <c r="W35" s="2566"/>
      <c r="X35" s="2565">
        <f t="shared" si="21"/>
        <v>0</v>
      </c>
      <c r="Y35" s="2565"/>
      <c r="Z35" s="2565"/>
      <c r="AA35" s="2565">
        <v>8.8000000000000007</v>
      </c>
      <c r="AB35" s="2565"/>
      <c r="AC35" s="2565"/>
      <c r="AD35" s="2566"/>
      <c r="AE35" s="2565">
        <v>0</v>
      </c>
      <c r="AF35" s="2565">
        <v>5.69</v>
      </c>
      <c r="AG35" s="2565">
        <f>SUM(AA35*1.1)</f>
        <v>9.6800000000000015</v>
      </c>
      <c r="AH35" s="2593">
        <f>AG35</f>
        <v>9.6800000000000015</v>
      </c>
      <c r="AI35" s="2593">
        <v>3.88</v>
      </c>
      <c r="AJ35" s="2593">
        <v>3.88</v>
      </c>
      <c r="AK35" s="2593">
        <v>11.15</v>
      </c>
      <c r="AL35" s="2593">
        <f t="shared" si="22"/>
        <v>11.15</v>
      </c>
      <c r="AM35" s="4044" t="s">
        <v>2100</v>
      </c>
      <c r="AN35" s="4045"/>
      <c r="AO35" s="4045"/>
    </row>
    <row r="36" spans="1:41" ht="18.75" x14ac:dyDescent="0.2">
      <c r="A36" s="1756" t="s">
        <v>578</v>
      </c>
      <c r="B36" s="2567">
        <v>25.7</v>
      </c>
      <c r="C36" s="2562">
        <v>304.89999999999998</v>
      </c>
      <c r="D36" s="2562">
        <f>C36/B36*100</f>
        <v>1186.3813229571983</v>
      </c>
      <c r="E36" s="2564">
        <v>523.9</v>
      </c>
      <c r="F36" s="2564">
        <f t="shared" si="2"/>
        <v>171.8268284683503</v>
      </c>
      <c r="G36" s="2564">
        <v>556</v>
      </c>
      <c r="H36" s="2564">
        <f t="shared" si="3"/>
        <v>106.12712349685054</v>
      </c>
      <c r="I36" s="2563">
        <v>0</v>
      </c>
      <c r="J36" s="2564">
        <v>275.10000000000002</v>
      </c>
      <c r="K36" s="2564">
        <v>473.8</v>
      </c>
      <c r="L36" s="2564">
        <v>672.1</v>
      </c>
      <c r="M36" s="2564">
        <f t="shared" si="4"/>
        <v>120.88129496402877</v>
      </c>
      <c r="N36" s="2564">
        <v>642.4</v>
      </c>
      <c r="O36" s="2564"/>
      <c r="P36" s="2563">
        <v>0</v>
      </c>
      <c r="Q36" s="2564"/>
      <c r="R36" s="2564">
        <f t="shared" si="20"/>
        <v>0</v>
      </c>
      <c r="S36" s="2563">
        <v>533.6</v>
      </c>
      <c r="T36" s="2563"/>
      <c r="U36" s="2563">
        <v>698.7</v>
      </c>
      <c r="V36" s="2563">
        <v>832.05</v>
      </c>
      <c r="W36" s="2566"/>
      <c r="X36" s="2565">
        <f t="shared" si="21"/>
        <v>0</v>
      </c>
      <c r="Y36" s="2565"/>
      <c r="Z36" s="2565"/>
      <c r="AA36" s="2565">
        <v>688.1</v>
      </c>
      <c r="AB36" s="2565">
        <v>713</v>
      </c>
      <c r="AC36" s="2565">
        <v>0</v>
      </c>
      <c r="AD36" s="2566"/>
      <c r="AE36" s="2565">
        <v>328.05</v>
      </c>
      <c r="AF36" s="2565">
        <v>493.45</v>
      </c>
      <c r="AG36" s="2565">
        <f>SUM(AA36*1.1)</f>
        <v>756.91000000000008</v>
      </c>
      <c r="AH36" s="2593">
        <v>0</v>
      </c>
      <c r="AI36" s="2593">
        <v>799.92</v>
      </c>
      <c r="AJ36" s="2593">
        <v>898.34</v>
      </c>
      <c r="AK36" s="2593">
        <v>953.05</v>
      </c>
      <c r="AL36" s="2593">
        <f t="shared" si="22"/>
        <v>953.05</v>
      </c>
      <c r="AM36" s="4044" t="s">
        <v>2100</v>
      </c>
      <c r="AN36" s="4045"/>
      <c r="AO36" s="4045"/>
    </row>
    <row r="37" spans="1:41" ht="18.75" customHeight="1" x14ac:dyDescent="0.2">
      <c r="A37" s="1756" t="s">
        <v>551</v>
      </c>
      <c r="B37" s="2567"/>
      <c r="C37" s="2562">
        <v>54</v>
      </c>
      <c r="D37" s="2562"/>
      <c r="E37" s="2564"/>
      <c r="F37" s="2564">
        <f t="shared" si="2"/>
        <v>0</v>
      </c>
      <c r="G37" s="2564">
        <v>9.1999999999999993</v>
      </c>
      <c r="H37" s="2564"/>
      <c r="I37" s="2563">
        <f>E37*1.03</f>
        <v>0</v>
      </c>
      <c r="J37" s="2564"/>
      <c r="K37" s="2564">
        <v>3.4</v>
      </c>
      <c r="L37" s="2564">
        <v>7.4</v>
      </c>
      <c r="M37" s="2564">
        <f t="shared" si="4"/>
        <v>80.43478260869567</v>
      </c>
      <c r="N37" s="2564">
        <v>10.1</v>
      </c>
      <c r="O37" s="2564"/>
      <c r="P37" s="2563">
        <v>0</v>
      </c>
      <c r="Q37" s="2564"/>
      <c r="R37" s="2564">
        <f t="shared" si="20"/>
        <v>0</v>
      </c>
      <c r="S37" s="2563">
        <v>6.1</v>
      </c>
      <c r="T37" s="2563"/>
      <c r="U37" s="2563">
        <v>10</v>
      </c>
      <c r="V37" s="2563">
        <v>8.4</v>
      </c>
      <c r="W37" s="2566"/>
      <c r="X37" s="2565">
        <f t="shared" si="21"/>
        <v>0</v>
      </c>
      <c r="Y37" s="2565"/>
      <c r="Z37" s="2565"/>
      <c r="AA37" s="2565">
        <v>18.100000000000001</v>
      </c>
      <c r="AB37" s="2565">
        <v>6</v>
      </c>
      <c r="AC37" s="2565">
        <f>AB37</f>
        <v>6</v>
      </c>
      <c r="AD37" s="2566"/>
      <c r="AE37" s="2565">
        <v>2.48</v>
      </c>
      <c r="AF37" s="2565">
        <v>13.32</v>
      </c>
      <c r="AG37" s="2565">
        <f>SUM(AA37*1.1)</f>
        <v>19.910000000000004</v>
      </c>
      <c r="AH37" s="2593">
        <f>AF37/3*4*1.062</f>
        <v>18.861120000000003</v>
      </c>
      <c r="AI37" s="2593">
        <v>27.34</v>
      </c>
      <c r="AJ37" s="2593">
        <v>19.64</v>
      </c>
      <c r="AK37" s="2593">
        <v>21.73</v>
      </c>
      <c r="AL37" s="2593">
        <f t="shared" si="22"/>
        <v>21.73</v>
      </c>
      <c r="AM37" s="4044" t="s">
        <v>2100</v>
      </c>
      <c r="AN37" s="4045"/>
      <c r="AO37" s="4045"/>
    </row>
    <row r="38" spans="1:41" ht="18.75" customHeight="1" x14ac:dyDescent="0.2">
      <c r="A38" s="1756" t="s">
        <v>898</v>
      </c>
      <c r="B38" s="2567">
        <v>141.6</v>
      </c>
      <c r="C38" s="2562">
        <v>138.1</v>
      </c>
      <c r="D38" s="2562">
        <f>C38/B38*100</f>
        <v>97.528248587570616</v>
      </c>
      <c r="E38" s="2564">
        <v>344.7</v>
      </c>
      <c r="F38" s="2564">
        <f t="shared" si="2"/>
        <v>249.6017378711079</v>
      </c>
      <c r="G38" s="2564">
        <v>361.6</v>
      </c>
      <c r="H38" s="2564">
        <f t="shared" si="3"/>
        <v>104.90281404119526</v>
      </c>
      <c r="I38" s="2563">
        <v>373.9</v>
      </c>
      <c r="J38" s="2564">
        <v>179.1</v>
      </c>
      <c r="K38" s="2564"/>
      <c r="L38" s="2564">
        <v>711.9</v>
      </c>
      <c r="M38" s="2564">
        <f t="shared" si="4"/>
        <v>196.87499999999997</v>
      </c>
      <c r="N38" s="2564">
        <v>411.29</v>
      </c>
      <c r="O38" s="2564">
        <f t="shared" si="5"/>
        <v>110.00000000000001</v>
      </c>
      <c r="P38" s="2563">
        <v>392.2</v>
      </c>
      <c r="Q38" s="2564">
        <f t="shared" si="6"/>
        <v>104.89435677988767</v>
      </c>
      <c r="R38" s="2564">
        <f>P38/L38*100</f>
        <v>55.092007304396681</v>
      </c>
      <c r="S38" s="2563">
        <v>-59.3</v>
      </c>
      <c r="T38" s="2563"/>
      <c r="U38" s="2563">
        <v>-59.3</v>
      </c>
      <c r="V38" s="2563">
        <v>747.6</v>
      </c>
      <c r="W38" s="2566">
        <f t="shared" si="7"/>
        <v>1.906170321264661</v>
      </c>
      <c r="X38" s="2565">
        <f>150.21/2*3.23+150.21/2*3.35</f>
        <v>494.19090000000006</v>
      </c>
      <c r="Y38" s="2565"/>
      <c r="Z38" s="2565"/>
      <c r="AA38" s="2565">
        <v>0</v>
      </c>
      <c r="AB38" s="2565">
        <v>510.06</v>
      </c>
      <c r="AC38" s="2565">
        <f>X38</f>
        <v>494.19090000000006</v>
      </c>
      <c r="AD38" s="2566">
        <f t="shared" si="8"/>
        <v>1</v>
      </c>
      <c r="AE38" s="2565">
        <v>0</v>
      </c>
      <c r="AF38" s="2565">
        <v>0</v>
      </c>
      <c r="AG38" s="2565">
        <f>SUM(AC38*1.1)</f>
        <v>543.60999000000015</v>
      </c>
      <c r="AH38" s="2594">
        <v>318.05</v>
      </c>
      <c r="AI38" s="2594">
        <v>61.43</v>
      </c>
      <c r="AJ38" s="2594">
        <v>0</v>
      </c>
      <c r="AK38" s="2594">
        <v>450.72</v>
      </c>
      <c r="AL38" s="2594">
        <v>0</v>
      </c>
      <c r="AM38" s="4064" t="s">
        <v>2102</v>
      </c>
      <c r="AN38" s="4065"/>
      <c r="AO38" s="4065"/>
    </row>
    <row r="39" spans="1:41" ht="19.5" customHeight="1" x14ac:dyDescent="0.2">
      <c r="A39" s="1756" t="s">
        <v>549</v>
      </c>
      <c r="B39" s="2567"/>
      <c r="C39" s="2562"/>
      <c r="D39" s="2562"/>
      <c r="E39" s="2564"/>
      <c r="F39" s="2564"/>
      <c r="G39" s="2564">
        <v>135.19999999999999</v>
      </c>
      <c r="H39" s="2564"/>
      <c r="I39" s="2563">
        <v>23.7</v>
      </c>
      <c r="J39" s="2564"/>
      <c r="K39" s="2564">
        <v>758.8</v>
      </c>
      <c r="L39" s="2564">
        <v>0</v>
      </c>
      <c r="M39" s="2564">
        <f t="shared" si="4"/>
        <v>0</v>
      </c>
      <c r="N39" s="2564">
        <v>148.69999999999999</v>
      </c>
      <c r="O39" s="2564">
        <f t="shared" si="5"/>
        <v>627.42616033755269</v>
      </c>
      <c r="P39" s="2563">
        <v>138.4</v>
      </c>
      <c r="Q39" s="2564">
        <f t="shared" si="6"/>
        <v>583.96624472573842</v>
      </c>
      <c r="R39" s="2564" t="e">
        <f>P39/L39*100</f>
        <v>#DIV/0!</v>
      </c>
      <c r="S39" s="2563">
        <v>689</v>
      </c>
      <c r="T39" s="2563"/>
      <c r="U39" s="2563">
        <v>691.8</v>
      </c>
      <c r="V39" s="2563">
        <v>142.80000000000001</v>
      </c>
      <c r="W39" s="2566">
        <f t="shared" si="7"/>
        <v>1.0317919075144508</v>
      </c>
      <c r="X39" s="2565">
        <f t="shared" si="21"/>
        <v>145.04320000000001</v>
      </c>
      <c r="Y39" s="2565"/>
      <c r="Z39" s="2565"/>
      <c r="AA39" s="2565">
        <v>217.6</v>
      </c>
      <c r="AB39" s="2565">
        <v>0</v>
      </c>
      <c r="AC39" s="2565">
        <v>135.18</v>
      </c>
      <c r="AD39" s="2566">
        <f t="shared" si="8"/>
        <v>0.93199819088381941</v>
      </c>
      <c r="AE39" s="2565">
        <v>0</v>
      </c>
      <c r="AF39" s="2565">
        <v>177.8</v>
      </c>
      <c r="AG39" s="2565">
        <f>SUM(AA39*1.1)</f>
        <v>239.36</v>
      </c>
      <c r="AH39" s="2593">
        <f>AG39</f>
        <v>239.36</v>
      </c>
      <c r="AI39" s="2593">
        <v>895.92</v>
      </c>
      <c r="AJ39" s="2593">
        <v>444.29</v>
      </c>
      <c r="AK39" s="2593">
        <v>471.35</v>
      </c>
      <c r="AL39" s="2593">
        <f>AK39</f>
        <v>471.35</v>
      </c>
      <c r="AM39" s="4044" t="s">
        <v>2100</v>
      </c>
      <c r="AN39" s="4045"/>
      <c r="AO39" s="4045"/>
    </row>
    <row r="40" spans="1:41" ht="36.75" customHeight="1" x14ac:dyDescent="0.2">
      <c r="A40" s="1756" t="s">
        <v>553</v>
      </c>
      <c r="B40" s="2567">
        <v>21.1</v>
      </c>
      <c r="C40" s="2567">
        <v>22</v>
      </c>
      <c r="D40" s="2562">
        <f>C40/B40*100</f>
        <v>104.26540284360189</v>
      </c>
      <c r="E40" s="2564">
        <v>23.2</v>
      </c>
      <c r="F40" s="2564">
        <f t="shared" si="2"/>
        <v>105.45454545454544</v>
      </c>
      <c r="G40" s="2564">
        <v>26.6</v>
      </c>
      <c r="H40" s="2564">
        <f t="shared" si="3"/>
        <v>114.65517241379311</v>
      </c>
      <c r="I40" s="2563">
        <f>E40*1.03</f>
        <v>23.896000000000001</v>
      </c>
      <c r="J40" s="2564">
        <v>8.6999999999999993</v>
      </c>
      <c r="K40" s="2564">
        <v>23.5</v>
      </c>
      <c r="L40" s="2564">
        <v>26.9</v>
      </c>
      <c r="M40" s="2564">
        <f t="shared" si="4"/>
        <v>101.12781954887218</v>
      </c>
      <c r="N40" s="2564">
        <v>30.59</v>
      </c>
      <c r="O40" s="2564">
        <f t="shared" si="5"/>
        <v>128.01305657850685</v>
      </c>
      <c r="P40" s="2563">
        <v>27.9</v>
      </c>
      <c r="Q40" s="2564">
        <f t="shared" si="6"/>
        <v>116.75594241714093</v>
      </c>
      <c r="R40" s="2564">
        <f>P40/L40*100</f>
        <v>103.71747211895909</v>
      </c>
      <c r="S40" s="2563">
        <v>10.199999999999999</v>
      </c>
      <c r="T40" s="2563"/>
      <c r="U40" s="2563">
        <v>26.9</v>
      </c>
      <c r="V40" s="2563">
        <v>33.325000000000003</v>
      </c>
      <c r="W40" s="2566">
        <f t="shared" si="7"/>
        <v>1.1944444444444446</v>
      </c>
      <c r="X40" s="2565">
        <f t="shared" si="21"/>
        <v>29.2392</v>
      </c>
      <c r="Y40" s="2565"/>
      <c r="Z40" s="2565"/>
      <c r="AA40" s="2565">
        <v>29.3</v>
      </c>
      <c r="AB40" s="2565">
        <v>30.49</v>
      </c>
      <c r="AC40" s="2565">
        <f>AB40</f>
        <v>30.49</v>
      </c>
      <c r="AD40" s="2566">
        <f t="shared" si="8"/>
        <v>1.0427781881857232</v>
      </c>
      <c r="AE40" s="2565">
        <v>10.45</v>
      </c>
      <c r="AF40" s="2565">
        <v>24.59</v>
      </c>
      <c r="AG40" s="2565">
        <f>SUM(AC40*1.1)</f>
        <v>33.539000000000001</v>
      </c>
      <c r="AH40" s="2593">
        <f>AF40/3*4*1.062</f>
        <v>34.819440000000007</v>
      </c>
      <c r="AI40" s="2593">
        <v>29.75</v>
      </c>
      <c r="AJ40" s="2593">
        <v>31.24</v>
      </c>
      <c r="AK40" s="2593">
        <v>40.11</v>
      </c>
      <c r="AL40" s="2593">
        <f>AJ40*1.027*1.046</f>
        <v>33.559320079999992</v>
      </c>
      <c r="AM40" s="4040" t="s">
        <v>2099</v>
      </c>
      <c r="AN40" s="4041"/>
      <c r="AO40" s="4041"/>
    </row>
    <row r="41" spans="1:41" ht="18.75" x14ac:dyDescent="0.2">
      <c r="A41" s="1756" t="s">
        <v>579</v>
      </c>
      <c r="B41" s="2567"/>
      <c r="C41" s="2567"/>
      <c r="D41" s="2562"/>
      <c r="E41" s="2564">
        <f>9.9+12.2</f>
        <v>22.1</v>
      </c>
      <c r="F41" s="2564"/>
      <c r="G41" s="2564">
        <v>2.9</v>
      </c>
      <c r="H41" s="2564">
        <f t="shared" si="3"/>
        <v>13.122171945701355</v>
      </c>
      <c r="I41" s="2563">
        <v>2.5</v>
      </c>
      <c r="J41" s="2564">
        <v>2.4</v>
      </c>
      <c r="K41" s="2564">
        <v>19.600000000000001</v>
      </c>
      <c r="L41" s="2564">
        <v>205.8</v>
      </c>
      <c r="M41" s="2564">
        <f t="shared" si="4"/>
        <v>7096.5517241379321</v>
      </c>
      <c r="N41" s="2564"/>
      <c r="O41" s="2564">
        <f t="shared" si="5"/>
        <v>0</v>
      </c>
      <c r="P41" s="2563">
        <v>0</v>
      </c>
      <c r="Q41" s="2564">
        <f t="shared" si="6"/>
        <v>0</v>
      </c>
      <c r="R41" s="2564"/>
      <c r="S41" s="2563">
        <v>8.3000000000000007</v>
      </c>
      <c r="T41" s="2563"/>
      <c r="U41" s="2563"/>
      <c r="V41" s="2563">
        <v>0</v>
      </c>
      <c r="W41" s="2566"/>
      <c r="X41" s="2565">
        <f t="shared" si="21"/>
        <v>0</v>
      </c>
      <c r="Y41" s="2565"/>
      <c r="Z41" s="2565"/>
      <c r="AA41" s="2565">
        <v>0</v>
      </c>
      <c r="AB41" s="2565">
        <v>0</v>
      </c>
      <c r="AC41" s="2565">
        <v>0</v>
      </c>
      <c r="AD41" s="2566"/>
      <c r="AE41" s="2565">
        <v>0.35</v>
      </c>
      <c r="AF41" s="2565">
        <v>0.44</v>
      </c>
      <c r="AG41" s="2565">
        <v>0</v>
      </c>
      <c r="AH41" s="2593"/>
      <c r="AI41" s="2593">
        <v>2.63</v>
      </c>
      <c r="AJ41" s="2593">
        <v>0</v>
      </c>
      <c r="AK41" s="2593">
        <v>0</v>
      </c>
      <c r="AL41" s="2593">
        <v>0</v>
      </c>
      <c r="AM41" s="4044"/>
      <c r="AN41" s="4045"/>
      <c r="AO41" s="4045"/>
    </row>
    <row r="42" spans="1:41" ht="37.5" customHeight="1" x14ac:dyDescent="0.2">
      <c r="A42" s="1756" t="s">
        <v>580</v>
      </c>
      <c r="B42" s="2567"/>
      <c r="C42" s="2567"/>
      <c r="D42" s="2562"/>
      <c r="E42" s="2564"/>
      <c r="F42" s="2564"/>
      <c r="G42" s="2564">
        <v>10.4</v>
      </c>
      <c r="H42" s="2564"/>
      <c r="I42" s="2563"/>
      <c r="J42" s="2564"/>
      <c r="K42" s="2564">
        <v>7</v>
      </c>
      <c r="L42" s="2564">
        <v>7</v>
      </c>
      <c r="M42" s="2564">
        <f t="shared" si="4"/>
        <v>67.307692307692307</v>
      </c>
      <c r="N42" s="2564">
        <v>30.8</v>
      </c>
      <c r="O42" s="2564"/>
      <c r="P42" s="2563">
        <v>29.4</v>
      </c>
      <c r="Q42" s="2564"/>
      <c r="R42" s="2564"/>
      <c r="S42" s="2563">
        <v>0</v>
      </c>
      <c r="T42" s="2563"/>
      <c r="U42" s="2563">
        <v>7.7</v>
      </c>
      <c r="V42" s="2563">
        <v>31.5</v>
      </c>
      <c r="W42" s="2566">
        <f t="shared" si="7"/>
        <v>1.0714285714285714</v>
      </c>
      <c r="X42" s="2565">
        <f t="shared" si="21"/>
        <v>30.811199999999999</v>
      </c>
      <c r="Y42" s="2565"/>
      <c r="Z42" s="2565"/>
      <c r="AA42" s="2565">
        <v>3.8</v>
      </c>
      <c r="AB42" s="2565">
        <v>63.4</v>
      </c>
      <c r="AC42" s="2565">
        <f>X42*1.049</f>
        <v>32.320948799999996</v>
      </c>
      <c r="AD42" s="2566">
        <f t="shared" si="8"/>
        <v>1.0489999999999999</v>
      </c>
      <c r="AE42" s="2565">
        <v>14.3</v>
      </c>
      <c r="AF42" s="2565">
        <v>18.79</v>
      </c>
      <c r="AG42" s="2565">
        <f>SUM(AC42*1.1)</f>
        <v>35.553043680000002</v>
      </c>
      <c r="AH42" s="2593">
        <f>AG42</f>
        <v>35.553043680000002</v>
      </c>
      <c r="AI42" s="2593">
        <v>75.69</v>
      </c>
      <c r="AJ42" s="2593">
        <v>47.59</v>
      </c>
      <c r="AK42" s="2593">
        <v>50.49</v>
      </c>
      <c r="AL42" s="2593">
        <f>AJ42</f>
        <v>47.59</v>
      </c>
      <c r="AM42" s="4044" t="s">
        <v>2106</v>
      </c>
      <c r="AN42" s="4045"/>
      <c r="AO42" s="4045"/>
    </row>
    <row r="43" spans="1:41" ht="18.75" x14ac:dyDescent="0.2">
      <c r="A43" s="1756" t="s">
        <v>554</v>
      </c>
      <c r="B43" s="2567"/>
      <c r="C43" s="2567"/>
      <c r="D43" s="2562"/>
      <c r="E43" s="2564"/>
      <c r="F43" s="2564"/>
      <c r="G43" s="2564">
        <v>60.1</v>
      </c>
      <c r="H43" s="2564"/>
      <c r="I43" s="2563"/>
      <c r="J43" s="2564"/>
      <c r="K43" s="2564"/>
      <c r="L43" s="2564">
        <v>51.4</v>
      </c>
      <c r="M43" s="2564">
        <f t="shared" si="4"/>
        <v>85.52412645590681</v>
      </c>
      <c r="N43" s="2564">
        <v>66.099999999999994</v>
      </c>
      <c r="O43" s="2564"/>
      <c r="P43" s="2563">
        <v>0</v>
      </c>
      <c r="Q43" s="2564"/>
      <c r="R43" s="2564"/>
      <c r="S43" s="2563">
        <v>0</v>
      </c>
      <c r="T43" s="2563"/>
      <c r="U43" s="2563">
        <v>106.8</v>
      </c>
      <c r="V43" s="2563">
        <v>62.2</v>
      </c>
      <c r="W43" s="2566"/>
      <c r="X43" s="2565">
        <f t="shared" si="21"/>
        <v>0</v>
      </c>
      <c r="Y43" s="2565"/>
      <c r="Z43" s="2565"/>
      <c r="AA43" s="2565">
        <v>66.400000000000006</v>
      </c>
      <c r="AB43" s="2565">
        <v>106.8</v>
      </c>
      <c r="AC43" s="2565">
        <f>AB43</f>
        <v>106.8</v>
      </c>
      <c r="AD43" s="2566"/>
      <c r="AE43" s="2565">
        <v>34.950000000000003</v>
      </c>
      <c r="AF43" s="2565">
        <v>52.45</v>
      </c>
      <c r="AG43" s="2565">
        <f>SUM(AC43*1.1)</f>
        <v>117.48</v>
      </c>
      <c r="AH43" s="2593">
        <f>AA43</f>
        <v>66.400000000000006</v>
      </c>
      <c r="AI43" s="2593">
        <v>74.64</v>
      </c>
      <c r="AJ43" s="2593">
        <v>82.71</v>
      </c>
      <c r="AK43" s="2593">
        <v>87.75</v>
      </c>
      <c r="AL43" s="2593">
        <v>0</v>
      </c>
      <c r="AM43" s="4064" t="s">
        <v>2102</v>
      </c>
      <c r="AN43" s="4065"/>
      <c r="AO43" s="4065"/>
    </row>
    <row r="44" spans="1:41" ht="18.75" x14ac:dyDescent="0.2">
      <c r="A44" s="1756" t="s">
        <v>581</v>
      </c>
      <c r="B44" s="2567"/>
      <c r="C44" s="2567"/>
      <c r="D44" s="2562"/>
      <c r="E44" s="2564"/>
      <c r="F44" s="2564"/>
      <c r="G44" s="2564">
        <v>0.8</v>
      </c>
      <c r="H44" s="2564"/>
      <c r="I44" s="2563"/>
      <c r="J44" s="2564"/>
      <c r="K44" s="2564"/>
      <c r="L44" s="2564">
        <v>0</v>
      </c>
      <c r="M44" s="2564">
        <f t="shared" si="4"/>
        <v>0</v>
      </c>
      <c r="N44" s="2564">
        <v>0.9</v>
      </c>
      <c r="O44" s="2564"/>
      <c r="P44" s="2563">
        <f>L44*1.049</f>
        <v>0</v>
      </c>
      <c r="Q44" s="2564"/>
      <c r="R44" s="2564"/>
      <c r="S44" s="2563">
        <v>0</v>
      </c>
      <c r="T44" s="2563"/>
      <c r="U44" s="2563"/>
      <c r="V44" s="2563">
        <v>0</v>
      </c>
      <c r="W44" s="2566"/>
      <c r="X44" s="2565">
        <f t="shared" si="21"/>
        <v>0</v>
      </c>
      <c r="Y44" s="2565"/>
      <c r="Z44" s="2565"/>
      <c r="AA44" s="2565">
        <v>0</v>
      </c>
      <c r="AB44" s="2565"/>
      <c r="AC44" s="2565"/>
      <c r="AD44" s="2566"/>
      <c r="AE44" s="2565">
        <v>0</v>
      </c>
      <c r="AF44" s="2565">
        <v>0</v>
      </c>
      <c r="AG44" s="2565">
        <v>0</v>
      </c>
      <c r="AH44" s="2593">
        <v>0</v>
      </c>
      <c r="AI44" s="2593">
        <v>0</v>
      </c>
      <c r="AJ44" s="2593">
        <v>0</v>
      </c>
      <c r="AK44" s="2593">
        <v>0</v>
      </c>
      <c r="AL44" s="2593">
        <v>0</v>
      </c>
      <c r="AM44" s="4044"/>
      <c r="AN44" s="4045"/>
      <c r="AO44" s="4045"/>
    </row>
    <row r="45" spans="1:41" ht="19.5" x14ac:dyDescent="0.2">
      <c r="A45" s="2570" t="s">
        <v>54</v>
      </c>
      <c r="B45" s="2477">
        <f>B9+B12+B14+B15+B16+B18+B24+B25</f>
        <v>7525.8</v>
      </c>
      <c r="C45" s="2571">
        <f>C9+C12+C14+C15+C16+C18+C24+C25</f>
        <v>7792.2999999999993</v>
      </c>
      <c r="D45" s="2562">
        <f>C45/B45*100</f>
        <v>103.54115177124027</v>
      </c>
      <c r="E45" s="1828">
        <f>E9+E12+E14+E15+E16+E18+E24+E25</f>
        <v>10451.099999999999</v>
      </c>
      <c r="F45" s="2564">
        <f t="shared" si="2"/>
        <v>134.12086290312232</v>
      </c>
      <c r="G45" s="1828">
        <f>G9+G12+G14+G15+G16+G18+G24+G25</f>
        <v>10385.700000000001</v>
      </c>
      <c r="H45" s="2564">
        <f t="shared" si="3"/>
        <v>99.374228550104789</v>
      </c>
      <c r="I45" s="1828">
        <f>I9+I12+I14+I15+I16+I18+I24+I25</f>
        <v>10917.308999999999</v>
      </c>
      <c r="J45" s="1828">
        <f>J9+J12+J14+J15+J16+J18+J24+J25</f>
        <v>5439.7</v>
      </c>
      <c r="K45" s="1828">
        <f>K9+K12+K14+K15+K16+K18+K24+K25</f>
        <v>7877.6999999999989</v>
      </c>
      <c r="L45" s="1828">
        <f>L9+L12+L14+L15+L16+L18+L24+L25</f>
        <v>12070.7</v>
      </c>
      <c r="M45" s="2564">
        <f t="shared" si="4"/>
        <v>116.22423139509132</v>
      </c>
      <c r="N45" s="1828">
        <f>N9+N12+N14+N15+N16+N18+N24+N25</f>
        <v>14149.100000000002</v>
      </c>
      <c r="O45" s="2564">
        <f t="shared" si="5"/>
        <v>129.60245056725978</v>
      </c>
      <c r="P45" s="1828">
        <f t="shared" ref="P45:V45" si="23">P9+P12+P14+P15+P16+P18+P24+P25</f>
        <v>11886.2996</v>
      </c>
      <c r="Q45" s="1828">
        <f t="shared" si="23"/>
        <v>2736.7270743128793</v>
      </c>
      <c r="R45" s="1828" t="e">
        <f t="shared" si="23"/>
        <v>#DIV/0!</v>
      </c>
      <c r="S45" s="1828">
        <f t="shared" si="23"/>
        <v>9004.7000000000007</v>
      </c>
      <c r="T45" s="1828">
        <f t="shared" si="23"/>
        <v>0</v>
      </c>
      <c r="U45" s="1828">
        <f t="shared" si="23"/>
        <v>11498.4</v>
      </c>
      <c r="V45" s="1828">
        <f t="shared" si="23"/>
        <v>15828.945</v>
      </c>
      <c r="W45" s="2584">
        <f>V45/P45</f>
        <v>1.33169661986309</v>
      </c>
      <c r="X45" s="1828">
        <f>X9+X12+X14+X15+X16+X18+X24+X25</f>
        <v>12445.238951036179</v>
      </c>
      <c r="Y45" s="1828"/>
      <c r="Z45" s="1828"/>
      <c r="AA45" s="1828">
        <f>AA9+AA12+AA14+AA15+AA16+AA18+AA24+AA25</f>
        <v>9629.5999999999985</v>
      </c>
      <c r="AB45" s="1828">
        <f>AB9+AB12+AB14+AB15+AB16+AB18+AB24+AB25</f>
        <v>14286.099999999999</v>
      </c>
      <c r="AC45" s="1828">
        <f>AC9+AC12+AC14+AC15+AC16+AC18+AC24+AC25</f>
        <v>11756.4147854</v>
      </c>
      <c r="AD45" s="2566">
        <f t="shared" si="8"/>
        <v>0.94465159179777514</v>
      </c>
      <c r="AE45" s="1828">
        <f>AE9+AE12+AE14+AE15+AE16+AE18+AE24+AE25</f>
        <v>5218.2999999999993</v>
      </c>
      <c r="AF45" s="1828">
        <f>AF9+AF12+AF14+AF15+AF16+AF18+AF24+AF25+AF17</f>
        <v>7835.4800000000005</v>
      </c>
      <c r="AG45" s="1828">
        <f t="shared" ref="AG45:AH45" si="24">AG9+AG12+AG14+AG15+AG16+AG18+AG24+AG25</f>
        <v>14551.06760105284</v>
      </c>
      <c r="AH45" s="1828">
        <f t="shared" si="24"/>
        <v>10425.466145415521</v>
      </c>
      <c r="AI45" s="1828">
        <f t="shared" ref="AI45:AL45" si="25">AI9+AI12+AI14+AI15+AI16+AI18+AI24+AI25</f>
        <v>12280.92</v>
      </c>
      <c r="AJ45" s="1828">
        <f t="shared" si="25"/>
        <v>10753.27</v>
      </c>
      <c r="AK45" s="1828">
        <f t="shared" si="25"/>
        <v>19516.099999999999</v>
      </c>
      <c r="AL45" s="1828">
        <f t="shared" si="25"/>
        <v>15324.481394092623</v>
      </c>
      <c r="AM45" s="4067"/>
      <c r="AN45" s="4068"/>
      <c r="AO45" s="4068"/>
    </row>
    <row r="46" spans="1:41" ht="18.75" x14ac:dyDescent="0.2">
      <c r="A46" s="1756" t="s">
        <v>218</v>
      </c>
      <c r="B46" s="1681"/>
      <c r="C46" s="1681"/>
      <c r="D46" s="1681"/>
      <c r="E46" s="1681"/>
      <c r="F46" s="1681"/>
      <c r="G46" s="1681"/>
      <c r="H46" s="1681"/>
      <c r="I46" s="1681"/>
      <c r="J46" s="1681"/>
      <c r="K46" s="2585">
        <f t="shared" ref="K46:S46" si="26">K45-K36</f>
        <v>7403.8999999999987</v>
      </c>
      <c r="L46" s="2586">
        <f t="shared" si="26"/>
        <v>11398.6</v>
      </c>
      <c r="M46" s="2586">
        <f t="shared" si="26"/>
        <v>-4.6570635689374456</v>
      </c>
      <c r="N46" s="2586">
        <f t="shared" si="26"/>
        <v>13506.700000000003</v>
      </c>
      <c r="O46" s="2586">
        <f t="shared" si="26"/>
        <v>129.60245056725978</v>
      </c>
      <c r="P46" s="2586">
        <f t="shared" si="26"/>
        <v>11886.2996</v>
      </c>
      <c r="Q46" s="2586">
        <f t="shared" si="26"/>
        <v>2736.7270743128793</v>
      </c>
      <c r="R46" s="2586" t="e">
        <f t="shared" si="26"/>
        <v>#DIV/0!</v>
      </c>
      <c r="S46" s="2586">
        <f t="shared" si="26"/>
        <v>8471.1</v>
      </c>
      <c r="T46" s="2586"/>
      <c r="U46" s="2586"/>
      <c r="V46" s="2586">
        <f>V45-V36</f>
        <v>14996.895</v>
      </c>
      <c r="W46" s="2586">
        <f>W45-W36</f>
        <v>1.33169661986309</v>
      </c>
      <c r="X46" s="2586">
        <f>X45-X36</f>
        <v>12445.238951036179</v>
      </c>
      <c r="Y46" s="2586"/>
      <c r="Z46" s="2586"/>
      <c r="AA46" s="2586">
        <f>AA45-AA36</f>
        <v>8941.4999999999982</v>
      </c>
      <c r="AB46" s="2586">
        <f>AB45-AB36</f>
        <v>13573.099999999999</v>
      </c>
      <c r="AC46" s="2586">
        <f>AC45-AC36</f>
        <v>11756.4147854</v>
      </c>
      <c r="AD46" s="2566">
        <f t="shared" si="8"/>
        <v>0.94465159179777514</v>
      </c>
      <c r="AE46" s="2586">
        <f t="shared" ref="AE46:AF46" si="27">AE45-AE36</f>
        <v>4890.2499999999991</v>
      </c>
      <c r="AF46" s="2586">
        <f t="shared" si="27"/>
        <v>7342.0300000000007</v>
      </c>
      <c r="AG46" s="2586">
        <f t="shared" ref="AG46" si="28">AG45-AG36</f>
        <v>13794.157601052841</v>
      </c>
      <c r="AH46" s="2595">
        <f t="shared" ref="AH46:AK46" si="29">AH45-AH36</f>
        <v>10425.466145415521</v>
      </c>
      <c r="AI46" s="2595">
        <f t="shared" si="29"/>
        <v>11481</v>
      </c>
      <c r="AJ46" s="2595">
        <f t="shared" si="29"/>
        <v>9854.93</v>
      </c>
      <c r="AK46" s="2595">
        <f t="shared" si="29"/>
        <v>18563.05</v>
      </c>
      <c r="AL46" s="2796">
        <f>AL45-AL36</f>
        <v>14371.431394092624</v>
      </c>
      <c r="AM46" s="4044"/>
      <c r="AN46" s="4066"/>
      <c r="AO46" s="4066"/>
    </row>
    <row r="47" spans="1:41" ht="18.75" x14ac:dyDescent="0.2">
      <c r="A47" s="3785" t="s">
        <v>150</v>
      </c>
      <c r="B47" s="3785"/>
      <c r="C47" s="3785"/>
      <c r="D47" s="1681"/>
      <c r="E47" s="1681"/>
      <c r="F47" s="1681"/>
      <c r="G47" s="1681"/>
      <c r="H47" s="1681"/>
      <c r="I47" s="2563">
        <v>973.7</v>
      </c>
      <c r="J47" s="2563"/>
      <c r="K47" s="2563">
        <f>I47/I45*K46</f>
        <v>660.34381091530884</v>
      </c>
      <c r="L47" s="2563">
        <v>1618.4</v>
      </c>
      <c r="M47" s="2563"/>
      <c r="N47" s="2563">
        <f>стоки!N16</f>
        <v>1270.9000000000001</v>
      </c>
      <c r="O47" s="2563"/>
      <c r="P47" s="2563">
        <v>1129.3</v>
      </c>
      <c r="Q47" s="2561"/>
      <c r="R47" s="2561"/>
      <c r="S47" s="1681"/>
      <c r="T47" s="1681"/>
      <c r="U47" s="1681"/>
      <c r="V47" s="2563">
        <v>1692.38</v>
      </c>
      <c r="W47" s="1681"/>
      <c r="X47" s="2563">
        <f>X45*(P47/P45)</f>
        <v>1182.4040130542526</v>
      </c>
      <c r="Y47" s="2563"/>
      <c r="Z47" s="2563"/>
      <c r="AA47" s="2563">
        <v>776.9</v>
      </c>
      <c r="AB47" s="2563">
        <f>AB46*AB51</f>
        <v>1292.15912</v>
      </c>
      <c r="AC47" s="2563">
        <f>AC46*X51</f>
        <v>1119.2106875700802</v>
      </c>
      <c r="AD47" s="1681"/>
      <c r="AE47" s="2563">
        <v>347.27</v>
      </c>
      <c r="AF47" s="2563">
        <v>868.98</v>
      </c>
      <c r="AG47" s="2572">
        <f>SUM(AG45*AG51)</f>
        <v>1264.2984308290504</v>
      </c>
      <c r="AH47" s="2578">
        <f>SUM(AH45*AH51)</f>
        <v>905.83734813770843</v>
      </c>
      <c r="AI47" s="2578">
        <v>861.66</v>
      </c>
      <c r="AJ47" s="2578">
        <v>241.21</v>
      </c>
      <c r="AK47" s="2578">
        <v>554.26</v>
      </c>
      <c r="AL47" s="2578">
        <f>AL46*AJ51</f>
        <v>322.3701224435992</v>
      </c>
      <c r="AM47" s="4044"/>
      <c r="AN47" s="4066"/>
      <c r="AO47" s="4066"/>
    </row>
    <row r="48" spans="1:41" ht="18.75" x14ac:dyDescent="0.2">
      <c r="A48" s="3785" t="s">
        <v>151</v>
      </c>
      <c r="B48" s="3785"/>
      <c r="C48" s="3785"/>
      <c r="D48" s="1681"/>
      <c r="E48" s="1681"/>
      <c r="F48" s="1681"/>
      <c r="G48" s="1681"/>
      <c r="H48" s="1681"/>
      <c r="I48" s="2563">
        <v>7143.8</v>
      </c>
      <c r="J48" s="2563"/>
      <c r="K48" s="2563">
        <f>I48/I45*K46</f>
        <v>4844.7818798570233</v>
      </c>
      <c r="L48" s="2563">
        <v>7419.2</v>
      </c>
      <c r="M48" s="2563"/>
      <c r="N48" s="2563">
        <f>стоки!N26</f>
        <v>8569.6</v>
      </c>
      <c r="O48" s="2563"/>
      <c r="P48" s="2563">
        <v>7339.1</v>
      </c>
      <c r="Q48" s="2561"/>
      <c r="R48" s="2561"/>
      <c r="S48" s="1681"/>
      <c r="T48" s="1681"/>
      <c r="U48" s="1681"/>
      <c r="V48" s="2563">
        <v>9326.93</v>
      </c>
      <c r="W48" s="1681"/>
      <c r="X48" s="2563">
        <f>X45*(P48/P45)</f>
        <v>7684.2126026799478</v>
      </c>
      <c r="Y48" s="2563"/>
      <c r="Z48" s="2563"/>
      <c r="AA48" s="2563">
        <v>5917.5</v>
      </c>
      <c r="AB48" s="2563">
        <f>AB46*W52</f>
        <v>0</v>
      </c>
      <c r="AC48" s="2563">
        <f>AC46*X52</f>
        <v>7258.9036668341378</v>
      </c>
      <c r="AD48" s="1681"/>
      <c r="AE48" s="2563">
        <v>3273.44</v>
      </c>
      <c r="AF48" s="2563">
        <v>4615.83</v>
      </c>
      <c r="AG48" s="2572">
        <f>SUM(AG45*AG52)</f>
        <v>9629.9214370329591</v>
      </c>
      <c r="AH48" s="2578">
        <f>SUM(AH45*AH52)</f>
        <v>6899.5913342835493</v>
      </c>
      <c r="AI48" s="2578">
        <v>8053.57</v>
      </c>
      <c r="AJ48" s="2578">
        <v>7224.93</v>
      </c>
      <c r="AK48" s="2578">
        <v>13146.02</v>
      </c>
      <c r="AL48" s="2578">
        <f>AL46*AJ52</f>
        <v>9655.9080002754163</v>
      </c>
      <c r="AM48" s="4044"/>
      <c r="AN48" s="4066"/>
      <c r="AO48" s="4066"/>
    </row>
    <row r="49" spans="1:53" ht="18.75" x14ac:dyDescent="0.2">
      <c r="A49" s="3785" t="s">
        <v>152</v>
      </c>
      <c r="B49" s="3785"/>
      <c r="C49" s="3785"/>
      <c r="D49" s="1681"/>
      <c r="E49" s="1681"/>
      <c r="F49" s="1681"/>
      <c r="G49" s="1681"/>
      <c r="H49" s="1681"/>
      <c r="I49" s="2563">
        <v>608.70000000000005</v>
      </c>
      <c r="J49" s="2563"/>
      <c r="K49" s="2563">
        <f>I49/I45*K46</f>
        <v>412.80813156428934</v>
      </c>
      <c r="L49" s="2563">
        <v>847.9</v>
      </c>
      <c r="M49" s="2563"/>
      <c r="N49" s="2563">
        <f>стоки!N33</f>
        <v>737</v>
      </c>
      <c r="O49" s="2563"/>
      <c r="P49" s="2563">
        <v>697.8</v>
      </c>
      <c r="Q49" s="2561"/>
      <c r="R49" s="2561"/>
      <c r="S49" s="1681"/>
      <c r="T49" s="1681"/>
      <c r="U49" s="1681"/>
      <c r="V49" s="2563">
        <v>981.12</v>
      </c>
      <c r="W49" s="1681"/>
      <c r="X49" s="2563">
        <f>X45*(P49/P45)</f>
        <v>730.61322970801143</v>
      </c>
      <c r="Y49" s="2563"/>
      <c r="Z49" s="2563"/>
      <c r="AA49" s="2563">
        <v>658</v>
      </c>
      <c r="AB49" s="2563">
        <f>AB46*W53</f>
        <v>0</v>
      </c>
      <c r="AC49" s="2563">
        <f>AC46*X53</f>
        <v>690.17495043218662</v>
      </c>
      <c r="AD49" s="1681"/>
      <c r="AE49" s="2563">
        <v>355.56</v>
      </c>
      <c r="AF49" s="2563">
        <v>549.54</v>
      </c>
      <c r="AG49" s="2572">
        <f>SUM(AG45*AG53)</f>
        <v>1070.8049523561785</v>
      </c>
      <c r="AH49" s="2578">
        <f>SUM(AH45*AH53)</f>
        <v>767.20424131112384</v>
      </c>
      <c r="AI49" s="2578">
        <v>847.58</v>
      </c>
      <c r="AJ49" s="2578">
        <v>935.15</v>
      </c>
      <c r="AK49" s="2578">
        <v>1756.45</v>
      </c>
      <c r="AL49" s="2578">
        <f>AL46*AJ53</f>
        <v>1249.8006716269299</v>
      </c>
      <c r="AM49" s="4044"/>
      <c r="AN49" s="4066"/>
      <c r="AO49" s="4066"/>
    </row>
    <row r="50" spans="1:53" ht="18.75" x14ac:dyDescent="0.2">
      <c r="A50" s="3785" t="s">
        <v>153</v>
      </c>
      <c r="B50" s="3785"/>
      <c r="C50" s="3785"/>
      <c r="D50" s="1681"/>
      <c r="E50" s="1681"/>
      <c r="F50" s="1681"/>
      <c r="G50" s="1681"/>
      <c r="H50" s="1681"/>
      <c r="I50" s="2563">
        <v>2191.1</v>
      </c>
      <c r="J50" s="2563"/>
      <c r="K50" s="2563">
        <f>I50/I45*K46</f>
        <v>1485.9600740438873</v>
      </c>
      <c r="L50" s="2563">
        <v>2185.1999999999998</v>
      </c>
      <c r="M50" s="2563"/>
      <c r="N50" s="2563">
        <f>N45-N47-N48-N49</f>
        <v>3571.6000000000022</v>
      </c>
      <c r="O50" s="2563"/>
      <c r="P50" s="2563">
        <v>2717.2</v>
      </c>
      <c r="Q50" s="2561"/>
      <c r="R50" s="2561"/>
      <c r="S50" s="1681"/>
      <c r="T50" s="1681"/>
      <c r="U50" s="1681"/>
      <c r="V50" s="2563">
        <v>3828.5</v>
      </c>
      <c r="W50" s="1681"/>
      <c r="X50" s="2563">
        <f>X45*(P50/P45)</f>
        <v>2844.973155291787</v>
      </c>
      <c r="Y50" s="2563"/>
      <c r="Z50" s="2563"/>
      <c r="AA50" s="2563">
        <v>2277.1999999999998</v>
      </c>
      <c r="AB50" s="2563">
        <f>AB46*W54</f>
        <v>0</v>
      </c>
      <c r="AC50" s="2563">
        <f>AC46*X54</f>
        <v>2687.5084197683254</v>
      </c>
      <c r="AD50" s="1681"/>
      <c r="AE50" s="2563">
        <v>1242.03</v>
      </c>
      <c r="AF50" s="2563">
        <v>1801.13</v>
      </c>
      <c r="AG50" s="2572">
        <f>SUM(AG45*AG54)</f>
        <v>3705.8313639901057</v>
      </c>
      <c r="AH50" s="2578">
        <f>SUM(AH45*AH54)</f>
        <v>2655.1329761606248</v>
      </c>
      <c r="AI50" s="2578">
        <v>2518.06</v>
      </c>
      <c r="AJ50" s="2578">
        <v>2351.98</v>
      </c>
      <c r="AK50" s="2578">
        <v>4059.34</v>
      </c>
      <c r="AL50" s="2578">
        <f>AL46*AJ54</f>
        <v>3143.3525997466791</v>
      </c>
      <c r="AM50" s="4044"/>
      <c r="AN50" s="4066"/>
      <c r="AO50" s="4066"/>
    </row>
    <row r="51" spans="1:53" ht="18.75" x14ac:dyDescent="0.2">
      <c r="A51" s="3785" t="s">
        <v>849</v>
      </c>
      <c r="B51" s="3785"/>
      <c r="C51" s="3785"/>
      <c r="D51" s="1681"/>
      <c r="E51" s="1681"/>
      <c r="F51" s="1681"/>
      <c r="G51" s="1681"/>
      <c r="H51" s="1681"/>
      <c r="I51" s="1681"/>
      <c r="J51" s="1681"/>
      <c r="K51" s="1681"/>
      <c r="L51" s="1681"/>
      <c r="M51" s="1681"/>
      <c r="N51" s="1681"/>
      <c r="O51" s="1681"/>
      <c r="P51" s="1681"/>
      <c r="Q51" s="1681"/>
      <c r="R51" s="1681"/>
      <c r="S51" s="1681"/>
      <c r="T51" s="1681"/>
      <c r="U51" s="1681"/>
      <c r="V51" s="1681"/>
      <c r="W51" s="1681"/>
      <c r="X51" s="2584">
        <v>9.5200000000000007E-2</v>
      </c>
      <c r="Y51" s="1681"/>
      <c r="Z51" s="1681"/>
      <c r="AA51" s="2584">
        <f>SUM(AA47/AA46)</f>
        <v>8.688698764189455E-2</v>
      </c>
      <c r="AB51" s="2584">
        <v>9.5200000000000007E-2</v>
      </c>
      <c r="AC51" s="2584">
        <f>SUM(AC47/AC46)</f>
        <v>9.5200000000000007E-2</v>
      </c>
      <c r="AD51" s="1681"/>
      <c r="AE51" s="2584">
        <f t="shared" ref="AE51:AF51" si="30">SUM(AE47/AE46)</f>
        <v>7.1012729410561845E-2</v>
      </c>
      <c r="AF51" s="2584">
        <f t="shared" si="30"/>
        <v>0.11835691218913569</v>
      </c>
      <c r="AG51" s="2587">
        <f>SUM(AA51)</f>
        <v>8.688698764189455E-2</v>
      </c>
      <c r="AH51" s="2596">
        <f>SUM(AG51)</f>
        <v>8.688698764189455E-2</v>
      </c>
      <c r="AI51" s="2596">
        <f>AI47/AI45</f>
        <v>7.0162495969357336E-2</v>
      </c>
      <c r="AJ51" s="2596">
        <f>AJ47/AJ45</f>
        <v>2.2431316241478174E-2</v>
      </c>
      <c r="AK51" s="2596">
        <f>AK47/AK45</f>
        <v>2.8400141421697986E-2</v>
      </c>
      <c r="AL51" s="2596">
        <f>AL47/AL46</f>
        <v>2.2431316241478174E-2</v>
      </c>
      <c r="AM51" s="4061"/>
      <c r="AN51" s="4062"/>
      <c r="AO51" s="4062"/>
    </row>
    <row r="52" spans="1:53" ht="18.75" x14ac:dyDescent="0.2">
      <c r="A52" s="3785" t="s">
        <v>843</v>
      </c>
      <c r="B52" s="3785"/>
      <c r="C52" s="3785"/>
      <c r="D52" s="1681"/>
      <c r="E52" s="1681"/>
      <c r="F52" s="1681"/>
      <c r="G52" s="1681"/>
      <c r="H52" s="1681"/>
      <c r="I52" s="1681"/>
      <c r="J52" s="1681"/>
      <c r="K52" s="1681"/>
      <c r="L52" s="1681"/>
      <c r="M52" s="1681"/>
      <c r="N52" s="1681"/>
      <c r="O52" s="1681"/>
      <c r="P52" s="1681"/>
      <c r="Q52" s="1681"/>
      <c r="R52" s="1681"/>
      <c r="S52" s="1681"/>
      <c r="T52" s="1681"/>
      <c r="U52" s="1681"/>
      <c r="V52" s="1681"/>
      <c r="W52" s="1681"/>
      <c r="X52" s="2584">
        <f>X48/$X$46</f>
        <v>0.61744194972167787</v>
      </c>
      <c r="Y52" s="1681"/>
      <c r="Z52" s="1681"/>
      <c r="AA52" s="2584">
        <f>AA48/AA46</f>
        <v>0.66180171112229502</v>
      </c>
      <c r="AB52" s="2584">
        <f>AB48/$X$46</f>
        <v>0</v>
      </c>
      <c r="AC52" s="2584">
        <f>AC48/AC46</f>
        <v>0.61744194972167787</v>
      </c>
      <c r="AD52" s="1681"/>
      <c r="AE52" s="2584">
        <f t="shared" ref="AE52:AF52" si="31">AE48/AE46</f>
        <v>0.66938091099637043</v>
      </c>
      <c r="AF52" s="2584">
        <f t="shared" si="31"/>
        <v>0.62868579943149228</v>
      </c>
      <c r="AG52" s="2587">
        <f>SUM(AA52)</f>
        <v>0.66180171112229502</v>
      </c>
      <c r="AH52" s="2596">
        <f>SUM(AG52)</f>
        <v>0.66180171112229502</v>
      </c>
      <c r="AI52" s="2596">
        <f>AI48/AI45</f>
        <v>0.65577904586952762</v>
      </c>
      <c r="AJ52" s="2596">
        <f>AJ48/AJ45</f>
        <v>0.67188213445770451</v>
      </c>
      <c r="AK52" s="2596">
        <f>AK48/AK45</f>
        <v>0.67359872105594876</v>
      </c>
      <c r="AL52" s="2596">
        <f>AL48/AL46</f>
        <v>0.67188213445770451</v>
      </c>
      <c r="AM52" s="4061"/>
      <c r="AN52" s="4062"/>
      <c r="AO52" s="4062"/>
    </row>
    <row r="53" spans="1:53" ht="18.75" x14ac:dyDescent="0.2">
      <c r="A53" s="3785" t="s">
        <v>844</v>
      </c>
      <c r="B53" s="3785"/>
      <c r="C53" s="3785"/>
      <c r="D53" s="1681"/>
      <c r="E53" s="1681"/>
      <c r="F53" s="1681"/>
      <c r="G53" s="1681"/>
      <c r="H53" s="1681"/>
      <c r="I53" s="1681"/>
      <c r="J53" s="1681"/>
      <c r="K53" s="1681"/>
      <c r="L53" s="1681"/>
      <c r="M53" s="1681"/>
      <c r="N53" s="1681"/>
      <c r="O53" s="1681"/>
      <c r="P53" s="1681"/>
      <c r="Q53" s="1681"/>
      <c r="R53" s="1681"/>
      <c r="S53" s="1681"/>
      <c r="T53" s="1681"/>
      <c r="U53" s="1681"/>
      <c r="V53" s="1681"/>
      <c r="W53" s="1681"/>
      <c r="X53" s="2584">
        <f>X49/$X$46</f>
        <v>5.870624361512812E-2</v>
      </c>
      <c r="Y53" s="1681"/>
      <c r="Z53" s="1681"/>
      <c r="AA53" s="2584">
        <f>AA49/AA46</f>
        <v>7.3589442487278431E-2</v>
      </c>
      <c r="AB53" s="2584">
        <f>AB49/$X$46</f>
        <v>0</v>
      </c>
      <c r="AC53" s="2584">
        <f>AC49/AC46</f>
        <v>5.870624361512812E-2</v>
      </c>
      <c r="AD53" s="1681"/>
      <c r="AE53" s="2584">
        <f t="shared" ref="AE53:AF53" si="32">AE49/AE46</f>
        <v>7.2707939266908661E-2</v>
      </c>
      <c r="AF53" s="2584">
        <f t="shared" si="32"/>
        <v>7.4848509199771707E-2</v>
      </c>
      <c r="AG53" s="2587">
        <f>SUM(AA53)</f>
        <v>7.3589442487278431E-2</v>
      </c>
      <c r="AH53" s="2596">
        <f>SUM(AG53)</f>
        <v>7.3589442487278431E-2</v>
      </c>
      <c r="AI53" s="2596">
        <f>AI49/AI45</f>
        <v>6.9016002058477702E-2</v>
      </c>
      <c r="AJ53" s="2596">
        <f>AJ49/AJ45</f>
        <v>8.6964244364737417E-2</v>
      </c>
      <c r="AK53" s="2596">
        <f>AK49/AK45</f>
        <v>9.0000051239745651E-2</v>
      </c>
      <c r="AL53" s="2596">
        <f>AL49/AL46</f>
        <v>8.6964244364737417E-2</v>
      </c>
      <c r="AM53" s="4061"/>
      <c r="AN53" s="4062"/>
      <c r="AO53" s="4062"/>
    </row>
    <row r="54" spans="1:53" ht="18.75" x14ac:dyDescent="0.2">
      <c r="A54" s="3785" t="s">
        <v>845</v>
      </c>
      <c r="B54" s="3785"/>
      <c r="C54" s="3785"/>
      <c r="D54" s="1681"/>
      <c r="E54" s="1681"/>
      <c r="F54" s="1681"/>
      <c r="G54" s="1681"/>
      <c r="H54" s="1681"/>
      <c r="I54" s="1681"/>
      <c r="J54" s="1681"/>
      <c r="K54" s="1681"/>
      <c r="L54" s="1681"/>
      <c r="M54" s="1681"/>
      <c r="N54" s="1681"/>
      <c r="O54" s="1681"/>
      <c r="P54" s="1681"/>
      <c r="Q54" s="1681"/>
      <c r="R54" s="1681"/>
      <c r="S54" s="1681"/>
      <c r="T54" s="1681"/>
      <c r="U54" s="1681"/>
      <c r="V54" s="1681"/>
      <c r="W54" s="1681"/>
      <c r="X54" s="2584">
        <f>X50/$X$46</f>
        <v>0.22859931950562645</v>
      </c>
      <c r="Y54" s="1681"/>
      <c r="Z54" s="1681"/>
      <c r="AA54" s="2584">
        <f>AA50/AA46</f>
        <v>0.25467762679639883</v>
      </c>
      <c r="AB54" s="2584">
        <f>AB50/$X$46</f>
        <v>0</v>
      </c>
      <c r="AC54" s="2584">
        <f>AC50/AC46</f>
        <v>0.22859931950562645</v>
      </c>
      <c r="AD54" s="1681"/>
      <c r="AE54" s="2584">
        <f t="shared" ref="AE54:AF54" si="33">AE50/AE46</f>
        <v>0.25398088032309191</v>
      </c>
      <c r="AF54" s="2584">
        <f t="shared" si="33"/>
        <v>0.24531771185898177</v>
      </c>
      <c r="AG54" s="2587">
        <f>SUM(AA54)</f>
        <v>0.25467762679639883</v>
      </c>
      <c r="AH54" s="2596">
        <f>SUM(AG54)</f>
        <v>0.25467762679639883</v>
      </c>
      <c r="AI54" s="2596">
        <f>AI50/AI45</f>
        <v>0.20503838474641964</v>
      </c>
      <c r="AJ54" s="2596">
        <f>AJ50/AJ45</f>
        <v>0.21872230493607991</v>
      </c>
      <c r="AK54" s="2596">
        <f>AK50/AK45</f>
        <v>0.20799954909023835</v>
      </c>
      <c r="AL54" s="2596">
        <f>AL50/AL46</f>
        <v>0.21872230493607991</v>
      </c>
      <c r="AM54" s="4061"/>
      <c r="AN54" s="4062"/>
      <c r="AO54" s="4062"/>
    </row>
    <row r="55" spans="1:5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9"/>
      <c r="T55" s="399"/>
      <c r="U55" s="399"/>
      <c r="V55" s="402"/>
      <c r="W55" s="5"/>
      <c r="X55" s="403"/>
      <c r="Y55" s="402"/>
      <c r="Z55" s="402"/>
      <c r="AA55" s="402"/>
      <c r="AB55" s="402"/>
      <c r="AC55" s="402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5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9"/>
      <c r="T56" s="399"/>
      <c r="U56" s="399"/>
      <c r="V56" s="402"/>
      <c r="W56" s="5"/>
      <c r="X56" s="402"/>
      <c r="Y56" s="402"/>
      <c r="Z56" s="402"/>
      <c r="AA56" s="402"/>
      <c r="AB56" s="402"/>
      <c r="AC56" s="402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5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9"/>
      <c r="T57" s="399"/>
      <c r="U57" s="399"/>
      <c r="V57" s="402"/>
      <c r="W57" s="5"/>
      <c r="X57" s="402"/>
      <c r="Y57" s="402"/>
      <c r="Z57" s="402"/>
      <c r="AA57" s="402"/>
      <c r="AB57" s="402"/>
      <c r="AC57" s="402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5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9"/>
      <c r="T58" s="399"/>
      <c r="U58" s="399"/>
      <c r="V58" s="402"/>
      <c r="W58" s="5"/>
      <c r="X58" s="402"/>
      <c r="Y58" s="402"/>
      <c r="Z58" s="402"/>
      <c r="AA58" s="402"/>
      <c r="AB58" s="402"/>
      <c r="AC58" s="402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53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9"/>
      <c r="T59" s="399"/>
      <c r="U59" s="399"/>
      <c r="V59" s="402"/>
      <c r="W59" s="5"/>
      <c r="X59" s="402"/>
      <c r="Y59" s="402"/>
      <c r="Z59" s="402"/>
      <c r="AA59" s="402"/>
      <c r="AB59" s="402"/>
      <c r="AC59" s="402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53" ht="20.25" hidden="1" x14ac:dyDescent="0.3">
      <c r="A60" s="4063" t="s">
        <v>612</v>
      </c>
      <c r="B60" s="4063"/>
      <c r="C60" s="4063"/>
      <c r="D60" s="4063"/>
      <c r="E60" s="4063"/>
      <c r="F60" s="4063"/>
      <c r="G60" s="4063"/>
      <c r="H60" s="4063"/>
      <c r="I60" s="4063"/>
      <c r="J60" s="4063"/>
      <c r="K60" s="4063"/>
      <c r="L60" s="4063"/>
      <c r="M60" s="4063"/>
      <c r="N60" s="4063"/>
      <c r="O60" s="4063"/>
      <c r="P60" s="4063"/>
      <c r="Q60" s="4063"/>
      <c r="R60" s="4063"/>
      <c r="S60" s="4063"/>
      <c r="T60" s="4063"/>
      <c r="U60" s="4063"/>
      <c r="V60" s="4063"/>
      <c r="W60" s="4063"/>
      <c r="X60" s="4063"/>
      <c r="Y60" s="4063"/>
      <c r="Z60" s="4063"/>
      <c r="AA60" s="4063"/>
      <c r="AB60" s="4063"/>
      <c r="AC60" s="4063"/>
      <c r="AD60" s="4063"/>
      <c r="AE60" s="4063"/>
      <c r="AF60" s="4063"/>
      <c r="AG60" s="4063"/>
      <c r="AH60" s="4063"/>
      <c r="AI60" s="4063"/>
      <c r="AJ60" s="4063"/>
      <c r="AK60" s="4063"/>
      <c r="AL60" s="4063"/>
      <c r="AM60" s="4063"/>
      <c r="AN60" s="4063"/>
      <c r="AO60" s="4063"/>
      <c r="AP60" s="4063"/>
      <c r="AQ60" s="4063"/>
      <c r="AR60" s="4063"/>
      <c r="AS60" s="4063"/>
      <c r="AT60" s="4063"/>
      <c r="AU60" s="4063"/>
      <c r="AV60" s="4063"/>
      <c r="AW60" s="4063"/>
      <c r="AX60" s="4063"/>
      <c r="AY60" s="4063"/>
    </row>
    <row r="61" spans="1:53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9"/>
      <c r="T61" s="399"/>
      <c r="U61" s="399"/>
      <c r="V61" s="402"/>
      <c r="W61" s="5"/>
      <c r="X61" s="402"/>
      <c r="Y61" s="402"/>
      <c r="Z61" s="402"/>
      <c r="AA61" s="402"/>
      <c r="AB61" s="402"/>
      <c r="AC61" s="402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53" ht="18.75" hidden="1" customHeight="1" x14ac:dyDescent="0.2">
      <c r="A62" s="4078" t="s">
        <v>536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9"/>
      <c r="U62" s="399"/>
      <c r="V62" s="4071" t="s">
        <v>598</v>
      </c>
      <c r="W62" s="609"/>
      <c r="X62" s="4073" t="s">
        <v>568</v>
      </c>
      <c r="Y62" s="4074"/>
      <c r="Z62" s="4076" t="s">
        <v>582</v>
      </c>
      <c r="AA62" s="860"/>
      <c r="AB62" s="4076" t="s">
        <v>583</v>
      </c>
      <c r="AC62" s="4076" t="s">
        <v>584</v>
      </c>
      <c r="AD62" s="4069" t="s">
        <v>596</v>
      </c>
      <c r="AE62" s="882"/>
      <c r="AF62" s="882"/>
      <c r="AG62" s="882"/>
      <c r="AH62" s="882"/>
      <c r="AI62" s="2588"/>
      <c r="AJ62" s="2588"/>
      <c r="AK62" s="2588"/>
      <c r="AL62" s="2588"/>
      <c r="AM62" s="4076" t="s">
        <v>585</v>
      </c>
      <c r="AN62" s="4076" t="s">
        <v>586</v>
      </c>
      <c r="AO62" s="4076" t="s">
        <v>587</v>
      </c>
      <c r="AP62" s="4069" t="s">
        <v>595</v>
      </c>
      <c r="AQ62" s="4069" t="s">
        <v>594</v>
      </c>
      <c r="AR62" s="4076" t="s">
        <v>588</v>
      </c>
      <c r="AS62" s="4076" t="s">
        <v>589</v>
      </c>
      <c r="AT62" s="4076" t="s">
        <v>590</v>
      </c>
      <c r="AU62" s="4069" t="s">
        <v>222</v>
      </c>
      <c r="AV62" s="4069" t="s">
        <v>226</v>
      </c>
      <c r="AW62" s="4076" t="s">
        <v>591</v>
      </c>
      <c r="AX62" s="4076" t="s">
        <v>592</v>
      </c>
      <c r="AY62" s="4076" t="s">
        <v>593</v>
      </c>
      <c r="AZ62" s="4069" t="s">
        <v>131</v>
      </c>
      <c r="BA62" s="4075" t="s">
        <v>597</v>
      </c>
    </row>
    <row r="63" spans="1:53" ht="37.5" hidden="1" x14ac:dyDescent="0.3">
      <c r="A63" s="4079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9"/>
      <c r="U63" s="399"/>
      <c r="V63" s="4072"/>
      <c r="W63" s="609"/>
      <c r="X63" s="602" t="s">
        <v>345</v>
      </c>
      <c r="Y63" s="602" t="s">
        <v>649</v>
      </c>
      <c r="Z63" s="4077"/>
      <c r="AA63" s="860"/>
      <c r="AB63" s="4077"/>
      <c r="AC63" s="4077"/>
      <c r="AD63" s="4070"/>
      <c r="AE63" s="882"/>
      <c r="AF63" s="882"/>
      <c r="AG63" s="882"/>
      <c r="AH63" s="882"/>
      <c r="AI63" s="2478"/>
      <c r="AJ63" s="2478"/>
      <c r="AK63" s="2478"/>
      <c r="AL63" s="2478"/>
      <c r="AM63" s="4077"/>
      <c r="AN63" s="4077"/>
      <c r="AO63" s="4077"/>
      <c r="AP63" s="4070"/>
      <c r="AQ63" s="4070"/>
      <c r="AR63" s="4077"/>
      <c r="AS63" s="4077"/>
      <c r="AT63" s="4077"/>
      <c r="AU63" s="4070"/>
      <c r="AV63" s="4070"/>
      <c r="AW63" s="4077"/>
      <c r="AX63" s="4077"/>
      <c r="AY63" s="4077"/>
      <c r="AZ63" s="4070"/>
      <c r="BA63" s="4075"/>
    </row>
    <row r="64" spans="1:53" ht="18.75" hidden="1" x14ac:dyDescent="0.3">
      <c r="A64" s="608" t="s">
        <v>615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9"/>
      <c r="U64" s="399"/>
      <c r="V64" s="606">
        <f>SUM(AC47)</f>
        <v>1119.2106875700802</v>
      </c>
      <c r="W64" s="609"/>
      <c r="X64" s="606">
        <f>SUM(V64:W64)</f>
        <v>1119.2106875700802</v>
      </c>
      <c r="Y64" s="612">
        <f>SUM(V64-X64)</f>
        <v>0</v>
      </c>
      <c r="Z64" s="378">
        <f>SUM(Z65+Z66+Z67+Z68+Z69+Z72)</f>
        <v>90.153406861278143</v>
      </c>
      <c r="AA64" s="876"/>
      <c r="AB64" s="378">
        <f t="shared" ref="AB64:AC64" si="34">SUM(AB65+AB66+AB67+AB68+AB69+AB72)</f>
        <v>90.153406861278143</v>
      </c>
      <c r="AC64" s="378">
        <f t="shared" si="34"/>
        <v>90.153406861278143</v>
      </c>
      <c r="AD64" s="614">
        <f>SUM(Z64+AB64+AC64)</f>
        <v>270.46022058383443</v>
      </c>
      <c r="AE64" s="883"/>
      <c r="AF64" s="883"/>
      <c r="AG64" s="883"/>
      <c r="AH64" s="883"/>
      <c r="AI64" s="2589"/>
      <c r="AJ64" s="2589"/>
      <c r="AK64" s="2589"/>
      <c r="AL64" s="2589"/>
      <c r="AM64" s="378">
        <f t="shared" ref="AM64" si="35">SUM(AM65+AM66+AM67+AM68+AM69+AM72)</f>
        <v>90.185841587003935</v>
      </c>
      <c r="AN64" s="378">
        <f t="shared" ref="AN64" si="36">SUM(AN65+AN66+AN67+AN68+AN69+AN72)</f>
        <v>90.722816490686299</v>
      </c>
      <c r="AO64" s="378">
        <f t="shared" ref="AO64" si="37">SUM(AO65+AO66+AO67+AO68+AO69+AO72)</f>
        <v>91.191318084503138</v>
      </c>
      <c r="AP64" s="614">
        <f>SUM(AM64+AN64+AO64)</f>
        <v>272.09997616219334</v>
      </c>
      <c r="AQ64" s="614">
        <f t="shared" ref="AQ64:AQ95" si="38">SUM(AD64+AP64)</f>
        <v>542.56019674602771</v>
      </c>
      <c r="AR64" s="378">
        <f t="shared" ref="AR64" si="39">SUM(AR65+AR66+AR67+AR68+AR69+AR72)</f>
        <v>96.822579746378238</v>
      </c>
      <c r="AS64" s="378">
        <f t="shared" ref="AS64" si="40">SUM(AS65+AS66+AS67+AS68+AS69+AS72)</f>
        <v>96.682029268233194</v>
      </c>
      <c r="AT64" s="378">
        <f t="shared" ref="AT64" si="41">SUM(AT65+AT66+AT67+AT68+AT69+AT72)</f>
        <v>96.213527674416355</v>
      </c>
      <c r="AU64" s="614">
        <f>SUM(AR64+AS64+AT64)</f>
        <v>289.7181366890278</v>
      </c>
      <c r="AV64" s="614">
        <f>SUM(AQ64+AU64)</f>
        <v>832.27833343505552</v>
      </c>
      <c r="AW64" s="378">
        <f t="shared" ref="AW64" si="42">SUM(AW65+AW66+AW67+AW68+AW69+AW72)</f>
        <v>95.644118045008199</v>
      </c>
      <c r="AX64" s="378">
        <f t="shared" ref="AX64" si="43">SUM(AX65+AX66+AX67+AX68+AX69+AX72)</f>
        <v>95.644118045008199</v>
      </c>
      <c r="AY64" s="378">
        <f t="shared" ref="AY64" si="44">SUM(AY65+AY66+AY67+AY68+AY69+AY72)</f>
        <v>95.644118045008199</v>
      </c>
      <c r="AZ64" s="614">
        <f>SUM(AW64+AX64+AY64)</f>
        <v>286.93235413502458</v>
      </c>
      <c r="BA64" s="611">
        <f t="shared" ref="BA64:BA95" si="45">SUM(AY64+AX64+AW64+AT64+AS64+AR64+AO64+AN64+AM64+AC64+AB64+Z64)</f>
        <v>1119.2106875700802</v>
      </c>
    </row>
    <row r="65" spans="1:53" ht="18.75" hidden="1" x14ac:dyDescent="0.3">
      <c r="A65" s="40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9"/>
      <c r="U65" s="399"/>
      <c r="V65" s="603">
        <f>SUM(V64*69.75%)</f>
        <v>780.64945458013096</v>
      </c>
      <c r="W65" s="609"/>
      <c r="X65" s="603">
        <f>SUM(V65)</f>
        <v>780.64945458013096</v>
      </c>
      <c r="Y65" s="613">
        <f>SUM(V65-X65)</f>
        <v>0</v>
      </c>
      <c r="Z65" s="381">
        <f>SUM(V65/2)/(1+(106.7%*100-100)/2/100)/6</f>
        <v>62.945448684093776</v>
      </c>
      <c r="AA65" s="877"/>
      <c r="AB65" s="380">
        <f>SUM(Z65)</f>
        <v>62.945448684093776</v>
      </c>
      <c r="AC65" s="381">
        <f>SUM(Z65)</f>
        <v>62.945448684093776</v>
      </c>
      <c r="AD65" s="605">
        <f>SUM(Z65+AB65+AC65)</f>
        <v>188.83634605228133</v>
      </c>
      <c r="AE65" s="884"/>
      <c r="AF65" s="884"/>
      <c r="AG65" s="884"/>
      <c r="AH65" s="884"/>
      <c r="AI65" s="2590"/>
      <c r="AJ65" s="2590"/>
      <c r="AK65" s="2590"/>
      <c r="AL65" s="2590"/>
      <c r="AM65" s="604">
        <f>SUM(Z65)</f>
        <v>62.945448684093776</v>
      </c>
      <c r="AN65" s="604">
        <f>SUM(Z65)</f>
        <v>62.945448684093776</v>
      </c>
      <c r="AO65" s="604">
        <f>SUM(Z65)</f>
        <v>62.945448684093776</v>
      </c>
      <c r="AP65" s="605">
        <f>SUM(AM65+AN65+AO65)</f>
        <v>188.83634605228133</v>
      </c>
      <c r="AQ65" s="605">
        <f t="shared" si="38"/>
        <v>377.67269210456266</v>
      </c>
      <c r="AR65" s="604">
        <f>SUM(V65-AQ65)/6</f>
        <v>67.162793745928056</v>
      </c>
      <c r="AS65" s="604">
        <f>SUM(AR65)</f>
        <v>67.162793745928056</v>
      </c>
      <c r="AT65" s="604">
        <f>SUM(AR65)</f>
        <v>67.162793745928056</v>
      </c>
      <c r="AU65" s="605">
        <f>SUM(AR65+AS65+AT65)</f>
        <v>201.48838123778415</v>
      </c>
      <c r="AV65" s="605">
        <f>SUM(AQ65+AU65)</f>
        <v>579.16107334234675</v>
      </c>
      <c r="AW65" s="604">
        <f>SUM(AR65)</f>
        <v>67.162793745928056</v>
      </c>
      <c r="AX65" s="604">
        <f>SUM(AR65)</f>
        <v>67.162793745928056</v>
      </c>
      <c r="AY65" s="604">
        <f>SUM(AR65)</f>
        <v>67.162793745928056</v>
      </c>
      <c r="AZ65" s="605">
        <f>SUM(AW65+AX65+AY65)</f>
        <v>201.48838123778415</v>
      </c>
      <c r="BA65" s="611">
        <f t="shared" si="45"/>
        <v>780.64945458013108</v>
      </c>
    </row>
    <row r="66" spans="1:53" ht="18.75" hidden="1" x14ac:dyDescent="0.3">
      <c r="A66" s="404" t="s">
        <v>117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9"/>
      <c r="U66" s="399"/>
      <c r="V66" s="603">
        <f>SUM(V64*21.06%)</f>
        <v>235.70577080225885</v>
      </c>
      <c r="W66" s="609"/>
      <c r="X66" s="603">
        <f t="shared" ref="X66:X73" si="46">SUM(V66)</f>
        <v>235.70577080225885</v>
      </c>
      <c r="Y66" s="613">
        <f t="shared" ref="Y66:Y73" si="47">SUM(V66-X66)</f>
        <v>0</v>
      </c>
      <c r="Z66" s="381">
        <f>SUM(Z65*(V66/V65))</f>
        <v>19.005464505907021</v>
      </c>
      <c r="AA66" s="877"/>
      <c r="AB66" s="381">
        <f>SUM(Z66)</f>
        <v>19.005464505907021</v>
      </c>
      <c r="AC66" s="380">
        <f>SUM(Z66)</f>
        <v>19.005464505907021</v>
      </c>
      <c r="AD66" s="605">
        <f t="shared" ref="AD66:AD113" si="48">SUM(Z66+AB66+AC66)</f>
        <v>57.016393517721063</v>
      </c>
      <c r="AE66" s="884"/>
      <c r="AF66" s="884"/>
      <c r="AG66" s="884"/>
      <c r="AH66" s="884"/>
      <c r="AI66" s="2590"/>
      <c r="AJ66" s="2590"/>
      <c r="AK66" s="2590"/>
      <c r="AL66" s="2590"/>
      <c r="AM66" s="604">
        <f>SUM(Z66)</f>
        <v>19.005464505907021</v>
      </c>
      <c r="AN66" s="604">
        <f>SUM(Z66)</f>
        <v>19.005464505907021</v>
      </c>
      <c r="AO66" s="604">
        <f>SUM(Z66)</f>
        <v>19.005464505907021</v>
      </c>
      <c r="AP66" s="605">
        <f t="shared" ref="AP66:AP113" si="49">SUM(AM66+AN66+AO66)</f>
        <v>57.016393517721063</v>
      </c>
      <c r="AQ66" s="605">
        <f t="shared" si="38"/>
        <v>114.03278703544213</v>
      </c>
      <c r="AR66" s="604">
        <f>SUM(V66-AQ66)/6</f>
        <v>20.278830627802787</v>
      </c>
      <c r="AS66" s="604">
        <f>SUM(AR66)</f>
        <v>20.278830627802787</v>
      </c>
      <c r="AT66" s="604">
        <f>SUM(AR66)</f>
        <v>20.278830627802787</v>
      </c>
      <c r="AU66" s="605">
        <f t="shared" ref="AU66:AU113" si="50">SUM(AR66+AS66+AT66)</f>
        <v>60.836491883408357</v>
      </c>
      <c r="AV66" s="605">
        <f t="shared" ref="AV66:AV113" si="51">SUM(AQ66+AU66)</f>
        <v>174.86927891885048</v>
      </c>
      <c r="AW66" s="604">
        <f>SUM(AR66)</f>
        <v>20.278830627802787</v>
      </c>
      <c r="AX66" s="604">
        <f>SUM(AR66)</f>
        <v>20.278830627802787</v>
      </c>
      <c r="AY66" s="604">
        <f>SUM(AR66)</f>
        <v>20.278830627802787</v>
      </c>
      <c r="AZ66" s="605">
        <f t="shared" ref="AZ66:AZ113" si="52">SUM(AW66+AX66+AY66)</f>
        <v>60.836491883408357</v>
      </c>
      <c r="BA66" s="611">
        <f t="shared" si="45"/>
        <v>235.70577080225883</v>
      </c>
    </row>
    <row r="67" spans="1:53" ht="18.75" hidden="1" x14ac:dyDescent="0.3">
      <c r="A67" s="40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9"/>
      <c r="U67" s="399"/>
      <c r="V67" s="603">
        <f>SUM(V64*2.01%)</f>
        <v>22.496134820158606</v>
      </c>
      <c r="W67" s="609"/>
      <c r="X67" s="603">
        <f t="shared" si="46"/>
        <v>22.496134820158606</v>
      </c>
      <c r="Y67" s="613">
        <f t="shared" si="47"/>
        <v>0</v>
      </c>
      <c r="Z67" s="381">
        <f t="shared" ref="Z67:Z68" si="53">SUM(V67/12)</f>
        <v>1.8746779016798838</v>
      </c>
      <c r="AA67" s="877"/>
      <c r="AB67" s="381">
        <f t="shared" ref="AB67:AB71" si="54">SUM(Z67)</f>
        <v>1.8746779016798838</v>
      </c>
      <c r="AC67" s="381">
        <f t="shared" ref="AC67:AC68" si="55">SUM(Z67)</f>
        <v>1.8746779016798838</v>
      </c>
      <c r="AD67" s="605">
        <f t="shared" ref="AD67:AD68" si="56">SUM(Z67+AB67+AC67)</f>
        <v>5.6240337050396514</v>
      </c>
      <c r="AE67" s="884"/>
      <c r="AF67" s="884"/>
      <c r="AG67" s="884"/>
      <c r="AH67" s="884"/>
      <c r="AI67" s="2590"/>
      <c r="AJ67" s="2590"/>
      <c r="AK67" s="2590"/>
      <c r="AL67" s="2590"/>
      <c r="AM67" s="604">
        <f t="shared" ref="AM67:AM68" si="57">SUM(Z67)</f>
        <v>1.8746779016798838</v>
      </c>
      <c r="AN67" s="604">
        <f t="shared" ref="AN67:AN68" si="58">SUM(Z67)</f>
        <v>1.8746779016798838</v>
      </c>
      <c r="AO67" s="604">
        <f t="shared" ref="AO67:AO68" si="59">SUM(Z67)</f>
        <v>1.8746779016798838</v>
      </c>
      <c r="AP67" s="605">
        <f t="shared" ref="AP67:AP68" si="60">SUM(AM67+AN67+AO67)</f>
        <v>5.6240337050396514</v>
      </c>
      <c r="AQ67" s="605">
        <f t="shared" si="38"/>
        <v>11.248067410079303</v>
      </c>
      <c r="AR67" s="604">
        <f t="shared" ref="AR67:AR68" si="61">SUM(Z67)</f>
        <v>1.8746779016798838</v>
      </c>
      <c r="AS67" s="604">
        <f t="shared" ref="AS67:AS68" si="62">SUM(Z67)</f>
        <v>1.8746779016798838</v>
      </c>
      <c r="AT67" s="604">
        <f t="shared" ref="AT67:AT68" si="63">SUM(Z67)</f>
        <v>1.8746779016798838</v>
      </c>
      <c r="AU67" s="605">
        <f t="shared" ref="AU67:AU68" si="64">SUM(AR67+AS67+AT67)</f>
        <v>5.6240337050396514</v>
      </c>
      <c r="AV67" s="605">
        <f t="shared" si="51"/>
        <v>16.872101115118955</v>
      </c>
      <c r="AW67" s="604">
        <f t="shared" ref="AW67:AW68" si="65">SUM(Z67)</f>
        <v>1.8746779016798838</v>
      </c>
      <c r="AX67" s="604">
        <f t="shared" ref="AX67:AX68" si="66">SUM(Z67)</f>
        <v>1.8746779016798838</v>
      </c>
      <c r="AY67" s="604">
        <f t="shared" ref="AY67:AY68" si="67">SUM(Z67)</f>
        <v>1.8746779016798838</v>
      </c>
      <c r="AZ67" s="605">
        <f t="shared" ref="AZ67:AZ68" si="68">SUM(AW67+AX67+AY67)</f>
        <v>5.6240337050396514</v>
      </c>
      <c r="BA67" s="611">
        <f t="shared" si="45"/>
        <v>22.496134820158613</v>
      </c>
    </row>
    <row r="68" spans="1:53" ht="18.75" hidden="1" x14ac:dyDescent="0.3">
      <c r="A68" s="404" t="s">
        <v>601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9"/>
      <c r="U68" s="399"/>
      <c r="V68" s="603">
        <f>SUM(V64*2.15%)</f>
        <v>24.063029782756722</v>
      </c>
      <c r="W68" s="609"/>
      <c r="X68" s="603">
        <f t="shared" si="46"/>
        <v>24.063029782756722</v>
      </c>
      <c r="Y68" s="613">
        <f t="shared" si="47"/>
        <v>0</v>
      </c>
      <c r="Z68" s="381">
        <f t="shared" si="53"/>
        <v>2.0052524818963935</v>
      </c>
      <c r="AA68" s="877"/>
      <c r="AB68" s="381">
        <f t="shared" si="54"/>
        <v>2.0052524818963935</v>
      </c>
      <c r="AC68" s="381">
        <f t="shared" si="55"/>
        <v>2.0052524818963935</v>
      </c>
      <c r="AD68" s="605">
        <f t="shared" si="56"/>
        <v>6.0157574456891805</v>
      </c>
      <c r="AE68" s="884"/>
      <c r="AF68" s="884"/>
      <c r="AG68" s="884"/>
      <c r="AH68" s="884"/>
      <c r="AI68" s="2590"/>
      <c r="AJ68" s="2590"/>
      <c r="AK68" s="2590"/>
      <c r="AL68" s="2590"/>
      <c r="AM68" s="604">
        <f t="shared" si="57"/>
        <v>2.0052524818963935</v>
      </c>
      <c r="AN68" s="604">
        <f t="shared" si="58"/>
        <v>2.0052524818963935</v>
      </c>
      <c r="AO68" s="604">
        <f t="shared" si="59"/>
        <v>2.0052524818963935</v>
      </c>
      <c r="AP68" s="605">
        <f t="shared" si="60"/>
        <v>6.0157574456891805</v>
      </c>
      <c r="AQ68" s="605">
        <f t="shared" si="38"/>
        <v>12.031514891378361</v>
      </c>
      <c r="AR68" s="604">
        <f t="shared" si="61"/>
        <v>2.0052524818963935</v>
      </c>
      <c r="AS68" s="604">
        <f t="shared" si="62"/>
        <v>2.0052524818963935</v>
      </c>
      <c r="AT68" s="604">
        <f t="shared" si="63"/>
        <v>2.0052524818963935</v>
      </c>
      <c r="AU68" s="605">
        <f t="shared" si="64"/>
        <v>6.0157574456891805</v>
      </c>
      <c r="AV68" s="605">
        <f t="shared" si="51"/>
        <v>18.04727233706754</v>
      </c>
      <c r="AW68" s="604">
        <f t="shared" si="65"/>
        <v>2.0052524818963935</v>
      </c>
      <c r="AX68" s="604">
        <f t="shared" si="66"/>
        <v>2.0052524818963935</v>
      </c>
      <c r="AY68" s="604">
        <f t="shared" si="67"/>
        <v>2.0052524818963935</v>
      </c>
      <c r="AZ68" s="605">
        <f t="shared" si="68"/>
        <v>6.0157574456891805</v>
      </c>
      <c r="BA68" s="611">
        <f t="shared" si="45"/>
        <v>24.063029782756715</v>
      </c>
    </row>
    <row r="69" spans="1:53" ht="18.75" hidden="1" x14ac:dyDescent="0.3">
      <c r="A69" s="404" t="s">
        <v>602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9"/>
      <c r="U69" s="399"/>
      <c r="V69" s="603">
        <f>SUM(V70:V71)</f>
        <v>20.25771344501845</v>
      </c>
      <c r="W69" s="609"/>
      <c r="X69" s="603">
        <f t="shared" si="46"/>
        <v>20.25771344501845</v>
      </c>
      <c r="Y69" s="613">
        <f t="shared" si="47"/>
        <v>0</v>
      </c>
      <c r="Z69" s="381">
        <f>SUM(Z70:Z71)</f>
        <v>1.6881427870848709</v>
      </c>
      <c r="AA69" s="877"/>
      <c r="AB69" s="381">
        <f>SUM(AB70:AB71)</f>
        <v>1.6881427870848709</v>
      </c>
      <c r="AC69" s="381">
        <f>SUM(AC70:AC71)</f>
        <v>1.6881427870848709</v>
      </c>
      <c r="AD69" s="605">
        <f t="shared" si="48"/>
        <v>5.0644283612546124</v>
      </c>
      <c r="AE69" s="884"/>
      <c r="AF69" s="884"/>
      <c r="AG69" s="884"/>
      <c r="AH69" s="884"/>
      <c r="AI69" s="2590"/>
      <c r="AJ69" s="2590"/>
      <c r="AK69" s="2590"/>
      <c r="AL69" s="2590"/>
      <c r="AM69" s="381">
        <f>SUM(AM70:AM71)</f>
        <v>1.6881427870848709</v>
      </c>
      <c r="AN69" s="381">
        <f>SUM(AN70:AN71)</f>
        <v>1.6881427870848709</v>
      </c>
      <c r="AO69" s="381">
        <f>SUM(AO70:AO71)</f>
        <v>1.6881427870848709</v>
      </c>
      <c r="AP69" s="605">
        <f t="shared" si="49"/>
        <v>5.0644283612546124</v>
      </c>
      <c r="AQ69" s="605">
        <f t="shared" si="38"/>
        <v>10.128856722509225</v>
      </c>
      <c r="AR69" s="381">
        <f>SUM(AR70:AR71)</f>
        <v>1.6881427870848709</v>
      </c>
      <c r="AS69" s="381">
        <f>SUM(AS70:AS71)</f>
        <v>1.6881427870848709</v>
      </c>
      <c r="AT69" s="381">
        <f>SUM(AT70:AT71)</f>
        <v>1.6881427870848709</v>
      </c>
      <c r="AU69" s="605">
        <f t="shared" si="50"/>
        <v>5.0644283612546124</v>
      </c>
      <c r="AV69" s="605">
        <f t="shared" si="51"/>
        <v>15.193285083763836</v>
      </c>
      <c r="AW69" s="381">
        <f>SUM(AW70:AW71)</f>
        <v>1.6881427870848709</v>
      </c>
      <c r="AX69" s="381">
        <f>SUM(AX70:AX71)</f>
        <v>1.6881427870848709</v>
      </c>
      <c r="AY69" s="381">
        <f>SUM(AY70:AY71)</f>
        <v>1.6881427870848709</v>
      </c>
      <c r="AZ69" s="605">
        <f t="shared" si="52"/>
        <v>5.0644283612546124</v>
      </c>
      <c r="BA69" s="611">
        <f t="shared" si="45"/>
        <v>20.25771344501845</v>
      </c>
    </row>
    <row r="70" spans="1:53" ht="18.75" hidden="1" x14ac:dyDescent="0.3">
      <c r="A70" s="395" t="s">
        <v>557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9"/>
      <c r="U70" s="399"/>
      <c r="V70" s="603">
        <f>SUM(V64*1.34%)</f>
        <v>14.997423213439074</v>
      </c>
      <c r="W70" s="609"/>
      <c r="X70" s="603">
        <f t="shared" si="46"/>
        <v>14.997423213439074</v>
      </c>
      <c r="Y70" s="613">
        <f t="shared" si="47"/>
        <v>0</v>
      </c>
      <c r="Z70" s="381">
        <f t="shared" ref="Z70:Z71" si="69">SUM(V70/12)</f>
        <v>1.2497852677865895</v>
      </c>
      <c r="AA70" s="877"/>
      <c r="AB70" s="381">
        <f t="shared" si="54"/>
        <v>1.2497852677865895</v>
      </c>
      <c r="AC70" s="381">
        <f t="shared" ref="AC70:AC71" si="70">SUM(Z70)</f>
        <v>1.2497852677865895</v>
      </c>
      <c r="AD70" s="605">
        <f t="shared" si="48"/>
        <v>3.7493558033597685</v>
      </c>
      <c r="AE70" s="884"/>
      <c r="AF70" s="884"/>
      <c r="AG70" s="884"/>
      <c r="AH70" s="884"/>
      <c r="AI70" s="2590"/>
      <c r="AJ70" s="2590"/>
      <c r="AK70" s="2590"/>
      <c r="AL70" s="2590"/>
      <c r="AM70" s="604">
        <f t="shared" ref="AM70" si="71">SUM(Z70)</f>
        <v>1.2497852677865895</v>
      </c>
      <c r="AN70" s="604">
        <f t="shared" ref="AN70" si="72">SUM(Z70)</f>
        <v>1.2497852677865895</v>
      </c>
      <c r="AO70" s="604">
        <f t="shared" ref="AO70" si="73">SUM(Z70)</f>
        <v>1.2497852677865895</v>
      </c>
      <c r="AP70" s="605">
        <f t="shared" si="49"/>
        <v>3.7493558033597685</v>
      </c>
      <c r="AQ70" s="605">
        <f t="shared" si="38"/>
        <v>7.498711606719537</v>
      </c>
      <c r="AR70" s="604">
        <f t="shared" ref="AR70" si="74">SUM(Z70)</f>
        <v>1.2497852677865895</v>
      </c>
      <c r="AS70" s="604">
        <f t="shared" ref="AS70" si="75">SUM(Z70)</f>
        <v>1.2497852677865895</v>
      </c>
      <c r="AT70" s="604">
        <f t="shared" ref="AT70" si="76">SUM(Z70)</f>
        <v>1.2497852677865895</v>
      </c>
      <c r="AU70" s="605">
        <f t="shared" si="50"/>
        <v>3.7493558033597685</v>
      </c>
      <c r="AV70" s="605">
        <f t="shared" si="51"/>
        <v>11.248067410079305</v>
      </c>
      <c r="AW70" s="604">
        <f t="shared" ref="AW70" si="77">SUM(Z70)</f>
        <v>1.2497852677865895</v>
      </c>
      <c r="AX70" s="604">
        <f t="shared" ref="AX70" si="78">SUM(Z70)</f>
        <v>1.2497852677865895</v>
      </c>
      <c r="AY70" s="604">
        <f t="shared" ref="AY70" si="79">SUM(Z70)</f>
        <v>1.2497852677865895</v>
      </c>
      <c r="AZ70" s="605">
        <f t="shared" si="52"/>
        <v>3.7493558033597685</v>
      </c>
      <c r="BA70" s="611">
        <f t="shared" si="45"/>
        <v>14.99742321343907</v>
      </c>
    </row>
    <row r="71" spans="1:53" ht="18.75" hidden="1" x14ac:dyDescent="0.3">
      <c r="A71" s="395" t="s">
        <v>558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9"/>
      <c r="U71" s="399"/>
      <c r="V71" s="603">
        <f>SUM(V64*0.47%)</f>
        <v>5.2602902315793756</v>
      </c>
      <c r="W71" s="609"/>
      <c r="X71" s="603">
        <f t="shared" si="46"/>
        <v>5.2602902315793756</v>
      </c>
      <c r="Y71" s="613">
        <f t="shared" si="47"/>
        <v>0</v>
      </c>
      <c r="Z71" s="381">
        <f t="shared" si="69"/>
        <v>0.43835751929828132</v>
      </c>
      <c r="AA71" s="877"/>
      <c r="AB71" s="381">
        <f t="shared" si="54"/>
        <v>0.43835751929828132</v>
      </c>
      <c r="AC71" s="381">
        <f t="shared" si="70"/>
        <v>0.43835751929828132</v>
      </c>
      <c r="AD71" s="605">
        <f t="shared" ref="AD71" si="80">SUM(Z71+AB71+AC71)</f>
        <v>1.3150725578948439</v>
      </c>
      <c r="AE71" s="884"/>
      <c r="AF71" s="884"/>
      <c r="AG71" s="884"/>
      <c r="AH71" s="884"/>
      <c r="AI71" s="2590"/>
      <c r="AJ71" s="2590"/>
      <c r="AK71" s="2590"/>
      <c r="AL71" s="2590"/>
      <c r="AM71" s="604">
        <f t="shared" ref="AM71" si="81">SUM(Z71)</f>
        <v>0.43835751929828132</v>
      </c>
      <c r="AN71" s="604">
        <f t="shared" ref="AN71" si="82">SUM(Z71)</f>
        <v>0.43835751929828132</v>
      </c>
      <c r="AO71" s="604">
        <f t="shared" ref="AO71" si="83">SUM(Z71)</f>
        <v>0.43835751929828132</v>
      </c>
      <c r="AP71" s="605">
        <f t="shared" ref="AP71" si="84">SUM(AM71+AN71+AO71)</f>
        <v>1.3150725578948439</v>
      </c>
      <c r="AQ71" s="605">
        <f t="shared" si="38"/>
        <v>2.6301451157896878</v>
      </c>
      <c r="AR71" s="604">
        <f t="shared" ref="AR71" si="85">SUM(Z71)</f>
        <v>0.43835751929828132</v>
      </c>
      <c r="AS71" s="604">
        <f t="shared" ref="AS71" si="86">SUM(Z71)</f>
        <v>0.43835751929828132</v>
      </c>
      <c r="AT71" s="604">
        <f t="shared" ref="AT71" si="87">SUM(Z71)</f>
        <v>0.43835751929828132</v>
      </c>
      <c r="AU71" s="605">
        <f t="shared" ref="AU71" si="88">SUM(AR71+AS71+AT71)</f>
        <v>1.3150725578948439</v>
      </c>
      <c r="AV71" s="605">
        <f t="shared" si="51"/>
        <v>3.9452176736845317</v>
      </c>
      <c r="AW71" s="604">
        <f t="shared" ref="AW71" si="89">SUM(Z71)</f>
        <v>0.43835751929828132</v>
      </c>
      <c r="AX71" s="604">
        <f t="shared" ref="AX71" si="90">SUM(Z71)</f>
        <v>0.43835751929828132</v>
      </c>
      <c r="AY71" s="604">
        <f t="shared" ref="AY71" si="91">SUM(Z71)</f>
        <v>0.43835751929828132</v>
      </c>
      <c r="AZ71" s="605">
        <f t="shared" ref="AZ71" si="92">SUM(AW71+AX71+AY71)</f>
        <v>1.3150725578948439</v>
      </c>
      <c r="BA71" s="611">
        <f t="shared" si="45"/>
        <v>5.2602902315793756</v>
      </c>
    </row>
    <row r="72" spans="1:53" ht="18.75" hidden="1" x14ac:dyDescent="0.3">
      <c r="A72" s="404" t="s">
        <v>605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9"/>
      <c r="U72" s="399"/>
      <c r="V72" s="603">
        <f>SUM(V73:V73)</f>
        <v>36.03858413975658</v>
      </c>
      <c r="W72" s="609"/>
      <c r="X72" s="603">
        <f t="shared" si="46"/>
        <v>36.03858413975658</v>
      </c>
      <c r="Y72" s="613">
        <f t="shared" si="47"/>
        <v>0</v>
      </c>
      <c r="Z72" s="381">
        <f>SUM(Z73:Z73)</f>
        <v>2.6344205006162058</v>
      </c>
      <c r="AA72" s="877"/>
      <c r="AB72" s="381">
        <f>SUM(AB73:AB73)</f>
        <v>2.6344205006162058</v>
      </c>
      <c r="AC72" s="381">
        <f>SUM(AC73:AC73)</f>
        <v>2.6344205006162058</v>
      </c>
      <c r="AD72" s="605">
        <f t="shared" si="48"/>
        <v>7.9032615018486174</v>
      </c>
      <c r="AE72" s="884"/>
      <c r="AF72" s="884"/>
      <c r="AG72" s="884"/>
      <c r="AH72" s="884"/>
      <c r="AI72" s="2590"/>
      <c r="AJ72" s="2590"/>
      <c r="AK72" s="2590"/>
      <c r="AL72" s="2590"/>
      <c r="AM72" s="381">
        <f>SUM(AM73:AM73)</f>
        <v>2.6668552263419874</v>
      </c>
      <c r="AN72" s="381">
        <f>SUM(AN73:AN73)</f>
        <v>3.2038301300243601</v>
      </c>
      <c r="AO72" s="381">
        <f>SUM(AO73:AO73)</f>
        <v>3.6723317238411952</v>
      </c>
      <c r="AP72" s="605">
        <f t="shared" si="49"/>
        <v>9.5430170802075427</v>
      </c>
      <c r="AQ72" s="605">
        <f t="shared" si="38"/>
        <v>17.446278582056159</v>
      </c>
      <c r="AR72" s="381">
        <f>SUM(AR73:AR73)</f>
        <v>3.8128822019862465</v>
      </c>
      <c r="AS72" s="381">
        <f>SUM(AS73:AS73)</f>
        <v>3.6723317238411952</v>
      </c>
      <c r="AT72" s="381">
        <f>SUM(AT73:AT73)</f>
        <v>3.2038301300243601</v>
      </c>
      <c r="AU72" s="605">
        <f t="shared" si="50"/>
        <v>10.689044055851802</v>
      </c>
      <c r="AV72" s="605">
        <f t="shared" si="51"/>
        <v>28.135322637907962</v>
      </c>
      <c r="AW72" s="381">
        <f>SUM(AW73:AW73)</f>
        <v>2.6344205006162058</v>
      </c>
      <c r="AX72" s="381">
        <f>SUM(AX73:AX73)</f>
        <v>2.6344205006162058</v>
      </c>
      <c r="AY72" s="381">
        <f>SUM(AY73:AY73)</f>
        <v>2.6344205006162058</v>
      </c>
      <c r="AZ72" s="605">
        <f t="shared" si="52"/>
        <v>7.9032615018486174</v>
      </c>
      <c r="BA72" s="611">
        <f t="shared" si="45"/>
        <v>36.038584139756587</v>
      </c>
    </row>
    <row r="73" spans="1:53" ht="18.75" hidden="1" x14ac:dyDescent="0.3">
      <c r="A73" s="395" t="s">
        <v>543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9"/>
      <c r="U73" s="399"/>
      <c r="V73" s="603">
        <f>SUM(V64*3.22%)</f>
        <v>36.03858413975658</v>
      </c>
      <c r="W73" s="609"/>
      <c r="X73" s="603">
        <f t="shared" si="46"/>
        <v>36.03858413975658</v>
      </c>
      <c r="Y73" s="613">
        <f t="shared" si="47"/>
        <v>0</v>
      </c>
      <c r="Z73" s="381">
        <f>SUM(V73*7.31%)</f>
        <v>2.6344205006162058</v>
      </c>
      <c r="AA73" s="877"/>
      <c r="AB73" s="381">
        <f>SUM(V73*7.31%)</f>
        <v>2.6344205006162058</v>
      </c>
      <c r="AC73" s="381">
        <f>SUM(V73*7.31%)</f>
        <v>2.6344205006162058</v>
      </c>
      <c r="AD73" s="605">
        <f t="shared" si="48"/>
        <v>7.9032615018486174</v>
      </c>
      <c r="AE73" s="884"/>
      <c r="AF73" s="884"/>
      <c r="AG73" s="884"/>
      <c r="AH73" s="884"/>
      <c r="AI73" s="2590"/>
      <c r="AJ73" s="2590"/>
      <c r="AK73" s="2590"/>
      <c r="AL73" s="2590"/>
      <c r="AM73" s="381">
        <f>SUM(V73*7.4%)</f>
        <v>2.6668552263419874</v>
      </c>
      <c r="AN73" s="381">
        <f>SUM(V73*8.89%)</f>
        <v>3.2038301300243601</v>
      </c>
      <c r="AO73" s="381">
        <f>SUM(V73*10.19%)</f>
        <v>3.6723317238411952</v>
      </c>
      <c r="AP73" s="605">
        <f t="shared" si="49"/>
        <v>9.5430170802075427</v>
      </c>
      <c r="AQ73" s="605">
        <f t="shared" si="38"/>
        <v>17.446278582056159</v>
      </c>
      <c r="AR73" s="381">
        <f>SUM(V73*10.58%)</f>
        <v>3.8128822019862465</v>
      </c>
      <c r="AS73" s="381">
        <f>SUM(V73*10.19%)</f>
        <v>3.6723317238411952</v>
      </c>
      <c r="AT73" s="381">
        <f>SUM(V73*8.89%)</f>
        <v>3.2038301300243601</v>
      </c>
      <c r="AU73" s="605">
        <f t="shared" si="50"/>
        <v>10.689044055851802</v>
      </c>
      <c r="AV73" s="605">
        <f t="shared" si="51"/>
        <v>28.135322637907962</v>
      </c>
      <c r="AW73" s="381">
        <f>SUM(V73*7.31%)</f>
        <v>2.6344205006162058</v>
      </c>
      <c r="AX73" s="381">
        <f>SUM(V73*7.31%)</f>
        <v>2.6344205006162058</v>
      </c>
      <c r="AY73" s="381">
        <f>SUM(V73*7.31%)</f>
        <v>2.6344205006162058</v>
      </c>
      <c r="AZ73" s="605">
        <f t="shared" si="52"/>
        <v>7.9032615018486174</v>
      </c>
      <c r="BA73" s="611">
        <f t="shared" si="45"/>
        <v>36.038584139756587</v>
      </c>
    </row>
    <row r="74" spans="1:53" ht="18.75" hidden="1" x14ac:dyDescent="0.3">
      <c r="A74" s="601" t="s">
        <v>616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9"/>
      <c r="U74" s="399"/>
      <c r="V74" s="606">
        <f>SUM(AC48)</f>
        <v>7258.9036668341378</v>
      </c>
      <c r="W74" s="609"/>
      <c r="X74" s="606">
        <f>SUM(V74*стоки!AK52/стоки!AI52)</f>
        <v>7258.9036668341378</v>
      </c>
      <c r="Y74" s="612">
        <f t="shared" ref="Y74:Y99" si="93">SUM(V74-X74)</f>
        <v>0</v>
      </c>
      <c r="Z74" s="378">
        <f>SUM(Z75+Z76+Z77+Z78+Z79+Z80+Z81+Z83+Z82+Z84+Z85+Z86+Z87+Z88+Z89+Z90+Z95)</f>
        <v>625.28484900900469</v>
      </c>
      <c r="AA74" s="876"/>
      <c r="AB74" s="378">
        <f t="shared" ref="AB74:AC74" si="94">SUM(AB75+AB76+AB77+AB78+AB79+AB80+AB81+AB83+AB82+AB84+AB85+AB86+AB87+AB88+AB89+AB90+AB95)</f>
        <v>615.72894793095543</v>
      </c>
      <c r="AC74" s="378">
        <f t="shared" si="94"/>
        <v>611.59052191282149</v>
      </c>
      <c r="AD74" s="614">
        <f t="shared" si="48"/>
        <v>1852.6043188527817</v>
      </c>
      <c r="AE74" s="883"/>
      <c r="AF74" s="883"/>
      <c r="AG74" s="883"/>
      <c r="AH74" s="883"/>
      <c r="AI74" s="2589"/>
      <c r="AJ74" s="2589"/>
      <c r="AK74" s="2589"/>
      <c r="AL74" s="2589"/>
      <c r="AM74" s="378">
        <f t="shared" ref="AM74" si="95">SUM(AM75+AM76+AM77+AM78+AM79+AM80+AM81+AM83+AM82+AM84+AM85+AM86+AM87+AM88+AM89+AM90+AM95)</f>
        <v>597.30146283878855</v>
      </c>
      <c r="AN74" s="378">
        <f t="shared" ref="AN74" si="96">SUM(AN75+AN76+AN77+AN78+AN79+AN80+AN81+AN83+AN82+AN84+AN85+AN86+AN87+AN88+AN89+AN90+AN95)</f>
        <v>570.53813423573115</v>
      </c>
      <c r="AO74" s="378">
        <f t="shared" ref="AO74" si="97">SUM(AO75+AO76+AO77+AO78+AO79+AO80+AO81+AO83+AO82+AO84+AO85+AO86+AO87+AO88+AO89+AO90+AO95)</f>
        <v>563.68623000650098</v>
      </c>
      <c r="AP74" s="614">
        <f t="shared" si="49"/>
        <v>1731.5258270810205</v>
      </c>
      <c r="AQ74" s="614">
        <f t="shared" si="38"/>
        <v>3584.1301459338019</v>
      </c>
      <c r="AR74" s="378">
        <f t="shared" ref="AR74" si="98">SUM(AR75+AR76+AR77+AR78+AR79+AR80+AR81+AR83+AR82+AR84+AR85+AR86+AR87+AR88+AR89+AR90+AR95)</f>
        <v>588.04619592196752</v>
      </c>
      <c r="AS74" s="378">
        <f t="shared" ref="AS74" si="99">SUM(AS75+AS76+AS77+AS78+AS79+AS80+AS81+AS83+AS82+AS84+AS85+AS86+AS87+AS88+AS89+AS90+AS95)</f>
        <v>587.40356518034264</v>
      </c>
      <c r="AT74" s="378">
        <f t="shared" ref="AT74" si="100">SUM(AT75+AT76+AT77+AT78+AT79+AT80+AT81+AT83+AT82+AT84+AT85+AT86+AT87+AT88+AT89+AT90+AT95)</f>
        <v>601.26757853062486</v>
      </c>
      <c r="AU74" s="614">
        <f t="shared" si="50"/>
        <v>1776.7173396329351</v>
      </c>
      <c r="AV74" s="614">
        <f t="shared" si="51"/>
        <v>5360.8474855667373</v>
      </c>
      <c r="AW74" s="378">
        <f t="shared" ref="AW74" si="101">SUM(AW75+AW76+AW77+AW78+AW79+AW80+AW81+AW83+AW82+AW84+AW85+AW86+AW87+AW88+AW89+AW90+AW95)</f>
        <v>622.00308544719371</v>
      </c>
      <c r="AX74" s="378">
        <f t="shared" ref="AX74" si="102">SUM(AX75+AX76+AX77+AX78+AX79+AX80+AX81+AX83+AX82+AX84+AX85+AX86+AX87+AX88+AX89+AX90+AX95)</f>
        <v>632.13245149013187</v>
      </c>
      <c r="AY74" s="378">
        <f t="shared" ref="AY74" si="103">SUM(AY75+AY76+AY77+AY78+AY79+AY80+AY81+AY83+AY82+AY84+AY85+AY86+AY87+AY88+AY89+AY90+AY95)</f>
        <v>643.92064433007522</v>
      </c>
      <c r="AZ74" s="614">
        <f t="shared" si="52"/>
        <v>1898.0561812674007</v>
      </c>
      <c r="BA74" s="611">
        <f t="shared" si="45"/>
        <v>7258.9036668341387</v>
      </c>
    </row>
    <row r="75" spans="1:53" ht="18.75" hidden="1" x14ac:dyDescent="0.3">
      <c r="A75" s="40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9"/>
      <c r="U75" s="399"/>
      <c r="V75" s="603">
        <f>SUM(V74*46.54%)</f>
        <v>3378.2937665446075</v>
      </c>
      <c r="W75" s="609"/>
      <c r="X75" s="603">
        <f>SUM(V75*стоки!AK52/стоки!AI52)</f>
        <v>3378.2937665446075</v>
      </c>
      <c r="Y75" s="613">
        <f t="shared" si="93"/>
        <v>0</v>
      </c>
      <c r="Z75" s="381">
        <f>SUM(V75/2)/(1+(106.7%*100-100)/2/100)/6</f>
        <v>272.39911034870244</v>
      </c>
      <c r="AA75" s="877"/>
      <c r="AB75" s="380">
        <f>SUM(Z75)</f>
        <v>272.39911034870244</v>
      </c>
      <c r="AC75" s="381">
        <f>SUM(Z75)</f>
        <v>272.39911034870244</v>
      </c>
      <c r="AD75" s="605">
        <f>SUM(Z75+AB75+AC75)</f>
        <v>817.19733104610737</v>
      </c>
      <c r="AE75" s="884"/>
      <c r="AF75" s="884"/>
      <c r="AG75" s="884"/>
      <c r="AH75" s="884"/>
      <c r="AI75" s="2590"/>
      <c r="AJ75" s="2590"/>
      <c r="AK75" s="2590"/>
      <c r="AL75" s="2590"/>
      <c r="AM75" s="604">
        <f>SUM(Z75)</f>
        <v>272.39911034870244</v>
      </c>
      <c r="AN75" s="604">
        <f>SUM(Z75)</f>
        <v>272.39911034870244</v>
      </c>
      <c r="AO75" s="604">
        <f>SUM(Z75)</f>
        <v>272.39911034870244</v>
      </c>
      <c r="AP75" s="605">
        <f>SUM(AM75+AN75+AO75)</f>
        <v>817.19733104610737</v>
      </c>
      <c r="AQ75" s="605">
        <f t="shared" si="38"/>
        <v>1634.3946620922147</v>
      </c>
      <c r="AR75" s="604">
        <f>SUM(V75-AQ75)/6</f>
        <v>290.64985074206544</v>
      </c>
      <c r="AS75" s="604">
        <f>SUM(AR75)</f>
        <v>290.64985074206544</v>
      </c>
      <c r="AT75" s="604">
        <f>SUM(AR75)</f>
        <v>290.64985074206544</v>
      </c>
      <c r="AU75" s="605">
        <f>SUM(AR75+AS75+AT75)</f>
        <v>871.94955222619637</v>
      </c>
      <c r="AV75" s="605">
        <f>SUM(AQ75+AU75)</f>
        <v>2506.3442143184111</v>
      </c>
      <c r="AW75" s="604">
        <f>SUM(AR75)</f>
        <v>290.64985074206544</v>
      </c>
      <c r="AX75" s="604">
        <f>SUM(AR75)</f>
        <v>290.64985074206544</v>
      </c>
      <c r="AY75" s="604">
        <f>SUM(AR75)</f>
        <v>290.64985074206544</v>
      </c>
      <c r="AZ75" s="605">
        <f>SUM(AW75+AX75+AY75)</f>
        <v>871.94955222619637</v>
      </c>
      <c r="BA75" s="611">
        <f t="shared" si="45"/>
        <v>3378.293766544607</v>
      </c>
    </row>
    <row r="76" spans="1:53" ht="18.75" hidden="1" x14ac:dyDescent="0.3">
      <c r="A76" s="404" t="s">
        <v>117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9"/>
      <c r="U76" s="399"/>
      <c r="V76" s="603">
        <f>SUM(V74*13.94%)</f>
        <v>1011.8911711566788</v>
      </c>
      <c r="W76" s="609"/>
      <c r="X76" s="603">
        <f>SUM(V76*стоки!AK52/стоки!AI52)</f>
        <v>1011.8911711566788</v>
      </c>
      <c r="Y76" s="613">
        <f t="shared" si="93"/>
        <v>0</v>
      </c>
      <c r="Z76" s="381">
        <f>SUM(Z75*(V76/V75))</f>
        <v>81.590966872817191</v>
      </c>
      <c r="AA76" s="877"/>
      <c r="AB76" s="381">
        <f>SUM(Z76)</f>
        <v>81.590966872817191</v>
      </c>
      <c r="AC76" s="380">
        <f>SUM(Z76)</f>
        <v>81.590966872817191</v>
      </c>
      <c r="AD76" s="605">
        <f t="shared" ref="AD76" si="104">SUM(Z76+AB76+AC76)</f>
        <v>244.77290061845156</v>
      </c>
      <c r="AE76" s="884"/>
      <c r="AF76" s="884"/>
      <c r="AG76" s="884"/>
      <c r="AH76" s="884"/>
      <c r="AI76" s="2590"/>
      <c r="AJ76" s="2590"/>
      <c r="AK76" s="2590"/>
      <c r="AL76" s="2590"/>
      <c r="AM76" s="604">
        <f>SUM(Z76)</f>
        <v>81.590966872817191</v>
      </c>
      <c r="AN76" s="604">
        <f>SUM(Z76)</f>
        <v>81.590966872817191</v>
      </c>
      <c r="AO76" s="604">
        <f>SUM(Z76)</f>
        <v>81.590966872817191</v>
      </c>
      <c r="AP76" s="605">
        <f t="shared" ref="AP76" si="105">SUM(AM76+AN76+AO76)</f>
        <v>244.77290061845156</v>
      </c>
      <c r="AQ76" s="605">
        <f t="shared" si="38"/>
        <v>489.54580123690312</v>
      </c>
      <c r="AR76" s="604">
        <f>SUM(V76-AQ76)/6</f>
        <v>87.057561653295934</v>
      </c>
      <c r="AS76" s="604">
        <f>SUM(AR76)</f>
        <v>87.057561653295934</v>
      </c>
      <c r="AT76" s="604">
        <f>SUM(AR76)</f>
        <v>87.057561653295934</v>
      </c>
      <c r="AU76" s="605">
        <f t="shared" ref="AU76" si="106">SUM(AR76+AS76+AT76)</f>
        <v>261.17268495988782</v>
      </c>
      <c r="AV76" s="605">
        <f t="shared" ref="AV76:AV88" si="107">SUM(AQ76+AU76)</f>
        <v>750.71848619679099</v>
      </c>
      <c r="AW76" s="604">
        <f>SUM(AR76)</f>
        <v>87.057561653295934</v>
      </c>
      <c r="AX76" s="604">
        <f>SUM(AR76)</f>
        <v>87.057561653295934</v>
      </c>
      <c r="AY76" s="604">
        <f>SUM(AR76)</f>
        <v>87.057561653295934</v>
      </c>
      <c r="AZ76" s="605">
        <f t="shared" ref="AZ76" si="108">SUM(AW76+AX76+AY76)</f>
        <v>261.17268495988782</v>
      </c>
      <c r="BA76" s="611">
        <f t="shared" si="45"/>
        <v>1011.8911711566785</v>
      </c>
    </row>
    <row r="77" spans="1:53" ht="18.75" hidden="1" x14ac:dyDescent="0.3">
      <c r="A77" s="40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9"/>
      <c r="U77" s="399"/>
      <c r="V77" s="603">
        <f>SUM(V74*0.36%)</f>
        <v>26.132053200602897</v>
      </c>
      <c r="W77" s="609"/>
      <c r="X77" s="603">
        <f>SUM(V77*стоки!AK52/стоки!AI52)</f>
        <v>26.132053200602897</v>
      </c>
      <c r="Y77" s="613">
        <f t="shared" si="93"/>
        <v>0</v>
      </c>
      <c r="Z77" s="381">
        <f t="shared" ref="Z77" si="109">SUM(V77/12)</f>
        <v>2.1776711000502416</v>
      </c>
      <c r="AA77" s="877"/>
      <c r="AB77" s="381">
        <f t="shared" ref="AB77:AB89" si="110">SUM(Z77)</f>
        <v>2.1776711000502416</v>
      </c>
      <c r="AC77" s="381">
        <f t="shared" ref="AC77:AC89" si="111">SUM(Z77)</f>
        <v>2.1776711000502416</v>
      </c>
      <c r="AD77" s="605">
        <f t="shared" ref="AD77:AD89" si="112">SUM(Z77+AB77+AC77)</f>
        <v>6.5330133001507242</v>
      </c>
      <c r="AE77" s="884"/>
      <c r="AF77" s="884"/>
      <c r="AG77" s="884"/>
      <c r="AH77" s="884"/>
      <c r="AI77" s="2590"/>
      <c r="AJ77" s="2590"/>
      <c r="AK77" s="2590"/>
      <c r="AL77" s="2590"/>
      <c r="AM77" s="604">
        <f t="shared" ref="AM77:AM89" si="113">SUM(Z77)</f>
        <v>2.1776711000502416</v>
      </c>
      <c r="AN77" s="604">
        <f t="shared" ref="AN77:AN89" si="114">SUM(Z77)</f>
        <v>2.1776711000502416</v>
      </c>
      <c r="AO77" s="604">
        <f t="shared" ref="AO77:AO89" si="115">SUM(Z77)</f>
        <v>2.1776711000502416</v>
      </c>
      <c r="AP77" s="605">
        <f t="shared" ref="AP77:AP89" si="116">SUM(AM77+AN77+AO77)</f>
        <v>6.5330133001507242</v>
      </c>
      <c r="AQ77" s="605">
        <f t="shared" si="38"/>
        <v>13.066026600301448</v>
      </c>
      <c r="AR77" s="604">
        <f t="shared" ref="AR77:AR89" si="117">SUM(Z77)</f>
        <v>2.1776711000502416</v>
      </c>
      <c r="AS77" s="604">
        <f t="shared" ref="AS77:AS89" si="118">SUM(Z77)</f>
        <v>2.1776711000502416</v>
      </c>
      <c r="AT77" s="604">
        <f t="shared" ref="AT77:AT89" si="119">SUM(Z77)</f>
        <v>2.1776711000502416</v>
      </c>
      <c r="AU77" s="605">
        <f t="shared" ref="AU77:AU89" si="120">SUM(AR77+AS77+AT77)</f>
        <v>6.5330133001507242</v>
      </c>
      <c r="AV77" s="605">
        <f t="shared" si="107"/>
        <v>19.599039900452173</v>
      </c>
      <c r="AW77" s="604">
        <f t="shared" ref="AW77:AW89" si="121">SUM(Z77)</f>
        <v>2.1776711000502416</v>
      </c>
      <c r="AX77" s="604">
        <f t="shared" ref="AX77:AX89" si="122">SUM(Z77)</f>
        <v>2.1776711000502416</v>
      </c>
      <c r="AY77" s="604">
        <f t="shared" ref="AY77:AY89" si="123">SUM(Z77)</f>
        <v>2.1776711000502416</v>
      </c>
      <c r="AZ77" s="605">
        <f t="shared" ref="AZ77:AZ89" si="124">SUM(AW77+AX77+AY77)</f>
        <v>6.5330133001507242</v>
      </c>
      <c r="BA77" s="611">
        <f t="shared" si="45"/>
        <v>26.132053200602893</v>
      </c>
    </row>
    <row r="78" spans="1:53" ht="18.75" hidden="1" x14ac:dyDescent="0.3">
      <c r="A78" s="404" t="s">
        <v>633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9"/>
      <c r="U78" s="399"/>
      <c r="V78" s="603">
        <f>SUM(V74*9.75%)</f>
        <v>707.74310751632845</v>
      </c>
      <c r="W78" s="609"/>
      <c r="X78" s="603">
        <f>SUM(V78*стоки!AK52/стоки!AI52)</f>
        <v>707.74310751632845</v>
      </c>
      <c r="Y78" s="613">
        <f t="shared" si="93"/>
        <v>0</v>
      </c>
      <c r="Z78" s="381">
        <f t="shared" ref="Z78:Z86" si="125">SUM(V78/12)</f>
        <v>58.978592293027368</v>
      </c>
      <c r="AA78" s="877"/>
      <c r="AB78" s="381">
        <f t="shared" si="110"/>
        <v>58.978592293027368</v>
      </c>
      <c r="AC78" s="381">
        <f t="shared" si="111"/>
        <v>58.978592293027368</v>
      </c>
      <c r="AD78" s="605">
        <f t="shared" si="112"/>
        <v>176.93577687908211</v>
      </c>
      <c r="AE78" s="884"/>
      <c r="AF78" s="884"/>
      <c r="AG78" s="884"/>
      <c r="AH78" s="884"/>
      <c r="AI78" s="2590"/>
      <c r="AJ78" s="2590"/>
      <c r="AK78" s="2590"/>
      <c r="AL78" s="2590"/>
      <c r="AM78" s="604">
        <f t="shared" si="113"/>
        <v>58.978592293027368</v>
      </c>
      <c r="AN78" s="604">
        <f t="shared" si="114"/>
        <v>58.978592293027368</v>
      </c>
      <c r="AO78" s="604">
        <f t="shared" si="115"/>
        <v>58.978592293027368</v>
      </c>
      <c r="AP78" s="605">
        <f t="shared" si="116"/>
        <v>176.93577687908211</v>
      </c>
      <c r="AQ78" s="605">
        <f t="shared" si="38"/>
        <v>353.87155375816423</v>
      </c>
      <c r="AR78" s="604">
        <f t="shared" si="117"/>
        <v>58.978592293027368</v>
      </c>
      <c r="AS78" s="604">
        <f t="shared" si="118"/>
        <v>58.978592293027368</v>
      </c>
      <c r="AT78" s="604">
        <f t="shared" si="119"/>
        <v>58.978592293027368</v>
      </c>
      <c r="AU78" s="605">
        <f t="shared" si="120"/>
        <v>176.93577687908211</v>
      </c>
      <c r="AV78" s="605">
        <f t="shared" si="107"/>
        <v>530.80733063724631</v>
      </c>
      <c r="AW78" s="604">
        <f t="shared" si="121"/>
        <v>58.978592293027368</v>
      </c>
      <c r="AX78" s="604">
        <f t="shared" si="122"/>
        <v>58.978592293027368</v>
      </c>
      <c r="AY78" s="604">
        <f t="shared" si="123"/>
        <v>58.978592293027368</v>
      </c>
      <c r="AZ78" s="605">
        <f t="shared" si="124"/>
        <v>176.93577687908211</v>
      </c>
      <c r="BA78" s="611">
        <f t="shared" si="45"/>
        <v>707.74310751632856</v>
      </c>
    </row>
    <row r="79" spans="1:53" ht="18.75" hidden="1" x14ac:dyDescent="0.3">
      <c r="A79" s="638" t="s">
        <v>635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9"/>
      <c r="U79" s="399"/>
      <c r="V79" s="603">
        <f>SUM(V74*1.41%)</f>
        <v>102.35054170236134</v>
      </c>
      <c r="W79" s="609"/>
      <c r="X79" s="603">
        <f>SUM(V79*стоки!AK52/стоки!AI52)</f>
        <v>102.35054170236134</v>
      </c>
      <c r="Y79" s="613">
        <f t="shared" ref="Y79" si="126">SUM(V79-X79)</f>
        <v>0</v>
      </c>
      <c r="Z79" s="381">
        <f t="shared" ref="Z79" si="127">SUM(V79/12)</f>
        <v>8.5292118085301123</v>
      </c>
      <c r="AA79" s="877"/>
      <c r="AB79" s="381">
        <f t="shared" ref="AB79" si="128">SUM(Z79)</f>
        <v>8.5292118085301123</v>
      </c>
      <c r="AC79" s="381">
        <f t="shared" ref="AC79" si="129">SUM(Z79)</f>
        <v>8.5292118085301123</v>
      </c>
      <c r="AD79" s="605">
        <f t="shared" ref="AD79" si="130">SUM(Z79+AB79+AC79)</f>
        <v>25.587635425590335</v>
      </c>
      <c r="AE79" s="884"/>
      <c r="AF79" s="884"/>
      <c r="AG79" s="884"/>
      <c r="AH79" s="884"/>
      <c r="AI79" s="2590"/>
      <c r="AJ79" s="2590"/>
      <c r="AK79" s="2590"/>
      <c r="AL79" s="2590"/>
      <c r="AM79" s="604">
        <f t="shared" ref="AM79" si="131">SUM(Z79)</f>
        <v>8.5292118085301123</v>
      </c>
      <c r="AN79" s="604">
        <f t="shared" ref="AN79" si="132">SUM(Z79)</f>
        <v>8.5292118085301123</v>
      </c>
      <c r="AO79" s="604">
        <f t="shared" ref="AO79" si="133">SUM(Z79)</f>
        <v>8.5292118085301123</v>
      </c>
      <c r="AP79" s="605">
        <f t="shared" ref="AP79" si="134">SUM(AM79+AN79+AO79)</f>
        <v>25.587635425590335</v>
      </c>
      <c r="AQ79" s="605">
        <f t="shared" si="38"/>
        <v>51.17527085118067</v>
      </c>
      <c r="AR79" s="604">
        <f t="shared" ref="AR79" si="135">SUM(Z79)</f>
        <v>8.5292118085301123</v>
      </c>
      <c r="AS79" s="604">
        <f t="shared" ref="AS79" si="136">SUM(Z79)</f>
        <v>8.5292118085301123</v>
      </c>
      <c r="AT79" s="604">
        <f t="shared" ref="AT79" si="137">SUM(Z79)</f>
        <v>8.5292118085301123</v>
      </c>
      <c r="AU79" s="605">
        <f t="shared" ref="AU79" si="138">SUM(AR79+AS79+AT79)</f>
        <v>25.587635425590335</v>
      </c>
      <c r="AV79" s="605">
        <f t="shared" ref="AV79" si="139">SUM(AQ79+AU79)</f>
        <v>76.762906276771005</v>
      </c>
      <c r="AW79" s="604">
        <f t="shared" ref="AW79" si="140">SUM(Z79)</f>
        <v>8.5292118085301123</v>
      </c>
      <c r="AX79" s="604">
        <f t="shared" ref="AX79" si="141">SUM(Z79)</f>
        <v>8.5292118085301123</v>
      </c>
      <c r="AY79" s="604">
        <f t="shared" ref="AY79" si="142">SUM(Z79)</f>
        <v>8.5292118085301123</v>
      </c>
      <c r="AZ79" s="605">
        <f t="shared" ref="AZ79" si="143">SUM(AW79+AX79+AY79)</f>
        <v>25.587635425590335</v>
      </c>
      <c r="BA79" s="611">
        <f t="shared" si="45"/>
        <v>102.35054170236133</v>
      </c>
    </row>
    <row r="80" spans="1:53" ht="18.75" hidden="1" x14ac:dyDescent="0.3">
      <c r="A80" s="404" t="s">
        <v>601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9"/>
      <c r="U80" s="399"/>
      <c r="V80" s="603">
        <f>SUM(V74*8.87%)</f>
        <v>643.86475524818798</v>
      </c>
      <c r="W80" s="609"/>
      <c r="X80" s="603">
        <f>SUM(V80*стоки!AK52/стоки!AI52)</f>
        <v>643.86475524818798</v>
      </c>
      <c r="Y80" s="613">
        <f t="shared" si="93"/>
        <v>0</v>
      </c>
      <c r="Z80" s="381">
        <f t="shared" ref="Z80" si="144">SUM(V80/12)</f>
        <v>53.655396270682331</v>
      </c>
      <c r="AA80" s="877"/>
      <c r="AB80" s="381">
        <f t="shared" ref="AB80" si="145">SUM(Z80)</f>
        <v>53.655396270682331</v>
      </c>
      <c r="AC80" s="381">
        <f t="shared" ref="AC80" si="146">SUM(Z80)</f>
        <v>53.655396270682331</v>
      </c>
      <c r="AD80" s="605">
        <f t="shared" si="112"/>
        <v>160.96618881204699</v>
      </c>
      <c r="AE80" s="884"/>
      <c r="AF80" s="884"/>
      <c r="AG80" s="884"/>
      <c r="AH80" s="884"/>
      <c r="AI80" s="2590"/>
      <c r="AJ80" s="2590"/>
      <c r="AK80" s="2590"/>
      <c r="AL80" s="2590"/>
      <c r="AM80" s="604">
        <f t="shared" si="113"/>
        <v>53.655396270682331</v>
      </c>
      <c r="AN80" s="604">
        <f t="shared" si="114"/>
        <v>53.655396270682331</v>
      </c>
      <c r="AO80" s="604">
        <f t="shared" si="115"/>
        <v>53.655396270682331</v>
      </c>
      <c r="AP80" s="605">
        <f t="shared" si="116"/>
        <v>160.96618881204699</v>
      </c>
      <c r="AQ80" s="605">
        <f t="shared" si="38"/>
        <v>321.93237762409399</v>
      </c>
      <c r="AR80" s="604">
        <f t="shared" si="117"/>
        <v>53.655396270682331</v>
      </c>
      <c r="AS80" s="604">
        <f t="shared" si="118"/>
        <v>53.655396270682331</v>
      </c>
      <c r="AT80" s="604">
        <f t="shared" si="119"/>
        <v>53.655396270682331</v>
      </c>
      <c r="AU80" s="605">
        <f t="shared" si="120"/>
        <v>160.96618881204699</v>
      </c>
      <c r="AV80" s="605">
        <f t="shared" si="107"/>
        <v>482.89856643614098</v>
      </c>
      <c r="AW80" s="604">
        <f t="shared" si="121"/>
        <v>53.655396270682331</v>
      </c>
      <c r="AX80" s="604">
        <f t="shared" si="122"/>
        <v>53.655396270682331</v>
      </c>
      <c r="AY80" s="604">
        <f t="shared" si="123"/>
        <v>53.655396270682331</v>
      </c>
      <c r="AZ80" s="605">
        <f t="shared" si="124"/>
        <v>160.96618881204699</v>
      </c>
      <c r="BA80" s="611">
        <f t="shared" si="45"/>
        <v>643.86475524818798</v>
      </c>
    </row>
    <row r="81" spans="1:53" ht="18.75" hidden="1" x14ac:dyDescent="0.3">
      <c r="A81" s="40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9"/>
      <c r="U81" s="399"/>
      <c r="V81" s="603">
        <f>SUM(V74*0.56%)</f>
        <v>40.649860534271177</v>
      </c>
      <c r="W81" s="609"/>
      <c r="X81" s="603">
        <f>SUM(V81*стоки!AK52/стоки!AI52)</f>
        <v>40.649860534271177</v>
      </c>
      <c r="Y81" s="613">
        <f t="shared" si="93"/>
        <v>0</v>
      </c>
      <c r="Z81" s="381">
        <f t="shared" si="125"/>
        <v>3.3874883778559313</v>
      </c>
      <c r="AA81" s="877"/>
      <c r="AB81" s="381">
        <f t="shared" si="110"/>
        <v>3.3874883778559313</v>
      </c>
      <c r="AC81" s="381">
        <f t="shared" si="111"/>
        <v>3.3874883778559313</v>
      </c>
      <c r="AD81" s="605">
        <f t="shared" si="112"/>
        <v>10.162465133567794</v>
      </c>
      <c r="AE81" s="884"/>
      <c r="AF81" s="884"/>
      <c r="AG81" s="884"/>
      <c r="AH81" s="884"/>
      <c r="AI81" s="2590"/>
      <c r="AJ81" s="2590"/>
      <c r="AK81" s="2590"/>
      <c r="AL81" s="2590"/>
      <c r="AM81" s="604">
        <f t="shared" si="113"/>
        <v>3.3874883778559313</v>
      </c>
      <c r="AN81" s="604">
        <f t="shared" si="114"/>
        <v>3.3874883778559313</v>
      </c>
      <c r="AO81" s="604">
        <f t="shared" si="115"/>
        <v>3.3874883778559313</v>
      </c>
      <c r="AP81" s="605">
        <f t="shared" si="116"/>
        <v>10.162465133567794</v>
      </c>
      <c r="AQ81" s="605">
        <f t="shared" si="38"/>
        <v>20.324930267135588</v>
      </c>
      <c r="AR81" s="604">
        <f t="shared" si="117"/>
        <v>3.3874883778559313</v>
      </c>
      <c r="AS81" s="604">
        <f t="shared" si="118"/>
        <v>3.3874883778559313</v>
      </c>
      <c r="AT81" s="604">
        <f t="shared" si="119"/>
        <v>3.3874883778559313</v>
      </c>
      <c r="AU81" s="605">
        <f t="shared" si="120"/>
        <v>10.162465133567794</v>
      </c>
      <c r="AV81" s="605">
        <f t="shared" si="107"/>
        <v>30.487395400703384</v>
      </c>
      <c r="AW81" s="604">
        <f t="shared" si="121"/>
        <v>3.3874883778559313</v>
      </c>
      <c r="AX81" s="604">
        <f t="shared" si="122"/>
        <v>3.3874883778559313</v>
      </c>
      <c r="AY81" s="604">
        <f t="shared" si="123"/>
        <v>3.3874883778559313</v>
      </c>
      <c r="AZ81" s="605">
        <f t="shared" si="124"/>
        <v>10.162465133567794</v>
      </c>
      <c r="BA81" s="611">
        <f t="shared" si="45"/>
        <v>40.649860534271177</v>
      </c>
    </row>
    <row r="82" spans="1:53" ht="18.75" hidden="1" x14ac:dyDescent="0.3">
      <c r="A82" s="640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9"/>
      <c r="U82" s="399"/>
      <c r="V82" s="642">
        <f>SUM(X82:Y82)</f>
        <v>0</v>
      </c>
      <c r="W82" s="609"/>
      <c r="X82" s="642">
        <f>SUM(AC34)</f>
        <v>0</v>
      </c>
      <c r="Y82" s="643">
        <f>SUM(X82)</f>
        <v>0</v>
      </c>
      <c r="Z82" s="381">
        <f t="shared" ref="Z82" si="147">SUM(V82/12)</f>
        <v>0</v>
      </c>
      <c r="AA82" s="877"/>
      <c r="AB82" s="381">
        <f t="shared" ref="AB82" si="148">SUM(Z82)</f>
        <v>0</v>
      </c>
      <c r="AC82" s="381">
        <f t="shared" ref="AC82" si="149">SUM(Z82)</f>
        <v>0</v>
      </c>
      <c r="AD82" s="605">
        <f t="shared" si="112"/>
        <v>0</v>
      </c>
      <c r="AE82" s="884"/>
      <c r="AF82" s="884"/>
      <c r="AG82" s="884"/>
      <c r="AH82" s="884"/>
      <c r="AI82" s="2590"/>
      <c r="AJ82" s="2590"/>
      <c r="AK82" s="2590"/>
      <c r="AL82" s="2590"/>
      <c r="AM82" s="604">
        <f t="shared" ref="AM82" si="150">SUM(Z82)</f>
        <v>0</v>
      </c>
      <c r="AN82" s="604">
        <f t="shared" ref="AN82" si="151">SUM(Z82)</f>
        <v>0</v>
      </c>
      <c r="AO82" s="604">
        <f t="shared" ref="AO82" si="152">SUM(Z82)</f>
        <v>0</v>
      </c>
      <c r="AP82" s="605">
        <f t="shared" ref="AP82" si="153">SUM(AM82+AN82+AO82)</f>
        <v>0</v>
      </c>
      <c r="AQ82" s="605">
        <f t="shared" si="38"/>
        <v>0</v>
      </c>
      <c r="AR82" s="604">
        <f t="shared" ref="AR82" si="154">SUM(Z82)</f>
        <v>0</v>
      </c>
      <c r="AS82" s="604">
        <f t="shared" ref="AS82" si="155">SUM(Z82)</f>
        <v>0</v>
      </c>
      <c r="AT82" s="604">
        <f t="shared" ref="AT82" si="156">SUM(Z82)</f>
        <v>0</v>
      </c>
      <c r="AU82" s="605">
        <f t="shared" ref="AU82" si="157">SUM(AR82+AS82+AT82)</f>
        <v>0</v>
      </c>
      <c r="AV82" s="605">
        <f t="shared" ref="AV82" si="158">SUM(AQ82+AU82)</f>
        <v>0</v>
      </c>
      <c r="AW82" s="604">
        <f t="shared" ref="AW82" si="159">SUM(Z82)</f>
        <v>0</v>
      </c>
      <c r="AX82" s="604">
        <f t="shared" ref="AX82" si="160">SUM(Z82)</f>
        <v>0</v>
      </c>
      <c r="AY82" s="604">
        <f t="shared" ref="AY82" si="161">SUM(Z82)</f>
        <v>0</v>
      </c>
      <c r="AZ82" s="605">
        <f t="shared" ref="AZ82" si="162">SUM(AW82+AX82+AY82)</f>
        <v>0</v>
      </c>
      <c r="BA82" s="611">
        <f t="shared" si="45"/>
        <v>0</v>
      </c>
    </row>
    <row r="83" spans="1:53" ht="18.75" hidden="1" x14ac:dyDescent="0.3">
      <c r="A83" s="404" t="s">
        <v>603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9"/>
      <c r="U83" s="399"/>
      <c r="V83" s="603">
        <f>SUM(V74*1.45%)</f>
        <v>105.25410316909499</v>
      </c>
      <c r="W83" s="609"/>
      <c r="X83" s="603">
        <f>SUM(V83*стоки!AK52/стоки!AI52)</f>
        <v>105.25410316909499</v>
      </c>
      <c r="Y83" s="613">
        <f t="shared" si="93"/>
        <v>0</v>
      </c>
      <c r="Z83" s="381">
        <f t="shared" si="125"/>
        <v>8.7711752640912497</v>
      </c>
      <c r="AA83" s="877"/>
      <c r="AB83" s="381">
        <f t="shared" si="110"/>
        <v>8.7711752640912497</v>
      </c>
      <c r="AC83" s="381">
        <f t="shared" si="111"/>
        <v>8.7711752640912497</v>
      </c>
      <c r="AD83" s="605">
        <f t="shared" si="112"/>
        <v>26.313525792273751</v>
      </c>
      <c r="AE83" s="884"/>
      <c r="AF83" s="884"/>
      <c r="AG83" s="884"/>
      <c r="AH83" s="884"/>
      <c r="AI83" s="2590"/>
      <c r="AJ83" s="2590"/>
      <c r="AK83" s="2590"/>
      <c r="AL83" s="2590"/>
      <c r="AM83" s="604">
        <f t="shared" si="113"/>
        <v>8.7711752640912497</v>
      </c>
      <c r="AN83" s="604">
        <f t="shared" si="114"/>
        <v>8.7711752640912497</v>
      </c>
      <c r="AO83" s="604">
        <f t="shared" si="115"/>
        <v>8.7711752640912497</v>
      </c>
      <c r="AP83" s="605">
        <f t="shared" si="116"/>
        <v>26.313525792273751</v>
      </c>
      <c r="AQ83" s="605">
        <f t="shared" si="38"/>
        <v>52.627051584547502</v>
      </c>
      <c r="AR83" s="604">
        <f t="shared" si="117"/>
        <v>8.7711752640912497</v>
      </c>
      <c r="AS83" s="604">
        <f t="shared" si="118"/>
        <v>8.7711752640912497</v>
      </c>
      <c r="AT83" s="604">
        <f t="shared" si="119"/>
        <v>8.7711752640912497</v>
      </c>
      <c r="AU83" s="605">
        <f t="shared" si="120"/>
        <v>26.313525792273751</v>
      </c>
      <c r="AV83" s="605">
        <f t="shared" si="107"/>
        <v>78.940577376821253</v>
      </c>
      <c r="AW83" s="604">
        <f t="shared" si="121"/>
        <v>8.7711752640912497</v>
      </c>
      <c r="AX83" s="604">
        <f t="shared" si="122"/>
        <v>8.7711752640912497</v>
      </c>
      <c r="AY83" s="604">
        <f t="shared" si="123"/>
        <v>8.7711752640912497</v>
      </c>
      <c r="AZ83" s="605">
        <f t="shared" si="124"/>
        <v>26.313525792273751</v>
      </c>
      <c r="BA83" s="611">
        <f t="shared" si="45"/>
        <v>105.25410316909502</v>
      </c>
    </row>
    <row r="84" spans="1:53" ht="18.75" hidden="1" x14ac:dyDescent="0.3">
      <c r="A84" s="40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9"/>
      <c r="U84" s="399"/>
      <c r="V84" s="603">
        <f>SUM(V74*1.28%)</f>
        <v>92.913966935476964</v>
      </c>
      <c r="W84" s="609"/>
      <c r="X84" s="603">
        <f>SUM(V84*стоки!AK52/стоки!AI52)</f>
        <v>92.913966935476964</v>
      </c>
      <c r="Y84" s="613">
        <f t="shared" si="93"/>
        <v>0</v>
      </c>
      <c r="Z84" s="381">
        <f t="shared" si="125"/>
        <v>7.7428305779564139</v>
      </c>
      <c r="AA84" s="877"/>
      <c r="AB84" s="381">
        <f t="shared" si="110"/>
        <v>7.7428305779564139</v>
      </c>
      <c r="AC84" s="381">
        <f t="shared" si="111"/>
        <v>7.7428305779564139</v>
      </c>
      <c r="AD84" s="605">
        <f t="shared" si="112"/>
        <v>23.228491733869241</v>
      </c>
      <c r="AE84" s="884"/>
      <c r="AF84" s="884"/>
      <c r="AG84" s="884"/>
      <c r="AH84" s="884"/>
      <c r="AI84" s="2590"/>
      <c r="AJ84" s="2590"/>
      <c r="AK84" s="2590"/>
      <c r="AL84" s="2590"/>
      <c r="AM84" s="604">
        <f t="shared" si="113"/>
        <v>7.7428305779564139</v>
      </c>
      <c r="AN84" s="604">
        <f t="shared" si="114"/>
        <v>7.7428305779564139</v>
      </c>
      <c r="AO84" s="604">
        <f t="shared" si="115"/>
        <v>7.7428305779564139</v>
      </c>
      <c r="AP84" s="605">
        <f t="shared" si="116"/>
        <v>23.228491733869241</v>
      </c>
      <c r="AQ84" s="605">
        <f t="shared" si="38"/>
        <v>46.456983467738482</v>
      </c>
      <c r="AR84" s="604">
        <f t="shared" si="117"/>
        <v>7.7428305779564139</v>
      </c>
      <c r="AS84" s="604">
        <f t="shared" si="118"/>
        <v>7.7428305779564139</v>
      </c>
      <c r="AT84" s="604">
        <f t="shared" si="119"/>
        <v>7.7428305779564139</v>
      </c>
      <c r="AU84" s="605">
        <f t="shared" si="120"/>
        <v>23.228491733869241</v>
      </c>
      <c r="AV84" s="605">
        <f t="shared" si="107"/>
        <v>69.685475201607716</v>
      </c>
      <c r="AW84" s="604">
        <f t="shared" si="121"/>
        <v>7.7428305779564139</v>
      </c>
      <c r="AX84" s="604">
        <f t="shared" si="122"/>
        <v>7.7428305779564139</v>
      </c>
      <c r="AY84" s="604">
        <f t="shared" si="123"/>
        <v>7.7428305779564139</v>
      </c>
      <c r="AZ84" s="605">
        <f t="shared" si="124"/>
        <v>23.228491733869241</v>
      </c>
      <c r="BA84" s="611">
        <f t="shared" si="45"/>
        <v>92.91396693547695</v>
      </c>
    </row>
    <row r="85" spans="1:53" ht="18.75" hidden="1" x14ac:dyDescent="0.3">
      <c r="A85" s="404" t="s">
        <v>604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9"/>
      <c r="U85" s="399"/>
      <c r="V85" s="603">
        <f>SUM(V74*0.97%)</f>
        <v>70.411365568291131</v>
      </c>
      <c r="W85" s="609"/>
      <c r="X85" s="603">
        <f>SUM(V85*стоки!AK52/стоки!AI52)</f>
        <v>70.411365568291131</v>
      </c>
      <c r="Y85" s="613">
        <f t="shared" si="93"/>
        <v>0</v>
      </c>
      <c r="Z85" s="381">
        <f t="shared" si="125"/>
        <v>5.8676137973575946</v>
      </c>
      <c r="AA85" s="877"/>
      <c r="AB85" s="381">
        <f t="shared" si="110"/>
        <v>5.8676137973575946</v>
      </c>
      <c r="AC85" s="381">
        <f t="shared" si="111"/>
        <v>5.8676137973575946</v>
      </c>
      <c r="AD85" s="605">
        <f t="shared" si="112"/>
        <v>17.602841392072783</v>
      </c>
      <c r="AE85" s="884"/>
      <c r="AF85" s="884"/>
      <c r="AG85" s="884"/>
      <c r="AH85" s="884"/>
      <c r="AI85" s="2590"/>
      <c r="AJ85" s="2590"/>
      <c r="AK85" s="2590"/>
      <c r="AL85" s="2590"/>
      <c r="AM85" s="604">
        <f t="shared" si="113"/>
        <v>5.8676137973575946</v>
      </c>
      <c r="AN85" s="604">
        <f t="shared" si="114"/>
        <v>5.8676137973575946</v>
      </c>
      <c r="AO85" s="604">
        <f t="shared" si="115"/>
        <v>5.8676137973575946</v>
      </c>
      <c r="AP85" s="605">
        <f t="shared" si="116"/>
        <v>17.602841392072783</v>
      </c>
      <c r="AQ85" s="605">
        <f t="shared" si="38"/>
        <v>35.205682784145566</v>
      </c>
      <c r="AR85" s="604">
        <f t="shared" si="117"/>
        <v>5.8676137973575946</v>
      </c>
      <c r="AS85" s="604">
        <f t="shared" si="118"/>
        <v>5.8676137973575946</v>
      </c>
      <c r="AT85" s="604">
        <f t="shared" si="119"/>
        <v>5.8676137973575946</v>
      </c>
      <c r="AU85" s="605">
        <f t="shared" si="120"/>
        <v>17.602841392072783</v>
      </c>
      <c r="AV85" s="605">
        <f t="shared" si="107"/>
        <v>52.808524176218349</v>
      </c>
      <c r="AW85" s="604">
        <f t="shared" si="121"/>
        <v>5.8676137973575946</v>
      </c>
      <c r="AX85" s="604">
        <f t="shared" si="122"/>
        <v>5.8676137973575946</v>
      </c>
      <c r="AY85" s="604">
        <f t="shared" si="123"/>
        <v>5.8676137973575946</v>
      </c>
      <c r="AZ85" s="605">
        <f t="shared" si="124"/>
        <v>17.602841392072783</v>
      </c>
      <c r="BA85" s="611">
        <f t="shared" si="45"/>
        <v>70.411365568291117</v>
      </c>
    </row>
    <row r="86" spans="1:53" ht="18.75" hidden="1" x14ac:dyDescent="0.3">
      <c r="A86" s="404" t="s">
        <v>607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9"/>
      <c r="U86" s="399"/>
      <c r="V86" s="603">
        <f>SUM(V74*0.39%)</f>
        <v>28.309724300653141</v>
      </c>
      <c r="W86" s="609"/>
      <c r="X86" s="603">
        <f>SUM(V86*стоки!AK52/стоки!AI52)</f>
        <v>28.309724300653141</v>
      </c>
      <c r="Y86" s="613">
        <f t="shared" si="93"/>
        <v>0</v>
      </c>
      <c r="Z86" s="381">
        <f t="shared" si="125"/>
        <v>2.3591436917210951</v>
      </c>
      <c r="AA86" s="877"/>
      <c r="AB86" s="381">
        <f t="shared" si="110"/>
        <v>2.3591436917210951</v>
      </c>
      <c r="AC86" s="381">
        <f t="shared" si="111"/>
        <v>2.3591436917210951</v>
      </c>
      <c r="AD86" s="605">
        <f t="shared" si="112"/>
        <v>7.0774310751632852</v>
      </c>
      <c r="AE86" s="884"/>
      <c r="AF86" s="884"/>
      <c r="AG86" s="884"/>
      <c r="AH86" s="884"/>
      <c r="AI86" s="2590"/>
      <c r="AJ86" s="2590"/>
      <c r="AK86" s="2590"/>
      <c r="AL86" s="2590"/>
      <c r="AM86" s="604">
        <f t="shared" si="113"/>
        <v>2.3591436917210951</v>
      </c>
      <c r="AN86" s="604">
        <f t="shared" si="114"/>
        <v>2.3591436917210951</v>
      </c>
      <c r="AO86" s="604">
        <f t="shared" si="115"/>
        <v>2.3591436917210951</v>
      </c>
      <c r="AP86" s="605">
        <f t="shared" si="116"/>
        <v>7.0774310751632852</v>
      </c>
      <c r="AQ86" s="605">
        <f t="shared" si="38"/>
        <v>14.15486215032657</v>
      </c>
      <c r="AR86" s="604">
        <f t="shared" si="117"/>
        <v>2.3591436917210951</v>
      </c>
      <c r="AS86" s="604">
        <f t="shared" si="118"/>
        <v>2.3591436917210951</v>
      </c>
      <c r="AT86" s="604">
        <f t="shared" si="119"/>
        <v>2.3591436917210951</v>
      </c>
      <c r="AU86" s="605">
        <f t="shared" si="120"/>
        <v>7.0774310751632852</v>
      </c>
      <c r="AV86" s="605">
        <f t="shared" si="107"/>
        <v>21.232293225489855</v>
      </c>
      <c r="AW86" s="604">
        <f t="shared" si="121"/>
        <v>2.3591436917210951</v>
      </c>
      <c r="AX86" s="604">
        <f t="shared" si="122"/>
        <v>2.3591436917210951</v>
      </c>
      <c r="AY86" s="604">
        <f t="shared" si="123"/>
        <v>2.3591436917210951</v>
      </c>
      <c r="AZ86" s="605">
        <f t="shared" si="124"/>
        <v>7.0774310751632852</v>
      </c>
      <c r="BA86" s="611">
        <f t="shared" si="45"/>
        <v>28.309724300653134</v>
      </c>
    </row>
    <row r="87" spans="1:53" ht="18.75" hidden="1" x14ac:dyDescent="0.3">
      <c r="A87" s="404" t="s">
        <v>611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9"/>
      <c r="U87" s="399"/>
      <c r="V87" s="610">
        <v>0</v>
      </c>
      <c r="W87" s="615"/>
      <c r="X87" s="603">
        <f>SUM(V87*стоки!AK52/стоки!AI52)</f>
        <v>0</v>
      </c>
      <c r="Y87" s="613">
        <f t="shared" si="93"/>
        <v>0</v>
      </c>
      <c r="Z87" s="382">
        <f t="shared" ref="Z87:Z88" si="163">SUM(V87/12)</f>
        <v>0</v>
      </c>
      <c r="AA87" s="878"/>
      <c r="AB87" s="382">
        <f t="shared" si="110"/>
        <v>0</v>
      </c>
      <c r="AC87" s="382">
        <f t="shared" si="111"/>
        <v>0</v>
      </c>
      <c r="AD87" s="616">
        <f t="shared" si="112"/>
        <v>0</v>
      </c>
      <c r="AE87" s="885"/>
      <c r="AF87" s="885"/>
      <c r="AG87" s="885"/>
      <c r="AH87" s="885"/>
      <c r="AI87" s="2591"/>
      <c r="AJ87" s="2591"/>
      <c r="AK87" s="2591"/>
      <c r="AL87" s="2591"/>
      <c r="AM87" s="617">
        <f t="shared" si="113"/>
        <v>0</v>
      </c>
      <c r="AN87" s="617">
        <f t="shared" si="114"/>
        <v>0</v>
      </c>
      <c r="AO87" s="617">
        <f t="shared" si="115"/>
        <v>0</v>
      </c>
      <c r="AP87" s="616">
        <f t="shared" si="116"/>
        <v>0</v>
      </c>
      <c r="AQ87" s="616">
        <f t="shared" si="38"/>
        <v>0</v>
      </c>
      <c r="AR87" s="617">
        <f t="shared" si="117"/>
        <v>0</v>
      </c>
      <c r="AS87" s="617">
        <f t="shared" si="118"/>
        <v>0</v>
      </c>
      <c r="AT87" s="617">
        <f t="shared" si="119"/>
        <v>0</v>
      </c>
      <c r="AU87" s="616">
        <f t="shared" si="120"/>
        <v>0</v>
      </c>
      <c r="AV87" s="616">
        <f t="shared" si="107"/>
        <v>0</v>
      </c>
      <c r="AW87" s="617">
        <f t="shared" si="121"/>
        <v>0</v>
      </c>
      <c r="AX87" s="617">
        <f t="shared" si="122"/>
        <v>0</v>
      </c>
      <c r="AY87" s="617">
        <f t="shared" si="123"/>
        <v>0</v>
      </c>
      <c r="AZ87" s="616">
        <f t="shared" si="124"/>
        <v>0</v>
      </c>
      <c r="BA87" s="618">
        <f t="shared" si="45"/>
        <v>0</v>
      </c>
    </row>
    <row r="88" spans="1:53" ht="18.75" hidden="1" x14ac:dyDescent="0.3">
      <c r="A88" s="404" t="s">
        <v>608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9"/>
      <c r="U88" s="399"/>
      <c r="V88" s="610">
        <v>0</v>
      </c>
      <c r="W88" s="615"/>
      <c r="X88" s="603">
        <f>SUM(V88*стоки!AK52/стоки!AI52)</f>
        <v>0</v>
      </c>
      <c r="Y88" s="613">
        <f t="shared" si="93"/>
        <v>0</v>
      </c>
      <c r="Z88" s="382">
        <f t="shared" si="163"/>
        <v>0</v>
      </c>
      <c r="AA88" s="878"/>
      <c r="AB88" s="382">
        <f t="shared" si="110"/>
        <v>0</v>
      </c>
      <c r="AC88" s="382">
        <f t="shared" si="111"/>
        <v>0</v>
      </c>
      <c r="AD88" s="616">
        <f t="shared" si="112"/>
        <v>0</v>
      </c>
      <c r="AE88" s="885"/>
      <c r="AF88" s="885"/>
      <c r="AG88" s="885"/>
      <c r="AH88" s="885"/>
      <c r="AI88" s="2591"/>
      <c r="AJ88" s="2591"/>
      <c r="AK88" s="2591"/>
      <c r="AL88" s="2591"/>
      <c r="AM88" s="617">
        <f t="shared" si="113"/>
        <v>0</v>
      </c>
      <c r="AN88" s="617">
        <f t="shared" si="114"/>
        <v>0</v>
      </c>
      <c r="AO88" s="617">
        <f t="shared" si="115"/>
        <v>0</v>
      </c>
      <c r="AP88" s="616">
        <f t="shared" si="116"/>
        <v>0</v>
      </c>
      <c r="AQ88" s="616">
        <f t="shared" si="38"/>
        <v>0</v>
      </c>
      <c r="AR88" s="617">
        <f t="shared" si="117"/>
        <v>0</v>
      </c>
      <c r="AS88" s="617">
        <f t="shared" si="118"/>
        <v>0</v>
      </c>
      <c r="AT88" s="617">
        <f t="shared" si="119"/>
        <v>0</v>
      </c>
      <c r="AU88" s="616">
        <f t="shared" si="120"/>
        <v>0</v>
      </c>
      <c r="AV88" s="616">
        <f t="shared" si="107"/>
        <v>0</v>
      </c>
      <c r="AW88" s="617">
        <f t="shared" si="121"/>
        <v>0</v>
      </c>
      <c r="AX88" s="617">
        <f t="shared" si="122"/>
        <v>0</v>
      </c>
      <c r="AY88" s="617">
        <f t="shared" si="123"/>
        <v>0</v>
      </c>
      <c r="AZ88" s="616">
        <f t="shared" si="124"/>
        <v>0</v>
      </c>
      <c r="BA88" s="618">
        <f t="shared" si="45"/>
        <v>0</v>
      </c>
    </row>
    <row r="89" spans="1:53" ht="18.75" hidden="1" x14ac:dyDescent="0.3">
      <c r="A89" s="40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9"/>
      <c r="U89" s="399"/>
      <c r="V89" s="603">
        <f>SUM(V74*0.29%)</f>
        <v>21.050820633818997</v>
      </c>
      <c r="W89" s="609"/>
      <c r="X89" s="603">
        <f>SUM(V89*стоки!AK52/стоки!AI52)</f>
        <v>21.050820633818994</v>
      </c>
      <c r="Y89" s="613">
        <f t="shared" si="93"/>
        <v>3.5527136788005009E-15</v>
      </c>
      <c r="Z89" s="381">
        <f t="shared" ref="Z89" si="164">SUM(V89/12)</f>
        <v>1.7542350528182498</v>
      </c>
      <c r="AA89" s="877"/>
      <c r="AB89" s="381">
        <f t="shared" si="110"/>
        <v>1.7542350528182498</v>
      </c>
      <c r="AC89" s="381">
        <f t="shared" si="111"/>
        <v>1.7542350528182498</v>
      </c>
      <c r="AD89" s="605">
        <f t="shared" si="112"/>
        <v>5.2627051584547493</v>
      </c>
      <c r="AE89" s="884"/>
      <c r="AF89" s="884"/>
      <c r="AG89" s="884"/>
      <c r="AH89" s="884"/>
      <c r="AI89" s="2590"/>
      <c r="AJ89" s="2590"/>
      <c r="AK89" s="2590"/>
      <c r="AL89" s="2590"/>
      <c r="AM89" s="604">
        <f t="shared" si="113"/>
        <v>1.7542350528182498</v>
      </c>
      <c r="AN89" s="604">
        <f t="shared" si="114"/>
        <v>1.7542350528182498</v>
      </c>
      <c r="AO89" s="604">
        <f t="shared" si="115"/>
        <v>1.7542350528182498</v>
      </c>
      <c r="AP89" s="605">
        <f t="shared" si="116"/>
        <v>5.2627051584547493</v>
      </c>
      <c r="AQ89" s="605">
        <f t="shared" si="38"/>
        <v>10.525410316909499</v>
      </c>
      <c r="AR89" s="604">
        <f t="shared" si="117"/>
        <v>1.7542350528182498</v>
      </c>
      <c r="AS89" s="604">
        <f t="shared" si="118"/>
        <v>1.7542350528182498</v>
      </c>
      <c r="AT89" s="604">
        <f t="shared" si="119"/>
        <v>1.7542350528182498</v>
      </c>
      <c r="AU89" s="605">
        <f t="shared" si="120"/>
        <v>5.2627051584547493</v>
      </c>
      <c r="AV89" s="605">
        <f t="shared" si="51"/>
        <v>15.788115475364247</v>
      </c>
      <c r="AW89" s="604">
        <f t="shared" si="121"/>
        <v>1.7542350528182498</v>
      </c>
      <c r="AX89" s="604">
        <f t="shared" si="122"/>
        <v>1.7542350528182498</v>
      </c>
      <c r="AY89" s="604">
        <f t="shared" si="123"/>
        <v>1.7542350528182498</v>
      </c>
      <c r="AZ89" s="605">
        <f t="shared" si="124"/>
        <v>5.2627051584547493</v>
      </c>
      <c r="BA89" s="611">
        <f t="shared" si="45"/>
        <v>21.05082063381899</v>
      </c>
    </row>
    <row r="90" spans="1:53" ht="18.75" hidden="1" x14ac:dyDescent="0.3">
      <c r="A90" s="404" t="s">
        <v>602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9"/>
      <c r="U90" s="399"/>
      <c r="V90" s="603">
        <f>SUM(V91:V94)</f>
        <v>556.03202087949489</v>
      </c>
      <c r="W90" s="609"/>
      <c r="X90" s="603">
        <f>SUM(X91:X94)</f>
        <v>556.03202087949489</v>
      </c>
      <c r="Y90" s="603">
        <f>SUM(Y91:Y94)</f>
        <v>0</v>
      </c>
      <c r="Z90" s="380">
        <f t="shared" ref="Z90:AC90" si="165">SUM(Z91:Z94)</f>
        <v>80.25709855849864</v>
      </c>
      <c r="AA90" s="879"/>
      <c r="AB90" s="380">
        <f t="shared" si="165"/>
        <v>70.701197480449366</v>
      </c>
      <c r="AC90" s="380">
        <f t="shared" si="165"/>
        <v>66.562771462315453</v>
      </c>
      <c r="AD90" s="605">
        <f t="shared" si="48"/>
        <v>217.52106750126345</v>
      </c>
      <c r="AE90" s="884"/>
      <c r="AF90" s="884"/>
      <c r="AG90" s="884"/>
      <c r="AH90" s="884"/>
      <c r="AI90" s="2590"/>
      <c r="AJ90" s="2590"/>
      <c r="AK90" s="2590"/>
      <c r="AL90" s="2590"/>
      <c r="AM90" s="380">
        <f t="shared" ref="AM90:AO90" si="166">SUM(AM91:AM94)</f>
        <v>52.125412986369064</v>
      </c>
      <c r="AN90" s="380">
        <f t="shared" si="166"/>
        <v>22.906905396078344</v>
      </c>
      <c r="AO90" s="380">
        <f t="shared" si="166"/>
        <v>13.912898694765433</v>
      </c>
      <c r="AP90" s="605">
        <f t="shared" si="49"/>
        <v>88.945217077212845</v>
      </c>
      <c r="AQ90" s="605">
        <f t="shared" si="38"/>
        <v>306.46628457847629</v>
      </c>
      <c r="AR90" s="380">
        <f t="shared" ref="AR90:AT90" si="167">SUM(AR91:AR94)</f>
        <v>13.912898694765433</v>
      </c>
      <c r="AS90" s="380">
        <f t="shared" si="167"/>
        <v>13.912898694765433</v>
      </c>
      <c r="AT90" s="380">
        <f t="shared" si="167"/>
        <v>29.919014517130307</v>
      </c>
      <c r="AU90" s="605">
        <f t="shared" si="50"/>
        <v>57.74481190666117</v>
      </c>
      <c r="AV90" s="605">
        <f t="shared" si="51"/>
        <v>364.21109648513743</v>
      </c>
      <c r="AW90" s="380">
        <f t="shared" ref="AW90:AY90" si="168">SUM(AW91:AW94)</f>
        <v>53.257999822845946</v>
      </c>
      <c r="AX90" s="380">
        <f t="shared" si="168"/>
        <v>63.387365865784112</v>
      </c>
      <c r="AY90" s="380">
        <f t="shared" si="168"/>
        <v>75.175558705727454</v>
      </c>
      <c r="AZ90" s="605">
        <f t="shared" si="52"/>
        <v>191.82092439435752</v>
      </c>
      <c r="BA90" s="611">
        <f t="shared" si="45"/>
        <v>556.03202087949501</v>
      </c>
    </row>
    <row r="91" spans="1:53" ht="18.75" hidden="1" x14ac:dyDescent="0.3">
      <c r="A91" s="395" t="s">
        <v>647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9"/>
      <c r="U91" s="399"/>
      <c r="V91" s="603">
        <f>SUM(V74*5.36%)</f>
        <v>389.07723654230978</v>
      </c>
      <c r="W91" s="609"/>
      <c r="X91" s="603">
        <f>SUM(V91*стоки!AK52/стоки!AI52)</f>
        <v>389.07723654230978</v>
      </c>
      <c r="Y91" s="613">
        <f t="shared" si="93"/>
        <v>0</v>
      </c>
      <c r="Z91" s="381">
        <f>SUM(V91/2094.54)/(1+(101%*100-100)/2/100)*358.94</f>
        <v>66.344199863733209</v>
      </c>
      <c r="AA91" s="877"/>
      <c r="AB91" s="381">
        <f>SUM(V91/2094.54)/(1+(101%*100-100)/2/100)*307.24</f>
        <v>56.788298785683942</v>
      </c>
      <c r="AC91" s="381">
        <f>SUM(V91/2094.54)/(1+(101%*100-100)/2/100)*284.85</f>
        <v>52.649872767550029</v>
      </c>
      <c r="AD91" s="605">
        <f t="shared" si="48"/>
        <v>175.78237141696718</v>
      </c>
      <c r="AE91" s="884"/>
      <c r="AF91" s="884"/>
      <c r="AG91" s="884"/>
      <c r="AH91" s="884"/>
      <c r="AI91" s="2590"/>
      <c r="AJ91" s="2590"/>
      <c r="AK91" s="2590"/>
      <c r="AL91" s="2590"/>
      <c r="AM91" s="381">
        <f>SUM(V91/2094.54)/(1+(101%*100-100)/2/100)*206.74</f>
        <v>38.212514291603625</v>
      </c>
      <c r="AN91" s="381">
        <f>SUM(V91/2094.54)/(1+(101%*100-100)/2/100)*48.66</f>
        <v>8.9940067013129159</v>
      </c>
      <c r="AO91" s="381">
        <v>0</v>
      </c>
      <c r="AP91" s="605">
        <f t="shared" si="49"/>
        <v>47.206520992916538</v>
      </c>
      <c r="AQ91" s="605">
        <f t="shared" si="38"/>
        <v>222.9888924098837</v>
      </c>
      <c r="AR91" s="381">
        <v>0</v>
      </c>
      <c r="AS91" s="381">
        <v>0</v>
      </c>
      <c r="AT91" s="381">
        <f>SUM(V91/2094.54)/(1+(101%*100-100)/2/100)*101%*85.74</f>
        <v>16.00611582236488</v>
      </c>
      <c r="AU91" s="605">
        <f t="shared" si="50"/>
        <v>16.00611582236488</v>
      </c>
      <c r="AV91" s="605">
        <f t="shared" si="51"/>
        <v>238.99500823224858</v>
      </c>
      <c r="AW91" s="381">
        <f>SUM(V91/2094.54)/(1+(101%*100-100)/2/100)*101%*210.76</f>
        <v>39.345101128080508</v>
      </c>
      <c r="AX91" s="381">
        <f>SUM(V91/2094.54)/(1+(101%*100-100)/2/100)*101%*265.02</f>
        <v>49.474467171018674</v>
      </c>
      <c r="AY91" s="381">
        <f>SUM(V91-AV91-AW91-AX91)</f>
        <v>61.262660010962023</v>
      </c>
      <c r="AZ91" s="605">
        <f t="shared" si="52"/>
        <v>150.08222831006123</v>
      </c>
      <c r="BA91" s="611">
        <f t="shared" si="45"/>
        <v>389.07723654230978</v>
      </c>
    </row>
    <row r="92" spans="1:53" ht="18.75" hidden="1" x14ac:dyDescent="0.3">
      <c r="A92" s="395" t="s">
        <v>557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9"/>
      <c r="U92" s="399"/>
      <c r="V92" s="603">
        <f>SUM(V74*1.89%)</f>
        <v>137.19327930316521</v>
      </c>
      <c r="W92" s="609"/>
      <c r="X92" s="603">
        <f>SUM(V92*стоки!AK52/стоки!AI52)</f>
        <v>137.19327930316521</v>
      </c>
      <c r="Y92" s="613">
        <f t="shared" si="93"/>
        <v>0</v>
      </c>
      <c r="Z92" s="381">
        <f t="shared" ref="Z92:Z94" si="169">SUM(V92/12)</f>
        <v>11.432773275263768</v>
      </c>
      <c r="AA92" s="877"/>
      <c r="AB92" s="381">
        <f t="shared" ref="AB92:AB94" si="170">SUM(Z92)</f>
        <v>11.432773275263768</v>
      </c>
      <c r="AC92" s="381">
        <f t="shared" ref="AC92:AC94" si="171">SUM(Z92)</f>
        <v>11.432773275263768</v>
      </c>
      <c r="AD92" s="605">
        <f t="shared" ref="AD92:AD94" si="172">SUM(Z92+AB92+AC92)</f>
        <v>34.298319825791303</v>
      </c>
      <c r="AE92" s="884"/>
      <c r="AF92" s="884"/>
      <c r="AG92" s="884"/>
      <c r="AH92" s="884"/>
      <c r="AI92" s="2590"/>
      <c r="AJ92" s="2590"/>
      <c r="AK92" s="2590"/>
      <c r="AL92" s="2590"/>
      <c r="AM92" s="604">
        <f t="shared" ref="AM92:AM94" si="173">SUM(Z92)</f>
        <v>11.432773275263768</v>
      </c>
      <c r="AN92" s="604">
        <f t="shared" ref="AN92:AN94" si="174">SUM(Z92)</f>
        <v>11.432773275263768</v>
      </c>
      <c r="AO92" s="604">
        <f t="shared" ref="AO92:AO94" si="175">SUM(Z92)</f>
        <v>11.432773275263768</v>
      </c>
      <c r="AP92" s="605">
        <f t="shared" ref="AP92:AP94" si="176">SUM(AM92+AN92+AO92)</f>
        <v>34.298319825791303</v>
      </c>
      <c r="AQ92" s="605">
        <f t="shared" si="38"/>
        <v>68.596639651582606</v>
      </c>
      <c r="AR92" s="604">
        <f t="shared" ref="AR92:AR94" si="177">SUM(Z92)</f>
        <v>11.432773275263768</v>
      </c>
      <c r="AS92" s="604">
        <f t="shared" ref="AS92:AS94" si="178">SUM(Z92)</f>
        <v>11.432773275263768</v>
      </c>
      <c r="AT92" s="604">
        <f t="shared" ref="AT92:AT94" si="179">SUM(Z92)</f>
        <v>11.432773275263768</v>
      </c>
      <c r="AU92" s="605">
        <f t="shared" ref="AU92:AU94" si="180">SUM(AR92+AS92+AT92)</f>
        <v>34.298319825791303</v>
      </c>
      <c r="AV92" s="605">
        <f t="shared" si="51"/>
        <v>102.8949594773739</v>
      </c>
      <c r="AW92" s="604">
        <f t="shared" ref="AW92:AW94" si="181">SUM(Z92)</f>
        <v>11.432773275263768</v>
      </c>
      <c r="AX92" s="604">
        <f t="shared" ref="AX92:AX94" si="182">SUM(Z92)</f>
        <v>11.432773275263768</v>
      </c>
      <c r="AY92" s="604">
        <f t="shared" ref="AY92:AY94" si="183">SUM(Z92)</f>
        <v>11.432773275263768</v>
      </c>
      <c r="AZ92" s="605">
        <f t="shared" ref="AZ92:AZ94" si="184">SUM(AW92+AX92+AY92)</f>
        <v>34.298319825791303</v>
      </c>
      <c r="BA92" s="611">
        <f t="shared" si="45"/>
        <v>137.19327930316521</v>
      </c>
    </row>
    <row r="93" spans="1:53" ht="18.75" hidden="1" x14ac:dyDescent="0.3">
      <c r="A93" s="395" t="s">
        <v>556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9"/>
      <c r="U93" s="399"/>
      <c r="V93" s="603">
        <f>SUM(V74*0.01%)</f>
        <v>0.72589036668341378</v>
      </c>
      <c r="W93" s="609"/>
      <c r="X93" s="603">
        <f>SUM(V93*стоки!AK52/стоки!AI52)</f>
        <v>0.72589036668341378</v>
      </c>
      <c r="Y93" s="613">
        <f t="shared" si="93"/>
        <v>0</v>
      </c>
      <c r="Z93" s="381">
        <f t="shared" si="169"/>
        <v>6.0490863890284484E-2</v>
      </c>
      <c r="AA93" s="877"/>
      <c r="AB93" s="381">
        <f t="shared" si="170"/>
        <v>6.0490863890284484E-2</v>
      </c>
      <c r="AC93" s="381">
        <f t="shared" si="171"/>
        <v>6.0490863890284484E-2</v>
      </c>
      <c r="AD93" s="605">
        <f t="shared" si="172"/>
        <v>0.18147259167085344</v>
      </c>
      <c r="AE93" s="884"/>
      <c r="AF93" s="884"/>
      <c r="AG93" s="884"/>
      <c r="AH93" s="884"/>
      <c r="AI93" s="2590"/>
      <c r="AJ93" s="2590"/>
      <c r="AK93" s="2590"/>
      <c r="AL93" s="2590"/>
      <c r="AM93" s="604">
        <f t="shared" si="173"/>
        <v>6.0490863890284484E-2</v>
      </c>
      <c r="AN93" s="604">
        <f t="shared" si="174"/>
        <v>6.0490863890284484E-2</v>
      </c>
      <c r="AO93" s="604">
        <f t="shared" si="175"/>
        <v>6.0490863890284484E-2</v>
      </c>
      <c r="AP93" s="605">
        <f t="shared" si="176"/>
        <v>0.18147259167085344</v>
      </c>
      <c r="AQ93" s="605">
        <f t="shared" si="38"/>
        <v>0.36294518334170689</v>
      </c>
      <c r="AR93" s="604">
        <f t="shared" si="177"/>
        <v>6.0490863890284484E-2</v>
      </c>
      <c r="AS93" s="604">
        <f t="shared" si="178"/>
        <v>6.0490863890284484E-2</v>
      </c>
      <c r="AT93" s="604">
        <f t="shared" si="179"/>
        <v>6.0490863890284484E-2</v>
      </c>
      <c r="AU93" s="605">
        <f t="shared" si="180"/>
        <v>0.18147259167085344</v>
      </c>
      <c r="AV93" s="605">
        <f t="shared" si="51"/>
        <v>0.54441777501256028</v>
      </c>
      <c r="AW93" s="604">
        <f t="shared" si="181"/>
        <v>6.0490863890284484E-2</v>
      </c>
      <c r="AX93" s="604">
        <f t="shared" si="182"/>
        <v>6.0490863890284484E-2</v>
      </c>
      <c r="AY93" s="604">
        <f t="shared" si="183"/>
        <v>6.0490863890284484E-2</v>
      </c>
      <c r="AZ93" s="605">
        <f t="shared" si="184"/>
        <v>0.18147259167085344</v>
      </c>
      <c r="BA93" s="611">
        <f t="shared" si="45"/>
        <v>0.72589036668341367</v>
      </c>
    </row>
    <row r="94" spans="1:53" ht="18.75" hidden="1" x14ac:dyDescent="0.3">
      <c r="A94" s="395" t="s">
        <v>558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9"/>
      <c r="U94" s="399"/>
      <c r="V94" s="603">
        <f>SUM(V74*0.4%)</f>
        <v>29.035614667336553</v>
      </c>
      <c r="W94" s="609"/>
      <c r="X94" s="603">
        <f>SUM(V94*стоки!AK52/стоки!AI52)</f>
        <v>29.035614667336553</v>
      </c>
      <c r="Y94" s="613">
        <f t="shared" si="93"/>
        <v>0</v>
      </c>
      <c r="Z94" s="381">
        <f t="shared" si="169"/>
        <v>2.4196345556113794</v>
      </c>
      <c r="AA94" s="877"/>
      <c r="AB94" s="381">
        <f t="shared" si="170"/>
        <v>2.4196345556113794</v>
      </c>
      <c r="AC94" s="381">
        <f t="shared" si="171"/>
        <v>2.4196345556113794</v>
      </c>
      <c r="AD94" s="605">
        <f t="shared" si="172"/>
        <v>7.2589036668341382</v>
      </c>
      <c r="AE94" s="884"/>
      <c r="AF94" s="884"/>
      <c r="AG94" s="884"/>
      <c r="AH94" s="884"/>
      <c r="AI94" s="2590"/>
      <c r="AJ94" s="2590"/>
      <c r="AK94" s="2590"/>
      <c r="AL94" s="2590"/>
      <c r="AM94" s="604">
        <f t="shared" si="173"/>
        <v>2.4196345556113794</v>
      </c>
      <c r="AN94" s="604">
        <f t="shared" si="174"/>
        <v>2.4196345556113794</v>
      </c>
      <c r="AO94" s="604">
        <f t="shared" si="175"/>
        <v>2.4196345556113794</v>
      </c>
      <c r="AP94" s="605">
        <f t="shared" si="176"/>
        <v>7.2589036668341382</v>
      </c>
      <c r="AQ94" s="605">
        <f t="shared" si="38"/>
        <v>14.517807333668276</v>
      </c>
      <c r="AR94" s="604">
        <f t="shared" si="177"/>
        <v>2.4196345556113794</v>
      </c>
      <c r="AS94" s="604">
        <f t="shared" si="178"/>
        <v>2.4196345556113794</v>
      </c>
      <c r="AT94" s="604">
        <f t="shared" si="179"/>
        <v>2.4196345556113794</v>
      </c>
      <c r="AU94" s="605">
        <f t="shared" si="180"/>
        <v>7.2589036668341382</v>
      </c>
      <c r="AV94" s="605">
        <f t="shared" si="51"/>
        <v>21.776711000502416</v>
      </c>
      <c r="AW94" s="604">
        <f t="shared" si="181"/>
        <v>2.4196345556113794</v>
      </c>
      <c r="AX94" s="604">
        <f t="shared" si="182"/>
        <v>2.4196345556113794</v>
      </c>
      <c r="AY94" s="604">
        <f t="shared" si="183"/>
        <v>2.4196345556113794</v>
      </c>
      <c r="AZ94" s="605">
        <f t="shared" si="184"/>
        <v>7.2589036668341382</v>
      </c>
      <c r="BA94" s="611">
        <f t="shared" si="45"/>
        <v>29.03561466733656</v>
      </c>
    </row>
    <row r="95" spans="1:53" ht="18.75" hidden="1" x14ac:dyDescent="0.3">
      <c r="A95" s="404" t="s">
        <v>605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9"/>
      <c r="U95" s="399"/>
      <c r="V95" s="603">
        <f>SUM(V96:V99)</f>
        <v>474.0064094442692</v>
      </c>
      <c r="W95" s="609"/>
      <c r="X95" s="603">
        <f>SUM(V95*стоки!AK52/стоки!AI52)</f>
        <v>474.0064094442692</v>
      </c>
      <c r="Y95" s="613">
        <f t="shared" ref="Y95" si="185">SUM(V95-X95)</f>
        <v>0</v>
      </c>
      <c r="Z95" s="380">
        <f t="shared" ref="Z95:AC95" si="186">SUM(Z96:Z99)</f>
        <v>37.814314994895753</v>
      </c>
      <c r="AA95" s="879"/>
      <c r="AB95" s="380">
        <f t="shared" si="186"/>
        <v>37.814314994895753</v>
      </c>
      <c r="AC95" s="380">
        <f t="shared" si="186"/>
        <v>37.814314994895753</v>
      </c>
      <c r="AD95" s="605">
        <f t="shared" si="48"/>
        <v>113.44294498468726</v>
      </c>
      <c r="AE95" s="884"/>
      <c r="AF95" s="884"/>
      <c r="AG95" s="884"/>
      <c r="AH95" s="884"/>
      <c r="AI95" s="2590"/>
      <c r="AJ95" s="2590"/>
      <c r="AK95" s="2590"/>
      <c r="AL95" s="2590"/>
      <c r="AM95" s="380">
        <f t="shared" ref="AM95:AO95" si="187">SUM(AM96:AM99)</f>
        <v>37.96261439680918</v>
      </c>
      <c r="AN95" s="380">
        <f t="shared" si="187"/>
        <v>40.41779338404249</v>
      </c>
      <c r="AO95" s="380">
        <f t="shared" si="187"/>
        <v>42.559895856125237</v>
      </c>
      <c r="AP95" s="605">
        <f t="shared" si="49"/>
        <v>120.94030363697691</v>
      </c>
      <c r="AQ95" s="605">
        <f t="shared" si="38"/>
        <v>234.38324862166417</v>
      </c>
      <c r="AR95" s="380">
        <f t="shared" ref="AR95:AT95" si="188">SUM(AR96:AR99)</f>
        <v>43.202526597750065</v>
      </c>
      <c r="AS95" s="380">
        <f t="shared" si="188"/>
        <v>42.559895856125237</v>
      </c>
      <c r="AT95" s="380">
        <f t="shared" si="188"/>
        <v>40.41779338404249</v>
      </c>
      <c r="AU95" s="605">
        <f t="shared" si="50"/>
        <v>126.18021583791779</v>
      </c>
      <c r="AV95" s="605">
        <f t="shared" si="51"/>
        <v>360.56346445958195</v>
      </c>
      <c r="AW95" s="380">
        <f t="shared" ref="AW95:AY95" si="189">SUM(AW96:AW99)</f>
        <v>37.814314994895753</v>
      </c>
      <c r="AX95" s="380">
        <f t="shared" si="189"/>
        <v>37.814314994895753</v>
      </c>
      <c r="AY95" s="380">
        <f t="shared" si="189"/>
        <v>37.814314994895753</v>
      </c>
      <c r="AZ95" s="605">
        <f t="shared" si="52"/>
        <v>113.44294498468726</v>
      </c>
      <c r="BA95" s="611">
        <f t="shared" si="45"/>
        <v>474.00640944426931</v>
      </c>
    </row>
    <row r="96" spans="1:53" ht="18.75" hidden="1" x14ac:dyDescent="0.3">
      <c r="A96" s="395" t="s">
        <v>543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9"/>
      <c r="U96" s="399"/>
      <c r="V96" s="603">
        <f>SUM(V74*2.27%)</f>
        <v>164.77711323713493</v>
      </c>
      <c r="W96" s="609"/>
      <c r="X96" s="603">
        <f>SUM(V96*стоки!AK52/стоки!AI52)</f>
        <v>164.77711323713493</v>
      </c>
      <c r="Y96" s="613">
        <f t="shared" si="93"/>
        <v>0</v>
      </c>
      <c r="Z96" s="381">
        <f>SUM(V96*7.31%)</f>
        <v>12.045206977634562</v>
      </c>
      <c r="AA96" s="877"/>
      <c r="AB96" s="381">
        <f>SUM(V96*7.31%)</f>
        <v>12.045206977634562</v>
      </c>
      <c r="AC96" s="381">
        <f>SUM(V96*7.31%)</f>
        <v>12.045206977634562</v>
      </c>
      <c r="AD96" s="605">
        <f t="shared" ref="AD96:AD99" si="190">SUM(Z96+AB96+AC96)</f>
        <v>36.135620932903684</v>
      </c>
      <c r="AE96" s="884"/>
      <c r="AF96" s="884"/>
      <c r="AG96" s="884"/>
      <c r="AH96" s="884"/>
      <c r="AI96" s="2590"/>
      <c r="AJ96" s="2590"/>
      <c r="AK96" s="2590"/>
      <c r="AL96" s="2590"/>
      <c r="AM96" s="381">
        <f>SUM(V96*7.4%)</f>
        <v>12.193506379547987</v>
      </c>
      <c r="AN96" s="381">
        <f>SUM(V96*8.89%)</f>
        <v>14.648685366781296</v>
      </c>
      <c r="AO96" s="381">
        <f>SUM(V96*10.19%)</f>
        <v>16.790787838864048</v>
      </c>
      <c r="AP96" s="605">
        <f t="shared" ref="AP96:AP99" si="191">SUM(AM96+AN96+AO96)</f>
        <v>43.632979585193333</v>
      </c>
      <c r="AQ96" s="605">
        <f t="shared" ref="AQ96:AQ124" si="192">SUM(AD96+AP96)</f>
        <v>79.768600518097017</v>
      </c>
      <c r="AR96" s="381">
        <f>SUM(V96*10.58%)</f>
        <v>17.433418580488876</v>
      </c>
      <c r="AS96" s="381">
        <f>SUM(V96*10.19%)</f>
        <v>16.790787838864048</v>
      </c>
      <c r="AT96" s="381">
        <f>SUM(V96*8.89%)</f>
        <v>14.648685366781296</v>
      </c>
      <c r="AU96" s="605">
        <f t="shared" ref="AU96:AU99" si="193">SUM(AR96+AS96+AT96)</f>
        <v>48.872891786134218</v>
      </c>
      <c r="AV96" s="605">
        <f t="shared" si="51"/>
        <v>128.64149230423124</v>
      </c>
      <c r="AW96" s="381">
        <f>SUM(V96*7.31%)</f>
        <v>12.045206977634562</v>
      </c>
      <c r="AX96" s="381">
        <f>SUM(V96*7.31%)</f>
        <v>12.045206977634562</v>
      </c>
      <c r="AY96" s="381">
        <f>SUM(V96*7.31%)</f>
        <v>12.045206977634562</v>
      </c>
      <c r="AZ96" s="605">
        <f t="shared" ref="AZ96:AZ99" si="194">SUM(AW96+AX96+AY96)</f>
        <v>36.135620932903684</v>
      </c>
      <c r="BA96" s="611">
        <f t="shared" ref="BA96:BA124" si="195">SUM(AY96+AX96+AW96+AT96+AS96+AR96+AO96+AN96+AM96+AC96+AB96+Z96)</f>
        <v>164.77711323713493</v>
      </c>
    </row>
    <row r="97" spans="1:53" ht="18.75" hidden="1" x14ac:dyDescent="0.3">
      <c r="A97" s="395" t="s">
        <v>639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9"/>
      <c r="U97" s="399"/>
      <c r="V97" s="603">
        <f>SUM(V74*4.18%)</f>
        <v>303.42217327366694</v>
      </c>
      <c r="W97" s="609"/>
      <c r="X97" s="603">
        <f>SUM(V97*стоки!AK52/стоки!AI52)</f>
        <v>303.42217327366689</v>
      </c>
      <c r="Y97" s="613">
        <f t="shared" si="93"/>
        <v>5.6843418860808015E-14</v>
      </c>
      <c r="Z97" s="381">
        <f t="shared" ref="Z97:Z99" si="196">SUM(V97/12)</f>
        <v>25.285181106138911</v>
      </c>
      <c r="AA97" s="877"/>
      <c r="AB97" s="381">
        <f t="shared" ref="AB97:AB99" si="197">SUM(Z97)</f>
        <v>25.285181106138911</v>
      </c>
      <c r="AC97" s="381">
        <f t="shared" ref="AC97:AC99" si="198">SUM(Z97)</f>
        <v>25.285181106138911</v>
      </c>
      <c r="AD97" s="605">
        <f t="shared" si="190"/>
        <v>75.855543318416736</v>
      </c>
      <c r="AE97" s="884"/>
      <c r="AF97" s="884"/>
      <c r="AG97" s="884"/>
      <c r="AH97" s="884"/>
      <c r="AI97" s="2590"/>
      <c r="AJ97" s="2590"/>
      <c r="AK97" s="2590"/>
      <c r="AL97" s="2590"/>
      <c r="AM97" s="604">
        <f t="shared" ref="AM97:AM99" si="199">SUM(Z97)</f>
        <v>25.285181106138911</v>
      </c>
      <c r="AN97" s="604">
        <f t="shared" ref="AN97:AN99" si="200">SUM(Z97)</f>
        <v>25.285181106138911</v>
      </c>
      <c r="AO97" s="604">
        <f t="shared" ref="AO97:AO99" si="201">SUM(Z97)</f>
        <v>25.285181106138911</v>
      </c>
      <c r="AP97" s="605">
        <f t="shared" si="191"/>
        <v>75.855543318416736</v>
      </c>
      <c r="AQ97" s="605">
        <f t="shared" si="192"/>
        <v>151.71108663683347</v>
      </c>
      <c r="AR97" s="604">
        <f t="shared" ref="AR97:AR99" si="202">SUM(Z97)</f>
        <v>25.285181106138911</v>
      </c>
      <c r="AS97" s="604">
        <f t="shared" ref="AS97:AS99" si="203">SUM(Z97)</f>
        <v>25.285181106138911</v>
      </c>
      <c r="AT97" s="604">
        <f t="shared" ref="AT97:AT99" si="204">SUM(Z97)</f>
        <v>25.285181106138911</v>
      </c>
      <c r="AU97" s="605">
        <f t="shared" si="193"/>
        <v>75.855543318416736</v>
      </c>
      <c r="AV97" s="605">
        <f t="shared" si="51"/>
        <v>227.56662995525022</v>
      </c>
      <c r="AW97" s="604">
        <f t="shared" ref="AW97:AW99" si="205">SUM(Z97)</f>
        <v>25.285181106138911</v>
      </c>
      <c r="AX97" s="604">
        <f t="shared" ref="AX97:AX99" si="206">SUM(Z97)</f>
        <v>25.285181106138911</v>
      </c>
      <c r="AY97" s="604">
        <f t="shared" ref="AY97:AY99" si="207">SUM(Z97)</f>
        <v>25.285181106138911</v>
      </c>
      <c r="AZ97" s="605">
        <f t="shared" si="194"/>
        <v>75.855543318416736</v>
      </c>
      <c r="BA97" s="611">
        <f t="shared" si="195"/>
        <v>303.42217327366694</v>
      </c>
    </row>
    <row r="98" spans="1:53" ht="18.75" hidden="1" x14ac:dyDescent="0.3">
      <c r="A98" s="395" t="s">
        <v>552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9"/>
      <c r="U98" s="399"/>
      <c r="V98" s="603">
        <f>SUM(V74*0.07%)</f>
        <v>5.0812325667838971</v>
      </c>
      <c r="W98" s="609"/>
      <c r="X98" s="603">
        <f>SUM(V98*стоки!AK52/стоки!AI52)</f>
        <v>5.0812325667838971</v>
      </c>
      <c r="Y98" s="613">
        <f t="shared" si="93"/>
        <v>0</v>
      </c>
      <c r="Z98" s="381">
        <f t="shared" si="196"/>
        <v>0.42343604723199141</v>
      </c>
      <c r="AA98" s="877"/>
      <c r="AB98" s="381">
        <f t="shared" si="197"/>
        <v>0.42343604723199141</v>
      </c>
      <c r="AC98" s="381">
        <f t="shared" si="198"/>
        <v>0.42343604723199141</v>
      </c>
      <c r="AD98" s="605">
        <f t="shared" si="190"/>
        <v>1.2703081416959743</v>
      </c>
      <c r="AE98" s="884"/>
      <c r="AF98" s="884"/>
      <c r="AG98" s="884"/>
      <c r="AH98" s="884"/>
      <c r="AI98" s="2590"/>
      <c r="AJ98" s="2590"/>
      <c r="AK98" s="2590"/>
      <c r="AL98" s="2590"/>
      <c r="AM98" s="604">
        <f t="shared" si="199"/>
        <v>0.42343604723199141</v>
      </c>
      <c r="AN98" s="604">
        <f t="shared" si="200"/>
        <v>0.42343604723199141</v>
      </c>
      <c r="AO98" s="604">
        <f t="shared" si="201"/>
        <v>0.42343604723199141</v>
      </c>
      <c r="AP98" s="605">
        <f t="shared" si="191"/>
        <v>1.2703081416959743</v>
      </c>
      <c r="AQ98" s="605">
        <f t="shared" si="192"/>
        <v>2.5406162833919486</v>
      </c>
      <c r="AR98" s="604">
        <f t="shared" si="202"/>
        <v>0.42343604723199141</v>
      </c>
      <c r="AS98" s="604">
        <f t="shared" si="203"/>
        <v>0.42343604723199141</v>
      </c>
      <c r="AT98" s="604">
        <f t="shared" si="204"/>
        <v>0.42343604723199141</v>
      </c>
      <c r="AU98" s="605">
        <f t="shared" si="193"/>
        <v>1.2703081416959743</v>
      </c>
      <c r="AV98" s="605">
        <f t="shared" si="51"/>
        <v>3.8109244250879231</v>
      </c>
      <c r="AW98" s="604">
        <f t="shared" si="205"/>
        <v>0.42343604723199141</v>
      </c>
      <c r="AX98" s="604">
        <f t="shared" si="206"/>
        <v>0.42343604723199141</v>
      </c>
      <c r="AY98" s="604">
        <f t="shared" si="207"/>
        <v>0.42343604723199141</v>
      </c>
      <c r="AZ98" s="605">
        <f t="shared" si="194"/>
        <v>1.2703081416959743</v>
      </c>
      <c r="BA98" s="611">
        <f t="shared" si="195"/>
        <v>5.0812325667838971</v>
      </c>
    </row>
    <row r="99" spans="1:53" ht="18.75" hidden="1" x14ac:dyDescent="0.3">
      <c r="A99" s="395" t="s">
        <v>609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9"/>
      <c r="U99" s="399"/>
      <c r="V99" s="603">
        <f>SUM(V74*0.01%)</f>
        <v>0.72589036668341378</v>
      </c>
      <c r="W99" s="609"/>
      <c r="X99" s="603">
        <f>SUM(V99*стоки!AK52/стоки!AI52)</f>
        <v>0.72589036668341378</v>
      </c>
      <c r="Y99" s="613">
        <f t="shared" si="93"/>
        <v>0</v>
      </c>
      <c r="Z99" s="381">
        <f t="shared" si="196"/>
        <v>6.0490863890284484E-2</v>
      </c>
      <c r="AA99" s="877"/>
      <c r="AB99" s="381">
        <f t="shared" si="197"/>
        <v>6.0490863890284484E-2</v>
      </c>
      <c r="AC99" s="381">
        <f t="shared" si="198"/>
        <v>6.0490863890284484E-2</v>
      </c>
      <c r="AD99" s="605">
        <f t="shared" si="190"/>
        <v>0.18147259167085344</v>
      </c>
      <c r="AE99" s="884"/>
      <c r="AF99" s="884"/>
      <c r="AG99" s="884"/>
      <c r="AH99" s="884"/>
      <c r="AI99" s="2590"/>
      <c r="AJ99" s="2590"/>
      <c r="AK99" s="2590"/>
      <c r="AL99" s="2590"/>
      <c r="AM99" s="604">
        <f t="shared" si="199"/>
        <v>6.0490863890284484E-2</v>
      </c>
      <c r="AN99" s="604">
        <f t="shared" si="200"/>
        <v>6.0490863890284484E-2</v>
      </c>
      <c r="AO99" s="604">
        <f t="shared" si="201"/>
        <v>6.0490863890284484E-2</v>
      </c>
      <c r="AP99" s="605">
        <f t="shared" si="191"/>
        <v>0.18147259167085344</v>
      </c>
      <c r="AQ99" s="605">
        <f t="shared" si="192"/>
        <v>0.36294518334170689</v>
      </c>
      <c r="AR99" s="604">
        <f t="shared" si="202"/>
        <v>6.0490863890284484E-2</v>
      </c>
      <c r="AS99" s="604">
        <f t="shared" si="203"/>
        <v>6.0490863890284484E-2</v>
      </c>
      <c r="AT99" s="604">
        <f t="shared" si="204"/>
        <v>6.0490863890284484E-2</v>
      </c>
      <c r="AU99" s="605">
        <f t="shared" si="193"/>
        <v>0.18147259167085344</v>
      </c>
      <c r="AV99" s="605">
        <f t="shared" si="51"/>
        <v>0.54441777501256028</v>
      </c>
      <c r="AW99" s="604">
        <f t="shared" si="205"/>
        <v>6.0490863890284484E-2</v>
      </c>
      <c r="AX99" s="604">
        <f t="shared" si="206"/>
        <v>6.0490863890284484E-2</v>
      </c>
      <c r="AY99" s="604">
        <f t="shared" si="207"/>
        <v>6.0490863890284484E-2</v>
      </c>
      <c r="AZ99" s="605">
        <f t="shared" si="194"/>
        <v>0.18147259167085344</v>
      </c>
      <c r="BA99" s="611">
        <f t="shared" si="195"/>
        <v>0.72589036668341367</v>
      </c>
    </row>
    <row r="100" spans="1:53" ht="18.75" hidden="1" x14ac:dyDescent="0.3">
      <c r="A100" s="601" t="s">
        <v>617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9"/>
      <c r="U100" s="399"/>
      <c r="V100" s="606">
        <f>SUM(AC49)</f>
        <v>690.17495043218662</v>
      </c>
      <c r="W100" s="609"/>
      <c r="X100" s="606">
        <f>SUM(V100*стоки!AK52/стоки!AI52)</f>
        <v>690.17495043218662</v>
      </c>
      <c r="Y100" s="612">
        <f>SUM(V100-X100)</f>
        <v>0</v>
      </c>
      <c r="Z100" s="378">
        <f>SUM(Z101+Z102+Z104+Z105+Z106+Z107+Z108+Z109+Z111)</f>
        <v>57.514004056890194</v>
      </c>
      <c r="AA100" s="876"/>
      <c r="AB100" s="378">
        <f t="shared" ref="AB100:AC100" si="208">SUM(AB101+AB102+AB104+AB105+AB106+AB107+AB108+AB109+AB111)</f>
        <v>57.514004056890194</v>
      </c>
      <c r="AC100" s="378">
        <f t="shared" si="208"/>
        <v>57.514004056890194</v>
      </c>
      <c r="AD100" s="614">
        <f t="shared" si="48"/>
        <v>172.54201217067057</v>
      </c>
      <c r="AE100" s="883"/>
      <c r="AF100" s="883"/>
      <c r="AG100" s="883"/>
      <c r="AH100" s="883"/>
      <c r="AI100" s="2589"/>
      <c r="AJ100" s="2589"/>
      <c r="AK100" s="2589"/>
      <c r="AL100" s="2589"/>
      <c r="AM100" s="378">
        <f t="shared" ref="AM100" si="209">SUM(AM101+AM102+AM104+AM105+AM106+AM107+AM108+AM109+AM111)</f>
        <v>57.514004056890194</v>
      </c>
      <c r="AN100" s="378">
        <f t="shared" ref="AN100" si="210">SUM(AN101+AN102+AN104+AN105+AN106+AN107+AN108+AN109+AN111)</f>
        <v>57.514004056890194</v>
      </c>
      <c r="AO100" s="378">
        <f t="shared" ref="AO100" si="211">SUM(AO101+AO102+AO104+AO105+AO106+AO107+AO108+AO109+AO111)</f>
        <v>57.514004056890194</v>
      </c>
      <c r="AP100" s="614">
        <f t="shared" si="49"/>
        <v>172.54201217067057</v>
      </c>
      <c r="AQ100" s="614">
        <f t="shared" si="192"/>
        <v>345.08402434134115</v>
      </c>
      <c r="AR100" s="378">
        <f t="shared" ref="AR100" si="212">SUM(AR101+AR102+AR104+AR105+AR106+AR107+AR108+AR109+AR111)</f>
        <v>57.514004056890194</v>
      </c>
      <c r="AS100" s="378">
        <f t="shared" ref="AS100" si="213">SUM(AS101+AS102+AS104+AS105+AS106+AS107+AS108+AS109+AS111)</f>
        <v>57.514004056890194</v>
      </c>
      <c r="AT100" s="378">
        <f t="shared" ref="AT100" si="214">SUM(AT101+AT102+AT104+AT105+AT106+AT107+AT108+AT109+AT111)</f>
        <v>57.514004056890194</v>
      </c>
      <c r="AU100" s="614">
        <f t="shared" si="50"/>
        <v>172.54201217067057</v>
      </c>
      <c r="AV100" s="614">
        <f t="shared" si="51"/>
        <v>517.62603651201175</v>
      </c>
      <c r="AW100" s="378">
        <f t="shared" ref="AW100" si="215">SUM(AW101+AW102+AW104+AW105+AW106+AW107+AW108+AW109+AW111)</f>
        <v>57.514004056890194</v>
      </c>
      <c r="AX100" s="378">
        <f t="shared" ref="AX100" si="216">SUM(AX101+AX102+AX104+AX105+AX106+AX107+AX108+AX109+AX111)</f>
        <v>57.514004056890194</v>
      </c>
      <c r="AY100" s="378">
        <f t="shared" ref="AY100" si="217">SUM(AY101+AY102+AY104+AY105+AY106+AY107+AY108+AY109+AY111)</f>
        <v>57.514004056890194</v>
      </c>
      <c r="AZ100" s="614">
        <f t="shared" si="52"/>
        <v>172.54201217067057</v>
      </c>
      <c r="BA100" s="611">
        <f t="shared" si="195"/>
        <v>690.16804868268218</v>
      </c>
    </row>
    <row r="101" spans="1:53" ht="18.75" hidden="1" x14ac:dyDescent="0.3">
      <c r="A101" s="40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9"/>
      <c r="U101" s="399"/>
      <c r="V101" s="603">
        <f>SUM(V100*0%)</f>
        <v>0</v>
      </c>
      <c r="W101" s="609"/>
      <c r="X101" s="603">
        <f>SUM(V101*стоки!AK52/стоки!AI52)</f>
        <v>0</v>
      </c>
      <c r="Y101" s="613">
        <f t="shared" ref="Y101:Y109" si="218">SUM(V101-X101)</f>
        <v>0</v>
      </c>
      <c r="Z101" s="381">
        <f>SUM(V101/2)/(1+(106.7%*100-100)/2/100)/6</f>
        <v>0</v>
      </c>
      <c r="AA101" s="877"/>
      <c r="AB101" s="380">
        <f>SUM(Z101)</f>
        <v>0</v>
      </c>
      <c r="AC101" s="381">
        <f>SUM(Z101)</f>
        <v>0</v>
      </c>
      <c r="AD101" s="605">
        <f>SUM(Z101+AB101+AC101)</f>
        <v>0</v>
      </c>
      <c r="AE101" s="884"/>
      <c r="AF101" s="884"/>
      <c r="AG101" s="884"/>
      <c r="AH101" s="884"/>
      <c r="AI101" s="2590"/>
      <c r="AJ101" s="2590"/>
      <c r="AK101" s="2590"/>
      <c r="AL101" s="2590"/>
      <c r="AM101" s="604">
        <f>SUM(Z101)</f>
        <v>0</v>
      </c>
      <c r="AN101" s="604">
        <f>SUM(Z101)</f>
        <v>0</v>
      </c>
      <c r="AO101" s="604">
        <f>SUM(Z101)</f>
        <v>0</v>
      </c>
      <c r="AP101" s="605">
        <f>SUM(AM101+AN101+AO101)</f>
        <v>0</v>
      </c>
      <c r="AQ101" s="605">
        <f t="shared" si="192"/>
        <v>0</v>
      </c>
      <c r="AR101" s="604">
        <f>SUM(V101-AQ101)/6</f>
        <v>0</v>
      </c>
      <c r="AS101" s="604">
        <f>SUM(AR101)</f>
        <v>0</v>
      </c>
      <c r="AT101" s="604">
        <f>SUM(AR101)</f>
        <v>0</v>
      </c>
      <c r="AU101" s="605">
        <f>SUM(AR101+AS101+AT101)</f>
        <v>0</v>
      </c>
      <c r="AV101" s="605">
        <f>SUM(AQ101+AU101)</f>
        <v>0</v>
      </c>
      <c r="AW101" s="604">
        <f>SUM(AR101)</f>
        <v>0</v>
      </c>
      <c r="AX101" s="604">
        <f>SUM(AR101)</f>
        <v>0</v>
      </c>
      <c r="AY101" s="604">
        <f>SUM(AR101)</f>
        <v>0</v>
      </c>
      <c r="AZ101" s="605">
        <f>SUM(AW101+AX101+AY101)</f>
        <v>0</v>
      </c>
      <c r="BA101" s="611">
        <f t="shared" si="195"/>
        <v>0</v>
      </c>
    </row>
    <row r="102" spans="1:53" ht="18.75" hidden="1" x14ac:dyDescent="0.3">
      <c r="A102" s="404" t="s">
        <v>117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9"/>
      <c r="U102" s="399"/>
      <c r="V102" s="603">
        <f>SUM(V100*0%)</f>
        <v>0</v>
      </c>
      <c r="W102" s="609"/>
      <c r="X102" s="603">
        <f>SUM(V102*стоки!AK52/стоки!AI52)</f>
        <v>0</v>
      </c>
      <c r="Y102" s="613">
        <f t="shared" si="218"/>
        <v>0</v>
      </c>
      <c r="Z102" s="381">
        <v>0</v>
      </c>
      <c r="AA102" s="877"/>
      <c r="AB102" s="381">
        <f>SUM(Z102)</f>
        <v>0</v>
      </c>
      <c r="AC102" s="380">
        <f>SUM(Z102)</f>
        <v>0</v>
      </c>
      <c r="AD102" s="605">
        <f t="shared" ref="AD102" si="219">SUM(Z102+AB102+AC102)</f>
        <v>0</v>
      </c>
      <c r="AE102" s="884"/>
      <c r="AF102" s="884"/>
      <c r="AG102" s="884"/>
      <c r="AH102" s="884"/>
      <c r="AI102" s="2590"/>
      <c r="AJ102" s="2590"/>
      <c r="AK102" s="2590"/>
      <c r="AL102" s="2590"/>
      <c r="AM102" s="604">
        <f>SUM(Z102)</f>
        <v>0</v>
      </c>
      <c r="AN102" s="604">
        <f>SUM(Z102)</f>
        <v>0</v>
      </c>
      <c r="AO102" s="604">
        <f>SUM(Z102)</f>
        <v>0</v>
      </c>
      <c r="AP102" s="605">
        <f t="shared" ref="AP102" si="220">SUM(AM102+AN102+AO102)</f>
        <v>0</v>
      </c>
      <c r="AQ102" s="605">
        <f t="shared" si="192"/>
        <v>0</v>
      </c>
      <c r="AR102" s="604">
        <f>SUM(V102-AQ102)/6</f>
        <v>0</v>
      </c>
      <c r="AS102" s="604">
        <f>SUM(AR102)</f>
        <v>0</v>
      </c>
      <c r="AT102" s="604">
        <f>SUM(AR102)</f>
        <v>0</v>
      </c>
      <c r="AU102" s="605">
        <f t="shared" ref="AU102" si="221">SUM(AR102+AS102+AT102)</f>
        <v>0</v>
      </c>
      <c r="AV102" s="605">
        <f t="shared" ref="AV102:AV108" si="222">SUM(AQ102+AU102)</f>
        <v>0</v>
      </c>
      <c r="AW102" s="604">
        <f>SUM(AR102)</f>
        <v>0</v>
      </c>
      <c r="AX102" s="604">
        <f>SUM(AR102)</f>
        <v>0</v>
      </c>
      <c r="AY102" s="604">
        <f>SUM(AR102)</f>
        <v>0</v>
      </c>
      <c r="AZ102" s="605">
        <f t="shared" ref="AZ102" si="223">SUM(AW102+AX102+AY102)</f>
        <v>0</v>
      </c>
      <c r="BA102" s="611">
        <f t="shared" si="195"/>
        <v>0</v>
      </c>
    </row>
    <row r="103" spans="1:53" ht="18.75" hidden="1" x14ac:dyDescent="0.3">
      <c r="A103" s="640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9"/>
      <c r="U103" s="399"/>
      <c r="V103" s="642">
        <v>0</v>
      </c>
      <c r="W103" s="609"/>
      <c r="X103" s="642">
        <v>0</v>
      </c>
      <c r="Y103" s="643">
        <v>0</v>
      </c>
      <c r="Z103" s="381">
        <v>0</v>
      </c>
      <c r="AA103" s="877"/>
      <c r="AB103" s="381">
        <f>SUM(Z103)</f>
        <v>0</v>
      </c>
      <c r="AC103" s="380">
        <f>SUM(Z103)</f>
        <v>0</v>
      </c>
      <c r="AD103" s="605">
        <f t="shared" ref="AD103" si="224">SUM(Z103+AB103+AC103)</f>
        <v>0</v>
      </c>
      <c r="AE103" s="884"/>
      <c r="AF103" s="884"/>
      <c r="AG103" s="884"/>
      <c r="AH103" s="884"/>
      <c r="AI103" s="2590"/>
      <c r="AJ103" s="2590"/>
      <c r="AK103" s="2590"/>
      <c r="AL103" s="2590"/>
      <c r="AM103" s="604">
        <f>SUM(Z103)</f>
        <v>0</v>
      </c>
      <c r="AN103" s="604">
        <f>SUM(Z103)</f>
        <v>0</v>
      </c>
      <c r="AO103" s="604">
        <f>SUM(Z103)</f>
        <v>0</v>
      </c>
      <c r="AP103" s="605">
        <f t="shared" ref="AP103" si="225">SUM(AM103+AN103+AO103)</f>
        <v>0</v>
      </c>
      <c r="AQ103" s="605">
        <f t="shared" si="192"/>
        <v>0</v>
      </c>
      <c r="AR103" s="604">
        <f>SUM(V103-AQ103)/6</f>
        <v>0</v>
      </c>
      <c r="AS103" s="604">
        <f>SUM(AR103)</f>
        <v>0</v>
      </c>
      <c r="AT103" s="604">
        <f>SUM(AR103)</f>
        <v>0</v>
      </c>
      <c r="AU103" s="605">
        <f t="shared" ref="AU103" si="226">SUM(AR103+AS103+AT103)</f>
        <v>0</v>
      </c>
      <c r="AV103" s="605">
        <f t="shared" ref="AV103" si="227">SUM(AQ103+AU103)</f>
        <v>0</v>
      </c>
      <c r="AW103" s="604">
        <f>SUM(AR103)</f>
        <v>0</v>
      </c>
      <c r="AX103" s="604">
        <f>SUM(AR103)</f>
        <v>0</v>
      </c>
      <c r="AY103" s="604">
        <f>SUM(AR103)</f>
        <v>0</v>
      </c>
      <c r="AZ103" s="605">
        <f t="shared" ref="AZ103" si="228">SUM(AW103+AX103+AY103)</f>
        <v>0</v>
      </c>
      <c r="BA103" s="611">
        <f t="shared" si="195"/>
        <v>0</v>
      </c>
    </row>
    <row r="104" spans="1:53" ht="18.75" hidden="1" x14ac:dyDescent="0.3">
      <c r="A104" s="404" t="s">
        <v>599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9"/>
      <c r="U104" s="399"/>
      <c r="V104" s="603">
        <f>SUM(V100*88.63%)</f>
        <v>611.70205856804694</v>
      </c>
      <c r="W104" s="609"/>
      <c r="X104" s="603">
        <f>SUM(V104*стоки!AK52/стоки!AI52)</f>
        <v>611.70205856804705</v>
      </c>
      <c r="Y104" s="613">
        <f t="shared" si="218"/>
        <v>-1.1368683772161603E-13</v>
      </c>
      <c r="Z104" s="381">
        <f t="shared" ref="Z104:Z108" si="229">SUM(V104/12)</f>
        <v>50.975171547337247</v>
      </c>
      <c r="AA104" s="877"/>
      <c r="AB104" s="381">
        <f t="shared" ref="AB104:AB108" si="230">SUM(Z104)</f>
        <v>50.975171547337247</v>
      </c>
      <c r="AC104" s="381">
        <f t="shared" ref="AC104:AC108" si="231">SUM(Z104)</f>
        <v>50.975171547337247</v>
      </c>
      <c r="AD104" s="605">
        <f t="shared" ref="AD104:AD108" si="232">SUM(Z104+AB104+AC104)</f>
        <v>152.92551464201173</v>
      </c>
      <c r="AE104" s="884"/>
      <c r="AF104" s="884"/>
      <c r="AG104" s="884"/>
      <c r="AH104" s="884"/>
      <c r="AI104" s="2590"/>
      <c r="AJ104" s="2590"/>
      <c r="AK104" s="2590"/>
      <c r="AL104" s="2590"/>
      <c r="AM104" s="604">
        <f t="shared" ref="AM104:AM108" si="233">SUM(Z104)</f>
        <v>50.975171547337247</v>
      </c>
      <c r="AN104" s="604">
        <f t="shared" ref="AN104:AN108" si="234">SUM(Z104)</f>
        <v>50.975171547337247</v>
      </c>
      <c r="AO104" s="604">
        <f t="shared" ref="AO104:AO108" si="235">SUM(Z104)</f>
        <v>50.975171547337247</v>
      </c>
      <c r="AP104" s="605">
        <f t="shared" ref="AP104:AP108" si="236">SUM(AM104+AN104+AO104)</f>
        <v>152.92551464201173</v>
      </c>
      <c r="AQ104" s="605">
        <f t="shared" si="192"/>
        <v>305.85102928402347</v>
      </c>
      <c r="AR104" s="604">
        <f t="shared" ref="AR104:AR108" si="237">SUM(Z104)</f>
        <v>50.975171547337247</v>
      </c>
      <c r="AS104" s="604">
        <f t="shared" ref="AS104:AS108" si="238">SUM(Z104)</f>
        <v>50.975171547337247</v>
      </c>
      <c r="AT104" s="604">
        <f t="shared" ref="AT104:AT108" si="239">SUM(Z104)</f>
        <v>50.975171547337247</v>
      </c>
      <c r="AU104" s="605">
        <f t="shared" ref="AU104:AU108" si="240">SUM(AR104+AS104+AT104)</f>
        <v>152.92551464201173</v>
      </c>
      <c r="AV104" s="605">
        <f t="shared" si="222"/>
        <v>458.77654392603517</v>
      </c>
      <c r="AW104" s="604">
        <f t="shared" ref="AW104:AW108" si="241">SUM(Z104)</f>
        <v>50.975171547337247</v>
      </c>
      <c r="AX104" s="604">
        <f t="shared" ref="AX104:AX108" si="242">SUM(Z104)</f>
        <v>50.975171547337247</v>
      </c>
      <c r="AY104" s="604">
        <f t="shared" ref="AY104:AY108" si="243">SUM(Z104)</f>
        <v>50.975171547337247</v>
      </c>
      <c r="AZ104" s="605">
        <f t="shared" ref="AZ104:AZ108" si="244">SUM(AW104+AX104+AY104)</f>
        <v>152.92551464201173</v>
      </c>
      <c r="BA104" s="611">
        <f t="shared" si="195"/>
        <v>611.70205856804694</v>
      </c>
    </row>
    <row r="105" spans="1:53" ht="18.75" hidden="1" x14ac:dyDescent="0.3">
      <c r="A105" s="404" t="s">
        <v>601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9"/>
      <c r="U105" s="399"/>
      <c r="V105" s="603">
        <f>SUM(V100*6.9%)</f>
        <v>47.622071579820883</v>
      </c>
      <c r="W105" s="609"/>
      <c r="X105" s="603">
        <f>SUM(V105*стоки!AK52/стоки!AI52)</f>
        <v>47.622071579820883</v>
      </c>
      <c r="Y105" s="613">
        <f t="shared" si="218"/>
        <v>0</v>
      </c>
      <c r="Z105" s="381">
        <f t="shared" si="229"/>
        <v>3.9685059649850736</v>
      </c>
      <c r="AA105" s="877"/>
      <c r="AB105" s="381">
        <f t="shared" si="230"/>
        <v>3.9685059649850736</v>
      </c>
      <c r="AC105" s="381">
        <f t="shared" si="231"/>
        <v>3.9685059649850736</v>
      </c>
      <c r="AD105" s="605">
        <f t="shared" si="232"/>
        <v>11.905517894955221</v>
      </c>
      <c r="AE105" s="884"/>
      <c r="AF105" s="884"/>
      <c r="AG105" s="884"/>
      <c r="AH105" s="884"/>
      <c r="AI105" s="2590"/>
      <c r="AJ105" s="2590"/>
      <c r="AK105" s="2590"/>
      <c r="AL105" s="2590"/>
      <c r="AM105" s="604">
        <f t="shared" si="233"/>
        <v>3.9685059649850736</v>
      </c>
      <c r="AN105" s="604">
        <f t="shared" si="234"/>
        <v>3.9685059649850736</v>
      </c>
      <c r="AO105" s="604">
        <f t="shared" si="235"/>
        <v>3.9685059649850736</v>
      </c>
      <c r="AP105" s="605">
        <f t="shared" si="236"/>
        <v>11.905517894955221</v>
      </c>
      <c r="AQ105" s="605">
        <f t="shared" si="192"/>
        <v>23.811035789910441</v>
      </c>
      <c r="AR105" s="604">
        <f t="shared" si="237"/>
        <v>3.9685059649850736</v>
      </c>
      <c r="AS105" s="604">
        <f t="shared" si="238"/>
        <v>3.9685059649850736</v>
      </c>
      <c r="AT105" s="604">
        <f t="shared" si="239"/>
        <v>3.9685059649850736</v>
      </c>
      <c r="AU105" s="605">
        <f t="shared" si="240"/>
        <v>11.905517894955221</v>
      </c>
      <c r="AV105" s="605">
        <f t="shared" si="222"/>
        <v>35.716553684865659</v>
      </c>
      <c r="AW105" s="604">
        <f t="shared" si="241"/>
        <v>3.9685059649850736</v>
      </c>
      <c r="AX105" s="604">
        <f t="shared" si="242"/>
        <v>3.9685059649850736</v>
      </c>
      <c r="AY105" s="604">
        <f t="shared" si="243"/>
        <v>3.9685059649850736</v>
      </c>
      <c r="AZ105" s="605">
        <f t="shared" si="244"/>
        <v>11.905517894955221</v>
      </c>
      <c r="BA105" s="611">
        <f t="shared" si="195"/>
        <v>47.622071579820869</v>
      </c>
    </row>
    <row r="106" spans="1:53" ht="18.75" hidden="1" x14ac:dyDescent="0.3">
      <c r="A106" s="404" t="s">
        <v>600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9"/>
      <c r="U106" s="399"/>
      <c r="V106" s="603">
        <f>SUM(V100*2.28%)</f>
        <v>15.735988869853854</v>
      </c>
      <c r="W106" s="609"/>
      <c r="X106" s="603">
        <f>SUM(V106*стоки!AK52/стоки!AI52)</f>
        <v>15.735988869853854</v>
      </c>
      <c r="Y106" s="613">
        <f t="shared" si="218"/>
        <v>0</v>
      </c>
      <c r="Z106" s="381">
        <f t="shared" si="229"/>
        <v>1.3113324058211544</v>
      </c>
      <c r="AA106" s="877"/>
      <c r="AB106" s="381">
        <f t="shared" si="230"/>
        <v>1.3113324058211544</v>
      </c>
      <c r="AC106" s="381">
        <f t="shared" si="231"/>
        <v>1.3113324058211544</v>
      </c>
      <c r="AD106" s="605">
        <f t="shared" si="232"/>
        <v>3.933997217463463</v>
      </c>
      <c r="AE106" s="884"/>
      <c r="AF106" s="884"/>
      <c r="AG106" s="884"/>
      <c r="AH106" s="884"/>
      <c r="AI106" s="2590"/>
      <c r="AJ106" s="2590"/>
      <c r="AK106" s="2590"/>
      <c r="AL106" s="2590"/>
      <c r="AM106" s="604">
        <f t="shared" si="233"/>
        <v>1.3113324058211544</v>
      </c>
      <c r="AN106" s="604">
        <f t="shared" si="234"/>
        <v>1.3113324058211544</v>
      </c>
      <c r="AO106" s="604">
        <f t="shared" si="235"/>
        <v>1.3113324058211544</v>
      </c>
      <c r="AP106" s="605">
        <f t="shared" si="236"/>
        <v>3.933997217463463</v>
      </c>
      <c r="AQ106" s="605">
        <f t="shared" si="192"/>
        <v>7.867994434926926</v>
      </c>
      <c r="AR106" s="604">
        <f t="shared" si="237"/>
        <v>1.3113324058211544</v>
      </c>
      <c r="AS106" s="604">
        <f t="shared" si="238"/>
        <v>1.3113324058211544</v>
      </c>
      <c r="AT106" s="604">
        <f t="shared" si="239"/>
        <v>1.3113324058211544</v>
      </c>
      <c r="AU106" s="605">
        <f t="shared" si="240"/>
        <v>3.933997217463463</v>
      </c>
      <c r="AV106" s="605">
        <f t="shared" si="222"/>
        <v>11.801991652390388</v>
      </c>
      <c r="AW106" s="604">
        <f t="shared" si="241"/>
        <v>1.3113324058211544</v>
      </c>
      <c r="AX106" s="604">
        <f t="shared" si="242"/>
        <v>1.3113324058211544</v>
      </c>
      <c r="AY106" s="604">
        <f t="shared" si="243"/>
        <v>1.3113324058211544</v>
      </c>
      <c r="AZ106" s="605">
        <f t="shared" si="244"/>
        <v>3.933997217463463</v>
      </c>
      <c r="BA106" s="611">
        <f t="shared" si="195"/>
        <v>15.735988869853854</v>
      </c>
    </row>
    <row r="107" spans="1:53" ht="18.75" hidden="1" x14ac:dyDescent="0.3">
      <c r="A107" s="404" t="s">
        <v>610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9"/>
      <c r="U107" s="399"/>
      <c r="V107" s="603">
        <f>SUM(V100*1.11%)</f>
        <v>7.6609419497972722</v>
      </c>
      <c r="W107" s="609"/>
      <c r="X107" s="603">
        <f>SUM(V107*стоки!AK52/стоки!AI52)</f>
        <v>7.6609419497972722</v>
      </c>
      <c r="Y107" s="613">
        <f t="shared" si="218"/>
        <v>0</v>
      </c>
      <c r="Z107" s="381">
        <f t="shared" si="229"/>
        <v>0.63841182914977268</v>
      </c>
      <c r="AA107" s="877"/>
      <c r="AB107" s="381">
        <f t="shared" si="230"/>
        <v>0.63841182914977268</v>
      </c>
      <c r="AC107" s="381">
        <f t="shared" si="231"/>
        <v>0.63841182914977268</v>
      </c>
      <c r="AD107" s="605">
        <f t="shared" si="232"/>
        <v>1.915235487449318</v>
      </c>
      <c r="AE107" s="884"/>
      <c r="AF107" s="884"/>
      <c r="AG107" s="884"/>
      <c r="AH107" s="884"/>
      <c r="AI107" s="2590"/>
      <c r="AJ107" s="2590"/>
      <c r="AK107" s="2590"/>
      <c r="AL107" s="2590"/>
      <c r="AM107" s="604">
        <f t="shared" si="233"/>
        <v>0.63841182914977268</v>
      </c>
      <c r="AN107" s="604">
        <f t="shared" si="234"/>
        <v>0.63841182914977268</v>
      </c>
      <c r="AO107" s="604">
        <f t="shared" si="235"/>
        <v>0.63841182914977268</v>
      </c>
      <c r="AP107" s="605">
        <f t="shared" si="236"/>
        <v>1.915235487449318</v>
      </c>
      <c r="AQ107" s="605">
        <f t="shared" si="192"/>
        <v>3.8304709748986361</v>
      </c>
      <c r="AR107" s="604">
        <f t="shared" si="237"/>
        <v>0.63841182914977268</v>
      </c>
      <c r="AS107" s="604">
        <f t="shared" si="238"/>
        <v>0.63841182914977268</v>
      </c>
      <c r="AT107" s="604">
        <f t="shared" si="239"/>
        <v>0.63841182914977268</v>
      </c>
      <c r="AU107" s="605">
        <f t="shared" si="240"/>
        <v>1.915235487449318</v>
      </c>
      <c r="AV107" s="605">
        <f t="shared" si="222"/>
        <v>5.7457064623479539</v>
      </c>
      <c r="AW107" s="604">
        <f t="shared" si="241"/>
        <v>0.63841182914977268</v>
      </c>
      <c r="AX107" s="604">
        <f t="shared" si="242"/>
        <v>0.63841182914977268</v>
      </c>
      <c r="AY107" s="604">
        <f t="shared" si="243"/>
        <v>0.63841182914977268</v>
      </c>
      <c r="AZ107" s="605">
        <f t="shared" si="244"/>
        <v>1.915235487449318</v>
      </c>
      <c r="BA107" s="611">
        <f t="shared" si="195"/>
        <v>7.6609419497972704</v>
      </c>
    </row>
    <row r="108" spans="1:53" ht="18.75" hidden="1" x14ac:dyDescent="0.3">
      <c r="A108" s="40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9"/>
      <c r="U108" s="399"/>
      <c r="V108" s="603">
        <f>SUM(V100*0.76%)</f>
        <v>5.2453296232846185</v>
      </c>
      <c r="W108" s="609"/>
      <c r="X108" s="603">
        <f>SUM(V108*стоки!AK52/стоки!AI52)</f>
        <v>5.2453296232846185</v>
      </c>
      <c r="Y108" s="613">
        <f t="shared" si="218"/>
        <v>0</v>
      </c>
      <c r="Z108" s="381">
        <f t="shared" si="229"/>
        <v>0.43711080194038487</v>
      </c>
      <c r="AA108" s="877"/>
      <c r="AB108" s="381">
        <f t="shared" si="230"/>
        <v>0.43711080194038487</v>
      </c>
      <c r="AC108" s="381">
        <f t="shared" si="231"/>
        <v>0.43711080194038487</v>
      </c>
      <c r="AD108" s="605">
        <f t="shared" si="232"/>
        <v>1.3113324058211546</v>
      </c>
      <c r="AE108" s="884"/>
      <c r="AF108" s="884"/>
      <c r="AG108" s="884"/>
      <c r="AH108" s="884"/>
      <c r="AI108" s="2590"/>
      <c r="AJ108" s="2590"/>
      <c r="AK108" s="2590"/>
      <c r="AL108" s="2590"/>
      <c r="AM108" s="604">
        <f t="shared" si="233"/>
        <v>0.43711080194038487</v>
      </c>
      <c r="AN108" s="604">
        <f t="shared" si="234"/>
        <v>0.43711080194038487</v>
      </c>
      <c r="AO108" s="604">
        <f t="shared" si="235"/>
        <v>0.43711080194038487</v>
      </c>
      <c r="AP108" s="605">
        <f t="shared" si="236"/>
        <v>1.3113324058211546</v>
      </c>
      <c r="AQ108" s="605">
        <f t="shared" si="192"/>
        <v>2.6226648116423092</v>
      </c>
      <c r="AR108" s="604">
        <f t="shared" si="237"/>
        <v>0.43711080194038487</v>
      </c>
      <c r="AS108" s="604">
        <f t="shared" si="238"/>
        <v>0.43711080194038487</v>
      </c>
      <c r="AT108" s="604">
        <f t="shared" si="239"/>
        <v>0.43711080194038487</v>
      </c>
      <c r="AU108" s="605">
        <f t="shared" si="240"/>
        <v>1.3113324058211546</v>
      </c>
      <c r="AV108" s="605">
        <f t="shared" si="222"/>
        <v>3.9339972174634639</v>
      </c>
      <c r="AW108" s="604">
        <f t="shared" si="241"/>
        <v>0.43711080194038487</v>
      </c>
      <c r="AX108" s="604">
        <f t="shared" si="242"/>
        <v>0.43711080194038487</v>
      </c>
      <c r="AY108" s="604">
        <f t="shared" si="243"/>
        <v>0.43711080194038487</v>
      </c>
      <c r="AZ108" s="605">
        <f t="shared" si="244"/>
        <v>1.3113324058211546</v>
      </c>
      <c r="BA108" s="611">
        <f t="shared" si="195"/>
        <v>5.2453296232846185</v>
      </c>
    </row>
    <row r="109" spans="1:53" ht="18.75" hidden="1" x14ac:dyDescent="0.3">
      <c r="A109" s="404" t="s">
        <v>602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9"/>
      <c r="U109" s="399"/>
      <c r="V109" s="603">
        <f>SUM(V110)</f>
        <v>2.0705248512965597</v>
      </c>
      <c r="W109" s="609"/>
      <c r="X109" s="603">
        <f>SUM(V109*стоки!AK52/стоки!AI52)</f>
        <v>2.0705248512965597</v>
      </c>
      <c r="Y109" s="613">
        <f t="shared" si="218"/>
        <v>0</v>
      </c>
      <c r="Z109" s="380">
        <f t="shared" ref="Z109:AO109" si="245">SUM(Z110)</f>
        <v>0.17254373760804664</v>
      </c>
      <c r="AA109" s="879"/>
      <c r="AB109" s="380">
        <f t="shared" si="245"/>
        <v>0.17254373760804664</v>
      </c>
      <c r="AC109" s="380">
        <f t="shared" si="245"/>
        <v>0.17254373760804664</v>
      </c>
      <c r="AD109" s="605">
        <f t="shared" si="48"/>
        <v>0.51763121282413993</v>
      </c>
      <c r="AE109" s="884"/>
      <c r="AF109" s="884"/>
      <c r="AG109" s="884"/>
      <c r="AH109" s="884"/>
      <c r="AI109" s="2590"/>
      <c r="AJ109" s="2590"/>
      <c r="AK109" s="2590"/>
      <c r="AL109" s="2590"/>
      <c r="AM109" s="380">
        <f t="shared" si="245"/>
        <v>0.17254373760804664</v>
      </c>
      <c r="AN109" s="380">
        <f t="shared" si="245"/>
        <v>0.17254373760804664</v>
      </c>
      <c r="AO109" s="380">
        <f t="shared" si="245"/>
        <v>0.17254373760804664</v>
      </c>
      <c r="AP109" s="605">
        <f t="shared" si="49"/>
        <v>0.51763121282413993</v>
      </c>
      <c r="AQ109" s="605">
        <f t="shared" si="192"/>
        <v>1.0352624256482799</v>
      </c>
      <c r="AR109" s="380">
        <f t="shared" ref="AR109:AT109" si="246">SUM(AR110)</f>
        <v>0.17254373760804664</v>
      </c>
      <c r="AS109" s="380">
        <f t="shared" si="246"/>
        <v>0.17254373760804664</v>
      </c>
      <c r="AT109" s="380">
        <f t="shared" si="246"/>
        <v>0.17254373760804664</v>
      </c>
      <c r="AU109" s="605">
        <f t="shared" si="50"/>
        <v>0.51763121282413993</v>
      </c>
      <c r="AV109" s="605">
        <f t="shared" si="51"/>
        <v>1.5528936384724199</v>
      </c>
      <c r="AW109" s="380">
        <f t="shared" ref="AW109:AY109" si="247">SUM(AW110)</f>
        <v>0.17254373760804664</v>
      </c>
      <c r="AX109" s="380">
        <f t="shared" si="247"/>
        <v>0.17254373760804664</v>
      </c>
      <c r="AY109" s="380">
        <f t="shared" si="247"/>
        <v>0.17254373760804664</v>
      </c>
      <c r="AZ109" s="605">
        <f t="shared" si="52"/>
        <v>0.51763121282413993</v>
      </c>
      <c r="BA109" s="611">
        <f t="shared" si="195"/>
        <v>2.0705248512965602</v>
      </c>
    </row>
    <row r="110" spans="1:53" ht="18.75" hidden="1" x14ac:dyDescent="0.3">
      <c r="A110" s="395" t="s">
        <v>557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9"/>
      <c r="U110" s="399"/>
      <c r="V110" s="603">
        <f>SUM(V100*0.3%)</f>
        <v>2.0705248512965597</v>
      </c>
      <c r="W110" s="609"/>
      <c r="X110" s="603">
        <f>SUM(V110*стоки!AK52/стоки!AI52)</f>
        <v>2.0705248512965597</v>
      </c>
      <c r="Y110" s="613">
        <f t="shared" ref="Y110:Y111" si="248">SUM(V110-X110)</f>
        <v>0</v>
      </c>
      <c r="Z110" s="381">
        <f t="shared" ref="Z110" si="249">SUM(V110/12)</f>
        <v>0.17254373760804664</v>
      </c>
      <c r="AA110" s="877"/>
      <c r="AB110" s="381">
        <f t="shared" ref="AB110" si="250">SUM(Z110)</f>
        <v>0.17254373760804664</v>
      </c>
      <c r="AC110" s="381">
        <f t="shared" ref="AC110" si="251">SUM(Z110)</f>
        <v>0.17254373760804664</v>
      </c>
      <c r="AD110" s="605">
        <f t="shared" ref="AD110" si="252">SUM(Z110+AB110+AC110)</f>
        <v>0.51763121282413993</v>
      </c>
      <c r="AE110" s="884"/>
      <c r="AF110" s="884"/>
      <c r="AG110" s="884"/>
      <c r="AH110" s="884"/>
      <c r="AI110" s="2590"/>
      <c r="AJ110" s="2590"/>
      <c r="AK110" s="2590"/>
      <c r="AL110" s="2590"/>
      <c r="AM110" s="381">
        <f t="shared" ref="AM110" si="253">SUM(Z110)</f>
        <v>0.17254373760804664</v>
      </c>
      <c r="AN110" s="381">
        <f t="shared" ref="AN110" si="254">SUM(Z110)</f>
        <v>0.17254373760804664</v>
      </c>
      <c r="AO110" s="381">
        <f t="shared" ref="AO110" si="255">SUM(Z110)</f>
        <v>0.17254373760804664</v>
      </c>
      <c r="AP110" s="605">
        <f t="shared" ref="AP110" si="256">SUM(AM110+AN110+AO110)</f>
        <v>0.51763121282413993</v>
      </c>
      <c r="AQ110" s="605">
        <f t="shared" si="192"/>
        <v>1.0352624256482799</v>
      </c>
      <c r="AR110" s="381">
        <f t="shared" ref="AR110" si="257">SUM(Z110)</f>
        <v>0.17254373760804664</v>
      </c>
      <c r="AS110" s="381">
        <f t="shared" ref="AS110" si="258">SUM(Z110)</f>
        <v>0.17254373760804664</v>
      </c>
      <c r="AT110" s="381">
        <f t="shared" ref="AT110" si="259">SUM(Z110)</f>
        <v>0.17254373760804664</v>
      </c>
      <c r="AU110" s="605">
        <f t="shared" ref="AU110" si="260">SUM(AR110+AS110+AT110)</f>
        <v>0.51763121282413993</v>
      </c>
      <c r="AV110" s="605">
        <f t="shared" si="51"/>
        <v>1.5528936384724199</v>
      </c>
      <c r="AW110" s="381">
        <f t="shared" ref="AW110" si="261">SUM(Z110)</f>
        <v>0.17254373760804664</v>
      </c>
      <c r="AX110" s="381">
        <f t="shared" ref="AX110" si="262">SUM(Z110)</f>
        <v>0.17254373760804664</v>
      </c>
      <c r="AY110" s="381">
        <f t="shared" ref="AY110" si="263">SUM(Z110)</f>
        <v>0.17254373760804664</v>
      </c>
      <c r="AZ110" s="605">
        <f t="shared" ref="AZ110" si="264">SUM(AW110+AX110+AY110)</f>
        <v>0.51763121282413993</v>
      </c>
      <c r="BA110" s="611">
        <f t="shared" si="195"/>
        <v>2.0705248512965602</v>
      </c>
    </row>
    <row r="111" spans="1:53" ht="18.75" hidden="1" x14ac:dyDescent="0.3">
      <c r="A111" s="404" t="s">
        <v>605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9"/>
      <c r="U111" s="399"/>
      <c r="V111" s="603">
        <f>SUM(V112:V112)</f>
        <v>0.13113324058211545</v>
      </c>
      <c r="W111" s="609"/>
      <c r="X111" s="603">
        <f>SUM(V111*стоки!AK52/стоки!AI52)</f>
        <v>0.13113324058211545</v>
      </c>
      <c r="Y111" s="613">
        <f t="shared" si="248"/>
        <v>0</v>
      </c>
      <c r="Z111" s="380">
        <f>SUM(Z112)</f>
        <v>1.0927770048509622E-2</v>
      </c>
      <c r="AA111" s="879"/>
      <c r="AB111" s="380">
        <f>SUM(AB112)</f>
        <v>1.0927770048509622E-2</v>
      </c>
      <c r="AC111" s="380">
        <f>SUM(AC112)</f>
        <v>1.0927770048509622E-2</v>
      </c>
      <c r="AD111" s="605">
        <f t="shared" si="48"/>
        <v>3.2783310145528863E-2</v>
      </c>
      <c r="AE111" s="884"/>
      <c r="AF111" s="884"/>
      <c r="AG111" s="884"/>
      <c r="AH111" s="884"/>
      <c r="AI111" s="2590"/>
      <c r="AJ111" s="2590"/>
      <c r="AK111" s="2590"/>
      <c r="AL111" s="2590"/>
      <c r="AM111" s="380">
        <f t="shared" ref="AM111:AO111" si="265">SUM(AM112)</f>
        <v>1.0927770048509622E-2</v>
      </c>
      <c r="AN111" s="380">
        <f t="shared" si="265"/>
        <v>1.0927770048509622E-2</v>
      </c>
      <c r="AO111" s="380">
        <f t="shared" si="265"/>
        <v>1.0927770048509622E-2</v>
      </c>
      <c r="AP111" s="605">
        <f t="shared" si="49"/>
        <v>3.2783310145528863E-2</v>
      </c>
      <c r="AQ111" s="605">
        <f t="shared" si="192"/>
        <v>6.5566620291057726E-2</v>
      </c>
      <c r="AR111" s="380">
        <f t="shared" ref="AR111" si="266">SUM(AR112)</f>
        <v>1.0927770048509622E-2</v>
      </c>
      <c r="AS111" s="380">
        <f t="shared" ref="AS111" si="267">SUM(AS112)</f>
        <v>1.0927770048509622E-2</v>
      </c>
      <c r="AT111" s="380">
        <f t="shared" ref="AT111" si="268">SUM(AT112)</f>
        <v>1.0927770048509622E-2</v>
      </c>
      <c r="AU111" s="605">
        <f t="shared" si="50"/>
        <v>3.2783310145528863E-2</v>
      </c>
      <c r="AV111" s="605">
        <f t="shared" si="51"/>
        <v>9.8349930436586588E-2</v>
      </c>
      <c r="AW111" s="380">
        <f t="shared" ref="AW111" si="269">SUM(AW112)</f>
        <v>1.0927770048509622E-2</v>
      </c>
      <c r="AX111" s="380">
        <f t="shared" ref="AX111" si="270">SUM(AX112)</f>
        <v>1.0927770048509622E-2</v>
      </c>
      <c r="AY111" s="380">
        <f t="shared" ref="AY111" si="271">SUM(AY112)</f>
        <v>1.0927770048509622E-2</v>
      </c>
      <c r="AZ111" s="605">
        <f t="shared" si="52"/>
        <v>3.2783310145528863E-2</v>
      </c>
      <c r="BA111" s="611">
        <f t="shared" si="195"/>
        <v>0.13113324058211542</v>
      </c>
    </row>
    <row r="112" spans="1:53" ht="18.75" hidden="1" x14ac:dyDescent="0.3">
      <c r="A112" s="395" t="s">
        <v>609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9"/>
      <c r="U112" s="399"/>
      <c r="V112" s="603">
        <f>SUM(V100*0.019%)</f>
        <v>0.13113324058211545</v>
      </c>
      <c r="W112" s="609"/>
      <c r="X112" s="603">
        <f>SUM(V112*стоки!AK52/стоки!AI52)</f>
        <v>0.13113324058211545</v>
      </c>
      <c r="Y112" s="613">
        <f t="shared" ref="Y112" si="272">SUM(V112-X112)</f>
        <v>0</v>
      </c>
      <c r="Z112" s="381">
        <f t="shared" ref="Z112" si="273">SUM(V112/12)</f>
        <v>1.0927770048509622E-2</v>
      </c>
      <c r="AA112" s="877"/>
      <c r="AB112" s="381">
        <f t="shared" ref="AB112" si="274">SUM(Z112)</f>
        <v>1.0927770048509622E-2</v>
      </c>
      <c r="AC112" s="381">
        <f t="shared" ref="AC112" si="275">SUM(Z112)</f>
        <v>1.0927770048509622E-2</v>
      </c>
      <c r="AD112" s="605">
        <f t="shared" ref="AD112" si="276">SUM(Z112+AB112+AC112)</f>
        <v>3.2783310145528863E-2</v>
      </c>
      <c r="AE112" s="884"/>
      <c r="AF112" s="884"/>
      <c r="AG112" s="884"/>
      <c r="AH112" s="884"/>
      <c r="AI112" s="2590"/>
      <c r="AJ112" s="2590"/>
      <c r="AK112" s="2590"/>
      <c r="AL112" s="2590"/>
      <c r="AM112" s="604">
        <f t="shared" ref="AM112" si="277">SUM(Z112)</f>
        <v>1.0927770048509622E-2</v>
      </c>
      <c r="AN112" s="604">
        <f t="shared" ref="AN112" si="278">SUM(Z112)</f>
        <v>1.0927770048509622E-2</v>
      </c>
      <c r="AO112" s="604">
        <f t="shared" ref="AO112" si="279">SUM(Z112)</f>
        <v>1.0927770048509622E-2</v>
      </c>
      <c r="AP112" s="605">
        <f t="shared" ref="AP112" si="280">SUM(AM112+AN112+AO112)</f>
        <v>3.2783310145528863E-2</v>
      </c>
      <c r="AQ112" s="605">
        <f t="shared" si="192"/>
        <v>6.5566620291057726E-2</v>
      </c>
      <c r="AR112" s="604">
        <f t="shared" ref="AR112" si="281">SUM(Z112)</f>
        <v>1.0927770048509622E-2</v>
      </c>
      <c r="AS112" s="604">
        <f t="shared" ref="AS112" si="282">SUM(Z112)</f>
        <v>1.0927770048509622E-2</v>
      </c>
      <c r="AT112" s="604">
        <f t="shared" ref="AT112" si="283">SUM(Z112)</f>
        <v>1.0927770048509622E-2</v>
      </c>
      <c r="AU112" s="605">
        <f t="shared" ref="AU112" si="284">SUM(AR112+AS112+AT112)</f>
        <v>3.2783310145528863E-2</v>
      </c>
      <c r="AV112" s="605">
        <f t="shared" si="51"/>
        <v>9.8349930436586588E-2</v>
      </c>
      <c r="AW112" s="604">
        <f t="shared" ref="AW112" si="285">SUM(Z112)</f>
        <v>1.0927770048509622E-2</v>
      </c>
      <c r="AX112" s="604">
        <f t="shared" ref="AX112" si="286">SUM(Z112)</f>
        <v>1.0927770048509622E-2</v>
      </c>
      <c r="AY112" s="604">
        <f t="shared" ref="AY112" si="287">SUM(Z112)</f>
        <v>1.0927770048509622E-2</v>
      </c>
      <c r="AZ112" s="605">
        <f t="shared" ref="AZ112" si="288">SUM(AW112+AX112+AY112)</f>
        <v>3.2783310145528863E-2</v>
      </c>
      <c r="BA112" s="611">
        <f t="shared" si="195"/>
        <v>0.13113324058211542</v>
      </c>
    </row>
    <row r="113" spans="1:53" ht="18.75" hidden="1" customHeight="1" x14ac:dyDescent="0.3">
      <c r="A113" s="600" t="s">
        <v>618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9"/>
      <c r="U113" s="399"/>
      <c r="V113" s="606">
        <f>SUM(AC50)</f>
        <v>2687.5084197683254</v>
      </c>
      <c r="W113" s="609"/>
      <c r="X113" s="606">
        <f t="shared" ref="X113:X122" si="289">SUM(V113)</f>
        <v>2687.5084197683254</v>
      </c>
      <c r="Y113" s="612">
        <f>SUM(V113-X113)</f>
        <v>0</v>
      </c>
      <c r="Z113" s="378">
        <f>SUM(Z114+Z115+Z116+Z117+Z118+Z120)</f>
        <v>216.83777765156583</v>
      </c>
      <c r="AA113" s="876"/>
      <c r="AB113" s="378">
        <f t="shared" ref="AB113:AC113" si="290">SUM(AB114+AB115+AB116+AB117+AB118+AB120)</f>
        <v>216.83777765156583</v>
      </c>
      <c r="AC113" s="378">
        <f t="shared" si="290"/>
        <v>216.83777765156583</v>
      </c>
      <c r="AD113" s="614">
        <f t="shared" si="48"/>
        <v>650.51333295469749</v>
      </c>
      <c r="AE113" s="883"/>
      <c r="AF113" s="883"/>
      <c r="AG113" s="883"/>
      <c r="AH113" s="883"/>
      <c r="AI113" s="2589"/>
      <c r="AJ113" s="2589"/>
      <c r="AK113" s="2589"/>
      <c r="AL113" s="2589"/>
      <c r="AM113" s="378">
        <f t="shared" ref="AM113" si="291">SUM(AM114+AM115+AM116+AM117+AM118+AM120)</f>
        <v>216.88276654251274</v>
      </c>
      <c r="AN113" s="378">
        <f t="shared" ref="AN113" si="292">SUM(AN114+AN115+AN116+AN117+AN118+AN120)</f>
        <v>217.62758262596734</v>
      </c>
      <c r="AO113" s="378">
        <f t="shared" ref="AO113" si="293">SUM(AO114+AO115+AO116+AO117+AO118+AO120)</f>
        <v>218.27742216186732</v>
      </c>
      <c r="AP113" s="614">
        <f t="shared" si="49"/>
        <v>652.78777133034737</v>
      </c>
      <c r="AQ113" s="614">
        <f t="shared" si="192"/>
        <v>1303.3011042850449</v>
      </c>
      <c r="AR113" s="378">
        <f t="shared" ref="AR113" si="294">SUM(AR114+AR115+AR116+AR117+AR118+AR120)</f>
        <v>231.69180797565591</v>
      </c>
      <c r="AS113" s="378">
        <f t="shared" ref="AS113" si="295">SUM(AS114+AS115+AS116+AS117+AS118+AS120)</f>
        <v>231.4968561148859</v>
      </c>
      <c r="AT113" s="378">
        <f t="shared" ref="AT113" si="296">SUM(AT114+AT115+AT116+AT117+AT118+AT120)</f>
        <v>230.84701657898592</v>
      </c>
      <c r="AU113" s="614">
        <f t="shared" si="50"/>
        <v>694.03568066952766</v>
      </c>
      <c r="AV113" s="614">
        <f t="shared" si="51"/>
        <v>1997.3367849545725</v>
      </c>
      <c r="AW113" s="378">
        <f t="shared" ref="AW113" si="297">SUM(AW114+AW115+AW116+AW117+AW118+AW120)</f>
        <v>230.05721160458441</v>
      </c>
      <c r="AX113" s="378">
        <f t="shared" ref="AX113" si="298">SUM(AX114+AX115+AX116+AX117+AX118+AX120)</f>
        <v>230.05721160458441</v>
      </c>
      <c r="AY113" s="378">
        <f t="shared" ref="AY113" si="299">SUM(AY114+AY115+AY116+AY117+AY118+AY120)</f>
        <v>230.05721160458441</v>
      </c>
      <c r="AZ113" s="614">
        <f t="shared" si="52"/>
        <v>690.17163481375326</v>
      </c>
      <c r="BA113" s="611">
        <f t="shared" si="195"/>
        <v>2687.5084197683259</v>
      </c>
    </row>
    <row r="114" spans="1:53" ht="18.75" hidden="1" x14ac:dyDescent="0.3">
      <c r="A114" s="40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9"/>
      <c r="U114" s="399"/>
      <c r="V114" s="603">
        <f>SUM(V113*70.01%)</f>
        <v>1881.5246446798049</v>
      </c>
      <c r="W114" s="609"/>
      <c r="X114" s="603">
        <f t="shared" si="289"/>
        <v>1881.5246446798049</v>
      </c>
      <c r="Y114" s="613">
        <f t="shared" ref="Y114:Y117" si="300">SUM(V114-X114)</f>
        <v>0</v>
      </c>
      <c r="Z114" s="381">
        <f>SUM(V114/2)/(1+(106.7%*100-100)/2/100)/6</f>
        <v>151.71138886307088</v>
      </c>
      <c r="AA114" s="877"/>
      <c r="AB114" s="380">
        <f>SUM(Z114)</f>
        <v>151.71138886307088</v>
      </c>
      <c r="AC114" s="381">
        <f>SUM(Z114)</f>
        <v>151.71138886307088</v>
      </c>
      <c r="AD114" s="605">
        <f>SUM(Z114+AB114+AC114)</f>
        <v>455.13416658921267</v>
      </c>
      <c r="AE114" s="884"/>
      <c r="AF114" s="884"/>
      <c r="AG114" s="884"/>
      <c r="AH114" s="884"/>
      <c r="AI114" s="2590"/>
      <c r="AJ114" s="2590"/>
      <c r="AK114" s="2590"/>
      <c r="AL114" s="2590"/>
      <c r="AM114" s="604">
        <f>SUM(Z114)</f>
        <v>151.71138886307088</v>
      </c>
      <c r="AN114" s="604">
        <f>SUM(Z114)</f>
        <v>151.71138886307088</v>
      </c>
      <c r="AO114" s="604">
        <f>SUM(Z114)</f>
        <v>151.71138886307088</v>
      </c>
      <c r="AP114" s="605">
        <f>SUM(AM114+AN114+AO114)</f>
        <v>455.13416658921267</v>
      </c>
      <c r="AQ114" s="605">
        <f t="shared" si="192"/>
        <v>910.26833317842534</v>
      </c>
      <c r="AR114" s="604">
        <f>SUM(V114-AQ114)/6</f>
        <v>161.87605191689659</v>
      </c>
      <c r="AS114" s="604">
        <f>SUM(AR114)</f>
        <v>161.87605191689659</v>
      </c>
      <c r="AT114" s="604">
        <f>SUM(AR114)</f>
        <v>161.87605191689659</v>
      </c>
      <c r="AU114" s="605">
        <f>SUM(AR114+AS114+AT114)</f>
        <v>485.62815575068976</v>
      </c>
      <c r="AV114" s="605">
        <f>SUM(AQ114+AU114)</f>
        <v>1395.8964889291151</v>
      </c>
      <c r="AW114" s="604">
        <f>SUM(AR114)</f>
        <v>161.87605191689659</v>
      </c>
      <c r="AX114" s="604">
        <f>SUM(AR114)</f>
        <v>161.87605191689659</v>
      </c>
      <c r="AY114" s="604">
        <f>SUM(AR114)</f>
        <v>161.87605191689659</v>
      </c>
      <c r="AZ114" s="605">
        <f>SUM(AW114+AX114+AY114)</f>
        <v>485.62815575068976</v>
      </c>
      <c r="BA114" s="611">
        <f t="shared" si="195"/>
        <v>1881.5246446798046</v>
      </c>
    </row>
    <row r="115" spans="1:53" ht="18.75" hidden="1" x14ac:dyDescent="0.3">
      <c r="A115" s="404" t="s">
        <v>117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9"/>
      <c r="U115" s="399"/>
      <c r="V115" s="603">
        <f>SUM(V113*21.04%)</f>
        <v>565.45177151925566</v>
      </c>
      <c r="W115" s="609"/>
      <c r="X115" s="603">
        <f t="shared" si="289"/>
        <v>565.45177151925566</v>
      </c>
      <c r="Y115" s="613">
        <f t="shared" si="300"/>
        <v>0</v>
      </c>
      <c r="Z115" s="381">
        <f>SUM(Z114*(V115/V114))</f>
        <v>45.593595510341537</v>
      </c>
      <c r="AA115" s="877"/>
      <c r="AB115" s="381">
        <f>SUM(Z115)</f>
        <v>45.593595510341537</v>
      </c>
      <c r="AC115" s="380">
        <f>SUM(Z115)</f>
        <v>45.593595510341537</v>
      </c>
      <c r="AD115" s="605">
        <f t="shared" ref="AD115" si="301">SUM(Z115+AB115+AC115)</f>
        <v>136.7807865310246</v>
      </c>
      <c r="AE115" s="884"/>
      <c r="AF115" s="884"/>
      <c r="AG115" s="884"/>
      <c r="AH115" s="884"/>
      <c r="AI115" s="2590"/>
      <c r="AJ115" s="2590"/>
      <c r="AK115" s="2590"/>
      <c r="AL115" s="2590"/>
      <c r="AM115" s="604">
        <f>SUM(Z115)</f>
        <v>45.593595510341537</v>
      </c>
      <c r="AN115" s="604">
        <f>SUM(Z115)</f>
        <v>45.593595510341537</v>
      </c>
      <c r="AO115" s="604">
        <f>SUM(Z115)</f>
        <v>45.593595510341537</v>
      </c>
      <c r="AP115" s="605">
        <f t="shared" ref="AP115" si="302">SUM(AM115+AN115+AO115)</f>
        <v>136.7807865310246</v>
      </c>
      <c r="AQ115" s="605">
        <f t="shared" si="192"/>
        <v>273.56157306204921</v>
      </c>
      <c r="AR115" s="604">
        <f>SUM(V115-AQ115)/6</f>
        <v>48.648366409534411</v>
      </c>
      <c r="AS115" s="604">
        <f>SUM(AR115)</f>
        <v>48.648366409534411</v>
      </c>
      <c r="AT115" s="604">
        <f>SUM(AR115)</f>
        <v>48.648366409534411</v>
      </c>
      <c r="AU115" s="605">
        <f t="shared" ref="AU115" si="303">SUM(AR115+AS115+AT115)</f>
        <v>145.94509922860323</v>
      </c>
      <c r="AV115" s="605">
        <f t="shared" ref="AV115:AV124" si="304">SUM(AQ115+AU115)</f>
        <v>419.50667229065243</v>
      </c>
      <c r="AW115" s="604">
        <f>SUM(AR115)</f>
        <v>48.648366409534411</v>
      </c>
      <c r="AX115" s="604">
        <f>SUM(AR115)</f>
        <v>48.648366409534411</v>
      </c>
      <c r="AY115" s="604">
        <f>SUM(AR115)</f>
        <v>48.648366409534411</v>
      </c>
      <c r="AZ115" s="605">
        <f t="shared" ref="AZ115" si="305">SUM(AW115+AX115+AY115)</f>
        <v>145.94509922860323</v>
      </c>
      <c r="BA115" s="611">
        <f t="shared" si="195"/>
        <v>565.45177151925554</v>
      </c>
    </row>
    <row r="116" spans="1:53" ht="18.75" hidden="1" x14ac:dyDescent="0.3">
      <c r="A116" s="40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9"/>
      <c r="U116" s="399"/>
      <c r="V116" s="603">
        <f>SUM(V113*0.18%)</f>
        <v>4.8375151555829854</v>
      </c>
      <c r="W116" s="609"/>
      <c r="X116" s="603">
        <f t="shared" si="289"/>
        <v>4.8375151555829854</v>
      </c>
      <c r="Y116" s="613">
        <f t="shared" si="300"/>
        <v>0</v>
      </c>
      <c r="Z116" s="381">
        <f t="shared" ref="Z116:Z117" si="306">SUM(V116/12)</f>
        <v>0.40312626296524878</v>
      </c>
      <c r="AA116" s="877"/>
      <c r="AB116" s="381">
        <f t="shared" ref="AB116:AB117" si="307">SUM(Z116)</f>
        <v>0.40312626296524878</v>
      </c>
      <c r="AC116" s="381">
        <f t="shared" ref="AC116:AC117" si="308">SUM(Z116)</f>
        <v>0.40312626296524878</v>
      </c>
      <c r="AD116" s="605">
        <f t="shared" ref="AD116:AD117" si="309">SUM(Z116+AB116+AC116)</f>
        <v>1.2093787888957463</v>
      </c>
      <c r="AE116" s="884"/>
      <c r="AF116" s="884"/>
      <c r="AG116" s="884"/>
      <c r="AH116" s="884"/>
      <c r="AI116" s="2590"/>
      <c r="AJ116" s="2590"/>
      <c r="AK116" s="2590"/>
      <c r="AL116" s="2590"/>
      <c r="AM116" s="604">
        <f t="shared" ref="AM116:AM117" si="310">SUM(Z116)</f>
        <v>0.40312626296524878</v>
      </c>
      <c r="AN116" s="604">
        <f t="shared" ref="AN116:AN117" si="311">SUM(Z116)</f>
        <v>0.40312626296524878</v>
      </c>
      <c r="AO116" s="604">
        <f t="shared" ref="AO116:AO117" si="312">SUM(Z116)</f>
        <v>0.40312626296524878</v>
      </c>
      <c r="AP116" s="605">
        <f t="shared" ref="AP116:AP117" si="313">SUM(AM116+AN116+AO116)</f>
        <v>1.2093787888957463</v>
      </c>
      <c r="AQ116" s="605">
        <f t="shared" si="192"/>
        <v>2.4187575777914927</v>
      </c>
      <c r="AR116" s="604">
        <f t="shared" ref="AR116:AR117" si="314">SUM(Z116)</f>
        <v>0.40312626296524878</v>
      </c>
      <c r="AS116" s="604">
        <f t="shared" ref="AS116:AS117" si="315">SUM(Z116)</f>
        <v>0.40312626296524878</v>
      </c>
      <c r="AT116" s="604">
        <f t="shared" ref="AT116:AT117" si="316">SUM(Z116)</f>
        <v>0.40312626296524878</v>
      </c>
      <c r="AU116" s="605">
        <f t="shared" ref="AU116:AU117" si="317">SUM(AR116+AS116+AT116)</f>
        <v>1.2093787888957463</v>
      </c>
      <c r="AV116" s="605">
        <f t="shared" si="304"/>
        <v>3.6281363666872393</v>
      </c>
      <c r="AW116" s="604">
        <f t="shared" ref="AW116:AW117" si="318">SUM(Z116)</f>
        <v>0.40312626296524878</v>
      </c>
      <c r="AX116" s="604">
        <f t="shared" ref="AX116:AX117" si="319">SUM(Z116)</f>
        <v>0.40312626296524878</v>
      </c>
      <c r="AY116" s="604">
        <f t="shared" ref="AY116:AY117" si="320">SUM(Z116)</f>
        <v>0.40312626296524878</v>
      </c>
      <c r="AZ116" s="605">
        <f t="shared" ref="AZ116:AZ117" si="321">SUM(AW116+AX116+AY116)</f>
        <v>1.2093787888957463</v>
      </c>
      <c r="BA116" s="611">
        <f t="shared" si="195"/>
        <v>4.8375151555829872</v>
      </c>
    </row>
    <row r="117" spans="1:53" ht="18.75" hidden="1" x14ac:dyDescent="0.3">
      <c r="A117" s="404" t="s">
        <v>601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9"/>
      <c r="U117" s="399"/>
      <c r="V117" s="603">
        <f>SUM(V113*6.19%)</f>
        <v>166.35677118365936</v>
      </c>
      <c r="W117" s="609"/>
      <c r="X117" s="603">
        <f t="shared" si="289"/>
        <v>166.35677118365936</v>
      </c>
      <c r="Y117" s="613">
        <f t="shared" si="300"/>
        <v>0</v>
      </c>
      <c r="Z117" s="381">
        <f t="shared" si="306"/>
        <v>13.863064265304947</v>
      </c>
      <c r="AA117" s="877"/>
      <c r="AB117" s="381">
        <f t="shared" si="307"/>
        <v>13.863064265304947</v>
      </c>
      <c r="AC117" s="381">
        <f t="shared" si="308"/>
        <v>13.863064265304947</v>
      </c>
      <c r="AD117" s="605">
        <f t="shared" si="309"/>
        <v>41.58919279591484</v>
      </c>
      <c r="AE117" s="884"/>
      <c r="AF117" s="884"/>
      <c r="AG117" s="884"/>
      <c r="AH117" s="884"/>
      <c r="AI117" s="2590"/>
      <c r="AJ117" s="2590"/>
      <c r="AK117" s="2590"/>
      <c r="AL117" s="2590"/>
      <c r="AM117" s="604">
        <f t="shared" si="310"/>
        <v>13.863064265304947</v>
      </c>
      <c r="AN117" s="604">
        <f t="shared" si="311"/>
        <v>13.863064265304947</v>
      </c>
      <c r="AO117" s="604">
        <f t="shared" si="312"/>
        <v>13.863064265304947</v>
      </c>
      <c r="AP117" s="605">
        <f t="shared" si="313"/>
        <v>41.58919279591484</v>
      </c>
      <c r="AQ117" s="605">
        <f t="shared" si="192"/>
        <v>83.178385591829681</v>
      </c>
      <c r="AR117" s="604">
        <f t="shared" si="314"/>
        <v>13.863064265304947</v>
      </c>
      <c r="AS117" s="604">
        <f t="shared" si="315"/>
        <v>13.863064265304947</v>
      </c>
      <c r="AT117" s="604">
        <f t="shared" si="316"/>
        <v>13.863064265304947</v>
      </c>
      <c r="AU117" s="605">
        <f t="shared" si="317"/>
        <v>41.58919279591484</v>
      </c>
      <c r="AV117" s="605">
        <f t="shared" si="304"/>
        <v>124.76757838774452</v>
      </c>
      <c r="AW117" s="604">
        <f t="shared" si="318"/>
        <v>13.863064265304947</v>
      </c>
      <c r="AX117" s="604">
        <f t="shared" si="319"/>
        <v>13.863064265304947</v>
      </c>
      <c r="AY117" s="604">
        <f t="shared" si="320"/>
        <v>13.863064265304947</v>
      </c>
      <c r="AZ117" s="605">
        <f t="shared" si="321"/>
        <v>41.58919279591484</v>
      </c>
      <c r="BA117" s="611">
        <f t="shared" si="195"/>
        <v>166.35677118365936</v>
      </c>
    </row>
    <row r="118" spans="1:53" ht="18.75" hidden="1" x14ac:dyDescent="0.3">
      <c r="A118" s="404" t="s">
        <v>602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9"/>
      <c r="U118" s="399"/>
      <c r="V118" s="603">
        <f>SUM(V119)</f>
        <v>18.812558938378277</v>
      </c>
      <c r="W118" s="609"/>
      <c r="X118" s="603">
        <f t="shared" si="289"/>
        <v>18.812558938378277</v>
      </c>
      <c r="Y118" s="603">
        <f t="shared" ref="Y118:AO118" si="322">SUM(Y119)</f>
        <v>0</v>
      </c>
      <c r="Z118" s="380">
        <f t="shared" si="322"/>
        <v>1.5677132448648565</v>
      </c>
      <c r="AA118" s="879"/>
      <c r="AB118" s="380">
        <f t="shared" si="322"/>
        <v>1.5677132448648565</v>
      </c>
      <c r="AC118" s="380">
        <f t="shared" si="322"/>
        <v>1.5677132448648565</v>
      </c>
      <c r="AD118" s="605">
        <f t="shared" ref="AD118:AD124" si="323">SUM(Z118+AB118+AC118)</f>
        <v>4.7031397345945694</v>
      </c>
      <c r="AE118" s="884"/>
      <c r="AF118" s="884"/>
      <c r="AG118" s="884"/>
      <c r="AH118" s="884"/>
      <c r="AI118" s="2590"/>
      <c r="AJ118" s="2590"/>
      <c r="AK118" s="2590"/>
      <c r="AL118" s="2590"/>
      <c r="AM118" s="380">
        <f t="shared" si="322"/>
        <v>1.5677132448648565</v>
      </c>
      <c r="AN118" s="380">
        <f t="shared" si="322"/>
        <v>1.5677132448648565</v>
      </c>
      <c r="AO118" s="380">
        <f t="shared" si="322"/>
        <v>1.5677132448648565</v>
      </c>
      <c r="AP118" s="605">
        <f t="shared" ref="AP118:AP124" si="324">SUM(AM118+AN118+AO118)</f>
        <v>4.7031397345945694</v>
      </c>
      <c r="AQ118" s="605">
        <f t="shared" si="192"/>
        <v>9.4062794691891387</v>
      </c>
      <c r="AR118" s="380">
        <f t="shared" ref="AR118:AT118" si="325">SUM(AR119)</f>
        <v>1.5677132448648565</v>
      </c>
      <c r="AS118" s="380">
        <f t="shared" si="325"/>
        <v>1.5677132448648565</v>
      </c>
      <c r="AT118" s="380">
        <f t="shared" si="325"/>
        <v>1.5677132448648565</v>
      </c>
      <c r="AU118" s="605">
        <f t="shared" ref="AU118:AU124" si="326">SUM(AR118+AS118+AT118)</f>
        <v>4.7031397345945694</v>
      </c>
      <c r="AV118" s="605">
        <f t="shared" si="304"/>
        <v>14.109419203783709</v>
      </c>
      <c r="AW118" s="380">
        <f t="shared" ref="AW118:AY118" si="327">SUM(AW119)</f>
        <v>1.5677132448648565</v>
      </c>
      <c r="AX118" s="380">
        <f t="shared" si="327"/>
        <v>1.5677132448648565</v>
      </c>
      <c r="AY118" s="380">
        <f t="shared" si="327"/>
        <v>1.5677132448648565</v>
      </c>
      <c r="AZ118" s="605">
        <f t="shared" ref="AZ118:AZ124" si="328">SUM(AW118+AX118+AY118)</f>
        <v>4.7031397345945694</v>
      </c>
      <c r="BA118" s="611">
        <f t="shared" si="195"/>
        <v>18.812558938378277</v>
      </c>
    </row>
    <row r="119" spans="1:53" ht="18.75" hidden="1" x14ac:dyDescent="0.3">
      <c r="A119" s="395" t="s">
        <v>557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9"/>
      <c r="U119" s="399"/>
      <c r="V119" s="603">
        <f>SUM(V113*0.7%)</f>
        <v>18.812558938378277</v>
      </c>
      <c r="W119" s="609"/>
      <c r="X119" s="603">
        <f t="shared" si="289"/>
        <v>18.812558938378277</v>
      </c>
      <c r="Y119" s="613">
        <f t="shared" ref="Y119" si="329">SUM(V119-X119)</f>
        <v>0</v>
      </c>
      <c r="Z119" s="381">
        <f t="shared" ref="Z119" si="330">SUM(V119/12)</f>
        <v>1.5677132448648565</v>
      </c>
      <c r="AA119" s="877"/>
      <c r="AB119" s="381">
        <f t="shared" ref="AB119" si="331">SUM(Z119)</f>
        <v>1.5677132448648565</v>
      </c>
      <c r="AC119" s="381">
        <f t="shared" ref="AC119" si="332">SUM(Z119)</f>
        <v>1.5677132448648565</v>
      </c>
      <c r="AD119" s="605">
        <f t="shared" si="323"/>
        <v>4.7031397345945694</v>
      </c>
      <c r="AE119" s="884"/>
      <c r="AF119" s="884"/>
      <c r="AG119" s="884"/>
      <c r="AH119" s="884"/>
      <c r="AI119" s="2590"/>
      <c r="AJ119" s="2590"/>
      <c r="AK119" s="2590"/>
      <c r="AL119" s="2590"/>
      <c r="AM119" s="381">
        <f t="shared" ref="AM119" si="333">SUM(Z119)</f>
        <v>1.5677132448648565</v>
      </c>
      <c r="AN119" s="381">
        <f t="shared" ref="AN119" si="334">SUM(Z119)</f>
        <v>1.5677132448648565</v>
      </c>
      <c r="AO119" s="381">
        <f t="shared" ref="AO119" si="335">SUM(Z119)</f>
        <v>1.5677132448648565</v>
      </c>
      <c r="AP119" s="605">
        <f t="shared" si="324"/>
        <v>4.7031397345945694</v>
      </c>
      <c r="AQ119" s="605">
        <f t="shared" si="192"/>
        <v>9.4062794691891387</v>
      </c>
      <c r="AR119" s="381">
        <f t="shared" ref="AR119" si="336">SUM(Z119)</f>
        <v>1.5677132448648565</v>
      </c>
      <c r="AS119" s="381">
        <f t="shared" ref="AS119" si="337">SUM(Z119)</f>
        <v>1.5677132448648565</v>
      </c>
      <c r="AT119" s="381">
        <f t="shared" ref="AT119" si="338">SUM(Z119)</f>
        <v>1.5677132448648565</v>
      </c>
      <c r="AU119" s="605">
        <f t="shared" si="326"/>
        <v>4.7031397345945694</v>
      </c>
      <c r="AV119" s="605">
        <f t="shared" si="304"/>
        <v>14.109419203783709</v>
      </c>
      <c r="AW119" s="381">
        <f t="shared" ref="AW119" si="339">SUM(Z119)</f>
        <v>1.5677132448648565</v>
      </c>
      <c r="AX119" s="381">
        <f t="shared" ref="AX119" si="340">SUM(Z119)</f>
        <v>1.5677132448648565</v>
      </c>
      <c r="AY119" s="381">
        <f t="shared" ref="AY119" si="341">SUM(Z119)</f>
        <v>1.5677132448648565</v>
      </c>
      <c r="AZ119" s="605">
        <f t="shared" si="328"/>
        <v>4.7031397345945694</v>
      </c>
      <c r="BA119" s="611">
        <f t="shared" si="195"/>
        <v>18.812558938378277</v>
      </c>
    </row>
    <row r="120" spans="1:53" ht="18.75" hidden="1" x14ac:dyDescent="0.3">
      <c r="A120" s="404" t="s">
        <v>605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9"/>
      <c r="U120" s="399"/>
      <c r="V120" s="603">
        <f>SUM(V121:V122)</f>
        <v>50.525158291644523</v>
      </c>
      <c r="W120" s="609"/>
      <c r="X120" s="603">
        <f t="shared" si="289"/>
        <v>50.525158291644523</v>
      </c>
      <c r="Y120" s="603">
        <f>SUM(Y121:Y122)</f>
        <v>0</v>
      </c>
      <c r="Z120" s="380">
        <f>SUM(Z121:Z122)</f>
        <v>3.6988895050183404</v>
      </c>
      <c r="AA120" s="879"/>
      <c r="AB120" s="380">
        <f>SUM(AB121:AB122)</f>
        <v>3.6988895050183404</v>
      </c>
      <c r="AC120" s="380">
        <f>SUM(AC121:AC122)</f>
        <v>3.6988895050183404</v>
      </c>
      <c r="AD120" s="605">
        <f t="shared" si="323"/>
        <v>11.096668515055022</v>
      </c>
      <c r="AE120" s="884"/>
      <c r="AF120" s="884"/>
      <c r="AG120" s="884"/>
      <c r="AH120" s="884"/>
      <c r="AI120" s="2590"/>
      <c r="AJ120" s="2590"/>
      <c r="AK120" s="2590"/>
      <c r="AL120" s="2590"/>
      <c r="AM120" s="380">
        <f>SUM(AM121:AM122)</f>
        <v>3.7438783959652628</v>
      </c>
      <c r="AN120" s="380">
        <f>SUM(AN121:AN122)</f>
        <v>4.4886944794198564</v>
      </c>
      <c r="AO120" s="380">
        <f>SUM(AO121:AO122)</f>
        <v>5.138534015319836</v>
      </c>
      <c r="AP120" s="605">
        <f t="shared" si="324"/>
        <v>13.371106890704956</v>
      </c>
      <c r="AQ120" s="605">
        <f t="shared" si="192"/>
        <v>24.46777540575998</v>
      </c>
      <c r="AR120" s="380">
        <f>SUM(AR121:AR122)</f>
        <v>5.3334858760898314</v>
      </c>
      <c r="AS120" s="380">
        <f>SUM(AS121:AS122)</f>
        <v>5.138534015319836</v>
      </c>
      <c r="AT120" s="380">
        <f>SUM(AT121:AT122)</f>
        <v>4.4886944794198564</v>
      </c>
      <c r="AU120" s="605">
        <f t="shared" si="326"/>
        <v>14.960714370829525</v>
      </c>
      <c r="AV120" s="605">
        <f t="shared" si="304"/>
        <v>39.428489776589501</v>
      </c>
      <c r="AW120" s="380">
        <f>SUM(AW121:AW122)</f>
        <v>3.6988895050183404</v>
      </c>
      <c r="AX120" s="380">
        <f>SUM(AX121:AX122)</f>
        <v>3.6988895050183404</v>
      </c>
      <c r="AY120" s="380">
        <f>SUM(AY121:AY122)</f>
        <v>3.6988895050183404</v>
      </c>
      <c r="AZ120" s="605">
        <f t="shared" si="328"/>
        <v>11.096668515055022</v>
      </c>
      <c r="BA120" s="611">
        <f t="shared" si="195"/>
        <v>50.525158291644523</v>
      </c>
    </row>
    <row r="121" spans="1:53" ht="18.75" hidden="1" x14ac:dyDescent="0.3">
      <c r="A121" s="395" t="s">
        <v>543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9"/>
      <c r="U121" s="399"/>
      <c r="V121" s="603">
        <f>SUM(V113*1.86%)</f>
        <v>49.987656607690859</v>
      </c>
      <c r="W121" s="609"/>
      <c r="X121" s="603">
        <f t="shared" si="289"/>
        <v>49.987656607690859</v>
      </c>
      <c r="Y121" s="613">
        <f t="shared" ref="Y121:Y122" si="342">SUM(V121-X121)</f>
        <v>0</v>
      </c>
      <c r="Z121" s="381">
        <f>SUM(V121*7.31%)</f>
        <v>3.6540976980222015</v>
      </c>
      <c r="AA121" s="877"/>
      <c r="AB121" s="381">
        <f>SUM(V121*7.31%)</f>
        <v>3.6540976980222015</v>
      </c>
      <c r="AC121" s="381">
        <f>SUM(V121*7.31%)</f>
        <v>3.6540976980222015</v>
      </c>
      <c r="AD121" s="605">
        <f t="shared" ref="AD121:AD122" si="343">SUM(Z121+AB121+AC121)</f>
        <v>10.962293094066604</v>
      </c>
      <c r="AE121" s="884"/>
      <c r="AF121" s="884"/>
      <c r="AG121" s="884"/>
      <c r="AH121" s="884"/>
      <c r="AI121" s="2590"/>
      <c r="AJ121" s="2590"/>
      <c r="AK121" s="2590"/>
      <c r="AL121" s="2590"/>
      <c r="AM121" s="381">
        <f>SUM(V121*7.4%)</f>
        <v>3.699086588969124</v>
      </c>
      <c r="AN121" s="381">
        <f>SUM(V121*8.89%)</f>
        <v>4.4439026724237181</v>
      </c>
      <c r="AO121" s="381">
        <f>SUM(V121*10.19%)</f>
        <v>5.0937422083236976</v>
      </c>
      <c r="AP121" s="605">
        <f t="shared" ref="AP121:AP122" si="344">SUM(AM121+AN121+AO121)</f>
        <v>13.236731469716538</v>
      </c>
      <c r="AQ121" s="605">
        <f t="shared" si="192"/>
        <v>24.199024563783141</v>
      </c>
      <c r="AR121" s="381">
        <f>SUM(V121*10.58%)</f>
        <v>5.288694069093693</v>
      </c>
      <c r="AS121" s="381">
        <f>SUM(V121*10.19%)</f>
        <v>5.0937422083236976</v>
      </c>
      <c r="AT121" s="381">
        <f>SUM(V121*8.89%)</f>
        <v>4.4439026724237181</v>
      </c>
      <c r="AU121" s="605">
        <f t="shared" ref="AU121:AU122" si="345">SUM(AR121+AS121+AT121)</f>
        <v>14.826338949841109</v>
      </c>
      <c r="AV121" s="605">
        <f t="shared" si="304"/>
        <v>39.025363513624249</v>
      </c>
      <c r="AW121" s="381">
        <f>SUM(V121*7.31%)</f>
        <v>3.6540976980222015</v>
      </c>
      <c r="AX121" s="381">
        <f>SUM(V121*7.31%)</f>
        <v>3.6540976980222015</v>
      </c>
      <c r="AY121" s="381">
        <f>SUM(V121*7.31%)</f>
        <v>3.6540976980222015</v>
      </c>
      <c r="AZ121" s="605">
        <f t="shared" ref="AZ121:AZ122" si="346">SUM(AW121+AX121+AY121)</f>
        <v>10.962293094066604</v>
      </c>
      <c r="BA121" s="611">
        <f t="shared" si="195"/>
        <v>49.987656607690852</v>
      </c>
    </row>
    <row r="122" spans="1:53" ht="18.75" hidden="1" x14ac:dyDescent="0.3">
      <c r="A122" s="620" t="s">
        <v>609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9"/>
      <c r="U122" s="399"/>
      <c r="V122" s="603">
        <f>SUM(V113*0.02%)</f>
        <v>0.53750168395366515</v>
      </c>
      <c r="W122" s="609"/>
      <c r="X122" s="603">
        <f t="shared" si="289"/>
        <v>0.53750168395366515</v>
      </c>
      <c r="Y122" s="621">
        <f t="shared" si="342"/>
        <v>0</v>
      </c>
      <c r="Z122" s="388">
        <f t="shared" ref="Z122" si="347">SUM(V122/12)</f>
        <v>4.4791806996138765E-2</v>
      </c>
      <c r="AA122" s="880"/>
      <c r="AB122" s="388">
        <f t="shared" ref="AB122" si="348">SUM(Z122)</f>
        <v>4.4791806996138765E-2</v>
      </c>
      <c r="AC122" s="388">
        <f t="shared" ref="AC122" si="349">SUM(Z122)</f>
        <v>4.4791806996138765E-2</v>
      </c>
      <c r="AD122" s="622">
        <f t="shared" si="343"/>
        <v>0.13437542098841629</v>
      </c>
      <c r="AE122" s="886"/>
      <c r="AF122" s="886"/>
      <c r="AG122" s="886"/>
      <c r="AH122" s="886"/>
      <c r="AI122" s="2592"/>
      <c r="AJ122" s="2592"/>
      <c r="AK122" s="2592"/>
      <c r="AL122" s="2592"/>
      <c r="AM122" s="623">
        <f t="shared" ref="AM122" si="350">SUM(Z122)</f>
        <v>4.4791806996138765E-2</v>
      </c>
      <c r="AN122" s="623">
        <f t="shared" ref="AN122" si="351">SUM(Z122)</f>
        <v>4.4791806996138765E-2</v>
      </c>
      <c r="AO122" s="623">
        <f t="shared" ref="AO122" si="352">SUM(Z122)</f>
        <v>4.4791806996138765E-2</v>
      </c>
      <c r="AP122" s="622">
        <f t="shared" si="344"/>
        <v>0.13437542098841629</v>
      </c>
      <c r="AQ122" s="622">
        <f t="shared" si="192"/>
        <v>0.26875084197683258</v>
      </c>
      <c r="AR122" s="623">
        <f t="shared" ref="AR122" si="353">SUM(Z122)</f>
        <v>4.4791806996138765E-2</v>
      </c>
      <c r="AS122" s="623">
        <f t="shared" ref="AS122" si="354">SUM(Z122)</f>
        <v>4.4791806996138765E-2</v>
      </c>
      <c r="AT122" s="623">
        <f t="shared" ref="AT122" si="355">SUM(Z122)</f>
        <v>4.4791806996138765E-2</v>
      </c>
      <c r="AU122" s="622">
        <f t="shared" si="345"/>
        <v>0.13437542098841629</v>
      </c>
      <c r="AV122" s="622">
        <f t="shared" si="304"/>
        <v>0.40312626296524889</v>
      </c>
      <c r="AW122" s="623">
        <f t="shared" ref="AW122" si="356">SUM(Z122)</f>
        <v>4.4791806996138765E-2</v>
      </c>
      <c r="AX122" s="623">
        <f t="shared" ref="AX122" si="357">SUM(Z122)</f>
        <v>4.4791806996138765E-2</v>
      </c>
      <c r="AY122" s="623">
        <f t="shared" ref="AY122" si="358">SUM(Z122)</f>
        <v>4.4791806996138765E-2</v>
      </c>
      <c r="AZ122" s="622">
        <f t="shared" si="346"/>
        <v>0.13437542098841629</v>
      </c>
      <c r="BA122" s="611">
        <f t="shared" si="195"/>
        <v>0.53750168395366515</v>
      </c>
    </row>
    <row r="123" spans="1:53" ht="19.5" hidden="1" x14ac:dyDescent="0.3">
      <c r="A123" s="40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9"/>
      <c r="U123" s="399"/>
      <c r="V123" s="606">
        <f>SUM(V64+V74+V100+V113)</f>
        <v>11755.79772460473</v>
      </c>
      <c r="W123" s="624"/>
      <c r="X123" s="606">
        <f>SUM(X64+X74+X100+X113)</f>
        <v>11755.79772460473</v>
      </c>
      <c r="Y123" s="606">
        <f>SUM(Y64+Y74+Y100+Y113)</f>
        <v>0</v>
      </c>
      <c r="Z123" s="378">
        <f>SUM(Z64+Z74+Z100+Z113)</f>
        <v>989.79003757873875</v>
      </c>
      <c r="AA123" s="876"/>
      <c r="AB123" s="378">
        <f>SUM(AB64+AB74+AB100+AB113)</f>
        <v>980.2341365006896</v>
      </c>
      <c r="AC123" s="378">
        <f>SUM(AC64+AC74+AC100+AC113)</f>
        <v>976.09571048255566</v>
      </c>
      <c r="AD123" s="614">
        <f t="shared" si="323"/>
        <v>2946.1198845619838</v>
      </c>
      <c r="AE123" s="883"/>
      <c r="AF123" s="883"/>
      <c r="AG123" s="883"/>
      <c r="AH123" s="883"/>
      <c r="AI123" s="2589"/>
      <c r="AJ123" s="2589"/>
      <c r="AK123" s="2589"/>
      <c r="AL123" s="2589"/>
      <c r="AM123" s="378">
        <f>SUM(AM64+AM74+AM100+AM113)</f>
        <v>961.88407502519533</v>
      </c>
      <c r="AN123" s="378">
        <f>SUM(AN64+AN74+AN100+AN113)</f>
        <v>936.40253740927494</v>
      </c>
      <c r="AO123" s="378">
        <f>SUM(AO64+AO74+AO100+AO113)</f>
        <v>930.66897430976155</v>
      </c>
      <c r="AP123" s="614">
        <f t="shared" si="324"/>
        <v>2828.9555867442318</v>
      </c>
      <c r="AQ123" s="614">
        <f t="shared" si="192"/>
        <v>5775.0754713062161</v>
      </c>
      <c r="AR123" s="378">
        <f>SUM(AR64+AR74+AR100+AR113)</f>
        <v>974.07458770089181</v>
      </c>
      <c r="AS123" s="378">
        <f>SUM(AS64+AS74+AS100+AS113)</f>
        <v>973.09645462035189</v>
      </c>
      <c r="AT123" s="378">
        <f>SUM(AT64+AT74+AT100+AT113)</f>
        <v>985.84212684091722</v>
      </c>
      <c r="AU123" s="614">
        <f t="shared" si="326"/>
        <v>2933.0131691621609</v>
      </c>
      <c r="AV123" s="614">
        <f t="shared" si="304"/>
        <v>8708.088640468377</v>
      </c>
      <c r="AW123" s="378">
        <f>SUM(AW64+AW74+AW100+AW113)</f>
        <v>1005.2184191536765</v>
      </c>
      <c r="AX123" s="378">
        <f>SUM(AX64+AX74+AX100+AX113)</f>
        <v>1015.3477851966146</v>
      </c>
      <c r="AY123" s="378">
        <f>SUM(AY64+AY74+AY100+AY113)</f>
        <v>1027.1359780365581</v>
      </c>
      <c r="AZ123" s="614">
        <f t="shared" si="328"/>
        <v>3047.702182386849</v>
      </c>
      <c r="BA123" s="611">
        <f t="shared" si="195"/>
        <v>11755.790822855226</v>
      </c>
    </row>
    <row r="124" spans="1:53" ht="19.5" hidden="1" x14ac:dyDescent="0.3">
      <c r="A124" s="405" t="s">
        <v>606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9"/>
      <c r="U124" s="399"/>
      <c r="V124" s="625">
        <f>SUM(V123-V87-V88)</f>
        <v>11755.79772460473</v>
      </c>
      <c r="W124" s="624"/>
      <c r="X124" s="625">
        <f>SUM(X123-X87-X88)</f>
        <v>11755.79772460473</v>
      </c>
      <c r="Y124" s="625">
        <f>SUM(Y123-Y87-Y88)</f>
        <v>0</v>
      </c>
      <c r="Z124" s="626">
        <f>SUM(Z123-Z87-Z88)</f>
        <v>989.79003757873875</v>
      </c>
      <c r="AA124" s="881"/>
      <c r="AB124" s="626">
        <f>SUM(AB123-AB87-AB88)</f>
        <v>980.2341365006896</v>
      </c>
      <c r="AC124" s="626">
        <f>SUM(AC123-AC87-AC88)</f>
        <v>976.09571048255566</v>
      </c>
      <c r="AD124" s="614">
        <f t="shared" si="323"/>
        <v>2946.1198845619838</v>
      </c>
      <c r="AE124" s="883"/>
      <c r="AF124" s="883"/>
      <c r="AG124" s="883"/>
      <c r="AH124" s="883"/>
      <c r="AI124" s="2589"/>
      <c r="AJ124" s="2589"/>
      <c r="AK124" s="2589"/>
      <c r="AL124" s="2589"/>
      <c r="AM124" s="626">
        <f>SUM(AM123-AM87-AM88)</f>
        <v>961.88407502519533</v>
      </c>
      <c r="AN124" s="626">
        <f>SUM(AN123-AN87-AN88)</f>
        <v>936.40253740927494</v>
      </c>
      <c r="AO124" s="626">
        <f>SUM(AO123-AO87-AO88)</f>
        <v>930.66897430976155</v>
      </c>
      <c r="AP124" s="614">
        <f t="shared" si="324"/>
        <v>2828.9555867442318</v>
      </c>
      <c r="AQ124" s="614">
        <f t="shared" si="192"/>
        <v>5775.0754713062161</v>
      </c>
      <c r="AR124" s="626">
        <f>SUM(AR123-AR87-AR88)</f>
        <v>974.07458770089181</v>
      </c>
      <c r="AS124" s="626">
        <f>SUM(AS123-AS87-AS88)</f>
        <v>973.09645462035189</v>
      </c>
      <c r="AT124" s="626">
        <f>SUM(AT123-AT87-AT88)</f>
        <v>985.84212684091722</v>
      </c>
      <c r="AU124" s="614">
        <f t="shared" si="326"/>
        <v>2933.0131691621609</v>
      </c>
      <c r="AV124" s="614">
        <f t="shared" si="304"/>
        <v>8708.088640468377</v>
      </c>
      <c r="AW124" s="626">
        <f>SUM(AW123-AW87-AW88)</f>
        <v>1005.2184191536765</v>
      </c>
      <c r="AX124" s="626">
        <f>SUM(AX123-AX87-AX88)</f>
        <v>1015.3477851966146</v>
      </c>
      <c r="AY124" s="626">
        <f>SUM(AY123-AY87-AY88)</f>
        <v>1027.1359780365581</v>
      </c>
      <c r="AZ124" s="614">
        <f t="shared" si="328"/>
        <v>3047.702182386849</v>
      </c>
      <c r="BA124" s="611">
        <f t="shared" si="195"/>
        <v>11755.790822855226</v>
      </c>
    </row>
    <row r="125" spans="1:53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9"/>
      <c r="T125" s="399"/>
      <c r="U125" s="399"/>
      <c r="V125" s="402"/>
      <c r="W125" s="5"/>
      <c r="X125" s="402"/>
      <c r="Y125" s="402"/>
      <c r="Z125" s="402"/>
      <c r="AA125" s="402"/>
      <c r="AB125" s="402"/>
      <c r="AC125" s="402"/>
      <c r="AD125" s="5"/>
      <c r="AE125" s="5"/>
      <c r="AF125" s="5"/>
      <c r="AG125" s="5"/>
      <c r="AH125" s="5"/>
      <c r="AI125" s="5"/>
      <c r="AJ125" s="5"/>
      <c r="AK125" s="5"/>
      <c r="AL125" s="5"/>
      <c r="AM125" s="5"/>
    </row>
    <row r="126" spans="1:53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9"/>
      <c r="T126" s="399"/>
      <c r="U126" s="399"/>
      <c r="V126" s="402"/>
      <c r="W126" s="5"/>
      <c r="X126" s="402"/>
      <c r="Y126" s="402"/>
      <c r="Z126" s="402"/>
      <c r="AA126" s="402"/>
      <c r="AB126" s="402"/>
      <c r="AC126" s="402"/>
      <c r="AD126" s="5"/>
      <c r="AE126" s="5"/>
      <c r="AF126" s="5"/>
      <c r="AG126" s="5"/>
      <c r="AH126" s="5"/>
      <c r="AI126" s="5"/>
      <c r="AJ126" s="5"/>
      <c r="AK126" s="5"/>
      <c r="AL126" s="5"/>
      <c r="AM126" s="5"/>
    </row>
    <row r="127" spans="1:53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9"/>
      <c r="T127" s="399"/>
      <c r="U127" s="399"/>
      <c r="V127" s="402"/>
      <c r="W127" s="5"/>
      <c r="X127" s="639"/>
      <c r="Y127" s="639"/>
      <c r="Z127" s="639"/>
      <c r="AA127" s="639"/>
      <c r="AB127" s="402"/>
      <c r="AC127" s="402"/>
      <c r="AD127" s="5"/>
      <c r="AE127" s="5"/>
      <c r="AF127" s="5"/>
      <c r="AG127" s="5"/>
      <c r="AH127" s="5"/>
      <c r="AI127" s="5"/>
      <c r="AJ127" s="5"/>
      <c r="AK127" s="5"/>
      <c r="AL127" s="5"/>
      <c r="AM127" s="5"/>
    </row>
    <row r="128" spans="1:53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9"/>
      <c r="T128" s="399"/>
      <c r="U128" s="399"/>
      <c r="V128" s="402"/>
      <c r="W128" s="5"/>
      <c r="X128" s="402"/>
      <c r="Y128" s="402"/>
      <c r="Z128" s="402"/>
      <c r="AA128" s="402"/>
      <c r="AB128" s="402"/>
      <c r="AC128" s="402"/>
      <c r="AD128" s="5"/>
      <c r="AE128" s="5"/>
      <c r="AF128" s="5"/>
      <c r="AG128" s="5"/>
      <c r="AH128" s="5"/>
      <c r="AI128" s="5"/>
      <c r="AJ128" s="5"/>
      <c r="AK128" s="5"/>
      <c r="AL128" s="5"/>
      <c r="AM128" s="5"/>
    </row>
    <row r="129" spans="1:39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9"/>
      <c r="T129" s="399"/>
      <c r="U129" s="399"/>
      <c r="V129" s="402"/>
      <c r="W129" s="5"/>
      <c r="X129" s="402"/>
      <c r="Y129" s="402"/>
      <c r="Z129" s="402"/>
      <c r="AA129" s="402"/>
      <c r="AB129" s="402"/>
      <c r="AC129" s="402"/>
      <c r="AD129" s="5"/>
      <c r="AE129" s="5"/>
      <c r="AF129" s="5"/>
      <c r="AG129" s="5"/>
      <c r="AH129" s="5"/>
      <c r="AI129" s="5"/>
      <c r="AJ129" s="5"/>
      <c r="AK129" s="5"/>
      <c r="AL129" s="5"/>
      <c r="AM129" s="5"/>
    </row>
    <row r="130" spans="1:39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9"/>
      <c r="T130" s="399"/>
      <c r="U130" s="399"/>
      <c r="V130" s="402"/>
      <c r="W130" s="5"/>
      <c r="X130" s="402"/>
      <c r="Y130" s="402"/>
      <c r="Z130" s="402"/>
      <c r="AA130" s="402"/>
      <c r="AB130" s="402"/>
      <c r="AC130" s="402"/>
      <c r="AD130" s="5"/>
      <c r="AE130" s="5"/>
      <c r="AF130" s="5"/>
      <c r="AG130" s="5"/>
      <c r="AH130" s="5"/>
      <c r="AI130" s="5"/>
      <c r="AJ130" s="5"/>
      <c r="AK130" s="5"/>
      <c r="AL130" s="5"/>
      <c r="AM130" s="5"/>
    </row>
    <row r="131" spans="1:39" ht="18.75" hidden="1" x14ac:dyDescent="0.3">
      <c r="A131" s="4089" t="s">
        <v>644</v>
      </c>
      <c r="B131" s="4090"/>
      <c r="C131" s="4090"/>
      <c r="D131" s="4090"/>
      <c r="E131" s="4090"/>
      <c r="F131" s="4090"/>
      <c r="G131" s="4090"/>
      <c r="H131" s="4090"/>
      <c r="I131" s="4090"/>
      <c r="J131" s="4090"/>
      <c r="K131" s="4090"/>
      <c r="L131" s="4090"/>
      <c r="M131" s="4090"/>
      <c r="N131" s="4090"/>
      <c r="O131" s="4090"/>
      <c r="P131" s="4090"/>
      <c r="Q131" s="4090"/>
      <c r="R131" s="4090"/>
      <c r="S131" s="4090"/>
      <c r="T131" s="4090"/>
      <c r="U131" s="4090"/>
      <c r="V131" s="4090"/>
      <c r="W131" s="4090"/>
      <c r="X131" s="4090"/>
      <c r="Y131" s="4090"/>
      <c r="Z131" s="4091"/>
      <c r="AA131" s="888"/>
      <c r="AB131" s="402"/>
      <c r="AC131" s="402"/>
      <c r="AD131" s="5"/>
      <c r="AE131" s="5"/>
      <c r="AF131" s="5"/>
      <c r="AG131" s="5"/>
      <c r="AH131" s="5"/>
      <c r="AI131" s="5"/>
      <c r="AJ131" s="5"/>
      <c r="AK131" s="5"/>
      <c r="AL131" s="5"/>
      <c r="AM131" s="5"/>
    </row>
    <row r="132" spans="1:39" ht="18.75" hidden="1" x14ac:dyDescent="0.3">
      <c r="A132" s="632" t="s">
        <v>619</v>
      </c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3" t="s">
        <v>620</v>
      </c>
      <c r="W132" s="633"/>
      <c r="X132" s="633" t="s">
        <v>623</v>
      </c>
      <c r="Y132" s="633" t="s">
        <v>288</v>
      </c>
      <c r="Z132" s="633" t="s">
        <v>44</v>
      </c>
      <c r="AA132" s="889"/>
      <c r="AB132" s="402"/>
      <c r="AC132" s="402"/>
      <c r="AD132" s="5"/>
      <c r="AE132" s="5"/>
      <c r="AF132" s="5"/>
      <c r="AG132" s="5"/>
      <c r="AH132" s="5"/>
      <c r="AI132" s="5"/>
      <c r="AJ132" s="5"/>
      <c r="AK132" s="5"/>
      <c r="AL132" s="5"/>
      <c r="AM132" s="5"/>
    </row>
    <row r="133" spans="1:39" ht="18.75" hidden="1" x14ac:dyDescent="0.3">
      <c r="A133" s="631" t="s">
        <v>621</v>
      </c>
      <c r="B133" s="631"/>
      <c r="C133" s="631"/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>
        <v>544342.37</v>
      </c>
      <c r="W133" s="631"/>
      <c r="X133" s="631"/>
      <c r="Y133" s="631">
        <f>SUM(V133:X133)</f>
        <v>544342.37</v>
      </c>
      <c r="Z133" s="634">
        <f>SUM(Y133/Y140)</f>
        <v>0.6974668420563781</v>
      </c>
      <c r="AA133" s="890"/>
      <c r="AB133" s="402"/>
      <c r="AC133" s="402"/>
      <c r="AD133" s="5"/>
      <c r="AE133" s="5"/>
      <c r="AF133" s="5"/>
      <c r="AG133" s="5"/>
      <c r="AH133" s="5"/>
      <c r="AI133" s="5"/>
      <c r="AJ133" s="5"/>
      <c r="AK133" s="5"/>
      <c r="AL133" s="5"/>
      <c r="AM133" s="5"/>
    </row>
    <row r="134" spans="1:39" ht="18.75" hidden="1" x14ac:dyDescent="0.3">
      <c r="A134" s="631" t="s">
        <v>622</v>
      </c>
      <c r="B134" s="631"/>
      <c r="C134" s="631"/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>
        <v>164391.41</v>
      </c>
      <c r="W134" s="631"/>
      <c r="X134" s="631"/>
      <c r="Y134" s="631">
        <f t="shared" ref="Y134:Y139" si="359">SUM(V134:X134)</f>
        <v>164391.41</v>
      </c>
      <c r="Z134" s="634">
        <f>SUM(Y134/Y140)</f>
        <v>0.21063500457238943</v>
      </c>
      <c r="AA134" s="890"/>
      <c r="AB134" s="402"/>
      <c r="AC134" s="402"/>
      <c r="AD134" s="5"/>
      <c r="AE134" s="5"/>
      <c r="AF134" s="5"/>
      <c r="AG134" s="5"/>
      <c r="AH134" s="5"/>
      <c r="AI134" s="5"/>
      <c r="AJ134" s="5"/>
      <c r="AK134" s="5"/>
      <c r="AL134" s="5"/>
      <c r="AM134" s="5"/>
    </row>
    <row r="135" spans="1:39" ht="18.75" hidden="1" x14ac:dyDescent="0.3">
      <c r="A135" s="631" t="s">
        <v>624</v>
      </c>
      <c r="B135" s="631"/>
      <c r="C135" s="631"/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>
        <v>3667.86</v>
      </c>
      <c r="Y135" s="631">
        <f t="shared" si="359"/>
        <v>3667.86</v>
      </c>
      <c r="Z135" s="634">
        <f>SUM(Y135/Y140)</f>
        <v>4.6996355093668479E-3</v>
      </c>
      <c r="AA135" s="890"/>
      <c r="AB135" s="402"/>
      <c r="AC135" s="402"/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1:39" ht="18.75" hidden="1" x14ac:dyDescent="0.3">
      <c r="A136" s="631" t="s">
        <v>601</v>
      </c>
      <c r="B136" s="631"/>
      <c r="C136" s="631"/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>
        <v>16761.7</v>
      </c>
      <c r="Y136" s="631">
        <f t="shared" si="359"/>
        <v>16761.7</v>
      </c>
      <c r="Z136" s="634">
        <f>SUM(Y136/Y140)</f>
        <v>2.1476795874802827E-2</v>
      </c>
      <c r="AA136" s="890"/>
      <c r="AB136" s="402"/>
      <c r="AC136" s="402"/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1:39" ht="18.75" hidden="1" x14ac:dyDescent="0.3">
      <c r="A137" s="631" t="s">
        <v>625</v>
      </c>
      <c r="B137" s="631"/>
      <c r="C137" s="631"/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>
        <v>25135.3</v>
      </c>
      <c r="Y137" s="631">
        <f t="shared" si="359"/>
        <v>25135.3</v>
      </c>
      <c r="Z137" s="634">
        <f>SUM(Y137/Y140)</f>
        <v>3.2205904374373207E-2</v>
      </c>
      <c r="AA137" s="890"/>
      <c r="AB137" s="402"/>
      <c r="AC137" s="402"/>
      <c r="AD137" s="5"/>
      <c r="AE137" s="5"/>
      <c r="AF137" s="5"/>
      <c r="AG137" s="5"/>
      <c r="AH137" s="5"/>
      <c r="AI137" s="5"/>
      <c r="AJ137" s="5"/>
      <c r="AK137" s="5"/>
      <c r="AL137" s="5"/>
      <c r="AM137" s="5"/>
    </row>
    <row r="138" spans="1:39" ht="18.75" hidden="1" x14ac:dyDescent="0.3">
      <c r="A138" s="631" t="s">
        <v>34</v>
      </c>
      <c r="B138" s="631"/>
      <c r="C138" s="631"/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>
        <v>10460.129999999999</v>
      </c>
      <c r="Y138" s="631">
        <f t="shared" si="359"/>
        <v>10460.129999999999</v>
      </c>
      <c r="Z138" s="634">
        <f>SUM(Y138/Y140)</f>
        <v>1.3402583081304478E-2</v>
      </c>
      <c r="AA138" s="890"/>
      <c r="AB138" s="402"/>
      <c r="AC138" s="402"/>
      <c r="AD138" s="5"/>
      <c r="AE138" s="5"/>
      <c r="AF138" s="5"/>
      <c r="AG138" s="5"/>
      <c r="AH138" s="5"/>
      <c r="AI138" s="5"/>
      <c r="AJ138" s="5"/>
      <c r="AK138" s="5"/>
      <c r="AL138" s="5"/>
      <c r="AM138" s="5"/>
    </row>
    <row r="139" spans="1:39" ht="18.75" hidden="1" x14ac:dyDescent="0.3">
      <c r="A139" s="631" t="s">
        <v>52</v>
      </c>
      <c r="B139" s="631"/>
      <c r="C139" s="631"/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>
        <v>15697.5</v>
      </c>
      <c r="Y139" s="631">
        <f t="shared" si="359"/>
        <v>15697.5</v>
      </c>
      <c r="Z139" s="634">
        <f>SUM(Y139/Y140)</f>
        <v>2.0113234531385082E-2</v>
      </c>
      <c r="AA139" s="890"/>
      <c r="AB139" s="402"/>
      <c r="AC139" s="402"/>
      <c r="AD139" s="5"/>
      <c r="AE139" s="5"/>
      <c r="AF139" s="5"/>
      <c r="AG139" s="5"/>
      <c r="AH139" s="5"/>
      <c r="AI139" s="5"/>
      <c r="AJ139" s="5"/>
      <c r="AK139" s="5"/>
      <c r="AL139" s="5"/>
      <c r="AM139" s="5"/>
    </row>
    <row r="140" spans="1:39" ht="18.75" hidden="1" x14ac:dyDescent="0.3">
      <c r="A140" s="632" t="s">
        <v>627</v>
      </c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>
        <f>SUM(V133:V139)</f>
        <v>708733.78</v>
      </c>
      <c r="W140" s="632"/>
      <c r="X140" s="632">
        <f>SUM(X133:X139)</f>
        <v>71722.489999999991</v>
      </c>
      <c r="Y140" s="632">
        <f>SUM(Y133:Y139)</f>
        <v>780456.27</v>
      </c>
      <c r="Z140" s="635">
        <f>SUM(Z133:Z139)</f>
        <v>1</v>
      </c>
      <c r="AA140" s="891"/>
      <c r="AB140" s="402"/>
      <c r="AC140" s="402"/>
      <c r="AD140" s="5"/>
      <c r="AE140" s="5"/>
      <c r="AF140" s="5"/>
      <c r="AG140" s="5"/>
      <c r="AH140" s="5"/>
      <c r="AI140" s="5"/>
      <c r="AJ140" s="5"/>
      <c r="AK140" s="5"/>
      <c r="AL140" s="5"/>
      <c r="AM140" s="5"/>
    </row>
    <row r="141" spans="1:39" ht="18.75" hidden="1" x14ac:dyDescent="0.3">
      <c r="A141" s="632" t="s">
        <v>628</v>
      </c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6" t="s">
        <v>630</v>
      </c>
      <c r="W141" s="636"/>
      <c r="X141" s="636" t="s">
        <v>629</v>
      </c>
      <c r="Y141" s="636" t="s">
        <v>288</v>
      </c>
      <c r="Z141" s="636" t="s">
        <v>44</v>
      </c>
      <c r="AA141" s="889"/>
      <c r="AB141" s="402"/>
      <c r="AC141" s="402"/>
      <c r="AD141" s="5"/>
      <c r="AE141" s="5"/>
      <c r="AF141" s="5"/>
      <c r="AG141" s="5"/>
      <c r="AH141" s="5"/>
      <c r="AI141" s="5"/>
      <c r="AJ141" s="5"/>
      <c r="AK141" s="5"/>
      <c r="AL141" s="5"/>
      <c r="AM141" s="5"/>
    </row>
    <row r="142" spans="1:39" ht="18.75" hidden="1" x14ac:dyDescent="0.3">
      <c r="A142" s="631" t="s">
        <v>621</v>
      </c>
      <c r="B142" s="631"/>
      <c r="C142" s="631"/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>
        <v>2420280.5099999998</v>
      </c>
      <c r="W142" s="631"/>
      <c r="X142" s="631"/>
      <c r="Y142" s="631">
        <f>SUM(V142:X142)</f>
        <v>2420280.5099999998</v>
      </c>
      <c r="Z142" s="634">
        <f>SUM(Y142/Y164)</f>
        <v>0.46536359043589531</v>
      </c>
      <c r="AA142" s="890"/>
      <c r="AB142" s="402"/>
      <c r="AC142" s="402"/>
      <c r="AD142" s="5"/>
      <c r="AE142" s="5"/>
      <c r="AF142" s="5"/>
      <c r="AG142" s="5"/>
      <c r="AH142" s="5"/>
      <c r="AI142" s="5"/>
      <c r="AJ142" s="5"/>
      <c r="AK142" s="5"/>
      <c r="AL142" s="5"/>
      <c r="AM142" s="5"/>
    </row>
    <row r="143" spans="1:39" ht="18.75" hidden="1" x14ac:dyDescent="0.3">
      <c r="A143" s="631" t="s">
        <v>622</v>
      </c>
      <c r="B143" s="631"/>
      <c r="C143" s="631"/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>
        <v>724985.49</v>
      </c>
      <c r="W143" s="631"/>
      <c r="X143" s="631"/>
      <c r="Y143" s="631">
        <f t="shared" ref="Y143:Y163" si="360">SUM(V143:X143)</f>
        <v>724985.49</v>
      </c>
      <c r="Z143" s="634">
        <f>SUM(Y143/Y164)</f>
        <v>0.1393978298161509</v>
      </c>
      <c r="AA143" s="890"/>
      <c r="AB143" s="402"/>
      <c r="AC143" s="402"/>
      <c r="AD143" s="5"/>
      <c r="AE143" s="5"/>
      <c r="AF143" s="5"/>
      <c r="AG143" s="5"/>
      <c r="AH143" s="5"/>
      <c r="AI143" s="5"/>
      <c r="AJ143" s="5"/>
      <c r="AK143" s="5"/>
      <c r="AL143" s="5"/>
      <c r="AM143" s="5"/>
    </row>
    <row r="144" spans="1:39" ht="18.75" hidden="1" x14ac:dyDescent="0.3">
      <c r="A144" s="631" t="s">
        <v>603</v>
      </c>
      <c r="B144" s="631"/>
      <c r="C144" s="631"/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>
        <v>75600</v>
      </c>
      <c r="Y144" s="631">
        <f t="shared" si="360"/>
        <v>75600</v>
      </c>
      <c r="Z144" s="634">
        <f>SUM(Y144/Y164)</f>
        <v>1.4536119797516235E-2</v>
      </c>
      <c r="AA144" s="890"/>
      <c r="AB144" s="402"/>
      <c r="AC144" s="402"/>
      <c r="AD144" s="5"/>
      <c r="AE144" s="5"/>
      <c r="AF144" s="5"/>
      <c r="AG144" s="5"/>
      <c r="AH144" s="5"/>
      <c r="AI144" s="5"/>
      <c r="AJ144" s="5"/>
      <c r="AK144" s="5"/>
      <c r="AL144" s="5"/>
      <c r="AM144" s="5"/>
    </row>
    <row r="145" spans="1:39" ht="18.75" hidden="1" x14ac:dyDescent="0.3">
      <c r="A145" s="631" t="s">
        <v>631</v>
      </c>
      <c r="B145" s="631"/>
      <c r="C145" s="631"/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>
        <v>300</v>
      </c>
      <c r="Y145" s="631">
        <f t="shared" si="360"/>
        <v>300</v>
      </c>
      <c r="Z145" s="634">
        <f>SUM(Y145/Y164)</f>
        <v>5.768301506950887E-5</v>
      </c>
      <c r="AA145" s="890"/>
      <c r="AB145" s="402"/>
      <c r="AC145" s="402"/>
      <c r="AD145" s="5"/>
      <c r="AE145" s="5"/>
      <c r="AF145" s="5"/>
      <c r="AG145" s="5"/>
      <c r="AH145" s="5"/>
      <c r="AI145" s="5"/>
      <c r="AJ145" s="5"/>
      <c r="AK145" s="5"/>
      <c r="AL145" s="5"/>
      <c r="AM145" s="5"/>
    </row>
    <row r="146" spans="1:39" ht="18.75" hidden="1" x14ac:dyDescent="0.3">
      <c r="A146" s="631" t="s">
        <v>32</v>
      </c>
      <c r="B146" s="631"/>
      <c r="C146" s="631"/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>
        <v>15305</v>
      </c>
      <c r="Y146" s="631">
        <f t="shared" si="360"/>
        <v>15305</v>
      </c>
      <c r="Z146" s="634">
        <f>SUM(Y146/Y164)</f>
        <v>2.9427951521294442E-3</v>
      </c>
      <c r="AA146" s="890"/>
      <c r="AB146" s="402"/>
      <c r="AC146" s="402"/>
      <c r="AD146" s="5"/>
      <c r="AE146" s="5"/>
      <c r="AF146" s="5"/>
      <c r="AG146" s="5"/>
      <c r="AH146" s="5"/>
      <c r="AI146" s="5"/>
      <c r="AJ146" s="5"/>
      <c r="AK146" s="5"/>
      <c r="AL146" s="5"/>
      <c r="AM146" s="5"/>
    </row>
    <row r="147" spans="1:39" ht="18.75" hidden="1" x14ac:dyDescent="0.3">
      <c r="A147" s="631" t="s">
        <v>76</v>
      </c>
      <c r="B147" s="631"/>
      <c r="C147" s="631"/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>
        <v>129</v>
      </c>
      <c r="Y147" s="631">
        <f t="shared" si="360"/>
        <v>129</v>
      </c>
      <c r="Z147" s="637">
        <f>SUM(Y147/Y164)</f>
        <v>2.4803696479888814E-5</v>
      </c>
      <c r="AA147" s="892"/>
      <c r="AB147" s="402"/>
      <c r="AC147" s="402"/>
      <c r="AD147" s="5"/>
      <c r="AE147" s="5"/>
      <c r="AF147" s="5"/>
      <c r="AG147" s="5"/>
      <c r="AH147" s="5"/>
      <c r="AI147" s="5"/>
      <c r="AJ147" s="5"/>
      <c r="AK147" s="5"/>
      <c r="AL147" s="5"/>
      <c r="AM147" s="5"/>
    </row>
    <row r="148" spans="1:39" ht="18.75" hidden="1" x14ac:dyDescent="0.3">
      <c r="A148" s="631" t="s">
        <v>645</v>
      </c>
      <c r="B148" s="631"/>
      <c r="C148" s="631"/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>
        <v>3814.4</v>
      </c>
      <c r="Y148" s="631">
        <f t="shared" si="360"/>
        <v>3814.4</v>
      </c>
      <c r="Z148" s="634">
        <f>SUM(Y148/Y164)</f>
        <v>7.3342030893711551E-4</v>
      </c>
      <c r="AA148" s="890"/>
      <c r="AB148" s="402"/>
      <c r="AC148" s="402"/>
      <c r="AD148" s="5"/>
      <c r="AE148" s="5"/>
      <c r="AF148" s="5"/>
      <c r="AG148" s="5"/>
      <c r="AH148" s="5"/>
      <c r="AI148" s="5"/>
      <c r="AJ148" s="5"/>
      <c r="AK148" s="5"/>
      <c r="AL148" s="5"/>
      <c r="AM148" s="5"/>
    </row>
    <row r="149" spans="1:39" ht="18.75" hidden="1" x14ac:dyDescent="0.3">
      <c r="A149" s="631" t="s">
        <v>632</v>
      </c>
      <c r="B149" s="631"/>
      <c r="C149" s="631"/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>
        <v>642468.41</v>
      </c>
      <c r="Y149" s="631">
        <v>0</v>
      </c>
      <c r="Z149" s="634">
        <f>SUM(Y149/Y164)</f>
        <v>0</v>
      </c>
      <c r="AA149" s="890"/>
      <c r="AB149" s="402"/>
      <c r="AC149" s="402"/>
      <c r="AD149" s="5"/>
      <c r="AE149" s="5"/>
      <c r="AF149" s="5"/>
      <c r="AG149" s="5"/>
      <c r="AH149" s="5"/>
      <c r="AI149" s="5"/>
      <c r="AJ149" s="5"/>
      <c r="AK149" s="5"/>
      <c r="AL149" s="5"/>
      <c r="AM149" s="5"/>
    </row>
    <row r="150" spans="1:39" ht="18.75" hidden="1" x14ac:dyDescent="0.3">
      <c r="A150" s="631" t="s">
        <v>633</v>
      </c>
      <c r="B150" s="631"/>
      <c r="C150" s="631"/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>
        <v>507107.49</v>
      </c>
      <c r="Y150" s="631">
        <f t="shared" si="360"/>
        <v>507107.49</v>
      </c>
      <c r="Z150" s="634">
        <f>SUM(Y150/Y164)</f>
        <v>9.75049632917694E-2</v>
      </c>
      <c r="AA150" s="890"/>
      <c r="AB150" s="402"/>
      <c r="AC150" s="402"/>
      <c r="AD150" s="5"/>
      <c r="AE150" s="5"/>
      <c r="AF150" s="5"/>
      <c r="AG150" s="5"/>
      <c r="AH150" s="5"/>
      <c r="AI150" s="5"/>
      <c r="AJ150" s="5"/>
      <c r="AK150" s="5"/>
      <c r="AL150" s="5"/>
      <c r="AM150" s="5"/>
    </row>
    <row r="151" spans="1:39" ht="18.75" hidden="1" x14ac:dyDescent="0.3">
      <c r="A151" s="631" t="s">
        <v>42</v>
      </c>
      <c r="B151" s="631"/>
      <c r="C151" s="631"/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>
        <v>29333.21</v>
      </c>
      <c r="Y151" s="631">
        <f t="shared" si="360"/>
        <v>29333.21</v>
      </c>
      <c r="Z151" s="634">
        <f>SUM(Y151/Y164)</f>
        <v>5.6400933148902273E-3</v>
      </c>
      <c r="AA151" s="890"/>
      <c r="AB151" s="402"/>
      <c r="AC151" s="402"/>
      <c r="AD151" s="5"/>
      <c r="AE151" s="5"/>
      <c r="AF151" s="5"/>
      <c r="AG151" s="5"/>
      <c r="AH151" s="5"/>
      <c r="AI151" s="5"/>
      <c r="AJ151" s="5"/>
      <c r="AK151" s="5"/>
      <c r="AL151" s="5"/>
      <c r="AM151" s="5"/>
    </row>
    <row r="152" spans="1:39" ht="18.75" hidden="1" x14ac:dyDescent="0.3">
      <c r="A152" s="631" t="s">
        <v>604</v>
      </c>
      <c r="B152" s="631"/>
      <c r="C152" s="631"/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>
        <v>50424.09</v>
      </c>
      <c r="Y152" s="631">
        <f t="shared" si="360"/>
        <v>50424.09</v>
      </c>
      <c r="Z152" s="634">
        <f>SUM(Y152/Y164)</f>
        <v>9.6953784777875709E-3</v>
      </c>
      <c r="AA152" s="890"/>
      <c r="AB152" s="402"/>
      <c r="AC152" s="402"/>
      <c r="AD152" s="5"/>
      <c r="AE152" s="5"/>
      <c r="AF152" s="5"/>
      <c r="AG152" s="5"/>
      <c r="AH152" s="5"/>
      <c r="AI152" s="5"/>
      <c r="AJ152" s="5"/>
      <c r="AK152" s="5"/>
      <c r="AL152" s="5"/>
      <c r="AM152" s="5"/>
    </row>
    <row r="153" spans="1:39" ht="18.75" hidden="1" x14ac:dyDescent="0.3">
      <c r="A153" s="631" t="s">
        <v>634</v>
      </c>
      <c r="B153" s="631"/>
      <c r="C153" s="631"/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>
        <v>278861.53999999998</v>
      </c>
      <c r="Y153" s="631">
        <f t="shared" si="360"/>
        <v>278861.53999999998</v>
      </c>
      <c r="Z153" s="634">
        <f>SUM(Y153/Y164)</f>
        <v>5.3618581380421498E-2</v>
      </c>
      <c r="AA153" s="890"/>
      <c r="AB153" s="402"/>
      <c r="AC153" s="402"/>
      <c r="AD153" s="5"/>
      <c r="AE153" s="5"/>
      <c r="AF153" s="5"/>
      <c r="AG153" s="5"/>
      <c r="AH153" s="5"/>
      <c r="AI153" s="5"/>
      <c r="AJ153" s="5"/>
      <c r="AK153" s="5"/>
      <c r="AL153" s="5"/>
      <c r="AM153" s="5"/>
    </row>
    <row r="154" spans="1:39" ht="18.75" hidden="1" x14ac:dyDescent="0.3">
      <c r="A154" s="631" t="s">
        <v>635</v>
      </c>
      <c r="B154" s="631"/>
      <c r="C154" s="631"/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>
        <v>73375.820000000007</v>
      </c>
      <c r="Y154" s="631">
        <f t="shared" si="360"/>
        <v>73375.820000000007</v>
      </c>
      <c r="Z154" s="634">
        <f>SUM(Y154/Y164)</f>
        <v>1.4108461769325236E-2</v>
      </c>
      <c r="AA154" s="890"/>
      <c r="AB154" s="402"/>
      <c r="AC154" s="402"/>
      <c r="AD154" s="5"/>
      <c r="AE154" s="5"/>
      <c r="AF154" s="5"/>
      <c r="AG154" s="5"/>
      <c r="AH154" s="5"/>
      <c r="AI154" s="5"/>
      <c r="AJ154" s="5"/>
      <c r="AK154" s="5"/>
      <c r="AL154" s="5"/>
      <c r="AM154" s="5"/>
    </row>
    <row r="155" spans="1:39" ht="18.75" hidden="1" x14ac:dyDescent="0.3">
      <c r="A155" s="631" t="s">
        <v>638</v>
      </c>
      <c r="B155" s="631"/>
      <c r="C155" s="631"/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>
        <v>217500.95</v>
      </c>
      <c r="Y155" s="631">
        <f t="shared" si="360"/>
        <v>217500.95</v>
      </c>
      <c r="Z155" s="634">
        <f>SUM(Y155/Y164)</f>
        <v>4.1820368588274988E-2</v>
      </c>
      <c r="AA155" s="890"/>
      <c r="AB155" s="402"/>
      <c r="AC155" s="402"/>
      <c r="AD155" s="5"/>
      <c r="AE155" s="5"/>
      <c r="AF155" s="5"/>
      <c r="AG155" s="5"/>
      <c r="AH155" s="5"/>
      <c r="AI155" s="5"/>
      <c r="AJ155" s="5"/>
      <c r="AK155" s="5"/>
      <c r="AL155" s="5"/>
      <c r="AM155" s="5"/>
    </row>
    <row r="156" spans="1:39" ht="18.75" hidden="1" x14ac:dyDescent="0.3">
      <c r="A156" s="631" t="s">
        <v>608</v>
      </c>
      <c r="B156" s="631"/>
      <c r="C156" s="631"/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>
        <v>45758.37</v>
      </c>
      <c r="Y156" s="631">
        <v>0</v>
      </c>
      <c r="Z156" s="634">
        <f>SUM(Y156/Y164)</f>
        <v>0</v>
      </c>
      <c r="AA156" s="890"/>
      <c r="AB156" s="402"/>
      <c r="AC156" s="402"/>
      <c r="AD156" s="5"/>
      <c r="AE156" s="5"/>
      <c r="AF156" s="5"/>
      <c r="AG156" s="5"/>
      <c r="AH156" s="5"/>
      <c r="AI156" s="5"/>
      <c r="AJ156" s="5"/>
      <c r="AK156" s="5"/>
      <c r="AL156" s="5"/>
      <c r="AM156" s="5"/>
    </row>
    <row r="157" spans="1:39" ht="18.75" hidden="1" x14ac:dyDescent="0.3">
      <c r="A157" s="631" t="s">
        <v>624</v>
      </c>
      <c r="B157" s="631"/>
      <c r="C157" s="631"/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>
        <v>20840.04</v>
      </c>
      <c r="Y157" s="631">
        <f t="shared" si="360"/>
        <v>20840.04</v>
      </c>
      <c r="Z157" s="634">
        <f>SUM(Y157/Y164)</f>
        <v>4.0070544712305593E-3</v>
      </c>
      <c r="AA157" s="890"/>
      <c r="AB157" s="402"/>
      <c r="AC157" s="402"/>
      <c r="AD157" s="5"/>
      <c r="AE157" s="5"/>
      <c r="AF157" s="5"/>
      <c r="AG157" s="5"/>
      <c r="AH157" s="5"/>
      <c r="AI157" s="5"/>
      <c r="AJ157" s="5"/>
      <c r="AK157" s="5"/>
      <c r="AL157" s="5"/>
      <c r="AM157" s="5"/>
    </row>
    <row r="158" spans="1:39" ht="18.75" hidden="1" x14ac:dyDescent="0.3">
      <c r="A158" s="631" t="s">
        <v>601</v>
      </c>
      <c r="B158" s="631"/>
      <c r="C158" s="631"/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>
        <v>461471.7</v>
      </c>
      <c r="Y158" s="631">
        <f t="shared" si="360"/>
        <v>461471.7</v>
      </c>
      <c r="Z158" s="634">
        <f>SUM(Y158/Y164)</f>
        <v>8.8730263417506255E-2</v>
      </c>
      <c r="AA158" s="890"/>
      <c r="AB158" s="402"/>
      <c r="AC158" s="402"/>
      <c r="AD158" s="5"/>
      <c r="AE158" s="5"/>
      <c r="AF158" s="5"/>
      <c r="AG158" s="5"/>
      <c r="AH158" s="5"/>
      <c r="AI158" s="5"/>
      <c r="AJ158" s="5"/>
      <c r="AK158" s="5"/>
      <c r="AL158" s="5"/>
      <c r="AM158" s="5"/>
    </row>
    <row r="159" spans="1:39" ht="18.75" hidden="1" x14ac:dyDescent="0.3">
      <c r="A159" s="631" t="s">
        <v>625</v>
      </c>
      <c r="B159" s="631"/>
      <c r="C159" s="631"/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>
        <v>117843.4</v>
      </c>
      <c r="Y159" s="631">
        <f t="shared" si="360"/>
        <v>117843.4</v>
      </c>
      <c r="Z159" s="634">
        <f>SUM(Y159/Y164)</f>
        <v>2.2658542060140539E-2</v>
      </c>
      <c r="AA159" s="890"/>
      <c r="AB159" s="402"/>
      <c r="AC159" s="402"/>
      <c r="AD159" s="5"/>
      <c r="AE159" s="5"/>
      <c r="AF159" s="5"/>
      <c r="AG159" s="5"/>
      <c r="AH159" s="5"/>
      <c r="AI159" s="5"/>
      <c r="AJ159" s="5"/>
      <c r="AK159" s="5"/>
      <c r="AL159" s="5"/>
      <c r="AM159" s="5"/>
    </row>
    <row r="160" spans="1:39" ht="18.75" hidden="1" x14ac:dyDescent="0.3">
      <c r="A160" s="631" t="s">
        <v>34</v>
      </c>
      <c r="B160" s="631"/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>
        <v>98309.37</v>
      </c>
      <c r="Y160" s="631">
        <f t="shared" si="360"/>
        <v>98309.37</v>
      </c>
      <c r="Z160" s="634">
        <f>SUM(Y160/Y164)</f>
        <v>1.8902602903946408E-2</v>
      </c>
      <c r="AA160" s="890"/>
      <c r="AB160" s="402"/>
      <c r="AC160" s="402"/>
      <c r="AD160" s="5"/>
      <c r="AE160" s="5"/>
      <c r="AF160" s="5"/>
      <c r="AG160" s="5"/>
      <c r="AH160" s="5"/>
      <c r="AI160" s="5"/>
      <c r="AJ160" s="5"/>
      <c r="AK160" s="5"/>
      <c r="AL160" s="5"/>
      <c r="AM160" s="5"/>
    </row>
    <row r="161" spans="1:39" ht="18.75" hidden="1" x14ac:dyDescent="0.3">
      <c r="A161" s="631" t="s">
        <v>640</v>
      </c>
      <c r="B161" s="631"/>
      <c r="C161" s="631"/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>
        <v>20291.66</v>
      </c>
      <c r="Y161" s="631">
        <f t="shared" si="360"/>
        <v>20291.66</v>
      </c>
      <c r="Z161" s="634">
        <f>SUM(Y161/Y164)</f>
        <v>3.9016137652178344E-3</v>
      </c>
      <c r="AA161" s="890"/>
      <c r="AB161" s="402"/>
      <c r="AC161" s="402"/>
      <c r="AD161" s="5"/>
      <c r="AE161" s="5"/>
      <c r="AF161" s="5"/>
      <c r="AG161" s="5"/>
      <c r="AH161" s="5"/>
      <c r="AI161" s="5"/>
      <c r="AJ161" s="5"/>
      <c r="AK161" s="5"/>
      <c r="AL161" s="5"/>
      <c r="AM161" s="5"/>
    </row>
    <row r="162" spans="1:39" ht="18.75" hidden="1" x14ac:dyDescent="0.3">
      <c r="A162" s="631" t="s">
        <v>52</v>
      </c>
      <c r="B162" s="631"/>
      <c r="C162" s="631"/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>
        <v>18635.04</v>
      </c>
      <c r="Y162" s="631">
        <f t="shared" si="360"/>
        <v>18635.04</v>
      </c>
      <c r="Z162" s="634">
        <f>SUM(Y162/Y164)</f>
        <v>3.5830843104696689E-3</v>
      </c>
      <c r="AA162" s="890"/>
      <c r="AB162" s="402"/>
      <c r="AC162" s="402"/>
      <c r="AD162" s="5"/>
      <c r="AE162" s="5"/>
      <c r="AF162" s="5"/>
      <c r="AG162" s="5"/>
      <c r="AH162" s="5"/>
      <c r="AI162" s="5"/>
      <c r="AJ162" s="5"/>
      <c r="AK162" s="5"/>
      <c r="AL162" s="5"/>
      <c r="AM162" s="5"/>
    </row>
    <row r="163" spans="1:39" ht="18.75" hidden="1" x14ac:dyDescent="0.3">
      <c r="A163" s="631" t="s">
        <v>98</v>
      </c>
      <c r="B163" s="631"/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>
        <v>66429</v>
      </c>
      <c r="Y163" s="631">
        <f t="shared" si="360"/>
        <v>66429</v>
      </c>
      <c r="Z163" s="634">
        <f>SUM(Y163/Y164)</f>
        <v>1.277275002684135E-2</v>
      </c>
      <c r="AA163" s="890"/>
      <c r="AB163" s="402"/>
      <c r="AC163" s="402"/>
      <c r="AD163" s="5"/>
      <c r="AE163" s="5"/>
      <c r="AF163" s="5"/>
      <c r="AG163" s="5"/>
      <c r="AH163" s="5"/>
      <c r="AI163" s="5"/>
      <c r="AJ163" s="5"/>
      <c r="AK163" s="5"/>
      <c r="AL163" s="5"/>
      <c r="AM163" s="5"/>
    </row>
    <row r="164" spans="1:39" ht="18.75" hidden="1" x14ac:dyDescent="0.3">
      <c r="A164" s="632" t="s">
        <v>627</v>
      </c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>
        <f t="shared" ref="V164:X164" si="361">SUM(V142:V163)</f>
        <v>3145266</v>
      </c>
      <c r="W164" s="632">
        <f t="shared" si="361"/>
        <v>0</v>
      </c>
      <c r="X164" s="632">
        <f t="shared" si="361"/>
        <v>2743798.4900000007</v>
      </c>
      <c r="Y164" s="632">
        <f>SUM(Y142:Y163)</f>
        <v>5200837.71</v>
      </c>
      <c r="Z164" s="635">
        <f>SUM(Z142:Z163)</f>
        <v>0.99999999999999967</v>
      </c>
      <c r="AA164" s="891"/>
      <c r="AB164" s="402"/>
      <c r="AC164" s="402"/>
      <c r="AD164" s="5"/>
      <c r="AE164" s="5"/>
      <c r="AF164" s="5"/>
      <c r="AG164" s="5"/>
      <c r="AH164" s="5"/>
      <c r="AI164" s="5"/>
      <c r="AJ164" s="5"/>
      <c r="AK164" s="5"/>
      <c r="AL164" s="5"/>
      <c r="AM164" s="5"/>
    </row>
    <row r="165" spans="1:39" ht="18.75" hidden="1" x14ac:dyDescent="0.3">
      <c r="A165" s="632" t="s">
        <v>636</v>
      </c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6" t="s">
        <v>646</v>
      </c>
      <c r="W165" s="636"/>
      <c r="X165" s="636" t="s">
        <v>641</v>
      </c>
      <c r="Y165" s="636" t="s">
        <v>288</v>
      </c>
      <c r="Z165" s="636" t="s">
        <v>44</v>
      </c>
      <c r="AA165" s="889"/>
      <c r="AB165" s="402"/>
      <c r="AC165" s="402"/>
      <c r="AD165" s="5"/>
      <c r="AE165" s="5"/>
      <c r="AF165" s="5"/>
      <c r="AG165" s="5"/>
      <c r="AH165" s="5"/>
      <c r="AI165" s="5"/>
      <c r="AJ165" s="5"/>
      <c r="AK165" s="5"/>
      <c r="AL165" s="5"/>
      <c r="AM165" s="5"/>
    </row>
    <row r="166" spans="1:39" ht="18.75" hidden="1" x14ac:dyDescent="0.3">
      <c r="A166" s="631" t="s">
        <v>621</v>
      </c>
      <c r="B166" s="631"/>
      <c r="C166" s="631"/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>
        <f>SUM(V166:X166)</f>
        <v>0</v>
      </c>
      <c r="Z166" s="634">
        <f>SUM(Y166/Y175)</f>
        <v>0</v>
      </c>
      <c r="AA166" s="890"/>
      <c r="AB166" s="402"/>
      <c r="AC166" s="402"/>
      <c r="AD166" s="5"/>
      <c r="AE166" s="5"/>
      <c r="AF166" s="5"/>
      <c r="AG166" s="5"/>
      <c r="AH166" s="5"/>
      <c r="AI166" s="5"/>
      <c r="AJ166" s="5"/>
      <c r="AK166" s="5"/>
      <c r="AL166" s="5"/>
      <c r="AM166" s="5"/>
    </row>
    <row r="167" spans="1:39" ht="18.75" hidden="1" x14ac:dyDescent="0.3">
      <c r="A167" s="631" t="s">
        <v>622</v>
      </c>
      <c r="B167" s="631"/>
      <c r="C167" s="631"/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>
        <f t="shared" ref="Y167:Y172" si="362">SUM(V167:X167)</f>
        <v>0</v>
      </c>
      <c r="Z167" s="634">
        <f>SUM(Y167/Y175)</f>
        <v>0</v>
      </c>
      <c r="AA167" s="890"/>
      <c r="AB167" s="402"/>
      <c r="AC167" s="402"/>
      <c r="AD167" s="5"/>
      <c r="AE167" s="5"/>
      <c r="AF167" s="5"/>
      <c r="AG167" s="5"/>
      <c r="AH167" s="5"/>
      <c r="AI167" s="5"/>
      <c r="AJ167" s="5"/>
      <c r="AK167" s="5"/>
      <c r="AL167" s="5"/>
      <c r="AM167" s="5"/>
    </row>
    <row r="168" spans="1:39" ht="18.75" hidden="1" x14ac:dyDescent="0.3">
      <c r="A168" s="631" t="s">
        <v>32</v>
      </c>
      <c r="B168" s="631"/>
      <c r="C168" s="631"/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>
        <v>5084.76</v>
      </c>
      <c r="Y168" s="631">
        <f t="shared" si="362"/>
        <v>5084.76</v>
      </c>
      <c r="Z168" s="634">
        <f>SUM(Y168/Y175)</f>
        <v>7.5773820222306302E-3</v>
      </c>
      <c r="AA168" s="890"/>
      <c r="AB168" s="402"/>
      <c r="AC168" s="402"/>
      <c r="AD168" s="5"/>
      <c r="AE168" s="5"/>
      <c r="AF168" s="5"/>
      <c r="AG168" s="5"/>
      <c r="AH168" s="5"/>
      <c r="AI168" s="5"/>
      <c r="AJ168" s="5"/>
      <c r="AK168" s="5"/>
      <c r="AL168" s="5"/>
      <c r="AM168" s="5"/>
    </row>
    <row r="169" spans="1:39" ht="18.75" hidden="1" x14ac:dyDescent="0.3">
      <c r="A169" s="631" t="s">
        <v>76</v>
      </c>
      <c r="B169" s="631"/>
      <c r="C169" s="631"/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>
        <v>150</v>
      </c>
      <c r="Y169" s="631">
        <f t="shared" si="362"/>
        <v>150</v>
      </c>
      <c r="Z169" s="634">
        <f>SUM(Y169/Y175)</f>
        <v>2.2353214376580105E-4</v>
      </c>
      <c r="AA169" s="890"/>
      <c r="AB169" s="402"/>
      <c r="AC169" s="402"/>
      <c r="AD169" s="5"/>
      <c r="AE169" s="5"/>
      <c r="AF169" s="5"/>
      <c r="AG169" s="5"/>
      <c r="AH169" s="5"/>
      <c r="AI169" s="5"/>
      <c r="AJ169" s="5"/>
      <c r="AK169" s="5"/>
      <c r="AL169" s="5"/>
      <c r="AM169" s="5"/>
    </row>
    <row r="170" spans="1:39" ht="18.75" hidden="1" x14ac:dyDescent="0.3">
      <c r="A170" s="631" t="s">
        <v>648</v>
      </c>
      <c r="B170" s="631"/>
      <c r="C170" s="631"/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>
        <v>15308.21</v>
      </c>
      <c r="Y170" s="631">
        <f t="shared" si="362"/>
        <v>15308.21</v>
      </c>
      <c r="Z170" s="634">
        <f>SUM(Y170/Y175)</f>
        <v>2.2812513323447154E-2</v>
      </c>
      <c r="AA170" s="890"/>
      <c r="AB170" s="402"/>
      <c r="AC170" s="402"/>
      <c r="AD170" s="5"/>
      <c r="AE170" s="5"/>
      <c r="AF170" s="5"/>
      <c r="AG170" s="5"/>
      <c r="AH170" s="5"/>
      <c r="AI170" s="5"/>
      <c r="AJ170" s="5"/>
      <c r="AK170" s="5"/>
      <c r="AL170" s="5"/>
      <c r="AM170" s="5"/>
    </row>
    <row r="171" spans="1:39" ht="18.75" hidden="1" x14ac:dyDescent="0.3">
      <c r="A171" s="631" t="s">
        <v>626</v>
      </c>
      <c r="B171" s="631"/>
      <c r="C171" s="631"/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>
        <v>594746.84</v>
      </c>
      <c r="Y171" s="631">
        <f t="shared" si="362"/>
        <v>594746.84</v>
      </c>
      <c r="Z171" s="634">
        <f>SUM(Y171/Y175)</f>
        <v>0.88630024095423909</v>
      </c>
      <c r="AA171" s="890"/>
      <c r="AB171" s="402"/>
      <c r="AC171" s="402"/>
      <c r="AD171" s="5"/>
      <c r="AE171" s="5"/>
      <c r="AF171" s="5"/>
      <c r="AG171" s="5"/>
      <c r="AH171" s="5"/>
      <c r="AI171" s="5"/>
      <c r="AJ171" s="5"/>
      <c r="AK171" s="5"/>
      <c r="AL171" s="5"/>
      <c r="AM171" s="5"/>
    </row>
    <row r="172" spans="1:39" ht="18.75" hidden="1" x14ac:dyDescent="0.3">
      <c r="A172" s="631" t="s">
        <v>637</v>
      </c>
      <c r="B172" s="631"/>
      <c r="C172" s="631"/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>
        <v>7460</v>
      </c>
      <c r="Y172" s="631">
        <f t="shared" si="362"/>
        <v>7460</v>
      </c>
      <c r="Z172" s="634">
        <f>SUM(Y172/Y175)</f>
        <v>1.1116998616619172E-2</v>
      </c>
      <c r="AA172" s="890"/>
      <c r="AB172" s="402"/>
      <c r="AC172" s="402"/>
      <c r="AD172" s="5"/>
      <c r="AE172" s="5"/>
      <c r="AF172" s="5"/>
      <c r="AG172" s="5"/>
      <c r="AH172" s="5"/>
      <c r="AI172" s="5"/>
      <c r="AJ172" s="5"/>
      <c r="AK172" s="5"/>
      <c r="AL172" s="5"/>
      <c r="AM172" s="5"/>
    </row>
    <row r="173" spans="1:39" ht="18.75" hidden="1" x14ac:dyDescent="0.3">
      <c r="A173" s="631" t="s">
        <v>601</v>
      </c>
      <c r="B173" s="631"/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>
        <v>46310.07</v>
      </c>
      <c r="Y173" s="631">
        <f t="shared" ref="Y173:Y174" si="363">SUM(V173:X173)</f>
        <v>46310.07</v>
      </c>
      <c r="Z173" s="634">
        <f>SUM(Y173/Y175)</f>
        <v>6.9011928166962069E-2</v>
      </c>
      <c r="AA173" s="890"/>
      <c r="AB173" s="402"/>
      <c r="AC173" s="402"/>
      <c r="AD173" s="5"/>
      <c r="AE173" s="5"/>
      <c r="AF173" s="5"/>
      <c r="AG173" s="5"/>
      <c r="AH173" s="5"/>
      <c r="AI173" s="5"/>
      <c r="AJ173" s="5"/>
      <c r="AK173" s="5"/>
      <c r="AL173" s="5"/>
      <c r="AM173" s="5"/>
    </row>
    <row r="174" spans="1:39" ht="18.75" hidden="1" x14ac:dyDescent="0.3">
      <c r="A174" s="631" t="s">
        <v>34</v>
      </c>
      <c r="B174" s="631"/>
      <c r="C174" s="631"/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>
        <v>1984.55</v>
      </c>
      <c r="Y174" s="631">
        <f t="shared" si="363"/>
        <v>1984.55</v>
      </c>
      <c r="Z174" s="634">
        <f>SUM(Y174/Y175)</f>
        <v>2.9574047727361362E-3</v>
      </c>
      <c r="AA174" s="890"/>
      <c r="AB174" s="402"/>
      <c r="AC174" s="402"/>
      <c r="AD174" s="5"/>
      <c r="AE174" s="5"/>
      <c r="AF174" s="5"/>
      <c r="AG174" s="5"/>
      <c r="AH174" s="5"/>
      <c r="AI174" s="5"/>
      <c r="AJ174" s="5"/>
      <c r="AK174" s="5"/>
      <c r="AL174" s="5"/>
      <c r="AM174" s="5"/>
    </row>
    <row r="175" spans="1:39" ht="18.75" hidden="1" x14ac:dyDescent="0.3">
      <c r="A175" s="632" t="s">
        <v>627</v>
      </c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>
        <f t="shared" ref="V175:X175" si="364">SUM(V166:V174)</f>
        <v>0</v>
      </c>
      <c r="W175" s="632">
        <f t="shared" si="364"/>
        <v>0</v>
      </c>
      <c r="X175" s="632">
        <f t="shared" si="364"/>
        <v>671044.42999999993</v>
      </c>
      <c r="Y175" s="632">
        <f>SUM(Y166:Y174)</f>
        <v>671044.42999999993</v>
      </c>
      <c r="Z175" s="635">
        <f>SUM(Z166:Z174)</f>
        <v>1.0000000000000002</v>
      </c>
      <c r="AA175" s="891"/>
      <c r="AB175" s="402"/>
      <c r="AC175" s="402"/>
      <c r="AD175" s="5"/>
      <c r="AE175" s="5"/>
      <c r="AF175" s="5"/>
      <c r="AG175" s="5"/>
      <c r="AH175" s="5"/>
      <c r="AI175" s="5"/>
      <c r="AJ175" s="5"/>
      <c r="AK175" s="5"/>
      <c r="AL175" s="5"/>
      <c r="AM175" s="5"/>
    </row>
    <row r="176" spans="1:39" ht="18.75" hidden="1" x14ac:dyDescent="0.3">
      <c r="A176" s="632" t="s">
        <v>642</v>
      </c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6" t="s">
        <v>643</v>
      </c>
      <c r="W176" s="636"/>
      <c r="X176" s="636" t="s">
        <v>153</v>
      </c>
      <c r="Y176" s="636" t="s">
        <v>288</v>
      </c>
      <c r="Z176" s="636" t="s">
        <v>44</v>
      </c>
      <c r="AA176" s="889"/>
      <c r="AB176" s="402"/>
      <c r="AC176" s="402"/>
      <c r="AD176" s="5"/>
      <c r="AE176" s="5"/>
      <c r="AF176" s="5"/>
      <c r="AG176" s="5"/>
      <c r="AH176" s="5"/>
      <c r="AI176" s="5"/>
      <c r="AJ176" s="5"/>
      <c r="AK176" s="5"/>
      <c r="AL176" s="5"/>
      <c r="AM176" s="5"/>
    </row>
    <row r="177" spans="1:39" ht="18.75" hidden="1" x14ac:dyDescent="0.3">
      <c r="A177" s="631" t="s">
        <v>621</v>
      </c>
      <c r="B177" s="631"/>
      <c r="C177" s="631"/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>
        <v>1594083.26</v>
      </c>
      <c r="W177" s="631"/>
      <c r="X177" s="631"/>
      <c r="Y177" s="631">
        <f>SUM(V177:X177)</f>
        <v>1594083.26</v>
      </c>
      <c r="Z177" s="634">
        <f>SUM(Y177/Y184)</f>
        <v>0.70013013790776046</v>
      </c>
      <c r="AA177" s="890"/>
      <c r="AB177" s="402"/>
      <c r="AC177" s="402"/>
      <c r="AD177" s="5"/>
      <c r="AE177" s="5"/>
      <c r="AF177" s="5"/>
      <c r="AG177" s="5"/>
      <c r="AH177" s="5"/>
      <c r="AI177" s="5"/>
      <c r="AJ177" s="5"/>
      <c r="AK177" s="5"/>
      <c r="AL177" s="5"/>
      <c r="AM177" s="5"/>
    </row>
    <row r="178" spans="1:39" ht="18.75" hidden="1" x14ac:dyDescent="0.3">
      <c r="A178" s="631" t="s">
        <v>622</v>
      </c>
      <c r="B178" s="631"/>
      <c r="C178" s="631"/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>
        <v>479160.57</v>
      </c>
      <c r="W178" s="631"/>
      <c r="X178" s="631"/>
      <c r="Y178" s="631">
        <f t="shared" ref="Y178:Y179" si="365">SUM(V178:X178)</f>
        <v>479160.57</v>
      </c>
      <c r="Z178" s="634">
        <f>SUM(Y178/Y184)</f>
        <v>0.21044995852604406</v>
      </c>
      <c r="AA178" s="890"/>
      <c r="AB178" s="402"/>
      <c r="AC178" s="402"/>
      <c r="AD178" s="5"/>
      <c r="AE178" s="5"/>
      <c r="AF178" s="5"/>
      <c r="AG178" s="5"/>
      <c r="AH178" s="5"/>
      <c r="AI178" s="5"/>
      <c r="AJ178" s="5"/>
      <c r="AK178" s="5"/>
      <c r="AL178" s="5"/>
      <c r="AM178" s="5"/>
    </row>
    <row r="179" spans="1:39" ht="18.75" hidden="1" x14ac:dyDescent="0.3">
      <c r="A179" s="631" t="s">
        <v>76</v>
      </c>
      <c r="B179" s="631"/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>
        <v>60</v>
      </c>
      <c r="Y179" s="631">
        <f t="shared" si="365"/>
        <v>60</v>
      </c>
      <c r="Z179" s="637">
        <f>SUM(Y179/Y184)</f>
        <v>2.6352330100038579E-5</v>
      </c>
      <c r="AA179" s="892"/>
      <c r="AB179" s="402"/>
      <c r="AC179" s="402"/>
      <c r="AD179" s="5"/>
      <c r="AE179" s="5"/>
      <c r="AF179" s="5"/>
      <c r="AG179" s="5"/>
      <c r="AH179" s="5"/>
      <c r="AI179" s="5"/>
      <c r="AJ179" s="5"/>
      <c r="AK179" s="5"/>
      <c r="AL179" s="5"/>
      <c r="AM179" s="5"/>
    </row>
    <row r="180" spans="1:39" ht="18.75" hidden="1" x14ac:dyDescent="0.3">
      <c r="A180" s="631" t="s">
        <v>601</v>
      </c>
      <c r="B180" s="631"/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>
        <v>140992.44</v>
      </c>
      <c r="Y180" s="631">
        <f t="shared" ref="Y180:Y183" si="366">SUM(V180:X180)</f>
        <v>140992.44</v>
      </c>
      <c r="Z180" s="634">
        <f>SUM(Y180/Y184)</f>
        <v>6.1924655341498061E-2</v>
      </c>
      <c r="AA180" s="890"/>
      <c r="AB180" s="402"/>
      <c r="AC180" s="402"/>
      <c r="AD180" s="5"/>
      <c r="AE180" s="5"/>
      <c r="AF180" s="5"/>
      <c r="AG180" s="5"/>
      <c r="AH180" s="5"/>
      <c r="AI180" s="5"/>
      <c r="AJ180" s="5"/>
      <c r="AK180" s="5"/>
      <c r="AL180" s="5"/>
      <c r="AM180" s="5"/>
    </row>
    <row r="181" spans="1:39" ht="18.75" hidden="1" x14ac:dyDescent="0.3">
      <c r="A181" s="631" t="s">
        <v>625</v>
      </c>
      <c r="B181" s="631"/>
      <c r="C181" s="631"/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>
        <v>42438</v>
      </c>
      <c r="Y181" s="631">
        <f t="shared" si="366"/>
        <v>42438</v>
      </c>
      <c r="Z181" s="634">
        <f>SUM(Y181/Y184)</f>
        <v>1.8639003079757289E-2</v>
      </c>
      <c r="AA181" s="890"/>
      <c r="AB181" s="402"/>
      <c r="AC181" s="402"/>
      <c r="AD181" s="5"/>
      <c r="AE181" s="5"/>
      <c r="AF181" s="5"/>
      <c r="AG181" s="5"/>
      <c r="AH181" s="5"/>
      <c r="AI181" s="5"/>
      <c r="AJ181" s="5"/>
      <c r="AK181" s="5"/>
      <c r="AL181" s="5"/>
      <c r="AM181" s="5"/>
    </row>
    <row r="182" spans="1:39" ht="18.75" hidden="1" x14ac:dyDescent="0.3">
      <c r="A182" s="631" t="s">
        <v>34</v>
      </c>
      <c r="B182" s="631"/>
      <c r="C182" s="631"/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>
        <v>15905.29</v>
      </c>
      <c r="Y182" s="631">
        <f t="shared" si="366"/>
        <v>15905.29</v>
      </c>
      <c r="Z182" s="634">
        <f>SUM(Y182/Y184)</f>
        <v>6.9856908736140441E-3</v>
      </c>
      <c r="AA182" s="890"/>
      <c r="AB182" s="402"/>
      <c r="AC182" s="402"/>
      <c r="AD182" s="5"/>
      <c r="AE182" s="5"/>
      <c r="AF182" s="5"/>
      <c r="AG182" s="5"/>
      <c r="AH182" s="5"/>
      <c r="AI182" s="5"/>
      <c r="AJ182" s="5"/>
      <c r="AK182" s="5"/>
      <c r="AL182" s="5"/>
      <c r="AM182" s="5"/>
    </row>
    <row r="183" spans="1:39" ht="18.75" hidden="1" x14ac:dyDescent="0.3">
      <c r="A183" s="631" t="s">
        <v>52</v>
      </c>
      <c r="B183" s="631"/>
      <c r="C183" s="631"/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>
        <v>4198.95</v>
      </c>
      <c r="Y183" s="631">
        <f t="shared" si="366"/>
        <v>4198.95</v>
      </c>
      <c r="Z183" s="634">
        <f>SUM(Y183/Y184)</f>
        <v>1.84420194122595E-3</v>
      </c>
      <c r="AA183" s="890"/>
      <c r="AB183" s="402"/>
      <c r="AC183" s="402"/>
      <c r="AD183" s="5"/>
      <c r="AE183" s="5"/>
      <c r="AF183" s="5"/>
      <c r="AG183" s="5"/>
      <c r="AH183" s="5"/>
      <c r="AI183" s="5"/>
      <c r="AJ183" s="5"/>
      <c r="AK183" s="5"/>
      <c r="AL183" s="5"/>
      <c r="AM183" s="5"/>
    </row>
    <row r="184" spans="1:39" ht="18.75" hidden="1" x14ac:dyDescent="0.3">
      <c r="A184" s="632" t="s">
        <v>627</v>
      </c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>
        <f t="shared" ref="V184:X184" si="367">SUM(V177:V183)</f>
        <v>2073243.83</v>
      </c>
      <c r="W184" s="632">
        <f t="shared" si="367"/>
        <v>0</v>
      </c>
      <c r="X184" s="632">
        <f t="shared" si="367"/>
        <v>203594.68000000002</v>
      </c>
      <c r="Y184" s="632">
        <f>SUM(Y177:Y183)</f>
        <v>2276838.5100000002</v>
      </c>
      <c r="Z184" s="635">
        <f>SUM(Z177:Z183)</f>
        <v>0.99999999999999989</v>
      </c>
      <c r="AA184" s="891"/>
      <c r="AB184" s="402"/>
      <c r="AC184" s="402"/>
      <c r="AD184" s="5"/>
      <c r="AE184" s="5"/>
      <c r="AF184" s="5"/>
      <c r="AG184" s="5"/>
      <c r="AH184" s="5"/>
      <c r="AI184" s="5"/>
      <c r="AJ184" s="5"/>
      <c r="AK184" s="5"/>
      <c r="AL184" s="5"/>
      <c r="AM184" s="5"/>
    </row>
    <row r="185" spans="1:39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9"/>
      <c r="T185" s="399"/>
      <c r="U185" s="399"/>
      <c r="V185" s="402"/>
      <c r="W185" s="5"/>
      <c r="X185" s="402"/>
      <c r="Y185" s="402"/>
      <c r="Z185" s="402"/>
      <c r="AA185" s="402"/>
      <c r="AB185" s="402"/>
      <c r="AC185" s="402"/>
      <c r="AD185" s="5"/>
      <c r="AE185" s="5"/>
      <c r="AF185" s="5"/>
      <c r="AG185" s="5"/>
      <c r="AH185" s="5"/>
      <c r="AI185" s="5"/>
      <c r="AJ185" s="5"/>
      <c r="AK185" s="5"/>
      <c r="AL185" s="5"/>
      <c r="AM185" s="5"/>
    </row>
    <row r="186" spans="1:39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9"/>
      <c r="T186" s="399"/>
      <c r="U186" s="399"/>
      <c r="V186" s="402"/>
      <c r="W186" s="5"/>
      <c r="X186" s="402"/>
      <c r="Y186" s="402"/>
      <c r="Z186" s="402"/>
      <c r="AA186" s="402"/>
      <c r="AB186" s="402"/>
      <c r="AC186" s="402"/>
      <c r="AD186" s="5"/>
      <c r="AE186" s="5"/>
      <c r="AF186" s="5"/>
      <c r="AG186" s="5"/>
      <c r="AH186" s="5"/>
      <c r="AI186" s="5"/>
      <c r="AJ186" s="5"/>
      <c r="AK186" s="5"/>
      <c r="AL186" s="5"/>
      <c r="AM186" s="5"/>
    </row>
    <row r="187" spans="1:39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9"/>
      <c r="T187" s="399"/>
      <c r="U187" s="399"/>
      <c r="V187" s="402"/>
      <c r="W187" s="5"/>
      <c r="X187" s="402"/>
      <c r="Y187" s="402"/>
      <c r="Z187" s="402"/>
      <c r="AA187" s="402"/>
      <c r="AB187" s="402"/>
      <c r="AC187" s="402"/>
      <c r="AD187" s="5"/>
      <c r="AE187" s="5"/>
      <c r="AF187" s="5"/>
      <c r="AG187" s="5"/>
      <c r="AH187" s="5"/>
      <c r="AI187" s="5"/>
      <c r="AJ187" s="5"/>
      <c r="AK187" s="5"/>
      <c r="AL187" s="5"/>
      <c r="AM187" s="5"/>
    </row>
    <row r="188" spans="1:39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9"/>
      <c r="T188" s="399"/>
      <c r="U188" s="399"/>
      <c r="V188" s="402"/>
      <c r="W188" s="5"/>
      <c r="X188" s="402"/>
      <c r="Y188" s="402"/>
      <c r="Z188" s="402"/>
      <c r="AA188" s="402"/>
      <c r="AB188" s="402"/>
      <c r="AC188" s="402"/>
      <c r="AD188" s="5"/>
      <c r="AE188" s="5"/>
      <c r="AF188" s="5"/>
      <c r="AG188" s="5"/>
      <c r="AH188" s="5"/>
      <c r="AI188" s="5"/>
      <c r="AJ188" s="5"/>
      <c r="AK188" s="5"/>
      <c r="AL188" s="5"/>
      <c r="AM188" s="5"/>
    </row>
    <row r="189" spans="1:39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9"/>
      <c r="T189" s="399"/>
      <c r="U189" s="399"/>
      <c r="V189" s="402"/>
      <c r="W189" s="5"/>
      <c r="X189" s="402"/>
      <c r="Y189" s="402"/>
      <c r="Z189" s="402"/>
      <c r="AA189" s="402"/>
      <c r="AB189" s="402"/>
      <c r="AC189" s="402"/>
      <c r="AD189" s="5"/>
      <c r="AE189" s="5"/>
      <c r="AF189" s="5"/>
      <c r="AG189" s="5"/>
      <c r="AH189" s="5"/>
      <c r="AI189" s="5"/>
      <c r="AJ189" s="5"/>
      <c r="AK189" s="5"/>
      <c r="AL189" s="5"/>
      <c r="AM189" s="5"/>
    </row>
    <row r="190" spans="1:39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9"/>
      <c r="T190" s="399"/>
      <c r="U190" s="399"/>
      <c r="V190" s="402"/>
      <c r="W190" s="5"/>
      <c r="X190" s="402"/>
      <c r="Y190" s="402"/>
      <c r="Z190" s="402"/>
      <c r="AA190" s="402"/>
      <c r="AB190" s="402"/>
      <c r="AC190" s="402"/>
      <c r="AD190" s="5"/>
      <c r="AE190" s="5"/>
      <c r="AF190" s="5"/>
      <c r="AG190" s="5"/>
      <c r="AH190" s="5"/>
      <c r="AI190" s="5"/>
      <c r="AJ190" s="5"/>
      <c r="AK190" s="5"/>
      <c r="AL190" s="5"/>
      <c r="AM190" s="5"/>
    </row>
    <row r="191" spans="1:39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9"/>
      <c r="T191" s="399"/>
      <c r="U191" s="399"/>
      <c r="V191" s="402"/>
      <c r="W191" s="5"/>
      <c r="X191" s="402"/>
      <c r="Y191" s="402"/>
      <c r="Z191" s="402"/>
      <c r="AA191" s="402"/>
      <c r="AB191" s="402"/>
      <c r="AC191" s="402"/>
      <c r="AD191" s="5"/>
      <c r="AE191" s="5"/>
      <c r="AF191" s="5"/>
      <c r="AG191" s="5"/>
      <c r="AH191" s="5"/>
      <c r="AI191" s="5"/>
      <c r="AJ191" s="5"/>
      <c r="AK191" s="5"/>
      <c r="AL191" s="5"/>
      <c r="AM191" s="5"/>
    </row>
    <row r="192" spans="1:39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9"/>
      <c r="T192" s="399"/>
      <c r="U192" s="399"/>
      <c r="V192" s="402"/>
      <c r="W192" s="5"/>
      <c r="X192" s="402"/>
      <c r="Y192" s="402"/>
      <c r="Z192" s="402"/>
      <c r="AA192" s="402"/>
      <c r="AB192" s="402"/>
      <c r="AC192" s="402"/>
      <c r="AD192" s="5"/>
      <c r="AE192" s="5"/>
      <c r="AF192" s="5"/>
      <c r="AG192" s="5"/>
      <c r="AH192" s="5"/>
      <c r="AI192" s="5"/>
      <c r="AJ192" s="5"/>
      <c r="AK192" s="5"/>
      <c r="AL192" s="5"/>
      <c r="AM192" s="5"/>
    </row>
    <row r="193" spans="1:39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9"/>
      <c r="T193" s="399"/>
      <c r="U193" s="399"/>
      <c r="V193" s="402"/>
      <c r="W193" s="5"/>
      <c r="X193" s="402"/>
      <c r="Y193" s="402"/>
      <c r="Z193" s="402"/>
      <c r="AA193" s="402"/>
      <c r="AB193" s="402"/>
      <c r="AC193" s="402"/>
      <c r="AD193" s="5"/>
      <c r="AE193" s="5"/>
      <c r="AF193" s="5"/>
      <c r="AG193" s="5"/>
      <c r="AH193" s="5"/>
      <c r="AI193" s="5"/>
      <c r="AJ193" s="5"/>
      <c r="AK193" s="5"/>
      <c r="AL193" s="5"/>
      <c r="AM193" s="5"/>
    </row>
    <row r="194" spans="1:39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9"/>
      <c r="T194" s="399"/>
      <c r="U194" s="399"/>
      <c r="V194" s="402"/>
      <c r="W194" s="5"/>
      <c r="X194" s="402"/>
      <c r="Y194" s="402"/>
      <c r="Z194" s="402"/>
      <c r="AA194" s="402"/>
      <c r="AB194" s="402"/>
      <c r="AC194" s="402"/>
      <c r="AD194" s="5"/>
      <c r="AE194" s="5"/>
      <c r="AF194" s="5"/>
      <c r="AG194" s="5"/>
      <c r="AH194" s="5"/>
      <c r="AI194" s="5"/>
      <c r="AJ194" s="5"/>
      <c r="AK194" s="5"/>
      <c r="AL194" s="5"/>
      <c r="AM194" s="5"/>
    </row>
    <row r="195" spans="1:39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9"/>
      <c r="T195" s="399"/>
      <c r="U195" s="399"/>
      <c r="V195" s="402"/>
      <c r="W195" s="5"/>
      <c r="X195" s="402"/>
      <c r="Y195" s="402"/>
      <c r="Z195" s="402"/>
      <c r="AA195" s="402"/>
      <c r="AB195" s="402"/>
      <c r="AC195" s="402"/>
      <c r="AD195" s="5"/>
      <c r="AE195" s="5"/>
      <c r="AF195" s="5"/>
      <c r="AG195" s="5"/>
      <c r="AH195" s="5"/>
      <c r="AI195" s="5"/>
      <c r="AJ195" s="5"/>
      <c r="AK195" s="5"/>
      <c r="AL195" s="5"/>
      <c r="AM195" s="5"/>
    </row>
    <row r="196" spans="1:39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9"/>
      <c r="T196" s="399"/>
      <c r="U196" s="399"/>
      <c r="V196" s="402"/>
      <c r="W196" s="5"/>
      <c r="X196" s="402"/>
      <c r="Y196" s="402"/>
      <c r="Z196" s="402"/>
      <c r="AA196" s="402"/>
      <c r="AB196" s="402"/>
      <c r="AC196" s="402"/>
      <c r="AD196" s="5"/>
      <c r="AE196" s="5"/>
      <c r="AF196" s="5"/>
      <c r="AG196" s="5"/>
      <c r="AH196" s="5"/>
      <c r="AI196" s="5"/>
      <c r="AJ196" s="5"/>
      <c r="AK196" s="5"/>
      <c r="AL196" s="5"/>
      <c r="AM196" s="5"/>
    </row>
    <row r="197" spans="1:39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9"/>
      <c r="T197" s="399"/>
      <c r="U197" s="399"/>
      <c r="V197" s="402"/>
      <c r="W197" s="5"/>
      <c r="X197" s="402"/>
      <c r="Y197" s="402"/>
      <c r="Z197" s="402"/>
      <c r="AA197" s="402"/>
      <c r="AB197" s="402"/>
      <c r="AC197" s="402"/>
      <c r="AD197" s="5"/>
      <c r="AE197" s="5"/>
      <c r="AF197" s="5"/>
      <c r="AG197" s="5"/>
      <c r="AH197" s="5"/>
      <c r="AI197" s="5"/>
      <c r="AJ197" s="5"/>
      <c r="AK197" s="5"/>
      <c r="AL197" s="5"/>
      <c r="AM197" s="5"/>
    </row>
    <row r="198" spans="1:39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9"/>
      <c r="T198" s="399"/>
      <c r="U198" s="399"/>
      <c r="V198" s="402"/>
      <c r="W198" s="5"/>
      <c r="X198" s="402"/>
      <c r="Y198" s="402"/>
      <c r="Z198" s="402"/>
      <c r="AA198" s="402"/>
      <c r="AB198" s="402"/>
      <c r="AC198" s="402"/>
      <c r="AD198" s="5"/>
      <c r="AE198" s="5"/>
      <c r="AF198" s="5"/>
      <c r="AG198" s="5"/>
      <c r="AH198" s="5"/>
      <c r="AI198" s="5"/>
      <c r="AJ198" s="5"/>
      <c r="AK198" s="5"/>
      <c r="AL198" s="5"/>
      <c r="AM198" s="5"/>
    </row>
    <row r="199" spans="1:39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9"/>
      <c r="T199" s="399"/>
      <c r="U199" s="399"/>
      <c r="V199" s="402"/>
      <c r="W199" s="5"/>
      <c r="X199" s="402"/>
      <c r="Y199" s="402"/>
      <c r="Z199" s="402"/>
      <c r="AA199" s="402"/>
      <c r="AB199" s="402"/>
      <c r="AC199" s="402"/>
      <c r="AD199" s="5"/>
      <c r="AE199" s="5"/>
      <c r="AF199" s="5"/>
      <c r="AG199" s="5"/>
      <c r="AH199" s="5"/>
      <c r="AI199" s="5"/>
      <c r="AJ199" s="5"/>
      <c r="AK199" s="5"/>
      <c r="AL199" s="5"/>
      <c r="AM199" s="5"/>
    </row>
    <row r="200" spans="1:39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9"/>
      <c r="T200" s="399"/>
      <c r="U200" s="399"/>
      <c r="V200" s="402"/>
      <c r="W200" s="5"/>
      <c r="X200" s="402"/>
      <c r="Y200" s="402"/>
      <c r="Z200" s="402"/>
      <c r="AA200" s="402"/>
      <c r="AB200" s="402"/>
      <c r="AC200" s="402"/>
      <c r="AD200" s="5"/>
      <c r="AE200" s="5"/>
      <c r="AF200" s="5"/>
      <c r="AG200" s="5"/>
      <c r="AH200" s="5"/>
      <c r="AI200" s="5"/>
      <c r="AJ200" s="5"/>
      <c r="AK200" s="5"/>
      <c r="AL200" s="5"/>
      <c r="AM200" s="5"/>
    </row>
    <row r="201" spans="1:39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9"/>
      <c r="T201" s="399"/>
      <c r="U201" s="399"/>
      <c r="V201" s="402"/>
      <c r="W201" s="5"/>
      <c r="X201" s="402"/>
      <c r="Y201" s="402"/>
      <c r="Z201" s="402"/>
      <c r="AA201" s="402"/>
      <c r="AB201" s="402"/>
      <c r="AC201" s="402"/>
      <c r="AD201" s="5"/>
      <c r="AE201" s="5"/>
      <c r="AF201" s="5"/>
      <c r="AG201" s="5"/>
      <c r="AH201" s="5"/>
      <c r="AI201" s="5"/>
      <c r="AJ201" s="5"/>
      <c r="AK201" s="5"/>
      <c r="AL201" s="5"/>
      <c r="AM201" s="5"/>
    </row>
    <row r="202" spans="1:39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9"/>
      <c r="T202" s="399"/>
      <c r="U202" s="399"/>
      <c r="V202" s="402"/>
      <c r="W202" s="5"/>
      <c r="X202" s="402"/>
      <c r="Y202" s="402"/>
      <c r="Z202" s="402"/>
      <c r="AA202" s="402"/>
      <c r="AB202" s="402"/>
      <c r="AC202" s="402"/>
      <c r="AD202" s="5"/>
      <c r="AE202" s="5"/>
      <c r="AF202" s="5"/>
      <c r="AG202" s="5"/>
      <c r="AH202" s="5"/>
      <c r="AI202" s="5"/>
      <c r="AJ202" s="5"/>
      <c r="AK202" s="5"/>
      <c r="AL202" s="5"/>
      <c r="AM202" s="5"/>
    </row>
    <row r="203" spans="1:39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9"/>
      <c r="T203" s="399"/>
      <c r="U203" s="399"/>
      <c r="V203" s="402"/>
      <c r="W203" s="5"/>
      <c r="X203" s="402"/>
      <c r="Y203" s="402"/>
      <c r="Z203" s="402"/>
      <c r="AA203" s="402"/>
      <c r="AB203" s="402"/>
      <c r="AC203" s="402"/>
      <c r="AD203" s="5"/>
      <c r="AE203" s="5"/>
      <c r="AF203" s="5"/>
      <c r="AG203" s="5"/>
      <c r="AH203" s="5"/>
      <c r="AI203" s="5"/>
      <c r="AJ203" s="5"/>
      <c r="AK203" s="5"/>
      <c r="AL203" s="5"/>
      <c r="AM203" s="5"/>
    </row>
    <row r="204" spans="1:39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9"/>
      <c r="T204" s="399"/>
      <c r="U204" s="399"/>
      <c r="V204" s="402"/>
      <c r="W204" s="5"/>
      <c r="X204" s="402"/>
      <c r="Y204" s="402"/>
      <c r="Z204" s="402"/>
      <c r="AA204" s="402"/>
      <c r="AB204" s="402"/>
      <c r="AC204" s="402"/>
      <c r="AD204" s="5"/>
      <c r="AE204" s="5"/>
      <c r="AF204" s="5"/>
      <c r="AG204" s="5"/>
      <c r="AH204" s="5"/>
      <c r="AI204" s="5"/>
      <c r="AJ204" s="5"/>
      <c r="AK204" s="5"/>
      <c r="AL204" s="5"/>
      <c r="AM204" s="5"/>
    </row>
    <row r="205" spans="1:39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9"/>
      <c r="T205" s="399"/>
      <c r="U205" s="399"/>
      <c r="V205" s="402"/>
      <c r="W205" s="5"/>
      <c r="X205" s="402"/>
      <c r="Y205" s="402"/>
      <c r="Z205" s="402"/>
      <c r="AA205" s="402"/>
      <c r="AB205" s="402"/>
      <c r="AC205" s="402"/>
      <c r="AD205" s="5"/>
      <c r="AE205" s="5"/>
      <c r="AF205" s="5"/>
      <c r="AG205" s="5"/>
      <c r="AH205" s="5"/>
      <c r="AI205" s="5"/>
      <c r="AJ205" s="5"/>
      <c r="AK205" s="5"/>
      <c r="AL205" s="5"/>
      <c r="AM205" s="5"/>
    </row>
    <row r="206" spans="1:39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9"/>
      <c r="T206" s="399"/>
      <c r="U206" s="399"/>
      <c r="V206" s="402"/>
      <c r="W206" s="5"/>
      <c r="X206" s="402"/>
      <c r="Y206" s="402"/>
      <c r="Z206" s="402"/>
      <c r="AA206" s="402"/>
      <c r="AB206" s="402"/>
      <c r="AC206" s="402"/>
      <c r="AD206" s="5"/>
      <c r="AE206" s="5"/>
      <c r="AF206" s="5"/>
      <c r="AG206" s="5"/>
      <c r="AH206" s="5"/>
      <c r="AI206" s="5"/>
      <c r="AJ206" s="5"/>
      <c r="AK206" s="5"/>
      <c r="AL206" s="5"/>
      <c r="AM206" s="5"/>
    </row>
    <row r="207" spans="1:39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9"/>
      <c r="T207" s="399"/>
      <c r="U207" s="399"/>
      <c r="V207" s="402"/>
      <c r="W207" s="5"/>
      <c r="X207" s="402"/>
      <c r="Y207" s="402"/>
      <c r="Z207" s="402"/>
      <c r="AA207" s="402"/>
      <c r="AB207" s="402"/>
      <c r="AC207" s="402"/>
      <c r="AD207" s="5"/>
      <c r="AE207" s="5"/>
      <c r="AF207" s="5"/>
      <c r="AG207" s="5"/>
      <c r="AH207" s="5"/>
      <c r="AI207" s="5"/>
      <c r="AJ207" s="5"/>
      <c r="AK207" s="5"/>
      <c r="AL207" s="5"/>
      <c r="AM207" s="5"/>
    </row>
    <row r="208" spans="1:39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9"/>
      <c r="T208" s="399"/>
      <c r="U208" s="399"/>
      <c r="V208" s="402"/>
      <c r="W208" s="5"/>
      <c r="X208" s="402"/>
      <c r="Y208" s="402"/>
      <c r="Z208" s="402"/>
      <c r="AA208" s="402"/>
      <c r="AB208" s="402"/>
      <c r="AC208" s="402"/>
      <c r="AD208" s="5"/>
      <c r="AE208" s="5"/>
      <c r="AF208" s="5"/>
      <c r="AG208" s="5"/>
      <c r="AH208" s="5"/>
      <c r="AI208" s="5"/>
      <c r="AJ208" s="5"/>
      <c r="AK208" s="5"/>
      <c r="AL208" s="5"/>
      <c r="AM208" s="5"/>
    </row>
    <row r="209" spans="1:39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9"/>
      <c r="T209" s="399"/>
      <c r="U209" s="399"/>
      <c r="V209" s="402"/>
      <c r="W209" s="5"/>
      <c r="X209" s="402"/>
      <c r="Y209" s="402"/>
      <c r="Z209" s="402"/>
      <c r="AA209" s="402"/>
      <c r="AB209" s="402"/>
      <c r="AC209" s="402"/>
      <c r="AD209" s="5"/>
      <c r="AE209" s="5"/>
      <c r="AF209" s="5"/>
      <c r="AG209" s="5"/>
      <c r="AH209" s="5"/>
      <c r="AI209" s="5"/>
      <c r="AJ209" s="5"/>
      <c r="AK209" s="5"/>
      <c r="AL209" s="5"/>
      <c r="AM209" s="5"/>
    </row>
    <row r="210" spans="1:39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9"/>
      <c r="T210" s="399"/>
      <c r="U210" s="399"/>
      <c r="V210" s="402"/>
      <c r="W210" s="5"/>
      <c r="X210" s="402"/>
      <c r="Y210" s="402"/>
      <c r="Z210" s="402"/>
      <c r="AA210" s="402"/>
      <c r="AB210" s="402"/>
      <c r="AC210" s="402"/>
      <c r="AD210" s="5"/>
      <c r="AE210" s="5"/>
      <c r="AF210" s="5"/>
      <c r="AG210" s="5"/>
      <c r="AH210" s="5"/>
      <c r="AI210" s="5"/>
      <c r="AJ210" s="5"/>
      <c r="AK210" s="5"/>
      <c r="AL210" s="5"/>
      <c r="AM210" s="5"/>
    </row>
    <row r="211" spans="1:39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9"/>
      <c r="T211" s="399"/>
      <c r="U211" s="399"/>
      <c r="V211" s="402"/>
      <c r="W211" s="5"/>
      <c r="X211" s="402"/>
      <c r="Y211" s="402"/>
      <c r="Z211" s="402"/>
      <c r="AA211" s="402"/>
      <c r="AB211" s="402"/>
      <c r="AC211" s="402"/>
      <c r="AD211" s="5"/>
      <c r="AE211" s="5"/>
      <c r="AF211" s="5"/>
      <c r="AG211" s="5"/>
      <c r="AH211" s="5"/>
      <c r="AI211" s="5"/>
      <c r="AJ211" s="5"/>
      <c r="AK211" s="5"/>
      <c r="AL211" s="5"/>
      <c r="AM211" s="5"/>
    </row>
    <row r="212" spans="1:39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9"/>
      <c r="T212" s="399"/>
      <c r="U212" s="399"/>
      <c r="V212" s="402"/>
      <c r="W212" s="5"/>
      <c r="X212" s="402"/>
      <c r="Y212" s="402"/>
      <c r="Z212" s="402"/>
      <c r="AA212" s="402"/>
      <c r="AB212" s="402"/>
      <c r="AC212" s="402"/>
      <c r="AD212" s="5"/>
      <c r="AE212" s="5"/>
      <c r="AF212" s="5"/>
      <c r="AG212" s="5"/>
      <c r="AH212" s="5"/>
      <c r="AI212" s="5"/>
      <c r="AJ212" s="5"/>
      <c r="AK212" s="5"/>
      <c r="AL212" s="5"/>
      <c r="AM212" s="5"/>
    </row>
    <row r="213" spans="1:39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9"/>
      <c r="T213" s="399"/>
      <c r="U213" s="399"/>
      <c r="V213" s="402"/>
      <c r="W213" s="5"/>
      <c r="X213" s="402"/>
      <c r="Y213" s="402"/>
      <c r="Z213" s="402"/>
      <c r="AA213" s="402"/>
      <c r="AB213" s="402"/>
      <c r="AC213" s="402"/>
      <c r="AD213" s="5"/>
      <c r="AE213" s="5"/>
      <c r="AF213" s="5"/>
      <c r="AG213" s="5"/>
      <c r="AH213" s="5"/>
      <c r="AI213" s="5"/>
      <c r="AJ213" s="5"/>
      <c r="AK213" s="5"/>
      <c r="AL213" s="5"/>
      <c r="AM213" s="5"/>
    </row>
    <row r="214" spans="1:39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9"/>
      <c r="T214" s="399"/>
      <c r="U214" s="399"/>
      <c r="V214" s="402"/>
      <c r="W214" s="5"/>
      <c r="X214" s="402"/>
      <c r="Y214" s="402"/>
      <c r="Z214" s="402"/>
      <c r="AA214" s="402"/>
      <c r="AB214" s="402"/>
      <c r="AC214" s="402"/>
      <c r="AD214" s="5"/>
      <c r="AE214" s="5"/>
      <c r="AF214" s="5"/>
      <c r="AG214" s="5"/>
      <c r="AH214" s="5"/>
      <c r="AI214" s="5"/>
      <c r="AJ214" s="5"/>
      <c r="AK214" s="5"/>
      <c r="AL214" s="5"/>
      <c r="AM214" s="5"/>
    </row>
    <row r="215" spans="1:39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9"/>
      <c r="T215" s="399"/>
      <c r="U215" s="399"/>
      <c r="V215" s="402"/>
      <c r="W215" s="5"/>
      <c r="X215" s="402"/>
      <c r="Y215" s="402"/>
      <c r="Z215" s="402"/>
      <c r="AA215" s="402"/>
      <c r="AB215" s="402"/>
      <c r="AC215" s="402"/>
      <c r="AD215" s="5"/>
      <c r="AE215" s="5"/>
      <c r="AF215" s="5"/>
      <c r="AG215" s="5"/>
      <c r="AH215" s="5"/>
      <c r="AI215" s="5"/>
      <c r="AJ215" s="5"/>
      <c r="AK215" s="5"/>
      <c r="AL215" s="5"/>
      <c r="AM215" s="5"/>
    </row>
    <row r="216" spans="1:39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9"/>
      <c r="T216" s="399"/>
      <c r="U216" s="399"/>
      <c r="V216" s="402"/>
      <c r="W216" s="5"/>
      <c r="X216" s="402"/>
      <c r="Y216" s="402"/>
      <c r="Z216" s="402"/>
      <c r="AA216" s="402"/>
      <c r="AB216" s="402"/>
      <c r="AC216" s="402"/>
      <c r="AD216" s="5"/>
      <c r="AE216" s="5"/>
      <c r="AF216" s="5"/>
      <c r="AG216" s="5"/>
      <c r="AH216" s="5"/>
      <c r="AI216" s="5"/>
      <c r="AJ216" s="5"/>
      <c r="AK216" s="5"/>
      <c r="AL216" s="5"/>
      <c r="AM216" s="5"/>
    </row>
    <row r="217" spans="1:39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9"/>
      <c r="T217" s="399"/>
      <c r="U217" s="399"/>
      <c r="V217" s="402"/>
      <c r="W217" s="5"/>
      <c r="X217" s="402"/>
      <c r="Y217" s="402"/>
      <c r="Z217" s="402"/>
      <c r="AA217" s="402"/>
      <c r="AB217" s="402"/>
      <c r="AC217" s="402"/>
      <c r="AD217" s="5"/>
      <c r="AE217" s="5"/>
      <c r="AF217" s="5"/>
      <c r="AG217" s="5"/>
      <c r="AH217" s="5"/>
      <c r="AI217" s="5"/>
      <c r="AJ217" s="5"/>
      <c r="AK217" s="5"/>
      <c r="AL217" s="5"/>
      <c r="AM217" s="5"/>
    </row>
    <row r="218" spans="1:39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9"/>
      <c r="T218" s="399"/>
      <c r="U218" s="399"/>
      <c r="V218" s="402"/>
      <c r="W218" s="5"/>
      <c r="X218" s="402"/>
      <c r="Y218" s="402"/>
      <c r="Z218" s="402"/>
      <c r="AA218" s="402"/>
      <c r="AB218" s="402"/>
      <c r="AC218" s="402"/>
      <c r="AD218" s="5"/>
      <c r="AE218" s="5"/>
      <c r="AF218" s="5"/>
      <c r="AG218" s="5"/>
      <c r="AH218" s="5"/>
      <c r="AI218" s="5"/>
      <c r="AJ218" s="5"/>
      <c r="AK218" s="5"/>
      <c r="AL218" s="5"/>
      <c r="AM218" s="5"/>
    </row>
    <row r="219" spans="1:39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9"/>
      <c r="T219" s="399"/>
      <c r="U219" s="399"/>
      <c r="V219" s="402"/>
      <c r="W219" s="5"/>
      <c r="X219" s="402"/>
      <c r="Y219" s="402"/>
      <c r="Z219" s="402"/>
      <c r="AA219" s="402"/>
      <c r="AB219" s="402"/>
      <c r="AC219" s="402"/>
      <c r="AD219" s="5"/>
      <c r="AE219" s="5"/>
      <c r="AF219" s="5"/>
      <c r="AG219" s="5"/>
      <c r="AH219" s="5"/>
      <c r="AI219" s="5"/>
      <c r="AJ219" s="5"/>
      <c r="AK219" s="5"/>
      <c r="AL219" s="5"/>
      <c r="AM219" s="5"/>
    </row>
    <row r="220" spans="1:39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9"/>
      <c r="T220" s="399"/>
      <c r="U220" s="399"/>
      <c r="V220" s="402"/>
      <c r="W220" s="5"/>
      <c r="X220" s="402"/>
      <c r="Y220" s="402"/>
      <c r="Z220" s="402"/>
      <c r="AA220" s="402"/>
      <c r="AB220" s="402"/>
      <c r="AC220" s="402"/>
      <c r="AD220" s="5"/>
      <c r="AE220" s="5"/>
      <c r="AF220" s="5"/>
      <c r="AG220" s="5"/>
      <c r="AH220" s="5"/>
      <c r="AI220" s="5"/>
      <c r="AJ220" s="5"/>
      <c r="AK220" s="5"/>
      <c r="AL220" s="5"/>
      <c r="AM220" s="5"/>
    </row>
    <row r="221" spans="1:39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9"/>
      <c r="T221" s="399"/>
      <c r="U221" s="399"/>
      <c r="V221" s="402"/>
      <c r="W221" s="5"/>
      <c r="X221" s="402"/>
      <c r="Y221" s="402"/>
      <c r="Z221" s="402"/>
      <c r="AA221" s="402"/>
      <c r="AB221" s="402"/>
      <c r="AC221" s="402"/>
      <c r="AD221" s="5"/>
      <c r="AE221" s="5"/>
      <c r="AF221" s="5"/>
      <c r="AG221" s="5"/>
      <c r="AH221" s="5"/>
      <c r="AI221" s="5"/>
      <c r="AJ221" s="5"/>
      <c r="AK221" s="5"/>
      <c r="AL221" s="5"/>
      <c r="AM221" s="5"/>
    </row>
    <row r="222" spans="1:39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9"/>
      <c r="T222" s="399"/>
      <c r="U222" s="399"/>
      <c r="V222" s="402"/>
      <c r="W222" s="5"/>
      <c r="X222" s="402"/>
      <c r="Y222" s="402"/>
      <c r="Z222" s="402"/>
      <c r="AA222" s="402"/>
      <c r="AB222" s="402"/>
      <c r="AC222" s="402"/>
      <c r="AD222" s="5"/>
      <c r="AE222" s="5"/>
      <c r="AF222" s="5"/>
      <c r="AG222" s="5"/>
      <c r="AH222" s="5"/>
      <c r="AI222" s="5"/>
      <c r="AJ222" s="5"/>
      <c r="AK222" s="5"/>
      <c r="AL222" s="5"/>
      <c r="AM222" s="5"/>
    </row>
    <row r="223" spans="1:39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9"/>
      <c r="T223" s="399"/>
      <c r="U223" s="399"/>
      <c r="V223" s="402"/>
      <c r="W223" s="5"/>
      <c r="X223" s="402"/>
      <c r="Y223" s="402"/>
      <c r="Z223" s="402"/>
      <c r="AA223" s="402"/>
      <c r="AB223" s="402"/>
      <c r="AC223" s="402"/>
      <c r="AD223" s="5"/>
      <c r="AE223" s="5"/>
      <c r="AF223" s="5"/>
      <c r="AG223" s="5"/>
      <c r="AH223" s="5"/>
      <c r="AI223" s="5"/>
      <c r="AJ223" s="5"/>
      <c r="AK223" s="5"/>
      <c r="AL223" s="5"/>
      <c r="AM223" s="5"/>
    </row>
    <row r="224" spans="1:39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9"/>
      <c r="T224" s="399"/>
      <c r="U224" s="399"/>
      <c r="V224" s="402"/>
      <c r="W224" s="5"/>
      <c r="X224" s="402"/>
      <c r="Y224" s="402"/>
      <c r="Z224" s="402"/>
      <c r="AA224" s="402"/>
      <c r="AB224" s="402"/>
      <c r="AC224" s="402"/>
      <c r="AD224" s="5"/>
      <c r="AE224" s="5"/>
      <c r="AF224" s="5"/>
      <c r="AG224" s="5"/>
      <c r="AH224" s="5"/>
      <c r="AI224" s="5"/>
      <c r="AJ224" s="5"/>
      <c r="AK224" s="5"/>
      <c r="AL224" s="5"/>
      <c r="AM224" s="5"/>
    </row>
    <row r="225" spans="1:39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9"/>
      <c r="T225" s="399"/>
      <c r="U225" s="399"/>
      <c r="V225" s="402"/>
      <c r="W225" s="5"/>
      <c r="X225" s="402"/>
      <c r="Y225" s="402"/>
      <c r="Z225" s="402"/>
      <c r="AA225" s="402"/>
      <c r="AB225" s="402"/>
      <c r="AC225" s="402"/>
      <c r="AD225" s="5"/>
      <c r="AE225" s="5"/>
      <c r="AF225" s="5"/>
      <c r="AG225" s="5"/>
      <c r="AH225" s="5"/>
      <c r="AI225" s="5"/>
      <c r="AJ225" s="5"/>
      <c r="AK225" s="5"/>
      <c r="AL225" s="5"/>
      <c r="AM225" s="5"/>
    </row>
    <row r="226" spans="1:39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9"/>
      <c r="T226" s="399"/>
      <c r="U226" s="399"/>
      <c r="V226" s="402"/>
      <c r="W226" s="5"/>
      <c r="X226" s="402"/>
      <c r="Y226" s="402"/>
      <c r="Z226" s="402"/>
      <c r="AA226" s="402"/>
      <c r="AB226" s="402"/>
      <c r="AC226" s="402"/>
      <c r="AD226" s="5"/>
      <c r="AE226" s="5"/>
      <c r="AF226" s="5"/>
      <c r="AG226" s="5"/>
      <c r="AH226" s="5"/>
      <c r="AI226" s="5"/>
      <c r="AJ226" s="5"/>
      <c r="AK226" s="5"/>
      <c r="AL226" s="5"/>
      <c r="AM226" s="5"/>
    </row>
    <row r="227" spans="1:39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9"/>
      <c r="T227" s="399"/>
      <c r="U227" s="399"/>
      <c r="V227" s="402"/>
      <c r="W227" s="5"/>
      <c r="X227" s="402"/>
      <c r="Y227" s="402"/>
      <c r="Z227" s="402"/>
      <c r="AA227" s="402"/>
      <c r="AB227" s="402"/>
      <c r="AC227" s="402"/>
      <c r="AD227" s="5"/>
      <c r="AE227" s="5"/>
      <c r="AF227" s="5"/>
      <c r="AG227" s="5"/>
      <c r="AH227" s="5"/>
      <c r="AI227" s="5"/>
      <c r="AJ227" s="5"/>
      <c r="AK227" s="5"/>
      <c r="AL227" s="5"/>
      <c r="AM227" s="5"/>
    </row>
    <row r="228" spans="1:39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9"/>
      <c r="T228" s="399"/>
      <c r="U228" s="399"/>
      <c r="V228" s="402"/>
      <c r="W228" s="5"/>
      <c r="X228" s="402"/>
      <c r="Y228" s="402"/>
      <c r="Z228" s="402"/>
      <c r="AA228" s="402"/>
      <c r="AB228" s="402"/>
      <c r="AC228" s="402"/>
      <c r="AD228" s="5"/>
      <c r="AE228" s="5"/>
      <c r="AF228" s="5"/>
      <c r="AG228" s="5"/>
      <c r="AH228" s="5"/>
      <c r="AI228" s="5"/>
      <c r="AJ228" s="5"/>
      <c r="AK228" s="5"/>
      <c r="AL228" s="5"/>
      <c r="AM228" s="5"/>
    </row>
    <row r="229" spans="1:39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9"/>
      <c r="T229" s="399"/>
      <c r="U229" s="399"/>
      <c r="V229" s="402"/>
      <c r="W229" s="5"/>
      <c r="X229" s="402"/>
      <c r="Y229" s="402"/>
      <c r="Z229" s="402"/>
      <c r="AA229" s="402"/>
      <c r="AB229" s="402"/>
      <c r="AC229" s="402"/>
      <c r="AD229" s="5"/>
      <c r="AE229" s="5"/>
      <c r="AF229" s="5"/>
      <c r="AG229" s="5"/>
      <c r="AH229" s="5"/>
      <c r="AI229" s="5"/>
      <c r="AJ229" s="5"/>
      <c r="AK229" s="5"/>
      <c r="AL229" s="5"/>
      <c r="AM229" s="5"/>
    </row>
    <row r="230" spans="1:39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9"/>
      <c r="T230" s="399"/>
      <c r="U230" s="399"/>
      <c r="V230" s="402"/>
      <c r="W230" s="5"/>
      <c r="X230" s="402"/>
      <c r="Y230" s="402"/>
      <c r="Z230" s="402"/>
      <c r="AA230" s="402"/>
      <c r="AB230" s="402"/>
      <c r="AC230" s="402"/>
      <c r="AD230" s="5"/>
      <c r="AE230" s="5"/>
      <c r="AF230" s="5"/>
      <c r="AG230" s="5"/>
      <c r="AH230" s="5"/>
      <c r="AI230" s="5"/>
      <c r="AJ230" s="5"/>
      <c r="AK230" s="5"/>
      <c r="AL230" s="5"/>
      <c r="AM230" s="5"/>
    </row>
    <row r="231" spans="1:39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9"/>
      <c r="T231" s="399"/>
      <c r="U231" s="399"/>
      <c r="V231" s="402"/>
      <c r="W231" s="5"/>
      <c r="X231" s="402"/>
      <c r="Y231" s="402"/>
      <c r="Z231" s="402"/>
      <c r="AA231" s="402"/>
      <c r="AB231" s="402"/>
      <c r="AC231" s="402"/>
      <c r="AD231" s="5"/>
      <c r="AE231" s="5"/>
      <c r="AF231" s="5"/>
      <c r="AG231" s="5"/>
      <c r="AH231" s="5"/>
      <c r="AI231" s="5"/>
      <c r="AJ231" s="5"/>
      <c r="AK231" s="5"/>
      <c r="AL231" s="5"/>
      <c r="AM231" s="5"/>
    </row>
    <row r="232" spans="1:39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9"/>
      <c r="T232" s="399"/>
      <c r="U232" s="399"/>
      <c r="V232" s="402"/>
      <c r="W232" s="5"/>
      <c r="X232" s="402"/>
      <c r="Y232" s="402"/>
      <c r="Z232" s="402"/>
      <c r="AA232" s="402"/>
      <c r="AB232" s="402"/>
      <c r="AC232" s="402"/>
      <c r="AD232" s="5"/>
      <c r="AE232" s="5"/>
      <c r="AF232" s="5"/>
      <c r="AG232" s="5"/>
      <c r="AH232" s="5"/>
      <c r="AI232" s="5"/>
      <c r="AJ232" s="5"/>
      <c r="AK232" s="5"/>
      <c r="AL232" s="5"/>
      <c r="AM232" s="5"/>
    </row>
    <row r="233" spans="1:39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9"/>
      <c r="T233" s="399"/>
      <c r="U233" s="399"/>
      <c r="V233" s="402"/>
      <c r="W233" s="5"/>
      <c r="X233" s="402"/>
      <c r="Y233" s="402"/>
      <c r="Z233" s="402"/>
      <c r="AA233" s="402"/>
      <c r="AB233" s="402"/>
      <c r="AC233" s="402"/>
      <c r="AD233" s="5"/>
      <c r="AE233" s="5"/>
      <c r="AF233" s="5"/>
      <c r="AG233" s="5"/>
      <c r="AH233" s="5"/>
      <c r="AI233" s="5"/>
      <c r="AJ233" s="5"/>
      <c r="AK233" s="5"/>
      <c r="AL233" s="5"/>
      <c r="AM233" s="5"/>
    </row>
    <row r="234" spans="1:39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9"/>
      <c r="T234" s="399"/>
      <c r="U234" s="399"/>
      <c r="V234" s="402"/>
      <c r="W234" s="5"/>
      <c r="X234" s="402"/>
      <c r="Y234" s="402"/>
      <c r="Z234" s="402"/>
      <c r="AA234" s="402"/>
      <c r="AB234" s="402"/>
      <c r="AC234" s="402"/>
      <c r="AD234" s="5"/>
      <c r="AE234" s="5"/>
      <c r="AF234" s="5"/>
      <c r="AG234" s="5"/>
      <c r="AH234" s="5"/>
      <c r="AI234" s="5"/>
      <c r="AJ234" s="5"/>
      <c r="AK234" s="5"/>
      <c r="AL234" s="5"/>
      <c r="AM234" s="5"/>
    </row>
    <row r="235" spans="1:39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9"/>
      <c r="T235" s="399"/>
      <c r="U235" s="399"/>
      <c r="V235" s="402"/>
      <c r="W235" s="5"/>
      <c r="X235" s="402"/>
      <c r="Y235" s="402"/>
      <c r="Z235" s="402"/>
      <c r="AA235" s="402"/>
      <c r="AB235" s="402"/>
      <c r="AC235" s="402"/>
      <c r="AD235" s="5"/>
      <c r="AE235" s="5"/>
      <c r="AF235" s="5"/>
      <c r="AG235" s="5"/>
      <c r="AH235" s="5"/>
      <c r="AI235" s="5"/>
      <c r="AJ235" s="5"/>
      <c r="AK235" s="5"/>
      <c r="AL235" s="5"/>
      <c r="AM235" s="5"/>
    </row>
    <row r="236" spans="1:39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9"/>
      <c r="T236" s="399"/>
      <c r="U236" s="399"/>
      <c r="V236" s="402"/>
      <c r="W236" s="5"/>
      <c r="X236" s="402"/>
      <c r="Y236" s="402"/>
      <c r="Z236" s="402"/>
      <c r="AA236" s="402"/>
      <c r="AB236" s="402"/>
      <c r="AC236" s="402"/>
      <c r="AD236" s="5"/>
      <c r="AE236" s="5"/>
      <c r="AF236" s="5"/>
      <c r="AG236" s="5"/>
      <c r="AH236" s="5"/>
      <c r="AI236" s="5"/>
      <c r="AJ236" s="5"/>
      <c r="AK236" s="5"/>
      <c r="AL236" s="5"/>
      <c r="AM236" s="5"/>
    </row>
    <row r="237" spans="1:39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9"/>
      <c r="T237" s="399"/>
      <c r="U237" s="399"/>
      <c r="V237" s="402"/>
      <c r="W237" s="5"/>
      <c r="X237" s="402"/>
      <c r="Y237" s="402"/>
      <c r="Z237" s="402"/>
      <c r="AA237" s="402"/>
      <c r="AB237" s="402"/>
      <c r="AC237" s="402"/>
      <c r="AD237" s="5"/>
      <c r="AE237" s="5"/>
      <c r="AF237" s="5"/>
      <c r="AG237" s="5"/>
      <c r="AH237" s="5"/>
      <c r="AI237" s="5"/>
      <c r="AJ237" s="5"/>
      <c r="AK237" s="5"/>
      <c r="AL237" s="5"/>
      <c r="AM237" s="5"/>
    </row>
    <row r="238" spans="1:39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9"/>
      <c r="T238" s="399"/>
      <c r="U238" s="399"/>
      <c r="V238" s="402"/>
      <c r="W238" s="5"/>
      <c r="X238" s="402"/>
      <c r="Y238" s="402"/>
      <c r="Z238" s="402"/>
      <c r="AA238" s="402"/>
      <c r="AB238" s="402"/>
      <c r="AC238" s="402"/>
      <c r="AD238" s="5"/>
      <c r="AE238" s="5"/>
      <c r="AF238" s="5"/>
      <c r="AG238" s="5"/>
      <c r="AH238" s="5"/>
      <c r="AI238" s="5"/>
      <c r="AJ238" s="5"/>
      <c r="AK238" s="5"/>
      <c r="AL238" s="5"/>
      <c r="AM238" s="5"/>
    </row>
    <row r="239" spans="1:39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9"/>
      <c r="T239" s="399"/>
      <c r="U239" s="399"/>
      <c r="V239" s="402"/>
      <c r="W239" s="5"/>
      <c r="X239" s="402"/>
      <c r="Y239" s="402"/>
      <c r="Z239" s="402"/>
      <c r="AA239" s="402"/>
      <c r="AB239" s="402"/>
      <c r="AC239" s="402"/>
      <c r="AD239" s="5"/>
      <c r="AE239" s="5"/>
      <c r="AF239" s="5"/>
      <c r="AG239" s="5"/>
      <c r="AH239" s="5"/>
      <c r="AI239" s="5"/>
      <c r="AJ239" s="5"/>
      <c r="AK239" s="5"/>
      <c r="AL239" s="5"/>
      <c r="AM239" s="5"/>
    </row>
    <row r="240" spans="1:39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9"/>
      <c r="T240" s="399"/>
      <c r="U240" s="399"/>
      <c r="V240" s="402"/>
      <c r="W240" s="5"/>
      <c r="X240" s="402"/>
      <c r="Y240" s="402"/>
      <c r="Z240" s="402"/>
      <c r="AA240" s="402"/>
      <c r="AB240" s="402"/>
      <c r="AC240" s="402"/>
      <c r="AD240" s="5"/>
      <c r="AE240" s="5"/>
      <c r="AF240" s="5"/>
      <c r="AG240" s="5"/>
      <c r="AH240" s="5"/>
      <c r="AI240" s="5"/>
      <c r="AJ240" s="5"/>
      <c r="AK240" s="5"/>
      <c r="AL240" s="5"/>
      <c r="AM240" s="5"/>
    </row>
    <row r="241" spans="1:39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9"/>
      <c r="T241" s="399"/>
      <c r="U241" s="399"/>
      <c r="V241" s="402"/>
      <c r="W241" s="5"/>
      <c r="X241" s="402"/>
      <c r="Y241" s="402"/>
      <c r="Z241" s="402"/>
      <c r="AA241" s="402"/>
      <c r="AB241" s="402"/>
      <c r="AC241" s="402"/>
      <c r="AD241" s="5"/>
      <c r="AE241" s="5"/>
      <c r="AF241" s="5"/>
      <c r="AG241" s="5"/>
      <c r="AH241" s="5"/>
      <c r="AI241" s="5"/>
      <c r="AJ241" s="5"/>
      <c r="AK241" s="5"/>
      <c r="AL241" s="5"/>
      <c r="AM241" s="5"/>
    </row>
    <row r="242" spans="1:39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9"/>
      <c r="T242" s="399"/>
      <c r="U242" s="399"/>
      <c r="V242" s="402"/>
      <c r="W242" s="5"/>
      <c r="X242" s="402"/>
      <c r="Y242" s="402"/>
      <c r="Z242" s="402"/>
      <c r="AA242" s="402"/>
      <c r="AB242" s="402"/>
      <c r="AC242" s="402"/>
      <c r="AD242" s="5"/>
      <c r="AE242" s="5"/>
      <c r="AF242" s="5"/>
      <c r="AG242" s="5"/>
      <c r="AH242" s="5"/>
      <c r="AI242" s="5"/>
      <c r="AJ242" s="5"/>
      <c r="AK242" s="5"/>
      <c r="AL242" s="5"/>
      <c r="AM242" s="5"/>
    </row>
    <row r="243" spans="1:39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9"/>
      <c r="T243" s="399"/>
      <c r="U243" s="399"/>
      <c r="V243" s="402"/>
      <c r="W243" s="5"/>
      <c r="X243" s="402"/>
      <c r="Y243" s="402"/>
      <c r="Z243" s="402"/>
      <c r="AA243" s="402"/>
      <c r="AB243" s="402"/>
      <c r="AC243" s="402"/>
      <c r="AD243" s="5"/>
      <c r="AE243" s="5"/>
      <c r="AF243" s="5"/>
      <c r="AG243" s="5"/>
      <c r="AH243" s="5"/>
      <c r="AI243" s="5"/>
      <c r="AJ243" s="5"/>
      <c r="AK243" s="5"/>
      <c r="AL243" s="5"/>
      <c r="AM243" s="5"/>
    </row>
    <row r="244" spans="1:39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9"/>
      <c r="T244" s="399"/>
      <c r="U244" s="399"/>
      <c r="V244" s="402"/>
      <c r="W244" s="5"/>
      <c r="X244" s="402"/>
      <c r="Y244" s="402"/>
      <c r="Z244" s="402"/>
      <c r="AA244" s="402"/>
      <c r="AB244" s="402"/>
      <c r="AC244" s="402"/>
      <c r="AD244" s="5"/>
      <c r="AE244" s="5"/>
      <c r="AF244" s="5"/>
      <c r="AG244" s="5"/>
      <c r="AH244" s="5"/>
      <c r="AI244" s="5"/>
      <c r="AJ244" s="5"/>
      <c r="AK244" s="5"/>
      <c r="AL244" s="5"/>
      <c r="AM244" s="5"/>
    </row>
    <row r="245" spans="1:39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9"/>
      <c r="T245" s="399"/>
      <c r="U245" s="399"/>
      <c r="V245" s="402"/>
      <c r="W245" s="5"/>
      <c r="X245" s="402"/>
      <c r="Y245" s="402"/>
      <c r="Z245" s="402"/>
      <c r="AA245" s="402"/>
      <c r="AB245" s="402"/>
      <c r="AC245" s="402"/>
      <c r="AD245" s="5"/>
      <c r="AE245" s="5"/>
      <c r="AF245" s="5"/>
      <c r="AG245" s="5"/>
      <c r="AH245" s="5"/>
      <c r="AI245" s="5"/>
      <c r="AJ245" s="5"/>
      <c r="AK245" s="5"/>
      <c r="AL245" s="5"/>
      <c r="AM245" s="5"/>
    </row>
    <row r="246" spans="1:39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9"/>
      <c r="T246" s="399"/>
      <c r="U246" s="399"/>
      <c r="V246" s="402"/>
      <c r="W246" s="5"/>
      <c r="X246" s="402"/>
      <c r="Y246" s="402"/>
      <c r="Z246" s="402"/>
      <c r="AA246" s="402"/>
      <c r="AB246" s="402"/>
      <c r="AC246" s="402"/>
      <c r="AD246" s="5"/>
      <c r="AE246" s="5"/>
      <c r="AF246" s="5"/>
      <c r="AG246" s="5"/>
      <c r="AH246" s="5"/>
      <c r="AI246" s="5"/>
      <c r="AJ246" s="5"/>
      <c r="AK246" s="5"/>
      <c r="AL246" s="5"/>
      <c r="AM246" s="5"/>
    </row>
    <row r="247" spans="1:39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9"/>
      <c r="T247" s="399"/>
      <c r="U247" s="399"/>
      <c r="V247" s="402"/>
      <c r="W247" s="5"/>
      <c r="X247" s="402"/>
      <c r="Y247" s="402"/>
      <c r="Z247" s="402"/>
      <c r="AA247" s="402"/>
      <c r="AB247" s="402"/>
      <c r="AC247" s="402"/>
      <c r="AD247" s="5"/>
      <c r="AE247" s="5"/>
      <c r="AF247" s="5"/>
      <c r="AG247" s="5"/>
      <c r="AH247" s="5"/>
      <c r="AI247" s="5"/>
      <c r="AJ247" s="5"/>
      <c r="AK247" s="5"/>
      <c r="AL247" s="5"/>
      <c r="AM247" s="5"/>
    </row>
    <row r="248" spans="1:39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9"/>
      <c r="T248" s="399"/>
      <c r="U248" s="399"/>
      <c r="V248" s="402"/>
      <c r="W248" s="5"/>
      <c r="X248" s="402"/>
      <c r="Y248" s="402"/>
      <c r="Z248" s="402"/>
      <c r="AA248" s="402"/>
      <c r="AB248" s="402"/>
      <c r="AC248" s="402"/>
      <c r="AD248" s="5"/>
      <c r="AE248" s="5"/>
      <c r="AF248" s="5"/>
      <c r="AG248" s="5"/>
      <c r="AH248" s="5"/>
      <c r="AI248" s="5"/>
      <c r="AJ248" s="5"/>
      <c r="AK248" s="5"/>
      <c r="AL248" s="5"/>
      <c r="AM248" s="5"/>
    </row>
    <row r="249" spans="1:39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9"/>
      <c r="T249" s="399"/>
      <c r="U249" s="399"/>
      <c r="V249" s="402"/>
      <c r="W249" s="5"/>
      <c r="X249" s="402"/>
      <c r="Y249" s="402"/>
      <c r="Z249" s="402"/>
      <c r="AA249" s="402"/>
      <c r="AB249" s="402"/>
      <c r="AC249" s="402"/>
      <c r="AD249" s="5"/>
      <c r="AE249" s="5"/>
      <c r="AF249" s="5"/>
      <c r="AG249" s="5"/>
      <c r="AH249" s="5"/>
      <c r="AI249" s="5"/>
      <c r="AJ249" s="5"/>
      <c r="AK249" s="5"/>
      <c r="AL249" s="5"/>
      <c r="AM249" s="5"/>
    </row>
    <row r="250" spans="1:39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9"/>
      <c r="T250" s="399"/>
      <c r="U250" s="399"/>
      <c r="V250" s="402"/>
      <c r="W250" s="5"/>
      <c r="X250" s="402"/>
      <c r="Y250" s="402"/>
      <c r="Z250" s="402"/>
      <c r="AA250" s="402"/>
      <c r="AB250" s="402"/>
      <c r="AC250" s="402"/>
      <c r="AD250" s="5"/>
      <c r="AE250" s="5"/>
      <c r="AF250" s="5"/>
      <c r="AG250" s="5"/>
      <c r="AH250" s="5"/>
      <c r="AI250" s="5"/>
      <c r="AJ250" s="5"/>
      <c r="AK250" s="5"/>
      <c r="AL250" s="5"/>
      <c r="AM250" s="5"/>
    </row>
    <row r="251" spans="1:39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9"/>
      <c r="T251" s="399"/>
      <c r="U251" s="399"/>
      <c r="V251" s="402"/>
      <c r="W251" s="5"/>
      <c r="X251" s="402"/>
      <c r="Y251" s="402"/>
      <c r="Z251" s="402"/>
      <c r="AA251" s="402"/>
      <c r="AB251" s="402"/>
      <c r="AC251" s="402"/>
      <c r="AD251" s="5"/>
      <c r="AE251" s="5"/>
      <c r="AF251" s="5"/>
      <c r="AG251" s="5"/>
      <c r="AH251" s="5"/>
      <c r="AI251" s="5"/>
      <c r="AJ251" s="5"/>
      <c r="AK251" s="5"/>
      <c r="AL251" s="5"/>
      <c r="AM251" s="5"/>
    </row>
    <row r="252" spans="1:39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9"/>
      <c r="T252" s="399"/>
      <c r="U252" s="399"/>
      <c r="V252" s="402"/>
      <c r="W252" s="5"/>
      <c r="X252" s="402"/>
      <c r="Y252" s="402"/>
      <c r="Z252" s="402"/>
      <c r="AA252" s="402"/>
      <c r="AB252" s="402"/>
      <c r="AC252" s="402"/>
      <c r="AD252" s="5"/>
      <c r="AE252" s="5"/>
      <c r="AF252" s="5"/>
      <c r="AG252" s="5"/>
      <c r="AH252" s="5"/>
      <c r="AI252" s="5"/>
      <c r="AJ252" s="5"/>
      <c r="AK252" s="5"/>
      <c r="AL252" s="5"/>
      <c r="AM252" s="5"/>
    </row>
    <row r="253" spans="1:39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9"/>
      <c r="T253" s="399"/>
      <c r="U253" s="399"/>
      <c r="V253" s="402"/>
      <c r="W253" s="5"/>
      <c r="X253" s="402"/>
      <c r="Y253" s="402"/>
      <c r="Z253" s="402"/>
      <c r="AA253" s="402"/>
      <c r="AB253" s="402"/>
      <c r="AC253" s="402"/>
      <c r="AD253" s="5"/>
      <c r="AE253" s="5"/>
      <c r="AF253" s="5"/>
      <c r="AG253" s="5"/>
      <c r="AH253" s="5"/>
      <c r="AI253" s="5"/>
      <c r="AJ253" s="5"/>
      <c r="AK253" s="5"/>
      <c r="AL253" s="5"/>
      <c r="AM253" s="5"/>
    </row>
    <row r="254" spans="1:39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9"/>
      <c r="T254" s="399"/>
      <c r="U254" s="399"/>
      <c r="V254" s="402"/>
      <c r="W254" s="5"/>
      <c r="X254" s="402"/>
      <c r="Y254" s="402"/>
      <c r="Z254" s="402"/>
      <c r="AA254" s="402"/>
      <c r="AB254" s="402"/>
      <c r="AC254" s="402"/>
      <c r="AD254" s="5"/>
      <c r="AE254" s="5"/>
      <c r="AF254" s="5"/>
      <c r="AG254" s="5"/>
      <c r="AH254" s="5"/>
      <c r="AI254" s="5"/>
      <c r="AJ254" s="5"/>
      <c r="AK254" s="5"/>
      <c r="AL254" s="5"/>
      <c r="AM254" s="5"/>
    </row>
    <row r="255" spans="1:39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9"/>
      <c r="T255" s="399"/>
      <c r="U255" s="399"/>
      <c r="V255" s="402"/>
      <c r="W255" s="5"/>
      <c r="X255" s="402"/>
      <c r="Y255" s="402"/>
      <c r="Z255" s="402"/>
      <c r="AA255" s="402"/>
      <c r="AB255" s="402"/>
      <c r="AC255" s="402"/>
      <c r="AD255" s="5"/>
      <c r="AE255" s="5"/>
      <c r="AF255" s="5"/>
      <c r="AG255" s="5"/>
      <c r="AH255" s="5"/>
      <c r="AI255" s="5"/>
      <c r="AJ255" s="5"/>
      <c r="AK255" s="5"/>
      <c r="AL255" s="5"/>
      <c r="AM255" s="5"/>
    </row>
    <row r="256" spans="1:39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9"/>
      <c r="T256" s="399"/>
      <c r="U256" s="399"/>
      <c r="V256" s="402"/>
      <c r="W256" s="5"/>
      <c r="X256" s="402"/>
      <c r="Y256" s="402"/>
      <c r="Z256" s="402"/>
      <c r="AA256" s="402"/>
      <c r="AB256" s="402"/>
      <c r="AC256" s="402"/>
      <c r="AD256" s="5"/>
      <c r="AE256" s="5"/>
      <c r="AF256" s="5"/>
      <c r="AG256" s="5"/>
      <c r="AH256" s="5"/>
      <c r="AI256" s="5"/>
      <c r="AJ256" s="5"/>
      <c r="AK256" s="5"/>
      <c r="AL256" s="5"/>
      <c r="AM256" s="5"/>
    </row>
    <row r="257" spans="1:39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9"/>
      <c r="T257" s="399"/>
      <c r="U257" s="399"/>
      <c r="V257" s="402"/>
      <c r="W257" s="5"/>
      <c r="X257" s="402"/>
      <c r="Y257" s="402"/>
      <c r="Z257" s="402"/>
      <c r="AA257" s="402"/>
      <c r="AB257" s="402"/>
      <c r="AC257" s="402"/>
      <c r="AD257" s="5"/>
      <c r="AE257" s="5"/>
      <c r="AF257" s="5"/>
      <c r="AG257" s="5"/>
      <c r="AH257" s="5"/>
      <c r="AI257" s="5"/>
      <c r="AJ257" s="5"/>
      <c r="AK257" s="5"/>
      <c r="AL257" s="5"/>
      <c r="AM257" s="5"/>
    </row>
    <row r="258" spans="1:39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9"/>
      <c r="T258" s="399"/>
      <c r="U258" s="399"/>
      <c r="V258" s="402"/>
      <c r="W258" s="5"/>
      <c r="X258" s="402"/>
      <c r="Y258" s="402"/>
      <c r="Z258" s="402"/>
      <c r="AA258" s="402"/>
      <c r="AB258" s="402"/>
      <c r="AC258" s="402"/>
      <c r="AD258" s="5"/>
      <c r="AE258" s="5"/>
      <c r="AF258" s="5"/>
      <c r="AG258" s="5"/>
      <c r="AH258" s="5"/>
      <c r="AI258" s="5"/>
      <c r="AJ258" s="5"/>
      <c r="AK258" s="5"/>
      <c r="AL258" s="5"/>
      <c r="AM258" s="5"/>
    </row>
    <row r="259" spans="1:39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9"/>
      <c r="T259" s="399"/>
      <c r="U259" s="399"/>
      <c r="V259" s="402"/>
      <c r="W259" s="5"/>
      <c r="X259" s="402"/>
      <c r="Y259" s="402"/>
      <c r="Z259" s="402"/>
      <c r="AA259" s="402"/>
      <c r="AB259" s="402"/>
      <c r="AC259" s="402"/>
      <c r="AD259" s="5"/>
      <c r="AE259" s="5"/>
      <c r="AF259" s="5"/>
      <c r="AG259" s="5"/>
      <c r="AH259" s="5"/>
      <c r="AI259" s="5"/>
      <c r="AJ259" s="5"/>
      <c r="AK259" s="5"/>
      <c r="AL259" s="5"/>
      <c r="AM259" s="5"/>
    </row>
    <row r="260" spans="1:39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9"/>
      <c r="T260" s="399"/>
      <c r="U260" s="399"/>
      <c r="V260" s="402"/>
      <c r="W260" s="5"/>
      <c r="X260" s="402"/>
      <c r="Y260" s="402"/>
      <c r="Z260" s="402"/>
      <c r="AA260" s="402"/>
      <c r="AB260" s="402"/>
      <c r="AC260" s="402"/>
      <c r="AD260" s="5"/>
      <c r="AE260" s="5"/>
      <c r="AF260" s="5"/>
      <c r="AG260" s="5"/>
      <c r="AH260" s="5"/>
      <c r="AI260" s="5"/>
      <c r="AJ260" s="5"/>
      <c r="AK260" s="5"/>
      <c r="AL260" s="5"/>
      <c r="AM260" s="5"/>
    </row>
    <row r="261" spans="1:39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9"/>
      <c r="T261" s="399"/>
      <c r="U261" s="399"/>
      <c r="V261" s="402"/>
      <c r="W261" s="5"/>
      <c r="X261" s="402"/>
      <c r="Y261" s="402"/>
      <c r="Z261" s="402"/>
      <c r="AA261" s="402"/>
      <c r="AB261" s="402"/>
      <c r="AC261" s="402"/>
      <c r="AD261" s="5"/>
      <c r="AE261" s="5"/>
      <c r="AF261" s="5"/>
      <c r="AG261" s="5"/>
      <c r="AH261" s="5"/>
      <c r="AI261" s="5"/>
      <c r="AJ261" s="5"/>
      <c r="AK261" s="5"/>
      <c r="AL261" s="5"/>
      <c r="AM261" s="5"/>
    </row>
    <row r="262" spans="1:39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9"/>
      <c r="T262" s="399"/>
      <c r="U262" s="399"/>
      <c r="V262" s="402"/>
      <c r="W262" s="5"/>
      <c r="X262" s="402"/>
      <c r="Y262" s="402"/>
      <c r="Z262" s="402"/>
      <c r="AA262" s="402"/>
      <c r="AB262" s="402"/>
      <c r="AC262" s="402"/>
      <c r="AD262" s="5"/>
      <c r="AE262" s="5"/>
      <c r="AF262" s="5"/>
      <c r="AG262" s="5"/>
      <c r="AH262" s="5"/>
      <c r="AI262" s="5"/>
      <c r="AJ262" s="5"/>
      <c r="AK262" s="5"/>
      <c r="AL262" s="5"/>
      <c r="AM262" s="5"/>
    </row>
    <row r="263" spans="1:39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9"/>
      <c r="T263" s="399"/>
      <c r="U263" s="399"/>
      <c r="V263" s="402"/>
      <c r="W263" s="5"/>
      <c r="X263" s="402"/>
      <c r="Y263" s="402"/>
      <c r="Z263" s="402"/>
      <c r="AA263" s="402"/>
      <c r="AB263" s="402"/>
      <c r="AC263" s="402"/>
      <c r="AD263" s="5"/>
      <c r="AE263" s="5"/>
      <c r="AF263" s="5"/>
      <c r="AG263" s="5"/>
      <c r="AH263" s="5"/>
      <c r="AI263" s="5"/>
      <c r="AJ263" s="5"/>
      <c r="AK263" s="5"/>
      <c r="AL263" s="5"/>
      <c r="AM263" s="5"/>
    </row>
    <row r="264" spans="1:39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9"/>
      <c r="T264" s="399"/>
      <c r="U264" s="399"/>
      <c r="V264" s="402"/>
      <c r="W264" s="5"/>
      <c r="X264" s="402"/>
      <c r="Y264" s="402"/>
      <c r="Z264" s="402"/>
      <c r="AA264" s="402"/>
      <c r="AB264" s="402"/>
      <c r="AC264" s="402"/>
      <c r="AD264" s="5"/>
      <c r="AE264" s="5"/>
      <c r="AF264" s="5"/>
      <c r="AG264" s="5"/>
      <c r="AH264" s="5"/>
      <c r="AI264" s="5"/>
      <c r="AJ264" s="5"/>
      <c r="AK264" s="5"/>
      <c r="AL264" s="5"/>
      <c r="AM264" s="5"/>
    </row>
    <row r="265" spans="1:39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9"/>
      <c r="T265" s="399"/>
      <c r="U265" s="399"/>
      <c r="V265" s="402"/>
      <c r="W265" s="5"/>
      <c r="X265" s="402"/>
      <c r="Y265" s="402"/>
      <c r="Z265" s="402"/>
      <c r="AA265" s="402"/>
      <c r="AB265" s="402"/>
      <c r="AC265" s="402"/>
      <c r="AD265" s="5"/>
      <c r="AE265" s="5"/>
      <c r="AF265" s="5"/>
      <c r="AG265" s="5"/>
      <c r="AH265" s="5"/>
      <c r="AI265" s="5"/>
      <c r="AJ265" s="5"/>
      <c r="AK265" s="5"/>
      <c r="AL265" s="5"/>
      <c r="AM265" s="5"/>
    </row>
    <row r="266" spans="1:39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9"/>
      <c r="T266" s="399"/>
      <c r="U266" s="399"/>
      <c r="V266" s="402"/>
      <c r="W266" s="5"/>
      <c r="X266" s="402"/>
      <c r="Y266" s="402"/>
      <c r="Z266" s="402"/>
      <c r="AA266" s="402"/>
      <c r="AB266" s="402"/>
      <c r="AC266" s="402"/>
      <c r="AD266" s="5"/>
      <c r="AE266" s="5"/>
      <c r="AF266" s="5"/>
      <c r="AG266" s="5"/>
      <c r="AH266" s="5"/>
      <c r="AI266" s="5"/>
      <c r="AJ266" s="5"/>
      <c r="AK266" s="5"/>
      <c r="AL266" s="5"/>
      <c r="AM266" s="5"/>
    </row>
    <row r="267" spans="1:39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9"/>
      <c r="T267" s="399"/>
      <c r="U267" s="399"/>
      <c r="V267" s="402"/>
      <c r="W267" s="5"/>
      <c r="X267" s="402"/>
      <c r="Y267" s="402"/>
      <c r="Z267" s="402"/>
      <c r="AA267" s="402"/>
      <c r="AB267" s="402"/>
      <c r="AC267" s="402"/>
      <c r="AD267" s="5"/>
      <c r="AE267" s="5"/>
      <c r="AF267" s="5"/>
      <c r="AG267" s="5"/>
      <c r="AH267" s="5"/>
      <c r="AI267" s="5"/>
      <c r="AJ267" s="5"/>
      <c r="AK267" s="5"/>
      <c r="AL267" s="5"/>
      <c r="AM267" s="5"/>
    </row>
    <row r="268" spans="1:39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9"/>
      <c r="T268" s="399"/>
      <c r="U268" s="399"/>
      <c r="V268" s="402"/>
      <c r="W268" s="5"/>
      <c r="X268" s="402"/>
      <c r="Y268" s="402"/>
      <c r="Z268" s="402"/>
      <c r="AA268" s="402"/>
      <c r="AB268" s="402"/>
      <c r="AC268" s="402"/>
      <c r="AD268" s="5"/>
      <c r="AE268" s="5"/>
      <c r="AF268" s="5"/>
      <c r="AG268" s="5"/>
      <c r="AH268" s="5"/>
      <c r="AI268" s="5"/>
      <c r="AJ268" s="5"/>
      <c r="AK268" s="5"/>
      <c r="AL268" s="5"/>
      <c r="AM268" s="5"/>
    </row>
    <row r="269" spans="1:39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9"/>
      <c r="T269" s="399"/>
      <c r="U269" s="399"/>
      <c r="V269" s="402"/>
      <c r="W269" s="5"/>
      <c r="X269" s="402"/>
      <c r="Y269" s="402"/>
      <c r="Z269" s="402"/>
      <c r="AA269" s="402"/>
      <c r="AB269" s="402"/>
      <c r="AC269" s="402"/>
      <c r="AD269" s="5"/>
      <c r="AE269" s="5"/>
      <c r="AF269" s="5"/>
      <c r="AG269" s="5"/>
      <c r="AH269" s="5"/>
      <c r="AI269" s="5"/>
      <c r="AJ269" s="5"/>
      <c r="AK269" s="5"/>
      <c r="AL269" s="5"/>
      <c r="AM269" s="5"/>
    </row>
    <row r="270" spans="1:39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9"/>
      <c r="T270" s="399"/>
      <c r="U270" s="399"/>
      <c r="V270" s="402"/>
      <c r="W270" s="5"/>
      <c r="X270" s="402"/>
      <c r="Y270" s="402"/>
      <c r="Z270" s="402"/>
      <c r="AA270" s="402"/>
      <c r="AB270" s="402"/>
      <c r="AC270" s="402"/>
      <c r="AD270" s="5"/>
      <c r="AE270" s="5"/>
      <c r="AF270" s="5"/>
      <c r="AG270" s="5"/>
      <c r="AH270" s="5"/>
      <c r="AI270" s="5"/>
      <c r="AJ270" s="5"/>
      <c r="AK270" s="5"/>
      <c r="AL270" s="5"/>
      <c r="AM270" s="5"/>
    </row>
    <row r="271" spans="1:39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9"/>
      <c r="T271" s="399"/>
      <c r="U271" s="399"/>
      <c r="V271" s="402"/>
      <c r="W271" s="5"/>
      <c r="X271" s="402"/>
      <c r="Y271" s="402"/>
      <c r="Z271" s="402"/>
      <c r="AA271" s="402"/>
      <c r="AB271" s="402"/>
      <c r="AC271" s="402"/>
      <c r="AD271" s="5"/>
      <c r="AE271" s="5"/>
      <c r="AF271" s="5"/>
      <c r="AG271" s="5"/>
      <c r="AH271" s="5"/>
      <c r="AI271" s="5"/>
      <c r="AJ271" s="5"/>
      <c r="AK271" s="5"/>
      <c r="AL271" s="5"/>
      <c r="AM271" s="5"/>
    </row>
    <row r="272" spans="1:39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9"/>
      <c r="T272" s="399"/>
      <c r="U272" s="399"/>
      <c r="V272" s="402"/>
      <c r="W272" s="5"/>
      <c r="X272" s="402"/>
      <c r="Y272" s="402"/>
      <c r="Z272" s="402"/>
      <c r="AA272" s="402"/>
      <c r="AB272" s="402"/>
      <c r="AC272" s="402"/>
      <c r="AD272" s="5"/>
      <c r="AE272" s="5"/>
      <c r="AF272" s="5"/>
      <c r="AG272" s="5"/>
      <c r="AH272" s="5"/>
      <c r="AI272" s="5"/>
      <c r="AJ272" s="5"/>
      <c r="AK272" s="5"/>
      <c r="AL272" s="5"/>
      <c r="AM272" s="5"/>
    </row>
    <row r="273" spans="1:39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9"/>
      <c r="T273" s="399"/>
      <c r="U273" s="399"/>
      <c r="V273" s="402"/>
      <c r="W273" s="5"/>
      <c r="X273" s="402"/>
      <c r="Y273" s="402"/>
      <c r="Z273" s="402"/>
      <c r="AA273" s="402"/>
      <c r="AB273" s="402"/>
      <c r="AC273" s="402"/>
      <c r="AD273" s="5"/>
      <c r="AE273" s="5"/>
      <c r="AF273" s="5"/>
      <c r="AG273" s="5"/>
      <c r="AH273" s="5"/>
      <c r="AI273" s="5"/>
      <c r="AJ273" s="5"/>
      <c r="AK273" s="5"/>
      <c r="AL273" s="5"/>
      <c r="AM273" s="5"/>
    </row>
    <row r="274" spans="1:39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9"/>
      <c r="T274" s="399"/>
      <c r="U274" s="399"/>
      <c r="V274" s="402"/>
      <c r="W274" s="5"/>
      <c r="X274" s="402"/>
      <c r="Y274" s="402"/>
      <c r="Z274" s="402"/>
      <c r="AA274" s="402"/>
      <c r="AB274" s="402"/>
      <c r="AC274" s="402"/>
      <c r="AD274" s="5"/>
      <c r="AE274" s="5"/>
      <c r="AF274" s="5"/>
      <c r="AG274" s="5"/>
      <c r="AH274" s="5"/>
      <c r="AI274" s="5"/>
      <c r="AJ274" s="5"/>
      <c r="AK274" s="5"/>
      <c r="AL274" s="5"/>
      <c r="AM274" s="5"/>
    </row>
    <row r="275" spans="1:39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9"/>
      <c r="T275" s="399"/>
      <c r="U275" s="399"/>
      <c r="V275" s="402"/>
      <c r="W275" s="5"/>
      <c r="X275" s="402"/>
      <c r="Y275" s="402"/>
      <c r="Z275" s="402"/>
      <c r="AA275" s="402"/>
      <c r="AB275" s="402"/>
      <c r="AC275" s="402"/>
      <c r="AD275" s="5"/>
      <c r="AE275" s="5"/>
      <c r="AF275" s="5"/>
      <c r="AG275" s="5"/>
      <c r="AH275" s="5"/>
      <c r="AI275" s="5"/>
      <c r="AJ275" s="5"/>
      <c r="AK275" s="5"/>
      <c r="AL275" s="5"/>
      <c r="AM275" s="5"/>
    </row>
    <row r="276" spans="1:39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9"/>
      <c r="T276" s="399"/>
      <c r="U276" s="399"/>
      <c r="V276" s="402"/>
      <c r="W276" s="5"/>
      <c r="X276" s="402"/>
      <c r="Y276" s="402"/>
      <c r="Z276" s="402"/>
      <c r="AA276" s="402"/>
      <c r="AB276" s="402"/>
      <c r="AC276" s="402"/>
      <c r="AD276" s="5"/>
      <c r="AE276" s="5"/>
      <c r="AF276" s="5"/>
      <c r="AG276" s="5"/>
      <c r="AH276" s="5"/>
      <c r="AI276" s="5"/>
      <c r="AJ276" s="5"/>
      <c r="AK276" s="5"/>
      <c r="AL276" s="5"/>
      <c r="AM276" s="5"/>
    </row>
    <row r="277" spans="1:39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9"/>
      <c r="T277" s="399"/>
      <c r="U277" s="399"/>
      <c r="V277" s="402"/>
      <c r="W277" s="5"/>
      <c r="X277" s="402"/>
      <c r="Y277" s="402"/>
      <c r="Z277" s="402"/>
      <c r="AA277" s="402"/>
      <c r="AB277" s="402"/>
      <c r="AC277" s="402"/>
      <c r="AD277" s="5"/>
      <c r="AE277" s="5"/>
      <c r="AF277" s="5"/>
      <c r="AG277" s="5"/>
      <c r="AH277" s="5"/>
      <c r="AI277" s="5"/>
      <c r="AJ277" s="5"/>
      <c r="AK277" s="5"/>
      <c r="AL277" s="5"/>
      <c r="AM277" s="5"/>
    </row>
    <row r="278" spans="1:39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9"/>
      <c r="T278" s="399"/>
      <c r="U278" s="399"/>
      <c r="V278" s="402"/>
      <c r="W278" s="5"/>
      <c r="X278" s="402"/>
      <c r="Y278" s="402"/>
      <c r="Z278" s="402"/>
      <c r="AA278" s="402"/>
      <c r="AB278" s="402"/>
      <c r="AC278" s="402"/>
      <c r="AD278" s="5"/>
      <c r="AE278" s="5"/>
      <c r="AF278" s="5"/>
      <c r="AG278" s="5"/>
      <c r="AH278" s="5"/>
      <c r="AI278" s="5"/>
      <c r="AJ278" s="5"/>
      <c r="AK278" s="5"/>
      <c r="AL278" s="5"/>
      <c r="AM278" s="5"/>
    </row>
    <row r="279" spans="1:39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9"/>
      <c r="T279" s="399"/>
      <c r="U279" s="399"/>
      <c r="V279" s="402"/>
      <c r="W279" s="5"/>
      <c r="X279" s="402"/>
      <c r="Y279" s="402"/>
      <c r="Z279" s="402"/>
      <c r="AA279" s="402"/>
      <c r="AB279" s="402"/>
      <c r="AC279" s="402"/>
      <c r="AD279" s="5"/>
      <c r="AE279" s="5"/>
      <c r="AF279" s="5"/>
      <c r="AG279" s="5"/>
      <c r="AH279" s="5"/>
      <c r="AI279" s="5"/>
      <c r="AJ279" s="5"/>
      <c r="AK279" s="5"/>
      <c r="AL279" s="5"/>
      <c r="AM279" s="5"/>
    </row>
    <row r="280" spans="1:39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9"/>
      <c r="T280" s="399"/>
      <c r="U280" s="399"/>
      <c r="V280" s="402"/>
      <c r="W280" s="5"/>
      <c r="X280" s="402"/>
      <c r="Y280" s="402"/>
      <c r="Z280" s="402"/>
      <c r="AA280" s="402"/>
      <c r="AB280" s="402"/>
      <c r="AC280" s="402"/>
      <c r="AD280" s="5"/>
      <c r="AE280" s="5"/>
      <c r="AF280" s="5"/>
      <c r="AG280" s="5"/>
      <c r="AH280" s="5"/>
      <c r="AI280" s="5"/>
      <c r="AJ280" s="5"/>
      <c r="AK280" s="5"/>
      <c r="AL280" s="5"/>
      <c r="AM280" s="5"/>
    </row>
    <row r="281" spans="1:39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9"/>
      <c r="T281" s="399"/>
      <c r="U281" s="399"/>
      <c r="V281" s="402"/>
      <c r="W281" s="5"/>
      <c r="X281" s="402"/>
      <c r="Y281" s="402"/>
      <c r="Z281" s="402"/>
      <c r="AA281" s="402"/>
      <c r="AB281" s="402"/>
      <c r="AC281" s="402"/>
      <c r="AD281" s="5"/>
      <c r="AE281" s="5"/>
      <c r="AF281" s="5"/>
      <c r="AG281" s="5"/>
      <c r="AH281" s="5"/>
      <c r="AI281" s="5"/>
      <c r="AJ281" s="5"/>
      <c r="AK281" s="5"/>
      <c r="AL281" s="5"/>
      <c r="AM281" s="5"/>
    </row>
    <row r="282" spans="1:39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9"/>
      <c r="T282" s="399"/>
      <c r="U282" s="399"/>
      <c r="V282" s="402"/>
      <c r="W282" s="5"/>
      <c r="X282" s="402"/>
      <c r="Y282" s="402"/>
      <c r="Z282" s="402"/>
      <c r="AA282" s="402"/>
      <c r="AB282" s="402"/>
      <c r="AC282" s="402"/>
      <c r="AD282" s="5"/>
      <c r="AE282" s="5"/>
      <c r="AF282" s="5"/>
      <c r="AG282" s="5"/>
      <c r="AH282" s="5"/>
      <c r="AI282" s="5"/>
      <c r="AJ282" s="5"/>
      <c r="AK282" s="5"/>
      <c r="AL282" s="5"/>
      <c r="AM282" s="5"/>
    </row>
    <row r="283" spans="1:39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9"/>
      <c r="T283" s="399"/>
      <c r="U283" s="399"/>
      <c r="V283" s="402"/>
      <c r="W283" s="5"/>
      <c r="X283" s="402"/>
      <c r="Y283" s="402"/>
      <c r="Z283" s="402"/>
      <c r="AA283" s="402"/>
      <c r="AB283" s="402"/>
      <c r="AC283" s="402"/>
      <c r="AD283" s="5"/>
      <c r="AE283" s="5"/>
      <c r="AF283" s="5"/>
      <c r="AG283" s="5"/>
      <c r="AH283" s="5"/>
      <c r="AI283" s="5"/>
      <c r="AJ283" s="5"/>
      <c r="AK283" s="5"/>
      <c r="AL283" s="5"/>
      <c r="AM283" s="5"/>
    </row>
    <row r="284" spans="1:39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9"/>
      <c r="T284" s="399"/>
      <c r="U284" s="399"/>
      <c r="V284" s="402"/>
      <c r="W284" s="5"/>
      <c r="X284" s="402"/>
      <c r="Y284" s="402"/>
      <c r="Z284" s="402"/>
      <c r="AA284" s="402"/>
      <c r="AB284" s="402"/>
      <c r="AC284" s="402"/>
      <c r="AD284" s="5"/>
      <c r="AE284" s="5"/>
      <c r="AF284" s="5"/>
      <c r="AG284" s="5"/>
      <c r="AH284" s="5"/>
      <c r="AI284" s="5"/>
      <c r="AJ284" s="5"/>
      <c r="AK284" s="5"/>
      <c r="AL284" s="5"/>
      <c r="AM284" s="5"/>
    </row>
    <row r="285" spans="1:39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9"/>
      <c r="T285" s="399"/>
      <c r="U285" s="399"/>
      <c r="V285" s="402"/>
      <c r="W285" s="5"/>
      <c r="X285" s="402"/>
      <c r="Y285" s="402"/>
      <c r="Z285" s="402"/>
      <c r="AA285" s="402"/>
      <c r="AB285" s="402"/>
      <c r="AC285" s="402"/>
      <c r="AD285" s="5"/>
      <c r="AE285" s="5"/>
      <c r="AF285" s="5"/>
      <c r="AG285" s="5"/>
      <c r="AH285" s="5"/>
      <c r="AI285" s="5"/>
      <c r="AJ285" s="5"/>
      <c r="AK285" s="5"/>
      <c r="AL285" s="5"/>
      <c r="AM285" s="5"/>
    </row>
    <row r="286" spans="1:39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9"/>
      <c r="T286" s="399"/>
      <c r="U286" s="399"/>
      <c r="V286" s="402"/>
      <c r="W286" s="5"/>
      <c r="X286" s="402"/>
      <c r="Y286" s="402"/>
      <c r="Z286" s="402"/>
      <c r="AA286" s="402"/>
      <c r="AB286" s="402"/>
      <c r="AC286" s="402"/>
      <c r="AD286" s="5"/>
      <c r="AE286" s="5"/>
      <c r="AF286" s="5"/>
      <c r="AG286" s="5"/>
      <c r="AH286" s="5"/>
      <c r="AI286" s="5"/>
      <c r="AJ286" s="5"/>
      <c r="AK286" s="5"/>
      <c r="AL286" s="5"/>
      <c r="AM286" s="5"/>
    </row>
    <row r="287" spans="1:39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9"/>
      <c r="T287" s="399"/>
      <c r="U287" s="399"/>
      <c r="V287" s="402"/>
      <c r="W287" s="5"/>
      <c r="X287" s="402"/>
      <c r="Y287" s="402"/>
      <c r="Z287" s="402"/>
      <c r="AA287" s="402"/>
      <c r="AB287" s="402"/>
      <c r="AC287" s="402"/>
      <c r="AD287" s="5"/>
      <c r="AE287" s="5"/>
      <c r="AF287" s="5"/>
      <c r="AG287" s="5"/>
      <c r="AH287" s="5"/>
      <c r="AI287" s="5"/>
      <c r="AJ287" s="5"/>
      <c r="AK287" s="5"/>
      <c r="AL287" s="5"/>
      <c r="AM287" s="5"/>
    </row>
    <row r="288" spans="1:39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9"/>
      <c r="T288" s="399"/>
      <c r="U288" s="399"/>
      <c r="V288" s="402"/>
      <c r="W288" s="5"/>
      <c r="X288" s="402"/>
      <c r="Y288" s="402"/>
      <c r="Z288" s="402"/>
      <c r="AA288" s="402"/>
      <c r="AB288" s="402"/>
      <c r="AC288" s="402"/>
      <c r="AD288" s="5"/>
      <c r="AE288" s="5"/>
      <c r="AF288" s="5"/>
      <c r="AG288" s="5"/>
      <c r="AH288" s="5"/>
      <c r="AI288" s="5"/>
      <c r="AJ288" s="5"/>
      <c r="AK288" s="5"/>
      <c r="AL288" s="5"/>
      <c r="AM288" s="5"/>
    </row>
    <row r="289" spans="1:39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9"/>
      <c r="T289" s="399"/>
      <c r="U289" s="399"/>
      <c r="V289" s="402"/>
      <c r="W289" s="5"/>
      <c r="X289" s="402"/>
      <c r="Y289" s="402"/>
      <c r="Z289" s="402"/>
      <c r="AA289" s="402"/>
      <c r="AB289" s="402"/>
      <c r="AC289" s="402"/>
      <c r="AD289" s="5"/>
      <c r="AE289" s="5"/>
      <c r="AF289" s="5"/>
      <c r="AG289" s="5"/>
      <c r="AH289" s="5"/>
      <c r="AI289" s="5"/>
      <c r="AJ289" s="5"/>
      <c r="AK289" s="5"/>
      <c r="AL289" s="5"/>
      <c r="AM289" s="5"/>
    </row>
    <row r="290" spans="1:39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9"/>
      <c r="T290" s="399"/>
      <c r="U290" s="399"/>
      <c r="V290" s="402"/>
      <c r="W290" s="5"/>
      <c r="X290" s="402"/>
      <c r="Y290" s="402"/>
      <c r="Z290" s="402"/>
      <c r="AA290" s="402"/>
      <c r="AB290" s="402"/>
      <c r="AC290" s="402"/>
      <c r="AD290" s="5"/>
      <c r="AE290" s="5"/>
      <c r="AF290" s="5"/>
      <c r="AG290" s="5"/>
      <c r="AH290" s="5"/>
      <c r="AI290" s="5"/>
      <c r="AJ290" s="5"/>
      <c r="AK290" s="5"/>
      <c r="AL290" s="5"/>
      <c r="AM290" s="5"/>
    </row>
    <row r="291" spans="1:39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9"/>
      <c r="T291" s="399"/>
      <c r="U291" s="399"/>
      <c r="V291" s="402"/>
      <c r="W291" s="5"/>
      <c r="X291" s="402"/>
      <c r="Y291" s="402"/>
      <c r="Z291" s="402"/>
      <c r="AA291" s="402"/>
      <c r="AB291" s="402"/>
      <c r="AC291" s="402"/>
      <c r="AD291" s="5"/>
      <c r="AE291" s="5"/>
      <c r="AF291" s="5"/>
      <c r="AG291" s="5"/>
      <c r="AH291" s="5"/>
      <c r="AI291" s="5"/>
      <c r="AJ291" s="5"/>
      <c r="AK291" s="5"/>
      <c r="AL291" s="5"/>
      <c r="AM291" s="5"/>
    </row>
    <row r="292" spans="1:39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9"/>
      <c r="T292" s="399"/>
      <c r="U292" s="399"/>
      <c r="V292" s="402"/>
      <c r="W292" s="5"/>
      <c r="X292" s="402"/>
      <c r="Y292" s="402"/>
      <c r="Z292" s="402"/>
      <c r="AA292" s="402"/>
      <c r="AB292" s="402"/>
      <c r="AC292" s="402"/>
      <c r="AD292" s="5"/>
      <c r="AE292" s="5"/>
      <c r="AF292" s="5"/>
      <c r="AG292" s="5"/>
      <c r="AH292" s="5"/>
      <c r="AI292" s="5"/>
      <c r="AJ292" s="5"/>
      <c r="AK292" s="5"/>
      <c r="AL292" s="5"/>
      <c r="AM292" s="5"/>
    </row>
    <row r="293" spans="1:39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9"/>
      <c r="T293" s="399"/>
      <c r="U293" s="399"/>
      <c r="V293" s="402"/>
      <c r="W293" s="5"/>
      <c r="X293" s="402"/>
      <c r="Y293" s="402"/>
      <c r="Z293" s="402"/>
      <c r="AA293" s="402"/>
      <c r="AB293" s="402"/>
      <c r="AC293" s="402"/>
      <c r="AD293" s="5"/>
      <c r="AE293" s="5"/>
      <c r="AF293" s="5"/>
      <c r="AG293" s="5"/>
      <c r="AH293" s="5"/>
      <c r="AI293" s="5"/>
      <c r="AJ293" s="5"/>
      <c r="AK293" s="5"/>
      <c r="AL293" s="5"/>
      <c r="AM293" s="5"/>
    </row>
    <row r="294" spans="1:39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9"/>
      <c r="T294" s="399"/>
      <c r="U294" s="399"/>
      <c r="V294" s="402"/>
      <c r="W294" s="5"/>
      <c r="X294" s="402"/>
      <c r="Y294" s="402"/>
      <c r="Z294" s="402"/>
      <c r="AA294" s="402"/>
      <c r="AB294" s="402"/>
      <c r="AC294" s="402"/>
      <c r="AD294" s="5"/>
      <c r="AE294" s="5"/>
      <c r="AF294" s="5"/>
      <c r="AG294" s="5"/>
      <c r="AH294" s="5"/>
      <c r="AI294" s="5"/>
      <c r="AJ294" s="5"/>
      <c r="AK294" s="5"/>
      <c r="AL294" s="5"/>
      <c r="AM294" s="5"/>
    </row>
    <row r="295" spans="1:39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9"/>
      <c r="T295" s="399"/>
      <c r="U295" s="399"/>
      <c r="V295" s="402"/>
      <c r="W295" s="5"/>
      <c r="X295" s="402"/>
      <c r="Y295" s="402"/>
      <c r="Z295" s="402"/>
      <c r="AA295" s="402"/>
      <c r="AB295" s="402"/>
      <c r="AC295" s="402"/>
      <c r="AD295" s="5"/>
      <c r="AE295" s="5"/>
      <c r="AF295" s="5"/>
      <c r="AG295" s="5"/>
      <c r="AH295" s="5"/>
      <c r="AI295" s="5"/>
      <c r="AJ295" s="5"/>
      <c r="AK295" s="5"/>
      <c r="AL295" s="5"/>
      <c r="AM295" s="5"/>
    </row>
    <row r="296" spans="1:39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9"/>
      <c r="T296" s="399"/>
      <c r="U296" s="399"/>
      <c r="V296" s="402"/>
      <c r="W296" s="5"/>
      <c r="X296" s="402"/>
      <c r="Y296" s="402"/>
      <c r="Z296" s="402"/>
      <c r="AA296" s="402"/>
      <c r="AB296" s="402"/>
      <c r="AC296" s="402"/>
      <c r="AD296" s="5"/>
      <c r="AE296" s="5"/>
      <c r="AF296" s="5"/>
      <c r="AG296" s="5"/>
      <c r="AH296" s="5"/>
      <c r="AI296" s="5"/>
      <c r="AJ296" s="5"/>
      <c r="AK296" s="5"/>
      <c r="AL296" s="5"/>
      <c r="AM296" s="5"/>
    </row>
    <row r="297" spans="1:39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9"/>
      <c r="T297" s="399"/>
      <c r="U297" s="399"/>
      <c r="V297" s="402"/>
      <c r="W297" s="5"/>
      <c r="X297" s="402"/>
      <c r="Y297" s="402"/>
      <c r="Z297" s="402"/>
      <c r="AA297" s="402"/>
      <c r="AB297" s="402"/>
      <c r="AC297" s="402"/>
      <c r="AD297" s="5"/>
      <c r="AE297" s="5"/>
      <c r="AF297" s="5"/>
      <c r="AG297" s="5"/>
      <c r="AH297" s="5"/>
      <c r="AI297" s="5"/>
      <c r="AJ297" s="5"/>
      <c r="AK297" s="5"/>
      <c r="AL297" s="5"/>
      <c r="AM297" s="5"/>
    </row>
    <row r="298" spans="1:39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9"/>
      <c r="T298" s="399"/>
      <c r="U298" s="399"/>
      <c r="V298" s="402"/>
      <c r="W298" s="5"/>
      <c r="X298" s="402"/>
      <c r="Y298" s="402"/>
      <c r="Z298" s="402"/>
      <c r="AA298" s="402"/>
      <c r="AB298" s="402"/>
      <c r="AC298" s="402"/>
      <c r="AD298" s="5"/>
      <c r="AE298" s="5"/>
      <c r="AF298" s="5"/>
      <c r="AG298" s="5"/>
      <c r="AH298" s="5"/>
      <c r="AI298" s="5"/>
      <c r="AJ298" s="5"/>
      <c r="AK298" s="5"/>
      <c r="AL298" s="5"/>
      <c r="AM298" s="5"/>
    </row>
    <row r="299" spans="1:39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9"/>
      <c r="T299" s="399"/>
      <c r="U299" s="399"/>
      <c r="V299" s="402"/>
      <c r="W299" s="5"/>
      <c r="X299" s="402"/>
      <c r="Y299" s="402"/>
      <c r="Z299" s="402"/>
      <c r="AA299" s="402"/>
      <c r="AB299" s="402"/>
      <c r="AC299" s="402"/>
      <c r="AD299" s="5"/>
      <c r="AE299" s="5"/>
      <c r="AF299" s="5"/>
      <c r="AG299" s="5"/>
      <c r="AH299" s="5"/>
      <c r="AI299" s="5"/>
      <c r="AJ299" s="5"/>
      <c r="AK299" s="5"/>
      <c r="AL299" s="5"/>
      <c r="AM299" s="5"/>
    </row>
    <row r="300" spans="1:39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9"/>
      <c r="T300" s="399"/>
      <c r="U300" s="399"/>
      <c r="V300" s="402"/>
      <c r="W300" s="5"/>
      <c r="X300" s="402"/>
      <c r="Y300" s="402"/>
      <c r="Z300" s="402"/>
      <c r="AA300" s="402"/>
      <c r="AB300" s="402"/>
      <c r="AC300" s="402"/>
      <c r="AD300" s="5"/>
      <c r="AE300" s="5"/>
      <c r="AF300" s="5"/>
      <c r="AG300" s="5"/>
      <c r="AH300" s="5"/>
      <c r="AI300" s="5"/>
      <c r="AJ300" s="5"/>
      <c r="AK300" s="5"/>
      <c r="AL300" s="5"/>
      <c r="AM300" s="5"/>
    </row>
    <row r="301" spans="1:39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9"/>
      <c r="T301" s="399"/>
      <c r="U301" s="399"/>
      <c r="V301" s="402"/>
      <c r="W301" s="5"/>
      <c r="X301" s="402"/>
      <c r="Y301" s="402"/>
      <c r="Z301" s="402"/>
      <c r="AA301" s="402"/>
      <c r="AB301" s="402"/>
      <c r="AC301" s="402"/>
      <c r="AD301" s="5"/>
      <c r="AE301" s="5"/>
      <c r="AF301" s="5"/>
      <c r="AG301" s="5"/>
      <c r="AH301" s="5"/>
      <c r="AI301" s="5"/>
      <c r="AJ301" s="5"/>
      <c r="AK301" s="5"/>
      <c r="AL301" s="5"/>
      <c r="AM301" s="5"/>
    </row>
    <row r="302" spans="1:39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9"/>
      <c r="T302" s="399"/>
      <c r="U302" s="399"/>
      <c r="V302" s="402"/>
      <c r="W302" s="5"/>
      <c r="X302" s="402"/>
      <c r="Y302" s="402"/>
      <c r="Z302" s="402"/>
      <c r="AA302" s="402"/>
      <c r="AB302" s="402"/>
      <c r="AC302" s="402"/>
      <c r="AD302" s="5"/>
      <c r="AE302" s="5"/>
      <c r="AF302" s="5"/>
      <c r="AG302" s="5"/>
      <c r="AH302" s="5"/>
      <c r="AI302" s="5"/>
      <c r="AJ302" s="5"/>
      <c r="AK302" s="5"/>
      <c r="AL302" s="5"/>
      <c r="AM302" s="5"/>
    </row>
    <row r="303" spans="1:39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9"/>
      <c r="T303" s="399"/>
      <c r="U303" s="399"/>
      <c r="V303" s="402"/>
      <c r="W303" s="5"/>
      <c r="X303" s="402"/>
      <c r="Y303" s="402"/>
      <c r="Z303" s="402"/>
      <c r="AA303" s="402"/>
      <c r="AB303" s="402"/>
      <c r="AC303" s="402"/>
      <c r="AD303" s="5"/>
      <c r="AE303" s="5"/>
      <c r="AF303" s="5"/>
      <c r="AG303" s="5"/>
      <c r="AH303" s="5"/>
      <c r="AI303" s="5"/>
      <c r="AJ303" s="5"/>
      <c r="AK303" s="5"/>
      <c r="AL303" s="5"/>
      <c r="AM303" s="5"/>
    </row>
    <row r="304" spans="1:39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9"/>
      <c r="T304" s="399"/>
      <c r="U304" s="399"/>
      <c r="V304" s="402"/>
      <c r="W304" s="5"/>
      <c r="X304" s="402"/>
      <c r="Y304" s="402"/>
      <c r="Z304" s="402"/>
      <c r="AA304" s="402"/>
      <c r="AB304" s="402"/>
      <c r="AC304" s="402"/>
      <c r="AD304" s="5"/>
      <c r="AE304" s="5"/>
      <c r="AF304" s="5"/>
      <c r="AG304" s="5"/>
      <c r="AH304" s="5"/>
      <c r="AI304" s="5"/>
      <c r="AJ304" s="5"/>
      <c r="AK304" s="5"/>
      <c r="AL304" s="5"/>
      <c r="AM304" s="5"/>
    </row>
    <row r="305" spans="1:39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9"/>
      <c r="T305" s="399"/>
      <c r="U305" s="399"/>
      <c r="V305" s="402"/>
      <c r="W305" s="5"/>
      <c r="X305" s="402"/>
      <c r="Y305" s="402"/>
      <c r="Z305" s="402"/>
      <c r="AA305" s="402"/>
      <c r="AB305" s="402"/>
      <c r="AC305" s="402"/>
      <c r="AD305" s="5"/>
      <c r="AE305" s="5"/>
      <c r="AF305" s="5"/>
      <c r="AG305" s="5"/>
      <c r="AH305" s="5"/>
      <c r="AI305" s="5"/>
      <c r="AJ305" s="5"/>
      <c r="AK305" s="5"/>
      <c r="AL305" s="5"/>
      <c r="AM305" s="5"/>
    </row>
    <row r="306" spans="1:39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9"/>
      <c r="T306" s="399"/>
      <c r="U306" s="399"/>
      <c r="V306" s="402"/>
      <c r="W306" s="5"/>
      <c r="X306" s="402"/>
      <c r="Y306" s="402"/>
      <c r="Z306" s="402"/>
      <c r="AA306" s="402"/>
      <c r="AB306" s="402"/>
      <c r="AC306" s="402"/>
      <c r="AD306" s="5"/>
      <c r="AE306" s="5"/>
      <c r="AF306" s="5"/>
      <c r="AG306" s="5"/>
      <c r="AH306" s="5"/>
      <c r="AI306" s="5"/>
      <c r="AJ306" s="5"/>
      <c r="AK306" s="5"/>
      <c r="AL306" s="5"/>
      <c r="AM306" s="5"/>
    </row>
    <row r="307" spans="1:39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9"/>
      <c r="T307" s="399"/>
      <c r="U307" s="399"/>
      <c r="V307" s="402"/>
      <c r="W307" s="5"/>
      <c r="X307" s="402"/>
      <c r="Y307" s="402"/>
      <c r="Z307" s="402"/>
      <c r="AA307" s="402"/>
      <c r="AB307" s="402"/>
      <c r="AC307" s="402"/>
      <c r="AD307" s="5"/>
      <c r="AE307" s="5"/>
      <c r="AF307" s="5"/>
      <c r="AG307" s="5"/>
      <c r="AH307" s="5"/>
      <c r="AI307" s="5"/>
      <c r="AJ307" s="5"/>
      <c r="AK307" s="5"/>
      <c r="AL307" s="5"/>
      <c r="AM307" s="5"/>
    </row>
    <row r="308" spans="1:39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9"/>
      <c r="T308" s="399"/>
      <c r="U308" s="399"/>
      <c r="V308" s="402"/>
      <c r="W308" s="5"/>
      <c r="X308" s="402"/>
      <c r="Y308" s="402"/>
      <c r="Z308" s="402"/>
      <c r="AA308" s="402"/>
      <c r="AB308" s="402"/>
      <c r="AC308" s="402"/>
      <c r="AD308" s="5"/>
      <c r="AE308" s="5"/>
      <c r="AF308" s="5"/>
      <c r="AG308" s="5"/>
      <c r="AH308" s="5"/>
      <c r="AI308" s="5"/>
      <c r="AJ308" s="5"/>
      <c r="AK308" s="5"/>
      <c r="AL308" s="5"/>
      <c r="AM308" s="5"/>
    </row>
    <row r="309" spans="1:39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9"/>
      <c r="T309" s="399"/>
      <c r="U309" s="399"/>
      <c r="V309" s="402"/>
      <c r="W309" s="5"/>
      <c r="X309" s="402"/>
      <c r="Y309" s="402"/>
      <c r="Z309" s="402"/>
      <c r="AA309" s="402"/>
      <c r="AB309" s="402"/>
      <c r="AC309" s="402"/>
      <c r="AD309" s="5"/>
      <c r="AE309" s="5"/>
      <c r="AF309" s="5"/>
      <c r="AG309" s="5"/>
      <c r="AH309" s="5"/>
      <c r="AI309" s="5"/>
      <c r="AJ309" s="5"/>
      <c r="AK309" s="5"/>
      <c r="AL309" s="5"/>
      <c r="AM309" s="5"/>
    </row>
    <row r="310" spans="1:39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9"/>
      <c r="T310" s="399"/>
      <c r="U310" s="399"/>
      <c r="V310" s="402"/>
      <c r="W310" s="5"/>
      <c r="X310" s="402"/>
      <c r="Y310" s="402"/>
      <c r="Z310" s="402"/>
      <c r="AA310" s="402"/>
      <c r="AB310" s="402"/>
      <c r="AC310" s="402"/>
      <c r="AD310" s="5"/>
      <c r="AE310" s="5"/>
      <c r="AF310" s="5"/>
      <c r="AG310" s="5"/>
      <c r="AH310" s="5"/>
      <c r="AI310" s="5"/>
      <c r="AJ310" s="5"/>
      <c r="AK310" s="5"/>
      <c r="AL310" s="5"/>
      <c r="AM310" s="5"/>
    </row>
    <row r="311" spans="1:39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9"/>
      <c r="T311" s="399"/>
      <c r="U311" s="399"/>
      <c r="V311" s="402"/>
      <c r="W311" s="5"/>
      <c r="X311" s="402"/>
      <c r="Y311" s="402"/>
      <c r="Z311" s="402"/>
      <c r="AA311" s="402"/>
      <c r="AB311" s="402"/>
      <c r="AC311" s="402"/>
      <c r="AD311" s="5"/>
      <c r="AE311" s="5"/>
      <c r="AF311" s="5"/>
      <c r="AG311" s="5"/>
      <c r="AH311" s="5"/>
      <c r="AI311" s="5"/>
      <c r="AJ311" s="5"/>
      <c r="AK311" s="5"/>
      <c r="AL311" s="5"/>
      <c r="AM311" s="5"/>
    </row>
    <row r="312" spans="1:39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9"/>
      <c r="T312" s="399"/>
      <c r="U312" s="399"/>
      <c r="V312" s="402"/>
      <c r="W312" s="5"/>
      <c r="X312" s="402"/>
      <c r="Y312" s="402"/>
      <c r="Z312" s="402"/>
      <c r="AA312" s="402"/>
      <c r="AB312" s="402"/>
      <c r="AC312" s="402"/>
      <c r="AD312" s="5"/>
      <c r="AE312" s="5"/>
      <c r="AF312" s="5"/>
      <c r="AG312" s="5"/>
      <c r="AH312" s="5"/>
      <c r="AI312" s="5"/>
      <c r="AJ312" s="5"/>
      <c r="AK312" s="5"/>
      <c r="AL312" s="5"/>
      <c r="AM312" s="5"/>
    </row>
    <row r="313" spans="1:39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9"/>
      <c r="T313" s="399"/>
      <c r="U313" s="399"/>
      <c r="V313" s="402"/>
      <c r="W313" s="5"/>
      <c r="X313" s="402"/>
      <c r="Y313" s="402"/>
      <c r="Z313" s="402"/>
      <c r="AA313" s="402"/>
      <c r="AB313" s="402"/>
      <c r="AC313" s="402"/>
      <c r="AD313" s="5"/>
      <c r="AE313" s="5"/>
      <c r="AF313" s="5"/>
      <c r="AG313" s="5"/>
      <c r="AH313" s="5"/>
      <c r="AI313" s="5"/>
      <c r="AJ313" s="5"/>
      <c r="AK313" s="5"/>
      <c r="AL313" s="5"/>
      <c r="AM313" s="5"/>
    </row>
    <row r="314" spans="1:39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9"/>
      <c r="T314" s="399"/>
      <c r="U314" s="399"/>
      <c r="V314" s="402"/>
      <c r="W314" s="5"/>
      <c r="X314" s="402"/>
      <c r="Y314" s="402"/>
      <c r="Z314" s="402"/>
      <c r="AA314" s="402"/>
      <c r="AB314" s="402"/>
      <c r="AC314" s="402"/>
      <c r="AD314" s="5"/>
      <c r="AE314" s="5"/>
      <c r="AF314" s="5"/>
      <c r="AG314" s="5"/>
      <c r="AH314" s="5"/>
      <c r="AI314" s="5"/>
      <c r="AJ314" s="5"/>
      <c r="AK314" s="5"/>
      <c r="AL314" s="5"/>
      <c r="AM314" s="5"/>
    </row>
    <row r="315" spans="1:39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9"/>
      <c r="T315" s="399"/>
      <c r="U315" s="399"/>
      <c r="V315" s="402"/>
      <c r="W315" s="5"/>
      <c r="X315" s="402"/>
      <c r="Y315" s="402"/>
      <c r="Z315" s="402"/>
      <c r="AA315" s="402"/>
      <c r="AB315" s="402"/>
      <c r="AC315" s="402"/>
      <c r="AD315" s="5"/>
      <c r="AE315" s="5"/>
      <c r="AF315" s="5"/>
      <c r="AG315" s="5"/>
      <c r="AH315" s="5"/>
      <c r="AI315" s="5"/>
      <c r="AJ315" s="5"/>
      <c r="AK315" s="5"/>
      <c r="AL315" s="5"/>
      <c r="AM315" s="5"/>
    </row>
    <row r="316" spans="1:39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9"/>
      <c r="T316" s="399"/>
      <c r="U316" s="399"/>
      <c r="V316" s="402"/>
      <c r="W316" s="5"/>
      <c r="X316" s="402"/>
      <c r="Y316" s="402"/>
      <c r="Z316" s="402"/>
      <c r="AA316" s="402"/>
      <c r="AB316" s="402"/>
      <c r="AC316" s="402"/>
      <c r="AD316" s="5"/>
      <c r="AE316" s="5"/>
      <c r="AF316" s="5"/>
      <c r="AG316" s="5"/>
      <c r="AH316" s="5"/>
      <c r="AI316" s="5"/>
      <c r="AJ316" s="5"/>
      <c r="AK316" s="5"/>
      <c r="AL316" s="5"/>
      <c r="AM316" s="5"/>
    </row>
    <row r="317" spans="1:39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9"/>
      <c r="T317" s="399"/>
      <c r="U317" s="399"/>
      <c r="V317" s="402"/>
      <c r="W317" s="5"/>
      <c r="X317" s="402"/>
      <c r="Y317" s="402"/>
      <c r="Z317" s="402"/>
      <c r="AA317" s="402"/>
      <c r="AB317" s="402"/>
      <c r="AC317" s="402"/>
      <c r="AD317" s="5"/>
      <c r="AE317" s="5"/>
      <c r="AF317" s="5"/>
      <c r="AG317" s="5"/>
      <c r="AH317" s="5"/>
      <c r="AI317" s="5"/>
      <c r="AJ317" s="5"/>
      <c r="AK317" s="5"/>
      <c r="AL317" s="5"/>
      <c r="AM317" s="5"/>
    </row>
  </sheetData>
  <mergeCells count="126"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  <mergeCell ref="E5:F5"/>
    <mergeCell ref="G5:H5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Z6:Z8"/>
    <mergeCell ref="AB6:AB8"/>
    <mergeCell ref="AC6:AC8"/>
    <mergeCell ref="N6:N8"/>
    <mergeCell ref="U6:U8"/>
    <mergeCell ref="AM5:AO8"/>
    <mergeCell ref="AM9:AO9"/>
    <mergeCell ref="AM12:AO12"/>
    <mergeCell ref="W6:W8"/>
    <mergeCell ref="V5:AA5"/>
    <mergeCell ref="AB5:AF5"/>
    <mergeCell ref="AE6:AE8"/>
    <mergeCell ref="AF6:AF8"/>
    <mergeCell ref="AG6:AG8"/>
    <mergeCell ref="AH6:AH8"/>
    <mergeCell ref="AI6:AI8"/>
    <mergeCell ref="AA6:AA8"/>
    <mergeCell ref="AM10:AO10"/>
    <mergeCell ref="AM11:AO11"/>
    <mergeCell ref="AG5:AI5"/>
    <mergeCell ref="AJ6:AJ8"/>
    <mergeCell ref="AK5:AL5"/>
    <mergeCell ref="AK6:AK8"/>
    <mergeCell ref="AL6:AL8"/>
    <mergeCell ref="AM19:AO19"/>
    <mergeCell ref="AM20:AO20"/>
    <mergeCell ref="AM21:AO21"/>
    <mergeCell ref="AM22:AO22"/>
    <mergeCell ref="AM13:AO13"/>
    <mergeCell ref="AM14:AO14"/>
    <mergeCell ref="AM15:AO15"/>
    <mergeCell ref="AM16:AO16"/>
    <mergeCell ref="AM18:AO18"/>
    <mergeCell ref="AM17:AO17"/>
    <mergeCell ref="AM35:AO35"/>
    <mergeCell ref="AM36:AO36"/>
    <mergeCell ref="AM37:AO37"/>
    <mergeCell ref="AM28:AO28"/>
    <mergeCell ref="AM29:AO29"/>
    <mergeCell ref="AM30:AO30"/>
    <mergeCell ref="AM31:AO31"/>
    <mergeCell ref="AM32:AO32"/>
    <mergeCell ref="AM24:AO24"/>
    <mergeCell ref="AM25:AO25"/>
    <mergeCell ref="AM26:AO26"/>
    <mergeCell ref="AM27:AO27"/>
    <mergeCell ref="A60:AY60"/>
    <mergeCell ref="A62:A63"/>
    <mergeCell ref="Z62:Z63"/>
    <mergeCell ref="AB62:AB63"/>
    <mergeCell ref="AC62:AC63"/>
    <mergeCell ref="AD62:AD63"/>
    <mergeCell ref="AM62:AM63"/>
    <mergeCell ref="AN62:AN63"/>
    <mergeCell ref="AO62:AO63"/>
    <mergeCell ref="AP62:AP63"/>
    <mergeCell ref="AQ62:AQ63"/>
    <mergeCell ref="AR62:AR63"/>
    <mergeCell ref="AS62:AS63"/>
    <mergeCell ref="AY62:AY63"/>
    <mergeCell ref="AZ62:AZ63"/>
    <mergeCell ref="V62:V63"/>
    <mergeCell ref="X62:Y62"/>
    <mergeCell ref="BA62:BA63"/>
    <mergeCell ref="AT62:AT63"/>
    <mergeCell ref="AU62:AU63"/>
    <mergeCell ref="AV62:AV63"/>
    <mergeCell ref="AW62:AW63"/>
    <mergeCell ref="AX62:AX63"/>
    <mergeCell ref="AM51:AO51"/>
    <mergeCell ref="AM52:AO52"/>
    <mergeCell ref="AM53:AO53"/>
    <mergeCell ref="AM54:AO54"/>
    <mergeCell ref="A51:C51"/>
    <mergeCell ref="A52:C52"/>
    <mergeCell ref="A53:C53"/>
    <mergeCell ref="A54:C54"/>
    <mergeCell ref="A2:AO2"/>
    <mergeCell ref="AM43:AO43"/>
    <mergeCell ref="AM44:AO44"/>
    <mergeCell ref="AM50:AO50"/>
    <mergeCell ref="AM45:AO45"/>
    <mergeCell ref="AM46:AO46"/>
    <mergeCell ref="AM47:AO47"/>
    <mergeCell ref="AM48:AO48"/>
    <mergeCell ref="AM49:AO49"/>
    <mergeCell ref="AM38:AO38"/>
    <mergeCell ref="AM39:AO39"/>
    <mergeCell ref="AM40:AO40"/>
    <mergeCell ref="AM41:AO41"/>
    <mergeCell ref="AM42:AO42"/>
    <mergeCell ref="AM33:AO33"/>
    <mergeCell ref="AM34:AO34"/>
  </mergeCells>
  <phoneticPr fontId="8" type="noConversion"/>
  <printOptions horizontalCentered="1" verticalCentered="1"/>
  <pageMargins left="0.19685039370078741" right="0.19685039370078741" top="0.19685039370078741" bottom="0.19685039370078741" header="0" footer="0"/>
  <pageSetup paperSize="9" scale="44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1512</v>
      </c>
    </row>
    <row r="2" spans="1:64" ht="26.25" x14ac:dyDescent="0.4">
      <c r="A2" s="4125" t="s">
        <v>358</v>
      </c>
      <c r="B2" s="4125"/>
      <c r="C2" s="4125"/>
      <c r="D2" s="4125"/>
      <c r="E2" s="4125"/>
      <c r="F2" s="4125"/>
      <c r="G2" s="4125"/>
      <c r="H2" s="4125"/>
      <c r="I2" s="4125"/>
      <c r="J2" s="4125"/>
      <c r="K2" s="4125"/>
      <c r="L2" s="4125"/>
      <c r="M2" s="4125"/>
      <c r="N2" s="4125"/>
      <c r="O2" s="4125"/>
      <c r="P2" s="4125"/>
      <c r="Q2" s="4125"/>
      <c r="R2" s="4125"/>
      <c r="S2" s="4125"/>
      <c r="T2" s="4125"/>
      <c r="U2" s="4125"/>
      <c r="V2" s="4125"/>
      <c r="W2" s="4125"/>
      <c r="X2" s="4125"/>
      <c r="Y2" s="4125"/>
      <c r="Z2" s="4125"/>
      <c r="AA2" s="4125"/>
      <c r="AB2" s="4125"/>
      <c r="AC2" s="4125"/>
      <c r="AD2" s="4125"/>
      <c r="AE2" s="4125"/>
      <c r="AF2" s="4125"/>
      <c r="AG2" s="4125"/>
      <c r="AH2" s="4125"/>
      <c r="AI2" s="4125"/>
      <c r="AJ2" s="4125"/>
      <c r="AK2" s="4125"/>
      <c r="AL2" s="4126"/>
      <c r="AM2" s="4126"/>
      <c r="AN2" s="4126"/>
      <c r="AO2" s="4126"/>
      <c r="AP2" s="4126"/>
      <c r="AQ2" s="4126"/>
      <c r="AR2" s="4126"/>
      <c r="AS2" s="4126"/>
      <c r="AT2" s="4126"/>
      <c r="AU2" s="4126"/>
      <c r="AV2" s="4126"/>
      <c r="AW2" s="4126"/>
      <c r="AX2" s="4126"/>
      <c r="AY2" s="4126"/>
      <c r="AZ2" s="4126"/>
      <c r="BA2" s="4126"/>
      <c r="BB2" s="4126"/>
      <c r="BC2" s="4126"/>
      <c r="BD2" s="4126"/>
      <c r="BE2" s="4126"/>
      <c r="BF2" s="4126"/>
      <c r="BG2" s="4126"/>
      <c r="BH2" s="4126"/>
      <c r="BI2" s="4126"/>
      <c r="BJ2" s="4126"/>
      <c r="BK2" s="4126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097"/>
      <c r="B4" s="281"/>
      <c r="C4" s="281"/>
      <c r="D4" s="281"/>
      <c r="E4" s="299"/>
      <c r="F4" s="4100" t="s">
        <v>224</v>
      </c>
      <c r="G4" s="4101"/>
      <c r="H4" s="4101"/>
      <c r="I4" s="4101"/>
      <c r="J4" s="4102"/>
      <c r="K4" s="4106" t="s">
        <v>225</v>
      </c>
      <c r="L4" s="4101"/>
      <c r="M4" s="4101"/>
      <c r="N4" s="4101"/>
      <c r="O4" s="4107"/>
      <c r="P4" s="4100" t="s">
        <v>248</v>
      </c>
      <c r="Q4" s="4101"/>
      <c r="R4" s="4101"/>
      <c r="S4" s="4101"/>
      <c r="T4" s="4101"/>
      <c r="U4" s="4101"/>
      <c r="V4" s="4101"/>
      <c r="W4" s="4102"/>
      <c r="X4" s="4143" t="s">
        <v>159</v>
      </c>
      <c r="Y4" s="4144"/>
      <c r="Z4" s="4144"/>
      <c r="AA4" s="4144"/>
      <c r="AB4" s="4144"/>
      <c r="AC4" s="4144"/>
      <c r="AD4" s="4144"/>
      <c r="AE4" s="4144"/>
      <c r="AF4" s="4144"/>
      <c r="AG4" s="4144"/>
      <c r="AH4" s="4144"/>
      <c r="AI4" s="4144"/>
      <c r="AJ4" s="4144"/>
      <c r="AK4" s="4144"/>
      <c r="AL4" s="4144"/>
      <c r="AM4" s="4144"/>
      <c r="AN4" s="4144"/>
      <c r="AO4" s="4144"/>
      <c r="AP4" s="4140" t="s">
        <v>374</v>
      </c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74"/>
      <c r="BJ4" s="274"/>
      <c r="BK4" s="274"/>
      <c r="BL4" s="275"/>
    </row>
    <row r="5" spans="1:64" hidden="1" x14ac:dyDescent="0.2">
      <c r="A5" s="4098"/>
      <c r="B5" s="4110" t="s">
        <v>59</v>
      </c>
      <c r="C5" s="4110"/>
      <c r="D5" s="4110"/>
      <c r="E5" s="4111"/>
      <c r="F5" s="4103"/>
      <c r="G5" s="4104"/>
      <c r="H5" s="4104"/>
      <c r="I5" s="4104"/>
      <c r="J5" s="4105"/>
      <c r="K5" s="4108"/>
      <c r="L5" s="4104"/>
      <c r="M5" s="4104"/>
      <c r="N5" s="4104"/>
      <c r="O5" s="4109"/>
      <c r="P5" s="4103" t="s">
        <v>226</v>
      </c>
      <c r="Q5" s="4104"/>
      <c r="R5" s="4104"/>
      <c r="S5" s="4104"/>
      <c r="T5" s="4104" t="s">
        <v>249</v>
      </c>
      <c r="U5" s="4104"/>
      <c r="V5" s="4104"/>
      <c r="W5" s="4105"/>
      <c r="X5" s="4112" t="s">
        <v>164</v>
      </c>
      <c r="Y5" s="4113"/>
      <c r="Z5" s="4113"/>
      <c r="AA5" s="4113"/>
      <c r="AB5" s="4113"/>
      <c r="AC5" s="711"/>
      <c r="AD5" s="711"/>
      <c r="AE5" s="711"/>
      <c r="AF5" s="711"/>
      <c r="AG5" s="4113" t="s">
        <v>244</v>
      </c>
      <c r="AH5" s="4113"/>
      <c r="AI5" s="4113"/>
      <c r="AJ5" s="4113"/>
      <c r="AK5" s="4113"/>
      <c r="AL5" s="4138" t="s">
        <v>226</v>
      </c>
      <c r="AM5" s="4138"/>
      <c r="AN5" s="4138"/>
      <c r="AO5" s="4138"/>
      <c r="AP5" s="4141"/>
      <c r="AQ5" s="718"/>
      <c r="AR5" s="718"/>
      <c r="AS5" s="718"/>
      <c r="AT5" s="718"/>
      <c r="AU5" s="718"/>
      <c r="AV5" s="718"/>
      <c r="AW5" s="718"/>
      <c r="AX5" s="718"/>
      <c r="AY5" s="718"/>
      <c r="AZ5" s="718"/>
      <c r="BA5" s="718"/>
      <c r="BB5" s="718"/>
      <c r="BC5" s="718"/>
      <c r="BD5" s="718"/>
      <c r="BE5" s="718"/>
      <c r="BF5" s="718"/>
      <c r="BG5" s="718"/>
      <c r="BH5" s="718"/>
      <c r="BI5" s="4138" t="s">
        <v>372</v>
      </c>
      <c r="BJ5" s="4138"/>
      <c r="BK5" s="4138"/>
      <c r="BL5" s="4139"/>
    </row>
    <row r="6" spans="1:64" ht="57.75" hidden="1" customHeight="1" thickBot="1" x14ac:dyDescent="0.25">
      <c r="A6" s="4099"/>
      <c r="B6" s="264" t="s">
        <v>100</v>
      </c>
      <c r="C6" s="264" t="s">
        <v>121</v>
      </c>
      <c r="D6" s="264" t="s">
        <v>101</v>
      </c>
      <c r="E6" s="265" t="s">
        <v>102</v>
      </c>
      <c r="F6" s="263" t="s">
        <v>100</v>
      </c>
      <c r="G6" s="264" t="s">
        <v>121</v>
      </c>
      <c r="H6" s="264" t="s">
        <v>101</v>
      </c>
      <c r="I6" s="264" t="s">
        <v>66</v>
      </c>
      <c r="J6" s="262" t="s">
        <v>102</v>
      </c>
      <c r="K6" s="304" t="s">
        <v>100</v>
      </c>
      <c r="L6" s="264" t="s">
        <v>121</v>
      </c>
      <c r="M6" s="264" t="s">
        <v>101</v>
      </c>
      <c r="N6" s="264" t="s">
        <v>112</v>
      </c>
      <c r="O6" s="265" t="s">
        <v>102</v>
      </c>
      <c r="P6" s="263" t="s">
        <v>100</v>
      </c>
      <c r="Q6" s="264" t="s">
        <v>121</v>
      </c>
      <c r="R6" s="264" t="s">
        <v>101</v>
      </c>
      <c r="S6" s="264" t="s">
        <v>102</v>
      </c>
      <c r="T6" s="264" t="s">
        <v>100</v>
      </c>
      <c r="U6" s="264" t="s">
        <v>121</v>
      </c>
      <c r="V6" s="264" t="s">
        <v>101</v>
      </c>
      <c r="W6" s="262" t="s">
        <v>102</v>
      </c>
      <c r="X6" s="263" t="s">
        <v>100</v>
      </c>
      <c r="Y6" s="264" t="s">
        <v>121</v>
      </c>
      <c r="Z6" s="264" t="s">
        <v>101</v>
      </c>
      <c r="AA6" s="264" t="s">
        <v>163</v>
      </c>
      <c r="AB6" s="264" t="s">
        <v>102</v>
      </c>
      <c r="AC6" s="264"/>
      <c r="AD6" s="264"/>
      <c r="AE6" s="264"/>
      <c r="AF6" s="264"/>
      <c r="AG6" s="264" t="s">
        <v>100</v>
      </c>
      <c r="AH6" s="264" t="s">
        <v>127</v>
      </c>
      <c r="AI6" s="264" t="s">
        <v>101</v>
      </c>
      <c r="AJ6" s="264" t="s">
        <v>119</v>
      </c>
      <c r="AK6" s="264" t="s">
        <v>102</v>
      </c>
      <c r="AL6" s="264" t="s">
        <v>100</v>
      </c>
      <c r="AM6" s="264" t="s">
        <v>121</v>
      </c>
      <c r="AN6" s="264" t="s">
        <v>101</v>
      </c>
      <c r="AO6" s="264" t="s">
        <v>102</v>
      </c>
      <c r="AP6" s="4142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7"/>
      <c r="BB6" s="647"/>
      <c r="BC6" s="647"/>
      <c r="BD6" s="647"/>
      <c r="BE6" s="647"/>
      <c r="BF6" s="647"/>
      <c r="BG6" s="647"/>
      <c r="BH6" s="647"/>
      <c r="BI6" s="264" t="s">
        <v>100</v>
      </c>
      <c r="BJ6" s="264" t="s">
        <v>121</v>
      </c>
      <c r="BK6" s="264" t="s">
        <v>101</v>
      </c>
      <c r="BL6" s="262" t="s">
        <v>102</v>
      </c>
    </row>
    <row r="7" spans="1:64" hidden="1" x14ac:dyDescent="0.2">
      <c r="A7" s="293" t="s">
        <v>103</v>
      </c>
      <c r="B7" s="146">
        <v>12.19</v>
      </c>
      <c r="C7" s="279">
        <f>B7/C16*1000</f>
        <v>1.3791308873276085</v>
      </c>
      <c r="D7" s="294">
        <f t="shared" ref="D7:D12" si="0">E7/B7*1000</f>
        <v>40804.91714520099</v>
      </c>
      <c r="E7" s="268">
        <v>497.41194000000002</v>
      </c>
      <c r="F7" s="312">
        <v>8.9149999999999991</v>
      </c>
      <c r="G7" s="279">
        <f>F7/G16*1000</f>
        <v>1.0058784370804137</v>
      </c>
      <c r="H7" s="294">
        <f>J7/F7*1000</f>
        <v>52361.18900729109</v>
      </c>
      <c r="I7" s="277">
        <f>H7/D7*100</f>
        <v>128.32078256884591</v>
      </c>
      <c r="J7" s="298">
        <v>466.8</v>
      </c>
      <c r="K7" s="305">
        <v>7.5220000000000002</v>
      </c>
      <c r="L7" s="279">
        <f>K7/L16*1000</f>
        <v>0.89837451778953537</v>
      </c>
      <c r="M7" s="294">
        <v>65249</v>
      </c>
      <c r="N7" s="277">
        <f>M7/H7*100</f>
        <v>124.61328941730932</v>
      </c>
      <c r="O7" s="268">
        <f>K7*M7/1000</f>
        <v>490.802978</v>
      </c>
      <c r="P7" s="312">
        <v>6.18</v>
      </c>
      <c r="Q7" s="279" t="e">
        <f>P7/Q16*1000</f>
        <v>#REF!</v>
      </c>
      <c r="R7" s="294">
        <v>71300</v>
      </c>
      <c r="S7" s="279">
        <f>P7*R7/1000</f>
        <v>440.63400000000001</v>
      </c>
      <c r="T7" s="279">
        <v>7.98</v>
      </c>
      <c r="U7" s="295">
        <f>T7/$T$16*1000</f>
        <v>0.87046632124352341</v>
      </c>
      <c r="V7" s="276">
        <v>71.441000000000003</v>
      </c>
      <c r="W7" s="298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77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79">
        <f>AH16*AH7/1000</f>
        <v>38.796480000000003</v>
      </c>
      <c r="AH7" s="279">
        <v>6.08</v>
      </c>
      <c r="AI7" s="146">
        <f>R7*1.069</f>
        <v>76219.7</v>
      </c>
      <c r="AJ7" s="296">
        <f>AI7/R7*100</f>
        <v>106.89999999999999</v>
      </c>
      <c r="AK7" s="20">
        <f>AG7*AI7/1000</f>
        <v>2957.056066656</v>
      </c>
      <c r="AL7" s="279">
        <v>3.1</v>
      </c>
      <c r="AM7" s="279">
        <f>AL7/AM16*1000</f>
        <v>0.52321558169758142</v>
      </c>
      <c r="AN7" s="278">
        <f>AO7/AL7*1000</f>
        <v>72000</v>
      </c>
      <c r="AO7" s="279">
        <v>223.2</v>
      </c>
      <c r="AP7" s="297">
        <f>(BJ7+U7+L7+G7)/4</f>
        <v>0.81842936278323364</v>
      </c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79">
        <v>3.91</v>
      </c>
      <c r="BJ7" s="295">
        <f>BI7/BJ16*1000</f>
        <v>0.4989981750194622</v>
      </c>
      <c r="BK7" s="278">
        <f>BL7/BI7*1000</f>
        <v>71994.88491048594</v>
      </c>
      <c r="BL7" s="298">
        <v>281.5</v>
      </c>
    </row>
    <row r="8" spans="1:64" hidden="1" x14ac:dyDescent="0.2">
      <c r="A8" s="252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00">
        <v>1702.42668</v>
      </c>
      <c r="F8" s="267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3">
        <v>1787</v>
      </c>
      <c r="K8" s="306">
        <v>36</v>
      </c>
      <c r="L8" s="23">
        <f>K8/L16*1000</f>
        <v>4.2995855677244448</v>
      </c>
      <c r="M8" s="19">
        <v>52781</v>
      </c>
      <c r="N8" s="6"/>
      <c r="O8" s="300">
        <f>K8*M8/1000</f>
        <v>1900.116</v>
      </c>
      <c r="P8" s="245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7">
        <v>52.529000000000003</v>
      </c>
      <c r="W8" s="282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662"/>
      <c r="AD8" s="662"/>
      <c r="AE8" s="662"/>
      <c r="AF8" s="662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70">
        <f>(BJ8+U8+L8+G8)/4</f>
        <v>5.3903583785855904</v>
      </c>
      <c r="AQ8" s="719"/>
      <c r="AR8" s="719"/>
      <c r="AS8" s="719"/>
      <c r="AT8" s="719"/>
      <c r="AU8" s="719"/>
      <c r="AV8" s="719"/>
      <c r="AW8" s="719"/>
      <c r="AX8" s="719"/>
      <c r="AY8" s="719"/>
      <c r="AZ8" s="719"/>
      <c r="BA8" s="719"/>
      <c r="BB8" s="719"/>
      <c r="BC8" s="719"/>
      <c r="BD8" s="719"/>
      <c r="BE8" s="719"/>
      <c r="BF8" s="719"/>
      <c r="BG8" s="719"/>
      <c r="BH8" s="719"/>
      <c r="BI8" s="23">
        <v>50.97</v>
      </c>
      <c r="BJ8" s="273">
        <f>BI8/BJ16*1000</f>
        <v>6.5048432175810706</v>
      </c>
      <c r="BK8" s="135">
        <f>BL8/BI8*1000</f>
        <v>48828.72277810477</v>
      </c>
      <c r="BL8" s="282">
        <v>2488.8000000000002</v>
      </c>
    </row>
    <row r="9" spans="1:64" hidden="1" x14ac:dyDescent="0.2">
      <c r="A9" s="252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00">
        <v>3221.8826899999999</v>
      </c>
      <c r="F9" s="267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2">
        <v>1393.6</v>
      </c>
      <c r="K9" s="307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00">
        <v>959.8</v>
      </c>
      <c r="P9" s="267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7">
        <v>6.774</v>
      </c>
      <c r="W9" s="282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662"/>
      <c r="AD9" s="662"/>
      <c r="AE9" s="662"/>
      <c r="AF9" s="662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70">
        <f>(BJ9+U9+L9+G9)/4</f>
        <v>30.576811943690544</v>
      </c>
      <c r="AQ9" s="719"/>
      <c r="AR9" s="719"/>
      <c r="AS9" s="719"/>
      <c r="AT9" s="719"/>
      <c r="AU9" s="719"/>
      <c r="AV9" s="719"/>
      <c r="AW9" s="719"/>
      <c r="AX9" s="719"/>
      <c r="AY9" s="719"/>
      <c r="AZ9" s="719"/>
      <c r="BA9" s="719"/>
      <c r="BB9" s="719"/>
      <c r="BC9" s="719"/>
      <c r="BD9" s="719"/>
      <c r="BE9" s="719"/>
      <c r="BF9" s="719"/>
      <c r="BG9" s="719"/>
      <c r="BH9" s="719"/>
      <c r="BI9" s="15">
        <v>152</v>
      </c>
      <c r="BJ9" s="147">
        <f>BI9/BJ16*1000</f>
        <v>19.398394527610808</v>
      </c>
      <c r="BK9" s="135">
        <f>BL9/BI9*1000</f>
        <v>6569.0789473684208</v>
      </c>
      <c r="BL9" s="282">
        <v>998.5</v>
      </c>
    </row>
    <row r="10" spans="1:64" hidden="1" x14ac:dyDescent="0.2">
      <c r="A10" s="252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00">
        <v>284.79372000000001</v>
      </c>
      <c r="F10" s="267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2">
        <v>340.5</v>
      </c>
      <c r="K10" s="307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00">
        <f>K10*M10/1000</f>
        <v>184.49838</v>
      </c>
      <c r="P10" s="267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7">
        <v>34.554000000000002</v>
      </c>
      <c r="W10" s="282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662"/>
      <c r="AD10" s="662"/>
      <c r="AE10" s="662"/>
      <c r="AF10" s="662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70">
        <f>(BJ10+U10+L10+G10)/4</f>
        <v>1.8378304705924196</v>
      </c>
      <c r="AQ10" s="719"/>
      <c r="AR10" s="719"/>
      <c r="AS10" s="719"/>
      <c r="AT10" s="719"/>
      <c r="AU10" s="719"/>
      <c r="AV10" s="719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  <c r="BH10" s="719"/>
      <c r="BI10" s="15">
        <v>13.47</v>
      </c>
      <c r="BJ10" s="147">
        <f>BI10/BJ16*1000</f>
        <v>1.719055093992879</v>
      </c>
      <c r="BK10" s="135">
        <f>BL10/BI10*1000</f>
        <v>23786.191536748327</v>
      </c>
      <c r="BL10" s="282">
        <v>320.39999999999998</v>
      </c>
    </row>
    <row r="11" spans="1:64" hidden="1" x14ac:dyDescent="0.2">
      <c r="A11" s="252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00">
        <v>135.47566</v>
      </c>
      <c r="F11" s="267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2">
        <v>236.2</v>
      </c>
      <c r="K11" s="307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00">
        <f>K11*M11/1000</f>
        <v>128.99974</v>
      </c>
      <c r="P11" s="267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7">
        <v>20.271999999999998</v>
      </c>
      <c r="W11" s="282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662"/>
      <c r="AD11" s="662"/>
      <c r="AE11" s="662"/>
      <c r="AF11" s="662"/>
      <c r="AG11" s="15">
        <f>AH11*AH16/1000</f>
        <v>8.6781600000000001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>
        <f>AG11*AI11/1000</f>
        <v>181.82827958399997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70">
        <f>(BJ11+U11+L11+G11)/4</f>
        <v>1.4416154920312136</v>
      </c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15">
        <v>9.32</v>
      </c>
      <c r="BJ11" s="147">
        <f>BI11/BJ16*1000</f>
        <v>1.1894278749824523</v>
      </c>
      <c r="BK11" s="135">
        <f>BL11/BI11*1000</f>
        <v>19978.540772532189</v>
      </c>
      <c r="BL11" s="282">
        <v>186.2</v>
      </c>
    </row>
    <row r="12" spans="1:64" hidden="1" x14ac:dyDescent="0.2">
      <c r="A12" s="252" t="s">
        <v>107</v>
      </c>
      <c r="B12" s="4">
        <v>0.05</v>
      </c>
      <c r="C12" s="4"/>
      <c r="D12" s="19">
        <f t="shared" si="0"/>
        <v>44000</v>
      </c>
      <c r="E12" s="300">
        <v>2.2000000000000002</v>
      </c>
      <c r="F12" s="267"/>
      <c r="G12" s="15"/>
      <c r="H12" s="15"/>
      <c r="I12" s="15"/>
      <c r="J12" s="282"/>
      <c r="K12" s="307"/>
      <c r="L12" s="15"/>
      <c r="M12" s="15"/>
      <c r="N12" s="15"/>
      <c r="O12" s="300"/>
      <c r="P12" s="267"/>
      <c r="Q12" s="15"/>
      <c r="R12" s="15"/>
      <c r="S12" s="15"/>
      <c r="T12" s="15"/>
      <c r="U12" s="147"/>
      <c r="V12" s="57"/>
      <c r="W12" s="282"/>
      <c r="X12" s="252"/>
      <c r="Y12" s="3"/>
      <c r="Z12" s="3"/>
      <c r="AA12" s="3"/>
      <c r="AB12" s="4"/>
      <c r="AC12" s="662"/>
      <c r="AD12" s="662"/>
      <c r="AE12" s="662"/>
      <c r="AF12" s="662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15"/>
      <c r="BJ12" s="15"/>
      <c r="BK12" s="135"/>
      <c r="BL12" s="282"/>
    </row>
    <row r="13" spans="1:64" hidden="1" x14ac:dyDescent="0.2">
      <c r="A13" s="252" t="s">
        <v>227</v>
      </c>
      <c r="B13" s="4"/>
      <c r="C13" s="4"/>
      <c r="D13" s="19"/>
      <c r="E13" s="300"/>
      <c r="F13" s="267"/>
      <c r="G13" s="15"/>
      <c r="H13" s="15"/>
      <c r="I13" s="15"/>
      <c r="J13" s="282"/>
      <c r="K13" s="307"/>
      <c r="L13" s="15"/>
      <c r="M13" s="15"/>
      <c r="N13" s="15"/>
      <c r="O13" s="300"/>
      <c r="P13" s="267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7">
        <v>44.253</v>
      </c>
      <c r="W13" s="282">
        <f t="shared" si="2"/>
        <v>44.253</v>
      </c>
      <c r="X13" s="252"/>
      <c r="Y13" s="3"/>
      <c r="Z13" s="3"/>
      <c r="AA13" s="3"/>
      <c r="AB13" s="4"/>
      <c r="AC13" s="662"/>
      <c r="AD13" s="662"/>
      <c r="AE13" s="662"/>
      <c r="AF13" s="662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  <c r="BI13" s="15">
        <v>0</v>
      </c>
      <c r="BJ13" s="15">
        <f>BI13/BJ16*1000</f>
        <v>0</v>
      </c>
      <c r="BK13" s="135">
        <v>0</v>
      </c>
      <c r="BL13" s="282"/>
    </row>
    <row r="14" spans="1:64" hidden="1" x14ac:dyDescent="0.2">
      <c r="A14" s="252" t="s">
        <v>108</v>
      </c>
      <c r="B14" s="4"/>
      <c r="C14" s="4"/>
      <c r="D14" s="4"/>
      <c r="E14" s="300">
        <v>45.360750000000003</v>
      </c>
      <c r="F14" s="267"/>
      <c r="G14" s="15"/>
      <c r="H14" s="15"/>
      <c r="I14" s="15"/>
      <c r="J14" s="282">
        <v>85</v>
      </c>
      <c r="K14" s="307"/>
      <c r="L14" s="15"/>
      <c r="M14" s="15"/>
      <c r="N14" s="15"/>
      <c r="O14" s="300">
        <v>132.6</v>
      </c>
      <c r="P14" s="267"/>
      <c r="Q14" s="15"/>
      <c r="R14" s="15"/>
      <c r="S14" s="15"/>
      <c r="T14" s="15"/>
      <c r="U14" s="15"/>
      <c r="V14" s="15"/>
      <c r="W14" s="282">
        <v>115.3</v>
      </c>
      <c r="X14" s="252"/>
      <c r="Y14" s="3"/>
      <c r="Z14" s="3"/>
      <c r="AA14" s="3"/>
      <c r="AB14" s="4">
        <v>110.4</v>
      </c>
      <c r="AC14" s="662"/>
      <c r="AD14" s="662"/>
      <c r="AE14" s="662"/>
      <c r="AF14" s="662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  <c r="BI14" s="15"/>
      <c r="BJ14" s="15"/>
      <c r="BK14" s="135"/>
      <c r="BL14" s="282">
        <v>133</v>
      </c>
    </row>
    <row r="15" spans="1:64" hidden="1" x14ac:dyDescent="0.2">
      <c r="A15" s="253" t="s">
        <v>90</v>
      </c>
      <c r="B15" s="9"/>
      <c r="C15" s="9"/>
      <c r="D15" s="9"/>
      <c r="E15" s="301">
        <f>SUM(E7:E14)</f>
        <v>5889.5514399999993</v>
      </c>
      <c r="F15" s="314"/>
      <c r="G15" s="13"/>
      <c r="H15" s="13"/>
      <c r="I15" s="13"/>
      <c r="J15" s="283">
        <f>SUM(J7:J14)</f>
        <v>4309.1000000000004</v>
      </c>
      <c r="K15" s="308"/>
      <c r="L15" s="13"/>
      <c r="M15" s="13"/>
      <c r="N15" s="13"/>
      <c r="O15" s="301">
        <f>SUM(O7:O14)</f>
        <v>3796.817098</v>
      </c>
      <c r="P15" s="314"/>
      <c r="Q15" s="13"/>
      <c r="R15" s="13"/>
      <c r="S15" s="13">
        <f>SUM(S7:S14)</f>
        <v>5611.8730000000005</v>
      </c>
      <c r="T15" s="13"/>
      <c r="U15" s="13"/>
      <c r="V15" s="13"/>
      <c r="W15" s="283">
        <f>SUM(W7:W14)</f>
        <v>8063.4507200000007</v>
      </c>
      <c r="X15" s="253"/>
      <c r="Y15" s="8"/>
      <c r="Z15" s="8"/>
      <c r="AA15" s="8"/>
      <c r="AB15" s="9">
        <f>SUM(AB7:AB14)</f>
        <v>6597.94</v>
      </c>
      <c r="AC15" s="711"/>
      <c r="AD15" s="711"/>
      <c r="AE15" s="711"/>
      <c r="AF15" s="711"/>
      <c r="AG15" s="4"/>
      <c r="AH15" s="4"/>
      <c r="AI15" s="4"/>
      <c r="AJ15" s="7"/>
      <c r="AK15" s="10">
        <f>SUM(AK7:AK14)</f>
        <v>5539.7237462399989</v>
      </c>
      <c r="AL15" s="13"/>
      <c r="AM15" s="13"/>
      <c r="AN15" s="134"/>
      <c r="AO15" s="13">
        <f>SUM(AO7:AO14)</f>
        <v>3669.9999999999995</v>
      </c>
      <c r="AP15" s="25"/>
      <c r="AQ15" s="641"/>
      <c r="AR15" s="641"/>
      <c r="AS15" s="641"/>
      <c r="AT15" s="641"/>
      <c r="AU15" s="641"/>
      <c r="AV15" s="641"/>
      <c r="AW15" s="641"/>
      <c r="AX15" s="641"/>
      <c r="AY15" s="641"/>
      <c r="AZ15" s="641"/>
      <c r="BA15" s="641"/>
      <c r="BB15" s="641"/>
      <c r="BC15" s="641"/>
      <c r="BD15" s="641"/>
      <c r="BE15" s="641"/>
      <c r="BF15" s="641"/>
      <c r="BG15" s="641"/>
      <c r="BH15" s="641"/>
      <c r="BI15" s="13"/>
      <c r="BJ15" s="13"/>
      <c r="BK15" s="134"/>
      <c r="BL15" s="283">
        <f>SUM(BL7:BL14)</f>
        <v>4408.4000000000005</v>
      </c>
    </row>
    <row r="16" spans="1:64" ht="25.5" hidden="1" x14ac:dyDescent="0.2">
      <c r="A16" s="284" t="s">
        <v>128</v>
      </c>
      <c r="B16" s="22"/>
      <c r="C16" s="22">
        <f>объемы!C9</f>
        <v>8838.9000000000015</v>
      </c>
      <c r="D16" s="22"/>
      <c r="E16" s="244"/>
      <c r="F16" s="315"/>
      <c r="G16" s="18">
        <f>объемы!E9</f>
        <v>8862.9</v>
      </c>
      <c r="H16" s="58"/>
      <c r="I16" s="58"/>
      <c r="J16" s="246"/>
      <c r="K16" s="309"/>
      <c r="L16" s="59">
        <f>объемы!G9</f>
        <v>8372.9</v>
      </c>
      <c r="M16" s="58"/>
      <c r="N16" s="58"/>
      <c r="O16" s="244"/>
      <c r="P16" s="315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6"/>
      <c r="X16" s="254"/>
      <c r="Y16" s="22">
        <f>объемы!M9</f>
        <v>6659.1</v>
      </c>
      <c r="Z16" s="22"/>
      <c r="AA16" s="60"/>
      <c r="AB16" s="22"/>
      <c r="AC16" s="716"/>
      <c r="AD16" s="716"/>
      <c r="AE16" s="716"/>
      <c r="AF16" s="716"/>
      <c r="AG16" s="2"/>
      <c r="AH16" s="22">
        <f>объемы!AZ9</f>
        <v>6381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641"/>
      <c r="AR16" s="641"/>
      <c r="AS16" s="641"/>
      <c r="AT16" s="641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58"/>
      <c r="BJ16" s="58">
        <v>7835.7</v>
      </c>
      <c r="BK16" s="133"/>
      <c r="BL16" s="246"/>
    </row>
    <row r="17" spans="1:64" hidden="1" x14ac:dyDescent="0.2">
      <c r="A17" s="253"/>
      <c r="B17" s="9"/>
      <c r="C17" s="9"/>
      <c r="D17" s="9"/>
      <c r="E17" s="301"/>
      <c r="F17" s="314"/>
      <c r="G17" s="13"/>
      <c r="H17" s="13"/>
      <c r="I17" s="13"/>
      <c r="J17" s="283"/>
      <c r="K17" s="308"/>
      <c r="L17" s="13"/>
      <c r="M17" s="13"/>
      <c r="N17" s="13"/>
      <c r="O17" s="301"/>
      <c r="P17" s="314"/>
      <c r="Q17" s="13"/>
      <c r="R17" s="13"/>
      <c r="S17" s="13"/>
      <c r="T17" s="13"/>
      <c r="U17" s="13"/>
      <c r="V17" s="13"/>
      <c r="W17" s="283"/>
      <c r="X17" s="253"/>
      <c r="Y17" s="8"/>
      <c r="Z17" s="8"/>
      <c r="AA17" s="8"/>
      <c r="AB17" s="9"/>
      <c r="AC17" s="711"/>
      <c r="AD17" s="711"/>
      <c r="AE17" s="711"/>
      <c r="AF17" s="711"/>
      <c r="AG17" s="4"/>
      <c r="AH17" s="4"/>
      <c r="AI17" s="4"/>
      <c r="AJ17" s="7"/>
      <c r="AK17" s="10"/>
      <c r="AL17" s="165"/>
      <c r="AM17" s="165"/>
      <c r="AN17" s="171"/>
      <c r="AO17" s="165"/>
      <c r="AP17" s="25"/>
      <c r="AQ17" s="641"/>
      <c r="AR17" s="641"/>
      <c r="AS17" s="641"/>
      <c r="AT17" s="641"/>
      <c r="AU17" s="641"/>
      <c r="AV17" s="641"/>
      <c r="AW17" s="641"/>
      <c r="AX17" s="641"/>
      <c r="AY17" s="641"/>
      <c r="AZ17" s="641"/>
      <c r="BA17" s="641"/>
      <c r="BB17" s="641"/>
      <c r="BC17" s="641"/>
      <c r="BD17" s="641"/>
      <c r="BE17" s="641"/>
      <c r="BF17" s="641"/>
      <c r="BG17" s="641"/>
      <c r="BH17" s="641"/>
      <c r="BI17" s="165"/>
      <c r="BJ17" s="165"/>
      <c r="BK17" s="171"/>
      <c r="BL17" s="285"/>
    </row>
    <row r="18" spans="1:64" hidden="1" x14ac:dyDescent="0.2">
      <c r="A18" s="252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6">
        <v>88.7</v>
      </c>
      <c r="K18" s="310"/>
      <c r="L18" s="24"/>
      <c r="M18" s="24"/>
      <c r="N18" s="24"/>
      <c r="O18" s="318"/>
      <c r="P18" s="319"/>
      <c r="Q18" s="24"/>
      <c r="R18" s="24"/>
      <c r="S18" s="24"/>
      <c r="T18" s="24"/>
      <c r="U18" s="24"/>
      <c r="V18" s="24"/>
      <c r="W18" s="316"/>
      <c r="X18" s="252"/>
      <c r="Y18" s="3"/>
      <c r="Z18" s="3"/>
      <c r="AA18" s="3"/>
      <c r="AB18" s="4"/>
      <c r="AC18" s="662"/>
      <c r="AD18" s="662"/>
      <c r="AE18" s="662"/>
      <c r="AF18" s="662"/>
      <c r="AG18" s="4"/>
      <c r="AH18" s="4"/>
      <c r="AI18" s="4"/>
      <c r="AJ18" s="7"/>
      <c r="AK18" s="4"/>
      <c r="AL18" s="166"/>
      <c r="AM18" s="166"/>
      <c r="AN18" s="172"/>
      <c r="AO18" s="166"/>
      <c r="AP18" s="25"/>
      <c r="AQ18" s="641"/>
      <c r="AR18" s="641"/>
      <c r="AS18" s="641"/>
      <c r="AT18" s="641"/>
      <c r="AU18" s="641"/>
      <c r="AV18" s="641"/>
      <c r="AW18" s="641"/>
      <c r="AX18" s="641"/>
      <c r="AY18" s="641"/>
      <c r="AZ18" s="641"/>
      <c r="BA18" s="641"/>
      <c r="BB18" s="641"/>
      <c r="BC18" s="641"/>
      <c r="BD18" s="641"/>
      <c r="BE18" s="641"/>
      <c r="BF18" s="641"/>
      <c r="BG18" s="641"/>
      <c r="BH18" s="641"/>
      <c r="BI18" s="166"/>
      <c r="BJ18" s="166"/>
      <c r="BK18" s="172"/>
      <c r="BL18" s="286"/>
    </row>
    <row r="19" spans="1:64" hidden="1" x14ac:dyDescent="0.2">
      <c r="A19" s="252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6">
        <v>387.5</v>
      </c>
      <c r="K19" s="310">
        <v>8.76</v>
      </c>
      <c r="L19" s="24">
        <f>K19/L23*1000</f>
        <v>2.1401348578129578</v>
      </c>
      <c r="M19" s="24">
        <v>52540</v>
      </c>
      <c r="N19" s="24"/>
      <c r="O19" s="318">
        <f>K19*M19/1000</f>
        <v>460.25039999999996</v>
      </c>
      <c r="P19" s="319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6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660"/>
      <c r="AD19" s="660"/>
      <c r="AE19" s="660"/>
      <c r="AF19" s="660"/>
      <c r="AG19" s="12">
        <f>AH19*AH23/1000</f>
        <v>9.0806799999999992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>
        <f>AG19*AI19/1000</f>
        <v>535.8400299839999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70">
        <f>(BJ19+U19+L19+G19)/4</f>
        <v>2.1283056727349026</v>
      </c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  <c r="BE19" s="719"/>
      <c r="BF19" s="719"/>
      <c r="BG19" s="719"/>
      <c r="BH19" s="719"/>
      <c r="BI19" s="24">
        <v>9.75</v>
      </c>
      <c r="BJ19" s="24">
        <f>BI19/BJ23*1000</f>
        <v>2.5649794801641588</v>
      </c>
      <c r="BK19" s="135">
        <v>47190</v>
      </c>
      <c r="BL19" s="316">
        <v>460.1</v>
      </c>
    </row>
    <row r="20" spans="1:64" hidden="1" x14ac:dyDescent="0.2">
      <c r="A20" s="287" t="s">
        <v>111</v>
      </c>
      <c r="B20" s="3"/>
      <c r="C20" s="3"/>
      <c r="D20" s="3"/>
      <c r="E20" s="79"/>
      <c r="F20" s="44"/>
      <c r="G20" s="4"/>
      <c r="H20" s="4"/>
      <c r="I20" s="3"/>
      <c r="J20" s="316"/>
      <c r="K20" s="310"/>
      <c r="L20" s="24"/>
      <c r="M20" s="24"/>
      <c r="N20" s="24"/>
      <c r="O20" s="318"/>
      <c r="P20" s="319"/>
      <c r="Q20" s="24"/>
      <c r="R20" s="24"/>
      <c r="S20" s="24"/>
      <c r="T20" s="24">
        <v>0.17</v>
      </c>
      <c r="U20" s="24"/>
      <c r="V20" s="24"/>
      <c r="W20" s="316">
        <v>2.2000000000000002</v>
      </c>
      <c r="X20" s="252"/>
      <c r="Y20" s="3"/>
      <c r="Z20" s="3"/>
      <c r="AA20" s="3"/>
      <c r="AB20" s="4"/>
      <c r="AC20" s="662"/>
      <c r="AD20" s="662"/>
      <c r="AE20" s="662"/>
      <c r="AF20" s="662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41"/>
      <c r="AR20" s="641"/>
      <c r="AS20" s="641"/>
      <c r="AT20" s="641"/>
      <c r="AU20" s="641"/>
      <c r="AV20" s="641"/>
      <c r="AW20" s="641"/>
      <c r="AX20" s="641"/>
      <c r="AY20" s="641"/>
      <c r="AZ20" s="641"/>
      <c r="BA20" s="641"/>
      <c r="BB20" s="641"/>
      <c r="BC20" s="641"/>
      <c r="BD20" s="641"/>
      <c r="BE20" s="641"/>
      <c r="BF20" s="641"/>
      <c r="BG20" s="641"/>
      <c r="BH20" s="641"/>
      <c r="BI20" s="24"/>
      <c r="BJ20" s="24"/>
      <c r="BK20" s="24"/>
      <c r="BL20" s="316"/>
    </row>
    <row r="21" spans="1:64" hidden="1" x14ac:dyDescent="0.2">
      <c r="A21" s="288" t="s">
        <v>108</v>
      </c>
      <c r="B21" s="3"/>
      <c r="C21" s="3"/>
      <c r="D21" s="3"/>
      <c r="E21" s="79"/>
      <c r="F21" s="252"/>
      <c r="G21" s="3"/>
      <c r="H21" s="3"/>
      <c r="I21" s="3"/>
      <c r="J21" s="316">
        <v>2.9</v>
      </c>
      <c r="K21" s="310"/>
      <c r="L21" s="24"/>
      <c r="M21" s="24"/>
      <c r="N21" s="24"/>
      <c r="O21" s="318">
        <v>7.2</v>
      </c>
      <c r="P21" s="319"/>
      <c r="Q21" s="24"/>
      <c r="R21" s="24"/>
      <c r="S21" s="24"/>
      <c r="T21" s="24"/>
      <c r="U21" s="24"/>
      <c r="V21" s="24"/>
      <c r="W21" s="316"/>
      <c r="X21" s="252"/>
      <c r="Y21" s="3"/>
      <c r="Z21" s="3"/>
      <c r="AA21" s="3"/>
      <c r="AB21" s="4">
        <v>8.3000000000000007</v>
      </c>
      <c r="AC21" s="662"/>
      <c r="AD21" s="662"/>
      <c r="AE21" s="662"/>
      <c r="AF21" s="662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641"/>
      <c r="BE21" s="641"/>
      <c r="BF21" s="641"/>
      <c r="BG21" s="641"/>
      <c r="BH21" s="641"/>
      <c r="BI21" s="24"/>
      <c r="BJ21" s="24"/>
      <c r="BK21" s="24"/>
      <c r="BL21" s="316">
        <v>0.9</v>
      </c>
    </row>
    <row r="22" spans="1:64" hidden="1" x14ac:dyDescent="0.2">
      <c r="A22" s="253" t="s">
        <v>94</v>
      </c>
      <c r="B22" s="8"/>
      <c r="C22" s="8"/>
      <c r="D22" s="8"/>
      <c r="E22" s="302">
        <f>стоки!C19</f>
        <v>481.5</v>
      </c>
      <c r="F22" s="253"/>
      <c r="G22" s="8"/>
      <c r="H22" s="8"/>
      <c r="I22" s="8"/>
      <c r="J22" s="283">
        <f>SUM(J18:J21)</f>
        <v>479.09999999999997</v>
      </c>
      <c r="K22" s="308"/>
      <c r="L22" s="13"/>
      <c r="M22" s="13"/>
      <c r="N22" s="13"/>
      <c r="O22" s="301">
        <f>SUM(O18:O21)</f>
        <v>467.45039999999995</v>
      </c>
      <c r="P22" s="314"/>
      <c r="Q22" s="13"/>
      <c r="R22" s="13"/>
      <c r="S22" s="13"/>
      <c r="T22" s="13"/>
      <c r="U22" s="13"/>
      <c r="V22" s="13"/>
      <c r="W22" s="283">
        <f>W19+W20+W21</f>
        <v>320.7</v>
      </c>
      <c r="X22" s="253"/>
      <c r="Y22" s="8"/>
      <c r="Z22" s="8"/>
      <c r="AA22" s="8"/>
      <c r="AB22" s="10">
        <f>SUM(AB18:AB21)</f>
        <v>591.21199999999999</v>
      </c>
      <c r="AC22" s="712"/>
      <c r="AD22" s="712"/>
      <c r="AE22" s="712"/>
      <c r="AF22" s="712"/>
      <c r="AG22" s="4"/>
      <c r="AH22" s="4"/>
      <c r="AI22" s="4"/>
      <c r="AJ22" s="4"/>
      <c r="AK22" s="10">
        <f>SUM(AK19:AK21)</f>
        <v>544.14002998399985</v>
      </c>
      <c r="AL22" s="13"/>
      <c r="AM22" s="13"/>
      <c r="AN22" s="13"/>
      <c r="AO22" s="10">
        <f>SUM(AO19:AO21)</f>
        <v>221.5</v>
      </c>
      <c r="AP22" s="25"/>
      <c r="AQ22" s="641"/>
      <c r="AR22" s="641"/>
      <c r="AS22" s="641"/>
      <c r="AT22" s="641"/>
      <c r="AU22" s="641"/>
      <c r="AV22" s="641"/>
      <c r="AW22" s="641"/>
      <c r="AX22" s="641"/>
      <c r="AY22" s="641"/>
      <c r="AZ22" s="641"/>
      <c r="BA22" s="641"/>
      <c r="BB22" s="641"/>
      <c r="BC22" s="641"/>
      <c r="BD22" s="641"/>
      <c r="BE22" s="641"/>
      <c r="BF22" s="641"/>
      <c r="BG22" s="641"/>
      <c r="BH22" s="641"/>
      <c r="BI22" s="13"/>
      <c r="BJ22" s="13"/>
      <c r="BK22" s="13"/>
      <c r="BL22" s="289">
        <f>SUM(BL19:BL21)</f>
        <v>461</v>
      </c>
    </row>
    <row r="23" spans="1:64" ht="26.25" hidden="1" thickBot="1" x14ac:dyDescent="0.25">
      <c r="A23" s="290" t="s">
        <v>129</v>
      </c>
      <c r="B23" s="291"/>
      <c r="C23" s="256">
        <f>объемы!C21</f>
        <v>4585.8</v>
      </c>
      <c r="D23" s="256"/>
      <c r="E23" s="303"/>
      <c r="F23" s="255"/>
      <c r="G23" s="256">
        <f>объемы!E21</f>
        <v>4415.2</v>
      </c>
      <c r="H23" s="256"/>
      <c r="I23" s="256"/>
      <c r="J23" s="317"/>
      <c r="K23" s="311"/>
      <c r="L23" s="256">
        <f>объемы!G21</f>
        <v>4093.2000000000003</v>
      </c>
      <c r="M23" s="256"/>
      <c r="N23" s="256"/>
      <c r="O23" s="303"/>
      <c r="P23" s="255"/>
      <c r="Q23" s="256" t="e">
        <f>объемы!#REF!</f>
        <v>#REF!</v>
      </c>
      <c r="R23" s="256"/>
      <c r="S23" s="256"/>
      <c r="T23" s="256">
        <v>4006.6</v>
      </c>
      <c r="U23" s="256"/>
      <c r="V23" s="256"/>
      <c r="W23" s="317"/>
      <c r="X23" s="255"/>
      <c r="Y23" s="256">
        <f>объемы!M21</f>
        <v>3695</v>
      </c>
      <c r="Z23" s="256"/>
      <c r="AA23" s="256"/>
      <c r="AB23" s="256"/>
      <c r="AC23" s="256"/>
      <c r="AD23" s="256"/>
      <c r="AE23" s="256"/>
      <c r="AF23" s="256"/>
      <c r="AG23" s="256"/>
      <c r="AH23" s="256">
        <f>объемы!AZ21</f>
        <v>4018</v>
      </c>
      <c r="AI23" s="256"/>
      <c r="AJ23" s="256"/>
      <c r="AK23" s="256"/>
      <c r="AL23" s="256"/>
      <c r="AM23" s="256">
        <v>2894.1</v>
      </c>
      <c r="AN23" s="256"/>
      <c r="AO23" s="256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56"/>
      <c r="BJ23" s="256">
        <f>3801.2</f>
        <v>3801.2</v>
      </c>
      <c r="BK23" s="256"/>
      <c r="BL23" s="317"/>
    </row>
    <row r="24" spans="1:64" hidden="1" x14ac:dyDescent="0.2"/>
    <row r="25" spans="1:64" ht="13.5" thickBot="1" x14ac:dyDescent="0.25">
      <c r="AH25" t="s">
        <v>247</v>
      </c>
    </row>
    <row r="26" spans="1:64" ht="21" thickBot="1" x14ac:dyDescent="0.25">
      <c r="A26" s="4135" t="s">
        <v>536</v>
      </c>
      <c r="B26" s="414"/>
      <c r="C26" s="414"/>
      <c r="D26" s="414"/>
      <c r="E26" s="414"/>
      <c r="F26" s="4145" t="s">
        <v>235</v>
      </c>
      <c r="G26" s="4146"/>
      <c r="H26" s="4146"/>
      <c r="I26" s="4146"/>
      <c r="J26" s="4146"/>
      <c r="K26" s="4146"/>
      <c r="L26" s="4146"/>
      <c r="M26" s="4146"/>
      <c r="N26" s="4146"/>
      <c r="O26" s="4146"/>
      <c r="P26" s="4146"/>
      <c r="Q26" s="4146"/>
      <c r="R26" s="4146"/>
      <c r="S26" s="4146"/>
      <c r="T26" s="4146"/>
      <c r="U26" s="4146"/>
      <c r="V26" s="4146"/>
      <c r="W26" s="4146"/>
      <c r="X26" s="4146"/>
      <c r="Y26" s="4146"/>
      <c r="Z26" s="4146"/>
      <c r="AA26" s="4146"/>
      <c r="AB26" s="4146"/>
      <c r="AC26" s="4146"/>
      <c r="AD26" s="4146"/>
      <c r="AE26" s="4146"/>
      <c r="AF26" s="4146"/>
      <c r="AG26" s="4149" t="s">
        <v>373</v>
      </c>
      <c r="AH26" s="4150"/>
      <c r="AI26" s="4150"/>
      <c r="AJ26" s="4150"/>
      <c r="AK26" s="4150"/>
      <c r="AL26" s="4150"/>
      <c r="AM26" s="4150"/>
      <c r="AN26" s="4150"/>
      <c r="AO26" s="4150"/>
      <c r="AP26" s="4150"/>
      <c r="AQ26" s="4150"/>
      <c r="AR26" s="4150"/>
      <c r="AS26" s="4150"/>
      <c r="AT26" s="4150"/>
      <c r="AU26" s="4150"/>
      <c r="AV26" s="4150"/>
      <c r="AW26" s="4150"/>
      <c r="AX26" s="4150"/>
      <c r="AY26" s="4148" t="s">
        <v>829</v>
      </c>
      <c r="AZ26" s="4148"/>
      <c r="BA26" s="4148"/>
      <c r="BB26" s="4148"/>
      <c r="BC26" s="4148"/>
      <c r="BD26" s="4148"/>
      <c r="BE26" s="4148"/>
      <c r="BF26" s="4148"/>
      <c r="BG26" s="4148"/>
      <c r="BH26" s="4148"/>
      <c r="BI26" s="4127" t="s">
        <v>243</v>
      </c>
      <c r="BJ26" s="4128"/>
      <c r="BK26" s="4129"/>
      <c r="BL26" s="28"/>
    </row>
    <row r="27" spans="1:64" ht="16.5" thickBot="1" x14ac:dyDescent="0.25">
      <c r="A27" s="4136"/>
      <c r="B27" s="415"/>
      <c r="C27" s="415"/>
      <c r="D27" s="415"/>
      <c r="E27" s="415"/>
      <c r="F27" s="4133" t="s">
        <v>164</v>
      </c>
      <c r="G27" s="4134"/>
      <c r="H27" s="4134"/>
      <c r="I27" s="4134"/>
      <c r="J27" s="4134"/>
      <c r="K27" s="4124" t="s">
        <v>123</v>
      </c>
      <c r="L27" s="4096"/>
      <c r="M27" s="4096"/>
      <c r="N27" s="4096"/>
      <c r="O27" s="4096"/>
      <c r="P27" s="4095" t="s">
        <v>385</v>
      </c>
      <c r="Q27" s="4096"/>
      <c r="R27" s="4096"/>
      <c r="S27" s="4096"/>
      <c r="T27" s="4095" t="s">
        <v>387</v>
      </c>
      <c r="U27" s="4096"/>
      <c r="V27" s="4096"/>
      <c r="W27" s="4096"/>
      <c r="X27" s="4096"/>
      <c r="Y27" s="4096"/>
      <c r="Z27" s="741"/>
      <c r="AA27" s="741"/>
      <c r="AB27" s="741"/>
      <c r="AC27" s="4095" t="s">
        <v>828</v>
      </c>
      <c r="AD27" s="4147"/>
      <c r="AE27" s="4147"/>
      <c r="AF27" s="4147"/>
      <c r="AG27" s="4123" t="s">
        <v>388</v>
      </c>
      <c r="AH27" s="4096"/>
      <c r="AI27" s="4096"/>
      <c r="AJ27" s="4096"/>
      <c r="AK27" s="4096"/>
      <c r="AL27" s="4124" t="s">
        <v>123</v>
      </c>
      <c r="AM27" s="4096"/>
      <c r="AN27" s="4096"/>
      <c r="AO27" s="4096"/>
      <c r="AP27" s="4096"/>
      <c r="AQ27" s="4095" t="s">
        <v>385</v>
      </c>
      <c r="AR27" s="4096"/>
      <c r="AS27" s="4096"/>
      <c r="AT27" s="4096"/>
      <c r="AU27" s="4095" t="s">
        <v>387</v>
      </c>
      <c r="AV27" s="4096"/>
      <c r="AW27" s="4096"/>
      <c r="AX27" s="4096"/>
      <c r="AY27" s="4123" t="s">
        <v>388</v>
      </c>
      <c r="AZ27" s="4096"/>
      <c r="BA27" s="4096"/>
      <c r="BB27" s="4096"/>
      <c r="BC27" s="4096"/>
      <c r="BD27" s="4124" t="s">
        <v>123</v>
      </c>
      <c r="BE27" s="4096"/>
      <c r="BF27" s="4096"/>
      <c r="BG27" s="4096"/>
      <c r="BH27" s="4096"/>
      <c r="BI27" s="4117"/>
      <c r="BJ27" s="4118"/>
      <c r="BK27" s="4119"/>
      <c r="BL27" s="28"/>
    </row>
    <row r="28" spans="1:64" ht="63.75" thickBot="1" x14ac:dyDescent="0.25">
      <c r="A28" s="4137"/>
      <c r="B28" s="416"/>
      <c r="C28" s="416"/>
      <c r="D28" s="416"/>
      <c r="E28" s="416"/>
      <c r="F28" s="742" t="s">
        <v>100</v>
      </c>
      <c r="G28" s="742" t="s">
        <v>121</v>
      </c>
      <c r="H28" s="742" t="s">
        <v>101</v>
      </c>
      <c r="I28" s="742" t="s">
        <v>163</v>
      </c>
      <c r="J28" s="742" t="s">
        <v>102</v>
      </c>
      <c r="K28" s="743" t="s">
        <v>100</v>
      </c>
      <c r="L28" s="743" t="s">
        <v>127</v>
      </c>
      <c r="M28" s="743" t="s">
        <v>101</v>
      </c>
      <c r="N28" s="743" t="s">
        <v>119</v>
      </c>
      <c r="O28" s="743" t="s">
        <v>102</v>
      </c>
      <c r="P28" s="744" t="s">
        <v>100</v>
      </c>
      <c r="Q28" s="744" t="s">
        <v>127</v>
      </c>
      <c r="R28" s="744" t="s">
        <v>101</v>
      </c>
      <c r="S28" s="744" t="s">
        <v>102</v>
      </c>
      <c r="T28" s="744" t="s">
        <v>100</v>
      </c>
      <c r="U28" s="744" t="s">
        <v>127</v>
      </c>
      <c r="V28" s="744" t="s">
        <v>101</v>
      </c>
      <c r="W28" s="744" t="s">
        <v>102</v>
      </c>
      <c r="X28" s="744" t="s">
        <v>119</v>
      </c>
      <c r="Y28" s="744" t="s">
        <v>102</v>
      </c>
      <c r="Z28" s="745"/>
      <c r="AA28" s="745"/>
      <c r="AB28" s="745"/>
      <c r="AC28" s="744" t="s">
        <v>100</v>
      </c>
      <c r="AD28" s="744" t="s">
        <v>127</v>
      </c>
      <c r="AE28" s="744" t="s">
        <v>101</v>
      </c>
      <c r="AF28" s="744" t="s">
        <v>102</v>
      </c>
      <c r="AG28" s="746" t="s">
        <v>100</v>
      </c>
      <c r="AH28" s="746" t="s">
        <v>121</v>
      </c>
      <c r="AI28" s="746" t="s">
        <v>101</v>
      </c>
      <c r="AJ28" s="746" t="s">
        <v>832</v>
      </c>
      <c r="AK28" s="746" t="s">
        <v>102</v>
      </c>
      <c r="AL28" s="743" t="s">
        <v>100</v>
      </c>
      <c r="AM28" s="743" t="s">
        <v>127</v>
      </c>
      <c r="AN28" s="743" t="s">
        <v>101</v>
      </c>
      <c r="AO28" s="743" t="s">
        <v>832</v>
      </c>
      <c r="AP28" s="743" t="s">
        <v>102</v>
      </c>
      <c r="AQ28" s="744" t="s">
        <v>100</v>
      </c>
      <c r="AR28" s="744" t="s">
        <v>127</v>
      </c>
      <c r="AS28" s="744" t="s">
        <v>101</v>
      </c>
      <c r="AT28" s="744" t="s">
        <v>102</v>
      </c>
      <c r="AU28" s="744" t="s">
        <v>100</v>
      </c>
      <c r="AV28" s="744" t="s">
        <v>127</v>
      </c>
      <c r="AW28" s="744" t="s">
        <v>101</v>
      </c>
      <c r="AX28" s="744" t="s">
        <v>102</v>
      </c>
      <c r="AY28" s="746" t="s">
        <v>100</v>
      </c>
      <c r="AZ28" s="746" t="s">
        <v>127</v>
      </c>
      <c r="BA28" s="746" t="s">
        <v>101</v>
      </c>
      <c r="BB28" s="746" t="s">
        <v>832</v>
      </c>
      <c r="BC28" s="746" t="s">
        <v>102</v>
      </c>
      <c r="BD28" s="743" t="s">
        <v>100</v>
      </c>
      <c r="BE28" s="743" t="s">
        <v>127</v>
      </c>
      <c r="BF28" s="743" t="s">
        <v>101</v>
      </c>
      <c r="BG28" s="743" t="s">
        <v>832</v>
      </c>
      <c r="BH28" s="743" t="s">
        <v>102</v>
      </c>
      <c r="BI28" s="4130"/>
      <c r="BJ28" s="4131"/>
      <c r="BK28" s="4132"/>
      <c r="BL28" s="320"/>
    </row>
    <row r="29" spans="1:64" ht="36.75" customHeight="1" x14ac:dyDescent="0.2">
      <c r="A29" s="720" t="s">
        <v>103</v>
      </c>
      <c r="B29" s="417"/>
      <c r="C29" s="417"/>
      <c r="D29" s="417"/>
      <c r="E29" s="417"/>
      <c r="F29" s="726">
        <v>5.6</v>
      </c>
      <c r="G29" s="727">
        <f>F29/G40*1000</f>
        <v>1.1258544431041415</v>
      </c>
      <c r="H29" s="728">
        <v>83160</v>
      </c>
      <c r="I29" s="729" t="e">
        <f>H29/#REF!*100</f>
        <v>#REF!</v>
      </c>
      <c r="J29" s="730">
        <f>F29*H29/1000</f>
        <v>465.69599999999997</v>
      </c>
      <c r="K29" s="418">
        <f>L40*L29/1000</f>
        <v>34.224646132362579</v>
      </c>
      <c r="L29" s="419">
        <f>AP7+AP8</f>
        <v>6.2087877413688242</v>
      </c>
      <c r="M29" s="420">
        <f>AN7*1.021</f>
        <v>73512</v>
      </c>
      <c r="N29" s="421" t="e">
        <f>M29/#REF!*100</f>
        <v>#REF!</v>
      </c>
      <c r="O29" s="422">
        <f>K29*M29/1000</f>
        <v>2515.922186482238</v>
      </c>
      <c r="P29" s="423">
        <v>1.34</v>
      </c>
      <c r="Q29" s="424">
        <f>P29/Q40*1000</f>
        <v>0.38357764257597332</v>
      </c>
      <c r="R29" s="425">
        <v>72500</v>
      </c>
      <c r="S29" s="426">
        <f>R29*P29/1000</f>
        <v>97.15</v>
      </c>
      <c r="T29" s="423">
        <v>2.74</v>
      </c>
      <c r="U29" s="424">
        <f>SUM(T29/U40*1000)</f>
        <v>0.53121364870104693</v>
      </c>
      <c r="V29" s="425">
        <v>72760</v>
      </c>
      <c r="W29" s="426">
        <f>V29*T29/1000</f>
        <v>199.36240000000004</v>
      </c>
      <c r="X29" s="427" t="e">
        <f>W29/#REF!*100</f>
        <v>#REF!</v>
      </c>
      <c r="Y29" s="426">
        <f>U29*W29/1000</f>
        <v>0.10590402791779761</v>
      </c>
      <c r="Z29" s="417"/>
      <c r="AA29" s="417"/>
      <c r="AB29" s="417"/>
      <c r="AC29" s="423">
        <v>3.03</v>
      </c>
      <c r="AD29" s="424">
        <f>SUM(AC29/AD40*1000)</f>
        <v>0.43734934541937898</v>
      </c>
      <c r="AE29" s="425">
        <v>72706.600000000006</v>
      </c>
      <c r="AF29" s="426">
        <f>AE29*AC29/1000</f>
        <v>220.30099799999999</v>
      </c>
      <c r="AG29" s="428">
        <v>39.299999999999997</v>
      </c>
      <c r="AH29" s="429">
        <f>AG29/AH40*1000</f>
        <v>6.8301499852274103</v>
      </c>
      <c r="AI29" s="430">
        <f>AK29/AG29*1000</f>
        <v>74870.229007633592</v>
      </c>
      <c r="AJ29" s="431">
        <f>AI29/BK7</f>
        <v>1.0399381720065624</v>
      </c>
      <c r="AK29" s="432">
        <v>2942.4</v>
      </c>
      <c r="AL29" s="433">
        <f>AM40*AM29/1000</f>
        <v>34.52949005697117</v>
      </c>
      <c r="AM29" s="419">
        <f>AP8+AP7</f>
        <v>6.2087877413688242</v>
      </c>
      <c r="AN29" s="420">
        <f>M53</f>
        <v>77526</v>
      </c>
      <c r="AO29" s="434">
        <f>AN29/BK7</f>
        <v>1.0768265008880993</v>
      </c>
      <c r="AP29" s="422">
        <f>AL29*AN29/1000</f>
        <v>2676.9332461567469</v>
      </c>
      <c r="AQ29" s="423">
        <v>0.61499999999999999</v>
      </c>
      <c r="AR29" s="424">
        <f>AQ29/AR40*1000</f>
        <v>0.18261233627987492</v>
      </c>
      <c r="AS29" s="425">
        <v>73000</v>
      </c>
      <c r="AT29" s="426">
        <f t="shared" ref="AT29:AT35" si="3">AS29*AQ29/1000</f>
        <v>44.895000000000003</v>
      </c>
      <c r="AU29" s="423"/>
      <c r="AV29" s="424" t="e">
        <f>SUM(AU29/AV40*1000)</f>
        <v>#DIV/0!</v>
      </c>
      <c r="AW29" s="425"/>
      <c r="AX29" s="426">
        <f>AW29*AU29/1000</f>
        <v>0</v>
      </c>
      <c r="AY29" s="428">
        <v>3.03</v>
      </c>
      <c r="AZ29" s="429">
        <f>AY29/AZ40*1000</f>
        <v>0.52623014110783073</v>
      </c>
      <c r="BA29" s="430">
        <f>SUM(AN29*1.1)</f>
        <v>85278.6</v>
      </c>
      <c r="BB29" s="431">
        <f>BA29/AN29</f>
        <v>1.1000000000000001</v>
      </c>
      <c r="BC29" s="432">
        <f>SUM(AY29*BA29)/1000</f>
        <v>258.394158</v>
      </c>
      <c r="BD29" s="433">
        <f t="shared" ref="BD29:BD35" si="4">BE29*$BE$40/1000</f>
        <v>2.4729118387436664</v>
      </c>
      <c r="BE29" s="419">
        <f>AD29</f>
        <v>0.43734934541937898</v>
      </c>
      <c r="BF29" s="420">
        <f>M62</f>
        <v>79862</v>
      </c>
      <c r="BG29" s="434">
        <f>BF29/AN29</f>
        <v>1.0301318267419963</v>
      </c>
      <c r="BH29" s="422">
        <f>BD29*BF29/1000</f>
        <v>197.4916852657467</v>
      </c>
      <c r="BI29" s="4114" t="s">
        <v>901</v>
      </c>
      <c r="BJ29" s="4115"/>
      <c r="BK29" s="4116"/>
      <c r="BL29" s="321"/>
    </row>
    <row r="30" spans="1:64" ht="36.75" customHeight="1" x14ac:dyDescent="0.2">
      <c r="A30" s="721" t="s">
        <v>104</v>
      </c>
      <c r="B30" s="417"/>
      <c r="C30" s="417"/>
      <c r="D30" s="417"/>
      <c r="E30" s="417"/>
      <c r="F30" s="731">
        <v>36.299999999999997</v>
      </c>
      <c r="G30" s="732"/>
      <c r="H30" s="733">
        <v>64900</v>
      </c>
      <c r="I30" s="734"/>
      <c r="J30" s="735">
        <f>F30*H30/1000</f>
        <v>2355.87</v>
      </c>
      <c r="K30" s="409"/>
      <c r="L30" s="435"/>
      <c r="M30" s="410"/>
      <c r="N30" s="436"/>
      <c r="O30" s="437"/>
      <c r="P30" s="438">
        <v>20.079999999999998</v>
      </c>
      <c r="Q30" s="439">
        <f>SUM(P30/Q40*1000)</f>
        <v>5.7479395991981663</v>
      </c>
      <c r="R30" s="412">
        <v>50390</v>
      </c>
      <c r="S30" s="440">
        <f>R30*P30/1000</f>
        <v>1011.8312</v>
      </c>
      <c r="T30" s="438">
        <v>32.03</v>
      </c>
      <c r="U30" s="439">
        <f>SUM(T30/U40*1000)</f>
        <v>6.2097712291585889</v>
      </c>
      <c r="V30" s="412">
        <v>51390</v>
      </c>
      <c r="W30" s="440">
        <f>V30*T30/1000</f>
        <v>1646.0217</v>
      </c>
      <c r="X30" s="441"/>
      <c r="Y30" s="440"/>
      <c r="Z30" s="417"/>
      <c r="AA30" s="417"/>
      <c r="AB30" s="417"/>
      <c r="AC30" s="438">
        <v>36.33</v>
      </c>
      <c r="AD30" s="439">
        <f>SUM(AC30/AD40*1000)</f>
        <v>5.2438619534937425</v>
      </c>
      <c r="AE30" s="412">
        <v>51794.06</v>
      </c>
      <c r="AF30" s="440">
        <f>AE30*AC30/1000</f>
        <v>1881.6781997999999</v>
      </c>
      <c r="AG30" s="442">
        <v>0</v>
      </c>
      <c r="AH30" s="443"/>
      <c r="AI30" s="444">
        <v>0</v>
      </c>
      <c r="AJ30" s="445"/>
      <c r="AK30" s="446">
        <v>0</v>
      </c>
      <c r="AL30" s="413"/>
      <c r="AM30" s="435"/>
      <c r="AN30" s="410"/>
      <c r="AO30" s="447">
        <f>AN30/BK8</f>
        <v>0</v>
      </c>
      <c r="AP30" s="437"/>
      <c r="AQ30" s="438">
        <v>11.95</v>
      </c>
      <c r="AR30" s="439">
        <f>SUM(AQ30/AR40*1000)</f>
        <v>3.5483210057634231</v>
      </c>
      <c r="AS30" s="412">
        <v>52763.7</v>
      </c>
      <c r="AT30" s="440">
        <f t="shared" si="3"/>
        <v>630.52621499999998</v>
      </c>
      <c r="AU30" s="438"/>
      <c r="AV30" s="439" t="e">
        <f>SUM(AU30/AV40*1000)</f>
        <v>#DIV/0!</v>
      </c>
      <c r="AW30" s="412"/>
      <c r="AX30" s="440">
        <f>AW30*AU30/1000</f>
        <v>0</v>
      </c>
      <c r="AY30" s="442">
        <v>36.33</v>
      </c>
      <c r="AZ30" s="443">
        <f>AY30/AZ40*1000</f>
        <v>6.30955149387706</v>
      </c>
      <c r="BA30" s="430">
        <f>SUM(BA42)</f>
        <v>56285.032518000007</v>
      </c>
      <c r="BB30" s="431" t="e">
        <f t="shared" ref="BB30:BB33" si="5">BA30/AN30</f>
        <v>#DIV/0!</v>
      </c>
      <c r="BC30" s="432">
        <f t="shared" ref="BC30:BC33" si="6">SUM(AY30*BA30)/1000</f>
        <v>2044.8352313789401</v>
      </c>
      <c r="BD30" s="433">
        <f t="shared" si="4"/>
        <v>29.650457789292879</v>
      </c>
      <c r="BE30" s="419">
        <f t="shared" ref="BE30:BE33" si="7">AD30</f>
        <v>5.2438619534937425</v>
      </c>
      <c r="BF30" s="410">
        <f>M61</f>
        <v>43766.393750000003</v>
      </c>
      <c r="BG30" s="434" t="e">
        <f t="shared" ref="BG30:BG33" si="8">BF30/AN30</f>
        <v>#DIV/0!</v>
      </c>
      <c r="BH30" s="422">
        <f t="shared" ref="BH30:BH35" si="9">BD30*BF30/1000</f>
        <v>1297.6936104739466</v>
      </c>
      <c r="BI30" s="4117"/>
      <c r="BJ30" s="4118"/>
      <c r="BK30" s="4119"/>
      <c r="BL30" s="321"/>
    </row>
    <row r="31" spans="1:64" ht="36.75" customHeight="1" x14ac:dyDescent="0.2">
      <c r="A31" s="721" t="s">
        <v>109</v>
      </c>
      <c r="B31" s="417"/>
      <c r="C31" s="417"/>
      <c r="D31" s="417"/>
      <c r="E31" s="417"/>
      <c r="F31" s="731">
        <v>314.7</v>
      </c>
      <c r="G31" s="732">
        <f>F31/G40*1000</f>
        <v>63.268998793727384</v>
      </c>
      <c r="H31" s="733">
        <v>6949</v>
      </c>
      <c r="I31" s="734" t="e">
        <f>H31/#REF!*100</f>
        <v>#REF!</v>
      </c>
      <c r="J31" s="735">
        <f>F31*H31/1000</f>
        <v>2186.8502999999996</v>
      </c>
      <c r="K31" s="448">
        <f>L40*L31/1000</f>
        <v>169.38168450309814</v>
      </c>
      <c r="L31" s="449">
        <v>30.728000000000002</v>
      </c>
      <c r="M31" s="410">
        <f>AN9*1.021</f>
        <v>6720.2337158285518</v>
      </c>
      <c r="N31" s="436" t="e">
        <f>M31/#REF!*100</f>
        <v>#REF!</v>
      </c>
      <c r="O31" s="437">
        <f>K31*M31/1000</f>
        <v>1138.2845070415547</v>
      </c>
      <c r="P31" s="438">
        <v>135.9</v>
      </c>
      <c r="Q31" s="439">
        <f>SUM(P31/Q40*1000)</f>
        <v>38.901643004533412</v>
      </c>
      <c r="R31" s="412">
        <v>4730</v>
      </c>
      <c r="S31" s="440">
        <f>R31*P31/1000</f>
        <v>642.80700000000002</v>
      </c>
      <c r="T31" s="438">
        <v>235.8</v>
      </c>
      <c r="U31" s="439">
        <f>SUM(T31/U40*1000)</f>
        <v>45.715393563396667</v>
      </c>
      <c r="V31" s="412">
        <v>4550</v>
      </c>
      <c r="W31" s="440">
        <f>V31*T31/1000</f>
        <v>1072.8900000000001</v>
      </c>
      <c r="X31" s="441" t="e">
        <f>W31/#REF!*100</f>
        <v>#REF!</v>
      </c>
      <c r="Y31" s="440">
        <f>U31*W31/1000</f>
        <v>49.04758860023265</v>
      </c>
      <c r="Z31" s="417"/>
      <c r="AA31" s="417"/>
      <c r="AB31" s="417"/>
      <c r="AC31" s="438">
        <v>255.75</v>
      </c>
      <c r="AD31" s="439">
        <f>SUM(AC31/AD40*1000)</f>
        <v>36.91488286831887</v>
      </c>
      <c r="AE31" s="412">
        <v>4532.9799999999996</v>
      </c>
      <c r="AF31" s="440">
        <f>AE31*AC31/1000</f>
        <v>1159.3096349999998</v>
      </c>
      <c r="AG31" s="442">
        <v>199.3</v>
      </c>
      <c r="AH31" s="443">
        <f>AG31/AH40*1000</f>
        <v>34.637376388188883</v>
      </c>
      <c r="AI31" s="444">
        <f>AK31/AG31*1000</f>
        <v>5302.0572002007029</v>
      </c>
      <c r="AJ31" s="450">
        <f>AI31/BK9</f>
        <v>0.80712337949975654</v>
      </c>
      <c r="AK31" s="446">
        <v>1056.7</v>
      </c>
      <c r="AL31" s="451">
        <f>AM40*AM31/1000</f>
        <v>170.04957617552117</v>
      </c>
      <c r="AM31" s="449">
        <f>AP9</f>
        <v>30.576811943690544</v>
      </c>
      <c r="AN31" s="410">
        <f>M56</f>
        <v>4544.99892</v>
      </c>
      <c r="AO31" s="447">
        <f>AN31/BK9</f>
        <v>0.69187765231847775</v>
      </c>
      <c r="AP31" s="437">
        <f>AL31*AN31/1000</f>
        <v>772.87514006420145</v>
      </c>
      <c r="AQ31" s="438">
        <v>99.2</v>
      </c>
      <c r="AR31" s="439">
        <f>SUM(AQ31/AR40*1000)</f>
        <v>29.455518307257876</v>
      </c>
      <c r="AS31" s="412">
        <v>10766.24</v>
      </c>
      <c r="AT31" s="440">
        <f t="shared" si="3"/>
        <v>1068.0110079999999</v>
      </c>
      <c r="AU31" s="438"/>
      <c r="AV31" s="439" t="e">
        <f>SUM(AU31/AV40*1000)</f>
        <v>#DIV/0!</v>
      </c>
      <c r="AW31" s="412"/>
      <c r="AX31" s="440">
        <f>AW31*AU31/1000</f>
        <v>0</v>
      </c>
      <c r="AY31" s="442">
        <v>255.75</v>
      </c>
      <c r="AZ31" s="443">
        <f>AY31/AZ40*1000</f>
        <v>44.416950029151067</v>
      </c>
      <c r="BA31" s="430">
        <v>17200</v>
      </c>
      <c r="BB31" s="431">
        <f t="shared" si="5"/>
        <v>3.7843793371022407</v>
      </c>
      <c r="BC31" s="432">
        <f t="shared" si="6"/>
        <v>4398.8999999999996</v>
      </c>
      <c r="BD31" s="433">
        <f t="shared" si="4"/>
        <v>208.72844975534414</v>
      </c>
      <c r="BE31" s="419">
        <f t="shared" si="7"/>
        <v>36.91488286831887</v>
      </c>
      <c r="BF31" s="410">
        <f>M65</f>
        <v>16644.07</v>
      </c>
      <c r="BG31" s="434">
        <f t="shared" si="8"/>
        <v>3.6620624763536798</v>
      </c>
      <c r="BH31" s="422">
        <f t="shared" si="9"/>
        <v>3474.0909287194308</v>
      </c>
      <c r="BI31" s="4117"/>
      <c r="BJ31" s="4118"/>
      <c r="BK31" s="4119"/>
      <c r="BL31" s="321"/>
    </row>
    <row r="32" spans="1:64" ht="36.75" customHeight="1" x14ac:dyDescent="0.2">
      <c r="A32" s="721" t="s">
        <v>105</v>
      </c>
      <c r="B32" s="417"/>
      <c r="C32" s="417"/>
      <c r="D32" s="417"/>
      <c r="E32" s="417"/>
      <c r="F32" s="731">
        <v>21.7</v>
      </c>
      <c r="G32" s="732">
        <f>F32/G40*1000</f>
        <v>4.3626859670285478</v>
      </c>
      <c r="H32" s="733">
        <v>36346</v>
      </c>
      <c r="I32" s="734" t="e">
        <f>H32/#REF!*100</f>
        <v>#REF!</v>
      </c>
      <c r="J32" s="735">
        <f>F32*H32/1000</f>
        <v>788.70819999999992</v>
      </c>
      <c r="K32" s="448">
        <f>L32*L40/1000</f>
        <v>9.624460464150264</v>
      </c>
      <c r="L32" s="449">
        <v>1.746</v>
      </c>
      <c r="M32" s="410">
        <f>AN10*1.021</f>
        <v>33239.788029925192</v>
      </c>
      <c r="N32" s="436" t="e">
        <f>M32/#REF!*100</f>
        <v>#REF!</v>
      </c>
      <c r="O32" s="437">
        <f>K32*M32/1000</f>
        <v>319.91502573075019</v>
      </c>
      <c r="P32" s="438">
        <v>8.52</v>
      </c>
      <c r="Q32" s="439">
        <f>SUM(P32/Q40*1000)</f>
        <v>2.4388668020502178</v>
      </c>
      <c r="R32" s="412">
        <v>19830</v>
      </c>
      <c r="S32" s="440">
        <f>R32*P32/1000</f>
        <v>168.95160000000001</v>
      </c>
      <c r="T32" s="438">
        <v>14.53</v>
      </c>
      <c r="U32" s="439">
        <f>SUM(T32/U40*1000)</f>
        <v>2.8169833268708802</v>
      </c>
      <c r="V32" s="412">
        <v>20380</v>
      </c>
      <c r="W32" s="440">
        <f>V32*T32/1000</f>
        <v>296.12139999999994</v>
      </c>
      <c r="X32" s="441" t="e">
        <f>W32/#REF!*100</f>
        <v>#REF!</v>
      </c>
      <c r="Y32" s="440">
        <f>U32*W32/1000</f>
        <v>0.83416904652966251</v>
      </c>
      <c r="Z32" s="417"/>
      <c r="AA32" s="417"/>
      <c r="AB32" s="417"/>
      <c r="AC32" s="438">
        <v>16.03</v>
      </c>
      <c r="AD32" s="439">
        <f>SUM(AC32/AD40*1000)</f>
        <v>2.3137656789018632</v>
      </c>
      <c r="AE32" s="412">
        <v>20247.09</v>
      </c>
      <c r="AF32" s="440">
        <f>AE32*AC32/1000</f>
        <v>324.56085270000005</v>
      </c>
      <c r="AG32" s="442">
        <v>14.8</v>
      </c>
      <c r="AH32" s="443">
        <f>AG32/AH40*1000</f>
        <v>2.5721684422739362</v>
      </c>
      <c r="AI32" s="444">
        <f>AK32/AG32*1000</f>
        <v>34141.891891891886</v>
      </c>
      <c r="AJ32" s="452">
        <f>AI32/BK10</f>
        <v>1.4353660542565037</v>
      </c>
      <c r="AK32" s="446">
        <v>505.3</v>
      </c>
      <c r="AL32" s="451">
        <f>AM32*AM40/1000</f>
        <v>10.220892000847977</v>
      </c>
      <c r="AM32" s="449">
        <f>AP10</f>
        <v>1.8378304705924196</v>
      </c>
      <c r="AN32" s="410">
        <f>M55</f>
        <v>25193.815380000004</v>
      </c>
      <c r="AO32" s="447">
        <f>AN32/BK10</f>
        <v>1.0591781934101125</v>
      </c>
      <c r="AP32" s="437">
        <f>AL32*AN32/1000</f>
        <v>257.50326608828277</v>
      </c>
      <c r="AQ32" s="438">
        <v>3.51</v>
      </c>
      <c r="AR32" s="439">
        <f>SUM(AQ32/AR40*1000)</f>
        <v>1.0422265046217252</v>
      </c>
      <c r="AS32" s="412">
        <v>20196.64</v>
      </c>
      <c r="AT32" s="440">
        <f t="shared" si="3"/>
        <v>70.890206399999997</v>
      </c>
      <c r="AU32" s="438"/>
      <c r="AV32" s="439" t="e">
        <f>SUM(AU32/AV40*1000)</f>
        <v>#DIV/0!</v>
      </c>
      <c r="AW32" s="412"/>
      <c r="AX32" s="440">
        <f>AW32*AU32/1000</f>
        <v>0</v>
      </c>
      <c r="AY32" s="442">
        <v>16.03</v>
      </c>
      <c r="AZ32" s="443">
        <f>AY32/AZ40*1000</f>
        <v>2.7839832217684917</v>
      </c>
      <c r="BA32" s="430">
        <f>SUM(AN32*1.1)</f>
        <v>27713.196918000005</v>
      </c>
      <c r="BB32" s="431">
        <f t="shared" si="5"/>
        <v>1.1000000000000001</v>
      </c>
      <c r="BC32" s="432">
        <f t="shared" si="6"/>
        <v>444.24254659554015</v>
      </c>
      <c r="BD32" s="433">
        <f t="shared" si="4"/>
        <v>13.082764612231347</v>
      </c>
      <c r="BE32" s="419">
        <f t="shared" si="7"/>
        <v>2.3137656789018632</v>
      </c>
      <c r="BF32" s="410">
        <f>M64</f>
        <v>28813.56</v>
      </c>
      <c r="BG32" s="434">
        <f t="shared" si="8"/>
        <v>1.1436759206735123</v>
      </c>
      <c r="BH32" s="422">
        <f t="shared" si="9"/>
        <v>376.96102312040466</v>
      </c>
      <c r="BI32" s="4117"/>
      <c r="BJ32" s="4118"/>
      <c r="BK32" s="4119"/>
      <c r="BL32" s="321"/>
    </row>
    <row r="33" spans="1:66" ht="36.75" customHeight="1" x14ac:dyDescent="0.2">
      <c r="A33" s="721" t="s">
        <v>106</v>
      </c>
      <c r="B33" s="417"/>
      <c r="C33" s="417"/>
      <c r="D33" s="417"/>
      <c r="E33" s="417"/>
      <c r="F33" s="731">
        <v>15.6</v>
      </c>
      <c r="G33" s="732">
        <f>F33/G40*1000</f>
        <v>3.1363088057901085</v>
      </c>
      <c r="H33" s="733">
        <v>20952</v>
      </c>
      <c r="I33" s="734" t="e">
        <f>H33/#REF!*100</f>
        <v>#REF!</v>
      </c>
      <c r="J33" s="735">
        <f>F33*H33/1000</f>
        <v>326.85120000000001</v>
      </c>
      <c r="K33" s="448">
        <f>L40*L33/1000</f>
        <v>8.3015105721708462</v>
      </c>
      <c r="L33" s="449">
        <v>1.506</v>
      </c>
      <c r="M33" s="410">
        <f>AN11*1.021</f>
        <v>20298.424001867847</v>
      </c>
      <c r="N33" s="436" t="e">
        <f>M33/#REF!*100</f>
        <v>#REF!</v>
      </c>
      <c r="O33" s="437">
        <f>K33*M33/1000</f>
        <v>168.50758144991241</v>
      </c>
      <c r="P33" s="438">
        <v>12.34</v>
      </c>
      <c r="Q33" s="439">
        <f>SUM(P33/Q40*1000)</f>
        <v>3.5323493353638136</v>
      </c>
      <c r="R33" s="412">
        <v>16360</v>
      </c>
      <c r="S33" s="440">
        <f>R33*P33/1000</f>
        <v>201.88239999999999</v>
      </c>
      <c r="T33" s="438">
        <v>16.59</v>
      </c>
      <c r="U33" s="439">
        <f>SUM(T33/U40*1000)</f>
        <v>3.2163629313687476</v>
      </c>
      <c r="V33" s="412">
        <v>16560</v>
      </c>
      <c r="W33" s="440">
        <f>V33*T33/1000</f>
        <v>274.73040000000003</v>
      </c>
      <c r="X33" s="441" t="e">
        <f>W33/#REF!*100</f>
        <v>#REF!</v>
      </c>
      <c r="Y33" s="440">
        <f>U33*W33/1000</f>
        <v>0.88363267468010875</v>
      </c>
      <c r="Z33" s="417"/>
      <c r="AA33" s="417"/>
      <c r="AB33" s="417"/>
      <c r="AC33" s="438">
        <v>20.84</v>
      </c>
      <c r="AD33" s="439">
        <f>SUM(AC33/AD40*1000)</f>
        <v>3.0080397222903827</v>
      </c>
      <c r="AE33" s="412">
        <v>13955.84</v>
      </c>
      <c r="AF33" s="440">
        <f>AE33*AC33/1000</f>
        <v>290.8397056</v>
      </c>
      <c r="AG33" s="442">
        <v>10.6</v>
      </c>
      <c r="AH33" s="443">
        <f>AG33/AH40*1000</f>
        <v>1.8422287491961975</v>
      </c>
      <c r="AI33" s="444">
        <f>AK33/AG33*1000</f>
        <v>25518.867924528302</v>
      </c>
      <c r="AJ33" s="452">
        <f>AI33/BK11</f>
        <v>1.2773139047078612</v>
      </c>
      <c r="AK33" s="446">
        <v>270.5</v>
      </c>
      <c r="AL33" s="451">
        <f>AM40*AM33/1000</f>
        <v>8.0173859812274717</v>
      </c>
      <c r="AM33" s="449">
        <f>AP11</f>
        <v>1.4416154920312136</v>
      </c>
      <c r="AN33" s="410">
        <f>M54</f>
        <v>17586.72</v>
      </c>
      <c r="AO33" s="447">
        <f>AN33/BK11</f>
        <v>0.8802805069817401</v>
      </c>
      <c r="AP33" s="437">
        <f>AL33*AN33/1000</f>
        <v>140.99952238377278</v>
      </c>
      <c r="AQ33" s="438">
        <v>7.6</v>
      </c>
      <c r="AR33" s="439">
        <f>SUM(AQ33/AR40*1000)</f>
        <v>2.2566727735399179</v>
      </c>
      <c r="AS33" s="412">
        <v>18606.32</v>
      </c>
      <c r="AT33" s="440">
        <f t="shared" si="3"/>
        <v>141.40803199999999</v>
      </c>
      <c r="AU33" s="438"/>
      <c r="AV33" s="439" t="e">
        <f>SUM(AU33/AV40*1000)</f>
        <v>#DIV/0!</v>
      </c>
      <c r="AW33" s="412"/>
      <c r="AX33" s="440">
        <f>AW33*AU33/1000</f>
        <v>0</v>
      </c>
      <c r="AY33" s="442">
        <v>20.84</v>
      </c>
      <c r="AZ33" s="443">
        <f>AY33/AZ40*1000</f>
        <v>3.6193518616129352</v>
      </c>
      <c r="BA33" s="430">
        <f>SUM(AN33*1.1)</f>
        <v>19345.392000000003</v>
      </c>
      <c r="BB33" s="431">
        <f t="shared" si="5"/>
        <v>1.1000000000000001</v>
      </c>
      <c r="BC33" s="432">
        <f t="shared" si="6"/>
        <v>403.15796928000009</v>
      </c>
      <c r="BD33" s="433">
        <f t="shared" si="4"/>
        <v>17.008410138421791</v>
      </c>
      <c r="BE33" s="419">
        <f t="shared" si="7"/>
        <v>3.0080397222903827</v>
      </c>
      <c r="BF33" s="410">
        <f>M63</f>
        <v>14833.89608</v>
      </c>
      <c r="BG33" s="434">
        <f t="shared" si="8"/>
        <v>0.84347144208812097</v>
      </c>
      <c r="BH33" s="422">
        <f t="shared" si="9"/>
        <v>252.30098847936728</v>
      </c>
      <c r="BI33" s="4117"/>
      <c r="BJ33" s="4118"/>
      <c r="BK33" s="4119"/>
      <c r="BL33" s="321"/>
    </row>
    <row r="34" spans="1:66" ht="36.75" customHeight="1" x14ac:dyDescent="0.2">
      <c r="A34" s="1283" t="s">
        <v>902</v>
      </c>
      <c r="B34" s="417"/>
      <c r="C34" s="417"/>
      <c r="D34" s="417"/>
      <c r="E34" s="417"/>
      <c r="F34" s="1284"/>
      <c r="G34" s="1285"/>
      <c r="H34" s="1286"/>
      <c r="I34" s="1287"/>
      <c r="J34" s="1288"/>
      <c r="K34" s="1289"/>
      <c r="L34" s="1290"/>
      <c r="M34" s="1291"/>
      <c r="N34" s="1292"/>
      <c r="O34" s="1293"/>
      <c r="P34" s="1294"/>
      <c r="Q34" s="1295"/>
      <c r="R34" s="1296"/>
      <c r="S34" s="1297"/>
      <c r="T34" s="1294"/>
      <c r="U34" s="1295"/>
      <c r="V34" s="1296"/>
      <c r="W34" s="1297"/>
      <c r="X34" s="1298"/>
      <c r="Y34" s="1297"/>
      <c r="Z34" s="417"/>
      <c r="AA34" s="417"/>
      <c r="AB34" s="417"/>
      <c r="AC34" s="1294"/>
      <c r="AD34" s="1295"/>
      <c r="AE34" s="1296"/>
      <c r="AF34" s="1297"/>
      <c r="AG34" s="1299"/>
      <c r="AH34" s="1300"/>
      <c r="AI34" s="1301"/>
      <c r="AJ34" s="1302"/>
      <c r="AK34" s="1303"/>
      <c r="AL34" s="1304"/>
      <c r="AM34" s="1290"/>
      <c r="AN34" s="1291"/>
      <c r="AO34" s="1305"/>
      <c r="AP34" s="1293"/>
      <c r="AQ34" s="1294">
        <v>0.185</v>
      </c>
      <c r="AR34" s="1295">
        <v>5.4899999999999997E-2</v>
      </c>
      <c r="AS34" s="1296">
        <v>283530</v>
      </c>
      <c r="AT34" s="1297">
        <f t="shared" si="3"/>
        <v>52.453050000000005</v>
      </c>
      <c r="AU34" s="1294"/>
      <c r="AV34" s="1295"/>
      <c r="AW34" s="1296"/>
      <c r="AX34" s="1297"/>
      <c r="AY34" s="1299"/>
      <c r="AZ34" s="1300"/>
      <c r="BA34" s="430"/>
      <c r="BB34" s="431"/>
      <c r="BC34" s="432"/>
      <c r="BD34" s="433">
        <f t="shared" si="4"/>
        <v>0.31042200329999997</v>
      </c>
      <c r="BE34" s="419">
        <f>AR34</f>
        <v>5.4899999999999997E-2</v>
      </c>
      <c r="BF34" s="1291">
        <f>AS34*1.088</f>
        <v>308480.64000000001</v>
      </c>
      <c r="BG34" s="434"/>
      <c r="BH34" s="422">
        <f t="shared" si="9"/>
        <v>95.759178248066107</v>
      </c>
      <c r="BI34" s="4117"/>
      <c r="BJ34" s="4118"/>
      <c r="BK34" s="4119"/>
      <c r="BL34" s="321"/>
    </row>
    <row r="35" spans="1:66" ht="36.75" customHeight="1" x14ac:dyDescent="0.2">
      <c r="A35" s="1283" t="s">
        <v>903</v>
      </c>
      <c r="B35" s="417"/>
      <c r="C35" s="417"/>
      <c r="D35" s="417"/>
      <c r="E35" s="417"/>
      <c r="F35" s="1284"/>
      <c r="G35" s="1285"/>
      <c r="H35" s="1286"/>
      <c r="I35" s="1287"/>
      <c r="J35" s="1288"/>
      <c r="K35" s="1289"/>
      <c r="L35" s="1290"/>
      <c r="M35" s="1291"/>
      <c r="N35" s="1292"/>
      <c r="O35" s="1293"/>
      <c r="P35" s="1294"/>
      <c r="Q35" s="1295"/>
      <c r="R35" s="1296"/>
      <c r="S35" s="1297"/>
      <c r="T35" s="1294"/>
      <c r="U35" s="1295"/>
      <c r="V35" s="1296"/>
      <c r="W35" s="1297"/>
      <c r="X35" s="1298"/>
      <c r="Y35" s="1297"/>
      <c r="Z35" s="417"/>
      <c r="AA35" s="417"/>
      <c r="AB35" s="417"/>
      <c r="AC35" s="1294"/>
      <c r="AD35" s="1295"/>
      <c r="AE35" s="1296"/>
      <c r="AF35" s="1297"/>
      <c r="AG35" s="1299"/>
      <c r="AH35" s="1300"/>
      <c r="AI35" s="1301"/>
      <c r="AJ35" s="1302"/>
      <c r="AK35" s="1303"/>
      <c r="AL35" s="1304"/>
      <c r="AM35" s="1290"/>
      <c r="AN35" s="1291"/>
      <c r="AO35" s="1305"/>
      <c r="AP35" s="1293"/>
      <c r="AQ35" s="1294">
        <v>39</v>
      </c>
      <c r="AR35" s="1295">
        <v>11.580299999999999</v>
      </c>
      <c r="AS35" s="1296">
        <v>14901.63</v>
      </c>
      <c r="AT35" s="1297">
        <f t="shared" si="3"/>
        <v>581.16356999999994</v>
      </c>
      <c r="AU35" s="1294"/>
      <c r="AV35" s="1295"/>
      <c r="AW35" s="1296"/>
      <c r="AX35" s="1297"/>
      <c r="AY35" s="1299"/>
      <c r="AZ35" s="1300"/>
      <c r="BA35" s="430"/>
      <c r="BB35" s="431"/>
      <c r="BC35" s="432"/>
      <c r="BD35" s="433">
        <f t="shared" si="4"/>
        <v>65.47868715509999</v>
      </c>
      <c r="BE35" s="419">
        <f>AR35</f>
        <v>11.580299999999999</v>
      </c>
      <c r="BF35" s="1291">
        <f>AS35*1.088</f>
        <v>16212.97344</v>
      </c>
      <c r="BG35" s="434"/>
      <c r="BH35" s="422">
        <f t="shared" si="9"/>
        <v>1061.6042157317054</v>
      </c>
      <c r="BI35" s="4117"/>
      <c r="BJ35" s="4118"/>
      <c r="BK35" s="4119"/>
      <c r="BL35" s="321"/>
    </row>
    <row r="36" spans="1:66" ht="36.75" customHeight="1" x14ac:dyDescent="0.2">
      <c r="A36" s="721" t="s">
        <v>107</v>
      </c>
      <c r="B36" s="417"/>
      <c r="C36" s="417"/>
      <c r="D36" s="417"/>
      <c r="E36" s="417"/>
      <c r="F36" s="736"/>
      <c r="G36" s="737"/>
      <c r="H36" s="737"/>
      <c r="I36" s="737"/>
      <c r="J36" s="738"/>
      <c r="K36" s="409"/>
      <c r="L36" s="409"/>
      <c r="M36" s="410"/>
      <c r="N36" s="436"/>
      <c r="O36" s="437"/>
      <c r="P36" s="411"/>
      <c r="Q36" s="411"/>
      <c r="R36" s="412"/>
      <c r="S36" s="440"/>
      <c r="T36" s="411"/>
      <c r="U36" s="411"/>
      <c r="V36" s="412"/>
      <c r="W36" s="440"/>
      <c r="X36" s="441"/>
      <c r="Y36" s="440"/>
      <c r="Z36" s="417"/>
      <c r="AA36" s="417"/>
      <c r="AB36" s="417"/>
      <c r="AC36" s="411"/>
      <c r="AD36" s="411"/>
      <c r="AE36" s="412"/>
      <c r="AF36" s="440"/>
      <c r="AG36" s="453"/>
      <c r="AH36" s="454"/>
      <c r="AI36" s="454"/>
      <c r="AJ36" s="454"/>
      <c r="AK36" s="455"/>
      <c r="AL36" s="413"/>
      <c r="AM36" s="409"/>
      <c r="AN36" s="410"/>
      <c r="AO36" s="436"/>
      <c r="AP36" s="437"/>
      <c r="AQ36" s="411"/>
      <c r="AR36" s="411"/>
      <c r="AS36" s="412"/>
      <c r="AT36" s="440"/>
      <c r="AU36" s="411"/>
      <c r="AV36" s="411"/>
      <c r="AW36" s="412"/>
      <c r="AX36" s="440"/>
      <c r="AY36" s="453"/>
      <c r="AZ36" s="454"/>
      <c r="BA36" s="454"/>
      <c r="BB36" s="454"/>
      <c r="BC36" s="455"/>
      <c r="BD36" s="413"/>
      <c r="BE36" s="409"/>
      <c r="BF36" s="410"/>
      <c r="BG36" s="436"/>
      <c r="BH36" s="437"/>
      <c r="BI36" s="4117"/>
      <c r="BJ36" s="4118"/>
      <c r="BK36" s="4119"/>
      <c r="BL36" s="321"/>
    </row>
    <row r="37" spans="1:66" ht="36.75" customHeight="1" x14ac:dyDescent="0.2">
      <c r="A37" s="721" t="s">
        <v>227</v>
      </c>
      <c r="B37" s="417"/>
      <c r="C37" s="417"/>
      <c r="D37" s="417"/>
      <c r="E37" s="417"/>
      <c r="F37" s="736"/>
      <c r="G37" s="737"/>
      <c r="H37" s="737"/>
      <c r="I37" s="737"/>
      <c r="J37" s="738"/>
      <c r="K37" s="409"/>
      <c r="L37" s="409"/>
      <c r="M37" s="410"/>
      <c r="N37" s="436"/>
      <c r="O37" s="437"/>
      <c r="P37" s="411"/>
      <c r="Q37" s="411"/>
      <c r="R37" s="412"/>
      <c r="S37" s="440"/>
      <c r="T37" s="411"/>
      <c r="U37" s="411"/>
      <c r="V37" s="412"/>
      <c r="W37" s="440"/>
      <c r="X37" s="441"/>
      <c r="Y37" s="440"/>
      <c r="Z37" s="417"/>
      <c r="AA37" s="417"/>
      <c r="AB37" s="417"/>
      <c r="AC37" s="411"/>
      <c r="AD37" s="411"/>
      <c r="AE37" s="412"/>
      <c r="AF37" s="440"/>
      <c r="AG37" s="453"/>
      <c r="AH37" s="454"/>
      <c r="AI37" s="454"/>
      <c r="AJ37" s="454"/>
      <c r="AK37" s="455"/>
      <c r="AL37" s="413"/>
      <c r="AM37" s="409"/>
      <c r="AN37" s="410"/>
      <c r="AO37" s="436"/>
      <c r="AP37" s="437"/>
      <c r="AQ37" s="411"/>
      <c r="AR37" s="411"/>
      <c r="AS37" s="412"/>
      <c r="AT37" s="440"/>
      <c r="AU37" s="411"/>
      <c r="AV37" s="411"/>
      <c r="AW37" s="412"/>
      <c r="AX37" s="440"/>
      <c r="AY37" s="453"/>
      <c r="AZ37" s="454"/>
      <c r="BA37" s="454"/>
      <c r="BB37" s="454"/>
      <c r="BC37" s="455"/>
      <c r="BD37" s="413"/>
      <c r="BE37" s="409"/>
      <c r="BF37" s="410"/>
      <c r="BG37" s="436"/>
      <c r="BH37" s="437"/>
      <c r="BI37" s="4117"/>
      <c r="BJ37" s="4118"/>
      <c r="BK37" s="4119"/>
      <c r="BL37" s="321"/>
    </row>
    <row r="38" spans="1:66" ht="36.75" customHeight="1" thickBot="1" x14ac:dyDescent="0.25">
      <c r="A38" s="747" t="s">
        <v>108</v>
      </c>
      <c r="B38" s="417"/>
      <c r="C38" s="417"/>
      <c r="D38" s="417"/>
      <c r="E38" s="417"/>
      <c r="F38" s="748"/>
      <c r="G38" s="749"/>
      <c r="H38" s="749"/>
      <c r="I38" s="749"/>
      <c r="J38" s="750">
        <v>110.4</v>
      </c>
      <c r="K38" s="751"/>
      <c r="L38" s="751"/>
      <c r="M38" s="752"/>
      <c r="N38" s="753"/>
      <c r="O38" s="754">
        <v>110.4</v>
      </c>
      <c r="P38" s="755"/>
      <c r="Q38" s="755"/>
      <c r="R38" s="756"/>
      <c r="S38" s="757">
        <v>63.405999999999999</v>
      </c>
      <c r="T38" s="755"/>
      <c r="U38" s="755"/>
      <c r="V38" s="756"/>
      <c r="W38" s="757">
        <v>120.18</v>
      </c>
      <c r="X38" s="758"/>
      <c r="Y38" s="757">
        <v>110.4</v>
      </c>
      <c r="Z38" s="417"/>
      <c r="AA38" s="417"/>
      <c r="AB38" s="417"/>
      <c r="AC38" s="755"/>
      <c r="AD38" s="755"/>
      <c r="AE38" s="756"/>
      <c r="AF38" s="757">
        <v>210.65</v>
      </c>
      <c r="AG38" s="759"/>
      <c r="AH38" s="760"/>
      <c r="AI38" s="760"/>
      <c r="AJ38" s="760"/>
      <c r="AK38" s="761">
        <v>120</v>
      </c>
      <c r="AL38" s="762"/>
      <c r="AM38" s="751"/>
      <c r="AN38" s="752"/>
      <c r="AO38" s="753"/>
      <c r="AP38" s="754">
        <f>AK38</f>
        <v>120</v>
      </c>
      <c r="AQ38" s="755"/>
      <c r="AR38" s="755"/>
      <c r="AS38" s="756"/>
      <c r="AT38" s="757">
        <v>50.73</v>
      </c>
      <c r="AU38" s="755"/>
      <c r="AV38" s="755"/>
      <c r="AW38" s="756"/>
      <c r="AX38" s="757"/>
      <c r="AY38" s="759"/>
      <c r="AZ38" s="760"/>
      <c r="BA38" s="760"/>
      <c r="BB38" s="760"/>
      <c r="BC38" s="761">
        <f>SUM(AF38*1.1)</f>
        <v>231.71500000000003</v>
      </c>
      <c r="BD38" s="762"/>
      <c r="BE38" s="751"/>
      <c r="BF38" s="752"/>
      <c r="BG38" s="753"/>
      <c r="BH38" s="754">
        <f>AF38*1.062*1.026</f>
        <v>229.52676780000002</v>
      </c>
      <c r="BI38" s="4117"/>
      <c r="BJ38" s="4118"/>
      <c r="BK38" s="4119"/>
      <c r="BL38" s="321"/>
    </row>
    <row r="39" spans="1:66" ht="36.75" customHeight="1" thickBot="1" x14ac:dyDescent="0.25">
      <c r="A39" s="766" t="s">
        <v>90</v>
      </c>
      <c r="B39" s="767"/>
      <c r="C39" s="767"/>
      <c r="D39" s="767"/>
      <c r="E39" s="767"/>
      <c r="F39" s="768"/>
      <c r="G39" s="769"/>
      <c r="H39" s="769"/>
      <c r="I39" s="769"/>
      <c r="J39" s="770">
        <f>SUM(J29:J38)</f>
        <v>6234.3756999999987</v>
      </c>
      <c r="K39" s="771"/>
      <c r="L39" s="771"/>
      <c r="M39" s="772"/>
      <c r="N39" s="773"/>
      <c r="O39" s="774">
        <f>SUM(O29:O38)</f>
        <v>4253.0293007044547</v>
      </c>
      <c r="P39" s="775"/>
      <c r="Q39" s="775"/>
      <c r="R39" s="776"/>
      <c r="S39" s="777">
        <f>SUM(S29:S38)</f>
        <v>2186.0282000000002</v>
      </c>
      <c r="T39" s="775"/>
      <c r="U39" s="775"/>
      <c r="V39" s="776"/>
      <c r="W39" s="777">
        <f>SUM(W29:W38)</f>
        <v>3609.3058999999998</v>
      </c>
      <c r="X39" s="778"/>
      <c r="Y39" s="777">
        <f>SUM(Y29:Y38)</f>
        <v>161.27129434936023</v>
      </c>
      <c r="Z39" s="767"/>
      <c r="AA39" s="767"/>
      <c r="AB39" s="767"/>
      <c r="AC39" s="775"/>
      <c r="AD39" s="775"/>
      <c r="AE39" s="776"/>
      <c r="AF39" s="777">
        <f>SUM(AF29:AF38)</f>
        <v>4087.3393910999998</v>
      </c>
      <c r="AG39" s="779"/>
      <c r="AH39" s="780"/>
      <c r="AI39" s="780"/>
      <c r="AJ39" s="780"/>
      <c r="AK39" s="781">
        <f>SUM(AK29:AK38)</f>
        <v>4894.9000000000005</v>
      </c>
      <c r="AL39" s="782"/>
      <c r="AM39" s="771"/>
      <c r="AN39" s="772"/>
      <c r="AO39" s="773"/>
      <c r="AP39" s="774">
        <f>SUM(AP29:AP38)</f>
        <v>3968.311174693004</v>
      </c>
      <c r="AQ39" s="775"/>
      <c r="AR39" s="775"/>
      <c r="AS39" s="776"/>
      <c r="AT39" s="777">
        <f>SUM(AT29:AT38)</f>
        <v>2640.0770813999998</v>
      </c>
      <c r="AU39" s="775"/>
      <c r="AV39" s="775"/>
      <c r="AW39" s="776"/>
      <c r="AX39" s="777">
        <f>SUM(AX29:AX38)</f>
        <v>0</v>
      </c>
      <c r="AY39" s="779"/>
      <c r="AZ39" s="780"/>
      <c r="BA39" s="780"/>
      <c r="BB39" s="780"/>
      <c r="BC39" s="781">
        <f>SUM(BC29:BC38)</f>
        <v>7781.2449052544798</v>
      </c>
      <c r="BD39" s="782"/>
      <c r="BE39" s="771"/>
      <c r="BF39" s="772"/>
      <c r="BG39" s="773"/>
      <c r="BH39" s="774">
        <f>SUM(BH29:BH38)</f>
        <v>6985.4283978386675</v>
      </c>
      <c r="BI39" s="4130"/>
      <c r="BJ39" s="4131"/>
      <c r="BK39" s="4132"/>
      <c r="BL39" s="322"/>
      <c r="BM39">
        <f>AP39*1.088</f>
        <v>4317.522558065989</v>
      </c>
      <c r="BN39" s="156">
        <f>BH39-BM39</f>
        <v>2667.9058397726785</v>
      </c>
    </row>
    <row r="40" spans="1:66" ht="36.75" customHeight="1" thickBot="1" x14ac:dyDescent="0.25">
      <c r="A40" s="766" t="s">
        <v>128</v>
      </c>
      <c r="B40" s="767"/>
      <c r="C40" s="767"/>
      <c r="D40" s="767"/>
      <c r="E40" s="767"/>
      <c r="F40" s="768"/>
      <c r="G40" s="808">
        <f>объемы!E43-объемы!E50</f>
        <v>4974</v>
      </c>
      <c r="H40" s="770"/>
      <c r="I40" s="769"/>
      <c r="J40" s="770"/>
      <c r="K40" s="771"/>
      <c r="L40" s="809">
        <f>объемы!G38-объемы!G50</f>
        <v>5512.2912165809075</v>
      </c>
      <c r="M40" s="772"/>
      <c r="N40" s="773"/>
      <c r="O40" s="774"/>
      <c r="P40" s="775"/>
      <c r="Q40" s="810">
        <f>[25]объемы!H37</f>
        <v>3493.4257142857145</v>
      </c>
      <c r="R40" s="776"/>
      <c r="S40" s="777"/>
      <c r="T40" s="775"/>
      <c r="U40" s="810">
        <v>5158</v>
      </c>
      <c r="V40" s="776"/>
      <c r="W40" s="777"/>
      <c r="X40" s="778"/>
      <c r="Y40" s="777"/>
      <c r="Z40" s="767"/>
      <c r="AA40" s="767"/>
      <c r="AB40" s="767"/>
      <c r="AC40" s="775"/>
      <c r="AD40" s="810">
        <f>SUM(объемы!K39)</f>
        <v>6928.1</v>
      </c>
      <c r="AE40" s="776"/>
      <c r="AF40" s="777"/>
      <c r="AG40" s="779"/>
      <c r="AH40" s="811">
        <f>SUM(объемы!L39)</f>
        <v>5753.9</v>
      </c>
      <c r="AI40" s="812"/>
      <c r="AJ40" s="780"/>
      <c r="AK40" s="781"/>
      <c r="AL40" s="782"/>
      <c r="AM40" s="809">
        <f>SUM(объемы!M39)</f>
        <v>5561.39</v>
      </c>
      <c r="AN40" s="772"/>
      <c r="AO40" s="773"/>
      <c r="AP40" s="774"/>
      <c r="AQ40" s="775"/>
      <c r="AR40" s="810">
        <f>SUM(объемы!P39)</f>
        <v>3367.79</v>
      </c>
      <c r="AS40" s="776"/>
      <c r="AT40" s="777"/>
      <c r="AU40" s="775"/>
      <c r="AV40" s="810">
        <f>SUM(объемы!S39)</f>
        <v>0</v>
      </c>
      <c r="AW40" s="776"/>
      <c r="AX40" s="777"/>
      <c r="AY40" s="779"/>
      <c r="AZ40" s="811">
        <f>SUM(объемы!T39)</f>
        <v>5757.9369999999999</v>
      </c>
      <c r="BA40" s="812"/>
      <c r="BB40" s="780"/>
      <c r="BC40" s="781"/>
      <c r="BD40" s="782"/>
      <c r="BE40" s="809">
        <f>SUM(объемы!AA39)</f>
        <v>5654.317</v>
      </c>
      <c r="BF40" s="772"/>
      <c r="BG40" s="773"/>
      <c r="BH40" s="774"/>
      <c r="BI40" s="4114"/>
      <c r="BJ40" s="4115"/>
      <c r="BK40" s="4116"/>
      <c r="BL40" s="323"/>
    </row>
    <row r="41" spans="1:66" ht="36.75" customHeight="1" x14ac:dyDescent="0.2">
      <c r="A41" s="720" t="s">
        <v>103</v>
      </c>
      <c r="B41" s="417"/>
      <c r="C41" s="417"/>
      <c r="D41" s="417"/>
      <c r="E41" s="417"/>
      <c r="F41" s="800"/>
      <c r="G41" s="801"/>
      <c r="H41" s="801"/>
      <c r="I41" s="801"/>
      <c r="J41" s="802"/>
      <c r="K41" s="763"/>
      <c r="L41" s="763"/>
      <c r="M41" s="420"/>
      <c r="N41" s="421"/>
      <c r="O41" s="422"/>
      <c r="P41" s="764">
        <v>1</v>
      </c>
      <c r="Q41" s="764"/>
      <c r="R41" s="425">
        <v>47970</v>
      </c>
      <c r="S41" s="426">
        <f>R41*P41/1000</f>
        <v>47.97</v>
      </c>
      <c r="T41" s="764">
        <v>1</v>
      </c>
      <c r="U41" s="424">
        <f>SUM(T41/U46*1000)</f>
        <v>0.3841425937307929</v>
      </c>
      <c r="V41" s="425">
        <v>47970</v>
      </c>
      <c r="W41" s="426">
        <f>V41*T41/1000</f>
        <v>47.97</v>
      </c>
      <c r="X41" s="427"/>
      <c r="Y41" s="426"/>
      <c r="Z41" s="417"/>
      <c r="AA41" s="417"/>
      <c r="AB41" s="417"/>
      <c r="AC41" s="764">
        <v>1</v>
      </c>
      <c r="AD41" s="424">
        <f>SUM(AC41/AD46*1000)</f>
        <v>0.22761414849547051</v>
      </c>
      <c r="AE41" s="425">
        <v>47970</v>
      </c>
      <c r="AF41" s="426">
        <f>AE41*AC41/1000</f>
        <v>47.97</v>
      </c>
      <c r="AG41" s="803"/>
      <c r="AH41" s="804"/>
      <c r="AI41" s="804"/>
      <c r="AJ41" s="804"/>
      <c r="AK41" s="805"/>
      <c r="AL41" s="765"/>
      <c r="AM41" s="763"/>
      <c r="AN41" s="420"/>
      <c r="AO41" s="421"/>
      <c r="AP41" s="422"/>
      <c r="AQ41" s="764"/>
      <c r="AR41" s="424">
        <f>SUM(AQ41/AR46*1000)</f>
        <v>0</v>
      </c>
      <c r="AS41" s="425"/>
      <c r="AT41" s="426">
        <f>AS41*AQ41/1000</f>
        <v>0</v>
      </c>
      <c r="AU41" s="764"/>
      <c r="AV41" s="424">
        <f>SUM(AU41/AV46*1000)</f>
        <v>0</v>
      </c>
      <c r="AW41" s="425"/>
      <c r="AX41" s="426">
        <f>AW41*AU41/1000</f>
        <v>0</v>
      </c>
      <c r="AY41" s="428">
        <v>1</v>
      </c>
      <c r="AZ41" s="806">
        <f>SUM(AY41/AZ46)*1000</f>
        <v>0.28793550244745175</v>
      </c>
      <c r="BA41" s="430">
        <f>SUM(BA29)</f>
        <v>85278.6</v>
      </c>
      <c r="BB41" s="431" t="e">
        <f t="shared" ref="BB41:BB43" si="10">BA41/AN41</f>
        <v>#DIV/0!</v>
      </c>
      <c r="BC41" s="807">
        <f>AY41*BA41/1000</f>
        <v>85.278600000000012</v>
      </c>
      <c r="BD41" s="765">
        <f>BE46*BE41/1000</f>
        <v>0.78413074156689599</v>
      </c>
      <c r="BE41" s="419">
        <f>AD41</f>
        <v>0.22761414849547051</v>
      </c>
      <c r="BF41" s="420">
        <f>BF29</f>
        <v>79862</v>
      </c>
      <c r="BG41" s="434" t="e">
        <f t="shared" ref="BG41:BG43" si="11">BF41/AN41</f>
        <v>#DIV/0!</v>
      </c>
      <c r="BH41" s="422">
        <f>BD41*BF41/1000</f>
        <v>62.622249283015449</v>
      </c>
      <c r="BI41" s="4117"/>
      <c r="BJ41" s="4118"/>
      <c r="BK41" s="4119"/>
      <c r="BL41" s="321"/>
    </row>
    <row r="42" spans="1:66" ht="36.75" customHeight="1" x14ac:dyDescent="0.2">
      <c r="A42" s="721" t="s">
        <v>104</v>
      </c>
      <c r="B42" s="417"/>
      <c r="C42" s="417"/>
      <c r="D42" s="417"/>
      <c r="E42" s="417"/>
      <c r="F42" s="731">
        <v>9.08</v>
      </c>
      <c r="G42" s="739">
        <v>2.2599999999999998</v>
      </c>
      <c r="H42" s="733">
        <v>64910</v>
      </c>
      <c r="I42" s="734"/>
      <c r="J42" s="740">
        <f>F42*H42/1000</f>
        <v>589.38280000000009</v>
      </c>
      <c r="K42" s="457">
        <f>F42</f>
        <v>9.08</v>
      </c>
      <c r="L42" s="458">
        <f>AP19</f>
        <v>2.1283056727349026</v>
      </c>
      <c r="M42" s="410">
        <f>AN19*1.021</f>
        <v>52971.882352941167</v>
      </c>
      <c r="N42" s="436" t="e">
        <f>M42/#REF!*100</f>
        <v>#REF!</v>
      </c>
      <c r="O42" s="437">
        <f>K42*M42/1000</f>
        <v>480.98469176470581</v>
      </c>
      <c r="P42" s="459">
        <v>2.6</v>
      </c>
      <c r="Q42" s="456">
        <v>0</v>
      </c>
      <c r="R42" s="412">
        <v>49880</v>
      </c>
      <c r="S42" s="440">
        <f>R42*P42/1000</f>
        <v>129.68799999999999</v>
      </c>
      <c r="T42" s="459">
        <v>4.3499999999999996</v>
      </c>
      <c r="U42" s="456">
        <f>SUM(T42/U46*1000)</f>
        <v>1.6710202827289491</v>
      </c>
      <c r="V42" s="412">
        <v>51050</v>
      </c>
      <c r="W42" s="440">
        <f>V42*T42/1000</f>
        <v>222.06749999999997</v>
      </c>
      <c r="X42" s="441" t="e">
        <f>W42/#REF!*100</f>
        <v>#REF!</v>
      </c>
      <c r="Y42" s="440">
        <f>U42*W42/1000</f>
        <v>0.37107929663491085</v>
      </c>
      <c r="Z42" s="417"/>
      <c r="AA42" s="417"/>
      <c r="AB42" s="417"/>
      <c r="AC42" s="438">
        <v>6.65</v>
      </c>
      <c r="AD42" s="456">
        <f>SUM(AC42/AD46*1000)</f>
        <v>1.513634087494879</v>
      </c>
      <c r="AE42" s="412">
        <v>47870</v>
      </c>
      <c r="AF42" s="440">
        <f>AE42*AC42/1000</f>
        <v>318.33550000000002</v>
      </c>
      <c r="AG42" s="442">
        <v>9.08</v>
      </c>
      <c r="AH42" s="460">
        <v>2.2599999999999998</v>
      </c>
      <c r="AI42" s="444">
        <v>56150</v>
      </c>
      <c r="AJ42" s="452">
        <f>AI42/BK19</f>
        <v>1.1898707353252809</v>
      </c>
      <c r="AK42" s="461">
        <f>AG42*AI42/1000</f>
        <v>509.84199999999998</v>
      </c>
      <c r="AL42" s="451">
        <f>AM42*AM46/1000</f>
        <v>7.7570356854168985</v>
      </c>
      <c r="AM42" s="458">
        <f>AP19</f>
        <v>2.1283056727349026</v>
      </c>
      <c r="AN42" s="410">
        <f>BK19*1.021*1.062</f>
        <v>51168.211380000001</v>
      </c>
      <c r="AO42" s="447">
        <f>AN42/BK19</f>
        <v>1.0843020000000001</v>
      </c>
      <c r="AP42" s="437">
        <f>AL42*AN42/1000</f>
        <v>396.9136416336151</v>
      </c>
      <c r="AQ42" s="459"/>
      <c r="AR42" s="456">
        <f>SUM(AQ42/AR46*1000)</f>
        <v>0</v>
      </c>
      <c r="AS42" s="412"/>
      <c r="AT42" s="440">
        <f>AS42*AQ42/1000</f>
        <v>0</v>
      </c>
      <c r="AU42" s="459"/>
      <c r="AV42" s="456">
        <f>SUM(AU42/AV46*1000)</f>
        <v>0</v>
      </c>
      <c r="AW42" s="412"/>
      <c r="AX42" s="440">
        <f>AW42*AU42/1000</f>
        <v>0</v>
      </c>
      <c r="AY42" s="442">
        <v>6.65</v>
      </c>
      <c r="AZ42" s="460">
        <f>SUM(AY42/AZ46)*1000</f>
        <v>1.9147710912755544</v>
      </c>
      <c r="BA42" s="430">
        <f>SUM(AN42*1.1)</f>
        <v>56285.032518000007</v>
      </c>
      <c r="BB42" s="431">
        <f t="shared" si="10"/>
        <v>1.1000000000000001</v>
      </c>
      <c r="BC42" s="461">
        <f>AY42*BA42/1000</f>
        <v>374.29546624470009</v>
      </c>
      <c r="BD42" s="451">
        <f>BE42*BE46/1000</f>
        <v>5.2144694314198583</v>
      </c>
      <c r="BE42" s="419">
        <f>AD42</f>
        <v>1.513634087494879</v>
      </c>
      <c r="BF42" s="410">
        <f>BF30</f>
        <v>43766.393750000003</v>
      </c>
      <c r="BG42" s="434">
        <f t="shared" si="11"/>
        <v>0.85534343627862031</v>
      </c>
      <c r="BH42" s="437">
        <f>BD42*BF42/1000</f>
        <v>228.21852233286015</v>
      </c>
      <c r="BI42" s="4117"/>
      <c r="BJ42" s="4118"/>
      <c r="BK42" s="4119"/>
      <c r="BL42" s="321"/>
    </row>
    <row r="43" spans="1:66" ht="36.75" customHeight="1" x14ac:dyDescent="0.2">
      <c r="A43" s="722" t="s">
        <v>833</v>
      </c>
      <c r="B43" s="417"/>
      <c r="C43" s="417"/>
      <c r="D43" s="417"/>
      <c r="E43" s="417"/>
      <c r="F43" s="736"/>
      <c r="G43" s="737"/>
      <c r="H43" s="737"/>
      <c r="I43" s="737"/>
      <c r="J43" s="738"/>
      <c r="K43" s="409"/>
      <c r="L43" s="409"/>
      <c r="M43" s="410"/>
      <c r="N43" s="410"/>
      <c r="O43" s="437"/>
      <c r="P43" s="411">
        <v>0.03</v>
      </c>
      <c r="Q43" s="411"/>
      <c r="R43" s="412">
        <v>45760</v>
      </c>
      <c r="S43" s="440">
        <f>R43*P43/1000</f>
        <v>1.3728</v>
      </c>
      <c r="T43" s="411">
        <v>2.5000000000000001E-2</v>
      </c>
      <c r="U43" s="456">
        <f>SUM(T43/U46*1000)</f>
        <v>9.6035648432698222E-3</v>
      </c>
      <c r="V43" s="412">
        <v>45760</v>
      </c>
      <c r="W43" s="440">
        <f>V43*T43/1000</f>
        <v>1.1439999999999999</v>
      </c>
      <c r="X43" s="412"/>
      <c r="Y43" s="440"/>
      <c r="Z43" s="417"/>
      <c r="AA43" s="417"/>
      <c r="AB43" s="417"/>
      <c r="AC43" s="411">
        <v>2.5000000000000001E-2</v>
      </c>
      <c r="AD43" s="456">
        <f>SUM(AC43/AD46*1000)</f>
        <v>5.6903537123867629E-3</v>
      </c>
      <c r="AE43" s="412">
        <v>45760</v>
      </c>
      <c r="AF43" s="440">
        <f>AE43*AC43/1000</f>
        <v>1.1439999999999999</v>
      </c>
      <c r="AG43" s="453"/>
      <c r="AH43" s="454"/>
      <c r="AI43" s="454"/>
      <c r="AJ43" s="454"/>
      <c r="AK43" s="455"/>
      <c r="AL43" s="413"/>
      <c r="AM43" s="409"/>
      <c r="AN43" s="410"/>
      <c r="AO43" s="410"/>
      <c r="AP43" s="437"/>
      <c r="AQ43" s="411"/>
      <c r="AR43" s="456">
        <f>SUM(AQ43/AR46*1000)</f>
        <v>0</v>
      </c>
      <c r="AS43" s="412"/>
      <c r="AT43" s="440">
        <f>AS43*AQ43/1000</f>
        <v>0</v>
      </c>
      <c r="AU43" s="411"/>
      <c r="AV43" s="456">
        <f>SUM(AU43/AV46*1000)</f>
        <v>0</v>
      </c>
      <c r="AW43" s="412"/>
      <c r="AX43" s="440">
        <f>AW43*AU43/1000</f>
        <v>0</v>
      </c>
      <c r="AY43" s="453">
        <v>2.5000000000000001E-2</v>
      </c>
      <c r="AZ43" s="460">
        <f>SUM(AY43/AZ46)*1000</f>
        <v>7.1983875611862942E-3</v>
      </c>
      <c r="BA43" s="430">
        <f>SUM(BA33)</f>
        <v>19345.392000000003</v>
      </c>
      <c r="BB43" s="431" t="e">
        <f t="shared" si="10"/>
        <v>#DIV/0!</v>
      </c>
      <c r="BC43" s="461">
        <f>AY43*BA43/1000</f>
        <v>0.48363480000000009</v>
      </c>
      <c r="BD43" s="413">
        <f>BE43*BE46/1000</f>
        <v>1.9603268539172398E-2</v>
      </c>
      <c r="BE43" s="419">
        <f>AD43</f>
        <v>5.6903537123867629E-3</v>
      </c>
      <c r="BF43" s="410">
        <f>M63</f>
        <v>14833.89608</v>
      </c>
      <c r="BG43" s="434" t="e">
        <f t="shared" si="11"/>
        <v>#DIV/0!</v>
      </c>
      <c r="BH43" s="437">
        <f>BD43*BF43/1000</f>
        <v>0.29079284833841679</v>
      </c>
      <c r="BI43" s="4117"/>
      <c r="BJ43" s="4118"/>
      <c r="BK43" s="4119"/>
      <c r="BL43" s="321"/>
    </row>
    <row r="44" spans="1:66" ht="36.75" customHeight="1" thickBot="1" x14ac:dyDescent="0.25">
      <c r="A44" s="723" t="s">
        <v>108</v>
      </c>
      <c r="B44" s="417"/>
      <c r="C44" s="417"/>
      <c r="D44" s="417"/>
      <c r="E44" s="417"/>
      <c r="F44" s="748"/>
      <c r="G44" s="749"/>
      <c r="H44" s="749"/>
      <c r="I44" s="749"/>
      <c r="J44" s="750">
        <v>9.1</v>
      </c>
      <c r="K44" s="751"/>
      <c r="L44" s="751"/>
      <c r="M44" s="752"/>
      <c r="N44" s="752"/>
      <c r="O44" s="754">
        <v>8.3000000000000007</v>
      </c>
      <c r="P44" s="755"/>
      <c r="Q44" s="755"/>
      <c r="R44" s="756"/>
      <c r="S44" s="757">
        <v>0.23</v>
      </c>
      <c r="T44" s="755"/>
      <c r="U44" s="755"/>
      <c r="V44" s="756"/>
      <c r="W44" s="757">
        <v>0.23</v>
      </c>
      <c r="X44" s="756"/>
      <c r="Y44" s="757">
        <v>8.3000000000000007</v>
      </c>
      <c r="Z44" s="417"/>
      <c r="AA44" s="417"/>
      <c r="AB44" s="417"/>
      <c r="AC44" s="755"/>
      <c r="AD44" s="755"/>
      <c r="AE44" s="756"/>
      <c r="AF44" s="757">
        <v>1.25</v>
      </c>
      <c r="AG44" s="759"/>
      <c r="AH44" s="760"/>
      <c r="AI44" s="760"/>
      <c r="AJ44" s="760"/>
      <c r="AK44" s="761">
        <v>9.1</v>
      </c>
      <c r="AL44" s="762"/>
      <c r="AM44" s="751"/>
      <c r="AN44" s="752"/>
      <c r="AO44" s="752"/>
      <c r="AP44" s="754">
        <f>AK44</f>
        <v>9.1</v>
      </c>
      <c r="AQ44" s="755"/>
      <c r="AR44" s="755"/>
      <c r="AS44" s="756"/>
      <c r="AT44" s="757"/>
      <c r="AU44" s="755"/>
      <c r="AV44" s="755"/>
      <c r="AW44" s="756"/>
      <c r="AX44" s="757"/>
      <c r="AY44" s="759"/>
      <c r="AZ44" s="760"/>
      <c r="BA44" s="760"/>
      <c r="BB44" s="760"/>
      <c r="BC44" s="761">
        <f>SUM(AP44*1.1)</f>
        <v>10.01</v>
      </c>
      <c r="BD44" s="762"/>
      <c r="BE44" s="751"/>
      <c r="BF44" s="752"/>
      <c r="BG44" s="752"/>
      <c r="BH44" s="754">
        <f>AF44</f>
        <v>1.25</v>
      </c>
      <c r="BI44" s="4117"/>
      <c r="BJ44" s="4118"/>
      <c r="BK44" s="4119"/>
      <c r="BL44" s="321"/>
    </row>
    <row r="45" spans="1:66" ht="36.75" customHeight="1" thickBot="1" x14ac:dyDescent="0.25">
      <c r="A45" s="766" t="s">
        <v>94</v>
      </c>
      <c r="B45" s="767"/>
      <c r="C45" s="767"/>
      <c r="D45" s="767"/>
      <c r="E45" s="767"/>
      <c r="F45" s="768"/>
      <c r="G45" s="769"/>
      <c r="H45" s="769"/>
      <c r="I45" s="769"/>
      <c r="J45" s="798">
        <f>SUM(J41:J44)</f>
        <v>598.48280000000011</v>
      </c>
      <c r="K45" s="771"/>
      <c r="L45" s="771"/>
      <c r="M45" s="772"/>
      <c r="N45" s="772"/>
      <c r="O45" s="774">
        <f>SUM(O42:O44)</f>
        <v>489.28469176470583</v>
      </c>
      <c r="P45" s="775"/>
      <c r="Q45" s="775"/>
      <c r="R45" s="776"/>
      <c r="S45" s="777">
        <f>SUM(S41:S44)</f>
        <v>179.26079999999999</v>
      </c>
      <c r="T45" s="775"/>
      <c r="U45" s="775"/>
      <c r="V45" s="776"/>
      <c r="W45" s="777">
        <f>SUM(W41:W44)</f>
        <v>271.41149999999999</v>
      </c>
      <c r="X45" s="776"/>
      <c r="Y45" s="777">
        <f>SUM(Y42:Y44)</f>
        <v>8.6710792966349111</v>
      </c>
      <c r="Z45" s="767"/>
      <c r="AA45" s="767"/>
      <c r="AB45" s="767"/>
      <c r="AC45" s="775"/>
      <c r="AD45" s="775"/>
      <c r="AE45" s="776"/>
      <c r="AF45" s="777">
        <f>SUM(AF41:AF44)</f>
        <v>368.69950000000006</v>
      </c>
      <c r="AG45" s="779"/>
      <c r="AH45" s="780"/>
      <c r="AI45" s="780"/>
      <c r="AJ45" s="780"/>
      <c r="AK45" s="799">
        <f>SUM(AK41:AK44)</f>
        <v>518.94200000000001</v>
      </c>
      <c r="AL45" s="782"/>
      <c r="AM45" s="771"/>
      <c r="AN45" s="772"/>
      <c r="AO45" s="772"/>
      <c r="AP45" s="774">
        <f>SUM(AP42:AP44)</f>
        <v>406.01364163361512</v>
      </c>
      <c r="AQ45" s="775"/>
      <c r="AR45" s="775"/>
      <c r="AS45" s="776"/>
      <c r="AT45" s="777">
        <f>SUM(AT41:AT44)</f>
        <v>0</v>
      </c>
      <c r="AU45" s="775"/>
      <c r="AV45" s="775"/>
      <c r="AW45" s="776"/>
      <c r="AX45" s="777">
        <f>SUM(AX41:AX44)</f>
        <v>0</v>
      </c>
      <c r="AY45" s="779"/>
      <c r="AZ45" s="780"/>
      <c r="BA45" s="780"/>
      <c r="BB45" s="780"/>
      <c r="BC45" s="799">
        <f>SUM(BC41:BC44)</f>
        <v>470.06770104470013</v>
      </c>
      <c r="BD45" s="782"/>
      <c r="BE45" s="771"/>
      <c r="BF45" s="772"/>
      <c r="BG45" s="772"/>
      <c r="BH45" s="774">
        <f>SUM(BH42:BH44)</f>
        <v>229.75931518119856</v>
      </c>
      <c r="BI45" s="4117"/>
      <c r="BJ45" s="4118"/>
      <c r="BK45" s="4119"/>
      <c r="BL45" s="322"/>
    </row>
    <row r="46" spans="1:66" ht="36.75" customHeight="1" thickBot="1" x14ac:dyDescent="0.25">
      <c r="A46" s="783" t="s">
        <v>129</v>
      </c>
      <c r="B46" s="417"/>
      <c r="C46" s="417"/>
      <c r="D46" s="417"/>
      <c r="E46" s="417"/>
      <c r="F46" s="784"/>
      <c r="G46" s="785">
        <f>объемы!E58</f>
        <v>3600</v>
      </c>
      <c r="H46" s="786"/>
      <c r="I46" s="786"/>
      <c r="J46" s="786"/>
      <c r="K46" s="787"/>
      <c r="L46" s="788">
        <f>объемы!G58</f>
        <v>3672.7</v>
      </c>
      <c r="M46" s="788"/>
      <c r="N46" s="788"/>
      <c r="O46" s="789"/>
      <c r="P46" s="790"/>
      <c r="Q46" s="791">
        <f>[25]объемы!H50</f>
        <v>1773.7999999999997</v>
      </c>
      <c r="R46" s="791"/>
      <c r="S46" s="792"/>
      <c r="T46" s="790"/>
      <c r="U46" s="791">
        <v>2603.1999999999998</v>
      </c>
      <c r="V46" s="791"/>
      <c r="W46" s="792"/>
      <c r="X46" s="791"/>
      <c r="Y46" s="792"/>
      <c r="Z46" s="417"/>
      <c r="AA46" s="417"/>
      <c r="AB46" s="417"/>
      <c r="AC46" s="790"/>
      <c r="AD46" s="791">
        <f>объемы!K57</f>
        <v>4393.3999999999996</v>
      </c>
      <c r="AE46" s="791"/>
      <c r="AF46" s="792"/>
      <c r="AG46" s="793"/>
      <c r="AH46" s="794">
        <f>объемы!L58</f>
        <v>3672.7</v>
      </c>
      <c r="AI46" s="795"/>
      <c r="AJ46" s="795"/>
      <c r="AK46" s="796"/>
      <c r="AL46" s="797"/>
      <c r="AM46" s="788">
        <f>объемы!M58</f>
        <v>3644.7</v>
      </c>
      <c r="AN46" s="788"/>
      <c r="AO46" s="788"/>
      <c r="AP46" s="789"/>
      <c r="AQ46" s="790"/>
      <c r="AR46" s="791">
        <f>SUM(объемы!P58)</f>
        <v>1670.74</v>
      </c>
      <c r="AS46" s="791"/>
      <c r="AT46" s="792"/>
      <c r="AU46" s="790"/>
      <c r="AV46" s="791">
        <f>SUM(объемы!S58)</f>
        <v>23.38</v>
      </c>
      <c r="AW46" s="791"/>
      <c r="AX46" s="792"/>
      <c r="AY46" s="793"/>
      <c r="AZ46" s="794">
        <f>SUM(объемы!T58)</f>
        <v>3473</v>
      </c>
      <c r="BA46" s="795"/>
      <c r="BB46" s="795"/>
      <c r="BC46" s="796"/>
      <c r="BD46" s="797"/>
      <c r="BE46" s="788">
        <f>SUM(объемы!AA58)</f>
        <v>3445</v>
      </c>
      <c r="BF46" s="788"/>
      <c r="BG46" s="788"/>
      <c r="BH46" s="789"/>
      <c r="BI46" s="4120"/>
      <c r="BJ46" s="4121"/>
      <c r="BK46" s="4122"/>
      <c r="BL46" s="323"/>
    </row>
    <row r="47" spans="1:66" x14ac:dyDescent="0.2">
      <c r="P47" s="173"/>
      <c r="Q47" s="173"/>
      <c r="R47" s="173"/>
    </row>
    <row r="49" spans="1:60" ht="18" x14ac:dyDescent="0.25">
      <c r="A49" s="4094" t="s">
        <v>423</v>
      </c>
      <c r="B49" s="4094"/>
      <c r="C49" s="4094"/>
      <c r="D49" s="4094"/>
      <c r="E49" s="4094"/>
      <c r="F49" s="4094"/>
      <c r="G49" s="4094"/>
      <c r="H49" s="4094"/>
      <c r="I49" s="4094"/>
      <c r="J49" s="4094"/>
      <c r="K49" s="4094"/>
      <c r="L49" s="4094"/>
      <c r="M49" s="4094"/>
    </row>
    <row r="51" spans="1:60" ht="63.75" x14ac:dyDescent="0.2">
      <c r="A51" s="25"/>
      <c r="B51" s="25"/>
      <c r="C51" s="25"/>
      <c r="D51" s="25"/>
      <c r="E51" s="25"/>
      <c r="F51" s="169" t="s">
        <v>415</v>
      </c>
      <c r="G51" s="169" t="s">
        <v>416</v>
      </c>
      <c r="H51" s="169" t="s">
        <v>417</v>
      </c>
      <c r="I51" s="169"/>
      <c r="J51" s="169" t="s">
        <v>418</v>
      </c>
      <c r="K51" s="328" t="s">
        <v>420</v>
      </c>
      <c r="L51" s="328" t="s">
        <v>421</v>
      </c>
      <c r="M51" s="328" t="s">
        <v>422</v>
      </c>
      <c r="BH51">
        <f>BH45*0.25</f>
        <v>57.43982879529964</v>
      </c>
    </row>
    <row r="52" spans="1:60" x14ac:dyDescent="0.2">
      <c r="A52" s="25" t="s">
        <v>411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0" x14ac:dyDescent="0.2">
      <c r="A53" s="25" t="s">
        <v>412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0" x14ac:dyDescent="0.2">
      <c r="A54" s="25" t="s">
        <v>413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0" x14ac:dyDescent="0.2">
      <c r="A55" s="25" t="s">
        <v>414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0" x14ac:dyDescent="0.2">
      <c r="A56" s="25" t="s">
        <v>419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8" spans="1:60" ht="18" x14ac:dyDescent="0.25">
      <c r="A58" s="4094" t="s">
        <v>881</v>
      </c>
      <c r="B58" s="4094"/>
      <c r="C58" s="4094"/>
      <c r="D58" s="4094"/>
      <c r="E58" s="4094"/>
      <c r="F58" s="4094"/>
      <c r="G58" s="4094"/>
      <c r="H58" s="4094"/>
      <c r="I58" s="4094"/>
      <c r="J58" s="4094"/>
      <c r="K58" s="4094"/>
      <c r="L58" s="4094"/>
      <c r="M58" s="4094"/>
    </row>
    <row r="60" spans="1:60" ht="63.75" x14ac:dyDescent="0.2">
      <c r="A60" s="25"/>
      <c r="B60" s="25"/>
      <c r="C60" s="25"/>
      <c r="D60" s="25"/>
      <c r="E60" s="25"/>
      <c r="F60" s="1020" t="s">
        <v>878</v>
      </c>
      <c r="G60" s="1020" t="s">
        <v>416</v>
      </c>
      <c r="H60" s="1020" t="s">
        <v>879</v>
      </c>
      <c r="I60" s="1020"/>
      <c r="J60" s="1020" t="s">
        <v>880</v>
      </c>
      <c r="K60" s="328" t="s">
        <v>420</v>
      </c>
      <c r="L60" s="328" t="s">
        <v>421</v>
      </c>
      <c r="M60" s="328" t="s">
        <v>422</v>
      </c>
      <c r="O60" s="4092" t="s">
        <v>1501</v>
      </c>
      <c r="P60" s="4093"/>
      <c r="Q60" s="4093"/>
    </row>
    <row r="61" spans="1:60" x14ac:dyDescent="0.2">
      <c r="A61" s="25" t="s">
        <v>411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1437">
        <v>31190</v>
      </c>
      <c r="P61" s="1437">
        <v>35000</v>
      </c>
      <c r="Q61" s="1437"/>
    </row>
    <row r="62" spans="1:60" x14ac:dyDescent="0.2">
      <c r="A62" s="25" t="s">
        <v>412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1437"/>
      <c r="P62" s="1437"/>
      <c r="Q62" s="1437">
        <v>73000</v>
      </c>
    </row>
    <row r="63" spans="1:60" x14ac:dyDescent="0.2">
      <c r="A63" s="25" t="s">
        <v>413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12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1437">
        <v>12838</v>
      </c>
      <c r="P63" s="1437">
        <v>22000</v>
      </c>
      <c r="Q63" s="1437">
        <v>13600</v>
      </c>
    </row>
    <row r="64" spans="1:60" ht="38.25" x14ac:dyDescent="0.2">
      <c r="A64" s="25" t="s">
        <v>414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1476" t="s">
        <v>1524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1437"/>
      <c r="P64" s="1437"/>
      <c r="Q64" s="1437"/>
    </row>
    <row r="65" spans="1:17" ht="38.25" x14ac:dyDescent="0.2">
      <c r="A65" s="25" t="s">
        <v>419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1476" t="str">
        <f t="shared" si="12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1437">
        <v>7500</v>
      </c>
      <c r="P65" s="1437"/>
      <c r="Q65" s="1437">
        <v>8000</v>
      </c>
    </row>
    <row r="66" spans="1:17" x14ac:dyDescent="0.2">
      <c r="O66" t="s">
        <v>1502</v>
      </c>
      <c r="P66" t="s">
        <v>1503</v>
      </c>
      <c r="Q66" t="s">
        <v>1504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8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3958"/>
      <c r="CA1" s="3958"/>
      <c r="CB1" s="3958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3958"/>
      <c r="CA2" s="3958"/>
      <c r="CB2" s="3958"/>
    </row>
    <row r="3" spans="1:80" ht="18.75" hidden="1" customHeight="1" x14ac:dyDescent="0.3">
      <c r="A3" s="4166" t="s">
        <v>242</v>
      </c>
      <c r="B3" s="4166"/>
      <c r="C3" s="4166"/>
      <c r="D3" s="4166"/>
      <c r="E3" s="4166"/>
      <c r="F3" s="4166"/>
      <c r="G3" s="4166"/>
      <c r="H3" s="4166"/>
      <c r="I3" s="4166"/>
      <c r="J3" s="4166"/>
      <c r="K3" s="4166"/>
      <c r="L3" s="4166"/>
      <c r="M3" s="4166"/>
      <c r="N3" s="4166"/>
      <c r="O3" s="4166"/>
      <c r="P3" s="4166"/>
      <c r="Q3" s="4166"/>
      <c r="R3" s="4166"/>
      <c r="S3" s="4166"/>
      <c r="T3" s="4166"/>
      <c r="U3" s="4166"/>
      <c r="V3" s="4166"/>
      <c r="W3" s="4166"/>
      <c r="X3" s="4166"/>
      <c r="Y3" s="4166"/>
      <c r="Z3" s="4166"/>
      <c r="AA3" s="4166"/>
      <c r="AB3" s="4166"/>
      <c r="AC3" s="4166"/>
      <c r="AD3" s="4166"/>
      <c r="AE3" s="4166"/>
      <c r="AF3" s="4166"/>
      <c r="AG3" s="4166"/>
      <c r="AH3" s="4166"/>
      <c r="AI3" s="4166"/>
      <c r="AJ3" s="4166"/>
      <c r="AK3" s="4166"/>
      <c r="AL3" s="4166"/>
      <c r="BZ3" s="3958"/>
      <c r="CA3" s="3958"/>
      <c r="CB3" s="3958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3958"/>
      <c r="CA4" s="3958"/>
      <c r="CB4" s="3958"/>
    </row>
    <row r="5" spans="1:80" ht="15.75" hidden="1" customHeight="1" x14ac:dyDescent="0.25">
      <c r="A5" s="4167"/>
      <c r="B5" s="90"/>
      <c r="C5" s="90"/>
      <c r="D5" s="90"/>
      <c r="E5" s="90"/>
      <c r="F5" s="90"/>
      <c r="G5" s="90"/>
      <c r="H5" s="4168" t="s">
        <v>59</v>
      </c>
      <c r="I5" s="4168"/>
      <c r="J5" s="4168"/>
      <c r="K5" s="4168" t="s">
        <v>67</v>
      </c>
      <c r="L5" s="4168"/>
      <c r="M5" s="4168"/>
      <c r="N5" s="4168"/>
      <c r="O5" s="4168" t="s">
        <v>95</v>
      </c>
      <c r="P5" s="4168"/>
      <c r="Q5" s="4168"/>
      <c r="R5" s="4169" t="s">
        <v>211</v>
      </c>
      <c r="S5" s="4170"/>
      <c r="T5" s="4170"/>
      <c r="U5" s="4171"/>
      <c r="V5" s="4110" t="s">
        <v>159</v>
      </c>
      <c r="W5" s="4110"/>
      <c r="X5" s="4110"/>
      <c r="Y5" s="4110"/>
      <c r="Z5" s="4110"/>
      <c r="AA5" s="4110"/>
      <c r="AB5" s="4110"/>
      <c r="AC5" s="4110"/>
      <c r="AD5" s="4110"/>
      <c r="AE5" s="4175"/>
      <c r="AF5" s="4175"/>
      <c r="AG5" s="4175"/>
      <c r="AH5" s="4110"/>
      <c r="AI5" s="4110"/>
      <c r="AJ5" s="4110"/>
      <c r="AK5" s="4110"/>
      <c r="AL5" s="4110"/>
      <c r="AM5" s="4110"/>
      <c r="AN5" s="4110"/>
      <c r="AO5" s="4110"/>
      <c r="BZ5" s="3958"/>
      <c r="CA5" s="3958"/>
      <c r="CB5" s="3958"/>
    </row>
    <row r="6" spans="1:80" ht="12.75" hidden="1" customHeight="1" x14ac:dyDescent="0.2">
      <c r="A6" s="4167"/>
      <c r="B6" s="1465"/>
      <c r="C6" s="91" t="s">
        <v>130</v>
      </c>
      <c r="D6" s="91"/>
      <c r="E6" s="1465"/>
      <c r="F6" s="91" t="s">
        <v>131</v>
      </c>
      <c r="G6" s="91"/>
      <c r="H6" s="4168"/>
      <c r="I6" s="4168"/>
      <c r="J6" s="4168"/>
      <c r="K6" s="4168"/>
      <c r="L6" s="4168"/>
      <c r="M6" s="4168"/>
      <c r="N6" s="4168"/>
      <c r="O6" s="4168"/>
      <c r="P6" s="4168"/>
      <c r="Q6" s="4168"/>
      <c r="R6" s="4172"/>
      <c r="S6" s="4173"/>
      <c r="T6" s="4173"/>
      <c r="U6" s="4174"/>
      <c r="V6" s="4176" t="s">
        <v>122</v>
      </c>
      <c r="W6" s="4176"/>
      <c r="X6" s="4176"/>
      <c r="Y6" s="4176"/>
      <c r="Z6" s="4176" t="s">
        <v>123</v>
      </c>
      <c r="AA6" s="4176"/>
      <c r="AB6" s="4176"/>
      <c r="AC6" s="4176"/>
      <c r="AD6" s="4168" t="s">
        <v>237</v>
      </c>
      <c r="AE6" s="4177"/>
      <c r="AF6" s="4177"/>
      <c r="AG6" s="4177"/>
      <c r="AH6" s="4168"/>
      <c r="AI6" s="4168"/>
      <c r="AJ6" s="4178" t="s">
        <v>241</v>
      </c>
      <c r="AK6" s="4178"/>
      <c r="AL6" s="4178"/>
      <c r="AM6" s="4178" t="s">
        <v>372</v>
      </c>
      <c r="AN6" s="4178"/>
      <c r="AO6" s="4178"/>
      <c r="BZ6" s="3958"/>
      <c r="CA6" s="3958"/>
      <c r="CB6" s="3958"/>
    </row>
    <row r="7" spans="1:80" ht="12.75" hidden="1" customHeight="1" x14ac:dyDescent="0.2">
      <c r="A7" s="4167"/>
      <c r="B7" s="1465" t="s">
        <v>132</v>
      </c>
      <c r="C7" s="1465" t="s">
        <v>133</v>
      </c>
      <c r="D7" s="1465" t="s">
        <v>45</v>
      </c>
      <c r="E7" s="1465" t="s">
        <v>132</v>
      </c>
      <c r="F7" s="1465" t="s">
        <v>133</v>
      </c>
      <c r="G7" s="1465" t="s">
        <v>45</v>
      </c>
      <c r="H7" s="4178" t="s">
        <v>147</v>
      </c>
      <c r="I7" s="4178" t="s">
        <v>134</v>
      </c>
      <c r="J7" s="4178" t="s">
        <v>102</v>
      </c>
      <c r="K7" s="4178" t="s">
        <v>228</v>
      </c>
      <c r="L7" s="4179" t="s">
        <v>148</v>
      </c>
      <c r="M7" s="4181" t="s">
        <v>102</v>
      </c>
      <c r="N7" s="4182"/>
      <c r="O7" s="4178" t="s">
        <v>147</v>
      </c>
      <c r="P7" s="4178" t="s">
        <v>134</v>
      </c>
      <c r="Q7" s="4178" t="s">
        <v>102</v>
      </c>
      <c r="R7" s="4178" t="s">
        <v>147</v>
      </c>
      <c r="S7" s="4178" t="s">
        <v>134</v>
      </c>
      <c r="T7" s="4178" t="s">
        <v>102</v>
      </c>
      <c r="U7" s="1461"/>
      <c r="V7" s="4178" t="s">
        <v>115</v>
      </c>
      <c r="W7" s="4178"/>
      <c r="X7" s="4178" t="s">
        <v>148</v>
      </c>
      <c r="Y7" s="4178" t="s">
        <v>102</v>
      </c>
      <c r="Z7" s="4178" t="s">
        <v>115</v>
      </c>
      <c r="AA7" s="4178"/>
      <c r="AB7" s="4178" t="s">
        <v>148</v>
      </c>
      <c r="AC7" s="4178" t="s">
        <v>102</v>
      </c>
      <c r="AD7" s="4178" t="s">
        <v>147</v>
      </c>
      <c r="AE7" s="813"/>
      <c r="AF7" s="813"/>
      <c r="AG7" s="813"/>
      <c r="AH7" s="4178" t="s">
        <v>134</v>
      </c>
      <c r="AI7" s="4178" t="s">
        <v>102</v>
      </c>
      <c r="AJ7" s="4178" t="s">
        <v>147</v>
      </c>
      <c r="AK7" s="4178" t="s">
        <v>134</v>
      </c>
      <c r="AL7" s="4178" t="s">
        <v>102</v>
      </c>
      <c r="AM7" s="4178" t="s">
        <v>147</v>
      </c>
      <c r="AN7" s="4178" t="s">
        <v>134</v>
      </c>
      <c r="AO7" s="4178" t="s">
        <v>102</v>
      </c>
      <c r="BZ7" s="3958"/>
      <c r="CA7" s="3958"/>
      <c r="CB7" s="3958"/>
    </row>
    <row r="8" spans="1:80" ht="32.25" hidden="1" customHeight="1" x14ac:dyDescent="0.2">
      <c r="A8" s="4167"/>
      <c r="B8" s="1465"/>
      <c r="C8" s="1465"/>
      <c r="D8" s="1465"/>
      <c r="E8" s="1465"/>
      <c r="F8" s="1465"/>
      <c r="G8" s="1465"/>
      <c r="H8" s="4178"/>
      <c r="I8" s="4178"/>
      <c r="J8" s="4178"/>
      <c r="K8" s="4178"/>
      <c r="L8" s="4180"/>
      <c r="M8" s="4183"/>
      <c r="N8" s="4184"/>
      <c r="O8" s="4178"/>
      <c r="P8" s="4178"/>
      <c r="Q8" s="4178"/>
      <c r="R8" s="4178"/>
      <c r="S8" s="4178"/>
      <c r="T8" s="4178"/>
      <c r="U8" s="1461"/>
      <c r="V8" s="23" t="s">
        <v>229</v>
      </c>
      <c r="W8" s="1461" t="s">
        <v>163</v>
      </c>
      <c r="X8" s="4178"/>
      <c r="Y8" s="4178"/>
      <c r="Z8" s="1461" t="s">
        <v>229</v>
      </c>
      <c r="AA8" s="1461" t="s">
        <v>163</v>
      </c>
      <c r="AB8" s="4178"/>
      <c r="AC8" s="4178"/>
      <c r="AD8" s="4178"/>
      <c r="AE8" s="813"/>
      <c r="AF8" s="813"/>
      <c r="AG8" s="813"/>
      <c r="AH8" s="4178"/>
      <c r="AI8" s="4178"/>
      <c r="AJ8" s="4178"/>
      <c r="AK8" s="4178"/>
      <c r="AL8" s="4178"/>
      <c r="AM8" s="4178"/>
      <c r="AN8" s="4178"/>
      <c r="AO8" s="4178"/>
      <c r="BZ8" s="3958"/>
      <c r="CA8" s="3958"/>
      <c r="CB8" s="3958"/>
    </row>
    <row r="9" spans="1:80" ht="12.75" hidden="1" customHeight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4"/>
      <c r="AF9" s="814"/>
      <c r="AG9" s="814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  <c r="BZ9" s="3958"/>
      <c r="CA9" s="3958"/>
      <c r="CB9" s="3958"/>
    </row>
    <row r="10" spans="1:80" ht="12.75" hidden="1" customHeight="1" x14ac:dyDescent="0.2">
      <c r="A10" s="81" t="s">
        <v>162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4"/>
      <c r="AF10" s="814"/>
      <c r="AG10" s="814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  <c r="BZ10" s="3958"/>
      <c r="CA10" s="3958"/>
      <c r="CB10" s="3958"/>
    </row>
    <row r="11" spans="1:80" ht="12.75" hidden="1" customHeight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5"/>
      <c r="AF11" s="815"/>
      <c r="AG11" s="815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  <c r="BZ11" s="3958"/>
      <c r="CA11" s="3958"/>
      <c r="CB11" s="3958"/>
    </row>
    <row r="12" spans="1:80" ht="12.75" hidden="1" customHeight="1" x14ac:dyDescent="0.2">
      <c r="A12" s="81" t="s">
        <v>162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4"/>
      <c r="AF12" s="814"/>
      <c r="AG12" s="814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  <c r="BZ12" s="3958"/>
      <c r="CA12" s="3958"/>
      <c r="CB12" s="3958"/>
    </row>
    <row r="13" spans="1:80" ht="13.5" hidden="1" customHeight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6"/>
      <c r="AF13" s="816"/>
      <c r="AG13" s="81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3958"/>
      <c r="CA13" s="3958"/>
      <c r="CB13" s="3958"/>
    </row>
    <row r="14" spans="1:80" ht="12.75" hidden="1" customHeight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4"/>
      <c r="AF14" s="814"/>
      <c r="AG14" s="814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  <c r="BZ14" s="3958"/>
      <c r="CA14" s="3958"/>
      <c r="CB14" s="3958"/>
    </row>
    <row r="15" spans="1:80" ht="12.75" hidden="1" customHeight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4"/>
      <c r="AF15" s="814"/>
      <c r="AG15" s="814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  <c r="BZ15" s="3958"/>
      <c r="CA15" s="3958"/>
      <c r="CB15" s="3958"/>
    </row>
    <row r="16" spans="1:80" ht="12.75" hidden="1" customHeight="1" x14ac:dyDescent="0.2">
      <c r="A16" s="81" t="s">
        <v>162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4"/>
      <c r="AF16" s="814"/>
      <c r="AG16" s="814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  <c r="BZ16" s="3958"/>
      <c r="CA16" s="3958"/>
      <c r="CB16" s="3958"/>
    </row>
    <row r="17" spans="1:80" ht="13.5" hidden="1" customHeight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460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6"/>
      <c r="AF17" s="816"/>
      <c r="AG17" s="816"/>
      <c r="AH17" s="133">
        <f>SUM(AH14:AH16)</f>
        <v>1910.364</v>
      </c>
      <c r="AI17" s="133">
        <f>SUM(AI14:AI16)</f>
        <v>7334.5</v>
      </c>
      <c r="AJ17" s="1465"/>
      <c r="AK17" s="133">
        <f>AK14+AK15+AK16</f>
        <v>578.36399999999992</v>
      </c>
      <c r="AL17" s="133">
        <f>AL14+AL15+AL16</f>
        <v>2424.3000000000002</v>
      </c>
      <c r="AM17" s="1465"/>
      <c r="AN17" s="133">
        <f>AN14+AN15+AN16</f>
        <v>2653.2000000000003</v>
      </c>
      <c r="AO17" s="133">
        <f>AO14+AO15+AO16</f>
        <v>0</v>
      </c>
      <c r="BZ17" s="3958"/>
      <c r="CA17" s="3958"/>
      <c r="CB17" s="3958"/>
    </row>
    <row r="18" spans="1:80" ht="12.75" hidden="1" customHeight="1" x14ac:dyDescent="0.2">
      <c r="A18" s="81"/>
      <c r="B18" s="57"/>
      <c r="C18" s="19"/>
      <c r="D18" s="1465"/>
      <c r="E18" s="57"/>
      <c r="F18" s="19"/>
      <c r="G18" s="1465"/>
      <c r="H18" s="57"/>
      <c r="I18" s="19"/>
      <c r="J18" s="1465"/>
      <c r="K18" s="76"/>
      <c r="L18" s="77"/>
      <c r="M18" s="78"/>
      <c r="N18" s="79"/>
      <c r="O18" s="57"/>
      <c r="P18" s="19"/>
      <c r="Q18" s="1465"/>
      <c r="R18" s="1465"/>
      <c r="S18" s="1465"/>
      <c r="T18" s="1465"/>
      <c r="U18" s="1465"/>
      <c r="V18" s="2"/>
      <c r="W18" s="2"/>
      <c r="X18" s="2"/>
      <c r="Y18" s="2"/>
      <c r="Z18" s="2"/>
      <c r="AA18" s="2"/>
      <c r="AB18" s="2"/>
      <c r="AC18" s="2"/>
      <c r="AD18" s="57"/>
      <c r="AE18" s="815"/>
      <c r="AF18" s="815"/>
      <c r="AG18" s="815"/>
      <c r="AH18" s="1465"/>
      <c r="AI18" s="1465"/>
      <c r="AJ18" s="62"/>
      <c r="AK18" s="1465"/>
      <c r="AL18" s="62"/>
      <c r="AM18" s="62"/>
      <c r="AN18" s="1465"/>
      <c r="AO18" s="62"/>
      <c r="BZ18" s="3958"/>
      <c r="CA18" s="3958"/>
      <c r="CB18" s="3958"/>
    </row>
    <row r="19" spans="1:80" ht="12.75" hidden="1" customHeight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465">
        <v>8838.9</v>
      </c>
      <c r="J19" s="62"/>
      <c r="K19" s="80"/>
      <c r="L19" s="19">
        <v>8862.9</v>
      </c>
      <c r="M19" s="78"/>
      <c r="N19" s="79"/>
      <c r="O19" s="62"/>
      <c r="P19" s="11">
        <f>объемы!G9</f>
        <v>8372.9</v>
      </c>
      <c r="Q19" s="62"/>
      <c r="R19" s="62"/>
      <c r="S19" s="146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объемы!AZ9</f>
        <v>6381</v>
      </c>
      <c r="AC19" s="2"/>
      <c r="AD19" s="142"/>
      <c r="AE19" s="817"/>
      <c r="AF19" s="817"/>
      <c r="AG19" s="817"/>
      <c r="AH19" s="1465">
        <f>3309.7+2615.3</f>
        <v>5925</v>
      </c>
      <c r="AI19" s="62"/>
      <c r="AJ19" s="1465"/>
      <c r="AK19" s="93">
        <f>645.46+642.86+630.6</f>
        <v>1918.92</v>
      </c>
      <c r="AL19" s="1465"/>
      <c r="AM19" s="1465"/>
      <c r="AN19" s="93">
        <v>7835.7</v>
      </c>
      <c r="AO19" s="1465"/>
      <c r="BZ19" s="3958"/>
      <c r="CA19" s="3958"/>
      <c r="CB19" s="3958"/>
    </row>
    <row r="20" spans="1:80" ht="25.5" hidden="1" customHeight="1" x14ac:dyDescent="0.2">
      <c r="A20" s="81" t="s">
        <v>142</v>
      </c>
      <c r="B20" s="57"/>
      <c r="C20" s="19"/>
      <c r="D20" s="1465"/>
      <c r="E20" s="57"/>
      <c r="F20" s="19"/>
      <c r="G20" s="1465"/>
      <c r="H20" s="57"/>
      <c r="I20" s="93">
        <f>(I9/I19)/1000</f>
        <v>0.1666905384154137</v>
      </c>
      <c r="J20" s="1464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465"/>
      <c r="R20" s="1465"/>
      <c r="S20" s="93">
        <f>S9/S19</f>
        <v>0.15158469453569126</v>
      </c>
      <c r="T20" s="1465"/>
      <c r="U20" s="146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5"/>
      <c r="AF20" s="815"/>
      <c r="AG20" s="815"/>
      <c r="AH20" s="93">
        <f>AH9/AH19</f>
        <v>0.14554379746835441</v>
      </c>
      <c r="AI20" s="1465"/>
      <c r="AJ20" s="1465"/>
      <c r="AK20" s="93">
        <f>AK9/AK19</f>
        <v>0.12606153461321992</v>
      </c>
      <c r="AL20" s="1465"/>
      <c r="AM20" s="1465"/>
      <c r="AN20" s="93">
        <f>AN9/AN19</f>
        <v>0.14533481373712623</v>
      </c>
      <c r="AO20" s="1465"/>
      <c r="AP20" s="324">
        <f>(L20+P20+S20+AN20)/4</f>
        <v>0.15880621825734828</v>
      </c>
      <c r="BZ20" s="3958"/>
      <c r="CA20" s="3958"/>
      <c r="CB20" s="3958"/>
    </row>
    <row r="21" spans="1:80" ht="12.75" hidden="1" customHeight="1" x14ac:dyDescent="0.2">
      <c r="A21" s="81" t="s">
        <v>155</v>
      </c>
      <c r="B21" s="57"/>
      <c r="C21" s="19"/>
      <c r="D21" s="1465"/>
      <c r="E21" s="57"/>
      <c r="F21" s="19"/>
      <c r="G21" s="1465"/>
      <c r="H21" s="57"/>
      <c r="I21" s="93">
        <f>I19</f>
        <v>8838.9</v>
      </c>
      <c r="J21" s="1464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465"/>
      <c r="R21" s="1465"/>
      <c r="S21" s="1464">
        <f>S19</f>
        <v>6666.9</v>
      </c>
      <c r="T21" s="1465"/>
      <c r="U21" s="146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5"/>
      <c r="AF21" s="815"/>
      <c r="AG21" s="815"/>
      <c r="AH21" s="1464">
        <f>3021.8+2363</f>
        <v>5384.8</v>
      </c>
      <c r="AI21" s="1465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3958"/>
      <c r="CA21" s="3958"/>
      <c r="CB21" s="3958"/>
    </row>
    <row r="22" spans="1:80" ht="25.5" hidden="1" customHeight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8"/>
      <c r="AF22" s="818"/>
      <c r="AG22" s="81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  <c r="BZ22" s="3958"/>
      <c r="CA22" s="3958"/>
      <c r="CB22" s="3958"/>
    </row>
    <row r="23" spans="1:80" ht="12.75" hidden="1" customHeight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9"/>
      <c r="AF23" s="819"/>
      <c r="AG23" s="819"/>
      <c r="AH23" s="86"/>
      <c r="AI23" s="86"/>
      <c r="AJ23" s="1465"/>
      <c r="AK23" s="1465"/>
      <c r="AL23" s="1465"/>
      <c r="AM23" s="1465"/>
      <c r="AN23" s="1465"/>
      <c r="AO23" s="1465"/>
      <c r="BZ23" s="3958"/>
      <c r="CA23" s="3958"/>
      <c r="CB23" s="3958"/>
    </row>
    <row r="24" spans="1:80" ht="12.75" hidden="1" customHeight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1464">
        <v>4585.8</v>
      </c>
      <c r="J24" s="1464"/>
      <c r="K24" s="1464"/>
      <c r="L24" s="1464">
        <v>4415.2</v>
      </c>
      <c r="M24" s="97"/>
      <c r="N24" s="98"/>
      <c r="O24" s="101"/>
      <c r="P24" s="1464">
        <f>объемы!G21</f>
        <v>4093.2000000000003</v>
      </c>
      <c r="Q24" s="1465"/>
      <c r="R24" s="1465"/>
      <c r="S24" s="1465">
        <f>объемы!L21</f>
        <v>2958.3</v>
      </c>
      <c r="T24" s="1465"/>
      <c r="U24" s="1465"/>
      <c r="V24" s="2"/>
      <c r="W24" s="2"/>
      <c r="X24" s="2">
        <v>3695</v>
      </c>
      <c r="Y24" s="2"/>
      <c r="Z24" s="2"/>
      <c r="AA24" s="2"/>
      <c r="AB24" s="2">
        <f>объемы!AZ21</f>
        <v>4018</v>
      </c>
      <c r="AC24" s="2"/>
      <c r="AD24" s="57"/>
      <c r="AE24" s="815"/>
      <c r="AF24" s="815"/>
      <c r="AG24" s="815"/>
      <c r="AH24" s="1465">
        <v>3930.9</v>
      </c>
      <c r="AI24" s="1465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3958"/>
      <c r="CA24" s="3958"/>
      <c r="CB24" s="3958"/>
    </row>
    <row r="25" spans="1:80" ht="25.5" hidden="1" customHeight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8"/>
      <c r="AF25" s="818"/>
      <c r="AG25" s="81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  <c r="BZ25" s="3958"/>
      <c r="CA25" s="3958"/>
      <c r="CB25" s="3958"/>
    </row>
    <row r="26" spans="1:80" ht="25.5" hidden="1" customHeight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8"/>
      <c r="AF26" s="818"/>
      <c r="AG26" s="81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  <c r="BZ26" s="3958"/>
      <c r="CA26" s="3958"/>
      <c r="CB26" s="3958"/>
    </row>
    <row r="27" spans="1:80" ht="12.75" hidden="1" customHeight="1" x14ac:dyDescent="0.2">
      <c r="BZ27" s="3958"/>
      <c r="CA27" s="3958"/>
      <c r="CB27" s="3958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3958"/>
      <c r="CA28" s="3958"/>
      <c r="CB28" s="3958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3958"/>
      <c r="CA29" s="3958"/>
      <c r="CB29" s="3958"/>
    </row>
    <row r="30" spans="1:80" ht="12.75" hidden="1" customHeight="1" x14ac:dyDescent="0.2">
      <c r="A30" t="s">
        <v>212</v>
      </c>
      <c r="R30">
        <v>4.1559999999999997</v>
      </c>
      <c r="S30">
        <v>203.5</v>
      </c>
      <c r="T30">
        <v>879.9</v>
      </c>
      <c r="BZ30" s="3958"/>
      <c r="CA30" s="3958"/>
      <c r="CB30" s="3958"/>
    </row>
    <row r="31" spans="1:80" ht="12.75" hidden="1" customHeight="1" x14ac:dyDescent="0.2">
      <c r="A31" t="s">
        <v>213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3958"/>
      <c r="CA31" s="3958"/>
      <c r="CB31" s="3958"/>
    </row>
    <row r="32" spans="1:80" ht="12.75" hidden="1" customHeight="1" x14ac:dyDescent="0.2">
      <c r="A32" t="s">
        <v>214</v>
      </c>
      <c r="R32">
        <f>T32/S32</f>
        <v>3.0743776563448693</v>
      </c>
      <c r="S32">
        <v>988.2</v>
      </c>
      <c r="T32">
        <v>3038.1</v>
      </c>
      <c r="BZ32" s="3958"/>
      <c r="CA32" s="3958"/>
      <c r="CB32" s="3958"/>
    </row>
    <row r="33" spans="1:97" ht="12.75" hidden="1" customHeight="1" x14ac:dyDescent="0.2">
      <c r="A33" t="s">
        <v>215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3958"/>
      <c r="CA33" s="3958"/>
      <c r="CB33" s="3958"/>
    </row>
    <row r="34" spans="1:97" ht="12.75" hidden="1" customHeight="1" x14ac:dyDescent="0.2">
      <c r="BZ34" s="3958"/>
      <c r="CA34" s="3958"/>
      <c r="CB34" s="3958"/>
    </row>
    <row r="35" spans="1:97" ht="12.75" hidden="1" customHeight="1" x14ac:dyDescent="0.2">
      <c r="A35" t="s">
        <v>221</v>
      </c>
      <c r="R35">
        <v>4.2</v>
      </c>
      <c r="S35">
        <v>705.5</v>
      </c>
      <c r="T35">
        <v>2961.4</v>
      </c>
      <c r="BZ35" s="3958"/>
      <c r="CA35" s="3958"/>
      <c r="CB35" s="3958"/>
    </row>
    <row r="36" spans="1:97" ht="12.75" hidden="1" customHeight="1" x14ac:dyDescent="0.2">
      <c r="A36" t="s">
        <v>222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3958"/>
      <c r="CA36" s="3958"/>
      <c r="CB36" s="3958"/>
    </row>
    <row r="37" spans="1:97" ht="12.75" hidden="1" customHeight="1" x14ac:dyDescent="0.2">
      <c r="A37" t="s">
        <v>223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3958"/>
      <c r="CA37" s="3958"/>
      <c r="CB37" s="3958"/>
    </row>
    <row r="38" spans="1:97" ht="2.25" hidden="1" customHeight="1" x14ac:dyDescent="0.2">
      <c r="A38" t="s">
        <v>222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3958"/>
      <c r="CA38" s="3958"/>
      <c r="CB38" s="3958"/>
    </row>
    <row r="39" spans="1:97" ht="12.75" hidden="1" customHeight="1" x14ac:dyDescent="0.2">
      <c r="BZ39" s="3958"/>
      <c r="CA39" s="3958"/>
      <c r="CB39" s="3958"/>
    </row>
    <row r="40" spans="1:97" ht="34.5" customHeight="1" x14ac:dyDescent="0.2">
      <c r="BD40" t="s">
        <v>247</v>
      </c>
      <c r="BP40" t="s">
        <v>247</v>
      </c>
      <c r="BZ40" s="3958"/>
      <c r="CA40" s="3958"/>
      <c r="CB40" s="3958"/>
      <c r="CR40" t="s">
        <v>1508</v>
      </c>
    </row>
    <row r="41" spans="1:97" ht="20.25" x14ac:dyDescent="0.3">
      <c r="A41" s="4193" t="s">
        <v>834</v>
      </c>
      <c r="B41" s="4193"/>
      <c r="C41" s="4193"/>
      <c r="D41" s="4193"/>
      <c r="E41" s="4193"/>
      <c r="F41" s="4193"/>
      <c r="G41" s="4193"/>
      <c r="H41" s="4193"/>
      <c r="I41" s="4193"/>
      <c r="J41" s="4193"/>
      <c r="K41" s="4193"/>
      <c r="L41" s="4193"/>
      <c r="M41" s="4193"/>
      <c r="N41" s="4193"/>
      <c r="O41" s="4193"/>
      <c r="P41" s="4193"/>
      <c r="Q41" s="4193"/>
      <c r="R41" s="4193"/>
      <c r="S41" s="4193"/>
      <c r="T41" s="4193"/>
      <c r="U41" s="4193"/>
      <c r="V41" s="4193"/>
      <c r="W41" s="4193"/>
      <c r="X41" s="4193"/>
      <c r="Y41" s="4193"/>
      <c r="Z41" s="4193"/>
      <c r="AA41" s="4193"/>
      <c r="AB41" s="4193"/>
      <c r="AC41" s="4193"/>
      <c r="AD41" s="4193"/>
      <c r="AE41" s="4193"/>
      <c r="AF41" s="4193"/>
      <c r="AG41" s="4193"/>
      <c r="AH41" s="4193"/>
      <c r="AI41" s="4193"/>
      <c r="AJ41" s="4193"/>
      <c r="AK41" s="4193"/>
      <c r="AL41" s="4193"/>
      <c r="AM41" s="4193"/>
      <c r="AN41" s="4193"/>
      <c r="AO41" s="4193"/>
      <c r="AP41" s="4193"/>
      <c r="AQ41" s="4193"/>
      <c r="AR41" s="4193"/>
      <c r="AS41" s="4193"/>
      <c r="AT41" s="4193"/>
      <c r="AU41" s="4193"/>
      <c r="AV41" s="4193"/>
      <c r="AW41" s="4193"/>
      <c r="AX41" s="4193"/>
      <c r="AY41" s="4193"/>
      <c r="AZ41" s="4193"/>
      <c r="BA41" s="4193"/>
      <c r="BB41" s="4193"/>
      <c r="BC41" s="4193"/>
      <c r="BD41" s="4193"/>
      <c r="BE41" s="4193"/>
      <c r="BF41" s="4193"/>
      <c r="BG41" s="4193"/>
      <c r="BH41" s="4193"/>
      <c r="BI41" s="4193"/>
      <c r="BJ41" s="4193"/>
      <c r="BK41" s="4193"/>
      <c r="BL41" s="4193"/>
      <c r="BM41" s="4193"/>
      <c r="BN41" s="4193"/>
      <c r="BO41" s="4193"/>
      <c r="BP41" s="4193"/>
      <c r="BQ41" s="4193"/>
      <c r="BR41" s="4193"/>
      <c r="BS41" s="4193"/>
      <c r="BT41" s="4193"/>
      <c r="BU41" s="4193"/>
      <c r="BV41" s="4193"/>
      <c r="BW41" s="4193"/>
      <c r="BX41" s="4193"/>
      <c r="BY41" s="4193"/>
      <c r="BZ41" s="4193"/>
      <c r="CA41" s="4193"/>
      <c r="CB41" s="4193"/>
      <c r="CC41" s="4193"/>
      <c r="CD41" s="4193"/>
      <c r="CE41" s="4193"/>
      <c r="CF41" s="4193"/>
      <c r="CG41" s="4193"/>
      <c r="CH41" s="4193"/>
      <c r="CI41" s="4193"/>
      <c r="CJ41" s="4193"/>
      <c r="CK41" s="4193"/>
      <c r="CL41" s="4193"/>
      <c r="CM41" s="4193"/>
      <c r="CN41" s="4193"/>
      <c r="CO41" s="4193"/>
      <c r="CP41" s="4193"/>
      <c r="CQ41" s="4193"/>
      <c r="CR41" s="4193"/>
      <c r="CS41" s="4193"/>
    </row>
    <row r="44" spans="1:97" ht="20.25" x14ac:dyDescent="0.2">
      <c r="A44" s="4188" t="s">
        <v>536</v>
      </c>
      <c r="B44" s="1807"/>
      <c r="C44" s="1807"/>
      <c r="D44" s="1807"/>
      <c r="E44" s="1807"/>
      <c r="F44" s="1807"/>
      <c r="G44" s="1807"/>
      <c r="H44" s="1807"/>
      <c r="I44" s="1807"/>
      <c r="J44" s="1807"/>
      <c r="K44" s="4163" t="s">
        <v>293</v>
      </c>
      <c r="L44" s="4163"/>
      <c r="M44" s="4163"/>
      <c r="N44" s="4163"/>
      <c r="O44" s="4163"/>
      <c r="P44" s="4163"/>
      <c r="Q44" s="4163"/>
      <c r="R44" s="4163"/>
      <c r="S44" s="4163"/>
      <c r="T44" s="4163"/>
      <c r="U44" s="4163"/>
      <c r="V44" s="4163"/>
      <c r="W44" s="4163"/>
      <c r="X44" s="4163"/>
      <c r="Y44" s="4163"/>
      <c r="Z44" s="4163"/>
      <c r="AA44" s="4163"/>
      <c r="AB44" s="4163"/>
      <c r="AC44" s="4163"/>
      <c r="AD44" s="4163"/>
      <c r="AE44" s="4186"/>
      <c r="AF44" s="4186"/>
      <c r="AG44" s="4186"/>
      <c r="AH44" s="4163" t="s">
        <v>837</v>
      </c>
      <c r="AI44" s="4163"/>
      <c r="AJ44" s="4163"/>
      <c r="AK44" s="4163"/>
      <c r="AL44" s="4163"/>
      <c r="AM44" s="4163"/>
      <c r="AN44" s="4163"/>
      <c r="AO44" s="4163"/>
      <c r="AP44" s="4163"/>
      <c r="AQ44" s="4163"/>
      <c r="AR44" s="4187"/>
      <c r="AS44" s="4187"/>
      <c r="AT44" s="4187"/>
      <c r="AU44" s="4187"/>
      <c r="AV44" s="4187"/>
      <c r="AW44" s="4187"/>
      <c r="AX44" s="4156" t="s">
        <v>1842</v>
      </c>
      <c r="AY44" s="4157"/>
      <c r="AZ44" s="4157"/>
      <c r="BA44" s="4157"/>
      <c r="BB44" s="4157"/>
      <c r="BC44" s="4157"/>
      <c r="BD44" s="4157"/>
      <c r="BE44" s="4157"/>
      <c r="BF44" s="4157"/>
      <c r="BG44" s="4157"/>
      <c r="BH44" s="4157"/>
      <c r="BI44" s="4157"/>
      <c r="BJ44" s="4157"/>
      <c r="BK44" s="4157"/>
      <c r="BL44" s="4157"/>
      <c r="BM44" s="4158"/>
      <c r="BN44" s="4163" t="s">
        <v>908</v>
      </c>
      <c r="BO44" s="4163"/>
      <c r="BP44" s="4163"/>
      <c r="BQ44" s="4163"/>
      <c r="BR44" s="4163"/>
      <c r="BS44" s="4163"/>
      <c r="BT44" s="4163"/>
      <c r="BU44" s="4163"/>
      <c r="BV44" s="4163"/>
      <c r="BW44" s="4163"/>
      <c r="BX44" s="4163"/>
      <c r="BY44" s="4163"/>
      <c r="BZ44" s="4163"/>
      <c r="CA44" s="4163"/>
      <c r="CB44" s="4163"/>
      <c r="CC44" s="4163"/>
      <c r="CD44" s="4163"/>
      <c r="CE44" s="4163"/>
      <c r="CF44" s="4163"/>
      <c r="CG44" s="4163"/>
      <c r="CH44" s="4163"/>
      <c r="CI44" s="4163"/>
      <c r="CJ44" s="4163"/>
      <c r="CK44" s="4156" t="s">
        <v>909</v>
      </c>
      <c r="CL44" s="4157"/>
      <c r="CM44" s="4157"/>
      <c r="CN44" s="4157"/>
      <c r="CO44" s="4157"/>
      <c r="CP44" s="4157"/>
      <c r="CQ44" s="4157"/>
      <c r="CR44" s="4157"/>
      <c r="CS44" s="4158"/>
    </row>
    <row r="45" spans="1:97" ht="51.75" customHeight="1" x14ac:dyDescent="0.2">
      <c r="A45" s="4188"/>
      <c r="B45" s="1807"/>
      <c r="C45" s="1807"/>
      <c r="D45" s="1807"/>
      <c r="E45" s="1807"/>
      <c r="F45" s="1807"/>
      <c r="G45" s="1807"/>
      <c r="H45" s="1807"/>
      <c r="I45" s="1807"/>
      <c r="J45" s="1807"/>
      <c r="K45" s="4185" t="s">
        <v>125</v>
      </c>
      <c r="L45" s="4185"/>
      <c r="M45" s="4185"/>
      <c r="N45" s="4185"/>
      <c r="O45" s="4185" t="s">
        <v>126</v>
      </c>
      <c r="P45" s="4185"/>
      <c r="Q45" s="4185"/>
      <c r="R45" s="4185"/>
      <c r="S45" s="4188" t="s">
        <v>361</v>
      </c>
      <c r="T45" s="4188"/>
      <c r="U45" s="4188"/>
      <c r="V45" s="4188"/>
      <c r="W45" s="1808"/>
      <c r="X45" s="4185" t="s">
        <v>384</v>
      </c>
      <c r="Y45" s="4185"/>
      <c r="Z45" s="4185"/>
      <c r="AA45" s="4185"/>
      <c r="AB45" s="4185" t="s">
        <v>130</v>
      </c>
      <c r="AC45" s="4185"/>
      <c r="AD45" s="4185"/>
      <c r="AE45" s="4185" t="s">
        <v>835</v>
      </c>
      <c r="AF45" s="4185"/>
      <c r="AG45" s="4185"/>
      <c r="AH45" s="4165" t="s">
        <v>125</v>
      </c>
      <c r="AI45" s="4165"/>
      <c r="AJ45" s="4165"/>
      <c r="AK45" s="4165"/>
      <c r="AL45" s="4185" t="s">
        <v>126</v>
      </c>
      <c r="AM45" s="4185"/>
      <c r="AN45" s="4185"/>
      <c r="AO45" s="4185" t="s">
        <v>361</v>
      </c>
      <c r="AP45" s="4185"/>
      <c r="AQ45" s="4185"/>
      <c r="AR45" s="4165" t="s">
        <v>384</v>
      </c>
      <c r="AS45" s="4165"/>
      <c r="AT45" s="4165"/>
      <c r="AU45" s="4165" t="s">
        <v>130</v>
      </c>
      <c r="AV45" s="4165"/>
      <c r="AW45" s="4165"/>
      <c r="AX45" s="4165" t="s">
        <v>125</v>
      </c>
      <c r="AY45" s="4165"/>
      <c r="AZ45" s="4165"/>
      <c r="BA45" s="4165"/>
      <c r="BB45" s="4165" t="s">
        <v>1810</v>
      </c>
      <c r="BC45" s="4165"/>
      <c r="BD45" s="4165"/>
      <c r="BE45" s="4185" t="s">
        <v>361</v>
      </c>
      <c r="BF45" s="4185"/>
      <c r="BG45" s="4185"/>
      <c r="BH45" s="4159" t="s">
        <v>61</v>
      </c>
      <c r="BI45" s="4160"/>
      <c r="BJ45" s="4161"/>
      <c r="BK45" s="4159" t="s">
        <v>1693</v>
      </c>
      <c r="BL45" s="4160"/>
      <c r="BM45" s="4161"/>
      <c r="BN45" s="4165" t="s">
        <v>1811</v>
      </c>
      <c r="BO45" s="4165"/>
      <c r="BP45" s="4165"/>
      <c r="BQ45" s="4185" t="s">
        <v>361</v>
      </c>
      <c r="BR45" s="4185"/>
      <c r="BS45" s="4185"/>
      <c r="BT45" s="4165" t="s">
        <v>126</v>
      </c>
      <c r="BU45" s="4165"/>
      <c r="BV45" s="4165"/>
      <c r="BW45" s="4185" t="s">
        <v>361</v>
      </c>
      <c r="BX45" s="4185"/>
      <c r="BY45" s="4185"/>
      <c r="BZ45" s="4164" t="s">
        <v>1527</v>
      </c>
      <c r="CA45" s="4164"/>
      <c r="CB45" s="4164"/>
      <c r="CC45" s="2484"/>
      <c r="CD45" s="2484"/>
      <c r="CE45" s="4164" t="s">
        <v>1843</v>
      </c>
      <c r="CF45" s="4164"/>
      <c r="CG45" s="4164"/>
      <c r="CH45" s="4164" t="s">
        <v>1844</v>
      </c>
      <c r="CI45" s="4164"/>
      <c r="CJ45" s="4164"/>
      <c r="CK45" s="4151" t="s">
        <v>1811</v>
      </c>
      <c r="CL45" s="4152"/>
      <c r="CM45" s="4153"/>
      <c r="CN45" s="4151" t="s">
        <v>122</v>
      </c>
      <c r="CO45" s="4152"/>
      <c r="CP45" s="4153"/>
      <c r="CQ45" s="4151" t="s">
        <v>1697</v>
      </c>
      <c r="CR45" s="4152"/>
      <c r="CS45" s="4153"/>
    </row>
    <row r="46" spans="1:97" ht="28.5" customHeight="1" x14ac:dyDescent="0.2">
      <c r="A46" s="4188"/>
      <c r="B46" s="1807"/>
      <c r="C46" s="1807"/>
      <c r="D46" s="1807"/>
      <c r="E46" s="1807"/>
      <c r="F46" s="1807"/>
      <c r="G46" s="1807"/>
      <c r="H46" s="1807"/>
      <c r="I46" s="1807"/>
      <c r="J46" s="1807"/>
      <c r="K46" s="1809" t="s">
        <v>115</v>
      </c>
      <c r="L46" s="4162" t="s">
        <v>836</v>
      </c>
      <c r="M46" s="4162" t="s">
        <v>102</v>
      </c>
      <c r="N46" s="4162" t="s">
        <v>102</v>
      </c>
      <c r="O46" s="1809" t="s">
        <v>115</v>
      </c>
      <c r="P46" s="4162" t="s">
        <v>836</v>
      </c>
      <c r="Q46" s="4162" t="s">
        <v>102</v>
      </c>
      <c r="R46" s="4162" t="s">
        <v>240</v>
      </c>
      <c r="S46" s="4188"/>
      <c r="T46" s="4188"/>
      <c r="U46" s="4188"/>
      <c r="V46" s="4188"/>
      <c r="W46" s="1809"/>
      <c r="X46" s="1809" t="s">
        <v>115</v>
      </c>
      <c r="Y46" s="4162" t="s">
        <v>836</v>
      </c>
      <c r="Z46" s="4162" t="s">
        <v>102</v>
      </c>
      <c r="AA46" s="4162" t="s">
        <v>102</v>
      </c>
      <c r="AB46" s="1809" t="s">
        <v>115</v>
      </c>
      <c r="AC46" s="4162" t="s">
        <v>836</v>
      </c>
      <c r="AD46" s="4162" t="s">
        <v>102</v>
      </c>
      <c r="AE46" s="1809" t="s">
        <v>115</v>
      </c>
      <c r="AF46" s="4162" t="s">
        <v>836</v>
      </c>
      <c r="AG46" s="4162" t="s">
        <v>102</v>
      </c>
      <c r="AH46" s="1809" t="s">
        <v>115</v>
      </c>
      <c r="AI46" s="4162" t="s">
        <v>836</v>
      </c>
      <c r="AJ46" s="4162" t="s">
        <v>102</v>
      </c>
      <c r="AK46" s="4162" t="s">
        <v>389</v>
      </c>
      <c r="AL46" s="1809" t="s">
        <v>115</v>
      </c>
      <c r="AM46" s="4162" t="s">
        <v>836</v>
      </c>
      <c r="AN46" s="4162" t="s">
        <v>102</v>
      </c>
      <c r="AO46" s="4162" t="s">
        <v>841</v>
      </c>
      <c r="AP46" s="4162"/>
      <c r="AQ46" s="4162"/>
      <c r="AR46" s="1809" t="s">
        <v>115</v>
      </c>
      <c r="AS46" s="4162" t="s">
        <v>836</v>
      </c>
      <c r="AT46" s="4162" t="s">
        <v>102</v>
      </c>
      <c r="AU46" s="1809" t="s">
        <v>115</v>
      </c>
      <c r="AV46" s="4162" t="s">
        <v>836</v>
      </c>
      <c r="AW46" s="4162" t="s">
        <v>102</v>
      </c>
      <c r="AX46" s="1809" t="s">
        <v>115</v>
      </c>
      <c r="AY46" s="4162" t="s">
        <v>836</v>
      </c>
      <c r="AZ46" s="4162" t="s">
        <v>102</v>
      </c>
      <c r="BA46" s="4162" t="s">
        <v>389</v>
      </c>
      <c r="BB46" s="1809" t="s">
        <v>115</v>
      </c>
      <c r="BC46" s="4162" t="s">
        <v>836</v>
      </c>
      <c r="BD46" s="4162" t="s">
        <v>102</v>
      </c>
      <c r="BE46" s="4162" t="s">
        <v>841</v>
      </c>
      <c r="BF46" s="4162"/>
      <c r="BG46" s="4162"/>
      <c r="BH46" s="2113" t="s">
        <v>115</v>
      </c>
      <c r="BI46" s="4162" t="s">
        <v>836</v>
      </c>
      <c r="BJ46" s="4162" t="s">
        <v>102</v>
      </c>
      <c r="BK46" s="2113" t="s">
        <v>115</v>
      </c>
      <c r="BL46" s="4162" t="s">
        <v>836</v>
      </c>
      <c r="BM46" s="4162" t="s">
        <v>102</v>
      </c>
      <c r="BN46" s="2440" t="s">
        <v>115</v>
      </c>
      <c r="BO46" s="4162" t="s">
        <v>836</v>
      </c>
      <c r="BP46" s="4162" t="s">
        <v>102</v>
      </c>
      <c r="BQ46" s="4162" t="s">
        <v>841</v>
      </c>
      <c r="BR46" s="4162"/>
      <c r="BS46" s="4162"/>
      <c r="BT46" s="2440" t="s">
        <v>115</v>
      </c>
      <c r="BU46" s="4162" t="s">
        <v>836</v>
      </c>
      <c r="BV46" s="4162" t="s">
        <v>102</v>
      </c>
      <c r="BW46" s="4162" t="s">
        <v>841</v>
      </c>
      <c r="BX46" s="4162"/>
      <c r="BY46" s="4162"/>
      <c r="BZ46" s="2440" t="s">
        <v>115</v>
      </c>
      <c r="CA46" s="4162" t="s">
        <v>836</v>
      </c>
      <c r="CB46" s="4162" t="s">
        <v>102</v>
      </c>
      <c r="CC46" s="2484"/>
      <c r="CD46" s="2484"/>
      <c r="CE46" s="2440" t="s">
        <v>115</v>
      </c>
      <c r="CF46" s="4162" t="s">
        <v>836</v>
      </c>
      <c r="CG46" s="4162" t="s">
        <v>102</v>
      </c>
      <c r="CH46" s="2440" t="s">
        <v>115</v>
      </c>
      <c r="CI46" s="4162" t="s">
        <v>836</v>
      </c>
      <c r="CJ46" s="4162" t="s">
        <v>102</v>
      </c>
      <c r="CK46" s="2410" t="s">
        <v>115</v>
      </c>
      <c r="CL46" s="4154" t="s">
        <v>836</v>
      </c>
      <c r="CM46" s="4154" t="s">
        <v>102</v>
      </c>
      <c r="CN46" s="2410" t="s">
        <v>115</v>
      </c>
      <c r="CO46" s="4154" t="s">
        <v>836</v>
      </c>
      <c r="CP46" s="4154" t="s">
        <v>102</v>
      </c>
      <c r="CQ46" s="2410" t="s">
        <v>115</v>
      </c>
      <c r="CR46" s="4154" t="s">
        <v>836</v>
      </c>
      <c r="CS46" s="4154" t="s">
        <v>102</v>
      </c>
    </row>
    <row r="47" spans="1:97" ht="37.5" x14ac:dyDescent="0.2">
      <c r="A47" s="4188"/>
      <c r="B47" s="1807"/>
      <c r="C47" s="1807"/>
      <c r="D47" s="1807"/>
      <c r="E47" s="1807"/>
      <c r="F47" s="1807"/>
      <c r="G47" s="1807"/>
      <c r="H47" s="1807"/>
      <c r="I47" s="1807"/>
      <c r="J47" s="1807"/>
      <c r="K47" s="1809" t="s">
        <v>229</v>
      </c>
      <c r="L47" s="4162"/>
      <c r="M47" s="4162"/>
      <c r="N47" s="4162"/>
      <c r="O47" s="1809" t="s">
        <v>229</v>
      </c>
      <c r="P47" s="4162"/>
      <c r="Q47" s="4162"/>
      <c r="R47" s="4162"/>
      <c r="S47" s="1809" t="s">
        <v>115</v>
      </c>
      <c r="T47" s="1809" t="s">
        <v>370</v>
      </c>
      <c r="U47" s="1809"/>
      <c r="V47" s="1809" t="s">
        <v>102</v>
      </c>
      <c r="W47" s="1809"/>
      <c r="X47" s="1809" t="s">
        <v>229</v>
      </c>
      <c r="Y47" s="4162"/>
      <c r="Z47" s="4162"/>
      <c r="AA47" s="4162"/>
      <c r="AB47" s="1809" t="s">
        <v>229</v>
      </c>
      <c r="AC47" s="4162"/>
      <c r="AD47" s="4162"/>
      <c r="AE47" s="1809" t="s">
        <v>229</v>
      </c>
      <c r="AF47" s="4162"/>
      <c r="AG47" s="4162"/>
      <c r="AH47" s="1809" t="s">
        <v>229</v>
      </c>
      <c r="AI47" s="4162"/>
      <c r="AJ47" s="4162"/>
      <c r="AK47" s="4162"/>
      <c r="AL47" s="1809" t="s">
        <v>229</v>
      </c>
      <c r="AM47" s="4162"/>
      <c r="AN47" s="4162"/>
      <c r="AO47" s="1809" t="s">
        <v>115</v>
      </c>
      <c r="AP47" s="1809" t="s">
        <v>370</v>
      </c>
      <c r="AQ47" s="1809" t="s">
        <v>102</v>
      </c>
      <c r="AR47" s="1809" t="s">
        <v>229</v>
      </c>
      <c r="AS47" s="4162"/>
      <c r="AT47" s="4162"/>
      <c r="AU47" s="1809" t="s">
        <v>229</v>
      </c>
      <c r="AV47" s="4162"/>
      <c r="AW47" s="4162"/>
      <c r="AX47" s="1809" t="s">
        <v>229</v>
      </c>
      <c r="AY47" s="4162"/>
      <c r="AZ47" s="4162"/>
      <c r="BA47" s="4162"/>
      <c r="BB47" s="1809" t="s">
        <v>229</v>
      </c>
      <c r="BC47" s="4162"/>
      <c r="BD47" s="4162"/>
      <c r="BE47" s="1809" t="s">
        <v>115</v>
      </c>
      <c r="BF47" s="1809" t="s">
        <v>370</v>
      </c>
      <c r="BG47" s="1809" t="s">
        <v>102</v>
      </c>
      <c r="BH47" s="2113" t="s">
        <v>229</v>
      </c>
      <c r="BI47" s="4162"/>
      <c r="BJ47" s="4162"/>
      <c r="BK47" s="2113" t="s">
        <v>229</v>
      </c>
      <c r="BL47" s="4162"/>
      <c r="BM47" s="4162"/>
      <c r="BN47" s="2440" t="s">
        <v>229</v>
      </c>
      <c r="BO47" s="4162"/>
      <c r="BP47" s="4162"/>
      <c r="BQ47" s="2440" t="s">
        <v>115</v>
      </c>
      <c r="BR47" s="2440" t="s">
        <v>370</v>
      </c>
      <c r="BS47" s="2440" t="s">
        <v>102</v>
      </c>
      <c r="BT47" s="2440" t="s">
        <v>229</v>
      </c>
      <c r="BU47" s="4162"/>
      <c r="BV47" s="4162"/>
      <c r="BW47" s="2440" t="s">
        <v>115</v>
      </c>
      <c r="BX47" s="2440" t="s">
        <v>370</v>
      </c>
      <c r="BY47" s="2440" t="s">
        <v>102</v>
      </c>
      <c r="BZ47" s="2440" t="s">
        <v>229</v>
      </c>
      <c r="CA47" s="4162"/>
      <c r="CB47" s="4162"/>
      <c r="CC47" s="2485" t="s">
        <v>160</v>
      </c>
      <c r="CD47" s="2485" t="s">
        <v>161</v>
      </c>
      <c r="CE47" s="2440" t="s">
        <v>229</v>
      </c>
      <c r="CF47" s="4162"/>
      <c r="CG47" s="4162"/>
      <c r="CH47" s="2440" t="s">
        <v>229</v>
      </c>
      <c r="CI47" s="4162"/>
      <c r="CJ47" s="4162"/>
      <c r="CK47" s="2410" t="s">
        <v>229</v>
      </c>
      <c r="CL47" s="4155"/>
      <c r="CM47" s="4155"/>
      <c r="CN47" s="2410" t="s">
        <v>229</v>
      </c>
      <c r="CO47" s="4155"/>
      <c r="CP47" s="4155"/>
      <c r="CQ47" s="2410" t="s">
        <v>229</v>
      </c>
      <c r="CR47" s="4155"/>
      <c r="CS47" s="4155"/>
    </row>
    <row r="48" spans="1:97" ht="30" customHeight="1" x14ac:dyDescent="0.2">
      <c r="A48" s="1810" t="s">
        <v>135</v>
      </c>
      <c r="B48" s="1807"/>
      <c r="C48" s="1807"/>
      <c r="D48" s="1807"/>
      <c r="E48" s="1807"/>
      <c r="F48" s="1807"/>
      <c r="G48" s="1807"/>
      <c r="H48" s="1807"/>
      <c r="I48" s="1807"/>
      <c r="J48" s="1807"/>
      <c r="K48" s="1811">
        <v>5.75</v>
      </c>
      <c r="L48" s="1812">
        <v>1091.2</v>
      </c>
      <c r="M48" s="1693">
        <f>L48*K48</f>
        <v>6274.4000000000005</v>
      </c>
      <c r="N48" s="1812">
        <f>K48*M48</f>
        <v>36077.800000000003</v>
      </c>
      <c r="O48" s="1811">
        <v>5.5810000000000004</v>
      </c>
      <c r="P48" s="1694">
        <f>Q56*Q57</f>
        <v>808.97481109618491</v>
      </c>
      <c r="Q48" s="1694">
        <f>O48*P48</f>
        <v>4514.8884207278079</v>
      </c>
      <c r="R48" s="1813"/>
      <c r="S48" s="1811">
        <f>O48-K48</f>
        <v>-0.16899999999999959</v>
      </c>
      <c r="T48" s="1808">
        <f>P48-L48</f>
        <v>-282.22518890381514</v>
      </c>
      <c r="U48" s="1813"/>
      <c r="V48" s="1808">
        <f>Q48-M48</f>
        <v>-1759.5115792721926</v>
      </c>
      <c r="W48" s="1813"/>
      <c r="X48" s="1811">
        <v>4.9657999999999998</v>
      </c>
      <c r="Y48" s="1812">
        <v>505.33199999999999</v>
      </c>
      <c r="Z48" s="1693">
        <v>2509.4</v>
      </c>
      <c r="AA48" s="1812">
        <f>X48*Z48</f>
        <v>12461.178519999999</v>
      </c>
      <c r="AB48" s="1811">
        <f t="shared" ref="AB48:AB55" si="3">AD48/AC48</f>
        <v>4.9915147295592019</v>
      </c>
      <c r="AC48" s="1812">
        <v>689.43</v>
      </c>
      <c r="AD48" s="1693">
        <v>3441.3</v>
      </c>
      <c r="AE48" s="1808">
        <f>SUM(AG48/AF48)</f>
        <v>5.007427152968611</v>
      </c>
      <c r="AF48" s="1694">
        <v>910.84699999999998</v>
      </c>
      <c r="AG48" s="1694">
        <v>4561</v>
      </c>
      <c r="AH48" s="1811">
        <v>5.5810000000000004</v>
      </c>
      <c r="AI48" s="1812">
        <v>846.8</v>
      </c>
      <c r="AJ48" s="1694">
        <f>4962.29</f>
        <v>4962.29</v>
      </c>
      <c r="AK48" s="1812"/>
      <c r="AL48" s="1811">
        <f>K74*1.028</f>
        <v>5.2037132396875592</v>
      </c>
      <c r="AM48" s="1694">
        <f>AN56*AN57</f>
        <v>883.18331415423415</v>
      </c>
      <c r="AN48" s="1694">
        <f>AL48*AM48</f>
        <v>4595.8327049355248</v>
      </c>
      <c r="AO48" s="1811">
        <f t="shared" ref="AO48:AQ54" si="4">AL48-AH48</f>
        <v>-0.37728676031244124</v>
      </c>
      <c r="AP48" s="1808">
        <f t="shared" si="4"/>
        <v>36.383314154234199</v>
      </c>
      <c r="AQ48" s="1808">
        <f t="shared" si="4"/>
        <v>-366.45729506447515</v>
      </c>
      <c r="AR48" s="1811">
        <f>SUM(AT48/AS48)</f>
        <v>4.9360225547603553</v>
      </c>
      <c r="AS48" s="1812">
        <v>414.99</v>
      </c>
      <c r="AT48" s="1694">
        <v>2048.4</v>
      </c>
      <c r="AU48" s="1811">
        <f>SUM(AW48/AV48)</f>
        <v>5.0309675458654715</v>
      </c>
      <c r="AV48" s="1812">
        <v>546.21699999999998</v>
      </c>
      <c r="AW48" s="1694">
        <v>2748</v>
      </c>
      <c r="AX48" s="1811">
        <f>SUM(AL48*1.1)</f>
        <v>5.7240845636563158</v>
      </c>
      <c r="AY48" s="1808">
        <v>910.85</v>
      </c>
      <c r="AZ48" s="1694">
        <f>SUM(AX48*AY48)</f>
        <v>5213.7824248063553</v>
      </c>
      <c r="BA48" s="1814">
        <f t="shared" ref="BA48:BA63" si="5">SUM(AZ48/AN48)</f>
        <v>1.1344587062986879</v>
      </c>
      <c r="BB48" s="1825">
        <f>(AU65+AU65*1.06)/2</f>
        <v>5.4911565455279785</v>
      </c>
      <c r="BC48" s="1826">
        <f>BD56*BD57</f>
        <v>703.79138799999998</v>
      </c>
      <c r="BD48" s="1689">
        <f>BC48*BB48</f>
        <v>3864.6286869024211</v>
      </c>
      <c r="BE48" s="1825">
        <f t="shared" ref="BE48:BG54" si="6">BB48-AX48</f>
        <v>-0.2329280181283373</v>
      </c>
      <c r="BF48" s="1827">
        <f t="shared" si="6"/>
        <v>-207.05861200000004</v>
      </c>
      <c r="BG48" s="1827">
        <f t="shared" si="6"/>
        <v>-1349.1537379039341</v>
      </c>
      <c r="BH48" s="1827">
        <v>2.4449999999999998</v>
      </c>
      <c r="BI48" s="1826">
        <v>789.24</v>
      </c>
      <c r="BJ48" s="1689">
        <v>1929.89</v>
      </c>
      <c r="BK48" s="1827">
        <v>2.4449999999999998</v>
      </c>
      <c r="BL48" s="1826">
        <f>BM56*BM57</f>
        <v>698.0777195516813</v>
      </c>
      <c r="BM48" s="1689">
        <f>BL48*BK48</f>
        <v>1706.8000243038607</v>
      </c>
      <c r="BN48" s="1825">
        <f>BB48*1.066</f>
        <v>5.8535728775328257</v>
      </c>
      <c r="BO48" s="1826">
        <f>BP56*BP57</f>
        <v>689.4896</v>
      </c>
      <c r="BP48" s="1689">
        <f>BO48*BN48</f>
        <v>4035.9776219009568</v>
      </c>
      <c r="BQ48" s="1825">
        <f>BN48-BB48</f>
        <v>0.36241633200484724</v>
      </c>
      <c r="BR48" s="1827">
        <f t="shared" ref="BR48" si="7">BO48-BE48</f>
        <v>689.72252801812829</v>
      </c>
      <c r="BS48" s="1827">
        <f t="shared" ref="BS48" si="8">BP48-BF48</f>
        <v>4243.0362339009571</v>
      </c>
      <c r="BT48" s="1825">
        <f>BN48*1.067</f>
        <v>6.2457622603275249</v>
      </c>
      <c r="BU48" s="1826">
        <f>BV56*BV57</f>
        <v>689.4896</v>
      </c>
      <c r="BV48" s="1689">
        <f>BU48*BT48</f>
        <v>4306.3881225683208</v>
      </c>
      <c r="BW48" s="1825">
        <f t="shared" ref="BW48" si="9">BT48-BP48</f>
        <v>-4029.7318596406294</v>
      </c>
      <c r="BX48" s="1827">
        <f t="shared" ref="BX48" si="10">BU48-BQ48</f>
        <v>689.12718366799515</v>
      </c>
      <c r="BY48" s="1827">
        <f t="shared" ref="BY48" si="11">BV48-BR48</f>
        <v>3616.6655945501925</v>
      </c>
      <c r="BZ48" s="1827">
        <f>(5.453783+5.453783*1.07)/2</f>
        <v>5.6446654049999996</v>
      </c>
      <c r="CA48" s="1826">
        <f>CB56*CB57</f>
        <v>690.76496745870816</v>
      </c>
      <c r="CB48" s="1764">
        <f>CA48*BZ48</f>
        <v>3899.1371148001203</v>
      </c>
      <c r="CC48" s="2486">
        <f>CB48*CC57</f>
        <v>3884.8940660556532</v>
      </c>
      <c r="CD48" s="2486">
        <f>CD57*CB48</f>
        <v>14.243048744466778</v>
      </c>
      <c r="CE48" s="1827">
        <v>5.51</v>
      </c>
      <c r="CF48" s="1826">
        <v>881.62</v>
      </c>
      <c r="CG48" s="1764">
        <v>4858.1899999999996</v>
      </c>
      <c r="CH48" s="1827">
        <f>CE48</f>
        <v>5.51</v>
      </c>
      <c r="CI48" s="1826">
        <f>CJ56*CJ57</f>
        <v>738.73216498132001</v>
      </c>
      <c r="CJ48" s="1764">
        <f t="shared" ref="CJ48" si="12">CI48*CH48</f>
        <v>4070.4142290470731</v>
      </c>
      <c r="CK48" s="1825">
        <f>BT48</f>
        <v>6.2457622603275249</v>
      </c>
      <c r="CL48" s="1825">
        <f t="shared" ref="CL48:CM50" si="13">BU48</f>
        <v>689.4896</v>
      </c>
      <c r="CM48" s="1825">
        <f t="shared" si="13"/>
        <v>4306.3881225683208</v>
      </c>
      <c r="CN48" s="1825">
        <v>6.0389999999999997</v>
      </c>
      <c r="CO48" s="1826">
        <f>CP56*CP57</f>
        <v>690.68</v>
      </c>
      <c r="CP48" s="1689">
        <f>CO48*CN48</f>
        <v>4171.0165199999992</v>
      </c>
      <c r="CQ48" s="1825">
        <f>BZ48*1.07</f>
        <v>6.0397919833499998</v>
      </c>
      <c r="CR48" s="1826">
        <f>CS56*CS57</f>
        <v>660.45886182086053</v>
      </c>
      <c r="CS48" s="1689">
        <f>CR48*CQ48</f>
        <v>3989.0341389580985</v>
      </c>
    </row>
    <row r="49" spans="1:97" ht="30" customHeight="1" x14ac:dyDescent="0.2">
      <c r="A49" s="1810"/>
      <c r="B49" s="1807"/>
      <c r="C49" s="1807"/>
      <c r="D49" s="1807"/>
      <c r="E49" s="1807"/>
      <c r="F49" s="1807"/>
      <c r="G49" s="1807"/>
      <c r="H49" s="1807"/>
      <c r="I49" s="1807"/>
      <c r="J49" s="1807"/>
      <c r="K49" s="1811"/>
      <c r="L49" s="1812"/>
      <c r="M49" s="1693"/>
      <c r="N49" s="1812"/>
      <c r="O49" s="1811"/>
      <c r="P49" s="1694"/>
      <c r="Q49" s="1694"/>
      <c r="R49" s="1813"/>
      <c r="S49" s="1811"/>
      <c r="T49" s="1808"/>
      <c r="U49" s="1813"/>
      <c r="V49" s="1808"/>
      <c r="W49" s="1813"/>
      <c r="X49" s="1811"/>
      <c r="Y49" s="1812"/>
      <c r="Z49" s="1693"/>
      <c r="AA49" s="1812"/>
      <c r="AB49" s="1811"/>
      <c r="AC49" s="1812"/>
      <c r="AD49" s="1693"/>
      <c r="AE49" s="1808"/>
      <c r="AF49" s="1694"/>
      <c r="AG49" s="1694"/>
      <c r="AH49" s="1811"/>
      <c r="AI49" s="1812"/>
      <c r="AJ49" s="1694"/>
      <c r="AK49" s="1812"/>
      <c r="AL49" s="1811"/>
      <c r="AM49" s="1694"/>
      <c r="AN49" s="1694"/>
      <c r="AO49" s="1811"/>
      <c r="AP49" s="1808"/>
      <c r="AQ49" s="1808"/>
      <c r="AR49" s="1811"/>
      <c r="AS49" s="1812"/>
      <c r="AT49" s="1694">
        <v>132.9</v>
      </c>
      <c r="AU49" s="1811"/>
      <c r="AV49" s="1812"/>
      <c r="AW49" s="1694">
        <v>205.8</v>
      </c>
      <c r="AX49" s="1811"/>
      <c r="AY49" s="1808"/>
      <c r="AZ49" s="1694"/>
      <c r="BA49" s="1814"/>
      <c r="BB49" s="1825"/>
      <c r="BC49" s="1826"/>
      <c r="BD49" s="1689"/>
      <c r="BE49" s="1825"/>
      <c r="BF49" s="1827"/>
      <c r="BG49" s="1827"/>
      <c r="BH49" s="1827"/>
      <c r="BI49" s="1826"/>
      <c r="BJ49" s="1689"/>
      <c r="BK49" s="1827"/>
      <c r="BL49" s="1826"/>
      <c r="BM49" s="1689"/>
      <c r="BN49" s="1825"/>
      <c r="BO49" s="1826"/>
      <c r="BP49" s="1689"/>
      <c r="BQ49" s="1825"/>
      <c r="BR49" s="1827"/>
      <c r="BS49" s="1827"/>
      <c r="BT49" s="1825"/>
      <c r="BU49" s="1826"/>
      <c r="BV49" s="1689"/>
      <c r="BW49" s="1825"/>
      <c r="BX49" s="1827"/>
      <c r="BY49" s="1827"/>
      <c r="BZ49" s="1827"/>
      <c r="CA49" s="1826"/>
      <c r="CB49" s="1764"/>
      <c r="CC49" s="2484"/>
      <c r="CD49" s="2484"/>
      <c r="CE49" s="1827"/>
      <c r="CF49" s="1826"/>
      <c r="CG49" s="1764"/>
      <c r="CH49" s="1827"/>
      <c r="CI49" s="1826"/>
      <c r="CJ49" s="1764"/>
      <c r="CK49" s="1825"/>
      <c r="CL49" s="1825"/>
      <c r="CM49" s="1825"/>
      <c r="CN49" s="1825"/>
      <c r="CO49" s="1826"/>
      <c r="CP49" s="1689"/>
      <c r="CQ49" s="1825"/>
      <c r="CR49" s="1826"/>
      <c r="CS49" s="1689"/>
    </row>
    <row r="50" spans="1:97" ht="30" customHeight="1" x14ac:dyDescent="0.2">
      <c r="A50" s="1810" t="s">
        <v>136</v>
      </c>
      <c r="B50" s="1807"/>
      <c r="C50" s="1807"/>
      <c r="D50" s="1807"/>
      <c r="E50" s="1807"/>
      <c r="F50" s="1807"/>
      <c r="G50" s="1807"/>
      <c r="H50" s="1807"/>
      <c r="I50" s="1807"/>
      <c r="J50" s="1807"/>
      <c r="K50" s="1811">
        <v>4.55</v>
      </c>
      <c r="L50" s="1812">
        <v>1754.8</v>
      </c>
      <c r="M50" s="1693">
        <f>L50*K50</f>
        <v>7984.3399999999992</v>
      </c>
      <c r="N50" s="1812">
        <f>K50*M50</f>
        <v>36328.746999999996</v>
      </c>
      <c r="O50" s="1811">
        <v>4.5730000000000004</v>
      </c>
      <c r="P50" s="1694">
        <f>Q58*Q59</f>
        <v>1337.6993677016787</v>
      </c>
      <c r="Q50" s="1694">
        <f>O50*P50</f>
        <v>6117.2992084997777</v>
      </c>
      <c r="R50" s="1813"/>
      <c r="S50" s="1811">
        <f>O50-K50</f>
        <v>2.3000000000000576E-2</v>
      </c>
      <c r="T50" s="1808">
        <f>P50-L50</f>
        <v>-417.10063229832122</v>
      </c>
      <c r="U50" s="1813"/>
      <c r="V50" s="1808">
        <f t="shared" ref="V50:V63" si="14">Q50-M50</f>
        <v>-1867.0407915002215</v>
      </c>
      <c r="W50" s="1813"/>
      <c r="X50" s="1811">
        <v>3.9638</v>
      </c>
      <c r="Y50" s="1812">
        <v>820.02</v>
      </c>
      <c r="Z50" s="1693">
        <v>3250.4</v>
      </c>
      <c r="AA50" s="1812">
        <f>X50*Z50</f>
        <v>12883.935520000001</v>
      </c>
      <c r="AB50" s="1811">
        <f t="shared" si="3"/>
        <v>4.0118462507876496</v>
      </c>
      <c r="AC50" s="1812">
        <v>1190.25</v>
      </c>
      <c r="AD50" s="1693">
        <v>4775.1000000000004</v>
      </c>
      <c r="AE50" s="1808">
        <f>SUM(AG50/AF50)</f>
        <v>4.0205962981621663</v>
      </c>
      <c r="AF50" s="1694">
        <v>1528.43</v>
      </c>
      <c r="AG50" s="1694">
        <v>6145.2</v>
      </c>
      <c r="AH50" s="1811">
        <v>4.5730000000000004</v>
      </c>
      <c r="AI50" s="1812">
        <v>1387.6</v>
      </c>
      <c r="AJ50" s="1694">
        <v>6662.8</v>
      </c>
      <c r="AK50" s="1812"/>
      <c r="AL50" s="1811">
        <f>K76*1.028</f>
        <v>4.2335618399373365</v>
      </c>
      <c r="AM50" s="1694">
        <f>AN58*AN59</f>
        <v>1209.6401285612453</v>
      </c>
      <c r="AN50" s="1694">
        <f>AL50*AM50</f>
        <v>5121.0862883337822</v>
      </c>
      <c r="AO50" s="1811">
        <f t="shared" si="4"/>
        <v>-0.33943816006266392</v>
      </c>
      <c r="AP50" s="1808">
        <f t="shared" si="4"/>
        <v>-177.95987143875459</v>
      </c>
      <c r="AQ50" s="1808">
        <f t="shared" si="4"/>
        <v>-1541.7137116662179</v>
      </c>
      <c r="AR50" s="1811">
        <f>SUM(AT50/AS50)</f>
        <v>3.819503849443969</v>
      </c>
      <c r="AS50" s="1812">
        <v>678.02</v>
      </c>
      <c r="AT50" s="1694">
        <v>2589.6999999999998</v>
      </c>
      <c r="AU50" s="1811">
        <f>SUM(AW50/AV50)</f>
        <v>3.9526209082140822</v>
      </c>
      <c r="AV50" s="1812">
        <v>1016.06</v>
      </c>
      <c r="AW50" s="1694">
        <v>4016.1</v>
      </c>
      <c r="AX50" s="1811">
        <f>SUM(AL50*1.1)</f>
        <v>4.6569180239310706</v>
      </c>
      <c r="AY50" s="1808">
        <v>1528.43</v>
      </c>
      <c r="AZ50" s="1694">
        <f>SUM(AX50*AY50)</f>
        <v>7117.7732153169663</v>
      </c>
      <c r="BA50" s="1814">
        <f t="shared" si="5"/>
        <v>1.3898951930436685</v>
      </c>
      <c r="BB50" s="1825">
        <f>(AU67+AU67*1.06)/2</f>
        <v>4.3462075494024379</v>
      </c>
      <c r="BC50" s="1826">
        <f>BD58*BD59</f>
        <v>1237.0113330000001</v>
      </c>
      <c r="BD50" s="1689">
        <f>BC50*BB50</f>
        <v>5376.3079941809738</v>
      </c>
      <c r="BE50" s="1825">
        <f t="shared" si="6"/>
        <v>-0.31071047452863265</v>
      </c>
      <c r="BF50" s="1827">
        <f t="shared" si="6"/>
        <v>-291.41866699999991</v>
      </c>
      <c r="BG50" s="1827">
        <f t="shared" si="6"/>
        <v>-1741.4652211359926</v>
      </c>
      <c r="BH50" s="1827">
        <v>5.62</v>
      </c>
      <c r="BI50" s="1826">
        <v>1516.64</v>
      </c>
      <c r="BJ50" s="1689">
        <v>8522.8700000000008</v>
      </c>
      <c r="BK50" s="1827">
        <v>5.62</v>
      </c>
      <c r="BL50" s="1826">
        <f>BM58*BM59</f>
        <v>1075.5106849315068</v>
      </c>
      <c r="BM50" s="1689">
        <f>BL50*BK50</f>
        <v>6044.3700493150682</v>
      </c>
      <c r="BN50" s="1825">
        <f>BB50*1.066</f>
        <v>4.6330572476629994</v>
      </c>
      <c r="BO50" s="1826">
        <f>BP58*BP59</f>
        <v>1174.3243599999998</v>
      </c>
      <c r="BP50" s="1689">
        <f>BO50*BN50</f>
        <v>5440.7119872052126</v>
      </c>
      <c r="BQ50" s="1825">
        <f>BN50-BB50</f>
        <v>0.2868496982605615</v>
      </c>
      <c r="BR50" s="1827">
        <f t="shared" ref="BR50:BR52" si="15">BO50-BE50</f>
        <v>1174.6350704745284</v>
      </c>
      <c r="BS50" s="1827">
        <f t="shared" ref="BS50:BS52" si="16">BP50-BF50</f>
        <v>5732.1306542052125</v>
      </c>
      <c r="BT50" s="1825">
        <f>BN50*1.067</f>
        <v>4.9434720832564203</v>
      </c>
      <c r="BU50" s="1826">
        <f>BV58*BV59</f>
        <v>1174.3243599999998</v>
      </c>
      <c r="BV50" s="1689">
        <f>BU50*BT50</f>
        <v>5805.2396903479621</v>
      </c>
      <c r="BW50" s="1825">
        <f t="shared" ref="BW50:BW52" si="17">BT50-BP50</f>
        <v>-5435.7685151219566</v>
      </c>
      <c r="BX50" s="1827">
        <f t="shared" ref="BX50:BX52" si="18">BU50-BQ50</f>
        <v>1174.0375103017393</v>
      </c>
      <c r="BY50" s="1827">
        <f t="shared" ref="BY50:BY52" si="19">BV50-BR50</f>
        <v>4630.6046198734339</v>
      </c>
      <c r="BZ50" s="1827">
        <f>(4.166+4.166*1.07)/2</f>
        <v>4.3118100000000004</v>
      </c>
      <c r="CA50" s="1826">
        <f>CB58*CB59</f>
        <v>1136.4657534246574</v>
      </c>
      <c r="CB50" s="1764">
        <f>CA50*BZ50</f>
        <v>4900.2244002739726</v>
      </c>
      <c r="CC50" s="2484"/>
      <c r="CD50" s="2484"/>
      <c r="CE50" s="1827">
        <v>4.2089999999999996</v>
      </c>
      <c r="CF50" s="1826">
        <v>1543.17</v>
      </c>
      <c r="CG50" s="1764">
        <v>6495.81</v>
      </c>
      <c r="CH50" s="1827">
        <f>CE50</f>
        <v>4.2089999999999996</v>
      </c>
      <c r="CI50" s="1826">
        <f>CJ58*CJ59</f>
        <v>1101.7479452054793</v>
      </c>
      <c r="CJ50" s="1764">
        <f t="shared" ref="CJ50" si="20">CI50*CH50</f>
        <v>4637.2571013698616</v>
      </c>
      <c r="CK50" s="1825">
        <f t="shared" ref="CK50" si="21">BT50</f>
        <v>4.9434720832564203</v>
      </c>
      <c r="CL50" s="1825">
        <f t="shared" si="13"/>
        <v>1174.3243599999998</v>
      </c>
      <c r="CM50" s="1825">
        <f t="shared" si="13"/>
        <v>5805.2396903479621</v>
      </c>
      <c r="CN50" s="1825">
        <v>4.617</v>
      </c>
      <c r="CO50" s="1826">
        <f>CP58*CP59</f>
        <v>1121.67</v>
      </c>
      <c r="CP50" s="1689">
        <f>CO50*CN50</f>
        <v>5178.7503900000002</v>
      </c>
      <c r="CQ50" s="1825">
        <f>BZ50*1.07</f>
        <v>4.6136367000000007</v>
      </c>
      <c r="CR50" s="1826">
        <f>CS58*CS59</f>
        <v>1091.3868493150685</v>
      </c>
      <c r="CS50" s="1689">
        <f>CR50*CQ50</f>
        <v>5035.2624218973706</v>
      </c>
    </row>
    <row r="51" spans="1:97" ht="30" customHeight="1" x14ac:dyDescent="0.2">
      <c r="A51" s="1815" t="s">
        <v>137</v>
      </c>
      <c r="B51" s="1807"/>
      <c r="C51" s="1807"/>
      <c r="D51" s="1807"/>
      <c r="E51" s="1807"/>
      <c r="F51" s="1807"/>
      <c r="G51" s="1807"/>
      <c r="H51" s="1807"/>
      <c r="I51" s="1807"/>
      <c r="J51" s="1807"/>
      <c r="K51" s="1816">
        <f>M51/L51</f>
        <v>5.0100983836964161</v>
      </c>
      <c r="L51" s="1761">
        <f>L48+L50</f>
        <v>2846</v>
      </c>
      <c r="M51" s="1761">
        <f>SUM(M48:M50)</f>
        <v>14258.74</v>
      </c>
      <c r="N51" s="1817">
        <f>SUM(N48:N50)</f>
        <v>72406.546999999991</v>
      </c>
      <c r="O51" s="1816">
        <f>Q51/P51</f>
        <v>4.9528651037213312</v>
      </c>
      <c r="P51" s="1761">
        <f>P48+P50</f>
        <v>2146.6741787978635</v>
      </c>
      <c r="Q51" s="1761">
        <f>Q48+Q50</f>
        <v>10632.187629227585</v>
      </c>
      <c r="R51" s="1818"/>
      <c r="S51" s="1816">
        <f t="shared" ref="S51:T54" si="22">O51-K51</f>
        <v>-5.7233279975084983E-2</v>
      </c>
      <c r="T51" s="1808">
        <f t="shared" si="22"/>
        <v>-699.32582120213647</v>
      </c>
      <c r="U51" s="1818"/>
      <c r="V51" s="1808">
        <f t="shared" si="14"/>
        <v>-3626.5523707724151</v>
      </c>
      <c r="W51" s="1818"/>
      <c r="X51" s="1816">
        <f>Z51/Y51</f>
        <v>4.3458643439629627</v>
      </c>
      <c r="Y51" s="1761">
        <f>Y48+Y50</f>
        <v>1325.3519999999999</v>
      </c>
      <c r="Z51" s="1761">
        <f>SUM(Z48:Z50)</f>
        <v>5759.8</v>
      </c>
      <c r="AA51" s="1817">
        <f>SUM(AA48:AA50)</f>
        <v>25345.11404</v>
      </c>
      <c r="AB51" s="1816">
        <f t="shared" si="3"/>
        <v>4.3711695607763037</v>
      </c>
      <c r="AC51" s="1761">
        <f>AC48+AC50</f>
        <v>1879.6799999999998</v>
      </c>
      <c r="AD51" s="1761">
        <f>SUM(AD48:AD50)</f>
        <v>8216.4000000000015</v>
      </c>
      <c r="AE51" s="1816">
        <f>AG51/AF51</f>
        <v>4.389087422215681</v>
      </c>
      <c r="AF51" s="1761">
        <f>AF48+AF50</f>
        <v>2439.277</v>
      </c>
      <c r="AG51" s="1761">
        <f>AG48+AG50</f>
        <v>10706.2</v>
      </c>
      <c r="AH51" s="1816">
        <f>AJ51/AI51</f>
        <v>5.202779269602579</v>
      </c>
      <c r="AI51" s="1761">
        <f>AI48+AI50</f>
        <v>2234.3999999999996</v>
      </c>
      <c r="AJ51" s="1761">
        <f>SUM(AJ48:AJ50)</f>
        <v>11625.09</v>
      </c>
      <c r="AK51" s="1817"/>
      <c r="AL51" s="1816">
        <f>AN51/AM51</f>
        <v>4.6429712105391054</v>
      </c>
      <c r="AM51" s="1761">
        <f>AM48+AM50</f>
        <v>2092.8234427154794</v>
      </c>
      <c r="AN51" s="1761">
        <f>AN48+AN50</f>
        <v>9716.918993269308</v>
      </c>
      <c r="AO51" s="1816">
        <f t="shared" si="4"/>
        <v>-0.55980805906347353</v>
      </c>
      <c r="AP51" s="1808">
        <f t="shared" si="4"/>
        <v>-141.57655728452028</v>
      </c>
      <c r="AQ51" s="1808">
        <f t="shared" si="4"/>
        <v>-1908.1710067306922</v>
      </c>
      <c r="AR51" s="1816">
        <f>AT51/AS51</f>
        <v>4.3650103841684889</v>
      </c>
      <c r="AS51" s="1761">
        <f>AS48+AS50</f>
        <v>1093.01</v>
      </c>
      <c r="AT51" s="1761">
        <f>SUM(AT48:AT50)</f>
        <v>4771</v>
      </c>
      <c r="AU51" s="1816">
        <f>AW51/AV51</f>
        <v>4.4613727271156138</v>
      </c>
      <c r="AV51" s="1761">
        <f>AV48+AV50</f>
        <v>1562.277</v>
      </c>
      <c r="AW51" s="1761">
        <f>SUM(AW48:AW50)</f>
        <v>6969.9</v>
      </c>
      <c r="AX51" s="1816">
        <f>AZ51/AY51</f>
        <v>5.0554080056915653</v>
      </c>
      <c r="AY51" s="1761">
        <f>AY48+AY50</f>
        <v>2439.2800000000002</v>
      </c>
      <c r="AZ51" s="1761">
        <f>SUM(AZ48:AZ50)</f>
        <v>12331.555640123323</v>
      </c>
      <c r="BA51" s="1814">
        <f t="shared" si="5"/>
        <v>1.2690808319658848</v>
      </c>
      <c r="BB51" s="1705">
        <f>BD51/BC51</f>
        <v>4.7613992813870309</v>
      </c>
      <c r="BC51" s="1828">
        <f>BC48+BC50</f>
        <v>1940.802721</v>
      </c>
      <c r="BD51" s="1828">
        <f>SUM(BD48:BD50)</f>
        <v>9240.9366810833944</v>
      </c>
      <c r="BE51" s="1705">
        <f t="shared" si="6"/>
        <v>-0.2940087243045344</v>
      </c>
      <c r="BF51" s="1829">
        <f t="shared" si="6"/>
        <v>-498.47727900000018</v>
      </c>
      <c r="BG51" s="1829">
        <f t="shared" si="6"/>
        <v>-3090.6189590399281</v>
      </c>
      <c r="BH51" s="1829"/>
      <c r="BI51" s="1828">
        <f>BI48+BI50</f>
        <v>2305.88</v>
      </c>
      <c r="BJ51" s="1828">
        <f>SUM(BJ48:BJ50)</f>
        <v>10452.76</v>
      </c>
      <c r="BK51" s="1829"/>
      <c r="BL51" s="1828">
        <f>BL48+BL50</f>
        <v>1773.5884044831882</v>
      </c>
      <c r="BM51" s="1828">
        <f>SUM(BM48:BM50)</f>
        <v>7751.1700736189287</v>
      </c>
      <c r="BN51" s="1705">
        <f>BP51/BO51</f>
        <v>5.0845684239354929</v>
      </c>
      <c r="BO51" s="1828">
        <f>BO48+BO50</f>
        <v>1863.81396</v>
      </c>
      <c r="BP51" s="1828">
        <f>SUM(BP48:BP50)</f>
        <v>9476.6896091061699</v>
      </c>
      <c r="BQ51" s="1705">
        <f t="shared" ref="BQ51:BQ52" si="23">BN51-BD51</f>
        <v>-9235.8521126594587</v>
      </c>
      <c r="BR51" s="1829">
        <f t="shared" si="15"/>
        <v>1864.1079687243046</v>
      </c>
      <c r="BS51" s="1829">
        <f t="shared" si="16"/>
        <v>9975.1668881061705</v>
      </c>
      <c r="BT51" s="1705">
        <f>BV51/BU51</f>
        <v>5.4252345083391704</v>
      </c>
      <c r="BU51" s="1828">
        <f>BU48+BU50</f>
        <v>1863.81396</v>
      </c>
      <c r="BV51" s="1828">
        <f>SUM(BV48:BV50)</f>
        <v>10111.627812916282</v>
      </c>
      <c r="BW51" s="1705">
        <f t="shared" si="17"/>
        <v>-9471.2643745978312</v>
      </c>
      <c r="BX51" s="1829">
        <f t="shared" si="18"/>
        <v>11099.666072659458</v>
      </c>
      <c r="BY51" s="1829">
        <f t="shared" si="19"/>
        <v>8247.5198441919783</v>
      </c>
      <c r="BZ51" s="1705">
        <f>CB51/CA51</f>
        <v>4.8156816840404737</v>
      </c>
      <c r="CA51" s="1828">
        <f>CA48+CA50</f>
        <v>1827.2307208833654</v>
      </c>
      <c r="CB51" s="1828">
        <f>SUM(CB48:CB50)</f>
        <v>8799.3615150740934</v>
      </c>
      <c r="CC51" s="2484"/>
      <c r="CD51" s="2484"/>
      <c r="CE51" s="1705">
        <f t="shared" ref="CE51" si="24">CG51/CF51</f>
        <v>4.6824673476878411</v>
      </c>
      <c r="CF51" s="1828">
        <f t="shared" ref="CF51" si="25">CF48+CF50</f>
        <v>2424.79</v>
      </c>
      <c r="CG51" s="1828">
        <f t="shared" ref="CG51" si="26">SUM(CG48:CG50)</f>
        <v>11354</v>
      </c>
      <c r="CH51" s="1705">
        <f t="shared" ref="CH51" si="27">CJ51/CI51</f>
        <v>4.7311955626258584</v>
      </c>
      <c r="CI51" s="1828">
        <f t="shared" ref="CI51" si="28">CI48+CI50</f>
        <v>1840.4801101867993</v>
      </c>
      <c r="CJ51" s="1828">
        <f t="shared" ref="CJ51" si="29">SUM(CJ48:CJ50)</f>
        <v>8707.6713304169352</v>
      </c>
      <c r="CK51" s="1705">
        <f>CM51/CL51</f>
        <v>5.4252345083391704</v>
      </c>
      <c r="CL51" s="1828">
        <f>CL48+CL50</f>
        <v>1863.81396</v>
      </c>
      <c r="CM51" s="1828">
        <f>SUM(CM48:CM50)</f>
        <v>10111.627812916282</v>
      </c>
      <c r="CN51" s="1705">
        <f>CP51/CO51</f>
        <v>5.1589190332993073</v>
      </c>
      <c r="CO51" s="1828">
        <f>CO48+CO50</f>
        <v>1812.35</v>
      </c>
      <c r="CP51" s="1828">
        <f>SUM(CP48:CP50)</f>
        <v>9349.7669099999985</v>
      </c>
      <c r="CQ51" s="1705">
        <f>CS51/CR51</f>
        <v>5.1513078483401085</v>
      </c>
      <c r="CR51" s="1828">
        <f>CR48+CR50</f>
        <v>1751.8457111359289</v>
      </c>
      <c r="CS51" s="1828">
        <f>SUM(CS48:CS50)</f>
        <v>9024.2965608554696</v>
      </c>
    </row>
    <row r="52" spans="1:97" ht="30" customHeight="1" x14ac:dyDescent="0.2">
      <c r="A52" s="1810" t="s">
        <v>138</v>
      </c>
      <c r="B52" s="1807"/>
      <c r="C52" s="1807"/>
      <c r="D52" s="1807"/>
      <c r="E52" s="1807"/>
      <c r="F52" s="1807"/>
      <c r="G52" s="1807"/>
      <c r="H52" s="1807"/>
      <c r="I52" s="1807"/>
      <c r="J52" s="1807"/>
      <c r="K52" s="1811">
        <v>5.75</v>
      </c>
      <c r="L52" s="1812">
        <v>397.8</v>
      </c>
      <c r="M52" s="1693">
        <v>2285.4</v>
      </c>
      <c r="N52" s="1812">
        <f>K52*M52</f>
        <v>13141.050000000001</v>
      </c>
      <c r="O52" s="1811">
        <v>5.63</v>
      </c>
      <c r="P52" s="1813">
        <f>Q60*Q62</f>
        <v>363.59730000000002</v>
      </c>
      <c r="Q52" s="1694">
        <f>O52*P52</f>
        <v>2047.0527990000001</v>
      </c>
      <c r="R52" s="1812"/>
      <c r="S52" s="1811">
        <f t="shared" si="22"/>
        <v>-0.12000000000000011</v>
      </c>
      <c r="T52" s="1808">
        <f t="shared" si="22"/>
        <v>-34.202699999999993</v>
      </c>
      <c r="U52" s="1812"/>
      <c r="V52" s="1808">
        <f t="shared" si="14"/>
        <v>-238.34720100000004</v>
      </c>
      <c r="W52" s="1812"/>
      <c r="X52" s="1811">
        <v>4.9886999999999997</v>
      </c>
      <c r="Y52" s="1812">
        <v>162.167</v>
      </c>
      <c r="Z52" s="1693">
        <v>809</v>
      </c>
      <c r="AA52" s="1812">
        <f>X52*Z52</f>
        <v>4035.8582999999999</v>
      </c>
      <c r="AB52" s="1811">
        <f t="shared" si="3"/>
        <v>5.0153983485829059</v>
      </c>
      <c r="AC52" s="1812">
        <v>224.05</v>
      </c>
      <c r="AD52" s="1693">
        <v>1123.7</v>
      </c>
      <c r="AE52" s="1808">
        <f>SUM(AG52/AF52)</f>
        <v>5.0316393763454892</v>
      </c>
      <c r="AF52" s="1808">
        <v>306.58</v>
      </c>
      <c r="AG52" s="1694">
        <v>1542.6</v>
      </c>
      <c r="AH52" s="1811">
        <v>5.91</v>
      </c>
      <c r="AI52" s="1812">
        <v>397.8</v>
      </c>
      <c r="AJ52" s="1693">
        <v>2285.4</v>
      </c>
      <c r="AK52" s="1812"/>
      <c r="AL52" s="1811">
        <f>K78*1.028</f>
        <v>5.2277943861803733</v>
      </c>
      <c r="AM52" s="1813">
        <f>AN60*AN62</f>
        <v>360.82530000000003</v>
      </c>
      <c r="AN52" s="1694">
        <f>AL52*AM52</f>
        <v>1886.3204777318492</v>
      </c>
      <c r="AO52" s="1811">
        <f t="shared" si="4"/>
        <v>-0.68220561381962685</v>
      </c>
      <c r="AP52" s="1808">
        <f t="shared" si="4"/>
        <v>-36.974699999999984</v>
      </c>
      <c r="AQ52" s="1808">
        <f t="shared" si="4"/>
        <v>-399.07952226815087</v>
      </c>
      <c r="AR52" s="1811">
        <f t="shared" ref="AR52:AR54" si="30">SUM(AT52/AS52)</f>
        <v>4.9758749575263339</v>
      </c>
      <c r="AS52" s="1812">
        <v>147.15</v>
      </c>
      <c r="AT52" s="1693">
        <v>732.2</v>
      </c>
      <c r="AU52" s="1811">
        <f t="shared" ref="AU52:AU54" si="31">SUM(AW52/AV52)</f>
        <v>5.0682433840383414</v>
      </c>
      <c r="AV52" s="1812">
        <v>191.96</v>
      </c>
      <c r="AW52" s="1693">
        <v>972.9</v>
      </c>
      <c r="AX52" s="1811">
        <f t="shared" ref="AX52:AX54" si="32">SUM(AL52*1.1)</f>
        <v>5.7505738247984111</v>
      </c>
      <c r="AY52" s="1808">
        <v>306.58</v>
      </c>
      <c r="AZ52" s="1694">
        <f t="shared" ref="AZ52:AZ54" si="33">SUM(AX52*AY52)</f>
        <v>1763.0109232066968</v>
      </c>
      <c r="BA52" s="1814">
        <f t="shared" si="5"/>
        <v>0.93462958390112882</v>
      </c>
      <c r="BB52" s="1825">
        <f>(AU71+AU71*1.06)/2</f>
        <v>5.5327159116268669</v>
      </c>
      <c r="BC52" s="1826">
        <f>BD60*BD62</f>
        <v>290.97012000000001</v>
      </c>
      <c r="BD52" s="1689">
        <f>BC52*BB52</f>
        <v>1609.8550127319788</v>
      </c>
      <c r="BE52" s="1825">
        <f t="shared" si="6"/>
        <v>-0.21785791317154413</v>
      </c>
      <c r="BF52" s="1827">
        <f t="shared" si="6"/>
        <v>-15.609879999999976</v>
      </c>
      <c r="BG52" s="1827">
        <f t="shared" si="6"/>
        <v>-153.15591047471798</v>
      </c>
      <c r="BH52" s="1827">
        <v>2.4750000000000001</v>
      </c>
      <c r="BI52" s="1826">
        <v>282.02999999999997</v>
      </c>
      <c r="BJ52" s="1689">
        <v>698.03</v>
      </c>
      <c r="BK52" s="1827">
        <v>2.4750000000000001</v>
      </c>
      <c r="BL52" s="1826">
        <f>BM60*BM62</f>
        <v>257.16516000000001</v>
      </c>
      <c r="BM52" s="1689">
        <f>BL52*BK52</f>
        <v>636.48377100000005</v>
      </c>
      <c r="BN52" s="1825">
        <f>BB52*1.066</f>
        <v>5.8978751617942402</v>
      </c>
      <c r="BO52" s="1826">
        <f>BP60*BP62</f>
        <v>290.97012000000001</v>
      </c>
      <c r="BP52" s="1689">
        <f>BO52*BN52</f>
        <v>1716.1054435722895</v>
      </c>
      <c r="BQ52" s="1825">
        <f t="shared" si="23"/>
        <v>-1603.9571375701846</v>
      </c>
      <c r="BR52" s="1827">
        <f t="shared" si="15"/>
        <v>291.18797791317155</v>
      </c>
      <c r="BS52" s="1827">
        <f t="shared" si="16"/>
        <v>1731.7153235722894</v>
      </c>
      <c r="BT52" s="1825">
        <f>BN52*1.067</f>
        <v>6.2930327976344538</v>
      </c>
      <c r="BU52" s="1826">
        <f>BV60*BV62</f>
        <v>290.97012000000001</v>
      </c>
      <c r="BV52" s="1689">
        <f>BU52*BT52</f>
        <v>1831.0845082916328</v>
      </c>
      <c r="BW52" s="1825">
        <f t="shared" si="17"/>
        <v>-1709.8124107746551</v>
      </c>
      <c r="BX52" s="1827">
        <f t="shared" si="18"/>
        <v>1894.9272575701846</v>
      </c>
      <c r="BY52" s="1827">
        <f t="shared" si="19"/>
        <v>1539.8965303784612</v>
      </c>
      <c r="BZ52" s="1827">
        <f>(5.46718+5.46718*1.07)/2</f>
        <v>5.6585312999999999</v>
      </c>
      <c r="CA52" s="1826">
        <f>CB60*CB62</f>
        <v>276.84300000000002</v>
      </c>
      <c r="CB52" s="1764">
        <f>CA52*BZ52</f>
        <v>1566.5247806859002</v>
      </c>
      <c r="CC52" s="2484"/>
      <c r="CD52" s="2484"/>
      <c r="CE52" s="1827">
        <v>5.9420000000000002</v>
      </c>
      <c r="CF52" s="1826">
        <v>351.62</v>
      </c>
      <c r="CG52" s="1764">
        <v>2089.2600000000002</v>
      </c>
      <c r="CH52" s="1827">
        <f>CE52</f>
        <v>5.9420000000000002</v>
      </c>
      <c r="CI52" s="1826">
        <f>CJ60*CJ62</f>
        <v>268.57488000000001</v>
      </c>
      <c r="CJ52" s="1764">
        <f t="shared" ref="CJ52" si="34">CI52*CH52</f>
        <v>1595.8719369600001</v>
      </c>
      <c r="CK52" s="1825">
        <f>BT52</f>
        <v>6.2930327976344538</v>
      </c>
      <c r="CL52" s="1825">
        <f t="shared" ref="CL52:CM54" si="35">BU52</f>
        <v>290.97012000000001</v>
      </c>
      <c r="CM52" s="1825">
        <f t="shared" si="35"/>
        <v>1831.0845082916328</v>
      </c>
      <c r="CN52" s="1825">
        <v>6.056</v>
      </c>
      <c r="CO52" s="1826">
        <f>CP60*CP62</f>
        <v>273.25200000000001</v>
      </c>
      <c r="CP52" s="1689">
        <f>CO52*CN52</f>
        <v>1654.814112</v>
      </c>
      <c r="CQ52" s="1825">
        <f>BZ52*1.07</f>
        <v>6.0546284909999999</v>
      </c>
      <c r="CR52" s="1826">
        <f>CS60*CS62</f>
        <v>272.91012000000001</v>
      </c>
      <c r="CS52" s="1689">
        <f>CR52*CQ52</f>
        <v>1652.3693880342289</v>
      </c>
    </row>
    <row r="53" spans="1:97" ht="30" customHeight="1" x14ac:dyDescent="0.2">
      <c r="A53" s="1810"/>
      <c r="B53" s="1807"/>
      <c r="C53" s="1807"/>
      <c r="D53" s="1807"/>
      <c r="E53" s="1807"/>
      <c r="F53" s="1807"/>
      <c r="G53" s="1807"/>
      <c r="H53" s="1807"/>
      <c r="I53" s="1807"/>
      <c r="J53" s="1807"/>
      <c r="K53" s="1811"/>
      <c r="L53" s="1812"/>
      <c r="M53" s="1693"/>
      <c r="N53" s="1812"/>
      <c r="O53" s="1811"/>
      <c r="P53" s="1813"/>
      <c r="Q53" s="1694"/>
      <c r="R53" s="1812"/>
      <c r="S53" s="1811"/>
      <c r="T53" s="1808"/>
      <c r="U53" s="1812"/>
      <c r="V53" s="1808"/>
      <c r="W53" s="1812"/>
      <c r="X53" s="1811"/>
      <c r="Y53" s="1812"/>
      <c r="Z53" s="1693"/>
      <c r="AA53" s="1812"/>
      <c r="AB53" s="1811"/>
      <c r="AC53" s="1812"/>
      <c r="AD53" s="1693"/>
      <c r="AE53" s="1808"/>
      <c r="AF53" s="1808"/>
      <c r="AG53" s="1694"/>
      <c r="AH53" s="1811"/>
      <c r="AI53" s="1812"/>
      <c r="AJ53" s="1693"/>
      <c r="AK53" s="1812"/>
      <c r="AL53" s="1811"/>
      <c r="AM53" s="1813"/>
      <c r="AN53" s="1694"/>
      <c r="AO53" s="1811"/>
      <c r="AP53" s="1808"/>
      <c r="AQ53" s="1808"/>
      <c r="AR53" s="1811"/>
      <c r="AS53" s="1812"/>
      <c r="AT53" s="1693">
        <v>132.9</v>
      </c>
      <c r="AU53" s="1811"/>
      <c r="AV53" s="1812"/>
      <c r="AW53" s="1693">
        <v>205.9</v>
      </c>
      <c r="AX53" s="1811"/>
      <c r="AY53" s="1808"/>
      <c r="AZ53" s="1694"/>
      <c r="BA53" s="1814"/>
      <c r="BB53" s="1825"/>
      <c r="BC53" s="1826"/>
      <c r="BD53" s="1689"/>
      <c r="BE53" s="1825"/>
      <c r="BF53" s="1827"/>
      <c r="BG53" s="1827"/>
      <c r="BH53" s="1827"/>
      <c r="BI53" s="1826"/>
      <c r="BJ53" s="1689"/>
      <c r="BK53" s="1827"/>
      <c r="BL53" s="1826"/>
      <c r="BM53" s="1689"/>
      <c r="BN53" s="1825"/>
      <c r="BO53" s="1826"/>
      <c r="BP53" s="1689"/>
      <c r="BQ53" s="1825"/>
      <c r="BR53" s="1827"/>
      <c r="BS53" s="1827"/>
      <c r="BT53" s="1825"/>
      <c r="BU53" s="1826"/>
      <c r="BV53" s="1689"/>
      <c r="BW53" s="1825"/>
      <c r="BX53" s="1827"/>
      <c r="BY53" s="1827"/>
      <c r="BZ53" s="1825"/>
      <c r="CA53" s="1826"/>
      <c r="CB53" s="1764"/>
      <c r="CC53" s="2484"/>
      <c r="CD53" s="2484"/>
      <c r="CE53" s="1825"/>
      <c r="CF53" s="1826"/>
      <c r="CG53" s="1764"/>
      <c r="CH53" s="1825"/>
      <c r="CI53" s="1826"/>
      <c r="CJ53" s="1764"/>
      <c r="CK53" s="1825"/>
      <c r="CL53" s="1825"/>
      <c r="CM53" s="1825"/>
      <c r="CN53" s="1825"/>
      <c r="CO53" s="1826"/>
      <c r="CP53" s="1689"/>
      <c r="CQ53" s="1825"/>
      <c r="CR53" s="1826"/>
      <c r="CS53" s="1689"/>
    </row>
    <row r="54" spans="1:97" ht="30" customHeight="1" x14ac:dyDescent="0.2">
      <c r="A54" s="1810" t="s">
        <v>139</v>
      </c>
      <c r="B54" s="1807"/>
      <c r="C54" s="1807"/>
      <c r="D54" s="1807"/>
      <c r="E54" s="1807"/>
      <c r="F54" s="1807"/>
      <c r="G54" s="1807"/>
      <c r="H54" s="1807"/>
      <c r="I54" s="1807"/>
      <c r="J54" s="1807"/>
      <c r="K54" s="1811">
        <v>4.2300000000000004</v>
      </c>
      <c r="L54" s="1812">
        <v>2282.1999999999998</v>
      </c>
      <c r="M54" s="1693">
        <v>9664.7999999999993</v>
      </c>
      <c r="N54" s="1812">
        <f>K54*M54</f>
        <v>40882.103999999999</v>
      </c>
      <c r="O54" s="1811">
        <v>4.3</v>
      </c>
      <c r="P54" s="1813">
        <f>Q60*Q63</f>
        <v>1439.1333261085247</v>
      </c>
      <c r="Q54" s="1694">
        <f>O54*P54</f>
        <v>6188.2733022666562</v>
      </c>
      <c r="R54" s="1812"/>
      <c r="S54" s="1811">
        <f t="shared" si="22"/>
        <v>6.9999999999999396E-2</v>
      </c>
      <c r="T54" s="1808">
        <f t="shared" si="22"/>
        <v>-843.06667389147515</v>
      </c>
      <c r="U54" s="1812"/>
      <c r="V54" s="1808">
        <f t="shared" si="14"/>
        <v>-3476.5266977333431</v>
      </c>
      <c r="W54" s="1812"/>
      <c r="X54" s="1811">
        <v>3.7764000000000002</v>
      </c>
      <c r="Y54" s="1812">
        <v>940.27</v>
      </c>
      <c r="Z54" s="1693">
        <v>3550.8</v>
      </c>
      <c r="AA54" s="1812">
        <f>X54*Z54</f>
        <v>13409.241120000001</v>
      </c>
      <c r="AB54" s="1811">
        <f t="shared" si="3"/>
        <v>3.8226634015509302</v>
      </c>
      <c r="AC54" s="1812">
        <v>1372.08</v>
      </c>
      <c r="AD54" s="1693">
        <v>5245</v>
      </c>
      <c r="AE54" s="1808">
        <f>SUM(AG54/AF54)</f>
        <v>3.8318886233811065</v>
      </c>
      <c r="AF54" s="1808">
        <v>1853.89</v>
      </c>
      <c r="AG54" s="1694">
        <v>7103.9</v>
      </c>
      <c r="AH54" s="1811">
        <v>4.5199999999999996</v>
      </c>
      <c r="AI54" s="1812">
        <v>2282.1999999999998</v>
      </c>
      <c r="AJ54" s="1693">
        <v>9664.7999999999993</v>
      </c>
      <c r="AK54" s="1812"/>
      <c r="AL54" s="1811">
        <f>K79*1.028</f>
        <v>4.0333424422778537</v>
      </c>
      <c r="AM54" s="1813">
        <f>AN60*AN63</f>
        <v>1428.1616341295885</v>
      </c>
      <c r="AN54" s="1694">
        <f>AL54*AM54</f>
        <v>5760.2649333677646</v>
      </c>
      <c r="AO54" s="1811">
        <f t="shared" si="4"/>
        <v>-0.48665755772214592</v>
      </c>
      <c r="AP54" s="1808">
        <f t="shared" si="4"/>
        <v>-854.03836587041133</v>
      </c>
      <c r="AQ54" s="1808">
        <f t="shared" si="4"/>
        <v>-3904.5350666322347</v>
      </c>
      <c r="AR54" s="1811">
        <f t="shared" si="30"/>
        <v>3.6631900547829748</v>
      </c>
      <c r="AS54" s="1812">
        <v>949.2</v>
      </c>
      <c r="AT54" s="1693">
        <v>3477.1</v>
      </c>
      <c r="AU54" s="1811">
        <f t="shared" si="31"/>
        <v>3.7705916930708683</v>
      </c>
      <c r="AV54" s="1812">
        <v>1394.98</v>
      </c>
      <c r="AW54" s="1693">
        <v>5259.9</v>
      </c>
      <c r="AX54" s="1811">
        <f t="shared" si="32"/>
        <v>4.4366766865056393</v>
      </c>
      <c r="AY54" s="1808">
        <v>1853.89</v>
      </c>
      <c r="AZ54" s="1694">
        <f t="shared" si="33"/>
        <v>8225.1105423459394</v>
      </c>
      <c r="BA54" s="1814">
        <f t="shared" si="5"/>
        <v>1.4279049032449784</v>
      </c>
      <c r="BB54" s="1825">
        <f>(AU73+AU73*1.06)/2</f>
        <v>4.1192606218313967</v>
      </c>
      <c r="BC54" s="1826">
        <f>BD60*BD63</f>
        <v>1454.8506</v>
      </c>
      <c r="BD54" s="1689">
        <f>BC54*BB54</f>
        <v>5992.9087872277805</v>
      </c>
      <c r="BE54" s="1825">
        <f t="shared" si="6"/>
        <v>-0.31741606467424255</v>
      </c>
      <c r="BF54" s="1827">
        <f t="shared" si="6"/>
        <v>-399.03940000000011</v>
      </c>
      <c r="BG54" s="1827">
        <f t="shared" si="6"/>
        <v>-2232.2017551181589</v>
      </c>
      <c r="BH54" s="1827">
        <v>5.0460000000000003</v>
      </c>
      <c r="BI54" s="1826">
        <v>1842.45</v>
      </c>
      <c r="BJ54" s="1689">
        <v>9297.2000000000007</v>
      </c>
      <c r="BK54" s="1827">
        <v>5.0460000000000003</v>
      </c>
      <c r="BL54" s="1826">
        <f>BM60*BM63</f>
        <v>1285.8258000000001</v>
      </c>
      <c r="BM54" s="1689">
        <f>BL54*BK54</f>
        <v>6488.2769868000005</v>
      </c>
      <c r="BN54" s="1825">
        <f>BB54*1.066</f>
        <v>4.3911318228722696</v>
      </c>
      <c r="BO54" s="1826">
        <f>BP60*BP63</f>
        <v>1454.8506</v>
      </c>
      <c r="BP54" s="1689">
        <f>BO54*BN54</f>
        <v>6388.4407671848148</v>
      </c>
      <c r="BQ54" s="1825">
        <f t="shared" ref="BQ54" si="36">BN54-BD54</f>
        <v>-5988.5176554049085</v>
      </c>
      <c r="BR54" s="1827">
        <f t="shared" ref="BR54" si="37">BO54-BE54</f>
        <v>1455.1680160646742</v>
      </c>
      <c r="BS54" s="1827">
        <f t="shared" ref="BS54" si="38">BP54-BF54</f>
        <v>6787.4801671848145</v>
      </c>
      <c r="BT54" s="1825">
        <f>BN54*1.067</f>
        <v>4.6853376550047114</v>
      </c>
      <c r="BU54" s="1826">
        <f>BV60*BV63</f>
        <v>1454.8506</v>
      </c>
      <c r="BV54" s="1689">
        <f>BU54*BT54</f>
        <v>6816.4662985861978</v>
      </c>
      <c r="BW54" s="1825">
        <f t="shared" ref="BW54" si="39">BT54-BP54</f>
        <v>-6383.7554295298105</v>
      </c>
      <c r="BX54" s="1827">
        <f t="shared" ref="BX54" si="40">BU54-BQ54</f>
        <v>7443.3682554049083</v>
      </c>
      <c r="BY54" s="1827">
        <f t="shared" ref="BY54" si="41">BV54-BR54</f>
        <v>5361.298282521524</v>
      </c>
      <c r="BZ54" s="1827">
        <f>(4.167+4.167*1.07)/2</f>
        <v>4.3128449999999994</v>
      </c>
      <c r="CA54" s="1826">
        <f>CB60*CB63</f>
        <v>1384.2149999999999</v>
      </c>
      <c r="CB54" s="1764">
        <f>CA54*BZ54</f>
        <v>5969.9047416749991</v>
      </c>
      <c r="CC54" s="2484"/>
      <c r="CD54" s="2484"/>
      <c r="CE54" s="1827">
        <v>4.5279999999999996</v>
      </c>
      <c r="CF54" s="1826">
        <v>2009.07</v>
      </c>
      <c r="CG54" s="1764">
        <v>9097.44</v>
      </c>
      <c r="CH54" s="1827">
        <f>CE54</f>
        <v>4.5279999999999996</v>
      </c>
      <c r="CI54" s="1826">
        <f>CJ60*CJ63</f>
        <v>1342.8743999999999</v>
      </c>
      <c r="CJ54" s="1764">
        <f t="shared" ref="CJ54" si="42">CI54*CH54</f>
        <v>6080.535283199999</v>
      </c>
      <c r="CK54" s="1825">
        <f t="shared" ref="CK54" si="43">BT54</f>
        <v>4.6853376550047114</v>
      </c>
      <c r="CL54" s="1825">
        <f t="shared" si="35"/>
        <v>1454.8506</v>
      </c>
      <c r="CM54" s="1825">
        <f t="shared" si="35"/>
        <v>6816.4662985861978</v>
      </c>
      <c r="CN54" s="1825">
        <v>4.6150000000000002</v>
      </c>
      <c r="CO54" s="1826">
        <f>CP60*CP63</f>
        <v>1366.26</v>
      </c>
      <c r="CP54" s="1689">
        <f>CO54*CN54</f>
        <v>6305.2899000000007</v>
      </c>
      <c r="CQ54" s="1825">
        <f>BZ54*1.07</f>
        <v>4.6147441499999999</v>
      </c>
      <c r="CR54" s="1826">
        <f>CS60*CS63</f>
        <v>1364.5505999999998</v>
      </c>
      <c r="CS54" s="1689">
        <f>CR54*CQ54</f>
        <v>6297.0518987289888</v>
      </c>
    </row>
    <row r="55" spans="1:97" ht="30" customHeight="1" x14ac:dyDescent="0.2">
      <c r="A55" s="1815" t="s">
        <v>140</v>
      </c>
      <c r="B55" s="1807"/>
      <c r="C55" s="1807"/>
      <c r="D55" s="1807"/>
      <c r="E55" s="1807"/>
      <c r="F55" s="1807"/>
      <c r="G55" s="1807"/>
      <c r="H55" s="1807"/>
      <c r="I55" s="1807"/>
      <c r="J55" s="1807"/>
      <c r="K55" s="1816">
        <f>M55/L55</f>
        <v>4.4590298507462682</v>
      </c>
      <c r="L55" s="1761">
        <f>SUM(L52:L54)</f>
        <v>2680</v>
      </c>
      <c r="M55" s="1761">
        <f>SUM(M52:M54)</f>
        <v>11950.199999999999</v>
      </c>
      <c r="N55" s="1761">
        <f>SUM(N52:N54)</f>
        <v>54023.154000000002</v>
      </c>
      <c r="O55" s="1816">
        <f>Q55/P55</f>
        <v>4.5682510642446301</v>
      </c>
      <c r="P55" s="1761">
        <f>SUM(P52:P54)</f>
        <v>1802.7306261085246</v>
      </c>
      <c r="Q55" s="1761">
        <f>SUM(Q52:Q54)</f>
        <v>8235.3261012666553</v>
      </c>
      <c r="R55" s="1817"/>
      <c r="S55" s="1816">
        <f>O55-K55</f>
        <v>0.10922121349836189</v>
      </c>
      <c r="T55" s="1819">
        <f>P55-L55</f>
        <v>-877.26937389147542</v>
      </c>
      <c r="U55" s="1819">
        <f>P55-L55</f>
        <v>-877.26937389147542</v>
      </c>
      <c r="V55" s="1819">
        <f t="shared" si="14"/>
        <v>-3714.8738987333436</v>
      </c>
      <c r="W55" s="1817"/>
      <c r="X55" s="1816">
        <f>Z55/Y55</f>
        <v>3.9546931026444145</v>
      </c>
      <c r="Y55" s="1761">
        <f>SUM(Y52:Y54)</f>
        <v>1102.4369999999999</v>
      </c>
      <c r="Z55" s="1761">
        <f>SUM(Z52:Z54)</f>
        <v>4359.8</v>
      </c>
      <c r="AA55" s="1761">
        <f>SUM(AA52:AA54)</f>
        <v>17445.099419999999</v>
      </c>
      <c r="AB55" s="1816">
        <f t="shared" si="3"/>
        <v>3.9900885266237713</v>
      </c>
      <c r="AC55" s="1761">
        <f>SUM(AC52:AC54)</f>
        <v>1596.1299999999999</v>
      </c>
      <c r="AD55" s="1761">
        <f>SUM(AD52:AD54)</f>
        <v>6368.7</v>
      </c>
      <c r="AE55" s="1816">
        <f>AG55/AF55</f>
        <v>4.0021384235837569</v>
      </c>
      <c r="AF55" s="1761">
        <f>SUM(AF52:AF54)</f>
        <v>2160.4700000000003</v>
      </c>
      <c r="AG55" s="1761">
        <f>SUM(AG52:AG54)</f>
        <v>8646.5</v>
      </c>
      <c r="AH55" s="1816">
        <f>AJ55/AI55</f>
        <v>4.4590298507462682</v>
      </c>
      <c r="AI55" s="1761">
        <f>SUM(AI52:AI54)</f>
        <v>2680</v>
      </c>
      <c r="AJ55" s="1761">
        <f>SUM(AJ52:AJ54)</f>
        <v>11950.199999999999</v>
      </c>
      <c r="AK55" s="1761"/>
      <c r="AL55" s="1816">
        <f>AN55/AM55</f>
        <v>4.2742544762183936</v>
      </c>
      <c r="AM55" s="1761">
        <f>SUM(AM52:AM54)</f>
        <v>1788.9869341295885</v>
      </c>
      <c r="AN55" s="1761">
        <f>SUM(AN52:AN54)</f>
        <v>7646.5854110996133</v>
      </c>
      <c r="AO55" s="1816">
        <f>AL55-AH55</f>
        <v>-0.18477537452787463</v>
      </c>
      <c r="AP55" s="1819">
        <f>AM55-AI55</f>
        <v>-891.01306587041154</v>
      </c>
      <c r="AQ55" s="1819">
        <f>AN55-AJ55</f>
        <v>-4303.6145889003856</v>
      </c>
      <c r="AR55" s="1816">
        <f>AT55/AS55</f>
        <v>3.9605965248323978</v>
      </c>
      <c r="AS55" s="1761">
        <f>SUM(AS52:AS54)</f>
        <v>1096.3500000000001</v>
      </c>
      <c r="AT55" s="1761">
        <f>SUM(AT52:AT54)</f>
        <v>4342.2</v>
      </c>
      <c r="AU55" s="1816">
        <f>AW55/AV55</f>
        <v>4.0573052541368924</v>
      </c>
      <c r="AV55" s="1761">
        <f>SUM(AV52:AV54)</f>
        <v>1586.94</v>
      </c>
      <c r="AW55" s="1761">
        <f>SUM(AW52:AW54)</f>
        <v>6438.7</v>
      </c>
      <c r="AX55" s="1816">
        <f>AZ55/AY55</f>
        <v>4.6231243505129136</v>
      </c>
      <c r="AY55" s="1761">
        <f>SUM(AY52:AY54)</f>
        <v>2160.4700000000003</v>
      </c>
      <c r="AZ55" s="1761">
        <f>SUM(AZ52:AZ54)</f>
        <v>9988.1214655526364</v>
      </c>
      <c r="BA55" s="1814">
        <f t="shared" si="5"/>
        <v>1.3062198260486442</v>
      </c>
      <c r="BB55" s="1705">
        <f>BD55/BC55</f>
        <v>4.3548365034639751</v>
      </c>
      <c r="BC55" s="1828">
        <f>SUM(BC52:BC54)</f>
        <v>1745.8207199999999</v>
      </c>
      <c r="BD55" s="1828">
        <f>SUM(BD52:BD54)</f>
        <v>7602.7637999597591</v>
      </c>
      <c r="BE55" s="1705">
        <f>BB55-AX55</f>
        <v>-0.26828784704893849</v>
      </c>
      <c r="BF55" s="1830">
        <f>BC55-AY55</f>
        <v>-414.64928000000032</v>
      </c>
      <c r="BG55" s="1830">
        <f>BD55-AZ55</f>
        <v>-2385.3576655928773</v>
      </c>
      <c r="BH55" s="1830"/>
      <c r="BI55" s="1828">
        <f>SUM(BI52:BI54)</f>
        <v>2124.48</v>
      </c>
      <c r="BJ55" s="1828">
        <f>SUM(BJ52:BJ54)</f>
        <v>9995.2300000000014</v>
      </c>
      <c r="BK55" s="1830"/>
      <c r="BL55" s="1828">
        <f>SUM(BL52:BL54)</f>
        <v>1542.9909600000001</v>
      </c>
      <c r="BM55" s="1828">
        <f>SUM(BM52:BM54)</f>
        <v>7124.7607578000006</v>
      </c>
      <c r="BN55" s="1705">
        <f>BP55/BO55</f>
        <v>4.6422557126925978</v>
      </c>
      <c r="BO55" s="1828">
        <f>SUM(BO52:BO54)</f>
        <v>1745.8207199999999</v>
      </c>
      <c r="BP55" s="1828">
        <f>SUM(BP52:BP54)</f>
        <v>8104.5462107571038</v>
      </c>
      <c r="BQ55" s="1705">
        <f>BN55-BD55</f>
        <v>-7598.1215442470666</v>
      </c>
      <c r="BR55" s="1830">
        <f>BO55-BE55</f>
        <v>1746.0890078470488</v>
      </c>
      <c r="BS55" s="1830">
        <f>BP55-BF55</f>
        <v>8519.1954907571035</v>
      </c>
      <c r="BT55" s="1705">
        <f>BV55/BU55</f>
        <v>4.9532868454430021</v>
      </c>
      <c r="BU55" s="1828">
        <f>SUM(BU52:BU54)</f>
        <v>1745.8207199999999</v>
      </c>
      <c r="BV55" s="1828">
        <f>SUM(BV52:BV54)</f>
        <v>8647.5508068778308</v>
      </c>
      <c r="BW55" s="1705">
        <f>BT55-BP55</f>
        <v>-8099.5929239116613</v>
      </c>
      <c r="BX55" s="1830">
        <f>BU55-BQ55</f>
        <v>9343.9422642470672</v>
      </c>
      <c r="BY55" s="1830">
        <f>BV55-BR55</f>
        <v>6901.4617990307815</v>
      </c>
      <c r="BZ55" s="1705">
        <f>CB55/CA55</f>
        <v>4.5371260499999995</v>
      </c>
      <c r="CA55" s="1828">
        <f>SUM(CA52:CA54)</f>
        <v>1661.058</v>
      </c>
      <c r="CB55" s="1828">
        <f>SUM(CB52:CB54)</f>
        <v>7536.4295223608988</v>
      </c>
      <c r="CC55" s="2484"/>
      <c r="CD55" s="2484"/>
      <c r="CE55" s="1705">
        <f t="shared" ref="CE55" si="44">CG55/CF55</f>
        <v>4.7387416390970438</v>
      </c>
      <c r="CF55" s="1828">
        <f t="shared" ref="CF55:CG55" si="45">SUM(CF52:CF54)</f>
        <v>2360.69</v>
      </c>
      <c r="CG55" s="1828">
        <f t="shared" si="45"/>
        <v>11186.7</v>
      </c>
      <c r="CH55" s="1705">
        <f t="shared" ref="CH55" si="46">CJ55/CI55</f>
        <v>4.7636666666666665</v>
      </c>
      <c r="CI55" s="1828">
        <f t="shared" ref="CI55:CJ55" si="47">SUM(CI52:CI54)</f>
        <v>1611.4492799999998</v>
      </c>
      <c r="CJ55" s="1828">
        <f t="shared" si="47"/>
        <v>7676.4072201599993</v>
      </c>
      <c r="CK55" s="1705">
        <f>CM55/CL55</f>
        <v>4.9532868454430021</v>
      </c>
      <c r="CL55" s="1828">
        <f>SUM(CL52:CL54)</f>
        <v>1745.8207199999999</v>
      </c>
      <c r="CM55" s="1828">
        <f>SUM(CM52:CM54)</f>
        <v>8647.5508068778308</v>
      </c>
      <c r="CN55" s="1705">
        <f>CP55/CO55</f>
        <v>4.8551666666666673</v>
      </c>
      <c r="CO55" s="1828">
        <f>SUM(CO52:CO54)</f>
        <v>1639.5119999999999</v>
      </c>
      <c r="CP55" s="1828">
        <f>SUM(CP52:CP54)</f>
        <v>7960.1040120000007</v>
      </c>
      <c r="CQ55" s="1705">
        <f>CS55/CR55</f>
        <v>4.8547248734999995</v>
      </c>
      <c r="CR55" s="1828">
        <f>SUM(CR52:CR54)</f>
        <v>1637.4607199999998</v>
      </c>
      <c r="CS55" s="1828">
        <f>SUM(CS52:CS54)</f>
        <v>7949.4212867632177</v>
      </c>
    </row>
    <row r="56" spans="1:97" ht="40.5" customHeight="1" x14ac:dyDescent="0.2">
      <c r="A56" s="1820" t="s">
        <v>141</v>
      </c>
      <c r="B56" s="1807"/>
      <c r="C56" s="1807"/>
      <c r="D56" s="1807"/>
      <c r="E56" s="1807"/>
      <c r="F56" s="1807"/>
      <c r="G56" s="1807"/>
      <c r="H56" s="1807"/>
      <c r="I56" s="1807"/>
      <c r="J56" s="1807"/>
      <c r="K56" s="1693"/>
      <c r="L56" s="1693"/>
      <c r="M56" s="1694">
        <f>объемы!E38</f>
        <v>5875</v>
      </c>
      <c r="N56" s="1693"/>
      <c r="O56" s="1693"/>
      <c r="P56" s="1693"/>
      <c r="Q56" s="1694">
        <f>объемы!G38</f>
        <v>5558.2912165809075</v>
      </c>
      <c r="R56" s="1693"/>
      <c r="S56" s="1811"/>
      <c r="T56" s="1808"/>
      <c r="U56" s="1693"/>
      <c r="V56" s="1808">
        <f t="shared" si="14"/>
        <v>-316.70878341909247</v>
      </c>
      <c r="W56" s="1693"/>
      <c r="X56" s="1821"/>
      <c r="Y56" s="1821"/>
      <c r="Z56" s="1694">
        <v>3493.3</v>
      </c>
      <c r="AA56" s="1693"/>
      <c r="AB56" s="1693"/>
      <c r="AC56" s="1693"/>
      <c r="AD56" s="1694">
        <v>5158</v>
      </c>
      <c r="AE56" s="1693"/>
      <c r="AF56" s="1693"/>
      <c r="AG56" s="1694">
        <f>SUM(объемы!K38)</f>
        <v>6977.9000000000005</v>
      </c>
      <c r="AH56" s="1693"/>
      <c r="AI56" s="1693"/>
      <c r="AJ56" s="1694">
        <f>SUM(объемы!L38)</f>
        <v>5800.03</v>
      </c>
      <c r="AK56" s="1693"/>
      <c r="AL56" s="1693"/>
      <c r="AM56" s="1693"/>
      <c r="AN56" s="1694">
        <f>SUM(объемы!M38)</f>
        <v>5561.39</v>
      </c>
      <c r="AO56" s="1693"/>
      <c r="AP56" s="1811"/>
      <c r="AQ56" s="1808">
        <f t="shared" ref="AQ56:AQ63" si="48">AN56-AJ56</f>
        <v>-238.63999999999942</v>
      </c>
      <c r="AR56" s="1693"/>
      <c r="AS56" s="1693"/>
      <c r="AT56" s="1694">
        <f>SUM(объемы!P38)</f>
        <v>3367.79</v>
      </c>
      <c r="AU56" s="1693"/>
      <c r="AV56" s="1693"/>
      <c r="AW56" s="1694">
        <f>объемы!R38+объемы!S38</f>
        <v>6716.13</v>
      </c>
      <c r="AX56" s="1693"/>
      <c r="AY56" s="1693"/>
      <c r="AZ56" s="1694">
        <f>SUM(объемы!T38)</f>
        <v>5779.357</v>
      </c>
      <c r="BA56" s="1814">
        <f t="shared" si="5"/>
        <v>1.0391928996168223</v>
      </c>
      <c r="BB56" s="1693"/>
      <c r="BC56" s="1693"/>
      <c r="BD56" s="1694">
        <f>SUM(объемы!AA38:AB38)</f>
        <v>5675.7370000000001</v>
      </c>
      <c r="BE56" s="1693"/>
      <c r="BF56" s="1811"/>
      <c r="BG56" s="1808">
        <f t="shared" ref="BG56:BG63" si="49">BD56-AZ56</f>
        <v>-103.61999999999989</v>
      </c>
      <c r="BH56" s="2114"/>
      <c r="BI56" s="2114"/>
      <c r="BJ56" s="1694">
        <f>объемы!W38+объемы!X38</f>
        <v>6332.0300000000007</v>
      </c>
      <c r="BK56" s="2114"/>
      <c r="BL56" s="2114"/>
      <c r="BM56" s="1694">
        <f>объемы!Y38+объемы!Z38</f>
        <v>5629.6590286425908</v>
      </c>
      <c r="BN56" s="1693"/>
      <c r="BO56" s="1693"/>
      <c r="BP56" s="1694">
        <f>объемы!AE38+объемы!AF38</f>
        <v>5560.4</v>
      </c>
      <c r="BQ56" s="1693"/>
      <c r="BR56" s="1811"/>
      <c r="BS56" s="2441">
        <f t="shared" ref="BS56:BS63" si="50">BP56-BF56</f>
        <v>5560.4</v>
      </c>
      <c r="BT56" s="1693"/>
      <c r="BU56" s="1693"/>
      <c r="BV56" s="1694">
        <f>BP56</f>
        <v>5560.4</v>
      </c>
      <c r="BW56" s="1693"/>
      <c r="BX56" s="1811"/>
      <c r="BY56" s="2441">
        <f t="shared" ref="BY56:BY63" si="51">BV56-BR56</f>
        <v>5560.4</v>
      </c>
      <c r="BZ56" s="1693"/>
      <c r="CA56" s="1693"/>
      <c r="CB56" s="1694">
        <f>объемы!AJ38+объемы!AK38</f>
        <v>5570.6852214411947</v>
      </c>
      <c r="CC56" s="2487">
        <f>объемы!AJ38</f>
        <v>5550.3362214411945</v>
      </c>
      <c r="CD56" s="2487">
        <f>объемы!AK38</f>
        <v>20.349</v>
      </c>
      <c r="CE56" s="1693"/>
      <c r="CF56" s="1693"/>
      <c r="CG56" s="1694">
        <f>объемы!AN38+объемы!AO38</f>
        <v>6767.77</v>
      </c>
      <c r="CH56" s="1693"/>
      <c r="CI56" s="1693"/>
      <c r="CJ56" s="1694">
        <f>объемы!AP38+объемы!AQ38</f>
        <v>5957.5174595267745</v>
      </c>
      <c r="CK56" s="1693"/>
      <c r="CL56" s="1693"/>
      <c r="CM56" s="1694">
        <f>BV56</f>
        <v>5560.4</v>
      </c>
      <c r="CN56" s="1693"/>
      <c r="CO56" s="1693"/>
      <c r="CP56" s="1694">
        <v>5570</v>
      </c>
      <c r="CQ56" s="1693"/>
      <c r="CR56" s="1693"/>
      <c r="CS56" s="1694">
        <f>объемы!AR38+объемы!AS38</f>
        <v>5326.2811437166174</v>
      </c>
    </row>
    <row r="57" spans="1:97" ht="45" customHeight="1" x14ac:dyDescent="0.2">
      <c r="A57" s="1822" t="s">
        <v>142</v>
      </c>
      <c r="B57" s="1807"/>
      <c r="C57" s="1807"/>
      <c r="D57" s="1807"/>
      <c r="E57" s="1807"/>
      <c r="F57" s="1807"/>
      <c r="G57" s="1807"/>
      <c r="H57" s="1807"/>
      <c r="I57" s="1807"/>
      <c r="J57" s="1807"/>
      <c r="K57" s="1693"/>
      <c r="L57" s="1693"/>
      <c r="M57" s="1811">
        <f>L48/M56</f>
        <v>0.18573617021276598</v>
      </c>
      <c r="N57" s="1693"/>
      <c r="O57" s="1693"/>
      <c r="P57" s="1693"/>
      <c r="Q57" s="1811">
        <f>AH20</f>
        <v>0.14554379746835441</v>
      </c>
      <c r="R57" s="1693"/>
      <c r="S57" s="1811"/>
      <c r="T57" s="1808"/>
      <c r="U57" s="1693"/>
      <c r="V57" s="1811">
        <f t="shared" si="14"/>
        <v>-4.0192372744411564E-2</v>
      </c>
      <c r="W57" s="1693"/>
      <c r="X57" s="1821"/>
      <c r="Y57" s="1821"/>
      <c r="Z57" s="1811">
        <f>Y48/Z56</f>
        <v>0.14465748718976326</v>
      </c>
      <c r="AA57" s="1693"/>
      <c r="AB57" s="1693"/>
      <c r="AC57" s="1693"/>
      <c r="AD57" s="1811">
        <f>AC48/AD56</f>
        <v>0.13366227219852655</v>
      </c>
      <c r="AE57" s="1693"/>
      <c r="AF57" s="1693"/>
      <c r="AG57" s="1811">
        <f>AF48/AG56</f>
        <v>0.1305331116811648</v>
      </c>
      <c r="AH57" s="1693"/>
      <c r="AI57" s="1693"/>
      <c r="AJ57" s="1811">
        <f>AI48/AJ56</f>
        <v>0.14599924483149224</v>
      </c>
      <c r="AK57" s="1693"/>
      <c r="AL57" s="1693"/>
      <c r="AM57" s="1693"/>
      <c r="AN57" s="1811">
        <f>AP20</f>
        <v>0.15880621825734828</v>
      </c>
      <c r="AO57" s="1693"/>
      <c r="AP57" s="1811"/>
      <c r="AQ57" s="1811">
        <f t="shared" si="48"/>
        <v>1.2806973425856044E-2</v>
      </c>
      <c r="AR57" s="1693"/>
      <c r="AS57" s="1693"/>
      <c r="AT57" s="1811">
        <f>AS48/AT56</f>
        <v>0.12322324135412244</v>
      </c>
      <c r="AU57" s="1693"/>
      <c r="AV57" s="1693"/>
      <c r="AW57" s="1811">
        <f>AV48/AW56</f>
        <v>8.1329128530865241E-2</v>
      </c>
      <c r="AX57" s="1693"/>
      <c r="AY57" s="1693"/>
      <c r="AZ57" s="1811">
        <f>AY48/AZ56</f>
        <v>0.15760403795785588</v>
      </c>
      <c r="BA57" s="1814">
        <f t="shared" si="5"/>
        <v>0.99242989152008998</v>
      </c>
      <c r="BB57" s="1703"/>
      <c r="BC57" s="1703"/>
      <c r="BD57" s="1825">
        <v>0.124</v>
      </c>
      <c r="BE57" s="1703"/>
      <c r="BF57" s="1825"/>
      <c r="BG57" s="1825">
        <f t="shared" si="49"/>
        <v>-3.3604037957855881E-2</v>
      </c>
      <c r="BH57" s="1825"/>
      <c r="BI57" s="1825"/>
      <c r="BJ57" s="1825">
        <v>0.125</v>
      </c>
      <c r="BK57" s="1825"/>
      <c r="BL57" s="1825"/>
      <c r="BM57" s="1825">
        <v>0.124</v>
      </c>
      <c r="BN57" s="1703"/>
      <c r="BO57" s="1703"/>
      <c r="BP57" s="1825">
        <v>0.124</v>
      </c>
      <c r="BQ57" s="1703"/>
      <c r="BR57" s="1825"/>
      <c r="BS57" s="1825">
        <f t="shared" si="50"/>
        <v>0.124</v>
      </c>
      <c r="BT57" s="1703"/>
      <c r="BU57" s="1703"/>
      <c r="BV57" s="1825">
        <v>0.124</v>
      </c>
      <c r="BW57" s="1703"/>
      <c r="BX57" s="1825"/>
      <c r="BY57" s="1825">
        <f t="shared" si="51"/>
        <v>0.124</v>
      </c>
      <c r="BZ57" s="1703"/>
      <c r="CA57" s="1703"/>
      <c r="CB57" s="1825">
        <v>0.124</v>
      </c>
      <c r="CC57" s="2488">
        <f>CC56/(CC56+CD56)</f>
        <v>0.99634712801188652</v>
      </c>
      <c r="CD57" s="2488">
        <f>CD56/(CC56+CD56)</f>
        <v>3.6528719881134299E-3</v>
      </c>
      <c r="CE57" s="1703"/>
      <c r="CF57" s="1703"/>
      <c r="CG57" s="1825">
        <f>CF48/CG56</f>
        <v>0.13026742930093663</v>
      </c>
      <c r="CH57" s="1703"/>
      <c r="CI57" s="1703"/>
      <c r="CJ57" s="1825">
        <v>0.124</v>
      </c>
      <c r="CK57" s="1703"/>
      <c r="CL57" s="1703"/>
      <c r="CM57" s="1825">
        <v>0.124</v>
      </c>
      <c r="CN57" s="1703"/>
      <c r="CO57" s="1703"/>
      <c r="CP57" s="1825">
        <v>0.124</v>
      </c>
      <c r="CQ57" s="1703"/>
      <c r="CR57" s="1703"/>
      <c r="CS57" s="1825">
        <v>0.124</v>
      </c>
    </row>
    <row r="58" spans="1:97" ht="45.75" customHeight="1" x14ac:dyDescent="0.2">
      <c r="A58" s="1822" t="s">
        <v>877</v>
      </c>
      <c r="B58" s="1807"/>
      <c r="C58" s="1807"/>
      <c r="D58" s="1807"/>
      <c r="E58" s="1807"/>
      <c r="F58" s="1807"/>
      <c r="G58" s="1807"/>
      <c r="H58" s="1807"/>
      <c r="I58" s="1807"/>
      <c r="J58" s="1807"/>
      <c r="K58" s="1693"/>
      <c r="L58" s="1693"/>
      <c r="M58" s="1694">
        <f>объемы!E43</f>
        <v>4999</v>
      </c>
      <c r="N58" s="1693"/>
      <c r="O58" s="1693"/>
      <c r="P58" s="1693"/>
      <c r="Q58" s="1694">
        <f>объемы!G43</f>
        <v>5051.2</v>
      </c>
      <c r="R58" s="1693"/>
      <c r="S58" s="1811"/>
      <c r="T58" s="1808"/>
      <c r="U58" s="1693"/>
      <c r="V58" s="1808">
        <f t="shared" si="14"/>
        <v>52.199999999999818</v>
      </c>
      <c r="W58" s="1693"/>
      <c r="X58" s="1821"/>
      <c r="Y58" s="1821"/>
      <c r="Z58" s="1694">
        <v>3054.18</v>
      </c>
      <c r="AA58" s="1693"/>
      <c r="AB58" s="1693"/>
      <c r="AC58" s="1693"/>
      <c r="AD58" s="1694">
        <v>4509.2</v>
      </c>
      <c r="AE58" s="1693"/>
      <c r="AF58" s="1693"/>
      <c r="AG58" s="1694">
        <f>SUM(объемы!K43)</f>
        <v>6136.9000000000005</v>
      </c>
      <c r="AH58" s="1693"/>
      <c r="AI58" s="1693"/>
      <c r="AJ58" s="1694">
        <f>SUM(объемы!L43)</f>
        <v>5046.03</v>
      </c>
      <c r="AK58" s="1693"/>
      <c r="AL58" s="1693"/>
      <c r="AM58" s="1693"/>
      <c r="AN58" s="1694">
        <f>SUM(объемы!M43)</f>
        <v>5004.2700000000004</v>
      </c>
      <c r="AO58" s="1693"/>
      <c r="AP58" s="1811"/>
      <c r="AQ58" s="1808">
        <f t="shared" si="48"/>
        <v>-41.759999999999309</v>
      </c>
      <c r="AR58" s="1693"/>
      <c r="AS58" s="1693"/>
      <c r="AT58" s="1694">
        <f>SUM(объемы!P43)</f>
        <v>2888.49</v>
      </c>
      <c r="AU58" s="1693"/>
      <c r="AV58" s="1693"/>
      <c r="AW58" s="1694">
        <f>объемы!R38</f>
        <v>6697.91</v>
      </c>
      <c r="AX58" s="1693"/>
      <c r="AY58" s="1693"/>
      <c r="AZ58" s="1694">
        <f>SUM(объемы!T43)</f>
        <v>5007.9369999999999</v>
      </c>
      <c r="BA58" s="1814">
        <f t="shared" si="5"/>
        <v>1.0007327742108238</v>
      </c>
      <c r="BB58" s="1703"/>
      <c r="BC58" s="1703"/>
      <c r="BD58" s="1689">
        <f>объемы!AA43</f>
        <v>4967.9170000000004</v>
      </c>
      <c r="BE58" s="1703"/>
      <c r="BF58" s="1825"/>
      <c r="BG58" s="1827">
        <f t="shared" si="49"/>
        <v>-40.019999999999527</v>
      </c>
      <c r="BH58" s="1827"/>
      <c r="BI58" s="1827"/>
      <c r="BJ58" s="1689">
        <f>объемы!W43</f>
        <v>5144.2300000000005</v>
      </c>
      <c r="BK58" s="1827"/>
      <c r="BL58" s="1827"/>
      <c r="BM58" s="1689">
        <f>объемы!Y43+объемы!Z43</f>
        <v>4444.2590286425902</v>
      </c>
      <c r="BN58" s="1703"/>
      <c r="BO58" s="1703"/>
      <c r="BP58" s="1689">
        <f>объемы!AE43</f>
        <v>4852.58</v>
      </c>
      <c r="BQ58" s="1703"/>
      <c r="BR58" s="1825"/>
      <c r="BS58" s="1827">
        <f t="shared" si="50"/>
        <v>4852.58</v>
      </c>
      <c r="BT58" s="1703"/>
      <c r="BU58" s="1703"/>
      <c r="BV58" s="1689">
        <f>BP58</f>
        <v>4852.58</v>
      </c>
      <c r="BW58" s="1703"/>
      <c r="BX58" s="1825"/>
      <c r="BY58" s="1827">
        <f t="shared" si="51"/>
        <v>4852.58</v>
      </c>
      <c r="BZ58" s="1703"/>
      <c r="CA58" s="1703"/>
      <c r="CB58" s="1689">
        <f>объемы!AJ43</f>
        <v>4696.1394769613944</v>
      </c>
      <c r="CC58" s="2484"/>
      <c r="CD58" s="2484"/>
      <c r="CE58" s="1703"/>
      <c r="CF58" s="1703"/>
      <c r="CG58" s="1689">
        <f>объемы!AN43+объемы!AO43</f>
        <v>5364.7000000000007</v>
      </c>
      <c r="CH58" s="1703"/>
      <c r="CI58" s="1703"/>
      <c r="CJ58" s="1689">
        <f>объемы!AP43</f>
        <v>4552.6774595267743</v>
      </c>
      <c r="CK58" s="1703"/>
      <c r="CL58" s="1703"/>
      <c r="CM58" s="1689">
        <f>BV58</f>
        <v>4852.58</v>
      </c>
      <c r="CN58" s="1703"/>
      <c r="CO58" s="1703"/>
      <c r="CP58" s="1689">
        <v>4635</v>
      </c>
      <c r="CQ58" s="1703"/>
      <c r="CR58" s="1703"/>
      <c r="CS58" s="1689">
        <f>объемы!AR43+объемы!AS43</f>
        <v>4509.8630136986303</v>
      </c>
    </row>
    <row r="59" spans="1:97" ht="40.5" customHeight="1" x14ac:dyDescent="0.2">
      <c r="A59" s="1822" t="s">
        <v>143</v>
      </c>
      <c r="B59" s="1807"/>
      <c r="C59" s="1807"/>
      <c r="D59" s="1807"/>
      <c r="E59" s="1807"/>
      <c r="F59" s="1807"/>
      <c r="G59" s="1807"/>
      <c r="H59" s="1807"/>
      <c r="I59" s="1807"/>
      <c r="J59" s="1807"/>
      <c r="K59" s="1693"/>
      <c r="L59" s="1693"/>
      <c r="M59" s="1811">
        <f>L50/M58</f>
        <v>0.35103020604120821</v>
      </c>
      <c r="N59" s="1693"/>
      <c r="O59" s="1693"/>
      <c r="P59" s="1693"/>
      <c r="Q59" s="1811">
        <f>AH22</f>
        <v>0.26482803446738967</v>
      </c>
      <c r="R59" s="1693"/>
      <c r="S59" s="1811"/>
      <c r="T59" s="1808"/>
      <c r="U59" s="1693"/>
      <c r="V59" s="1811">
        <f t="shared" si="14"/>
        <v>-8.6202171573818542E-2</v>
      </c>
      <c r="W59" s="1693"/>
      <c r="X59" s="1821"/>
      <c r="Y59" s="1821"/>
      <c r="Z59" s="1811">
        <f>Y50/Z58</f>
        <v>0.26849105160796027</v>
      </c>
      <c r="AA59" s="1693"/>
      <c r="AB59" s="1693"/>
      <c r="AC59" s="1693"/>
      <c r="AD59" s="1811">
        <f>AC50/AD58</f>
        <v>0.26396034773352256</v>
      </c>
      <c r="AE59" s="1693"/>
      <c r="AF59" s="1693"/>
      <c r="AG59" s="1811">
        <f>AF50/AG58</f>
        <v>0.24905571216738093</v>
      </c>
      <c r="AH59" s="1693"/>
      <c r="AI59" s="1693"/>
      <c r="AJ59" s="1811">
        <f>AI50/AJ58</f>
        <v>0.27498845627156399</v>
      </c>
      <c r="AK59" s="1693"/>
      <c r="AL59" s="1693"/>
      <c r="AM59" s="1693"/>
      <c r="AN59" s="1811">
        <f>AP22</f>
        <v>0.24172159546971789</v>
      </c>
      <c r="AO59" s="1693"/>
      <c r="AP59" s="1811"/>
      <c r="AQ59" s="1811">
        <f t="shared" si="48"/>
        <v>-3.3266860801846099E-2</v>
      </c>
      <c r="AR59" s="1693"/>
      <c r="AS59" s="1693"/>
      <c r="AT59" s="1811">
        <f>AS50/AT58</f>
        <v>0.23473164179207823</v>
      </c>
      <c r="AU59" s="1693"/>
      <c r="AV59" s="1693"/>
      <c r="AW59" s="1811">
        <f>AV50/AW58</f>
        <v>0.15169806700896249</v>
      </c>
      <c r="AX59" s="1693"/>
      <c r="AY59" s="1693"/>
      <c r="AZ59" s="1811">
        <f>AY50/AZ58</f>
        <v>0.30520152310222753</v>
      </c>
      <c r="BA59" s="1814">
        <f t="shared" si="5"/>
        <v>1.2626158722358021</v>
      </c>
      <c r="BB59" s="1703"/>
      <c r="BC59" s="1703"/>
      <c r="BD59" s="1825">
        <v>0.249</v>
      </c>
      <c r="BE59" s="1703"/>
      <c r="BF59" s="1825"/>
      <c r="BG59" s="1825">
        <f t="shared" si="49"/>
        <v>-5.6201523102227535E-2</v>
      </c>
      <c r="BH59" s="1825"/>
      <c r="BI59" s="1825"/>
      <c r="BJ59" s="1825">
        <v>0.29499999999999998</v>
      </c>
      <c r="BK59" s="1825"/>
      <c r="BL59" s="1825"/>
      <c r="BM59" s="1825">
        <v>0.24199999999999999</v>
      </c>
      <c r="BN59" s="1703"/>
      <c r="BO59" s="1703"/>
      <c r="BP59" s="1825">
        <v>0.24199999999999999</v>
      </c>
      <c r="BQ59" s="1703"/>
      <c r="BR59" s="1825"/>
      <c r="BS59" s="1825">
        <f t="shared" si="50"/>
        <v>0.24199999999999999</v>
      </c>
      <c r="BT59" s="1703"/>
      <c r="BU59" s="1703"/>
      <c r="BV59" s="1825">
        <v>0.24199999999999999</v>
      </c>
      <c r="BW59" s="1703"/>
      <c r="BX59" s="1825"/>
      <c r="BY59" s="1825">
        <f t="shared" si="51"/>
        <v>0.24199999999999999</v>
      </c>
      <c r="BZ59" s="1703"/>
      <c r="CA59" s="1703"/>
      <c r="CB59" s="1825">
        <v>0.24199999999999999</v>
      </c>
      <c r="CC59" s="2484"/>
      <c r="CD59" s="2484"/>
      <c r="CE59" s="1703"/>
      <c r="CF59" s="1703"/>
      <c r="CG59" s="1825">
        <f>CF50/CG58</f>
        <v>0.28765261804015135</v>
      </c>
      <c r="CH59" s="1703"/>
      <c r="CI59" s="1703"/>
      <c r="CJ59" s="1825">
        <v>0.24199999999999999</v>
      </c>
      <c r="CK59" s="1703"/>
      <c r="CL59" s="1703"/>
      <c r="CM59" s="1825">
        <v>0.24199999999999999</v>
      </c>
      <c r="CN59" s="1703"/>
      <c r="CO59" s="1703"/>
      <c r="CP59" s="1825">
        <v>0.24199999999999999</v>
      </c>
      <c r="CQ59" s="1703"/>
      <c r="CR59" s="1703"/>
      <c r="CS59" s="1825">
        <v>0.24199999999999999</v>
      </c>
    </row>
    <row r="60" spans="1:97" ht="48" customHeight="1" x14ac:dyDescent="0.2">
      <c r="A60" s="1823" t="s">
        <v>144</v>
      </c>
      <c r="B60" s="1807"/>
      <c r="C60" s="1807"/>
      <c r="D60" s="1807"/>
      <c r="E60" s="1807"/>
      <c r="F60" s="1807"/>
      <c r="G60" s="1807"/>
      <c r="H60" s="1807"/>
      <c r="I60" s="1807"/>
      <c r="J60" s="1807"/>
      <c r="K60" s="1693"/>
      <c r="L60" s="1693"/>
      <c r="M60" s="1694">
        <f>объемы!E58</f>
        <v>3600</v>
      </c>
      <c r="N60" s="1693"/>
      <c r="O60" s="1693"/>
      <c r="P60" s="1693"/>
      <c r="Q60" s="1694">
        <f>объемы!G57</f>
        <v>3672.7</v>
      </c>
      <c r="R60" s="1693"/>
      <c r="S60" s="1811"/>
      <c r="T60" s="1808"/>
      <c r="U60" s="1693"/>
      <c r="V60" s="1808">
        <f t="shared" si="14"/>
        <v>72.699999999999818</v>
      </c>
      <c r="W60" s="1693"/>
      <c r="X60" s="1821"/>
      <c r="Y60" s="1821"/>
      <c r="Z60" s="1694">
        <v>1773.8</v>
      </c>
      <c r="AA60" s="1693"/>
      <c r="AB60" s="1693"/>
      <c r="AC60" s="1693"/>
      <c r="AD60" s="1694">
        <v>2603.1999999999998</v>
      </c>
      <c r="AE60" s="1693"/>
      <c r="AF60" s="1693"/>
      <c r="AG60" s="1694">
        <f>объемы!K57</f>
        <v>4393.3999999999996</v>
      </c>
      <c r="AH60" s="1693"/>
      <c r="AI60" s="1693"/>
      <c r="AJ60" s="1694">
        <f>объемы!L58</f>
        <v>3672.7</v>
      </c>
      <c r="AK60" s="1693"/>
      <c r="AL60" s="1693"/>
      <c r="AM60" s="1693"/>
      <c r="AN60" s="1694">
        <f>объемы!M57</f>
        <v>3644.7</v>
      </c>
      <c r="AO60" s="1693"/>
      <c r="AP60" s="1811"/>
      <c r="AQ60" s="1808">
        <f t="shared" si="48"/>
        <v>-28</v>
      </c>
      <c r="AR60" s="1693"/>
      <c r="AS60" s="1693"/>
      <c r="AT60" s="1694">
        <f>объемы!P57</f>
        <v>2027.43</v>
      </c>
      <c r="AU60" s="1693"/>
      <c r="AV60" s="1693"/>
      <c r="AW60" s="1694">
        <f>объемы!R57</f>
        <v>3840.95</v>
      </c>
      <c r="AX60" s="1693"/>
      <c r="AY60" s="1693"/>
      <c r="AZ60" s="1694">
        <f>SUM(объемы!T58)</f>
        <v>3473</v>
      </c>
      <c r="BA60" s="1814">
        <f t="shared" si="5"/>
        <v>0.95289049853211516</v>
      </c>
      <c r="BB60" s="1693"/>
      <c r="BC60" s="1693"/>
      <c r="BD60" s="1694">
        <f>SUM(объемы!AA58:AB58)</f>
        <v>3463.93</v>
      </c>
      <c r="BE60" s="1693"/>
      <c r="BF60" s="1811"/>
      <c r="BG60" s="1808">
        <f t="shared" si="49"/>
        <v>-9.0700000000001637</v>
      </c>
      <c r="BH60" s="2114"/>
      <c r="BI60" s="2114"/>
      <c r="BJ60" s="1694">
        <v>3061.49</v>
      </c>
      <c r="BK60" s="2114"/>
      <c r="BL60" s="2114"/>
      <c r="BM60" s="1694">
        <f>объемы!Y57</f>
        <v>3061.4900000000002</v>
      </c>
      <c r="BN60" s="1693"/>
      <c r="BO60" s="1693"/>
      <c r="BP60" s="1694">
        <f>объемы!AE58+объемы!AF58</f>
        <v>3463.93</v>
      </c>
      <c r="BQ60" s="1693"/>
      <c r="BR60" s="1811"/>
      <c r="BS60" s="2441">
        <f t="shared" si="50"/>
        <v>3463.93</v>
      </c>
      <c r="BT60" s="1693"/>
      <c r="BU60" s="1693"/>
      <c r="BV60" s="1694">
        <f>BP60</f>
        <v>3463.93</v>
      </c>
      <c r="BW60" s="1693"/>
      <c r="BX60" s="1811"/>
      <c r="BY60" s="2441">
        <f t="shared" si="51"/>
        <v>3463.93</v>
      </c>
      <c r="BZ60" s="1693"/>
      <c r="CA60" s="1693"/>
      <c r="CB60" s="1694">
        <f>объемы!AJ57+объемы!AK57</f>
        <v>3295.75</v>
      </c>
      <c r="CC60" s="2484"/>
      <c r="CD60" s="2484"/>
      <c r="CE60" s="1693"/>
      <c r="CF60" s="1693"/>
      <c r="CG60" s="1694">
        <v>3197.32</v>
      </c>
      <c r="CH60" s="1693">
        <f>объемы!AN57</f>
        <v>4359.4799999999996</v>
      </c>
      <c r="CI60" s="1693"/>
      <c r="CJ60" s="1694">
        <f>объемы!AP57+объемы!AQ57</f>
        <v>3197.3199999999997</v>
      </c>
      <c r="CK60" s="1693"/>
      <c r="CL60" s="1693"/>
      <c r="CM60" s="1694">
        <f>BV60</f>
        <v>3463.93</v>
      </c>
      <c r="CN60" s="1693"/>
      <c r="CO60" s="1693"/>
      <c r="CP60" s="1694">
        <v>3253</v>
      </c>
      <c r="CQ60" s="1693"/>
      <c r="CR60" s="1693"/>
      <c r="CS60" s="1694">
        <f>объемы!AR57</f>
        <v>3248.93</v>
      </c>
    </row>
    <row r="61" spans="1:97" ht="48" customHeight="1" x14ac:dyDescent="0.2">
      <c r="A61" s="1823" t="s">
        <v>1845</v>
      </c>
      <c r="B61" s="1807"/>
      <c r="C61" s="1807"/>
      <c r="D61" s="1807"/>
      <c r="E61" s="1807"/>
      <c r="F61" s="1807"/>
      <c r="G61" s="1807"/>
      <c r="H61" s="1807"/>
      <c r="I61" s="1807"/>
      <c r="J61" s="1807"/>
      <c r="K61" s="1693"/>
      <c r="L61" s="1693"/>
      <c r="M61" s="1694"/>
      <c r="N61" s="1693"/>
      <c r="O61" s="1693"/>
      <c r="P61" s="1693"/>
      <c r="Q61" s="1694"/>
      <c r="R61" s="1693"/>
      <c r="S61" s="1811"/>
      <c r="T61" s="2441"/>
      <c r="U61" s="1693"/>
      <c r="V61" s="2441"/>
      <c r="W61" s="1693"/>
      <c r="X61" s="1821"/>
      <c r="Y61" s="1821"/>
      <c r="Z61" s="1694"/>
      <c r="AA61" s="1693"/>
      <c r="AB61" s="1693"/>
      <c r="AC61" s="1693"/>
      <c r="AD61" s="1694"/>
      <c r="AE61" s="1693"/>
      <c r="AF61" s="1693"/>
      <c r="AG61" s="1694"/>
      <c r="AH61" s="1693"/>
      <c r="AI61" s="1693"/>
      <c r="AJ61" s="1694"/>
      <c r="AK61" s="1693"/>
      <c r="AL61" s="1693"/>
      <c r="AM61" s="1693"/>
      <c r="AN61" s="1694"/>
      <c r="AO61" s="1693"/>
      <c r="AP61" s="1811"/>
      <c r="AQ61" s="2441"/>
      <c r="AR61" s="1693"/>
      <c r="AS61" s="1693"/>
      <c r="AT61" s="1694"/>
      <c r="AU61" s="1693"/>
      <c r="AV61" s="1693"/>
      <c r="AW61" s="1694"/>
      <c r="AX61" s="1693"/>
      <c r="AY61" s="1693"/>
      <c r="AZ61" s="1694"/>
      <c r="BA61" s="1814"/>
      <c r="BB61" s="1693"/>
      <c r="BC61" s="1693"/>
      <c r="BD61" s="1694"/>
      <c r="BE61" s="1693"/>
      <c r="BF61" s="1811"/>
      <c r="BG61" s="2441"/>
      <c r="BH61" s="2441"/>
      <c r="BI61" s="2441"/>
      <c r="BJ61" s="1694"/>
      <c r="BK61" s="2441"/>
      <c r="BL61" s="2441"/>
      <c r="BM61" s="1694"/>
      <c r="BN61" s="1693"/>
      <c r="BO61" s="1693"/>
      <c r="BP61" s="1694"/>
      <c r="BQ61" s="1693"/>
      <c r="BR61" s="1811"/>
      <c r="BS61" s="2441"/>
      <c r="BT61" s="1693"/>
      <c r="BU61" s="1693"/>
      <c r="BV61" s="1694"/>
      <c r="BW61" s="1693"/>
      <c r="BX61" s="1811"/>
      <c r="BY61" s="2441"/>
      <c r="BZ61" s="1693"/>
      <c r="CA61" s="1693"/>
      <c r="CB61" s="1694"/>
      <c r="CC61" s="2484"/>
      <c r="CD61" s="2484"/>
      <c r="CE61" s="1693"/>
      <c r="CF61" s="1693"/>
      <c r="CG61" s="1694"/>
      <c r="CH61" s="1693"/>
      <c r="CI61" s="1693"/>
      <c r="CJ61" s="1694">
        <f>объемы!AP58</f>
        <v>3178.1</v>
      </c>
      <c r="CK61" s="1693"/>
      <c r="CL61" s="1693"/>
      <c r="CM61" s="1694"/>
      <c r="CN61" s="1693"/>
      <c r="CO61" s="1693"/>
      <c r="CP61" s="1694"/>
      <c r="CQ61" s="1693"/>
      <c r="CR61" s="1693"/>
      <c r="CS61" s="1694"/>
    </row>
    <row r="62" spans="1:97" ht="56.25" customHeight="1" x14ac:dyDescent="0.2">
      <c r="A62" s="1822" t="s">
        <v>145</v>
      </c>
      <c r="B62" s="1807"/>
      <c r="C62" s="1807"/>
      <c r="D62" s="1807"/>
      <c r="E62" s="1807"/>
      <c r="F62" s="1807"/>
      <c r="G62" s="1807"/>
      <c r="H62" s="1807"/>
      <c r="I62" s="1807"/>
      <c r="J62" s="1807"/>
      <c r="K62" s="1693"/>
      <c r="L62" s="1693"/>
      <c r="M62" s="1811">
        <f>L52/M60</f>
        <v>0.1105</v>
      </c>
      <c r="N62" s="1693"/>
      <c r="O62" s="1693"/>
      <c r="P62" s="1693"/>
      <c r="Q62" s="1811">
        <f>AB25</f>
        <v>9.9000000000000005E-2</v>
      </c>
      <c r="R62" s="1693"/>
      <c r="S62" s="1811"/>
      <c r="T62" s="1808"/>
      <c r="U62" s="1693"/>
      <c r="V62" s="1811">
        <f t="shared" si="14"/>
        <v>-1.1499999999999996E-2</v>
      </c>
      <c r="W62" s="1693"/>
      <c r="X62" s="1821"/>
      <c r="Y62" s="1821"/>
      <c r="Z62" s="1811">
        <f>Y52/Z60</f>
        <v>9.1423497575825907E-2</v>
      </c>
      <c r="AA62" s="1693"/>
      <c r="AB62" s="1693"/>
      <c r="AC62" s="1693"/>
      <c r="AD62" s="1811">
        <f>AC52/AD60</f>
        <v>8.6067148125384157E-2</v>
      </c>
      <c r="AE62" s="1693"/>
      <c r="AF62" s="1693"/>
      <c r="AG62" s="1824">
        <f>AF52/AG60</f>
        <v>6.9781945645741347E-2</v>
      </c>
      <c r="AH62" s="1693"/>
      <c r="AI62" s="1693"/>
      <c r="AJ62" s="1811">
        <f>AI52/AJ60</f>
        <v>0.1083126854902388</v>
      </c>
      <c r="AK62" s="1693"/>
      <c r="AL62" s="1693"/>
      <c r="AM62" s="1693"/>
      <c r="AN62" s="1811">
        <f>Q62</f>
        <v>9.9000000000000005E-2</v>
      </c>
      <c r="AO62" s="1693"/>
      <c r="AP62" s="1811"/>
      <c r="AQ62" s="1811">
        <f t="shared" si="48"/>
        <v>-9.3126854902387951E-3</v>
      </c>
      <c r="AR62" s="1693"/>
      <c r="AS62" s="1693"/>
      <c r="AT62" s="1811">
        <f>AS52/AT60</f>
        <v>7.2579571181249164E-2</v>
      </c>
      <c r="AU62" s="1693"/>
      <c r="AV62" s="1693"/>
      <c r="AW62" s="1811">
        <f>AV52/AW60</f>
        <v>4.9977219177547223E-2</v>
      </c>
      <c r="AX62" s="1693"/>
      <c r="AY62" s="1693"/>
      <c r="AZ62" s="1811">
        <f>AY52/AZ60</f>
        <v>8.8275266340339761E-2</v>
      </c>
      <c r="BA62" s="1814">
        <f t="shared" si="5"/>
        <v>0.89166935697312888</v>
      </c>
      <c r="BB62" s="1703"/>
      <c r="BC62" s="1703"/>
      <c r="BD62" s="1825">
        <v>8.4000000000000005E-2</v>
      </c>
      <c r="BE62" s="1703"/>
      <c r="BF62" s="1825"/>
      <c r="BG62" s="1825">
        <f t="shared" si="49"/>
        <v>-4.2752663403397562E-3</v>
      </c>
      <c r="BH62" s="1825"/>
      <c r="BI62" s="1825"/>
      <c r="BJ62" s="1825">
        <v>9.1999999999999998E-2</v>
      </c>
      <c r="BK62" s="1825"/>
      <c r="BL62" s="1825"/>
      <c r="BM62" s="1825">
        <v>8.4000000000000005E-2</v>
      </c>
      <c r="BN62" s="1703"/>
      <c r="BO62" s="1703"/>
      <c r="BP62" s="1825">
        <v>8.4000000000000005E-2</v>
      </c>
      <c r="BQ62" s="1703"/>
      <c r="BR62" s="1825"/>
      <c r="BS62" s="1825">
        <f t="shared" si="50"/>
        <v>8.4000000000000005E-2</v>
      </c>
      <c r="BT62" s="1703"/>
      <c r="BU62" s="1703"/>
      <c r="BV62" s="1825">
        <v>8.4000000000000005E-2</v>
      </c>
      <c r="BW62" s="1703"/>
      <c r="BX62" s="1825"/>
      <c r="BY62" s="1825">
        <f t="shared" si="51"/>
        <v>8.4000000000000005E-2</v>
      </c>
      <c r="BZ62" s="1703"/>
      <c r="CA62" s="1703"/>
      <c r="CB62" s="1825">
        <v>8.4000000000000005E-2</v>
      </c>
      <c r="CC62" s="2484"/>
      <c r="CD62" s="2484"/>
      <c r="CE62" s="1703"/>
      <c r="CF62" s="1703"/>
      <c r="CG62" s="1825">
        <f>CF52/CG60</f>
        <v>0.10997335268287189</v>
      </c>
      <c r="CH62" s="1825">
        <f>CF52/CH87</f>
        <v>0.1106384317674082</v>
      </c>
      <c r="CI62" s="1703"/>
      <c r="CJ62" s="1825">
        <v>8.4000000000000005E-2</v>
      </c>
      <c r="CK62" s="1703"/>
      <c r="CL62" s="1703"/>
      <c r="CM62" s="1825">
        <v>8.4000000000000005E-2</v>
      </c>
      <c r="CN62" s="1703"/>
      <c r="CO62" s="1703"/>
      <c r="CP62" s="1825">
        <v>8.4000000000000005E-2</v>
      </c>
      <c r="CQ62" s="1703"/>
      <c r="CR62" s="1703"/>
      <c r="CS62" s="1825">
        <v>8.4000000000000005E-2</v>
      </c>
    </row>
    <row r="63" spans="1:97" ht="58.5" customHeight="1" x14ac:dyDescent="0.2">
      <c r="A63" s="1822" t="s">
        <v>146</v>
      </c>
      <c r="B63" s="1807"/>
      <c r="C63" s="1807"/>
      <c r="D63" s="1807"/>
      <c r="E63" s="1807"/>
      <c r="F63" s="1807"/>
      <c r="G63" s="1807"/>
      <c r="H63" s="1807"/>
      <c r="I63" s="1807"/>
      <c r="J63" s="1807"/>
      <c r="K63" s="1693"/>
      <c r="L63" s="1693"/>
      <c r="M63" s="1811">
        <f>L54/M60</f>
        <v>0.63394444444444442</v>
      </c>
      <c r="N63" s="1693"/>
      <c r="O63" s="1693"/>
      <c r="P63" s="1693"/>
      <c r="Q63" s="1811">
        <f>AH26</f>
        <v>0.39184614210486146</v>
      </c>
      <c r="R63" s="1693"/>
      <c r="S63" s="1811"/>
      <c r="T63" s="1808"/>
      <c r="U63" s="1693"/>
      <c r="V63" s="1811">
        <f t="shared" si="14"/>
        <v>-0.24209830233958296</v>
      </c>
      <c r="W63" s="1693"/>
      <c r="X63" s="1821"/>
      <c r="Y63" s="1821"/>
      <c r="Z63" s="1811">
        <f>Y54/Z60</f>
        <v>0.5300879467809223</v>
      </c>
      <c r="AA63" s="1693"/>
      <c r="AB63" s="1693"/>
      <c r="AC63" s="1693"/>
      <c r="AD63" s="1811">
        <f>AC54/AD60</f>
        <v>0.52707437000614632</v>
      </c>
      <c r="AE63" s="1693"/>
      <c r="AF63" s="1693"/>
      <c r="AG63" s="1824">
        <f>AF54/AG60</f>
        <v>0.42197159375426785</v>
      </c>
      <c r="AH63" s="1693"/>
      <c r="AI63" s="1693"/>
      <c r="AJ63" s="1811">
        <f>AI54/AJ60</f>
        <v>0.6213957034334413</v>
      </c>
      <c r="AK63" s="1693"/>
      <c r="AL63" s="1693"/>
      <c r="AM63" s="1693"/>
      <c r="AN63" s="1811">
        <f>Q63</f>
        <v>0.39184614210486146</v>
      </c>
      <c r="AO63" s="1693"/>
      <c r="AP63" s="1811"/>
      <c r="AQ63" s="1811">
        <f t="shared" si="48"/>
        <v>-0.22954956132857984</v>
      </c>
      <c r="AR63" s="1693"/>
      <c r="AS63" s="1693"/>
      <c r="AT63" s="1811">
        <f>AS54/AT60</f>
        <v>0.46817892602950534</v>
      </c>
      <c r="AU63" s="1693"/>
      <c r="AV63" s="1693"/>
      <c r="AW63" s="1811">
        <f>AV54/AW60</f>
        <v>0.36318619091630977</v>
      </c>
      <c r="AX63" s="1693"/>
      <c r="AY63" s="1693"/>
      <c r="AZ63" s="1811">
        <f>AY54/AZ60</f>
        <v>0.53380074863230642</v>
      </c>
      <c r="BA63" s="1814">
        <f t="shared" si="5"/>
        <v>1.3622712878195358</v>
      </c>
      <c r="BB63" s="1703"/>
      <c r="BC63" s="1703"/>
      <c r="BD63" s="1825">
        <v>0.42</v>
      </c>
      <c r="BE63" s="1703"/>
      <c r="BF63" s="1825"/>
      <c r="BG63" s="1825">
        <f t="shared" si="49"/>
        <v>-0.11380074863230644</v>
      </c>
      <c r="BH63" s="1825"/>
      <c r="BI63" s="1825"/>
      <c r="BJ63" s="1825">
        <v>0.60199999999999998</v>
      </c>
      <c r="BK63" s="1825"/>
      <c r="BL63" s="1825"/>
      <c r="BM63" s="1825">
        <v>0.42</v>
      </c>
      <c r="BN63" s="1703"/>
      <c r="BO63" s="1703"/>
      <c r="BP63" s="1825">
        <v>0.42</v>
      </c>
      <c r="BQ63" s="1703"/>
      <c r="BR63" s="1825"/>
      <c r="BS63" s="1825">
        <f t="shared" si="50"/>
        <v>0.42</v>
      </c>
      <c r="BT63" s="1703"/>
      <c r="BU63" s="1703"/>
      <c r="BV63" s="1825">
        <v>0.42</v>
      </c>
      <c r="BW63" s="1703"/>
      <c r="BX63" s="1825"/>
      <c r="BY63" s="1825">
        <f t="shared" si="51"/>
        <v>0.42</v>
      </c>
      <c r="BZ63" s="1703"/>
      <c r="CA63" s="1703"/>
      <c r="CB63" s="1827">
        <v>0.42</v>
      </c>
      <c r="CC63" s="2484"/>
      <c r="CD63" s="2484"/>
      <c r="CE63" s="1703"/>
      <c r="CF63" s="1703"/>
      <c r="CG63" s="1827">
        <f>CF54/CG60</f>
        <v>0.62836062702513351</v>
      </c>
      <c r="CH63" s="1827">
        <f>CF54/CH60</f>
        <v>0.46085083542073829</v>
      </c>
      <c r="CI63" s="1703"/>
      <c r="CJ63" s="1827">
        <v>0.42</v>
      </c>
      <c r="CK63" s="1703"/>
      <c r="CL63" s="1703"/>
      <c r="CM63" s="1825">
        <v>0.42</v>
      </c>
      <c r="CN63" s="1703"/>
      <c r="CO63" s="1703"/>
      <c r="CP63" s="1825">
        <v>0.42</v>
      </c>
      <c r="CQ63" s="1703"/>
      <c r="CR63" s="1703"/>
      <c r="CS63" s="1825">
        <v>0.42</v>
      </c>
    </row>
    <row r="65" spans="1:49" ht="16.5" hidden="1" customHeight="1" x14ac:dyDescent="0.25">
      <c r="A65" s="586" t="s">
        <v>436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6">
        <f>AW48-AT48</f>
        <v>699.59999999999991</v>
      </c>
    </row>
    <row r="66" spans="1:49" ht="16.5" hidden="1" customHeight="1" x14ac:dyDescent="0.25">
      <c r="A66" s="586" t="s">
        <v>437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6">
        <f>AW49-AT49</f>
        <v>72.900000000000006</v>
      </c>
    </row>
    <row r="67" spans="1:49" ht="16.5" hidden="1" customHeight="1" x14ac:dyDescent="0.25">
      <c r="A67" s="587" t="s">
        <v>438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/>
      <c r="M67" s="586" t="s">
        <v>442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29"/>
      <c r="Y67" s="29"/>
      <c r="Z67" s="29"/>
      <c r="AA67" s="280"/>
      <c r="AB67" s="280"/>
      <c r="AU67">
        <f t="shared" si="52"/>
        <v>4.2196189800023669</v>
      </c>
      <c r="AV67" s="129">
        <f t="shared" si="53"/>
        <v>338.03999999999996</v>
      </c>
      <c r="AW67" s="156">
        <f>AW50-AT50</f>
        <v>1426.4</v>
      </c>
    </row>
    <row r="68" spans="1:49" ht="16.5" hidden="1" customHeight="1" x14ac:dyDescent="0.25">
      <c r="A68" s="587" t="s">
        <v>439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AN59</f>
        <v>0.24172159546971789</v>
      </c>
      <c r="M68" s="586" t="s">
        <v>442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4192"/>
      <c r="Y68" s="4192"/>
      <c r="Z68" s="4192"/>
      <c r="AA68" s="280"/>
      <c r="AB68" s="280"/>
      <c r="AU68">
        <f>AW68/AV68</f>
        <v>4.6858185212256567</v>
      </c>
      <c r="AV68" s="129">
        <f>SUM(AV65:AV67)</f>
        <v>469.26699999999994</v>
      </c>
      <c r="AW68" s="156">
        <f>SUM(AW65:AW67)</f>
        <v>2198.9</v>
      </c>
    </row>
    <row r="69" spans="1:49" ht="16.5" hidden="1" customHeight="1" x14ac:dyDescent="0.25">
      <c r="A69" s="587" t="s">
        <v>440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9.9000000000000005E-2</v>
      </c>
      <c r="M69" s="586" t="s">
        <v>443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ht="16.5" hidden="1" customHeight="1" x14ac:dyDescent="0.25">
      <c r="A70" s="587" t="s">
        <v>441</v>
      </c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8">
        <f>AN63</f>
        <v>0.39184614210486146</v>
      </c>
      <c r="M70" s="586" t="s">
        <v>443</v>
      </c>
      <c r="N70" s="586"/>
      <c r="O70" s="586"/>
      <c r="P70" s="586"/>
      <c r="Q70" s="586"/>
      <c r="R70" s="586"/>
      <c r="S70" s="586"/>
      <c r="T70" s="586"/>
      <c r="U70" s="5"/>
      <c r="V70" s="29"/>
      <c r="W70" s="29"/>
      <c r="X70" s="29"/>
      <c r="Y70" s="589"/>
      <c r="Z70" s="589"/>
      <c r="AA70" s="280"/>
      <c r="AB70" s="280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189" t="s">
        <v>569</v>
      </c>
      <c r="B72" s="4190"/>
      <c r="C72" s="4190"/>
      <c r="D72" s="4190"/>
      <c r="E72" s="4190"/>
      <c r="F72" s="4190"/>
      <c r="G72" s="4190"/>
      <c r="H72" s="4190"/>
      <c r="I72" s="4190"/>
      <c r="J72" s="4190"/>
      <c r="K72" s="4190"/>
      <c r="L72" s="4190"/>
      <c r="M72" s="4191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89"/>
      <c r="Z72" s="589"/>
      <c r="AA72" s="280"/>
      <c r="AB72" s="280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462" t="s">
        <v>536</v>
      </c>
      <c r="B73" s="1463"/>
      <c r="C73" s="1463"/>
      <c r="D73" s="1463"/>
      <c r="E73" s="1463"/>
      <c r="F73" s="1463"/>
      <c r="G73" s="1463"/>
      <c r="H73" s="1463"/>
      <c r="I73" s="1463"/>
      <c r="J73" s="1463"/>
      <c r="K73" s="1463" t="s">
        <v>338</v>
      </c>
      <c r="L73" s="1463" t="s">
        <v>354</v>
      </c>
      <c r="M73" s="586" t="s">
        <v>570</v>
      </c>
      <c r="N73" s="5"/>
      <c r="O73" s="1463" t="s">
        <v>572</v>
      </c>
      <c r="P73" s="586" t="s">
        <v>573</v>
      </c>
      <c r="Q73" s="5"/>
      <c r="R73" s="5"/>
      <c r="S73" s="5"/>
      <c r="T73" s="5"/>
      <c r="U73" s="5"/>
      <c r="V73" s="29"/>
      <c r="W73" s="29"/>
      <c r="X73" s="591"/>
      <c r="Y73" s="592"/>
      <c r="Z73" s="592"/>
      <c r="AA73" s="280"/>
      <c r="AB73" s="280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97" t="s">
        <v>135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>
        <f>SUM(M74/L74)</f>
        <v>5.0619778596182483</v>
      </c>
      <c r="L74" s="595">
        <f>SUM(AC48-Y48)</f>
        <v>184.09799999999996</v>
      </c>
      <c r="M74" s="595">
        <f>SUM(AD48-Z48)</f>
        <v>931.90000000000009</v>
      </c>
      <c r="N74" s="5"/>
      <c r="O74" s="599">
        <f>SUM(AD56-Z56)</f>
        <v>1664.6999999999998</v>
      </c>
      <c r="P74" s="588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97" t="s">
        <v>574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/>
      <c r="L75" s="595"/>
      <c r="M75" s="595"/>
      <c r="N75" s="5"/>
      <c r="O75" s="599">
        <f>SUM(AD58-Z58)</f>
        <v>1455.02</v>
      </c>
      <c r="P75" s="588"/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hidden="1" customHeight="1" x14ac:dyDescent="0.25">
      <c r="A76" s="586" t="s">
        <v>136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4.1182508170596659</v>
      </c>
      <c r="L76" s="595">
        <f>SUM(AC50-Y50)</f>
        <v>370.23</v>
      </c>
      <c r="M76" s="595">
        <f>SUM(AD50-Z50)</f>
        <v>1524.7000000000003</v>
      </c>
      <c r="N76" s="5"/>
      <c r="O76" s="595"/>
      <c r="P76" s="588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89"/>
      <c r="Z76" s="589"/>
      <c r="AA76" s="280"/>
      <c r="AB76" s="280"/>
    </row>
    <row r="77" spans="1:49" ht="16.5" hidden="1" customHeight="1" x14ac:dyDescent="0.25">
      <c r="A77" s="586" t="s">
        <v>54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>SUM(M77/L77)</f>
        <v>4.4316722229438179</v>
      </c>
      <c r="L77" s="595">
        <f>SUM(L74:L76)</f>
        <v>554.32799999999997</v>
      </c>
      <c r="M77" s="595">
        <f>SUM(M74:M76)</f>
        <v>2456.6000000000004</v>
      </c>
      <c r="N77" s="5"/>
      <c r="O77" s="586"/>
      <c r="P77" s="586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80"/>
      <c r="AB77" s="280"/>
    </row>
    <row r="78" spans="1:49" ht="16.5" hidden="1" customHeight="1" x14ac:dyDescent="0.25">
      <c r="A78" s="586" t="s">
        <v>138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ref="K78:K80" si="56">SUM(M78/L78)</f>
        <v>5.0854030993972499</v>
      </c>
      <c r="L78" s="595">
        <f>SUM(AC52-Y52)</f>
        <v>61.88300000000001</v>
      </c>
      <c r="M78" s="595">
        <f>SUM(AD52-Z52)</f>
        <v>314.70000000000005</v>
      </c>
      <c r="N78" s="5"/>
      <c r="O78" s="598">
        <f>SUM(AD60-Z60)</f>
        <v>829.39999999999986</v>
      </c>
      <c r="P78" s="588">
        <f>SUM(L78/O78)</f>
        <v>7.4611767542802049E-2</v>
      </c>
      <c r="Q78" s="5"/>
      <c r="R78" s="5"/>
      <c r="S78" s="5"/>
      <c r="T78" s="5"/>
      <c r="U78" s="5"/>
      <c r="V78" s="29"/>
      <c r="W78" s="29"/>
      <c r="X78" s="591"/>
      <c r="Y78" s="592"/>
      <c r="Z78" s="592"/>
      <c r="AA78" s="280"/>
      <c r="AB78" s="280"/>
    </row>
    <row r="79" spans="1:49" ht="16.5" hidden="1" customHeight="1" x14ac:dyDescent="0.25">
      <c r="A79" s="586" t="s">
        <v>571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56"/>
        <v>3.9234848660290407</v>
      </c>
      <c r="L79" s="595">
        <f>SUM(AC54-Y54)</f>
        <v>431.80999999999995</v>
      </c>
      <c r="M79" s="595">
        <f>SUM(AD54-Z54)</f>
        <v>1694.1999999999998</v>
      </c>
      <c r="N79" s="5"/>
      <c r="O79" s="598">
        <f>SUM(O78)</f>
        <v>829.39999999999986</v>
      </c>
      <c r="P79" s="588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408"/>
      <c r="AA79" s="280"/>
      <c r="AB79" s="280"/>
    </row>
    <row r="80" spans="1:49" ht="16.5" hidden="1" customHeight="1" x14ac:dyDescent="0.25">
      <c r="A80" s="586" t="s">
        <v>54</v>
      </c>
      <c r="B80" s="586"/>
      <c r="C80" s="586"/>
      <c r="D80" s="586"/>
      <c r="E80" s="586"/>
      <c r="F80" s="586"/>
      <c r="G80" s="586"/>
      <c r="H80" s="586"/>
      <c r="I80" s="586"/>
      <c r="J80" s="586"/>
      <c r="K80" s="596">
        <f t="shared" si="56"/>
        <v>4.0691279803440601</v>
      </c>
      <c r="L80" s="595">
        <f>SUM(L78:L79)</f>
        <v>493.69299999999998</v>
      </c>
      <c r="M80" s="595">
        <f>SUM(M78:M79)</f>
        <v>2008.8999999999999</v>
      </c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89"/>
      <c r="AA80" s="280"/>
      <c r="AB80" s="280"/>
    </row>
    <row r="81" spans="1:86" ht="16.5" hidden="1" x14ac:dyDescent="0.25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"/>
      <c r="O81" s="586"/>
      <c r="P81" s="586"/>
      <c r="Q81" s="5"/>
      <c r="R81" s="5"/>
      <c r="S81" s="5"/>
      <c r="T81" s="5"/>
      <c r="U81" s="5"/>
      <c r="V81" s="29"/>
      <c r="W81" s="29"/>
      <c r="X81" s="29"/>
      <c r="Y81" s="29"/>
      <c r="Z81" s="593"/>
      <c r="AA81" s="280"/>
      <c r="AB81" s="280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объемы!AN58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166" t="s">
        <v>242</v>
      </c>
      <c r="B3" s="4166"/>
      <c r="C3" s="4166"/>
      <c r="D3" s="4166"/>
      <c r="E3" s="4166"/>
      <c r="F3" s="4166"/>
      <c r="G3" s="4166"/>
      <c r="H3" s="4166"/>
      <c r="I3" s="4166"/>
      <c r="J3" s="4166"/>
      <c r="K3" s="4166"/>
      <c r="L3" s="4166"/>
      <c r="M3" s="4166"/>
      <c r="N3" s="4166"/>
      <c r="O3" s="4166"/>
      <c r="P3" s="4166"/>
      <c r="Q3" s="4166"/>
      <c r="R3" s="4166"/>
      <c r="S3" s="4166"/>
      <c r="T3" s="4166"/>
      <c r="U3" s="4166"/>
      <c r="V3" s="4166"/>
      <c r="W3" s="4166"/>
      <c r="X3" s="4166"/>
      <c r="Y3" s="4166"/>
      <c r="Z3" s="4166"/>
      <c r="AA3" s="4166"/>
      <c r="AB3" s="4166"/>
      <c r="AC3" s="4166"/>
      <c r="AD3" s="4166"/>
      <c r="AE3" s="4166"/>
      <c r="AF3" s="4166"/>
      <c r="AG3" s="4166"/>
      <c r="AH3" s="4166"/>
      <c r="AI3" s="4166"/>
      <c r="AJ3" s="4166"/>
      <c r="AK3" s="4166"/>
      <c r="AL3" s="4166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167"/>
      <c r="B5" s="90"/>
      <c r="C5" s="90"/>
      <c r="D5" s="90"/>
      <c r="E5" s="90"/>
      <c r="F5" s="90"/>
      <c r="G5" s="90"/>
      <c r="H5" s="4168" t="s">
        <v>59</v>
      </c>
      <c r="I5" s="4168"/>
      <c r="J5" s="4168"/>
      <c r="K5" s="4168" t="s">
        <v>67</v>
      </c>
      <c r="L5" s="4168"/>
      <c r="M5" s="4168"/>
      <c r="N5" s="4168"/>
      <c r="O5" s="4168" t="s">
        <v>95</v>
      </c>
      <c r="P5" s="4168"/>
      <c r="Q5" s="4168"/>
      <c r="R5" s="4169" t="s">
        <v>211</v>
      </c>
      <c r="S5" s="4170"/>
      <c r="T5" s="4170"/>
      <c r="U5" s="4171"/>
      <c r="V5" s="4110" t="s">
        <v>159</v>
      </c>
      <c r="W5" s="4110"/>
      <c r="X5" s="4110"/>
      <c r="Y5" s="4110"/>
      <c r="Z5" s="4110"/>
      <c r="AA5" s="4110"/>
      <c r="AB5" s="4110"/>
      <c r="AC5" s="4110"/>
      <c r="AD5" s="4110"/>
      <c r="AE5" s="4175"/>
      <c r="AF5" s="4175"/>
      <c r="AG5" s="4175"/>
      <c r="AH5" s="4110"/>
      <c r="AI5" s="4110"/>
      <c r="AJ5" s="4110"/>
      <c r="AK5" s="4110"/>
      <c r="AL5" s="4110"/>
      <c r="AM5" s="4110"/>
      <c r="AN5" s="4110"/>
      <c r="AO5" s="4110"/>
    </row>
    <row r="6" spans="1:41" ht="12.75" hidden="1" customHeight="1" x14ac:dyDescent="0.2">
      <c r="A6" s="4167"/>
      <c r="B6" s="15"/>
      <c r="C6" s="91" t="s">
        <v>130</v>
      </c>
      <c r="D6" s="91"/>
      <c r="E6" s="15"/>
      <c r="F6" s="91" t="s">
        <v>131</v>
      </c>
      <c r="G6" s="91"/>
      <c r="H6" s="4168"/>
      <c r="I6" s="4168"/>
      <c r="J6" s="4168"/>
      <c r="K6" s="4168"/>
      <c r="L6" s="4168"/>
      <c r="M6" s="4168"/>
      <c r="N6" s="4168"/>
      <c r="O6" s="4168"/>
      <c r="P6" s="4168"/>
      <c r="Q6" s="4168"/>
      <c r="R6" s="4172"/>
      <c r="S6" s="4173"/>
      <c r="T6" s="4173"/>
      <c r="U6" s="4174"/>
      <c r="V6" s="4176" t="s">
        <v>122</v>
      </c>
      <c r="W6" s="4176"/>
      <c r="X6" s="4176"/>
      <c r="Y6" s="4176"/>
      <c r="Z6" s="4176" t="s">
        <v>123</v>
      </c>
      <c r="AA6" s="4176"/>
      <c r="AB6" s="4176"/>
      <c r="AC6" s="4176"/>
      <c r="AD6" s="4168" t="s">
        <v>237</v>
      </c>
      <c r="AE6" s="4177"/>
      <c r="AF6" s="4177"/>
      <c r="AG6" s="4177"/>
      <c r="AH6" s="4168"/>
      <c r="AI6" s="4168"/>
      <c r="AJ6" s="4178" t="s">
        <v>241</v>
      </c>
      <c r="AK6" s="4178"/>
      <c r="AL6" s="4178"/>
      <c r="AM6" s="4178" t="s">
        <v>372</v>
      </c>
      <c r="AN6" s="4178"/>
      <c r="AO6" s="4178"/>
    </row>
    <row r="7" spans="1:41" ht="12.75" hidden="1" customHeight="1" x14ac:dyDescent="0.2">
      <c r="A7" s="4167"/>
      <c r="B7" s="15" t="s">
        <v>132</v>
      </c>
      <c r="C7" s="15" t="s">
        <v>133</v>
      </c>
      <c r="D7" s="15" t="s">
        <v>45</v>
      </c>
      <c r="E7" s="15" t="s">
        <v>132</v>
      </c>
      <c r="F7" s="15" t="s">
        <v>133</v>
      </c>
      <c r="G7" s="15" t="s">
        <v>45</v>
      </c>
      <c r="H7" s="4178" t="s">
        <v>147</v>
      </c>
      <c r="I7" s="4178" t="s">
        <v>134</v>
      </c>
      <c r="J7" s="4178" t="s">
        <v>102</v>
      </c>
      <c r="K7" s="4178" t="s">
        <v>228</v>
      </c>
      <c r="L7" s="4179" t="s">
        <v>148</v>
      </c>
      <c r="M7" s="4181" t="s">
        <v>102</v>
      </c>
      <c r="N7" s="4182"/>
      <c r="O7" s="4178" t="s">
        <v>147</v>
      </c>
      <c r="P7" s="4178" t="s">
        <v>134</v>
      </c>
      <c r="Q7" s="4178" t="s">
        <v>102</v>
      </c>
      <c r="R7" s="4178" t="s">
        <v>147</v>
      </c>
      <c r="S7" s="4178" t="s">
        <v>134</v>
      </c>
      <c r="T7" s="4178" t="s">
        <v>102</v>
      </c>
      <c r="U7" s="92"/>
      <c r="V7" s="4178" t="s">
        <v>115</v>
      </c>
      <c r="W7" s="4178"/>
      <c r="X7" s="4178" t="s">
        <v>148</v>
      </c>
      <c r="Y7" s="4178" t="s">
        <v>102</v>
      </c>
      <c r="Z7" s="4178" t="s">
        <v>115</v>
      </c>
      <c r="AA7" s="4178"/>
      <c r="AB7" s="4178" t="s">
        <v>148</v>
      </c>
      <c r="AC7" s="4178" t="s">
        <v>102</v>
      </c>
      <c r="AD7" s="4178" t="s">
        <v>147</v>
      </c>
      <c r="AE7" s="813"/>
      <c r="AF7" s="813"/>
      <c r="AG7" s="813"/>
      <c r="AH7" s="4178" t="s">
        <v>134</v>
      </c>
      <c r="AI7" s="4178" t="s">
        <v>102</v>
      </c>
      <c r="AJ7" s="4178" t="s">
        <v>147</v>
      </c>
      <c r="AK7" s="4178" t="s">
        <v>134</v>
      </c>
      <c r="AL7" s="4178" t="s">
        <v>102</v>
      </c>
      <c r="AM7" s="4178" t="s">
        <v>147</v>
      </c>
      <c r="AN7" s="4178" t="s">
        <v>134</v>
      </c>
      <c r="AO7" s="4178" t="s">
        <v>102</v>
      </c>
    </row>
    <row r="8" spans="1:41" ht="32.25" hidden="1" customHeight="1" x14ac:dyDescent="0.2">
      <c r="A8" s="4167"/>
      <c r="B8" s="15"/>
      <c r="C8" s="15"/>
      <c r="D8" s="15"/>
      <c r="E8" s="15"/>
      <c r="F8" s="15"/>
      <c r="G8" s="15"/>
      <c r="H8" s="4178"/>
      <c r="I8" s="4178"/>
      <c r="J8" s="4178"/>
      <c r="K8" s="4178"/>
      <c r="L8" s="4180"/>
      <c r="M8" s="4183"/>
      <c r="N8" s="4184"/>
      <c r="O8" s="4178"/>
      <c r="P8" s="4178"/>
      <c r="Q8" s="4178"/>
      <c r="R8" s="4178"/>
      <c r="S8" s="4178"/>
      <c r="T8" s="4178"/>
      <c r="U8" s="92"/>
      <c r="V8" s="23" t="s">
        <v>229</v>
      </c>
      <c r="W8" s="92" t="s">
        <v>163</v>
      </c>
      <c r="X8" s="4178"/>
      <c r="Y8" s="4178"/>
      <c r="Z8" s="92" t="s">
        <v>229</v>
      </c>
      <c r="AA8" s="92" t="s">
        <v>163</v>
      </c>
      <c r="AB8" s="4178"/>
      <c r="AC8" s="4178"/>
      <c r="AD8" s="4178"/>
      <c r="AE8" s="813"/>
      <c r="AF8" s="813"/>
      <c r="AG8" s="813"/>
      <c r="AH8" s="4178"/>
      <c r="AI8" s="4178"/>
      <c r="AJ8" s="4178"/>
      <c r="AK8" s="4178"/>
      <c r="AL8" s="4178"/>
      <c r="AM8" s="4178"/>
      <c r="AN8" s="4178"/>
      <c r="AO8" s="4178"/>
    </row>
    <row r="9" spans="1:41" hidden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4"/>
      <c r="AF9" s="814"/>
      <c r="AG9" s="814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</row>
    <row r="10" spans="1:41" hidden="1" x14ac:dyDescent="0.2">
      <c r="A10" s="81" t="s">
        <v>162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4"/>
      <c r="AF10" s="814"/>
      <c r="AG10" s="814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</row>
    <row r="11" spans="1:41" hidden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5"/>
      <c r="AF11" s="815"/>
      <c r="AG11" s="815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</row>
    <row r="12" spans="1:41" hidden="1" x14ac:dyDescent="0.2">
      <c r="A12" s="81" t="s">
        <v>162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4"/>
      <c r="AF12" s="814"/>
      <c r="AG12" s="814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</row>
    <row r="13" spans="1:41" ht="13.5" hidden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6"/>
      <c r="AF13" s="816"/>
      <c r="AG13" s="81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4"/>
      <c r="AF14" s="814"/>
      <c r="AG14" s="814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</row>
    <row r="15" spans="1:41" hidden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4"/>
      <c r="AF15" s="814"/>
      <c r="AG15" s="814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</row>
    <row r="16" spans="1:41" hidden="1" x14ac:dyDescent="0.2">
      <c r="A16" s="81" t="s">
        <v>162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4"/>
      <c r="AF16" s="814"/>
      <c r="AG16" s="814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</row>
    <row r="17" spans="1:42" ht="13.5" hidden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6"/>
      <c r="AF17" s="816"/>
      <c r="AG17" s="81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815"/>
      <c r="AF18" s="815"/>
      <c r="AG18" s="81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объемы!G9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объемы!AZ9</f>
        <v>6381</v>
      </c>
      <c r="AC19" s="2"/>
      <c r="AD19" s="142"/>
      <c r="AE19" s="817"/>
      <c r="AF19" s="817"/>
      <c r="AG19" s="81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142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5"/>
      <c r="AF20" s="815"/>
      <c r="AG20" s="81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4">
        <f>(L20+P20+S20+AN20)/4</f>
        <v>0.15880621825734828</v>
      </c>
    </row>
    <row r="21" spans="1:42" hidden="1" x14ac:dyDescent="0.2">
      <c r="A21" s="81" t="s">
        <v>155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5"/>
      <c r="AF21" s="815"/>
      <c r="AG21" s="81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8"/>
      <c r="AF22" s="818"/>
      <c r="AG22" s="81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</row>
    <row r="23" spans="1:42" hidden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9"/>
      <c r="AF23" s="819"/>
      <c r="AG23" s="81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объемы!G21</f>
        <v>4093.2000000000003</v>
      </c>
      <c r="Q24" s="15"/>
      <c r="R24" s="15"/>
      <c r="S24" s="15">
        <f>объемы!L21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>
        <f>объемы!AZ21</f>
        <v>4018</v>
      </c>
      <c r="AC24" s="2"/>
      <c r="AD24" s="57"/>
      <c r="AE24" s="815"/>
      <c r="AF24" s="815"/>
      <c r="AG24" s="81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8"/>
      <c r="AF25" s="818"/>
      <c r="AG25" s="81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</row>
    <row r="26" spans="1:42" ht="25.5" hidden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8"/>
      <c r="AF26" s="818"/>
      <c r="AG26" s="81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212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213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214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215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221</v>
      </c>
      <c r="R35">
        <v>4.2</v>
      </c>
      <c r="S35">
        <v>705.5</v>
      </c>
      <c r="T35">
        <v>2961.4</v>
      </c>
    </row>
    <row r="36" spans="1:59" hidden="1" x14ac:dyDescent="0.2">
      <c r="A36" t="s">
        <v>222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223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222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1513</v>
      </c>
    </row>
    <row r="41" spans="1:59" ht="20.25" x14ac:dyDescent="0.3">
      <c r="A41" s="4193" t="s">
        <v>834</v>
      </c>
      <c r="B41" s="4193"/>
      <c r="C41" s="4193"/>
      <c r="D41" s="4193"/>
      <c r="E41" s="4193"/>
      <c r="F41" s="4193"/>
      <c r="G41" s="4193"/>
      <c r="H41" s="4193"/>
      <c r="I41" s="4193"/>
      <c r="J41" s="4193"/>
      <c r="K41" s="4193"/>
      <c r="L41" s="4193"/>
      <c r="M41" s="4193"/>
      <c r="N41" s="4193"/>
      <c r="O41" s="4193"/>
      <c r="P41" s="4193"/>
      <c r="Q41" s="4193"/>
      <c r="R41" s="4193"/>
      <c r="S41" s="4193"/>
      <c r="T41" s="4193"/>
      <c r="U41" s="4193"/>
      <c r="V41" s="4193"/>
      <c r="W41" s="4193"/>
      <c r="X41" s="4193"/>
      <c r="Y41" s="4193"/>
      <c r="Z41" s="4193"/>
      <c r="AA41" s="4193"/>
      <c r="AB41" s="4193"/>
      <c r="AC41" s="4193"/>
      <c r="AD41" s="4193"/>
      <c r="AE41" s="4193"/>
      <c r="AF41" s="4193"/>
      <c r="AG41" s="4193"/>
      <c r="AH41" s="4193"/>
      <c r="AI41" s="4193"/>
      <c r="AJ41" s="4193"/>
      <c r="AK41" s="4193"/>
      <c r="AL41" s="4193"/>
      <c r="AM41" s="4214"/>
      <c r="AN41" s="4214"/>
      <c r="AO41" s="4214"/>
      <c r="AP41" s="4214"/>
      <c r="AQ41" s="4214"/>
      <c r="AR41" s="3491"/>
      <c r="AS41" s="3491"/>
      <c r="AT41" s="3491"/>
      <c r="AU41" s="3491"/>
      <c r="AV41" s="3491"/>
      <c r="AW41" s="3491"/>
      <c r="AX41" s="3491"/>
      <c r="AY41" s="3491"/>
      <c r="AZ41" s="3491"/>
      <c r="BA41" s="3491"/>
      <c r="BB41" s="3491"/>
      <c r="BC41" s="3491"/>
      <c r="BD41" s="3491"/>
      <c r="BE41" s="3491"/>
      <c r="BF41" s="3491"/>
      <c r="BG41" s="3491"/>
    </row>
    <row r="43" spans="1:59" ht="13.5" thickBot="1" x14ac:dyDescent="0.25"/>
    <row r="44" spans="1:59" ht="20.25" x14ac:dyDescent="0.2">
      <c r="A44" s="4215" t="s">
        <v>536</v>
      </c>
      <c r="B44" s="666"/>
      <c r="C44" s="364"/>
      <c r="D44" s="364"/>
      <c r="E44" s="364"/>
      <c r="F44" s="364"/>
      <c r="G44" s="364"/>
      <c r="H44" s="364"/>
      <c r="I44" s="364"/>
      <c r="J44" s="674"/>
      <c r="K44" s="4194" t="s">
        <v>293</v>
      </c>
      <c r="L44" s="4195"/>
      <c r="M44" s="4195"/>
      <c r="N44" s="4195"/>
      <c r="O44" s="4195"/>
      <c r="P44" s="4195"/>
      <c r="Q44" s="4195"/>
      <c r="R44" s="4195"/>
      <c r="S44" s="4195"/>
      <c r="T44" s="4195"/>
      <c r="U44" s="4195"/>
      <c r="V44" s="4195"/>
      <c r="W44" s="4195"/>
      <c r="X44" s="4195"/>
      <c r="Y44" s="4195"/>
      <c r="Z44" s="4195"/>
      <c r="AA44" s="4195"/>
      <c r="AB44" s="4195"/>
      <c r="AC44" s="4195"/>
      <c r="AD44" s="4195"/>
      <c r="AE44" s="4208"/>
      <c r="AF44" s="4208"/>
      <c r="AG44" s="4209"/>
      <c r="AH44" s="4194" t="s">
        <v>837</v>
      </c>
      <c r="AI44" s="4195"/>
      <c r="AJ44" s="4195"/>
      <c r="AK44" s="4195"/>
      <c r="AL44" s="4195"/>
      <c r="AM44" s="4195"/>
      <c r="AN44" s="4195"/>
      <c r="AO44" s="4195"/>
      <c r="AP44" s="4195"/>
      <c r="AQ44" s="4195"/>
      <c r="AR44" s="4196"/>
      <c r="AS44" s="4196"/>
      <c r="AT44" s="4196"/>
      <c r="AU44" s="4196"/>
      <c r="AV44" s="4196"/>
      <c r="AW44" s="4197"/>
      <c r="AX44" s="4218" t="s">
        <v>838</v>
      </c>
      <c r="AY44" s="4219"/>
      <c r="AZ44" s="4219"/>
      <c r="BA44" s="4219"/>
      <c r="BB44" s="4219"/>
      <c r="BC44" s="4219"/>
      <c r="BD44" s="4219"/>
      <c r="BE44" s="4219"/>
      <c r="BF44" s="4219"/>
      <c r="BG44" s="4220"/>
    </row>
    <row r="45" spans="1:59" ht="20.25" x14ac:dyDescent="0.2">
      <c r="A45" s="4216"/>
      <c r="B45" s="666"/>
      <c r="C45" s="364"/>
      <c r="D45" s="364"/>
      <c r="E45" s="364"/>
      <c r="F45" s="364"/>
      <c r="G45" s="364"/>
      <c r="H45" s="364"/>
      <c r="I45" s="364"/>
      <c r="J45" s="674"/>
      <c r="K45" s="4213" t="s">
        <v>125</v>
      </c>
      <c r="L45" s="4204"/>
      <c r="M45" s="4204"/>
      <c r="N45" s="4204"/>
      <c r="O45" s="4204" t="s">
        <v>126</v>
      </c>
      <c r="P45" s="4204"/>
      <c r="Q45" s="4204"/>
      <c r="R45" s="4204"/>
      <c r="S45" s="4217" t="s">
        <v>361</v>
      </c>
      <c r="T45" s="4217"/>
      <c r="U45" s="4217"/>
      <c r="V45" s="4217"/>
      <c r="W45" s="826"/>
      <c r="X45" s="4204" t="s">
        <v>384</v>
      </c>
      <c r="Y45" s="4204"/>
      <c r="Z45" s="4204"/>
      <c r="AA45" s="4204"/>
      <c r="AB45" s="4204" t="s">
        <v>130</v>
      </c>
      <c r="AC45" s="4204"/>
      <c r="AD45" s="4204"/>
      <c r="AE45" s="4210" t="s">
        <v>835</v>
      </c>
      <c r="AF45" s="4211"/>
      <c r="AG45" s="4212"/>
      <c r="AH45" s="4205" t="s">
        <v>125</v>
      </c>
      <c r="AI45" s="4201"/>
      <c r="AJ45" s="4201"/>
      <c r="AK45" s="4201"/>
      <c r="AL45" s="4204" t="s">
        <v>126</v>
      </c>
      <c r="AM45" s="4204"/>
      <c r="AN45" s="4204"/>
      <c r="AO45" s="4203" t="s">
        <v>361</v>
      </c>
      <c r="AP45" s="4203"/>
      <c r="AQ45" s="4203"/>
      <c r="AR45" s="4198" t="s">
        <v>384</v>
      </c>
      <c r="AS45" s="4198"/>
      <c r="AT45" s="4198"/>
      <c r="AU45" s="4200" t="s">
        <v>130</v>
      </c>
      <c r="AV45" s="4201"/>
      <c r="AW45" s="4201"/>
      <c r="AX45" s="4205" t="s">
        <v>125</v>
      </c>
      <c r="AY45" s="4201"/>
      <c r="AZ45" s="4201"/>
      <c r="BA45" s="4221"/>
      <c r="BB45" s="4222" t="s">
        <v>126</v>
      </c>
      <c r="BC45" s="4222"/>
      <c r="BD45" s="4222"/>
      <c r="BE45" s="4204" t="s">
        <v>361</v>
      </c>
      <c r="BF45" s="4204"/>
      <c r="BG45" s="4223"/>
    </row>
    <row r="46" spans="1:59" ht="18" customHeight="1" x14ac:dyDescent="0.2">
      <c r="A46" s="4216"/>
      <c r="B46" s="666"/>
      <c r="C46" s="364"/>
      <c r="D46" s="364"/>
      <c r="E46" s="364"/>
      <c r="F46" s="364"/>
      <c r="G46" s="364"/>
      <c r="H46" s="364"/>
      <c r="I46" s="364"/>
      <c r="J46" s="674"/>
      <c r="K46" s="827" t="s">
        <v>115</v>
      </c>
      <c r="L46" s="4202" t="s">
        <v>836</v>
      </c>
      <c r="M46" s="4202" t="s">
        <v>102</v>
      </c>
      <c r="N46" s="4202" t="s">
        <v>102</v>
      </c>
      <c r="O46" s="821" t="s">
        <v>115</v>
      </c>
      <c r="P46" s="4202" t="s">
        <v>836</v>
      </c>
      <c r="Q46" s="4202" t="s">
        <v>102</v>
      </c>
      <c r="R46" s="4202" t="s">
        <v>240</v>
      </c>
      <c r="S46" s="4217"/>
      <c r="T46" s="4217"/>
      <c r="U46" s="4217"/>
      <c r="V46" s="4217"/>
      <c r="W46" s="821"/>
      <c r="X46" s="821" t="s">
        <v>115</v>
      </c>
      <c r="Y46" s="4202" t="s">
        <v>836</v>
      </c>
      <c r="Z46" s="4202" t="s">
        <v>102</v>
      </c>
      <c r="AA46" s="4202" t="s">
        <v>102</v>
      </c>
      <c r="AB46" s="821" t="s">
        <v>115</v>
      </c>
      <c r="AC46" s="4202" t="s">
        <v>836</v>
      </c>
      <c r="AD46" s="4202" t="s">
        <v>102</v>
      </c>
      <c r="AE46" s="864" t="s">
        <v>115</v>
      </c>
      <c r="AF46" s="4206" t="s">
        <v>836</v>
      </c>
      <c r="AG46" s="4207" t="s">
        <v>102</v>
      </c>
      <c r="AH46" s="827" t="s">
        <v>115</v>
      </c>
      <c r="AI46" s="4202" t="s">
        <v>836</v>
      </c>
      <c r="AJ46" s="4202" t="s">
        <v>102</v>
      </c>
      <c r="AK46" s="4202" t="s">
        <v>389</v>
      </c>
      <c r="AL46" s="821" t="s">
        <v>115</v>
      </c>
      <c r="AM46" s="4202" t="s">
        <v>836</v>
      </c>
      <c r="AN46" s="4202" t="s">
        <v>102</v>
      </c>
      <c r="AO46" s="4199" t="s">
        <v>841</v>
      </c>
      <c r="AP46" s="4199"/>
      <c r="AQ46" s="4199"/>
      <c r="AR46" s="853" t="s">
        <v>115</v>
      </c>
      <c r="AS46" s="4199" t="s">
        <v>836</v>
      </c>
      <c r="AT46" s="4199" t="s">
        <v>102</v>
      </c>
      <c r="AU46" s="852" t="s">
        <v>115</v>
      </c>
      <c r="AV46" s="4202" t="s">
        <v>836</v>
      </c>
      <c r="AW46" s="4202" t="s">
        <v>102</v>
      </c>
      <c r="AX46" s="827" t="s">
        <v>115</v>
      </c>
      <c r="AY46" s="4202" t="s">
        <v>836</v>
      </c>
      <c r="AZ46" s="4202" t="s">
        <v>102</v>
      </c>
      <c r="BA46" s="4202" t="s">
        <v>389</v>
      </c>
      <c r="BB46" s="828" t="s">
        <v>115</v>
      </c>
      <c r="BC46" s="4202" t="s">
        <v>836</v>
      </c>
      <c r="BD46" s="4202" t="s">
        <v>102</v>
      </c>
      <c r="BE46" s="4202" t="s">
        <v>841</v>
      </c>
      <c r="BF46" s="4202"/>
      <c r="BG46" s="4224"/>
    </row>
    <row r="47" spans="1:59" ht="56.25" x14ac:dyDescent="0.2">
      <c r="A47" s="4216"/>
      <c r="B47" s="666"/>
      <c r="C47" s="364"/>
      <c r="D47" s="364"/>
      <c r="E47" s="364"/>
      <c r="F47" s="364"/>
      <c r="G47" s="364"/>
      <c r="H47" s="364"/>
      <c r="I47" s="364"/>
      <c r="J47" s="674"/>
      <c r="K47" s="827" t="s">
        <v>229</v>
      </c>
      <c r="L47" s="4202"/>
      <c r="M47" s="4202"/>
      <c r="N47" s="4202"/>
      <c r="O47" s="821" t="s">
        <v>229</v>
      </c>
      <c r="P47" s="4202"/>
      <c r="Q47" s="4202"/>
      <c r="R47" s="4202"/>
      <c r="S47" s="821" t="s">
        <v>115</v>
      </c>
      <c r="T47" s="821" t="s">
        <v>370</v>
      </c>
      <c r="U47" s="821"/>
      <c r="V47" s="821" t="s">
        <v>102</v>
      </c>
      <c r="W47" s="821"/>
      <c r="X47" s="821" t="s">
        <v>229</v>
      </c>
      <c r="Y47" s="4202"/>
      <c r="Z47" s="4202"/>
      <c r="AA47" s="4202"/>
      <c r="AB47" s="821" t="s">
        <v>229</v>
      </c>
      <c r="AC47" s="4202"/>
      <c r="AD47" s="4202"/>
      <c r="AE47" s="864" t="s">
        <v>229</v>
      </c>
      <c r="AF47" s="4206"/>
      <c r="AG47" s="4207"/>
      <c r="AH47" s="827" t="s">
        <v>229</v>
      </c>
      <c r="AI47" s="4202"/>
      <c r="AJ47" s="4202"/>
      <c r="AK47" s="4202"/>
      <c r="AL47" s="821" t="s">
        <v>229</v>
      </c>
      <c r="AM47" s="4202"/>
      <c r="AN47" s="4202"/>
      <c r="AO47" s="853" t="s">
        <v>115</v>
      </c>
      <c r="AP47" s="853" t="s">
        <v>370</v>
      </c>
      <c r="AQ47" s="853" t="s">
        <v>102</v>
      </c>
      <c r="AR47" s="853" t="s">
        <v>229</v>
      </c>
      <c r="AS47" s="4199"/>
      <c r="AT47" s="4199"/>
      <c r="AU47" s="852" t="s">
        <v>229</v>
      </c>
      <c r="AV47" s="4202"/>
      <c r="AW47" s="4202"/>
      <c r="AX47" s="827" t="s">
        <v>229</v>
      </c>
      <c r="AY47" s="4202"/>
      <c r="AZ47" s="4202"/>
      <c r="BA47" s="4202"/>
      <c r="BB47" s="828" t="s">
        <v>229</v>
      </c>
      <c r="BC47" s="4202"/>
      <c r="BD47" s="4202"/>
      <c r="BE47" s="828" t="s">
        <v>115</v>
      </c>
      <c r="BF47" s="828" t="s">
        <v>370</v>
      </c>
      <c r="BG47" s="847" t="s">
        <v>102</v>
      </c>
    </row>
    <row r="48" spans="1:59" ht="30" customHeight="1" x14ac:dyDescent="0.2">
      <c r="A48" s="841" t="s">
        <v>135</v>
      </c>
      <c r="B48" s="666"/>
      <c r="C48" s="364"/>
      <c r="D48" s="364"/>
      <c r="E48" s="364"/>
      <c r="F48" s="364"/>
      <c r="G48" s="364"/>
      <c r="H48" s="364"/>
      <c r="I48" s="364"/>
      <c r="J48" s="674"/>
      <c r="K48" s="829">
        <v>5.75</v>
      </c>
      <c r="L48" s="830">
        <v>1091.2</v>
      </c>
      <c r="M48" s="822">
        <f>L48*K48</f>
        <v>6274.4000000000005</v>
      </c>
      <c r="N48" s="830">
        <f>K48*M48</f>
        <v>36077.800000000003</v>
      </c>
      <c r="O48" s="823">
        <v>5.5810000000000004</v>
      </c>
      <c r="P48" s="713">
        <f>Q56*Q57</f>
        <v>808.97481109618491</v>
      </c>
      <c r="Q48" s="713">
        <f>O48*P48</f>
        <v>4514.8884207278079</v>
      </c>
      <c r="R48" s="831"/>
      <c r="S48" s="823">
        <f>O48-K48</f>
        <v>-0.16899999999999959</v>
      </c>
      <c r="T48" s="826">
        <f>P48-L48</f>
        <v>-282.22518890381514</v>
      </c>
      <c r="U48" s="831"/>
      <c r="V48" s="826">
        <f>Q48-M48</f>
        <v>-1759.5115792721926</v>
      </c>
      <c r="W48" s="831"/>
      <c r="X48" s="823">
        <v>4.9657999999999998</v>
      </c>
      <c r="Y48" s="830">
        <v>505.33199999999999</v>
      </c>
      <c r="Z48" s="822">
        <v>2509.4</v>
      </c>
      <c r="AA48" s="830">
        <f>X48*Z48</f>
        <v>12461.178519999999</v>
      </c>
      <c r="AB48" s="823">
        <f t="shared" ref="AB48:AB55" si="3">AD48/AC48</f>
        <v>4.9915147295592019</v>
      </c>
      <c r="AC48" s="830">
        <v>689.43</v>
      </c>
      <c r="AD48" s="822">
        <v>3441.3</v>
      </c>
      <c r="AE48" s="865">
        <f>SUM(AG48/AF48)</f>
        <v>5.007427152968611</v>
      </c>
      <c r="AF48" s="866">
        <v>910.84699999999998</v>
      </c>
      <c r="AG48" s="389">
        <v>4561</v>
      </c>
      <c r="AH48" s="829">
        <v>5.5810000000000004</v>
      </c>
      <c r="AI48" s="830">
        <v>846.8</v>
      </c>
      <c r="AJ48" s="713">
        <f>4962.29</f>
        <v>4962.29</v>
      </c>
      <c r="AK48" s="830"/>
      <c r="AL48" s="823">
        <f>K73*1.028</f>
        <v>5.2037132396875592</v>
      </c>
      <c r="AM48" s="713">
        <f>AN56*AN57</f>
        <v>883.18331415423415</v>
      </c>
      <c r="AN48" s="713">
        <f>AL48*AM48</f>
        <v>4595.8327049355248</v>
      </c>
      <c r="AO48" s="854">
        <f t="shared" ref="AO48:AQ50" si="4">AL48-AH48</f>
        <v>-0.37728676031244124</v>
      </c>
      <c r="AP48" s="855">
        <f t="shared" si="4"/>
        <v>36.383314154234199</v>
      </c>
      <c r="AQ48" s="855">
        <f t="shared" si="4"/>
        <v>-366.45729506447515</v>
      </c>
      <c r="AR48" s="854">
        <f>SUM(AT48/AS48)</f>
        <v>4.9360225547603553</v>
      </c>
      <c r="AS48" s="856">
        <v>414.99</v>
      </c>
      <c r="AT48" s="857">
        <v>2048.4</v>
      </c>
      <c r="AU48" s="854">
        <f>SUM(AW48/AV48)</f>
        <v>5.0309675458654715</v>
      </c>
      <c r="AV48" s="1333">
        <v>546.21699999999998</v>
      </c>
      <c r="AW48" s="1334">
        <v>2748</v>
      </c>
      <c r="AX48" s="872">
        <f>SUM(AL48*1.1)</f>
        <v>5.7240845636563158</v>
      </c>
      <c r="AY48" s="865">
        <v>910.85</v>
      </c>
      <c r="AZ48" s="866">
        <f>SUM(AX48*AY48)</f>
        <v>5213.7824248063553</v>
      </c>
      <c r="BA48" s="873">
        <f t="shared" ref="BA48:BA62" si="5">SUM(AZ48/AN48)</f>
        <v>1.1344587062986879</v>
      </c>
      <c r="BB48" s="854">
        <f>(AU64+AU64*1.06)/2</f>
        <v>5.4911565455279785</v>
      </c>
      <c r="BC48" s="856">
        <f>BD56*BD57</f>
        <v>703.79138799999998</v>
      </c>
      <c r="BD48" s="857">
        <f>BC48*BB48</f>
        <v>3864.6286869024211</v>
      </c>
      <c r="BE48" s="823">
        <f t="shared" ref="BE48:BE54" si="6">BB48-AX48</f>
        <v>-0.2329280181283373</v>
      </c>
      <c r="BF48" s="826">
        <f t="shared" ref="BF48:BF54" si="7">BC48-AY48</f>
        <v>-207.05861200000004</v>
      </c>
      <c r="BG48" s="848">
        <f t="shared" ref="BG48:BG54" si="8">BD48-AZ48</f>
        <v>-1349.1537379039341</v>
      </c>
    </row>
    <row r="49" spans="1:61" ht="30" customHeight="1" x14ac:dyDescent="0.2">
      <c r="A49" s="1264"/>
      <c r="B49" s="1265"/>
      <c r="C49" s="1266"/>
      <c r="D49" s="1266"/>
      <c r="E49" s="1266"/>
      <c r="F49" s="1266"/>
      <c r="G49" s="1266"/>
      <c r="H49" s="1266"/>
      <c r="I49" s="1266"/>
      <c r="J49" s="1267"/>
      <c r="K49" s="1268"/>
      <c r="L49" s="1269"/>
      <c r="M49" s="1270"/>
      <c r="N49" s="1269"/>
      <c r="O49" s="1271"/>
      <c r="P49" s="1272"/>
      <c r="Q49" s="1272"/>
      <c r="R49" s="1273"/>
      <c r="S49" s="1271"/>
      <c r="T49" s="1274"/>
      <c r="U49" s="1273"/>
      <c r="V49" s="1274"/>
      <c r="W49" s="1273"/>
      <c r="X49" s="1271"/>
      <c r="Y49" s="1269"/>
      <c r="Z49" s="1270"/>
      <c r="AA49" s="1269"/>
      <c r="AB49" s="1271"/>
      <c r="AC49" s="1269"/>
      <c r="AD49" s="1270"/>
      <c r="AE49" s="1275"/>
      <c r="AF49" s="1276"/>
      <c r="AG49" s="1277"/>
      <c r="AH49" s="1268"/>
      <c r="AI49" s="1269"/>
      <c r="AJ49" s="1272"/>
      <c r="AK49" s="1269"/>
      <c r="AL49" s="1271"/>
      <c r="AM49" s="1272"/>
      <c r="AN49" s="1272"/>
      <c r="AO49" s="1271"/>
      <c r="AP49" s="1274"/>
      <c r="AQ49" s="1274"/>
      <c r="AR49" s="1271"/>
      <c r="AS49" s="1269"/>
      <c r="AT49" s="1272">
        <v>132.9</v>
      </c>
      <c r="AU49" s="1271"/>
      <c r="AV49" s="1333"/>
      <c r="AW49" s="1334">
        <v>205.8</v>
      </c>
      <c r="AX49" s="1278"/>
      <c r="AY49" s="1275"/>
      <c r="AZ49" s="1276"/>
      <c r="BA49" s="1279"/>
      <c r="BB49" s="1271"/>
      <c r="BC49" s="1269"/>
      <c r="BD49" s="1272"/>
      <c r="BE49" s="1271"/>
      <c r="BF49" s="1274"/>
      <c r="BG49" s="1280"/>
    </row>
    <row r="50" spans="1:61" ht="30" customHeight="1" x14ac:dyDescent="0.2">
      <c r="A50" s="841" t="s">
        <v>136</v>
      </c>
      <c r="B50" s="666"/>
      <c r="C50" s="364"/>
      <c r="D50" s="364"/>
      <c r="E50" s="364"/>
      <c r="F50" s="364"/>
      <c r="G50" s="364"/>
      <c r="H50" s="364"/>
      <c r="I50" s="364"/>
      <c r="J50" s="674"/>
      <c r="K50" s="829">
        <v>4.55</v>
      </c>
      <c r="L50" s="830">
        <v>1754.8</v>
      </c>
      <c r="M50" s="822">
        <f>L50*K50</f>
        <v>7984.3399999999992</v>
      </c>
      <c r="N50" s="830">
        <f>K50*M50</f>
        <v>36328.746999999996</v>
      </c>
      <c r="O50" s="823">
        <v>4.5730000000000004</v>
      </c>
      <c r="P50" s="713">
        <f>Q58*Q59</f>
        <v>1337.6993677016787</v>
      </c>
      <c r="Q50" s="713">
        <f>O50*P50</f>
        <v>6117.2992084997777</v>
      </c>
      <c r="R50" s="831"/>
      <c r="S50" s="823">
        <f>O50-K50</f>
        <v>2.3000000000000576E-2</v>
      </c>
      <c r="T50" s="826">
        <f>P50-L50</f>
        <v>-417.10063229832122</v>
      </c>
      <c r="U50" s="831"/>
      <c r="V50" s="826">
        <f t="shared" ref="V50:V62" si="9">Q50-M50</f>
        <v>-1867.0407915002215</v>
      </c>
      <c r="W50" s="831"/>
      <c r="X50" s="823">
        <v>3.9638</v>
      </c>
      <c r="Y50" s="830">
        <v>820.02</v>
      </c>
      <c r="Z50" s="822">
        <v>3250.4</v>
      </c>
      <c r="AA50" s="830">
        <f>X50*Z50</f>
        <v>12883.935520000001</v>
      </c>
      <c r="AB50" s="823">
        <f t="shared" si="3"/>
        <v>4.0118462507876496</v>
      </c>
      <c r="AC50" s="830">
        <v>1190.25</v>
      </c>
      <c r="AD50" s="822">
        <v>4775.1000000000004</v>
      </c>
      <c r="AE50" s="865">
        <f>SUM(AG50/AF50)</f>
        <v>4.0205962981621663</v>
      </c>
      <c r="AF50" s="866">
        <v>1528.43</v>
      </c>
      <c r="AG50" s="389">
        <v>6145.2</v>
      </c>
      <c r="AH50" s="829">
        <v>4.5730000000000004</v>
      </c>
      <c r="AI50" s="830">
        <v>1387.6</v>
      </c>
      <c r="AJ50" s="713">
        <v>6662.8</v>
      </c>
      <c r="AK50" s="830"/>
      <c r="AL50" s="823">
        <f>K75*1.028</f>
        <v>4.2335618399373365</v>
      </c>
      <c r="AM50" s="713">
        <f>AN58*AN59</f>
        <v>1209.6401285612453</v>
      </c>
      <c r="AN50" s="713">
        <f>AL50*AM50</f>
        <v>5121.0862883337822</v>
      </c>
      <c r="AO50" s="854">
        <f t="shared" si="4"/>
        <v>-0.33943816006266392</v>
      </c>
      <c r="AP50" s="855">
        <f t="shared" si="4"/>
        <v>-177.95987143875459</v>
      </c>
      <c r="AQ50" s="855">
        <f t="shared" si="4"/>
        <v>-1541.7137116662179</v>
      </c>
      <c r="AR50" s="854">
        <f>SUM(AT50/AS50)</f>
        <v>3.819503849443969</v>
      </c>
      <c r="AS50" s="856">
        <v>678.02</v>
      </c>
      <c r="AT50" s="857">
        <v>2589.6999999999998</v>
      </c>
      <c r="AU50" s="854">
        <f>SUM(AW50/AV50)</f>
        <v>3.9526209082140822</v>
      </c>
      <c r="AV50" s="1333">
        <v>1016.06</v>
      </c>
      <c r="AW50" s="1334">
        <v>4016.1</v>
      </c>
      <c r="AX50" s="872">
        <f>SUM(AL50*1.1)</f>
        <v>4.6569180239310706</v>
      </c>
      <c r="AY50" s="865">
        <v>1528.43</v>
      </c>
      <c r="AZ50" s="866">
        <f>SUM(AX50*AY50)</f>
        <v>7117.7732153169663</v>
      </c>
      <c r="BA50" s="873">
        <f t="shared" si="5"/>
        <v>1.3898951930436685</v>
      </c>
      <c r="BB50" s="854">
        <f>(AU66+AU66*1.06)/2</f>
        <v>4.3462075494024379</v>
      </c>
      <c r="BC50" s="856">
        <f>BD58*BD59</f>
        <v>1237.0113330000001</v>
      </c>
      <c r="BD50" s="857">
        <f>BC50*BB50</f>
        <v>5376.3079941809738</v>
      </c>
      <c r="BE50" s="823">
        <f t="shared" si="6"/>
        <v>-0.31071047452863265</v>
      </c>
      <c r="BF50" s="826">
        <f t="shared" si="7"/>
        <v>-291.41866699999991</v>
      </c>
      <c r="BG50" s="848">
        <f t="shared" si="8"/>
        <v>-1741.4652211359926</v>
      </c>
    </row>
    <row r="51" spans="1:61" ht="30" customHeight="1" x14ac:dyDescent="0.2">
      <c r="A51" s="842" t="s">
        <v>137</v>
      </c>
      <c r="B51" s="666"/>
      <c r="C51" s="364"/>
      <c r="D51" s="364"/>
      <c r="E51" s="364"/>
      <c r="F51" s="364"/>
      <c r="G51" s="364"/>
      <c r="H51" s="364"/>
      <c r="I51" s="364"/>
      <c r="J51" s="674"/>
      <c r="K51" s="832">
        <f>M51/L51</f>
        <v>5.0100983836964161</v>
      </c>
      <c r="L51" s="715">
        <f>L48+L50</f>
        <v>2846</v>
      </c>
      <c r="M51" s="715">
        <f>SUM(M48:M50)</f>
        <v>14258.74</v>
      </c>
      <c r="N51" s="833">
        <f>SUM(N48:N50)</f>
        <v>72406.546999999991</v>
      </c>
      <c r="O51" s="834">
        <f>Q51/P51</f>
        <v>4.9528651037213312</v>
      </c>
      <c r="P51" s="715">
        <f>P48+P50</f>
        <v>2146.6741787978635</v>
      </c>
      <c r="Q51" s="715">
        <f>Q48+Q50</f>
        <v>10632.187629227585</v>
      </c>
      <c r="R51" s="835"/>
      <c r="S51" s="834">
        <f t="shared" ref="S51:T54" si="10">O51-K51</f>
        <v>-5.7233279975084983E-2</v>
      </c>
      <c r="T51" s="826">
        <f t="shared" si="10"/>
        <v>-699.32582120213647</v>
      </c>
      <c r="U51" s="835"/>
      <c r="V51" s="826">
        <f t="shared" si="9"/>
        <v>-3626.5523707724151</v>
      </c>
      <c r="W51" s="835"/>
      <c r="X51" s="834">
        <f>Z51/Y51</f>
        <v>4.3458643439629627</v>
      </c>
      <c r="Y51" s="715">
        <f>Y48+Y50</f>
        <v>1325.3519999999999</v>
      </c>
      <c r="Z51" s="715">
        <f>SUM(Z48:Z50)</f>
        <v>5759.8</v>
      </c>
      <c r="AA51" s="833">
        <f>SUM(AA48:AA50)</f>
        <v>25345.11404</v>
      </c>
      <c r="AB51" s="834">
        <f t="shared" si="3"/>
        <v>4.3711695607763037</v>
      </c>
      <c r="AC51" s="715">
        <f>AC48+AC50</f>
        <v>1879.6799999999998</v>
      </c>
      <c r="AD51" s="715">
        <f>SUM(AD48:AD50)</f>
        <v>8216.4000000000015</v>
      </c>
      <c r="AE51" s="867">
        <f>AG51/AF51</f>
        <v>4.389087422215681</v>
      </c>
      <c r="AF51" s="868">
        <f>AF48+AF50</f>
        <v>2439.277</v>
      </c>
      <c r="AG51" s="390">
        <f>AG48+AG50</f>
        <v>10706.2</v>
      </c>
      <c r="AH51" s="832">
        <f>AJ51/AI51</f>
        <v>5.202779269602579</v>
      </c>
      <c r="AI51" s="715">
        <f>AI48+AI50</f>
        <v>2234.3999999999996</v>
      </c>
      <c r="AJ51" s="715">
        <f>SUM(AJ48:AJ50)</f>
        <v>11625.09</v>
      </c>
      <c r="AK51" s="833"/>
      <c r="AL51" s="834">
        <f>AN51/AM51</f>
        <v>4.6429712105391054</v>
      </c>
      <c r="AM51" s="715">
        <f>AM48+AM50</f>
        <v>2092.8234427154794</v>
      </c>
      <c r="AN51" s="715">
        <f>AN48+AN50</f>
        <v>9716.918993269308</v>
      </c>
      <c r="AO51" s="858">
        <f t="shared" ref="AO51:AQ54" si="11">AL51-AH51</f>
        <v>-0.55980805906347353</v>
      </c>
      <c r="AP51" s="855">
        <f t="shared" si="11"/>
        <v>-141.57655728452028</v>
      </c>
      <c r="AQ51" s="855">
        <f t="shared" si="11"/>
        <v>-1908.1710067306922</v>
      </c>
      <c r="AR51" s="858">
        <f>AT51/AS51</f>
        <v>4.3650103841684889</v>
      </c>
      <c r="AS51" s="859">
        <f>AS48+AS50</f>
        <v>1093.01</v>
      </c>
      <c r="AT51" s="859">
        <f>SUM(AT48:AT50)</f>
        <v>4771</v>
      </c>
      <c r="AU51" s="858">
        <f>AW51/AV51</f>
        <v>4.4613727271156138</v>
      </c>
      <c r="AV51" s="859">
        <f>AV48+AV50</f>
        <v>1562.277</v>
      </c>
      <c r="AW51" s="859">
        <f>SUM(AW48:AW50)</f>
        <v>6969.9</v>
      </c>
      <c r="AX51" s="874">
        <f>AZ51/AY51</f>
        <v>5.0554080056915653</v>
      </c>
      <c r="AY51" s="868">
        <f>AY48+AY50</f>
        <v>2439.2800000000002</v>
      </c>
      <c r="AZ51" s="868">
        <f>SUM(AZ48:AZ50)</f>
        <v>12331.555640123323</v>
      </c>
      <c r="BA51" s="873">
        <f t="shared" si="5"/>
        <v>1.2690808319658848</v>
      </c>
      <c r="BB51" s="858">
        <f>BD51/BC51</f>
        <v>4.7613992813870309</v>
      </c>
      <c r="BC51" s="859">
        <f>BC48+BC50</f>
        <v>1940.802721</v>
      </c>
      <c r="BD51" s="859">
        <f>SUM(BD48:BD50)</f>
        <v>9240.9366810833944</v>
      </c>
      <c r="BE51" s="834">
        <f t="shared" si="6"/>
        <v>-0.2940087243045344</v>
      </c>
      <c r="BF51" s="826">
        <f t="shared" si="7"/>
        <v>-498.47727900000018</v>
      </c>
      <c r="BG51" s="848">
        <f t="shared" si="8"/>
        <v>-3090.6189590399281</v>
      </c>
    </row>
    <row r="52" spans="1:61" ht="30" customHeight="1" x14ac:dyDescent="0.2">
      <c r="A52" s="841" t="s">
        <v>138</v>
      </c>
      <c r="B52" s="666"/>
      <c r="C52" s="364"/>
      <c r="D52" s="364"/>
      <c r="E52" s="364"/>
      <c r="F52" s="364"/>
      <c r="G52" s="364"/>
      <c r="H52" s="364"/>
      <c r="I52" s="364"/>
      <c r="J52" s="674"/>
      <c r="K52" s="829">
        <v>5.75</v>
      </c>
      <c r="L52" s="830">
        <v>397.8</v>
      </c>
      <c r="M52" s="822">
        <v>2285.4</v>
      </c>
      <c r="N52" s="830">
        <f>K52*M52</f>
        <v>13141.050000000001</v>
      </c>
      <c r="O52" s="823">
        <v>5.63</v>
      </c>
      <c r="P52" s="831">
        <f>Q60*Q61</f>
        <v>363.59730000000002</v>
      </c>
      <c r="Q52" s="713">
        <f>O52*P52</f>
        <v>2047.0527990000001</v>
      </c>
      <c r="R52" s="830"/>
      <c r="S52" s="823">
        <f t="shared" si="10"/>
        <v>-0.12000000000000011</v>
      </c>
      <c r="T52" s="826">
        <f t="shared" si="10"/>
        <v>-34.202699999999993</v>
      </c>
      <c r="U52" s="830"/>
      <c r="V52" s="826">
        <f t="shared" si="9"/>
        <v>-238.34720100000004</v>
      </c>
      <c r="W52" s="830"/>
      <c r="X52" s="823">
        <v>4.9886999999999997</v>
      </c>
      <c r="Y52" s="830">
        <v>162.167</v>
      </c>
      <c r="Z52" s="822">
        <v>809</v>
      </c>
      <c r="AA52" s="830">
        <f>X52*Z52</f>
        <v>4035.8582999999999</v>
      </c>
      <c r="AB52" s="823">
        <f t="shared" si="3"/>
        <v>5.0153983485829059</v>
      </c>
      <c r="AC52" s="830">
        <v>224.05</v>
      </c>
      <c r="AD52" s="822">
        <v>1123.7</v>
      </c>
      <c r="AE52" s="865">
        <f>SUM(AG52/AF52)</f>
        <v>5.0316393763454892</v>
      </c>
      <c r="AF52" s="865">
        <v>306.58</v>
      </c>
      <c r="AG52" s="389">
        <v>1542.6</v>
      </c>
      <c r="AH52" s="829">
        <v>5.91</v>
      </c>
      <c r="AI52" s="830">
        <v>397.8</v>
      </c>
      <c r="AJ52" s="822">
        <v>2285.4</v>
      </c>
      <c r="AK52" s="830"/>
      <c r="AL52" s="823">
        <f>K77*1.028</f>
        <v>5.2277943861803733</v>
      </c>
      <c r="AM52" s="831">
        <f>AN60*AN61</f>
        <v>360.82530000000003</v>
      </c>
      <c r="AN52" s="713">
        <f>AL52*AM52</f>
        <v>1886.3204777318492</v>
      </c>
      <c r="AO52" s="854">
        <f t="shared" si="11"/>
        <v>-0.68220561381962685</v>
      </c>
      <c r="AP52" s="855">
        <f t="shared" si="11"/>
        <v>-36.974699999999984</v>
      </c>
      <c r="AQ52" s="855">
        <f t="shared" si="11"/>
        <v>-399.07952226815087</v>
      </c>
      <c r="AR52" s="854">
        <f t="shared" ref="AR52:AR54" si="12">SUM(AT52/AS52)</f>
        <v>4.9758749575263339</v>
      </c>
      <c r="AS52" s="856">
        <v>147.15</v>
      </c>
      <c r="AT52" s="860">
        <v>732.2</v>
      </c>
      <c r="AU52" s="854">
        <f t="shared" ref="AU52:AU54" si="13">SUM(AW52/AV52)</f>
        <v>5.0682433840383414</v>
      </c>
      <c r="AV52" s="1333">
        <v>191.96</v>
      </c>
      <c r="AW52" s="1335">
        <v>972.9</v>
      </c>
      <c r="AX52" s="872">
        <f t="shared" ref="AX52:AX54" si="14">SUM(AL52*1.1)</f>
        <v>5.7505738247984111</v>
      </c>
      <c r="AY52" s="865">
        <v>306.58</v>
      </c>
      <c r="AZ52" s="866">
        <f t="shared" ref="AZ52:AZ54" si="15">SUM(AX52*AY52)</f>
        <v>1763.0109232066968</v>
      </c>
      <c r="BA52" s="873">
        <f t="shared" si="5"/>
        <v>0.93462958390112882</v>
      </c>
      <c r="BB52" s="854">
        <f>(AU70+AU70*1.06)/2</f>
        <v>5.5327159116268669</v>
      </c>
      <c r="BC52" s="856">
        <f>BD60*BD61</f>
        <v>290.97012000000001</v>
      </c>
      <c r="BD52" s="857">
        <f>BC52*BB52</f>
        <v>1609.8550127319788</v>
      </c>
      <c r="BE52" s="823">
        <f t="shared" si="6"/>
        <v>-0.21785791317154413</v>
      </c>
      <c r="BF52" s="826">
        <f t="shared" si="7"/>
        <v>-15.609879999999976</v>
      </c>
      <c r="BG52" s="848">
        <f t="shared" si="8"/>
        <v>-153.15591047471798</v>
      </c>
    </row>
    <row r="53" spans="1:61" ht="30" customHeight="1" x14ac:dyDescent="0.2">
      <c r="A53" s="1264"/>
      <c r="B53" s="1265"/>
      <c r="C53" s="1266"/>
      <c r="D53" s="1266"/>
      <c r="E53" s="1266"/>
      <c r="F53" s="1266"/>
      <c r="G53" s="1266"/>
      <c r="H53" s="1266"/>
      <c r="I53" s="1266"/>
      <c r="J53" s="1267"/>
      <c r="K53" s="1268"/>
      <c r="L53" s="1269"/>
      <c r="M53" s="1270"/>
      <c r="N53" s="1269"/>
      <c r="O53" s="1271"/>
      <c r="P53" s="1273"/>
      <c r="Q53" s="1272"/>
      <c r="R53" s="1269"/>
      <c r="S53" s="1271"/>
      <c r="T53" s="1274"/>
      <c r="U53" s="1269"/>
      <c r="V53" s="1274"/>
      <c r="W53" s="1269"/>
      <c r="X53" s="1271"/>
      <c r="Y53" s="1269"/>
      <c r="Z53" s="1270"/>
      <c r="AA53" s="1269"/>
      <c r="AB53" s="1271"/>
      <c r="AC53" s="1269"/>
      <c r="AD53" s="1270"/>
      <c r="AE53" s="1275"/>
      <c r="AF53" s="1275"/>
      <c r="AG53" s="1277"/>
      <c r="AH53" s="1268"/>
      <c r="AI53" s="1269"/>
      <c r="AJ53" s="1270"/>
      <c r="AK53" s="1269"/>
      <c r="AL53" s="1271"/>
      <c r="AM53" s="1273"/>
      <c r="AN53" s="1272"/>
      <c r="AO53" s="1271"/>
      <c r="AP53" s="1274"/>
      <c r="AQ53" s="1274"/>
      <c r="AR53" s="1271"/>
      <c r="AS53" s="1269"/>
      <c r="AT53" s="1270">
        <v>132.9</v>
      </c>
      <c r="AU53" s="1271"/>
      <c r="AV53" s="1333"/>
      <c r="AW53" s="1335">
        <v>205.9</v>
      </c>
      <c r="AX53" s="1278"/>
      <c r="AY53" s="1275"/>
      <c r="AZ53" s="1276"/>
      <c r="BA53" s="1279"/>
      <c r="BB53" s="1271"/>
      <c r="BC53" s="1269"/>
      <c r="BD53" s="1272"/>
      <c r="BE53" s="1271"/>
      <c r="BF53" s="1274"/>
      <c r="BG53" s="1280"/>
    </row>
    <row r="54" spans="1:61" ht="30" customHeight="1" x14ac:dyDescent="0.2">
      <c r="A54" s="841" t="s">
        <v>139</v>
      </c>
      <c r="B54" s="666"/>
      <c r="C54" s="364"/>
      <c r="D54" s="364"/>
      <c r="E54" s="364"/>
      <c r="F54" s="364"/>
      <c r="G54" s="364"/>
      <c r="H54" s="364"/>
      <c r="I54" s="364"/>
      <c r="J54" s="674"/>
      <c r="K54" s="829">
        <v>4.2300000000000004</v>
      </c>
      <c r="L54" s="830">
        <v>2282.1999999999998</v>
      </c>
      <c r="M54" s="822">
        <v>9664.7999999999993</v>
      </c>
      <c r="N54" s="830">
        <f>K54*M54</f>
        <v>40882.103999999999</v>
      </c>
      <c r="O54" s="823">
        <v>4.3</v>
      </c>
      <c r="P54" s="831">
        <f>Q60*Q62</f>
        <v>1439.1333261085247</v>
      </c>
      <c r="Q54" s="713">
        <f>O54*P54</f>
        <v>6188.2733022666562</v>
      </c>
      <c r="R54" s="830"/>
      <c r="S54" s="823">
        <f t="shared" si="10"/>
        <v>6.9999999999999396E-2</v>
      </c>
      <c r="T54" s="826">
        <f t="shared" si="10"/>
        <v>-843.06667389147515</v>
      </c>
      <c r="U54" s="830"/>
      <c r="V54" s="826">
        <f t="shared" si="9"/>
        <v>-3476.5266977333431</v>
      </c>
      <c r="W54" s="830"/>
      <c r="X54" s="823">
        <v>3.7764000000000002</v>
      </c>
      <c r="Y54" s="830">
        <v>940.27</v>
      </c>
      <c r="Z54" s="822">
        <v>3550.8</v>
      </c>
      <c r="AA54" s="830">
        <f>X54*Z54</f>
        <v>13409.241120000001</v>
      </c>
      <c r="AB54" s="823">
        <f t="shared" si="3"/>
        <v>3.8226634015509302</v>
      </c>
      <c r="AC54" s="830">
        <v>1372.08</v>
      </c>
      <c r="AD54" s="822">
        <v>5245</v>
      </c>
      <c r="AE54" s="865">
        <f>SUM(AG54/AF54)</f>
        <v>3.8318886233811065</v>
      </c>
      <c r="AF54" s="865">
        <v>1853.89</v>
      </c>
      <c r="AG54" s="389">
        <v>7103.9</v>
      </c>
      <c r="AH54" s="829">
        <v>4.5199999999999996</v>
      </c>
      <c r="AI54" s="830">
        <v>2282.1999999999998</v>
      </c>
      <c r="AJ54" s="822">
        <v>9664.7999999999993</v>
      </c>
      <c r="AK54" s="830"/>
      <c r="AL54" s="823">
        <f>K78*1.028</f>
        <v>4.0333424422778537</v>
      </c>
      <c r="AM54" s="831">
        <f>AN60*AN62</f>
        <v>1428.1616341295885</v>
      </c>
      <c r="AN54" s="713">
        <f>AL54*AM54</f>
        <v>5760.2649333677646</v>
      </c>
      <c r="AO54" s="854">
        <f t="shared" si="11"/>
        <v>-0.48665755772214592</v>
      </c>
      <c r="AP54" s="855">
        <f t="shared" si="11"/>
        <v>-854.03836587041133</v>
      </c>
      <c r="AQ54" s="855">
        <f t="shared" si="11"/>
        <v>-3904.5350666322347</v>
      </c>
      <c r="AR54" s="854">
        <f t="shared" si="12"/>
        <v>3.6631900547829748</v>
      </c>
      <c r="AS54" s="856">
        <v>949.2</v>
      </c>
      <c r="AT54" s="860">
        <v>3477.1</v>
      </c>
      <c r="AU54" s="854">
        <f t="shared" si="13"/>
        <v>3.7705916930708683</v>
      </c>
      <c r="AV54" s="1333">
        <v>1394.98</v>
      </c>
      <c r="AW54" s="1335">
        <v>5259.9</v>
      </c>
      <c r="AX54" s="872">
        <f t="shared" si="14"/>
        <v>4.4366766865056393</v>
      </c>
      <c r="AY54" s="865">
        <v>1853.89</v>
      </c>
      <c r="AZ54" s="866">
        <f t="shared" si="15"/>
        <v>8225.1105423459394</v>
      </c>
      <c r="BA54" s="873">
        <f t="shared" si="5"/>
        <v>1.4279049032449784</v>
      </c>
      <c r="BB54" s="854">
        <f>(AU72+AU72*1.06)/2</f>
        <v>4.1192606218313967</v>
      </c>
      <c r="BC54" s="856">
        <f>BD60*BD62</f>
        <v>1454.8506</v>
      </c>
      <c r="BD54" s="857">
        <f>BC54*BB54</f>
        <v>5992.9087872277805</v>
      </c>
      <c r="BE54" s="823">
        <f t="shared" si="6"/>
        <v>-0.31741606467424255</v>
      </c>
      <c r="BF54" s="826">
        <f t="shared" si="7"/>
        <v>-399.03940000000011</v>
      </c>
      <c r="BG54" s="848">
        <f t="shared" si="8"/>
        <v>-2232.2017551181589</v>
      </c>
    </row>
    <row r="55" spans="1:61" ht="30" customHeight="1" x14ac:dyDescent="0.2">
      <c r="A55" s="842" t="s">
        <v>140</v>
      </c>
      <c r="B55" s="666"/>
      <c r="C55" s="364"/>
      <c r="D55" s="364"/>
      <c r="E55" s="364"/>
      <c r="F55" s="364"/>
      <c r="G55" s="364"/>
      <c r="H55" s="364"/>
      <c r="I55" s="364"/>
      <c r="J55" s="674"/>
      <c r="K55" s="832">
        <f>M55/L55</f>
        <v>4.4590298507462682</v>
      </c>
      <c r="L55" s="715">
        <f>SUM(L52:L54)</f>
        <v>2680</v>
      </c>
      <c r="M55" s="715">
        <f>SUM(M52:M54)</f>
        <v>11950.199999999999</v>
      </c>
      <c r="N55" s="715">
        <f>SUM(N52:N54)</f>
        <v>54023.154000000002</v>
      </c>
      <c r="O55" s="834">
        <f>Q55/P55</f>
        <v>4.5682510642446301</v>
      </c>
      <c r="P55" s="715">
        <f>SUM(P52:P54)</f>
        <v>1802.7306261085246</v>
      </c>
      <c r="Q55" s="715">
        <f>SUM(Q52:Q54)</f>
        <v>8235.3261012666553</v>
      </c>
      <c r="R55" s="833"/>
      <c r="S55" s="834">
        <f>O55-K55</f>
        <v>0.10922121349836189</v>
      </c>
      <c r="T55" s="820">
        <f>P55-L55</f>
        <v>-877.26937389147542</v>
      </c>
      <c r="U55" s="820">
        <f>P55-L55</f>
        <v>-877.26937389147542</v>
      </c>
      <c r="V55" s="820">
        <f t="shared" si="9"/>
        <v>-3714.8738987333436</v>
      </c>
      <c r="W55" s="833"/>
      <c r="X55" s="834">
        <f>Z55/Y55</f>
        <v>3.9546931026444145</v>
      </c>
      <c r="Y55" s="715">
        <f>SUM(Y52:Y54)</f>
        <v>1102.4369999999999</v>
      </c>
      <c r="Z55" s="715">
        <f>SUM(Z52:Z54)</f>
        <v>4359.8</v>
      </c>
      <c r="AA55" s="715">
        <f>SUM(AA52:AA54)</f>
        <v>17445.099419999999</v>
      </c>
      <c r="AB55" s="834">
        <f t="shared" si="3"/>
        <v>3.9900885266237713</v>
      </c>
      <c r="AC55" s="715">
        <f>SUM(AC52:AC54)</f>
        <v>1596.1299999999999</v>
      </c>
      <c r="AD55" s="715">
        <f>SUM(AD52:AD54)</f>
        <v>6368.7</v>
      </c>
      <c r="AE55" s="867">
        <f>AG55/AF55</f>
        <v>4.0021384235837569</v>
      </c>
      <c r="AF55" s="868">
        <f>SUM(AF52:AF54)</f>
        <v>2160.4700000000003</v>
      </c>
      <c r="AG55" s="390">
        <f>SUM(AG52:AG54)</f>
        <v>8646.5</v>
      </c>
      <c r="AH55" s="832">
        <f>AJ55/AI55</f>
        <v>4.4590298507462682</v>
      </c>
      <c r="AI55" s="715">
        <f>SUM(AI52:AI54)</f>
        <v>2680</v>
      </c>
      <c r="AJ55" s="715">
        <f>SUM(AJ52:AJ54)</f>
        <v>11950.199999999999</v>
      </c>
      <c r="AK55" s="715"/>
      <c r="AL55" s="834">
        <f>AN55/AM55</f>
        <v>4.2742544762183936</v>
      </c>
      <c r="AM55" s="715">
        <f>SUM(AM52:AM54)</f>
        <v>1788.9869341295885</v>
      </c>
      <c r="AN55" s="715">
        <f>SUM(AN52:AN54)</f>
        <v>7646.5854110996133</v>
      </c>
      <c r="AO55" s="858">
        <f>AL55-AH55</f>
        <v>-0.18477537452787463</v>
      </c>
      <c r="AP55" s="861">
        <f>AM55-AI55</f>
        <v>-891.01306587041154</v>
      </c>
      <c r="AQ55" s="861">
        <f>AN55-AJ55</f>
        <v>-4303.6145889003856</v>
      </c>
      <c r="AR55" s="858">
        <f>AT55/AS55</f>
        <v>3.9605965248323978</v>
      </c>
      <c r="AS55" s="859">
        <f>SUM(AS52:AS54)</f>
        <v>1096.3500000000001</v>
      </c>
      <c r="AT55" s="859">
        <f>SUM(AT52:AT54)</f>
        <v>4342.2</v>
      </c>
      <c r="AU55" s="858">
        <f>AW55/AV55</f>
        <v>4.0573052541368924</v>
      </c>
      <c r="AV55" s="859">
        <f>SUM(AV52:AV54)</f>
        <v>1586.94</v>
      </c>
      <c r="AW55" s="859">
        <f>SUM(AW52:AW54)</f>
        <v>6438.7</v>
      </c>
      <c r="AX55" s="874">
        <f>AZ55/AY55</f>
        <v>4.6231243505129136</v>
      </c>
      <c r="AY55" s="868">
        <f>SUM(AY52:AY54)</f>
        <v>2160.4700000000003</v>
      </c>
      <c r="AZ55" s="868">
        <f>SUM(AZ52:AZ54)</f>
        <v>9988.1214655526364</v>
      </c>
      <c r="BA55" s="873">
        <f t="shared" si="5"/>
        <v>1.3062198260486442</v>
      </c>
      <c r="BB55" s="858">
        <f>BD55/BC55</f>
        <v>4.3548365034639751</v>
      </c>
      <c r="BC55" s="859">
        <f>SUM(BC52:BC54)</f>
        <v>1745.8207199999999</v>
      </c>
      <c r="BD55" s="859">
        <f>SUM(BD52:BD54)</f>
        <v>7602.7637999597591</v>
      </c>
      <c r="BE55" s="834">
        <f>BB55-AX55</f>
        <v>-0.26828784704893849</v>
      </c>
      <c r="BF55" s="825">
        <f>BC55-AY55</f>
        <v>-414.64928000000032</v>
      </c>
      <c r="BG55" s="376">
        <f>BD55-AZ55</f>
        <v>-2385.3576655928773</v>
      </c>
    </row>
    <row r="56" spans="1:61" ht="40.5" customHeight="1" x14ac:dyDescent="0.2">
      <c r="A56" s="843" t="s">
        <v>141</v>
      </c>
      <c r="B56" s="666"/>
      <c r="C56" s="364"/>
      <c r="D56" s="364"/>
      <c r="E56" s="364"/>
      <c r="F56" s="364"/>
      <c r="G56" s="364"/>
      <c r="H56" s="364"/>
      <c r="I56" s="364"/>
      <c r="J56" s="674"/>
      <c r="K56" s="676"/>
      <c r="L56" s="822"/>
      <c r="M56" s="713">
        <f>объемы!E38</f>
        <v>5875</v>
      </c>
      <c r="N56" s="822"/>
      <c r="O56" s="822"/>
      <c r="P56" s="822"/>
      <c r="Q56" s="713">
        <f>объемы!G38</f>
        <v>5558.2912165809075</v>
      </c>
      <c r="R56" s="822"/>
      <c r="S56" s="823"/>
      <c r="T56" s="826"/>
      <c r="U56" s="822"/>
      <c r="V56" s="826">
        <f t="shared" si="9"/>
        <v>-316.70878341909247</v>
      </c>
      <c r="W56" s="822"/>
      <c r="X56" s="836"/>
      <c r="Y56" s="836"/>
      <c r="Z56" s="713">
        <v>3493.3</v>
      </c>
      <c r="AA56" s="822"/>
      <c r="AB56" s="822"/>
      <c r="AC56" s="822"/>
      <c r="AD56" s="713">
        <v>5158</v>
      </c>
      <c r="AE56" s="869"/>
      <c r="AF56" s="869"/>
      <c r="AG56" s="389">
        <f>SUM(объемы!K38)</f>
        <v>6977.9000000000005</v>
      </c>
      <c r="AH56" s="676"/>
      <c r="AI56" s="822"/>
      <c r="AJ56" s="713">
        <f>SUM(объемы!L38)</f>
        <v>5800.03</v>
      </c>
      <c r="AK56" s="822"/>
      <c r="AL56" s="822"/>
      <c r="AM56" s="822"/>
      <c r="AN56" s="713">
        <f>SUM(объемы!M38)</f>
        <v>5561.39</v>
      </c>
      <c r="AO56" s="860"/>
      <c r="AP56" s="854"/>
      <c r="AQ56" s="855">
        <f t="shared" ref="AQ56:AQ62" si="16">AN56-AJ56</f>
        <v>-238.63999999999942</v>
      </c>
      <c r="AR56" s="860"/>
      <c r="AS56" s="860"/>
      <c r="AT56" s="857">
        <f>SUM(объемы!P38)</f>
        <v>3367.79</v>
      </c>
      <c r="AU56" s="860"/>
      <c r="AV56" s="860"/>
      <c r="AW56" s="857">
        <f>объемы!R38+объемы!S38</f>
        <v>6716.13</v>
      </c>
      <c r="AX56" s="531"/>
      <c r="AY56" s="869"/>
      <c r="AZ56" s="866">
        <f>SUM(объемы!T38)</f>
        <v>5779.357</v>
      </c>
      <c r="BA56" s="873">
        <f t="shared" si="5"/>
        <v>1.0391928996168223</v>
      </c>
      <c r="BB56" s="860"/>
      <c r="BC56" s="860"/>
      <c r="BD56" s="857">
        <f>SUM(объемы!AA38:AB38)</f>
        <v>5675.7370000000001</v>
      </c>
      <c r="BE56" s="822"/>
      <c r="BF56" s="823"/>
      <c r="BG56" s="848">
        <f t="shared" ref="BG56:BG62" si="17">BD56-AZ56</f>
        <v>-103.61999999999989</v>
      </c>
    </row>
    <row r="57" spans="1:61" ht="45" customHeight="1" x14ac:dyDescent="0.2">
      <c r="A57" s="844" t="s">
        <v>142</v>
      </c>
      <c r="B57" s="666"/>
      <c r="C57" s="364"/>
      <c r="D57" s="364"/>
      <c r="E57" s="364"/>
      <c r="F57" s="364"/>
      <c r="G57" s="364"/>
      <c r="H57" s="364"/>
      <c r="I57" s="364"/>
      <c r="J57" s="674"/>
      <c r="K57" s="676"/>
      <c r="L57" s="822"/>
      <c r="M57" s="823">
        <f>L48/M56</f>
        <v>0.18573617021276598</v>
      </c>
      <c r="N57" s="822"/>
      <c r="O57" s="822"/>
      <c r="P57" s="822"/>
      <c r="Q57" s="823">
        <f>AH20</f>
        <v>0.14554379746835441</v>
      </c>
      <c r="R57" s="822"/>
      <c r="S57" s="823"/>
      <c r="T57" s="826"/>
      <c r="U57" s="822"/>
      <c r="V57" s="823">
        <f t="shared" si="9"/>
        <v>-4.0192372744411564E-2</v>
      </c>
      <c r="W57" s="822"/>
      <c r="X57" s="836"/>
      <c r="Y57" s="836"/>
      <c r="Z57" s="823">
        <f>Y48/Z56</f>
        <v>0.14465748718976326</v>
      </c>
      <c r="AA57" s="822"/>
      <c r="AB57" s="822"/>
      <c r="AC57" s="822"/>
      <c r="AD57" s="823">
        <f>AC48/AD56</f>
        <v>0.13366227219852655</v>
      </c>
      <c r="AE57" s="869"/>
      <c r="AF57" s="869"/>
      <c r="AG57" s="824">
        <f>AF48/AG56</f>
        <v>0.1305331116811648</v>
      </c>
      <c r="AH57" s="676"/>
      <c r="AI57" s="822"/>
      <c r="AJ57" s="823">
        <f>AI48/AJ56</f>
        <v>0.14599924483149224</v>
      </c>
      <c r="AK57" s="822"/>
      <c r="AL57" s="822"/>
      <c r="AM57" s="822"/>
      <c r="AN57" s="823">
        <f>AP20</f>
        <v>0.15880621825734828</v>
      </c>
      <c r="AO57" s="860"/>
      <c r="AP57" s="854"/>
      <c r="AQ57" s="854">
        <f t="shared" si="16"/>
        <v>1.2806973425856044E-2</v>
      </c>
      <c r="AR57" s="860"/>
      <c r="AS57" s="860"/>
      <c r="AT57" s="854">
        <f>AS48/AT56</f>
        <v>0.12322324135412244</v>
      </c>
      <c r="AU57" s="860"/>
      <c r="AV57" s="860"/>
      <c r="AW57" s="854">
        <f>AV48/AW56</f>
        <v>8.1329128530865241E-2</v>
      </c>
      <c r="AX57" s="531"/>
      <c r="AY57" s="869"/>
      <c r="AZ57" s="824">
        <f>AY48/AZ56</f>
        <v>0.15760403795785588</v>
      </c>
      <c r="BA57" s="873">
        <f t="shared" si="5"/>
        <v>0.99242989152008998</v>
      </c>
      <c r="BB57" s="860"/>
      <c r="BC57" s="860"/>
      <c r="BD57" s="1281">
        <v>0.124</v>
      </c>
      <c r="BE57" s="822"/>
      <c r="BF57" s="823"/>
      <c r="BG57" s="837">
        <f t="shared" si="17"/>
        <v>-3.3604037957855881E-2</v>
      </c>
    </row>
    <row r="58" spans="1:61" ht="45.75" customHeight="1" x14ac:dyDescent="0.2">
      <c r="A58" s="844" t="s">
        <v>877</v>
      </c>
      <c r="B58" s="666"/>
      <c r="C58" s="364"/>
      <c r="D58" s="364"/>
      <c r="E58" s="364"/>
      <c r="F58" s="364"/>
      <c r="G58" s="364"/>
      <c r="H58" s="364"/>
      <c r="I58" s="364"/>
      <c r="J58" s="674"/>
      <c r="K58" s="676"/>
      <c r="L58" s="822"/>
      <c r="M58" s="713">
        <f>объемы!E43</f>
        <v>4999</v>
      </c>
      <c r="N58" s="822"/>
      <c r="O58" s="822"/>
      <c r="P58" s="822"/>
      <c r="Q58" s="713">
        <f>объемы!G43</f>
        <v>5051.2</v>
      </c>
      <c r="R58" s="822"/>
      <c r="S58" s="823"/>
      <c r="T58" s="826"/>
      <c r="U58" s="822"/>
      <c r="V58" s="826">
        <f t="shared" si="9"/>
        <v>52.199999999999818</v>
      </c>
      <c r="W58" s="822"/>
      <c r="X58" s="836"/>
      <c r="Y58" s="836"/>
      <c r="Z58" s="713">
        <v>3054.18</v>
      </c>
      <c r="AA58" s="822"/>
      <c r="AB58" s="822"/>
      <c r="AC58" s="822"/>
      <c r="AD58" s="713">
        <v>4509.2</v>
      </c>
      <c r="AE58" s="869"/>
      <c r="AF58" s="869"/>
      <c r="AG58" s="389">
        <f>SUM(объемы!K43)</f>
        <v>6136.9000000000005</v>
      </c>
      <c r="AH58" s="676"/>
      <c r="AI58" s="822"/>
      <c r="AJ58" s="713">
        <f>SUM(объемы!L43)</f>
        <v>5046.03</v>
      </c>
      <c r="AK58" s="822"/>
      <c r="AL58" s="822"/>
      <c r="AM58" s="822"/>
      <c r="AN58" s="713">
        <f>SUM(объемы!M43)</f>
        <v>5004.2700000000004</v>
      </c>
      <c r="AO58" s="860"/>
      <c r="AP58" s="854"/>
      <c r="AQ58" s="855">
        <f t="shared" si="16"/>
        <v>-41.759999999999309</v>
      </c>
      <c r="AR58" s="860"/>
      <c r="AS58" s="860"/>
      <c r="AT58" s="857">
        <f>SUM(объемы!P43)</f>
        <v>2888.49</v>
      </c>
      <c r="AU58" s="860"/>
      <c r="AV58" s="860"/>
      <c r="AW58" s="857">
        <f>объемы!R38</f>
        <v>6697.91</v>
      </c>
      <c r="AX58" s="531"/>
      <c r="AY58" s="869"/>
      <c r="AZ58" s="866">
        <f>SUM(объемы!T43)</f>
        <v>5007.9369999999999</v>
      </c>
      <c r="BA58" s="873">
        <f t="shared" si="5"/>
        <v>1.0007327742108238</v>
      </c>
      <c r="BB58" s="860"/>
      <c r="BC58" s="860"/>
      <c r="BD58" s="857">
        <f>объемы!AA43</f>
        <v>4967.9170000000004</v>
      </c>
      <c r="BE58" s="822"/>
      <c r="BF58" s="823"/>
      <c r="BG58" s="848">
        <f t="shared" si="17"/>
        <v>-40.019999999999527</v>
      </c>
    </row>
    <row r="59" spans="1:61" ht="40.5" customHeight="1" x14ac:dyDescent="0.2">
      <c r="A59" s="844" t="s">
        <v>143</v>
      </c>
      <c r="B59" s="666"/>
      <c r="C59" s="364"/>
      <c r="D59" s="364"/>
      <c r="E59" s="364"/>
      <c r="F59" s="364"/>
      <c r="G59" s="364"/>
      <c r="H59" s="364"/>
      <c r="I59" s="364"/>
      <c r="J59" s="674"/>
      <c r="K59" s="676"/>
      <c r="L59" s="822"/>
      <c r="M59" s="823">
        <f>L50/M58</f>
        <v>0.35103020604120821</v>
      </c>
      <c r="N59" s="822"/>
      <c r="O59" s="822"/>
      <c r="P59" s="822"/>
      <c r="Q59" s="823">
        <f>AH22</f>
        <v>0.26482803446738967</v>
      </c>
      <c r="R59" s="822"/>
      <c r="S59" s="823"/>
      <c r="T59" s="826"/>
      <c r="U59" s="822"/>
      <c r="V59" s="823">
        <f t="shared" si="9"/>
        <v>-8.6202171573818542E-2</v>
      </c>
      <c r="W59" s="822"/>
      <c r="X59" s="836"/>
      <c r="Y59" s="836"/>
      <c r="Z59" s="823">
        <f>Y50/Z58</f>
        <v>0.26849105160796027</v>
      </c>
      <c r="AA59" s="822"/>
      <c r="AB59" s="822"/>
      <c r="AC59" s="822"/>
      <c r="AD59" s="823">
        <f>AC50/AD58</f>
        <v>0.26396034773352256</v>
      </c>
      <c r="AE59" s="869"/>
      <c r="AF59" s="869"/>
      <c r="AG59" s="824">
        <f>AF50/AG58</f>
        <v>0.24905571216738093</v>
      </c>
      <c r="AH59" s="676"/>
      <c r="AI59" s="822"/>
      <c r="AJ59" s="823">
        <f>AI50/AJ58</f>
        <v>0.27498845627156399</v>
      </c>
      <c r="AK59" s="822"/>
      <c r="AL59" s="822"/>
      <c r="AM59" s="822"/>
      <c r="AN59" s="823">
        <f>AP22</f>
        <v>0.24172159546971789</v>
      </c>
      <c r="AO59" s="860"/>
      <c r="AP59" s="854"/>
      <c r="AQ59" s="854">
        <f t="shared" si="16"/>
        <v>-3.3266860801846099E-2</v>
      </c>
      <c r="AR59" s="860"/>
      <c r="AS59" s="860"/>
      <c r="AT59" s="854">
        <f>AS50/AT58</f>
        <v>0.23473164179207823</v>
      </c>
      <c r="AU59" s="860"/>
      <c r="AV59" s="860"/>
      <c r="AW59" s="854">
        <f>AV50/AW58</f>
        <v>0.15169806700896249</v>
      </c>
      <c r="AX59" s="531"/>
      <c r="AY59" s="869"/>
      <c r="AZ59" s="824">
        <f>AY50/AZ58</f>
        <v>0.30520152310222753</v>
      </c>
      <c r="BA59" s="873">
        <f t="shared" si="5"/>
        <v>1.2626158722358021</v>
      </c>
      <c r="BB59" s="860"/>
      <c r="BC59" s="860"/>
      <c r="BD59" s="1281">
        <v>0.249</v>
      </c>
      <c r="BE59" s="822"/>
      <c r="BF59" s="823"/>
      <c r="BG59" s="837">
        <f t="shared" si="17"/>
        <v>-5.6201523102227535E-2</v>
      </c>
    </row>
    <row r="60" spans="1:61" ht="48" customHeight="1" x14ac:dyDescent="0.2">
      <c r="A60" s="845" t="s">
        <v>144</v>
      </c>
      <c r="B60" s="666"/>
      <c r="C60" s="364"/>
      <c r="D60" s="364"/>
      <c r="E60" s="364"/>
      <c r="F60" s="364"/>
      <c r="G60" s="364"/>
      <c r="H60" s="364"/>
      <c r="I60" s="364"/>
      <c r="J60" s="674"/>
      <c r="K60" s="676"/>
      <c r="L60" s="822"/>
      <c r="M60" s="713">
        <f>объемы!E58</f>
        <v>3600</v>
      </c>
      <c r="N60" s="822"/>
      <c r="O60" s="822"/>
      <c r="P60" s="822"/>
      <c r="Q60" s="713">
        <f>объемы!G57</f>
        <v>3672.7</v>
      </c>
      <c r="R60" s="822"/>
      <c r="S60" s="823"/>
      <c r="T60" s="826"/>
      <c r="U60" s="822"/>
      <c r="V60" s="826">
        <f t="shared" si="9"/>
        <v>72.699999999999818</v>
      </c>
      <c r="W60" s="822"/>
      <c r="X60" s="836"/>
      <c r="Y60" s="836"/>
      <c r="Z60" s="713">
        <v>1773.8</v>
      </c>
      <c r="AA60" s="822"/>
      <c r="AB60" s="822"/>
      <c r="AC60" s="822"/>
      <c r="AD60" s="713">
        <v>2603.1999999999998</v>
      </c>
      <c r="AE60" s="869"/>
      <c r="AF60" s="869"/>
      <c r="AG60" s="389">
        <f>объемы!K57</f>
        <v>4393.3999999999996</v>
      </c>
      <c r="AH60" s="676"/>
      <c r="AI60" s="822"/>
      <c r="AJ60" s="713">
        <f>объемы!L58</f>
        <v>3672.7</v>
      </c>
      <c r="AK60" s="822"/>
      <c r="AL60" s="822"/>
      <c r="AM60" s="822"/>
      <c r="AN60" s="713">
        <f>объемы!M57</f>
        <v>3644.7</v>
      </c>
      <c r="AO60" s="860"/>
      <c r="AP60" s="854"/>
      <c r="AQ60" s="855">
        <f t="shared" si="16"/>
        <v>-28</v>
      </c>
      <c r="AR60" s="860"/>
      <c r="AS60" s="860"/>
      <c r="AT60" s="857">
        <f>объемы!P57</f>
        <v>2027.43</v>
      </c>
      <c r="AU60" s="860"/>
      <c r="AV60" s="860"/>
      <c r="AW60" s="857">
        <f>объемы!R57</f>
        <v>3840.95</v>
      </c>
      <c r="AX60" s="531"/>
      <c r="AY60" s="869"/>
      <c r="AZ60" s="866">
        <f>SUM(объемы!T58)</f>
        <v>3473</v>
      </c>
      <c r="BA60" s="873">
        <f t="shared" si="5"/>
        <v>0.95289049853211516</v>
      </c>
      <c r="BB60" s="860"/>
      <c r="BC60" s="860"/>
      <c r="BD60" s="857">
        <f>SUM(объемы!AA58:AB58)</f>
        <v>3463.93</v>
      </c>
      <c r="BE60" s="822"/>
      <c r="BF60" s="823"/>
      <c r="BG60" s="848">
        <f t="shared" si="17"/>
        <v>-9.0700000000001637</v>
      </c>
    </row>
    <row r="61" spans="1:61" ht="56.25" customHeight="1" x14ac:dyDescent="0.2">
      <c r="A61" s="844" t="s">
        <v>145</v>
      </c>
      <c r="B61" s="666"/>
      <c r="C61" s="364"/>
      <c r="D61" s="364"/>
      <c r="E61" s="364"/>
      <c r="F61" s="364"/>
      <c r="G61" s="364"/>
      <c r="H61" s="364"/>
      <c r="I61" s="364"/>
      <c r="J61" s="674"/>
      <c r="K61" s="676"/>
      <c r="L61" s="822"/>
      <c r="M61" s="823">
        <f>L52/M60</f>
        <v>0.1105</v>
      </c>
      <c r="N61" s="822"/>
      <c r="O61" s="822"/>
      <c r="P61" s="822"/>
      <c r="Q61" s="823">
        <f>AB25</f>
        <v>9.9000000000000005E-2</v>
      </c>
      <c r="R61" s="822"/>
      <c r="S61" s="823"/>
      <c r="T61" s="826"/>
      <c r="U61" s="822"/>
      <c r="V61" s="823">
        <f t="shared" si="9"/>
        <v>-1.1499999999999996E-2</v>
      </c>
      <c r="W61" s="822"/>
      <c r="X61" s="836"/>
      <c r="Y61" s="836"/>
      <c r="Z61" s="823">
        <f>Y52/Z60</f>
        <v>9.1423497575825907E-2</v>
      </c>
      <c r="AA61" s="822"/>
      <c r="AB61" s="822"/>
      <c r="AC61" s="822"/>
      <c r="AD61" s="823">
        <f>AC52/AD60</f>
        <v>8.6067148125384157E-2</v>
      </c>
      <c r="AE61" s="869"/>
      <c r="AF61" s="869"/>
      <c r="AG61" s="1415">
        <f>AF52/AG60</f>
        <v>6.9781945645741347E-2</v>
      </c>
      <c r="AH61" s="676"/>
      <c r="AI61" s="822"/>
      <c r="AJ61" s="823">
        <f>AI52/AJ60</f>
        <v>0.1083126854902388</v>
      </c>
      <c r="AK61" s="822"/>
      <c r="AL61" s="822"/>
      <c r="AM61" s="822"/>
      <c r="AN61" s="823">
        <f>Q61</f>
        <v>9.9000000000000005E-2</v>
      </c>
      <c r="AO61" s="860"/>
      <c r="AP61" s="854"/>
      <c r="AQ61" s="854">
        <f t="shared" si="16"/>
        <v>-9.3126854902387951E-3</v>
      </c>
      <c r="AR61" s="860"/>
      <c r="AS61" s="860"/>
      <c r="AT61" s="854">
        <f>AS52/AT60</f>
        <v>7.2579571181249164E-2</v>
      </c>
      <c r="AU61" s="860"/>
      <c r="AV61" s="860"/>
      <c r="AW61" s="854">
        <f>AV52/AW60</f>
        <v>4.9977219177547223E-2</v>
      </c>
      <c r="AX61" s="531"/>
      <c r="AY61" s="869"/>
      <c r="AZ61" s="824">
        <f>AY52/AZ60</f>
        <v>8.8275266340339761E-2</v>
      </c>
      <c r="BA61" s="873">
        <f t="shared" si="5"/>
        <v>0.89166935697312888</v>
      </c>
      <c r="BB61" s="860"/>
      <c r="BC61" s="860"/>
      <c r="BD61" s="1281">
        <v>8.4000000000000005E-2</v>
      </c>
      <c r="BE61" s="822"/>
      <c r="BF61" s="823"/>
      <c r="BG61" s="83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846" t="s">
        <v>146</v>
      </c>
      <c r="B62" s="666"/>
      <c r="C62" s="364"/>
      <c r="D62" s="364"/>
      <c r="E62" s="364"/>
      <c r="F62" s="364"/>
      <c r="G62" s="364"/>
      <c r="H62" s="364"/>
      <c r="I62" s="364"/>
      <c r="J62" s="674"/>
      <c r="K62" s="562"/>
      <c r="L62" s="374"/>
      <c r="M62" s="838">
        <f>L54/M60</f>
        <v>0.63394444444444442</v>
      </c>
      <c r="N62" s="374"/>
      <c r="O62" s="374"/>
      <c r="P62" s="374"/>
      <c r="Q62" s="838">
        <f>AH26</f>
        <v>0.39184614210486146</v>
      </c>
      <c r="R62" s="374"/>
      <c r="S62" s="838"/>
      <c r="T62" s="607"/>
      <c r="U62" s="374"/>
      <c r="V62" s="838">
        <f t="shared" si="9"/>
        <v>-0.24209830233958296</v>
      </c>
      <c r="W62" s="374"/>
      <c r="X62" s="839"/>
      <c r="Y62" s="839"/>
      <c r="Z62" s="838">
        <f>Y54/Z60</f>
        <v>0.5300879467809223</v>
      </c>
      <c r="AA62" s="374"/>
      <c r="AB62" s="374"/>
      <c r="AC62" s="374"/>
      <c r="AD62" s="838">
        <f>AC54/AD60</f>
        <v>0.52707437000614632</v>
      </c>
      <c r="AE62" s="870"/>
      <c r="AF62" s="870"/>
      <c r="AG62" s="1416">
        <f>AF54/AG60</f>
        <v>0.42197159375426785</v>
      </c>
      <c r="AH62" s="562"/>
      <c r="AI62" s="374"/>
      <c r="AJ62" s="838">
        <f>AI54/AJ60</f>
        <v>0.6213957034334413</v>
      </c>
      <c r="AK62" s="374"/>
      <c r="AL62" s="374"/>
      <c r="AM62" s="374"/>
      <c r="AN62" s="838">
        <f>Q62</f>
        <v>0.39184614210486146</v>
      </c>
      <c r="AO62" s="862"/>
      <c r="AP62" s="863"/>
      <c r="AQ62" s="863">
        <f t="shared" si="16"/>
        <v>-0.22954956132857984</v>
      </c>
      <c r="AR62" s="862"/>
      <c r="AS62" s="862"/>
      <c r="AT62" s="863">
        <f>AS54/AT60</f>
        <v>0.46817892602950534</v>
      </c>
      <c r="AU62" s="862"/>
      <c r="AV62" s="862"/>
      <c r="AW62" s="863">
        <f>AV54/AW60</f>
        <v>0.36318619091630977</v>
      </c>
      <c r="AX62" s="567"/>
      <c r="AY62" s="870"/>
      <c r="AZ62" s="871">
        <f>AY54/AZ60</f>
        <v>0.53380074863230642</v>
      </c>
      <c r="BA62" s="875">
        <f t="shared" si="5"/>
        <v>1.3622712878195358</v>
      </c>
      <c r="BB62" s="862"/>
      <c r="BC62" s="862"/>
      <c r="BD62" s="1282">
        <v>0.42</v>
      </c>
      <c r="BE62" s="374"/>
      <c r="BF62" s="838"/>
      <c r="BG62" s="840">
        <f t="shared" si="17"/>
        <v>-0.11380074863230644</v>
      </c>
    </row>
    <row r="64" spans="1:61" ht="16.5" x14ac:dyDescent="0.25">
      <c r="A64" s="586" t="s">
        <v>436</v>
      </c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 x14ac:dyDescent="0.25">
      <c r="A65" s="586" t="s">
        <v>437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6">
        <f>AW49-AT49</f>
        <v>72.900000000000006</v>
      </c>
    </row>
    <row r="66" spans="1:49" ht="16.5" x14ac:dyDescent="0.25">
      <c r="A66" s="587" t="s">
        <v>438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8"/>
      <c r="M66" s="586" t="s">
        <v>442</v>
      </c>
      <c r="N66" s="586"/>
      <c r="O66" s="586"/>
      <c r="P66" s="586"/>
      <c r="Q66" s="586"/>
      <c r="R66" s="586"/>
      <c r="S66" s="586"/>
      <c r="T66" s="586"/>
      <c r="U66" s="5"/>
      <c r="V66" s="29"/>
      <c r="W66" s="29"/>
      <c r="X66" s="29"/>
      <c r="Y66" s="29"/>
      <c r="Z66" s="29"/>
      <c r="AA66" s="280"/>
      <c r="AB66" s="280"/>
      <c r="AU66">
        <f t="shared" si="18"/>
        <v>4.2196189800023669</v>
      </c>
      <c r="AV66" s="129">
        <f t="shared" si="19"/>
        <v>338.03999999999996</v>
      </c>
      <c r="AW66" s="156">
        <f>AW50-AT50</f>
        <v>1426.4</v>
      </c>
    </row>
    <row r="67" spans="1:49" ht="16.5" x14ac:dyDescent="0.25">
      <c r="A67" s="587" t="s">
        <v>439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>
        <f>AN59</f>
        <v>0.24172159546971789</v>
      </c>
      <c r="M67" s="586" t="s">
        <v>442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4192"/>
      <c r="Y67" s="4192"/>
      <c r="Z67" s="4192"/>
      <c r="AA67" s="280"/>
      <c r="AB67" s="280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 x14ac:dyDescent="0.25">
      <c r="A68" s="587" t="s">
        <v>440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AN61</f>
        <v>9.9000000000000005E-2</v>
      </c>
      <c r="M68" s="586" t="s">
        <v>443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29"/>
      <c r="Y68" s="589"/>
      <c r="Z68" s="589"/>
      <c r="AA68" s="280"/>
      <c r="AB68" s="280"/>
    </row>
    <row r="69" spans="1:49" ht="16.5" x14ac:dyDescent="0.25">
      <c r="A69" s="587" t="s">
        <v>441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0.39184614210486146</v>
      </c>
      <c r="M69" s="586" t="s">
        <v>443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89"/>
      <c r="Z70" s="589"/>
      <c r="AA70" s="280"/>
      <c r="AB70" s="280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189" t="s">
        <v>569</v>
      </c>
      <c r="B71" s="4190"/>
      <c r="C71" s="4190"/>
      <c r="D71" s="4190"/>
      <c r="E71" s="4190"/>
      <c r="F71" s="4190"/>
      <c r="G71" s="4190"/>
      <c r="H71" s="4190"/>
      <c r="I71" s="4190"/>
      <c r="J71" s="4190"/>
      <c r="K71" s="4190"/>
      <c r="L71" s="4190"/>
      <c r="M71" s="4191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90" t="s">
        <v>536</v>
      </c>
      <c r="B72" s="594"/>
      <c r="C72" s="594"/>
      <c r="D72" s="594"/>
      <c r="E72" s="594"/>
      <c r="F72" s="594"/>
      <c r="G72" s="594"/>
      <c r="H72" s="594"/>
      <c r="I72" s="594"/>
      <c r="J72" s="594"/>
      <c r="K72" s="594" t="s">
        <v>338</v>
      </c>
      <c r="L72" s="594" t="s">
        <v>354</v>
      </c>
      <c r="M72" s="586" t="s">
        <v>570</v>
      </c>
      <c r="N72" s="5"/>
      <c r="O72" s="594" t="s">
        <v>572</v>
      </c>
      <c r="P72" s="586" t="s">
        <v>573</v>
      </c>
      <c r="Q72" s="5"/>
      <c r="R72" s="5"/>
      <c r="S72" s="5"/>
      <c r="T72" s="5"/>
      <c r="U72" s="5"/>
      <c r="V72" s="29"/>
      <c r="W72" s="29"/>
      <c r="X72" s="591"/>
      <c r="Y72" s="592"/>
      <c r="Z72" s="592"/>
      <c r="AA72" s="280"/>
      <c r="AB72" s="280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97" t="s">
        <v>135</v>
      </c>
      <c r="B73" s="586"/>
      <c r="C73" s="586"/>
      <c r="D73" s="586"/>
      <c r="E73" s="586"/>
      <c r="F73" s="586"/>
      <c r="G73" s="586"/>
      <c r="H73" s="586"/>
      <c r="I73" s="586"/>
      <c r="J73" s="586"/>
      <c r="K73" s="596">
        <f>SUM(M73/L73)</f>
        <v>5.0619778596182483</v>
      </c>
      <c r="L73" s="595">
        <f>SUM(AC48-Y48)</f>
        <v>184.09799999999996</v>
      </c>
      <c r="M73" s="595">
        <f>SUM(AD48-Z48)</f>
        <v>931.90000000000009</v>
      </c>
      <c r="N73" s="5"/>
      <c r="O73" s="599">
        <f>SUM(AD56-Z56)</f>
        <v>1664.6999999999998</v>
      </c>
      <c r="P73" s="58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89"/>
      <c r="Z73" s="589"/>
      <c r="AA73" s="280"/>
      <c r="AB73" s="280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97" t="s">
        <v>574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/>
      <c r="L74" s="595"/>
      <c r="M74" s="595"/>
      <c r="N74" s="5"/>
      <c r="O74" s="599">
        <f>SUM(AD58-Z58)</f>
        <v>1455.02</v>
      </c>
      <c r="P74" s="588"/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</row>
    <row r="75" spans="1:49" ht="16.5" x14ac:dyDescent="0.25">
      <c r="A75" s="586" t="s">
        <v>136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>
        <f>SUM(M75/L75)</f>
        <v>4.1182508170596659</v>
      </c>
      <c r="L75" s="595">
        <f>SUM(AC50-Y50)</f>
        <v>370.23</v>
      </c>
      <c r="M75" s="595">
        <f>SUM(AD50-Z50)</f>
        <v>1524.7000000000003</v>
      </c>
      <c r="N75" s="5"/>
      <c r="O75" s="595"/>
      <c r="P75" s="58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x14ac:dyDescent="0.25">
      <c r="A76" s="586" t="s">
        <v>54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4.4316722229438179</v>
      </c>
      <c r="L76" s="595">
        <f>SUM(L73:L75)</f>
        <v>554.32799999999997</v>
      </c>
      <c r="M76" s="595">
        <f>SUM(M73:M75)</f>
        <v>2456.6000000000004</v>
      </c>
      <c r="N76" s="5"/>
      <c r="O76" s="586"/>
      <c r="P76" s="58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80"/>
      <c r="AB76" s="280"/>
    </row>
    <row r="77" spans="1:49" ht="16.5" x14ac:dyDescent="0.25">
      <c r="A77" s="586" t="s">
        <v>138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 t="shared" ref="K77:K79" si="23">SUM(M77/L77)</f>
        <v>5.0854030993972499</v>
      </c>
      <c r="L77" s="595">
        <f>SUM(AC52-Y52)</f>
        <v>61.88300000000001</v>
      </c>
      <c r="M77" s="595">
        <f>SUM(AD52-Z52)</f>
        <v>314.70000000000005</v>
      </c>
      <c r="N77" s="5"/>
      <c r="O77" s="598">
        <f>SUM(AD60-Z60)</f>
        <v>829.39999999999986</v>
      </c>
      <c r="P77" s="588">
        <f>SUM(L77/O77)</f>
        <v>7.4611767542802049E-2</v>
      </c>
      <c r="Q77" s="5"/>
      <c r="R77" s="5"/>
      <c r="S77" s="5"/>
      <c r="T77" s="5"/>
      <c r="U77" s="5"/>
      <c r="V77" s="29"/>
      <c r="W77" s="29"/>
      <c r="X77" s="591"/>
      <c r="Y77" s="592"/>
      <c r="Z77" s="592"/>
      <c r="AA77" s="280"/>
      <c r="AB77" s="280"/>
    </row>
    <row r="78" spans="1:49" ht="16.5" x14ac:dyDescent="0.25">
      <c r="A78" s="586" t="s">
        <v>571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si="23"/>
        <v>3.9234848660290407</v>
      </c>
      <c r="L78" s="595">
        <f>SUM(AC54-Y54)</f>
        <v>431.80999999999995</v>
      </c>
      <c r="M78" s="595">
        <f>SUM(AD54-Z54)</f>
        <v>1694.1999999999998</v>
      </c>
      <c r="N78" s="5"/>
      <c r="O78" s="598">
        <f>SUM(O77)</f>
        <v>829.39999999999986</v>
      </c>
      <c r="P78" s="58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08"/>
      <c r="AA78" s="280"/>
      <c r="AB78" s="280"/>
    </row>
    <row r="79" spans="1:49" ht="16.5" x14ac:dyDescent="0.25">
      <c r="A79" s="586" t="s">
        <v>54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23"/>
        <v>4.0691279803440601</v>
      </c>
      <c r="L79" s="595">
        <f>SUM(L77:L78)</f>
        <v>493.69299999999998</v>
      </c>
      <c r="M79" s="595">
        <f>SUM(M77:M78)</f>
        <v>2008.8999999999999</v>
      </c>
      <c r="N79" s="5"/>
      <c r="O79" s="586"/>
      <c r="P79" s="586"/>
      <c r="Q79" s="5"/>
      <c r="R79" s="5"/>
      <c r="S79" s="5"/>
      <c r="T79" s="5"/>
      <c r="U79" s="5"/>
      <c r="V79" s="29"/>
      <c r="W79" s="29"/>
      <c r="X79" s="29"/>
      <c r="Y79" s="29"/>
      <c r="Z79" s="589"/>
      <c r="AA79" s="280"/>
      <c r="AB79" s="280"/>
    </row>
    <row r="80" spans="1:49" ht="16.5" x14ac:dyDescent="0.25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93"/>
      <c r="AA80" s="280"/>
      <c r="AB80" s="280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A52"/>
  <sheetViews>
    <sheetView workbookViewId="0">
      <pane xSplit="2" ySplit="6" topLeftCell="M21" activePane="bottomRight" state="frozen"/>
      <selection pane="topRight" activeCell="C1" sqref="C1"/>
      <selection pane="bottomLeft" activeCell="A7" sqref="A7"/>
      <selection pane="bottomRight" activeCell="S27" sqref="S27"/>
    </sheetView>
  </sheetViews>
  <sheetFormatPr defaultRowHeight="12.75" x14ac:dyDescent="0.2"/>
  <cols>
    <col min="1" max="1" width="32" style="2489" customWidth="1"/>
    <col min="2" max="2" width="12.7109375" style="2093" customWidth="1"/>
    <col min="3" max="3" width="11.85546875" style="5" customWidth="1"/>
    <col min="4" max="4" width="12.140625" style="5" customWidth="1"/>
    <col min="5" max="5" width="12.7109375" style="5" customWidth="1"/>
    <col min="6" max="6" width="10" style="5" customWidth="1"/>
    <col min="7" max="7" width="10.140625" style="5" customWidth="1"/>
    <col min="8" max="9" width="12.42578125" style="5" customWidth="1"/>
    <col min="10" max="10" width="15" style="5" customWidth="1"/>
    <col min="11" max="11" width="12.5703125" style="5" customWidth="1"/>
    <col min="12" max="12" width="14.140625" style="5" customWidth="1"/>
    <col min="13" max="13" width="12" style="5" customWidth="1"/>
    <col min="14" max="14" width="10.5703125" style="5" customWidth="1"/>
    <col min="15" max="15" width="11.85546875" style="5" customWidth="1"/>
    <col min="16" max="16" width="12.28515625" style="5" customWidth="1"/>
    <col min="17" max="17" width="12.5703125" style="5" customWidth="1"/>
    <col min="18" max="18" width="10.7109375" style="5" hidden="1" customWidth="1"/>
    <col min="19" max="20" width="10.7109375" style="5" customWidth="1"/>
    <col min="21" max="24" width="9.140625" style="5"/>
    <col min="25" max="25" width="27.7109375" style="2489" customWidth="1"/>
    <col min="26" max="16384" width="9.140625" style="5"/>
  </cols>
  <sheetData>
    <row r="2" spans="1:27" ht="15.75" x14ac:dyDescent="0.25">
      <c r="A2" s="4225" t="s">
        <v>1933</v>
      </c>
      <c r="B2" s="4225"/>
      <c r="C2" s="4225"/>
      <c r="D2" s="4225"/>
      <c r="E2" s="4225"/>
      <c r="F2" s="4225"/>
      <c r="G2" s="4225"/>
      <c r="H2" s="4225"/>
      <c r="I2" s="4225"/>
      <c r="J2" s="4225"/>
      <c r="K2" s="4225"/>
      <c r="L2" s="4225"/>
      <c r="M2" s="4225"/>
      <c r="N2" s="4225"/>
      <c r="O2" s="4225"/>
      <c r="P2" s="4225"/>
      <c r="Q2" s="4225"/>
      <c r="R2" s="4225"/>
      <c r="S2" s="4225"/>
      <c r="T2" s="4225"/>
      <c r="U2" s="4225"/>
      <c r="V2" s="4225"/>
      <c r="W2" s="4225"/>
      <c r="X2" s="4225"/>
      <c r="Y2" s="4225"/>
    </row>
    <row r="4" spans="1:27" ht="24" customHeight="1" x14ac:dyDescent="0.2">
      <c r="A4" s="3960" t="s">
        <v>536</v>
      </c>
      <c r="B4" s="3971" t="s">
        <v>333</v>
      </c>
      <c r="C4" s="4226" t="s">
        <v>1859</v>
      </c>
      <c r="D4" s="4227"/>
      <c r="E4" s="4227"/>
      <c r="F4" s="4227"/>
      <c r="G4" s="4227"/>
      <c r="H4" s="4227"/>
      <c r="I4" s="4227"/>
      <c r="J4" s="4227"/>
      <c r="K4" s="4227"/>
      <c r="L4" s="4228"/>
      <c r="M4" s="4226" t="s">
        <v>1817</v>
      </c>
      <c r="N4" s="4227"/>
      <c r="O4" s="4227"/>
      <c r="P4" s="4227"/>
      <c r="Q4" s="4227"/>
      <c r="R4" s="4227"/>
      <c r="S4" s="4227"/>
      <c r="T4" s="4227"/>
      <c r="U4" s="4227"/>
      <c r="V4" s="4227"/>
      <c r="W4" s="4227"/>
      <c r="X4" s="4228"/>
      <c r="Y4" s="4229" t="s">
        <v>243</v>
      </c>
    </row>
    <row r="5" spans="1:27" x14ac:dyDescent="0.2">
      <c r="A5" s="3960"/>
      <c r="B5" s="3971"/>
      <c r="C5" s="3970" t="s">
        <v>829</v>
      </c>
      <c r="D5" s="3970"/>
      <c r="E5" s="3970"/>
      <c r="F5" s="3970" t="s">
        <v>908</v>
      </c>
      <c r="G5" s="3970"/>
      <c r="H5" s="3970"/>
      <c r="I5" s="3970"/>
      <c r="J5" s="3970"/>
      <c r="K5" s="3970" t="s">
        <v>909</v>
      </c>
      <c r="L5" s="3970"/>
      <c r="M5" s="2430" t="s">
        <v>1819</v>
      </c>
      <c r="N5" s="2430" t="s">
        <v>1825</v>
      </c>
      <c r="O5" s="2430" t="s">
        <v>1826</v>
      </c>
      <c r="P5" s="2430" t="s">
        <v>1827</v>
      </c>
      <c r="Q5" s="2430" t="s">
        <v>1828</v>
      </c>
      <c r="R5" s="2430" t="s">
        <v>1829</v>
      </c>
      <c r="S5" s="2430" t="s">
        <v>1819</v>
      </c>
      <c r="T5" s="2430" t="s">
        <v>1825</v>
      </c>
      <c r="U5" s="2430" t="s">
        <v>1826</v>
      </c>
      <c r="V5" s="2430" t="s">
        <v>1827</v>
      </c>
      <c r="W5" s="2430" t="s">
        <v>1828</v>
      </c>
      <c r="X5" s="2430" t="s">
        <v>1829</v>
      </c>
      <c r="Y5" s="4230"/>
    </row>
    <row r="6" spans="1:27" s="2093" customFormat="1" ht="25.5" x14ac:dyDescent="0.2">
      <c r="A6" s="3960"/>
      <c r="B6" s="3971"/>
      <c r="C6" s="2427" t="s">
        <v>1602</v>
      </c>
      <c r="D6" s="2430" t="s">
        <v>1857</v>
      </c>
      <c r="E6" s="2430" t="s">
        <v>1844</v>
      </c>
      <c r="F6" s="2427" t="s">
        <v>1602</v>
      </c>
      <c r="G6" s="2430" t="s">
        <v>1858</v>
      </c>
      <c r="H6" s="2430" t="s">
        <v>1857</v>
      </c>
      <c r="I6" s="2546" t="s">
        <v>1931</v>
      </c>
      <c r="J6" s="2430" t="s">
        <v>1844</v>
      </c>
      <c r="K6" s="2427" t="s">
        <v>1602</v>
      </c>
      <c r="L6" s="2430" t="s">
        <v>1858</v>
      </c>
      <c r="M6" s="3971" t="s">
        <v>122</v>
      </c>
      <c r="N6" s="3971"/>
      <c r="O6" s="3971"/>
      <c r="P6" s="3971"/>
      <c r="Q6" s="3971"/>
      <c r="R6" s="3971"/>
      <c r="S6" s="3971" t="s">
        <v>1537</v>
      </c>
      <c r="T6" s="3971"/>
      <c r="U6" s="3971"/>
      <c r="V6" s="3971"/>
      <c r="W6" s="3971"/>
      <c r="X6" s="3971"/>
      <c r="Y6" s="4231"/>
    </row>
    <row r="7" spans="1:27" x14ac:dyDescent="0.2">
      <c r="A7" s="2491" t="s">
        <v>1846</v>
      </c>
      <c r="B7" s="2430"/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2491"/>
    </row>
    <row r="8" spans="1:27" s="2151" customFormat="1" x14ac:dyDescent="0.2">
      <c r="A8" s="2051" t="s">
        <v>135</v>
      </c>
      <c r="B8" s="2442"/>
      <c r="C8" s="1958"/>
      <c r="D8" s="1958"/>
      <c r="E8" s="1958"/>
      <c r="F8" s="1958"/>
      <c r="G8" s="1958"/>
      <c r="H8" s="1958"/>
      <c r="I8" s="1958"/>
      <c r="J8" s="1958"/>
      <c r="K8" s="1958"/>
      <c r="L8" s="1958"/>
      <c r="M8" s="1958"/>
      <c r="N8" s="1958"/>
      <c r="O8" s="1958"/>
      <c r="P8" s="1958"/>
      <c r="Q8" s="1958"/>
      <c r="R8" s="1958"/>
      <c r="S8" s="1958"/>
      <c r="T8" s="1958"/>
      <c r="U8" s="1958"/>
      <c r="V8" s="1958"/>
      <c r="W8" s="1958"/>
      <c r="X8" s="1958"/>
      <c r="Y8" s="2051"/>
    </row>
    <row r="9" spans="1:27" x14ac:dyDescent="0.2">
      <c r="A9" s="2491" t="s">
        <v>1847</v>
      </c>
      <c r="B9" s="2430" t="s">
        <v>950</v>
      </c>
      <c r="C9" s="1961">
        <v>5675.74</v>
      </c>
      <c r="D9" s="1961">
        <v>6332.03</v>
      </c>
      <c r="E9" s="1961">
        <v>5629.66</v>
      </c>
      <c r="F9" s="1961">
        <v>5560.4</v>
      </c>
      <c r="G9" s="1961">
        <v>5570.69</v>
      </c>
      <c r="H9" s="1961">
        <v>6767.77</v>
      </c>
      <c r="I9" s="1961">
        <v>6767.77</v>
      </c>
      <c r="J9" s="1961">
        <v>5957.32</v>
      </c>
      <c r="K9" s="1961">
        <v>5560.4</v>
      </c>
      <c r="L9" s="1961">
        <v>5326.28</v>
      </c>
      <c r="M9" s="1961">
        <v>6150</v>
      </c>
      <c r="N9" s="1961">
        <v>6150</v>
      </c>
      <c r="O9" s="1961">
        <v>6150</v>
      </c>
      <c r="P9" s="1961">
        <v>6150</v>
      </c>
      <c r="Q9" s="1961">
        <v>6150</v>
      </c>
      <c r="R9" s="1961"/>
      <c r="S9" s="1961">
        <f>S11+S12</f>
        <v>6255.1516796622664</v>
      </c>
      <c r="T9" s="1961">
        <f t="shared" ref="T9:X9" si="0">T11+T12</f>
        <v>6255.1516796622664</v>
      </c>
      <c r="U9" s="1961">
        <f t="shared" si="0"/>
        <v>6255.1516796622664</v>
      </c>
      <c r="V9" s="1961">
        <f t="shared" si="0"/>
        <v>6255.1516796622664</v>
      </c>
      <c r="W9" s="1961">
        <f t="shared" si="0"/>
        <v>6255.1516796622664</v>
      </c>
      <c r="X9" s="1961">
        <f t="shared" si="0"/>
        <v>6255.1516796622664</v>
      </c>
      <c r="Y9" s="2660"/>
    </row>
    <row r="10" spans="1:27" x14ac:dyDescent="0.2">
      <c r="A10" s="2491" t="s">
        <v>50</v>
      </c>
      <c r="B10" s="2430"/>
      <c r="C10" s="1961"/>
      <c r="D10" s="1961"/>
      <c r="E10" s="1961"/>
      <c r="F10" s="1961"/>
      <c r="G10" s="1961"/>
      <c r="H10" s="1961"/>
      <c r="I10" s="1961"/>
      <c r="J10" s="1961"/>
      <c r="K10" s="1961"/>
      <c r="L10" s="1961"/>
      <c r="M10" s="1961"/>
      <c r="N10" s="1961"/>
      <c r="O10" s="1961"/>
      <c r="P10" s="1961"/>
      <c r="Q10" s="1961"/>
      <c r="R10" s="1961"/>
      <c r="S10" s="1961"/>
      <c r="T10" s="1961"/>
      <c r="U10" s="1961"/>
      <c r="V10" s="1961"/>
      <c r="W10" s="1961"/>
      <c r="X10" s="1961"/>
      <c r="Y10" s="2660"/>
    </row>
    <row r="11" spans="1:27" s="2091" customFormat="1" x14ac:dyDescent="0.2">
      <c r="A11" s="2492" t="s">
        <v>1848</v>
      </c>
      <c r="B11" s="2430" t="s">
        <v>950</v>
      </c>
      <c r="C11" s="1961"/>
      <c r="D11" s="1961"/>
      <c r="E11" s="1961"/>
      <c r="F11" s="1961"/>
      <c r="G11" s="1961"/>
      <c r="H11" s="1961"/>
      <c r="I11" s="1961"/>
      <c r="J11" s="1961">
        <f>объемы!AP38</f>
        <v>5955.747459526774</v>
      </c>
      <c r="K11" s="1961"/>
      <c r="L11" s="1961"/>
      <c r="M11" s="1961"/>
      <c r="N11" s="1961"/>
      <c r="O11" s="1961"/>
      <c r="P11" s="1961"/>
      <c r="Q11" s="1961"/>
      <c r="R11" s="1961"/>
      <c r="S11" s="1961">
        <f>объемы!AX38</f>
        <v>6253.3816796622659</v>
      </c>
      <c r="T11" s="1961">
        <f>S11</f>
        <v>6253.3816796622659</v>
      </c>
      <c r="U11" s="1961">
        <f t="shared" ref="U11:X11" si="1">T11</f>
        <v>6253.3816796622659</v>
      </c>
      <c r="V11" s="1961">
        <f t="shared" si="1"/>
        <v>6253.3816796622659</v>
      </c>
      <c r="W11" s="1961">
        <f t="shared" si="1"/>
        <v>6253.3816796622659</v>
      </c>
      <c r="X11" s="1961">
        <f t="shared" si="1"/>
        <v>6253.3816796622659</v>
      </c>
      <c r="Y11" s="2744"/>
    </row>
    <row r="12" spans="1:27" s="2091" customFormat="1" x14ac:dyDescent="0.2">
      <c r="A12" s="2492" t="s">
        <v>1849</v>
      </c>
      <c r="B12" s="2430" t="s">
        <v>950</v>
      </c>
      <c r="C12" s="1961"/>
      <c r="D12" s="1961"/>
      <c r="E12" s="1961"/>
      <c r="F12" s="1961"/>
      <c r="G12" s="1961"/>
      <c r="H12" s="1961"/>
      <c r="I12" s="1961"/>
      <c r="J12" s="1961">
        <f>объемы!AQ40</f>
        <v>1.77</v>
      </c>
      <c r="K12" s="1961"/>
      <c r="L12" s="1961"/>
      <c r="M12" s="1961"/>
      <c r="N12" s="1961"/>
      <c r="O12" s="1961"/>
      <c r="P12" s="1961"/>
      <c r="Q12" s="1961"/>
      <c r="R12" s="1961"/>
      <c r="S12" s="1961">
        <f>объемы!AY38</f>
        <v>1.77</v>
      </c>
      <c r="T12" s="1961">
        <f>S12</f>
        <v>1.77</v>
      </c>
      <c r="U12" s="1961">
        <f t="shared" ref="U12:X13" si="2">T12</f>
        <v>1.77</v>
      </c>
      <c r="V12" s="1961">
        <f t="shared" si="2"/>
        <v>1.77</v>
      </c>
      <c r="W12" s="1961">
        <f t="shared" si="2"/>
        <v>1.77</v>
      </c>
      <c r="X12" s="1961">
        <f t="shared" si="2"/>
        <v>1.77</v>
      </c>
      <c r="Y12" s="2744"/>
    </row>
    <row r="13" spans="1:27" ht="51" x14ac:dyDescent="0.2">
      <c r="A13" s="2491" t="s">
        <v>1850</v>
      </c>
      <c r="B13" s="2430" t="s">
        <v>1854</v>
      </c>
      <c r="C13" s="2498">
        <v>0.124</v>
      </c>
      <c r="D13" s="2498">
        <v>0.125</v>
      </c>
      <c r="E13" s="2498">
        <v>0.124</v>
      </c>
      <c r="F13" s="2498">
        <v>0.124</v>
      </c>
      <c r="G13" s="2498">
        <v>0.124</v>
      </c>
      <c r="H13" s="2498">
        <f>H14/H9</f>
        <v>0.13026447411776701</v>
      </c>
      <c r="I13" s="2498">
        <v>130</v>
      </c>
      <c r="J13" s="2498">
        <v>0.124</v>
      </c>
      <c r="K13" s="2498">
        <v>0.124</v>
      </c>
      <c r="L13" s="2498">
        <v>0.124</v>
      </c>
      <c r="M13" s="2498">
        <f>M14/M9</f>
        <v>0.125</v>
      </c>
      <c r="N13" s="2498">
        <f t="shared" ref="N13:Q13" si="3">N14/N9</f>
        <v>0.125</v>
      </c>
      <c r="O13" s="2498">
        <f t="shared" si="3"/>
        <v>0.125</v>
      </c>
      <c r="P13" s="2498">
        <f t="shared" si="3"/>
        <v>0.125</v>
      </c>
      <c r="Q13" s="2498">
        <f t="shared" si="3"/>
        <v>0.125</v>
      </c>
      <c r="R13" s="2498"/>
      <c r="S13" s="2498">
        <v>0.13</v>
      </c>
      <c r="T13" s="2498">
        <f>S13</f>
        <v>0.13</v>
      </c>
      <c r="U13" s="2498">
        <f t="shared" si="2"/>
        <v>0.13</v>
      </c>
      <c r="V13" s="2498">
        <f t="shared" si="2"/>
        <v>0.13</v>
      </c>
      <c r="W13" s="2498">
        <f t="shared" si="2"/>
        <v>0.13</v>
      </c>
      <c r="X13" s="2498">
        <f t="shared" si="2"/>
        <v>0.13</v>
      </c>
      <c r="Y13" s="2743" t="s">
        <v>3531</v>
      </c>
    </row>
    <row r="14" spans="1:27" ht="25.5" x14ac:dyDescent="0.2">
      <c r="A14" s="2491" t="s">
        <v>1851</v>
      </c>
      <c r="B14" s="2430" t="s">
        <v>1855</v>
      </c>
      <c r="C14" s="1959">
        <v>703.8</v>
      </c>
      <c r="D14" s="1959">
        <v>789.2</v>
      </c>
      <c r="E14" s="1959">
        <v>698.1</v>
      </c>
      <c r="F14" s="1959">
        <v>689.5</v>
      </c>
      <c r="G14" s="1959">
        <v>690.8</v>
      </c>
      <c r="H14" s="1959">
        <v>881.6</v>
      </c>
      <c r="I14" s="1959">
        <v>881.62</v>
      </c>
      <c r="J14" s="1959">
        <f>J9*J13</f>
        <v>738.70767999999998</v>
      </c>
      <c r="K14" s="1959">
        <v>689.49</v>
      </c>
      <c r="L14" s="1959">
        <v>660.5</v>
      </c>
      <c r="M14" s="1959">
        <v>768.75</v>
      </c>
      <c r="N14" s="1959">
        <v>768.75</v>
      </c>
      <c r="O14" s="1959">
        <v>768.75</v>
      </c>
      <c r="P14" s="1959">
        <v>768.75</v>
      </c>
      <c r="Q14" s="1959">
        <v>768.75</v>
      </c>
      <c r="R14" s="1959"/>
      <c r="S14" s="1959">
        <f>S9*S13</f>
        <v>813.16971835609468</v>
      </c>
      <c r="T14" s="1959">
        <f t="shared" ref="T14:X14" si="4">T9*T13</f>
        <v>813.16971835609468</v>
      </c>
      <c r="U14" s="1959">
        <f t="shared" si="4"/>
        <v>813.16971835609468</v>
      </c>
      <c r="V14" s="1959">
        <f t="shared" si="4"/>
        <v>813.16971835609468</v>
      </c>
      <c r="W14" s="1959">
        <f t="shared" si="4"/>
        <v>813.16971835609468</v>
      </c>
      <c r="X14" s="1959">
        <f t="shared" si="4"/>
        <v>813.16971835609468</v>
      </c>
      <c r="Y14" s="2491"/>
    </row>
    <row r="15" spans="1:27" x14ac:dyDescent="0.2">
      <c r="A15" s="2491" t="s">
        <v>50</v>
      </c>
      <c r="B15" s="2430"/>
      <c r="C15" s="1961"/>
      <c r="D15" s="1961"/>
      <c r="E15" s="1961"/>
      <c r="F15" s="1961"/>
      <c r="G15" s="1961"/>
      <c r="H15" s="1961"/>
      <c r="I15" s="1961"/>
      <c r="J15" s="1961"/>
      <c r="K15" s="1961"/>
      <c r="L15" s="1961"/>
      <c r="M15" s="1961"/>
      <c r="N15" s="1961"/>
      <c r="O15" s="1961"/>
      <c r="P15" s="1961"/>
      <c r="Q15" s="1961"/>
      <c r="R15" s="1961"/>
      <c r="S15" s="1961"/>
      <c r="T15" s="1961"/>
      <c r="U15" s="1961"/>
      <c r="V15" s="1961"/>
      <c r="W15" s="1961"/>
      <c r="X15" s="1961"/>
      <c r="Y15" s="2660"/>
      <c r="Z15" s="2493"/>
      <c r="AA15" s="2493"/>
    </row>
    <row r="16" spans="1:27" x14ac:dyDescent="0.2">
      <c r="A16" s="2492" t="s">
        <v>1848</v>
      </c>
      <c r="B16" s="2430" t="s">
        <v>1855</v>
      </c>
      <c r="C16" s="1961"/>
      <c r="D16" s="1961"/>
      <c r="E16" s="1961"/>
      <c r="F16" s="1961"/>
      <c r="G16" s="1961"/>
      <c r="H16" s="1961"/>
      <c r="I16" s="1961"/>
      <c r="J16" s="1961">
        <f>J13*J11</f>
        <v>738.51268498131992</v>
      </c>
      <c r="K16" s="1961"/>
      <c r="L16" s="1961"/>
      <c r="M16" s="1961"/>
      <c r="N16" s="1961"/>
      <c r="O16" s="1961"/>
      <c r="P16" s="1961"/>
      <c r="Q16" s="1961"/>
      <c r="R16" s="1961"/>
      <c r="S16" s="1961">
        <f>S11*S13</f>
        <v>812.93961835609457</v>
      </c>
      <c r="T16" s="1961">
        <f t="shared" ref="T16:X16" si="5">T11*T13</f>
        <v>812.93961835609457</v>
      </c>
      <c r="U16" s="1961">
        <f t="shared" si="5"/>
        <v>812.93961835609457</v>
      </c>
      <c r="V16" s="1961">
        <f t="shared" si="5"/>
        <v>812.93961835609457</v>
      </c>
      <c r="W16" s="1961">
        <f t="shared" si="5"/>
        <v>812.93961835609457</v>
      </c>
      <c r="X16" s="1961">
        <f t="shared" si="5"/>
        <v>812.93961835609457</v>
      </c>
      <c r="Y16" s="2660"/>
      <c r="Z16" s="2493"/>
      <c r="AA16" s="2493"/>
    </row>
    <row r="17" spans="1:27" x14ac:dyDescent="0.2">
      <c r="A17" s="2492" t="s">
        <v>1849</v>
      </c>
      <c r="B17" s="2430" t="s">
        <v>1855</v>
      </c>
      <c r="C17" s="1961"/>
      <c r="D17" s="1961"/>
      <c r="E17" s="1961"/>
      <c r="F17" s="1961"/>
      <c r="G17" s="1961"/>
      <c r="H17" s="1961"/>
      <c r="I17" s="1961"/>
      <c r="J17" s="1961">
        <f>J13*J12</f>
        <v>0.21948000000000001</v>
      </c>
      <c r="K17" s="1961"/>
      <c r="L17" s="1961"/>
      <c r="M17" s="1961"/>
      <c r="N17" s="1961"/>
      <c r="O17" s="1961"/>
      <c r="P17" s="1961"/>
      <c r="Q17" s="1961"/>
      <c r="R17" s="1961"/>
      <c r="S17" s="1961">
        <f>S12*S13</f>
        <v>0.2301</v>
      </c>
      <c r="T17" s="1961">
        <f t="shared" ref="T17:X17" si="6">T12*T13</f>
        <v>0.2301</v>
      </c>
      <c r="U17" s="1961">
        <f t="shared" si="6"/>
        <v>0.2301</v>
      </c>
      <c r="V17" s="1961">
        <f t="shared" si="6"/>
        <v>0.2301</v>
      </c>
      <c r="W17" s="1961">
        <f t="shared" si="6"/>
        <v>0.2301</v>
      </c>
      <c r="X17" s="1961">
        <f t="shared" si="6"/>
        <v>0.2301</v>
      </c>
      <c r="Y17" s="2660"/>
      <c r="Z17" s="2493"/>
      <c r="AA17" s="2493"/>
    </row>
    <row r="18" spans="1:27" s="375" customFormat="1" ht="38.25" x14ac:dyDescent="0.2">
      <c r="A18" s="2643" t="s">
        <v>1852</v>
      </c>
      <c r="B18" s="2642" t="s">
        <v>1856</v>
      </c>
      <c r="C18" s="2495">
        <v>5.4909999999999997</v>
      </c>
      <c r="D18" s="2495">
        <v>2.4500000000000002</v>
      </c>
      <c r="E18" s="2495">
        <v>2.4500000000000002</v>
      </c>
      <c r="F18" s="2495">
        <v>5.8540000000000001</v>
      </c>
      <c r="G18" s="2495">
        <v>5.64</v>
      </c>
      <c r="H18" s="2495">
        <v>4.6825000000000001</v>
      </c>
      <c r="I18" s="2495">
        <f>I19/I14</f>
        <v>4.7111680769492521</v>
      </c>
      <c r="J18" s="2495">
        <f>I18</f>
        <v>4.7111680769492521</v>
      </c>
      <c r="K18" s="2495">
        <v>6.2460000000000004</v>
      </c>
      <c r="L18" s="2495">
        <v>6.04</v>
      </c>
      <c r="M18" s="2495">
        <v>5.3609999999999998</v>
      </c>
      <c r="N18" s="2495">
        <v>5.7359999999999998</v>
      </c>
      <c r="O18" s="2495">
        <v>6.1379999999999999</v>
      </c>
      <c r="P18" s="2495">
        <v>6.5670000000000002</v>
      </c>
      <c r="Q18" s="2495">
        <v>7.0270000000000001</v>
      </c>
      <c r="R18" s="2495"/>
      <c r="S18" s="2495">
        <f>5*1.059</f>
        <v>5.2949999999999999</v>
      </c>
      <c r="T18" s="2495">
        <f>S18*1.042</f>
        <v>5.5173899999999998</v>
      </c>
      <c r="U18" s="2495">
        <f>T18*1.04</f>
        <v>5.7380855999999998</v>
      </c>
      <c r="V18" s="2495">
        <f>U18*1.04</f>
        <v>5.9676090239999997</v>
      </c>
      <c r="W18" s="2495">
        <f>V18*1.039</f>
        <v>6.2003457759359994</v>
      </c>
      <c r="X18" s="2495">
        <f>W18*1.039</f>
        <v>6.4421592611975029</v>
      </c>
      <c r="Y18" s="2745" t="s">
        <v>1930</v>
      </c>
      <c r="Z18" s="2741"/>
    </row>
    <row r="19" spans="1:27" s="2151" customFormat="1" ht="25.5" x14ac:dyDescent="0.2">
      <c r="A19" s="2051" t="s">
        <v>1853</v>
      </c>
      <c r="B19" s="2548" t="s">
        <v>915</v>
      </c>
      <c r="C19" s="1958">
        <v>3864.63</v>
      </c>
      <c r="D19" s="1958">
        <v>1929.89</v>
      </c>
      <c r="E19" s="1958">
        <v>1706.8</v>
      </c>
      <c r="F19" s="1958">
        <v>4035.98</v>
      </c>
      <c r="G19" s="1958">
        <v>3899.14</v>
      </c>
      <c r="H19" s="1958">
        <v>4128.2</v>
      </c>
      <c r="I19" s="1958">
        <v>4153.46</v>
      </c>
      <c r="J19" s="1958">
        <f>J14*J18</f>
        <v>3480.1760402132436</v>
      </c>
      <c r="K19" s="1958">
        <v>4306.3879999999999</v>
      </c>
      <c r="L19" s="1958">
        <v>3989.03</v>
      </c>
      <c r="M19" s="1958">
        <v>4121.26</v>
      </c>
      <c r="N19" s="1958">
        <v>4409.75</v>
      </c>
      <c r="O19" s="1958">
        <v>4718.4399999999996</v>
      </c>
      <c r="P19" s="1958">
        <v>5048.7299999999996</v>
      </c>
      <c r="Q19" s="1958">
        <v>5402.14</v>
      </c>
      <c r="R19" s="1958"/>
      <c r="S19" s="1958">
        <f>S14*S18</f>
        <v>4305.7336586955216</v>
      </c>
      <c r="T19" s="1958">
        <f t="shared" ref="T19:X19" si="7">T14*T18</f>
        <v>4486.5744723607331</v>
      </c>
      <c r="U19" s="1958">
        <f t="shared" si="7"/>
        <v>4666.0374512551625</v>
      </c>
      <c r="V19" s="1958">
        <f t="shared" si="7"/>
        <v>4852.6789493053684</v>
      </c>
      <c r="W19" s="1958">
        <f t="shared" si="7"/>
        <v>5041.9334283282778</v>
      </c>
      <c r="X19" s="1958">
        <f t="shared" si="7"/>
        <v>5238.5688320330801</v>
      </c>
      <c r="Y19" s="2051"/>
      <c r="Z19" s="2153"/>
    </row>
    <row r="20" spans="1:27" x14ac:dyDescent="0.2">
      <c r="A20" s="2491" t="s">
        <v>50</v>
      </c>
      <c r="B20" s="2430"/>
      <c r="C20" s="1961"/>
      <c r="D20" s="1961"/>
      <c r="E20" s="1961"/>
      <c r="F20" s="1961"/>
      <c r="G20" s="1961"/>
      <c r="H20" s="1961"/>
      <c r="I20" s="1961"/>
      <c r="J20" s="1961"/>
      <c r="K20" s="1961"/>
      <c r="L20" s="1961"/>
      <c r="M20" s="1961"/>
      <c r="N20" s="1961"/>
      <c r="O20" s="1961"/>
      <c r="P20" s="1961"/>
      <c r="Q20" s="1961"/>
      <c r="R20" s="1961"/>
      <c r="S20" s="1961"/>
      <c r="T20" s="1961"/>
      <c r="U20" s="1961"/>
      <c r="V20" s="1961"/>
      <c r="W20" s="1961"/>
      <c r="X20" s="1961"/>
      <c r="Y20" s="2660"/>
    </row>
    <row r="21" spans="1:27" x14ac:dyDescent="0.2">
      <c r="A21" s="2492" t="s">
        <v>1848</v>
      </c>
      <c r="B21" s="2430" t="s">
        <v>915</v>
      </c>
      <c r="C21" s="1961"/>
      <c r="D21" s="1961"/>
      <c r="E21" s="1961"/>
      <c r="F21" s="1961"/>
      <c r="G21" s="1961"/>
      <c r="H21" s="1961"/>
      <c r="I21" s="1961"/>
      <c r="J21" s="1961">
        <f>J18*J16</f>
        <v>3479.257385906074</v>
      </c>
      <c r="K21" s="1961"/>
      <c r="L21" s="1961"/>
      <c r="M21" s="1961"/>
      <c r="N21" s="1961"/>
      <c r="O21" s="1961"/>
      <c r="P21" s="1961"/>
      <c r="Q21" s="1961"/>
      <c r="R21" s="1961"/>
      <c r="S21" s="1961">
        <f>S16*S18</f>
        <v>4304.5152791955206</v>
      </c>
      <c r="T21" s="1961">
        <f t="shared" ref="T21:X21" si="8">T16*T18</f>
        <v>4485.3049209217324</v>
      </c>
      <c r="U21" s="1961">
        <f t="shared" si="8"/>
        <v>4664.7171177586015</v>
      </c>
      <c r="V21" s="1961">
        <f t="shared" si="8"/>
        <v>4851.3058024689453</v>
      </c>
      <c r="W21" s="1961">
        <f t="shared" si="8"/>
        <v>5040.5067287652346</v>
      </c>
      <c r="X21" s="1961">
        <f t="shared" si="8"/>
        <v>5237.0864911870785</v>
      </c>
      <c r="Y21" s="2660"/>
    </row>
    <row r="22" spans="1:27" x14ac:dyDescent="0.2">
      <c r="A22" s="2492" t="s">
        <v>1849</v>
      </c>
      <c r="B22" s="2430" t="s">
        <v>915</v>
      </c>
      <c r="C22" s="1961"/>
      <c r="D22" s="1961"/>
      <c r="E22" s="1961"/>
      <c r="F22" s="1961"/>
      <c r="G22" s="1961"/>
      <c r="H22" s="1961"/>
      <c r="I22" s="1961"/>
      <c r="J22" s="1961">
        <f>J18*J17</f>
        <v>1.034007169528822</v>
      </c>
      <c r="K22" s="1961"/>
      <c r="L22" s="1961"/>
      <c r="M22" s="1961"/>
      <c r="N22" s="1961"/>
      <c r="O22" s="1961"/>
      <c r="P22" s="1961"/>
      <c r="Q22" s="1961"/>
      <c r="R22" s="1961"/>
      <c r="S22" s="1961">
        <f>S17*S18</f>
        <v>1.2183794999999999</v>
      </c>
      <c r="T22" s="1961">
        <f t="shared" ref="T22:X22" si="9">T17*T18</f>
        <v>1.269551439</v>
      </c>
      <c r="U22" s="1961">
        <f t="shared" si="9"/>
        <v>1.32033349656</v>
      </c>
      <c r="V22" s="1961">
        <f t="shared" si="9"/>
        <v>1.3731468364224</v>
      </c>
      <c r="W22" s="1961">
        <f t="shared" si="9"/>
        <v>1.4266995630428734</v>
      </c>
      <c r="X22" s="1961">
        <f t="shared" si="9"/>
        <v>1.4823408460015455</v>
      </c>
      <c r="Y22" s="2660"/>
    </row>
    <row r="23" spans="1:27" x14ac:dyDescent="0.2">
      <c r="A23" s="2742" t="s">
        <v>1966</v>
      </c>
      <c r="B23" s="2642"/>
      <c r="C23" s="1959"/>
      <c r="D23" s="1959"/>
      <c r="E23" s="1959"/>
      <c r="F23" s="1959"/>
      <c r="G23" s="1959"/>
      <c r="H23" s="1959"/>
      <c r="I23" s="1959"/>
      <c r="J23" s="1959"/>
      <c r="K23" s="1959"/>
      <c r="L23" s="1959"/>
      <c r="M23" s="1959"/>
      <c r="N23" s="1959"/>
      <c r="O23" s="1959"/>
      <c r="P23" s="1959"/>
      <c r="Q23" s="1959"/>
      <c r="R23" s="1959"/>
      <c r="S23" s="1959"/>
      <c r="T23" s="1959"/>
      <c r="U23" s="1959"/>
      <c r="V23" s="1959"/>
      <c r="W23" s="1959"/>
      <c r="X23" s="1959"/>
      <c r="Y23" s="2491"/>
    </row>
    <row r="24" spans="1:27" x14ac:dyDescent="0.2">
      <c r="A24" s="2491" t="s">
        <v>1847</v>
      </c>
      <c r="B24" s="2642" t="s">
        <v>950</v>
      </c>
      <c r="C24" s="1961"/>
      <c r="D24" s="1961"/>
      <c r="E24" s="1961"/>
      <c r="F24" s="1961"/>
      <c r="G24" s="1961"/>
      <c r="H24" s="1961"/>
      <c r="I24" s="1961"/>
      <c r="J24" s="1961"/>
      <c r="K24" s="1961"/>
      <c r="L24" s="1961"/>
      <c r="M24" s="1961">
        <v>1900</v>
      </c>
      <c r="N24" s="1961">
        <v>1900</v>
      </c>
      <c r="O24" s="1961">
        <v>1900</v>
      </c>
      <c r="P24" s="1961">
        <v>1900</v>
      </c>
      <c r="Q24" s="1961">
        <v>1900</v>
      </c>
      <c r="R24" s="1961"/>
      <c r="S24" s="1961">
        <v>1900</v>
      </c>
      <c r="T24" s="1961">
        <f>S24</f>
        <v>1900</v>
      </c>
      <c r="U24" s="1961">
        <f t="shared" ref="U24:X24" si="10">T24</f>
        <v>1900</v>
      </c>
      <c r="V24" s="1961">
        <f t="shared" si="10"/>
        <v>1900</v>
      </c>
      <c r="W24" s="1961">
        <f t="shared" si="10"/>
        <v>1900</v>
      </c>
      <c r="X24" s="1961">
        <f t="shared" si="10"/>
        <v>1900</v>
      </c>
      <c r="Y24" s="2660"/>
    </row>
    <row r="25" spans="1:27" ht="51" x14ac:dyDescent="0.2">
      <c r="A25" s="2491" t="s">
        <v>1850</v>
      </c>
      <c r="B25" s="2642" t="s">
        <v>1854</v>
      </c>
      <c r="C25" s="2064"/>
      <c r="D25" s="2064"/>
      <c r="E25" s="2064"/>
      <c r="F25" s="2064"/>
      <c r="G25" s="2064"/>
      <c r="H25" s="2064"/>
      <c r="I25" s="2064"/>
      <c r="J25" s="2064"/>
      <c r="K25" s="2064"/>
      <c r="L25" s="2064"/>
      <c r="M25" s="2498">
        <v>0.125</v>
      </c>
      <c r="N25" s="2498">
        <v>0.125</v>
      </c>
      <c r="O25" s="2498">
        <v>0.125</v>
      </c>
      <c r="P25" s="2498">
        <v>0.125</v>
      </c>
      <c r="Q25" s="2498">
        <v>0.125</v>
      </c>
      <c r="R25" s="2498"/>
      <c r="S25" s="2498">
        <v>0.13</v>
      </c>
      <c r="T25" s="2498">
        <f>S25</f>
        <v>0.13</v>
      </c>
      <c r="U25" s="2498">
        <f t="shared" ref="U25:X25" si="11">T25</f>
        <v>0.13</v>
      </c>
      <c r="V25" s="2498">
        <f t="shared" si="11"/>
        <v>0.13</v>
      </c>
      <c r="W25" s="2498">
        <f t="shared" si="11"/>
        <v>0.13</v>
      </c>
      <c r="X25" s="2498">
        <f t="shared" si="11"/>
        <v>0.13</v>
      </c>
      <c r="Y25" s="2746"/>
    </row>
    <row r="26" spans="1:27" ht="25.5" x14ac:dyDescent="0.2">
      <c r="A26" s="2491" t="s">
        <v>1851</v>
      </c>
      <c r="B26" s="2642" t="s">
        <v>1855</v>
      </c>
      <c r="C26" s="1961"/>
      <c r="D26" s="1961"/>
      <c r="E26" s="1961"/>
      <c r="F26" s="1961"/>
      <c r="G26" s="1961"/>
      <c r="H26" s="1961"/>
      <c r="I26" s="1961"/>
      <c r="J26" s="1961"/>
      <c r="K26" s="1961"/>
      <c r="L26" s="1961"/>
      <c r="M26" s="1961">
        <v>237.5</v>
      </c>
      <c r="N26" s="1961">
        <v>237.5</v>
      </c>
      <c r="O26" s="1961">
        <v>237.5</v>
      </c>
      <c r="P26" s="1961">
        <v>237.5</v>
      </c>
      <c r="Q26" s="1961">
        <v>237.5</v>
      </c>
      <c r="R26" s="1961"/>
      <c r="S26" s="1961">
        <f>S24*S25</f>
        <v>247</v>
      </c>
      <c r="T26" s="1961">
        <f t="shared" ref="T26:X26" si="12">T24*T25</f>
        <v>247</v>
      </c>
      <c r="U26" s="1961">
        <f t="shared" si="12"/>
        <v>247</v>
      </c>
      <c r="V26" s="1961">
        <f t="shared" si="12"/>
        <v>247</v>
      </c>
      <c r="W26" s="1961">
        <f t="shared" si="12"/>
        <v>247</v>
      </c>
      <c r="X26" s="1961">
        <f t="shared" si="12"/>
        <v>247</v>
      </c>
      <c r="Y26" s="2660"/>
    </row>
    <row r="27" spans="1:27" x14ac:dyDescent="0.2">
      <c r="A27" s="2643" t="s">
        <v>1852</v>
      </c>
      <c r="B27" s="2642" t="s">
        <v>1856</v>
      </c>
      <c r="C27" s="2646"/>
      <c r="D27" s="2646"/>
      <c r="E27" s="2646"/>
      <c r="F27" s="2646"/>
      <c r="G27" s="2646"/>
      <c r="H27" s="2646"/>
      <c r="I27" s="2646"/>
      <c r="J27" s="2646"/>
      <c r="K27" s="2646"/>
      <c r="L27" s="2646"/>
      <c r="M27" s="2646">
        <v>6.3339999999999996</v>
      </c>
      <c r="N27" s="2646"/>
      <c r="O27" s="2646"/>
      <c r="P27" s="2646"/>
      <c r="Q27" s="2646"/>
      <c r="R27" s="2646"/>
      <c r="S27" s="2646">
        <f>S18</f>
        <v>5.2949999999999999</v>
      </c>
      <c r="T27" s="2646">
        <f t="shared" ref="T27:X27" si="13">T18</f>
        <v>5.5173899999999998</v>
      </c>
      <c r="U27" s="2646">
        <f t="shared" si="13"/>
        <v>5.7380855999999998</v>
      </c>
      <c r="V27" s="2646">
        <f t="shared" si="13"/>
        <v>5.9676090239999997</v>
      </c>
      <c r="W27" s="2646">
        <f t="shared" si="13"/>
        <v>6.2003457759359994</v>
      </c>
      <c r="X27" s="2646">
        <f t="shared" si="13"/>
        <v>6.4421592611975029</v>
      </c>
      <c r="Y27" s="2747"/>
    </row>
    <row r="28" spans="1:27" ht="25.5" x14ac:dyDescent="0.2">
      <c r="A28" s="2051" t="s">
        <v>1967</v>
      </c>
      <c r="B28" s="2645" t="s">
        <v>915</v>
      </c>
      <c r="C28" s="1959"/>
      <c r="D28" s="1959"/>
      <c r="E28" s="1959"/>
      <c r="F28" s="1959"/>
      <c r="G28" s="1959"/>
      <c r="H28" s="1959"/>
      <c r="I28" s="1959"/>
      <c r="J28" s="1959"/>
      <c r="K28" s="1959"/>
      <c r="L28" s="1959"/>
      <c r="M28" s="1959">
        <v>1504.28</v>
      </c>
      <c r="N28" s="1959">
        <v>1609.58</v>
      </c>
      <c r="O28" s="1959">
        <v>1722.25</v>
      </c>
      <c r="P28" s="1959">
        <v>1872.81</v>
      </c>
      <c r="Q28" s="1959">
        <v>1971.81</v>
      </c>
      <c r="R28" s="1959"/>
      <c r="S28" s="1959">
        <f>S26*S27</f>
        <v>1307.865</v>
      </c>
      <c r="T28" s="1959">
        <f t="shared" ref="T28:X28" si="14">T26*T27</f>
        <v>1362.7953299999999</v>
      </c>
      <c r="U28" s="1959">
        <f t="shared" si="14"/>
        <v>1417.3071431999999</v>
      </c>
      <c r="V28" s="1959">
        <f t="shared" si="14"/>
        <v>1473.9994289279998</v>
      </c>
      <c r="W28" s="1959">
        <f t="shared" si="14"/>
        <v>1531.4854066561918</v>
      </c>
      <c r="X28" s="1959">
        <f t="shared" si="14"/>
        <v>1591.2133375157832</v>
      </c>
      <c r="Y28" s="2491"/>
    </row>
    <row r="29" spans="1:27" s="2151" customFormat="1" ht="38.25" x14ac:dyDescent="0.2">
      <c r="A29" s="2742" t="s">
        <v>1968</v>
      </c>
      <c r="B29" s="2645" t="s">
        <v>915</v>
      </c>
      <c r="C29" s="1958"/>
      <c r="D29" s="1958"/>
      <c r="E29" s="1958"/>
      <c r="F29" s="1958"/>
      <c r="G29" s="1958"/>
      <c r="H29" s="1958"/>
      <c r="I29" s="1958"/>
      <c r="J29" s="1958"/>
      <c r="K29" s="1958"/>
      <c r="L29" s="1958"/>
      <c r="M29" s="1958"/>
      <c r="N29" s="1958"/>
      <c r="O29" s="1958"/>
      <c r="P29" s="1958"/>
      <c r="Q29" s="1958"/>
      <c r="R29" s="1958"/>
      <c r="S29" s="1958">
        <f>S19+S28</f>
        <v>5613.5986586955214</v>
      </c>
      <c r="T29" s="1958">
        <f t="shared" ref="T29:X29" si="15">T19+T28</f>
        <v>5849.369802360733</v>
      </c>
      <c r="U29" s="1958">
        <f t="shared" si="15"/>
        <v>6083.3445944551622</v>
      </c>
      <c r="V29" s="1958">
        <f t="shared" si="15"/>
        <v>6326.6783782333678</v>
      </c>
      <c r="W29" s="1958">
        <f t="shared" si="15"/>
        <v>6573.4188349844699</v>
      </c>
      <c r="X29" s="1958">
        <f t="shared" si="15"/>
        <v>6829.7821695488637</v>
      </c>
      <c r="Y29" s="2051"/>
    </row>
    <row r="30" spans="1:27" x14ac:dyDescent="0.2">
      <c r="A30" s="2491" t="s">
        <v>50</v>
      </c>
      <c r="B30" s="2642"/>
      <c r="C30" s="1961"/>
      <c r="D30" s="1961"/>
      <c r="E30" s="1961"/>
      <c r="F30" s="1961"/>
      <c r="G30" s="1961"/>
      <c r="H30" s="1961"/>
      <c r="I30" s="1961"/>
      <c r="J30" s="1961"/>
      <c r="K30" s="1961"/>
      <c r="L30" s="1961"/>
      <c r="M30" s="1961"/>
      <c r="N30" s="1961"/>
      <c r="O30" s="1961"/>
      <c r="P30" s="1961"/>
      <c r="Q30" s="1961"/>
      <c r="R30" s="1961"/>
      <c r="S30" s="1961"/>
      <c r="T30" s="1961"/>
      <c r="U30" s="1961"/>
      <c r="V30" s="1961"/>
      <c r="W30" s="1961"/>
      <c r="X30" s="1961"/>
      <c r="Y30" s="2660"/>
    </row>
    <row r="31" spans="1:27" x14ac:dyDescent="0.2">
      <c r="A31" s="2492" t="s">
        <v>1848</v>
      </c>
      <c r="B31" s="2642" t="s">
        <v>915</v>
      </c>
      <c r="C31" s="1961"/>
      <c r="D31" s="1961"/>
      <c r="E31" s="1961"/>
      <c r="F31" s="1961"/>
      <c r="G31" s="1961"/>
      <c r="H31" s="1961"/>
      <c r="I31" s="1961"/>
      <c r="J31" s="1961"/>
      <c r="K31" s="1961"/>
      <c r="L31" s="1961"/>
      <c r="M31" s="1961"/>
      <c r="N31" s="1961"/>
      <c r="O31" s="1961"/>
      <c r="P31" s="1961"/>
      <c r="Q31" s="1961"/>
      <c r="R31" s="1961"/>
      <c r="S31" s="1961">
        <f>S28+S21</f>
        <v>5612.3802791955204</v>
      </c>
      <c r="T31" s="1961">
        <f t="shared" ref="T31:X31" si="16">T28+T21</f>
        <v>5848.1002509217324</v>
      </c>
      <c r="U31" s="1961">
        <f t="shared" si="16"/>
        <v>6082.0242609586012</v>
      </c>
      <c r="V31" s="1961">
        <f t="shared" si="16"/>
        <v>6325.3052313969456</v>
      </c>
      <c r="W31" s="1961">
        <f t="shared" si="16"/>
        <v>6571.9921354214266</v>
      </c>
      <c r="X31" s="1961">
        <f t="shared" si="16"/>
        <v>6828.2998287028622</v>
      </c>
      <c r="Y31" s="2660"/>
    </row>
    <row r="32" spans="1:27" x14ac:dyDescent="0.2">
      <c r="A32" s="2492" t="s">
        <v>1849</v>
      </c>
      <c r="B32" s="2642" t="s">
        <v>915</v>
      </c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>
        <f>S22</f>
        <v>1.2183794999999999</v>
      </c>
      <c r="T32" s="1961">
        <f t="shared" ref="T32:X32" si="17">T22</f>
        <v>1.269551439</v>
      </c>
      <c r="U32" s="1961">
        <f t="shared" si="17"/>
        <v>1.32033349656</v>
      </c>
      <c r="V32" s="1961">
        <f t="shared" si="17"/>
        <v>1.3731468364224</v>
      </c>
      <c r="W32" s="1961">
        <f t="shared" si="17"/>
        <v>1.4266995630428734</v>
      </c>
      <c r="X32" s="1961">
        <f t="shared" si="17"/>
        <v>1.4823408460015455</v>
      </c>
      <c r="Y32" s="2660"/>
    </row>
    <row r="33" spans="1:25" s="2153" customFormat="1" x14ac:dyDescent="0.2">
      <c r="A33" s="2051" t="s">
        <v>136</v>
      </c>
      <c r="B33" s="2442"/>
      <c r="C33" s="1958"/>
      <c r="D33" s="1958"/>
      <c r="E33" s="1958"/>
      <c r="F33" s="1958"/>
      <c r="G33" s="1958"/>
      <c r="H33" s="1958"/>
      <c r="I33" s="1958"/>
      <c r="J33" s="1958"/>
      <c r="K33" s="1958"/>
      <c r="L33" s="1958"/>
      <c r="M33" s="1958"/>
      <c r="N33" s="1958"/>
      <c r="O33" s="1958"/>
      <c r="P33" s="1958"/>
      <c r="Q33" s="1958"/>
      <c r="R33" s="1958"/>
      <c r="S33" s="1958"/>
      <c r="T33" s="1958"/>
      <c r="U33" s="1958"/>
      <c r="V33" s="1958"/>
      <c r="W33" s="1958"/>
      <c r="X33" s="1958"/>
      <c r="Y33" s="2051"/>
    </row>
    <row r="34" spans="1:25" x14ac:dyDescent="0.2">
      <c r="A34" s="2491" t="s">
        <v>1860</v>
      </c>
      <c r="B34" s="2430" t="s">
        <v>950</v>
      </c>
      <c r="C34" s="1961">
        <v>4967.92</v>
      </c>
      <c r="D34" s="1961">
        <v>5144.2299999999996</v>
      </c>
      <c r="E34" s="1961">
        <v>444.26</v>
      </c>
      <c r="F34" s="1961">
        <v>4852.58</v>
      </c>
      <c r="G34" s="1961">
        <v>4696.1400000000003</v>
      </c>
      <c r="H34" s="1961">
        <v>5364.7</v>
      </c>
      <c r="I34" s="1961">
        <v>5364.7</v>
      </c>
      <c r="J34" s="1961">
        <v>4552.68</v>
      </c>
      <c r="K34" s="1961">
        <v>4852.58</v>
      </c>
      <c r="L34" s="1961">
        <v>4509.96</v>
      </c>
      <c r="M34" s="1961">
        <v>5150</v>
      </c>
      <c r="N34" s="1961">
        <v>5150</v>
      </c>
      <c r="O34" s="1961">
        <v>5150</v>
      </c>
      <c r="P34" s="1961">
        <v>5150</v>
      </c>
      <c r="Q34" s="1961">
        <v>5150</v>
      </c>
      <c r="R34" s="1961"/>
      <c r="S34" s="1961">
        <f>объемы!AX43</f>
        <v>5059.084346328933</v>
      </c>
      <c r="T34" s="1961">
        <f>S34</f>
        <v>5059.084346328933</v>
      </c>
      <c r="U34" s="1961">
        <f t="shared" ref="U34:X38" si="18">T34</f>
        <v>5059.084346328933</v>
      </c>
      <c r="V34" s="1961">
        <f t="shared" si="18"/>
        <v>5059.084346328933</v>
      </c>
      <c r="W34" s="1961">
        <f t="shared" si="18"/>
        <v>5059.084346328933</v>
      </c>
      <c r="X34" s="1961">
        <f t="shared" si="18"/>
        <v>5059.084346328933</v>
      </c>
      <c r="Y34" s="2660"/>
    </row>
    <row r="35" spans="1:25" x14ac:dyDescent="0.2">
      <c r="A35" s="2491" t="s">
        <v>50</v>
      </c>
      <c r="B35" s="2430"/>
      <c r="C35" s="1961"/>
      <c r="D35" s="1961"/>
      <c r="E35" s="1961"/>
      <c r="F35" s="1961"/>
      <c r="G35" s="1961"/>
      <c r="H35" s="1961"/>
      <c r="I35" s="1961"/>
      <c r="J35" s="1961"/>
      <c r="K35" s="1961"/>
      <c r="L35" s="1961"/>
      <c r="M35" s="1961"/>
      <c r="N35" s="1961"/>
      <c r="O35" s="1961"/>
      <c r="P35" s="1961"/>
      <c r="Q35" s="1961"/>
      <c r="R35" s="1961"/>
      <c r="S35" s="1961"/>
      <c r="T35" s="1961"/>
      <c r="U35" s="1961"/>
      <c r="V35" s="1961"/>
      <c r="W35" s="1961"/>
      <c r="X35" s="1961"/>
      <c r="Y35" s="2660"/>
    </row>
    <row r="36" spans="1:25" x14ac:dyDescent="0.2">
      <c r="A36" s="2492" t="s">
        <v>1848</v>
      </c>
      <c r="B36" s="2430" t="s">
        <v>950</v>
      </c>
      <c r="C36" s="1961"/>
      <c r="D36" s="1961"/>
      <c r="E36" s="1961"/>
      <c r="F36" s="1961"/>
      <c r="G36" s="1961"/>
      <c r="H36" s="1961"/>
      <c r="I36" s="1961"/>
      <c r="J36" s="1961"/>
      <c r="K36" s="1961"/>
      <c r="L36" s="1961"/>
      <c r="M36" s="1961"/>
      <c r="N36" s="1961"/>
      <c r="O36" s="1961"/>
      <c r="P36" s="1961"/>
      <c r="Q36" s="1961"/>
      <c r="R36" s="1961"/>
      <c r="S36" s="1961">
        <f>объемы!AX43</f>
        <v>5059.084346328933</v>
      </c>
      <c r="T36" s="1961">
        <f>S36</f>
        <v>5059.084346328933</v>
      </c>
      <c r="U36" s="1961">
        <f t="shared" si="18"/>
        <v>5059.084346328933</v>
      </c>
      <c r="V36" s="1961">
        <f t="shared" si="18"/>
        <v>5059.084346328933</v>
      </c>
      <c r="W36" s="1961">
        <f t="shared" si="18"/>
        <v>5059.084346328933</v>
      </c>
      <c r="X36" s="1961">
        <f t="shared" si="18"/>
        <v>5059.084346328933</v>
      </c>
      <c r="Y36" s="2660"/>
    </row>
    <row r="37" spans="1:25" x14ac:dyDescent="0.2">
      <c r="A37" s="2492" t="s">
        <v>1849</v>
      </c>
      <c r="B37" s="2430" t="s">
        <v>950</v>
      </c>
      <c r="C37" s="1961"/>
      <c r="D37" s="1961"/>
      <c r="E37" s="1961"/>
      <c r="F37" s="1961"/>
      <c r="G37" s="1961"/>
      <c r="H37" s="1961"/>
      <c r="I37" s="1961"/>
      <c r="J37" s="1961"/>
      <c r="K37" s="1961"/>
      <c r="L37" s="1961"/>
      <c r="M37" s="1961"/>
      <c r="N37" s="1961"/>
      <c r="O37" s="1961"/>
      <c r="P37" s="1961"/>
      <c r="Q37" s="1961"/>
      <c r="R37" s="1961"/>
      <c r="S37" s="1961">
        <v>0</v>
      </c>
      <c r="T37" s="1961">
        <f>S37</f>
        <v>0</v>
      </c>
      <c r="U37" s="1961">
        <f t="shared" si="18"/>
        <v>0</v>
      </c>
      <c r="V37" s="1961">
        <f t="shared" si="18"/>
        <v>0</v>
      </c>
      <c r="W37" s="1961">
        <f t="shared" si="18"/>
        <v>0</v>
      </c>
      <c r="X37" s="1961">
        <f t="shared" si="18"/>
        <v>0</v>
      </c>
      <c r="Y37" s="2660"/>
    </row>
    <row r="38" spans="1:25" ht="51" x14ac:dyDescent="0.2">
      <c r="A38" s="2491" t="s">
        <v>1861</v>
      </c>
      <c r="B38" s="2430" t="s">
        <v>1854</v>
      </c>
      <c r="C38" s="2498">
        <v>0.249</v>
      </c>
      <c r="D38" s="2498">
        <v>0.29499999999999998</v>
      </c>
      <c r="E38" s="2498">
        <v>0.24199999999999999</v>
      </c>
      <c r="F38" s="2498">
        <v>0.24199999999999999</v>
      </c>
      <c r="G38" s="2498">
        <v>0.24199999999999999</v>
      </c>
      <c r="H38" s="2498">
        <v>0.28799999999999998</v>
      </c>
      <c r="I38" s="2498">
        <v>0.28799999999999998</v>
      </c>
      <c r="J38" s="2498">
        <v>0.24199999999999999</v>
      </c>
      <c r="K38" s="2498">
        <v>0.24199999999999999</v>
      </c>
      <c r="L38" s="2498">
        <v>0.24199999999999999</v>
      </c>
      <c r="M38" s="2498">
        <f>M39/M34</f>
        <v>0.27300000000000002</v>
      </c>
      <c r="N38" s="2498">
        <f t="shared" ref="N38:Q38" si="19">N39/N34</f>
        <v>0.27300000000000002</v>
      </c>
      <c r="O38" s="2498">
        <f t="shared" si="19"/>
        <v>0.27300000000000002</v>
      </c>
      <c r="P38" s="2498">
        <f t="shared" si="19"/>
        <v>0.27300000000000002</v>
      </c>
      <c r="Q38" s="2498">
        <f t="shared" si="19"/>
        <v>0.27300000000000002</v>
      </c>
      <c r="R38" s="2064"/>
      <c r="S38" s="2498">
        <f>I38</f>
        <v>0.28799999999999998</v>
      </c>
      <c r="T38" s="2498">
        <f>S38</f>
        <v>0.28799999999999998</v>
      </c>
      <c r="U38" s="2498">
        <f t="shared" si="18"/>
        <v>0.28799999999999998</v>
      </c>
      <c r="V38" s="2498">
        <f t="shared" si="18"/>
        <v>0.28799999999999998</v>
      </c>
      <c r="W38" s="2498">
        <f t="shared" si="18"/>
        <v>0.28799999999999998</v>
      </c>
      <c r="X38" s="2498">
        <f t="shared" si="18"/>
        <v>0.28799999999999998</v>
      </c>
      <c r="Y38" s="2743" t="s">
        <v>1916</v>
      </c>
    </row>
    <row r="39" spans="1:25" ht="25.5" x14ac:dyDescent="0.2">
      <c r="A39" s="2491" t="s">
        <v>1851</v>
      </c>
      <c r="B39" s="2430" t="s">
        <v>1855</v>
      </c>
      <c r="C39" s="1959">
        <v>1237</v>
      </c>
      <c r="D39" s="1959">
        <v>1516.6</v>
      </c>
      <c r="E39" s="1959">
        <v>1075.5</v>
      </c>
      <c r="F39" s="1959">
        <v>1174.3</v>
      </c>
      <c r="G39" s="1959">
        <v>1136.5</v>
      </c>
      <c r="H39" s="1959">
        <v>1543.2</v>
      </c>
      <c r="I39" s="1959">
        <v>1543.17</v>
      </c>
      <c r="J39" s="1959">
        <f>J34*J38</f>
        <v>1101.74856</v>
      </c>
      <c r="K39" s="1959">
        <v>1174.3240000000001</v>
      </c>
      <c r="L39" s="1959">
        <v>1091.4000000000001</v>
      </c>
      <c r="M39" s="1959">
        <v>1405.95</v>
      </c>
      <c r="N39" s="1959">
        <v>1405.95</v>
      </c>
      <c r="O39" s="1959">
        <v>1405.95</v>
      </c>
      <c r="P39" s="1959">
        <v>1405.95</v>
      </c>
      <c r="Q39" s="1959">
        <v>1405.95</v>
      </c>
      <c r="R39" s="1959"/>
      <c r="S39" s="1959">
        <f>S34*S38</f>
        <v>1457.0162917427326</v>
      </c>
      <c r="T39" s="1959">
        <f t="shared" ref="T39" si="20">T34*T38</f>
        <v>1457.0162917427326</v>
      </c>
      <c r="U39" s="1959">
        <f t="shared" ref="U39" si="21">U34*U38</f>
        <v>1457.0162917427326</v>
      </c>
      <c r="V39" s="1959">
        <f t="shared" ref="V39" si="22">V34*V38</f>
        <v>1457.0162917427326</v>
      </c>
      <c r="W39" s="1959">
        <f t="shared" ref="W39" si="23">W34*W38</f>
        <v>1457.0162917427326</v>
      </c>
      <c r="X39" s="1959">
        <f t="shared" ref="X39" si="24">X34*X38</f>
        <v>1457.0162917427326</v>
      </c>
      <c r="Y39" s="2491"/>
    </row>
    <row r="40" spans="1:25" x14ac:dyDescent="0.2">
      <c r="A40" s="2491" t="s">
        <v>50</v>
      </c>
      <c r="B40" s="2430"/>
      <c r="C40" s="1961"/>
      <c r="D40" s="1961"/>
      <c r="E40" s="1961"/>
      <c r="F40" s="1961"/>
      <c r="G40" s="1961"/>
      <c r="H40" s="1961"/>
      <c r="I40" s="1961"/>
      <c r="J40" s="1961"/>
      <c r="K40" s="1961"/>
      <c r="L40" s="1961"/>
      <c r="M40" s="1961"/>
      <c r="N40" s="1961"/>
      <c r="O40" s="1961"/>
      <c r="P40" s="1961"/>
      <c r="Q40" s="1961"/>
      <c r="R40" s="1961"/>
      <c r="S40" s="1961"/>
      <c r="T40" s="1961"/>
      <c r="U40" s="1961"/>
      <c r="V40" s="1961"/>
      <c r="W40" s="1961"/>
      <c r="X40" s="1961"/>
      <c r="Y40" s="2660"/>
    </row>
    <row r="41" spans="1:25" x14ac:dyDescent="0.2">
      <c r="A41" s="2492" t="s">
        <v>1848</v>
      </c>
      <c r="B41" s="2430" t="s">
        <v>1855</v>
      </c>
      <c r="C41" s="1961"/>
      <c r="D41" s="1961"/>
      <c r="E41" s="1961"/>
      <c r="F41" s="1961"/>
      <c r="G41" s="1961"/>
      <c r="H41" s="1961"/>
      <c r="I41" s="1961"/>
      <c r="J41" s="1961">
        <f>J39</f>
        <v>1101.74856</v>
      </c>
      <c r="K41" s="1961"/>
      <c r="L41" s="1961"/>
      <c r="M41" s="1961"/>
      <c r="N41" s="1961"/>
      <c r="O41" s="1961"/>
      <c r="P41" s="1961"/>
      <c r="Q41" s="1961"/>
      <c r="R41" s="1961"/>
      <c r="S41" s="1961">
        <f>S36*S38</f>
        <v>1457.0162917427326</v>
      </c>
      <c r="T41" s="1961">
        <f t="shared" ref="T41:X41" si="25">T36*T38</f>
        <v>1457.0162917427326</v>
      </c>
      <c r="U41" s="1961">
        <f t="shared" si="25"/>
        <v>1457.0162917427326</v>
      </c>
      <c r="V41" s="1961">
        <f t="shared" si="25"/>
        <v>1457.0162917427326</v>
      </c>
      <c r="W41" s="1961">
        <f t="shared" si="25"/>
        <v>1457.0162917427326</v>
      </c>
      <c r="X41" s="1961">
        <f t="shared" si="25"/>
        <v>1457.0162917427326</v>
      </c>
      <c r="Y41" s="2660"/>
    </row>
    <row r="42" spans="1:25" x14ac:dyDescent="0.2">
      <c r="A42" s="2492" t="s">
        <v>1849</v>
      </c>
      <c r="B42" s="2430" t="s">
        <v>1855</v>
      </c>
      <c r="C42" s="1961"/>
      <c r="D42" s="1961"/>
      <c r="E42" s="1961"/>
      <c r="F42" s="1961"/>
      <c r="G42" s="1961"/>
      <c r="H42" s="1961"/>
      <c r="I42" s="1961"/>
      <c r="J42" s="1961">
        <v>0</v>
      </c>
      <c r="K42" s="1961"/>
      <c r="L42" s="1961"/>
      <c r="M42" s="1961"/>
      <c r="N42" s="1961"/>
      <c r="O42" s="1961"/>
      <c r="P42" s="1961"/>
      <c r="Q42" s="1961"/>
      <c r="R42" s="1961"/>
      <c r="S42" s="1961">
        <f>S37*S38</f>
        <v>0</v>
      </c>
      <c r="T42" s="1961">
        <f t="shared" ref="T42:X42" si="26">T37*T38</f>
        <v>0</v>
      </c>
      <c r="U42" s="1961">
        <f t="shared" si="26"/>
        <v>0</v>
      </c>
      <c r="V42" s="1961">
        <f t="shared" si="26"/>
        <v>0</v>
      </c>
      <c r="W42" s="1961">
        <f t="shared" si="26"/>
        <v>0</v>
      </c>
      <c r="X42" s="1961">
        <f t="shared" si="26"/>
        <v>0</v>
      </c>
      <c r="Y42" s="2660"/>
    </row>
    <row r="43" spans="1:25" ht="38.25" x14ac:dyDescent="0.2">
      <c r="A43" s="2491" t="s">
        <v>1852</v>
      </c>
      <c r="B43" s="2430" t="s">
        <v>1856</v>
      </c>
      <c r="C43" s="2495">
        <v>4.3460000000000001</v>
      </c>
      <c r="D43" s="2495">
        <v>5.62</v>
      </c>
      <c r="E43" s="2495">
        <v>5.62</v>
      </c>
      <c r="F43" s="2495">
        <v>4.633</v>
      </c>
      <c r="G43" s="2495">
        <v>4.3099999999999996</v>
      </c>
      <c r="H43" s="2495">
        <v>4.6825000000000001</v>
      </c>
      <c r="I43" s="2495">
        <f>I44/I39</f>
        <v>4.7099995463882784</v>
      </c>
      <c r="J43" s="2495">
        <f>I43</f>
        <v>4.7099995463882784</v>
      </c>
      <c r="K43" s="2495">
        <v>4.9429999999999996</v>
      </c>
      <c r="L43" s="2495">
        <v>4.6139999999999999</v>
      </c>
      <c r="M43" s="2495">
        <v>5.3609999999999998</v>
      </c>
      <c r="N43" s="2495">
        <v>5.7359999999999998</v>
      </c>
      <c r="O43" s="2495">
        <v>6.1379999999999999</v>
      </c>
      <c r="P43" s="2495">
        <v>6.5670000000000002</v>
      </c>
      <c r="Q43" s="2495">
        <v>7.0270000000000001</v>
      </c>
      <c r="R43" s="2495"/>
      <c r="S43" s="2495">
        <f>S27</f>
        <v>5.2949999999999999</v>
      </c>
      <c r="T43" s="2495">
        <f>S43*1.042</f>
        <v>5.5173899999999998</v>
      </c>
      <c r="U43" s="2495">
        <f>T43*1.04</f>
        <v>5.7380855999999998</v>
      </c>
      <c r="V43" s="2495">
        <f>U43*1.04</f>
        <v>5.9676090239999997</v>
      </c>
      <c r="W43" s="2495">
        <f>V43*1.039</f>
        <v>6.2003457759359994</v>
      </c>
      <c r="X43" s="2495">
        <f>W43*1.039</f>
        <v>6.4421592611975029</v>
      </c>
      <c r="Y43" s="2747" t="s">
        <v>1930</v>
      </c>
    </row>
    <row r="44" spans="1:25" ht="25.5" x14ac:dyDescent="0.2">
      <c r="A44" s="2491" t="s">
        <v>1862</v>
      </c>
      <c r="B44" s="2430" t="s">
        <v>915</v>
      </c>
      <c r="C44" s="1959">
        <v>5376.31</v>
      </c>
      <c r="D44" s="1959">
        <v>8522.8700000000008</v>
      </c>
      <c r="E44" s="1959">
        <v>6044.37</v>
      </c>
      <c r="F44" s="1959">
        <v>5440.71</v>
      </c>
      <c r="G44" s="1959">
        <v>4900.22</v>
      </c>
      <c r="H44" s="1959">
        <v>7225.88</v>
      </c>
      <c r="I44" s="1959">
        <v>7268.33</v>
      </c>
      <c r="J44" s="1959">
        <f>J43*J39</f>
        <v>5189.2352178339388</v>
      </c>
      <c r="K44" s="1959">
        <v>5805.24</v>
      </c>
      <c r="L44" s="1959">
        <v>5035.26</v>
      </c>
      <c r="M44" s="1959">
        <v>7537.29</v>
      </c>
      <c r="N44" s="1959">
        <v>8064.9</v>
      </c>
      <c r="O44" s="1959">
        <v>8629.44</v>
      </c>
      <c r="P44" s="1959">
        <v>9233.5</v>
      </c>
      <c r="Q44" s="1959">
        <v>9879.85</v>
      </c>
      <c r="R44" s="1959"/>
      <c r="S44" s="1959">
        <f>S39*S43</f>
        <v>7714.901264777769</v>
      </c>
      <c r="T44" s="1959">
        <f t="shared" ref="T44" si="27">T39*T43</f>
        <v>8038.9271178984354</v>
      </c>
      <c r="U44" s="1959">
        <f t="shared" ref="U44" si="28">U39*U43</f>
        <v>8360.4842026143724</v>
      </c>
      <c r="V44" s="1959">
        <f t="shared" ref="V44" si="29">V39*V43</f>
        <v>8694.9035707189469</v>
      </c>
      <c r="W44" s="1959">
        <f t="shared" ref="W44" si="30">W39*W43</f>
        <v>9034.0048099769865</v>
      </c>
      <c r="X44" s="1959">
        <f t="shared" ref="X44" si="31">X39*X43</f>
        <v>9386.3309975660886</v>
      </c>
      <c r="Y44" s="2491"/>
    </row>
    <row r="45" spans="1:25" x14ac:dyDescent="0.2">
      <c r="A45" s="2491" t="s">
        <v>50</v>
      </c>
      <c r="B45" s="2430"/>
      <c r="C45" s="1961"/>
      <c r="D45" s="1961"/>
      <c r="E45" s="1961"/>
      <c r="F45" s="1961"/>
      <c r="G45" s="1961"/>
      <c r="H45" s="1961"/>
      <c r="I45" s="1961"/>
      <c r="J45" s="1961"/>
      <c r="K45" s="1961"/>
      <c r="L45" s="1961"/>
      <c r="M45" s="1961"/>
      <c r="N45" s="1961"/>
      <c r="O45" s="1961"/>
      <c r="P45" s="1961"/>
      <c r="Q45" s="1961"/>
      <c r="R45" s="1961"/>
      <c r="S45" s="1961"/>
      <c r="T45" s="1961"/>
      <c r="U45" s="1961"/>
      <c r="V45" s="1961"/>
      <c r="W45" s="1961"/>
      <c r="X45" s="1961"/>
      <c r="Y45" s="2660"/>
    </row>
    <row r="46" spans="1:25" x14ac:dyDescent="0.2">
      <c r="A46" s="2492" t="s">
        <v>1848</v>
      </c>
      <c r="B46" s="2430" t="s">
        <v>915</v>
      </c>
      <c r="C46" s="1961"/>
      <c r="D46" s="1961"/>
      <c r="E46" s="1961"/>
      <c r="F46" s="1961"/>
      <c r="G46" s="1961"/>
      <c r="H46" s="1961"/>
      <c r="I46" s="1961"/>
      <c r="J46" s="1961">
        <f>J44</f>
        <v>5189.2352178339388</v>
      </c>
      <c r="K46" s="1961"/>
      <c r="L46" s="1961"/>
      <c r="M46" s="1961"/>
      <c r="N46" s="1961"/>
      <c r="O46" s="1961"/>
      <c r="P46" s="1961"/>
      <c r="Q46" s="1961"/>
      <c r="R46" s="1961"/>
      <c r="S46" s="1961">
        <f>S41*S43</f>
        <v>7714.901264777769</v>
      </c>
      <c r="T46" s="1961">
        <f t="shared" ref="T46:X46" si="32">T41*T43</f>
        <v>8038.9271178984354</v>
      </c>
      <c r="U46" s="1961">
        <f t="shared" si="32"/>
        <v>8360.4842026143724</v>
      </c>
      <c r="V46" s="1961">
        <f t="shared" si="32"/>
        <v>8694.9035707189469</v>
      </c>
      <c r="W46" s="1961">
        <f t="shared" si="32"/>
        <v>9034.0048099769865</v>
      </c>
      <c r="X46" s="1961">
        <f t="shared" si="32"/>
        <v>9386.3309975660886</v>
      </c>
      <c r="Y46" s="2660"/>
    </row>
    <row r="47" spans="1:25" x14ac:dyDescent="0.2">
      <c r="A47" s="2492" t="s">
        <v>1849</v>
      </c>
      <c r="B47" s="2430" t="s">
        <v>915</v>
      </c>
      <c r="C47" s="1961"/>
      <c r="D47" s="1961"/>
      <c r="E47" s="1961"/>
      <c r="F47" s="1961"/>
      <c r="G47" s="1961"/>
      <c r="H47" s="1961"/>
      <c r="I47" s="1961"/>
      <c r="J47" s="1961"/>
      <c r="K47" s="1961"/>
      <c r="L47" s="1961"/>
      <c r="M47" s="1961"/>
      <c r="N47" s="1961"/>
      <c r="O47" s="1961"/>
      <c r="P47" s="1961"/>
      <c r="Q47" s="1961"/>
      <c r="R47" s="1961"/>
      <c r="S47" s="1961">
        <f>S42*S43</f>
        <v>0</v>
      </c>
      <c r="T47" s="1961">
        <f t="shared" ref="T47:X47" si="33">T42*T43</f>
        <v>0</v>
      </c>
      <c r="U47" s="1961">
        <f t="shared" si="33"/>
        <v>0</v>
      </c>
      <c r="V47" s="1961">
        <f t="shared" si="33"/>
        <v>0</v>
      </c>
      <c r="W47" s="1961">
        <f t="shared" si="33"/>
        <v>0</v>
      </c>
      <c r="X47" s="1961">
        <f t="shared" si="33"/>
        <v>0</v>
      </c>
      <c r="Y47" s="2660"/>
    </row>
    <row r="48" spans="1:25" ht="25.5" x14ac:dyDescent="0.2">
      <c r="A48" s="2491" t="s">
        <v>1862</v>
      </c>
      <c r="B48" s="2430" t="s">
        <v>915</v>
      </c>
      <c r="C48" s="1959">
        <f t="shared" ref="C48:R48" si="34">C19+C44</f>
        <v>9240.94</v>
      </c>
      <c r="D48" s="1959">
        <f t="shared" si="34"/>
        <v>10452.76</v>
      </c>
      <c r="E48" s="1959">
        <f t="shared" si="34"/>
        <v>7751.17</v>
      </c>
      <c r="F48" s="1959">
        <f t="shared" si="34"/>
        <v>9476.69</v>
      </c>
      <c r="G48" s="1959">
        <f t="shared" si="34"/>
        <v>8799.36</v>
      </c>
      <c r="H48" s="1959">
        <f t="shared" si="34"/>
        <v>11354.08</v>
      </c>
      <c r="I48" s="1959">
        <f t="shared" si="34"/>
        <v>11421.79</v>
      </c>
      <c r="J48" s="1959">
        <f t="shared" si="34"/>
        <v>8669.4112580471829</v>
      </c>
      <c r="K48" s="1959">
        <f t="shared" si="34"/>
        <v>10111.628000000001</v>
      </c>
      <c r="L48" s="1959">
        <f t="shared" si="34"/>
        <v>9024.2900000000009</v>
      </c>
      <c r="M48" s="1959">
        <f t="shared" si="34"/>
        <v>11658.55</v>
      </c>
      <c r="N48" s="1959">
        <f t="shared" si="34"/>
        <v>12474.65</v>
      </c>
      <c r="O48" s="1959">
        <f t="shared" si="34"/>
        <v>13347.880000000001</v>
      </c>
      <c r="P48" s="1959">
        <f t="shared" si="34"/>
        <v>14282.23</v>
      </c>
      <c r="Q48" s="1959">
        <f t="shared" si="34"/>
        <v>15281.990000000002</v>
      </c>
      <c r="R48" s="1959">
        <f t="shared" si="34"/>
        <v>0</v>
      </c>
      <c r="S48" s="1959">
        <f>S29+S44</f>
        <v>13328.49992347329</v>
      </c>
      <c r="T48" s="1959">
        <f t="shared" ref="T48:X48" si="35">T29+T44</f>
        <v>13888.296920259168</v>
      </c>
      <c r="U48" s="1959">
        <f t="shared" si="35"/>
        <v>14443.828797069535</v>
      </c>
      <c r="V48" s="1959">
        <f t="shared" si="35"/>
        <v>15021.581948952315</v>
      </c>
      <c r="W48" s="1959">
        <f t="shared" si="35"/>
        <v>15607.423644961456</v>
      </c>
      <c r="X48" s="1959">
        <f t="shared" si="35"/>
        <v>16216.113167114952</v>
      </c>
      <c r="Y48" s="2491"/>
    </row>
    <row r="49" spans="1:25" x14ac:dyDescent="0.2">
      <c r="A49" s="2491" t="s">
        <v>50</v>
      </c>
      <c r="B49" s="2430"/>
      <c r="C49" s="1961"/>
      <c r="D49" s="1961"/>
      <c r="E49" s="1961"/>
      <c r="F49" s="1961"/>
      <c r="G49" s="1961"/>
      <c r="H49" s="1961"/>
      <c r="I49" s="1961"/>
      <c r="J49" s="1961"/>
      <c r="K49" s="1961"/>
      <c r="L49" s="1961"/>
      <c r="M49" s="1961"/>
      <c r="N49" s="1961"/>
      <c r="O49" s="1961"/>
      <c r="P49" s="1961"/>
      <c r="Q49" s="1961"/>
      <c r="R49" s="1961"/>
      <c r="S49" s="1961"/>
      <c r="T49" s="1961"/>
      <c r="U49" s="1961"/>
      <c r="V49" s="1961"/>
      <c r="W49" s="1961"/>
      <c r="X49" s="1961"/>
      <c r="Y49" s="2660"/>
    </row>
    <row r="50" spans="1:25" x14ac:dyDescent="0.2">
      <c r="A50" s="2492" t="s">
        <v>1848</v>
      </c>
      <c r="B50" s="2430" t="s">
        <v>915</v>
      </c>
      <c r="C50" s="1961"/>
      <c r="D50" s="1961"/>
      <c r="E50" s="1961"/>
      <c r="F50" s="1961"/>
      <c r="G50" s="1961"/>
      <c r="H50" s="1961"/>
      <c r="I50" s="1961"/>
      <c r="J50" s="1961">
        <f>J21+J46</f>
        <v>8668.4926037400128</v>
      </c>
      <c r="K50" s="1961"/>
      <c r="L50" s="1961"/>
      <c r="M50" s="1961"/>
      <c r="N50" s="1961"/>
      <c r="O50" s="1961"/>
      <c r="P50" s="1961"/>
      <c r="Q50" s="1961"/>
      <c r="R50" s="1961"/>
      <c r="S50" s="1961">
        <f>S31+S46</f>
        <v>13327.281543973289</v>
      </c>
      <c r="T50" s="1961">
        <f t="shared" ref="T50:X50" si="36">T31+T46</f>
        <v>13887.027368820167</v>
      </c>
      <c r="U50" s="1961">
        <f t="shared" si="36"/>
        <v>14442.508463572973</v>
      </c>
      <c r="V50" s="1961">
        <f t="shared" si="36"/>
        <v>15020.208802115892</v>
      </c>
      <c r="W50" s="1961">
        <f t="shared" si="36"/>
        <v>15605.996945398412</v>
      </c>
      <c r="X50" s="1961">
        <f t="shared" si="36"/>
        <v>16214.630826268951</v>
      </c>
      <c r="Y50" s="2660"/>
    </row>
    <row r="51" spans="1:25" x14ac:dyDescent="0.2">
      <c r="A51" s="2492" t="s">
        <v>1849</v>
      </c>
      <c r="B51" s="2430" t="s">
        <v>915</v>
      </c>
      <c r="C51" s="1961"/>
      <c r="D51" s="1961"/>
      <c r="E51" s="1961"/>
      <c r="F51" s="1961"/>
      <c r="G51" s="1961"/>
      <c r="H51" s="1961"/>
      <c r="I51" s="1961"/>
      <c r="J51" s="1961">
        <f>J22</f>
        <v>1.034007169528822</v>
      </c>
      <c r="K51" s="1961"/>
      <c r="L51" s="1961"/>
      <c r="M51" s="1961"/>
      <c r="N51" s="1961"/>
      <c r="O51" s="1961"/>
      <c r="P51" s="1961"/>
      <c r="Q51" s="1961"/>
      <c r="R51" s="1961"/>
      <c r="S51" s="1961">
        <f>S32+S47</f>
        <v>1.2183794999999999</v>
      </c>
      <c r="T51" s="1961">
        <f t="shared" ref="T51:X51" si="37">T32+T47</f>
        <v>1.269551439</v>
      </c>
      <c r="U51" s="1961">
        <f t="shared" si="37"/>
        <v>1.32033349656</v>
      </c>
      <c r="V51" s="1961">
        <f t="shared" si="37"/>
        <v>1.3731468364224</v>
      </c>
      <c r="W51" s="1961">
        <f t="shared" si="37"/>
        <v>1.4266995630428734</v>
      </c>
      <c r="X51" s="1961">
        <f t="shared" si="37"/>
        <v>1.4823408460015455</v>
      </c>
      <c r="Y51" s="2660"/>
    </row>
    <row r="52" spans="1:25" x14ac:dyDescent="0.2"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</row>
  </sheetData>
  <mergeCells count="11">
    <mergeCell ref="A2:Y2"/>
    <mergeCell ref="A4:A6"/>
    <mergeCell ref="B4:B6"/>
    <mergeCell ref="C4:L4"/>
    <mergeCell ref="M4:X4"/>
    <mergeCell ref="M6:R6"/>
    <mergeCell ref="S6:X6"/>
    <mergeCell ref="C5:E5"/>
    <mergeCell ref="F5:J5"/>
    <mergeCell ref="K5:L5"/>
    <mergeCell ref="Y4:Y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A46"/>
  <sheetViews>
    <sheetView topLeftCell="C16" workbookViewId="0">
      <selection activeCell="S33" sqref="S33"/>
    </sheetView>
  </sheetViews>
  <sheetFormatPr defaultRowHeight="12.75" x14ac:dyDescent="0.2"/>
  <cols>
    <col min="1" max="1" width="32" style="2489" customWidth="1"/>
    <col min="2" max="2" width="12.7109375" style="2093" customWidth="1"/>
    <col min="3" max="3" width="11.85546875" style="5" customWidth="1"/>
    <col min="4" max="4" width="12.140625" style="5" customWidth="1"/>
    <col min="5" max="5" width="12.7109375" style="5" customWidth="1"/>
    <col min="6" max="6" width="12.28515625" style="5" customWidth="1"/>
    <col min="7" max="7" width="11" style="5" customWidth="1"/>
    <col min="8" max="9" width="12.42578125" style="5" customWidth="1"/>
    <col min="10" max="10" width="15" style="5" customWidth="1"/>
    <col min="11" max="11" width="12.5703125" style="5" customWidth="1"/>
    <col min="12" max="12" width="14.140625" style="5" customWidth="1"/>
    <col min="13" max="13" width="10.7109375" style="5" customWidth="1"/>
    <col min="14" max="17" width="9.140625" style="5"/>
    <col min="18" max="18" width="10.7109375" style="5" hidden="1" customWidth="1"/>
    <col min="19" max="20" width="10.7109375" style="5" customWidth="1"/>
    <col min="21" max="24" width="9.140625" style="5"/>
    <col min="25" max="25" width="27.7109375" style="2489" customWidth="1"/>
    <col min="26" max="16384" width="9.140625" style="5"/>
  </cols>
  <sheetData>
    <row r="2" spans="1:27" ht="15.75" x14ac:dyDescent="0.25">
      <c r="A2" s="4225" t="s">
        <v>1934</v>
      </c>
      <c r="B2" s="4225"/>
      <c r="C2" s="4225"/>
      <c r="D2" s="4225"/>
      <c r="E2" s="4225"/>
      <c r="F2" s="4225"/>
      <c r="G2" s="4225"/>
      <c r="H2" s="4225"/>
      <c r="I2" s="4225"/>
      <c r="J2" s="4225"/>
      <c r="K2" s="4225"/>
      <c r="L2" s="4225"/>
      <c r="M2" s="4225"/>
      <c r="N2" s="4225"/>
      <c r="O2" s="4225"/>
      <c r="P2" s="4225"/>
      <c r="Q2" s="4225"/>
      <c r="R2" s="4225"/>
      <c r="S2" s="4225"/>
      <c r="T2" s="4225"/>
      <c r="U2" s="4225"/>
      <c r="V2" s="4225"/>
      <c r="W2" s="4225"/>
      <c r="X2" s="4225"/>
      <c r="Y2" s="4225"/>
    </row>
    <row r="4" spans="1:27" x14ac:dyDescent="0.2">
      <c r="A4" s="3960" t="s">
        <v>536</v>
      </c>
      <c r="B4" s="3971" t="s">
        <v>333</v>
      </c>
      <c r="C4" s="3970" t="s">
        <v>1859</v>
      </c>
      <c r="D4" s="3970"/>
      <c r="E4" s="3970"/>
      <c r="F4" s="3970"/>
      <c r="G4" s="3970"/>
      <c r="H4" s="3970"/>
      <c r="I4" s="3970"/>
      <c r="J4" s="3970"/>
      <c r="K4" s="3970"/>
      <c r="L4" s="3970"/>
      <c r="M4" s="3970" t="s">
        <v>1817</v>
      </c>
      <c r="N4" s="3970"/>
      <c r="O4" s="3970"/>
      <c r="P4" s="3970"/>
      <c r="Q4" s="3970"/>
      <c r="R4" s="3970"/>
      <c r="S4" s="3970"/>
      <c r="T4" s="3970"/>
      <c r="U4" s="3970"/>
      <c r="V4" s="3970"/>
      <c r="W4" s="3970"/>
      <c r="X4" s="4232"/>
      <c r="Y4" s="4229" t="s">
        <v>243</v>
      </c>
    </row>
    <row r="5" spans="1:27" x14ac:dyDescent="0.2">
      <c r="A5" s="3960"/>
      <c r="B5" s="3971"/>
      <c r="C5" s="3970" t="s">
        <v>829</v>
      </c>
      <c r="D5" s="3970"/>
      <c r="E5" s="3970"/>
      <c r="F5" s="3970" t="s">
        <v>908</v>
      </c>
      <c r="G5" s="3970"/>
      <c r="H5" s="3970"/>
      <c r="I5" s="3970"/>
      <c r="J5" s="3970"/>
      <c r="K5" s="3970" t="s">
        <v>909</v>
      </c>
      <c r="L5" s="3970"/>
      <c r="M5" s="2546" t="s">
        <v>1819</v>
      </c>
      <c r="N5" s="2546" t="s">
        <v>1825</v>
      </c>
      <c r="O5" s="2546" t="s">
        <v>1826</v>
      </c>
      <c r="P5" s="2546" t="s">
        <v>1827</v>
      </c>
      <c r="Q5" s="2546" t="s">
        <v>1828</v>
      </c>
      <c r="R5" s="2546" t="s">
        <v>1829</v>
      </c>
      <c r="S5" s="2546" t="s">
        <v>1819</v>
      </c>
      <c r="T5" s="2546" t="s">
        <v>1825</v>
      </c>
      <c r="U5" s="2546" t="s">
        <v>1826</v>
      </c>
      <c r="V5" s="2546" t="s">
        <v>1827</v>
      </c>
      <c r="W5" s="2546" t="s">
        <v>1828</v>
      </c>
      <c r="X5" s="2735" t="s">
        <v>1829</v>
      </c>
      <c r="Y5" s="4230"/>
    </row>
    <row r="6" spans="1:27" s="2093" customFormat="1" x14ac:dyDescent="0.2">
      <c r="A6" s="3960"/>
      <c r="B6" s="3971"/>
      <c r="C6" s="2544" t="s">
        <v>1602</v>
      </c>
      <c r="D6" s="2546" t="s">
        <v>1857</v>
      </c>
      <c r="E6" s="2546" t="s">
        <v>1844</v>
      </c>
      <c r="F6" s="2544" t="s">
        <v>1602</v>
      </c>
      <c r="G6" s="2546" t="s">
        <v>1858</v>
      </c>
      <c r="H6" s="2546" t="s">
        <v>1857</v>
      </c>
      <c r="I6" s="2546" t="s">
        <v>1931</v>
      </c>
      <c r="J6" s="2546" t="s">
        <v>1844</v>
      </c>
      <c r="K6" s="2544" t="s">
        <v>1602</v>
      </c>
      <c r="L6" s="2546" t="s">
        <v>1858</v>
      </c>
      <c r="M6" s="3971" t="s">
        <v>122</v>
      </c>
      <c r="N6" s="3971"/>
      <c r="O6" s="3971"/>
      <c r="P6" s="3971"/>
      <c r="Q6" s="3971"/>
      <c r="R6" s="3971"/>
      <c r="S6" s="3971" t="s">
        <v>1537</v>
      </c>
      <c r="T6" s="3971"/>
      <c r="U6" s="3971"/>
      <c r="V6" s="3971"/>
      <c r="W6" s="3971"/>
      <c r="X6" s="4226"/>
      <c r="Y6" s="4231"/>
    </row>
    <row r="7" spans="1:27" x14ac:dyDescent="0.2">
      <c r="A7" s="2491" t="s">
        <v>1846</v>
      </c>
      <c r="B7" s="2546"/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2827"/>
      <c r="Y7" s="2491"/>
    </row>
    <row r="8" spans="1:27" s="2151" customFormat="1" x14ac:dyDescent="0.2">
      <c r="A8" s="2051" t="s">
        <v>1935</v>
      </c>
      <c r="B8" s="2548"/>
      <c r="C8" s="1958"/>
      <c r="D8" s="1958"/>
      <c r="E8" s="1958"/>
      <c r="F8" s="1958"/>
      <c r="G8" s="1958"/>
      <c r="H8" s="1958"/>
      <c r="I8" s="1958"/>
      <c r="J8" s="1958"/>
      <c r="K8" s="1958"/>
      <c r="L8" s="1958"/>
      <c r="M8" s="1958"/>
      <c r="N8" s="1958"/>
      <c r="O8" s="1958"/>
      <c r="P8" s="1958"/>
      <c r="Q8" s="1958"/>
      <c r="R8" s="1958"/>
      <c r="S8" s="1958"/>
      <c r="T8" s="1958"/>
      <c r="U8" s="1958"/>
      <c r="V8" s="1958"/>
      <c r="W8" s="1958"/>
      <c r="X8" s="2652"/>
      <c r="Y8" s="2051"/>
    </row>
    <row r="9" spans="1:27" x14ac:dyDescent="0.2">
      <c r="A9" s="2491" t="s">
        <v>1936</v>
      </c>
      <c r="B9" s="2546" t="s">
        <v>950</v>
      </c>
      <c r="C9" s="1961">
        <v>3463.93</v>
      </c>
      <c r="D9" s="1961">
        <v>3061.49</v>
      </c>
      <c r="E9" s="1961">
        <v>3061.19</v>
      </c>
      <c r="F9" s="1961">
        <f>C9</f>
        <v>3463.93</v>
      </c>
      <c r="G9" s="1961">
        <v>3295.75</v>
      </c>
      <c r="H9" s="1961">
        <v>3197.32</v>
      </c>
      <c r="I9" s="1961">
        <v>3196.36</v>
      </c>
      <c r="J9" s="1961">
        <f>'ЭЭ стоки'!J11+'ЭЭ стоки'!J12</f>
        <v>3197.3199999999997</v>
      </c>
      <c r="K9" s="1961">
        <f>F9</f>
        <v>3463.93</v>
      </c>
      <c r="L9" s="1961">
        <v>3248.93</v>
      </c>
      <c r="M9" s="1961">
        <v>3248.93</v>
      </c>
      <c r="N9" s="1961">
        <v>3253</v>
      </c>
      <c r="O9" s="1961">
        <f t="shared" ref="O9:Q9" si="0">N9</f>
        <v>3253</v>
      </c>
      <c r="P9" s="1961">
        <f t="shared" si="0"/>
        <v>3253</v>
      </c>
      <c r="Q9" s="1961">
        <f t="shared" si="0"/>
        <v>3253</v>
      </c>
      <c r="R9" s="1961"/>
      <c r="S9" s="1961">
        <f>S11+S12</f>
        <v>3020.0036431580988</v>
      </c>
      <c r="T9" s="1961">
        <f t="shared" ref="T9:X9" si="1">T11+T12</f>
        <v>3020.0036431580988</v>
      </c>
      <c r="U9" s="1961">
        <f t="shared" si="1"/>
        <v>3020.0036431580988</v>
      </c>
      <c r="V9" s="1961">
        <f t="shared" si="1"/>
        <v>3020.0036431580988</v>
      </c>
      <c r="W9" s="1961">
        <f t="shared" si="1"/>
        <v>3020.0036431580988</v>
      </c>
      <c r="X9" s="2828">
        <f t="shared" si="1"/>
        <v>3020.0036431580988</v>
      </c>
      <c r="Y9" s="2660"/>
    </row>
    <row r="10" spans="1:27" x14ac:dyDescent="0.2">
      <c r="A10" s="2491" t="s">
        <v>50</v>
      </c>
      <c r="B10" s="2546"/>
      <c r="C10" s="1961"/>
      <c r="D10" s="1961"/>
      <c r="E10" s="1961"/>
      <c r="F10" s="1961"/>
      <c r="G10" s="1961"/>
      <c r="H10" s="1961"/>
      <c r="I10" s="1961"/>
      <c r="J10" s="1961"/>
      <c r="K10" s="1961"/>
      <c r="L10" s="1961"/>
      <c r="M10" s="1961"/>
      <c r="N10" s="1961"/>
      <c r="O10" s="1961"/>
      <c r="P10" s="1961"/>
      <c r="Q10" s="1961"/>
      <c r="R10" s="1961"/>
      <c r="S10" s="1961"/>
      <c r="T10" s="1961"/>
      <c r="U10" s="1961"/>
      <c r="V10" s="1961"/>
      <c r="W10" s="1961"/>
      <c r="X10" s="2828"/>
      <c r="Y10" s="2660"/>
    </row>
    <row r="11" spans="1:27" s="2091" customFormat="1" x14ac:dyDescent="0.2">
      <c r="A11" s="2492" t="s">
        <v>1937</v>
      </c>
      <c r="B11" s="2546" t="s">
        <v>950</v>
      </c>
      <c r="C11" s="1961"/>
      <c r="D11" s="1961"/>
      <c r="E11" s="1961"/>
      <c r="F11" s="1961"/>
      <c r="G11" s="1961"/>
      <c r="H11" s="1961"/>
      <c r="I11" s="1961"/>
      <c r="J11" s="1961">
        <f>объемы!AP59+объемы!AP60</f>
        <v>3178.1</v>
      </c>
      <c r="K11" s="1961"/>
      <c r="L11" s="1961"/>
      <c r="M11" s="1961"/>
      <c r="N11" s="1961"/>
      <c r="O11" s="1961"/>
      <c r="P11" s="1961"/>
      <c r="Q11" s="1961"/>
      <c r="R11" s="1961"/>
      <c r="S11" s="1961">
        <f>объемы!AX58</f>
        <v>3002.3369764914323</v>
      </c>
      <c r="T11" s="1961">
        <f>S11</f>
        <v>3002.3369764914323</v>
      </c>
      <c r="U11" s="1961">
        <f t="shared" ref="U11:X13" si="2">T11</f>
        <v>3002.3369764914323</v>
      </c>
      <c r="V11" s="1961">
        <f t="shared" si="2"/>
        <v>3002.3369764914323</v>
      </c>
      <c r="W11" s="1961">
        <f t="shared" si="2"/>
        <v>3002.3369764914323</v>
      </c>
      <c r="X11" s="2828">
        <f t="shared" si="2"/>
        <v>3002.3369764914323</v>
      </c>
      <c r="Y11" s="2744"/>
    </row>
    <row r="12" spans="1:27" s="2091" customFormat="1" x14ac:dyDescent="0.2">
      <c r="A12" s="2492" t="s">
        <v>1938</v>
      </c>
      <c r="B12" s="2546" t="s">
        <v>950</v>
      </c>
      <c r="C12" s="1961"/>
      <c r="D12" s="1961"/>
      <c r="E12" s="1961"/>
      <c r="F12" s="1961"/>
      <c r="G12" s="1961"/>
      <c r="H12" s="1961"/>
      <c r="I12" s="1961"/>
      <c r="J12" s="1961">
        <f>объемы!AQ58</f>
        <v>19.22</v>
      </c>
      <c r="K12" s="1961"/>
      <c r="L12" s="1961"/>
      <c r="M12" s="1961"/>
      <c r="N12" s="1961"/>
      <c r="O12" s="1961"/>
      <c r="P12" s="1961"/>
      <c r="Q12" s="1961"/>
      <c r="R12" s="1961"/>
      <c r="S12" s="1961">
        <f>объемы!AY58</f>
        <v>17.666666666666668</v>
      </c>
      <c r="T12" s="1961">
        <f>S12</f>
        <v>17.666666666666668</v>
      </c>
      <c r="U12" s="1961">
        <f t="shared" si="2"/>
        <v>17.666666666666668</v>
      </c>
      <c r="V12" s="1961">
        <f t="shared" si="2"/>
        <v>17.666666666666668</v>
      </c>
      <c r="W12" s="1961">
        <f t="shared" si="2"/>
        <v>17.666666666666668</v>
      </c>
      <c r="X12" s="2828">
        <f t="shared" si="2"/>
        <v>17.666666666666668</v>
      </c>
      <c r="Y12" s="2744"/>
    </row>
    <row r="13" spans="1:27" ht="63.75" x14ac:dyDescent="0.2">
      <c r="A13" s="2491" t="s">
        <v>1939</v>
      </c>
      <c r="B13" s="2546" t="s">
        <v>1854</v>
      </c>
      <c r="C13" s="2498">
        <v>8.4000000000000005E-2</v>
      </c>
      <c r="D13" s="2498">
        <v>9.1999999999999998E-2</v>
      </c>
      <c r="E13" s="2498">
        <f>C13</f>
        <v>8.4000000000000005E-2</v>
      </c>
      <c r="F13" s="2498">
        <f>C13</f>
        <v>8.4000000000000005E-2</v>
      </c>
      <c r="G13" s="2498">
        <f>F13</f>
        <v>8.4000000000000005E-2</v>
      </c>
      <c r="H13" s="2498">
        <v>0.11</v>
      </c>
      <c r="I13" s="2498">
        <v>0.11</v>
      </c>
      <c r="J13" s="2498">
        <f>G13</f>
        <v>8.4000000000000005E-2</v>
      </c>
      <c r="K13" s="2498">
        <f>F13</f>
        <v>8.4000000000000005E-2</v>
      </c>
      <c r="L13" s="2498">
        <f>K13</f>
        <v>8.4000000000000005E-2</v>
      </c>
      <c r="M13" s="2498">
        <v>0.09</v>
      </c>
      <c r="N13" s="2498">
        <f>M13</f>
        <v>0.09</v>
      </c>
      <c r="O13" s="2498">
        <f t="shared" ref="O13:Q13" si="3">N13</f>
        <v>0.09</v>
      </c>
      <c r="P13" s="2498">
        <f t="shared" si="3"/>
        <v>0.09</v>
      </c>
      <c r="Q13" s="2498">
        <f t="shared" si="3"/>
        <v>0.09</v>
      </c>
      <c r="R13" s="2498"/>
      <c r="S13" s="2498">
        <f>I13</f>
        <v>0.11</v>
      </c>
      <c r="T13" s="2498">
        <f>S13</f>
        <v>0.11</v>
      </c>
      <c r="U13" s="2498">
        <f t="shared" si="2"/>
        <v>0.11</v>
      </c>
      <c r="V13" s="2498">
        <f t="shared" si="2"/>
        <v>0.11</v>
      </c>
      <c r="W13" s="2498">
        <f t="shared" si="2"/>
        <v>0.11</v>
      </c>
      <c r="X13" s="2829">
        <f t="shared" si="2"/>
        <v>0.11</v>
      </c>
      <c r="Y13" s="2743" t="s">
        <v>3531</v>
      </c>
    </row>
    <row r="14" spans="1:27" ht="25.5" x14ac:dyDescent="0.2">
      <c r="A14" s="2491" t="s">
        <v>1944</v>
      </c>
      <c r="B14" s="2546" t="s">
        <v>1855</v>
      </c>
      <c r="C14" s="1959">
        <v>291</v>
      </c>
      <c r="D14" s="1959">
        <v>282</v>
      </c>
      <c r="E14" s="1959">
        <v>257.2</v>
      </c>
      <c r="F14" s="1959">
        <v>291</v>
      </c>
      <c r="G14" s="1959">
        <v>276.8</v>
      </c>
      <c r="H14" s="1959">
        <v>351.61599999999999</v>
      </c>
      <c r="I14" s="1959">
        <v>351.62</v>
      </c>
      <c r="J14" s="1959">
        <f>J16+J17</f>
        <v>266.96039999999999</v>
      </c>
      <c r="K14" s="1959">
        <v>291</v>
      </c>
      <c r="L14" s="1959">
        <v>272.89999999999998</v>
      </c>
      <c r="M14" s="1959">
        <v>292.39999999999998</v>
      </c>
      <c r="N14" s="1959">
        <v>292.77</v>
      </c>
      <c r="O14" s="1959">
        <v>292.77</v>
      </c>
      <c r="P14" s="1959">
        <v>292.77</v>
      </c>
      <c r="Q14" s="1959">
        <v>292.77</v>
      </c>
      <c r="R14" s="1959"/>
      <c r="S14" s="1959">
        <f>S16</f>
        <v>330.25706741405753</v>
      </c>
      <c r="T14" s="1959">
        <f t="shared" ref="T14:X14" si="4">T16</f>
        <v>330.25706741405753</v>
      </c>
      <c r="U14" s="1959">
        <f t="shared" si="4"/>
        <v>330.25706741405753</v>
      </c>
      <c r="V14" s="1959">
        <f t="shared" si="4"/>
        <v>330.25706741405753</v>
      </c>
      <c r="W14" s="1959">
        <f t="shared" si="4"/>
        <v>330.25706741405753</v>
      </c>
      <c r="X14" s="1959">
        <f t="shared" si="4"/>
        <v>330.25706741405753</v>
      </c>
      <c r="Y14" s="2491"/>
    </row>
    <row r="15" spans="1:27" x14ac:dyDescent="0.2">
      <c r="A15" s="2491" t="s">
        <v>50</v>
      </c>
      <c r="B15" s="2546"/>
      <c r="C15" s="1961"/>
      <c r="D15" s="1961"/>
      <c r="E15" s="1961"/>
      <c r="F15" s="1961"/>
      <c r="G15" s="1961"/>
      <c r="H15" s="1961"/>
      <c r="I15" s="1961"/>
      <c r="J15" s="1961"/>
      <c r="K15" s="1961"/>
      <c r="L15" s="1961"/>
      <c r="M15" s="1961"/>
      <c r="N15" s="1961"/>
      <c r="O15" s="1961"/>
      <c r="P15" s="1961"/>
      <c r="Q15" s="1961"/>
      <c r="R15" s="1961"/>
      <c r="S15" s="1961"/>
      <c r="T15" s="1961"/>
      <c r="U15" s="1961"/>
      <c r="V15" s="1961"/>
      <c r="W15" s="1961"/>
      <c r="X15" s="2828"/>
      <c r="Y15" s="2660"/>
      <c r="Z15" s="2493"/>
      <c r="AA15" s="2493"/>
    </row>
    <row r="16" spans="1:27" x14ac:dyDescent="0.2">
      <c r="A16" s="2492" t="str">
        <f>A11</f>
        <v>канализованный жил. фонд</v>
      </c>
      <c r="B16" s="2546" t="s">
        <v>1855</v>
      </c>
      <c r="C16" s="1961"/>
      <c r="D16" s="1961"/>
      <c r="E16" s="1961"/>
      <c r="F16" s="1961"/>
      <c r="G16" s="1961"/>
      <c r="H16" s="1961"/>
      <c r="I16" s="1961"/>
      <c r="J16" s="1961">
        <f>J11*J13</f>
        <v>266.96039999999999</v>
      </c>
      <c r="K16" s="1961"/>
      <c r="L16" s="1961"/>
      <c r="M16" s="1961"/>
      <c r="N16" s="1961"/>
      <c r="O16" s="1961"/>
      <c r="P16" s="1961"/>
      <c r="Q16" s="1961"/>
      <c r="R16" s="1961"/>
      <c r="S16" s="1961">
        <f>S11*S13</f>
        <v>330.25706741405753</v>
      </c>
      <c r="T16" s="1961">
        <f t="shared" ref="T16:X16" si="5">T11*T13</f>
        <v>330.25706741405753</v>
      </c>
      <c r="U16" s="1961">
        <f t="shared" si="5"/>
        <v>330.25706741405753</v>
      </c>
      <c r="V16" s="1961">
        <f t="shared" si="5"/>
        <v>330.25706741405753</v>
      </c>
      <c r="W16" s="1961">
        <f t="shared" si="5"/>
        <v>330.25706741405753</v>
      </c>
      <c r="X16" s="2828">
        <f t="shared" si="5"/>
        <v>330.25706741405753</v>
      </c>
      <c r="Y16" s="2660"/>
      <c r="Z16" s="2493"/>
      <c r="AA16" s="2493"/>
    </row>
    <row r="17" spans="1:27" x14ac:dyDescent="0.2">
      <c r="A17" s="2492" t="str">
        <f>A12</f>
        <v>не канализованный жил. фонд</v>
      </c>
      <c r="B17" s="2546" t="s">
        <v>1855</v>
      </c>
      <c r="C17" s="1961"/>
      <c r="D17" s="1961"/>
      <c r="E17" s="1961"/>
      <c r="F17" s="1961"/>
      <c r="G17" s="1961"/>
      <c r="H17" s="1961"/>
      <c r="I17" s="1961"/>
      <c r="J17" s="1961">
        <v>0</v>
      </c>
      <c r="K17" s="1961"/>
      <c r="L17" s="1961"/>
      <c r="M17" s="1961"/>
      <c r="N17" s="1961"/>
      <c r="O17" s="1961"/>
      <c r="P17" s="1961"/>
      <c r="Q17" s="1961"/>
      <c r="R17" s="1961"/>
      <c r="S17" s="1961">
        <v>0</v>
      </c>
      <c r="T17" s="1961">
        <v>0</v>
      </c>
      <c r="U17" s="1961">
        <v>0</v>
      </c>
      <c r="V17" s="1961">
        <v>0</v>
      </c>
      <c r="W17" s="1961">
        <v>0</v>
      </c>
      <c r="X17" s="2828">
        <v>0</v>
      </c>
      <c r="Y17" s="2660"/>
      <c r="Z17" s="2493"/>
      <c r="AA17" s="2493"/>
    </row>
    <row r="18" spans="1:27" ht="38.25" x14ac:dyDescent="0.2">
      <c r="A18" s="2491" t="s">
        <v>1852</v>
      </c>
      <c r="B18" s="2546" t="s">
        <v>1856</v>
      </c>
      <c r="C18" s="2495">
        <v>5.5330000000000004</v>
      </c>
      <c r="D18" s="2495">
        <v>2.48</v>
      </c>
      <c r="E18" s="2495">
        <v>2.48</v>
      </c>
      <c r="F18" s="2495">
        <v>5.8979999999999997</v>
      </c>
      <c r="G18" s="2495">
        <v>5.66</v>
      </c>
      <c r="H18" s="2495">
        <v>4.7386999999999997</v>
      </c>
      <c r="I18" s="2495">
        <v>4.7</v>
      </c>
      <c r="J18" s="2495">
        <f>I18</f>
        <v>4.7</v>
      </c>
      <c r="K18" s="2495">
        <v>6.2930000000000001</v>
      </c>
      <c r="L18" s="2495">
        <v>6.0549999999999997</v>
      </c>
      <c r="M18" s="2495">
        <v>5.4249999999999998</v>
      </c>
      <c r="N18" s="2495">
        <v>5.8049999999999997</v>
      </c>
      <c r="O18" s="2495">
        <v>6.2110000000000003</v>
      </c>
      <c r="P18" s="2495">
        <v>6.6459999999999999</v>
      </c>
      <c r="Q18" s="2495">
        <v>7.1120000000000001</v>
      </c>
      <c r="R18" s="2495"/>
      <c r="S18" s="2495">
        <f>S33</f>
        <v>5.1824177099999993</v>
      </c>
      <c r="T18" s="2495">
        <f>S18*1.042</f>
        <v>5.4000792538199995</v>
      </c>
      <c r="U18" s="2495">
        <f>T18*1.04</f>
        <v>5.6160824239727996</v>
      </c>
      <c r="V18" s="2495">
        <f>U18*1.04</f>
        <v>5.8407257209317116</v>
      </c>
      <c r="W18" s="2495">
        <f>V18*1.039</f>
        <v>6.0685140240480475</v>
      </c>
      <c r="X18" s="2831">
        <f>W18*1.039</f>
        <v>6.3051860709859211</v>
      </c>
      <c r="Y18" s="2832" t="s">
        <v>1930</v>
      </c>
      <c r="Z18" s="2494"/>
    </row>
    <row r="19" spans="1:27" s="2151" customFormat="1" ht="25.5" x14ac:dyDescent="0.2">
      <c r="A19" s="2051" t="s">
        <v>1940</v>
      </c>
      <c r="B19" s="2548" t="s">
        <v>915</v>
      </c>
      <c r="C19" s="1958">
        <v>1609.86</v>
      </c>
      <c r="D19" s="1958">
        <v>698.03</v>
      </c>
      <c r="E19" s="1958">
        <v>636.48</v>
      </c>
      <c r="F19" s="1958">
        <v>1716.11</v>
      </c>
      <c r="G19" s="1958">
        <v>1566.52</v>
      </c>
      <c r="H19" s="1958">
        <v>1666.2</v>
      </c>
      <c r="I19" s="1958">
        <v>1653.79</v>
      </c>
      <c r="J19" s="1958">
        <f>J18*J14</f>
        <v>1254.71388</v>
      </c>
      <c r="K19" s="1958">
        <v>1831.09</v>
      </c>
      <c r="L19" s="1958">
        <v>1652.37</v>
      </c>
      <c r="M19" s="1958">
        <v>1586.39</v>
      </c>
      <c r="N19" s="1958">
        <v>1699.56</v>
      </c>
      <c r="O19" s="1958">
        <v>1818.53</v>
      </c>
      <c r="P19" s="1958">
        <v>1945.83</v>
      </c>
      <c r="Q19" s="1958">
        <v>2082.04</v>
      </c>
      <c r="R19" s="1958"/>
      <c r="S19" s="1958">
        <f>S14*S18</f>
        <v>1711.5300750192755</v>
      </c>
      <c r="T19" s="1958">
        <f t="shared" ref="T19:X19" si="6">T14*T18</f>
        <v>1783.4143381700851</v>
      </c>
      <c r="U19" s="1958">
        <f t="shared" si="6"/>
        <v>1854.7509116968886</v>
      </c>
      <c r="V19" s="1958">
        <f t="shared" si="6"/>
        <v>1928.940948164764</v>
      </c>
      <c r="W19" s="1958">
        <f t="shared" si="6"/>
        <v>2004.1696451431897</v>
      </c>
      <c r="X19" s="2652">
        <f t="shared" si="6"/>
        <v>2082.332261303774</v>
      </c>
      <c r="Y19" s="2051"/>
      <c r="Z19" s="2153"/>
    </row>
    <row r="20" spans="1:27" x14ac:dyDescent="0.2">
      <c r="A20" s="2491" t="s">
        <v>50</v>
      </c>
      <c r="B20" s="2546"/>
      <c r="C20" s="1961"/>
      <c r="D20" s="1961"/>
      <c r="E20" s="1961"/>
      <c r="F20" s="1961"/>
      <c r="G20" s="1961"/>
      <c r="H20" s="1961"/>
      <c r="I20" s="1961"/>
      <c r="J20" s="1961"/>
      <c r="K20" s="1961"/>
      <c r="L20" s="1961"/>
      <c r="M20" s="1961"/>
      <c r="N20" s="1961"/>
      <c r="O20" s="1961"/>
      <c r="P20" s="1961"/>
      <c r="Q20" s="1961"/>
      <c r="R20" s="1961"/>
      <c r="S20" s="1961"/>
      <c r="T20" s="1961"/>
      <c r="U20" s="1961"/>
      <c r="V20" s="1961"/>
      <c r="W20" s="1961"/>
      <c r="X20" s="2828"/>
      <c r="Y20" s="2660"/>
    </row>
    <row r="21" spans="1:27" x14ac:dyDescent="0.2">
      <c r="A21" s="2492" t="str">
        <f>A16</f>
        <v>канализованный жил. фонд</v>
      </c>
      <c r="B21" s="2546" t="s">
        <v>915</v>
      </c>
      <c r="C21" s="1961"/>
      <c r="D21" s="1961"/>
      <c r="E21" s="1961"/>
      <c r="F21" s="1961"/>
      <c r="G21" s="1961"/>
      <c r="H21" s="1961"/>
      <c r="I21" s="1961"/>
      <c r="J21" s="1961">
        <f>J16*J18</f>
        <v>1254.71388</v>
      </c>
      <c r="K21" s="1961"/>
      <c r="L21" s="1961"/>
      <c r="M21" s="1961"/>
      <c r="N21" s="1961"/>
      <c r="O21" s="1961"/>
      <c r="P21" s="1961"/>
      <c r="Q21" s="1961"/>
      <c r="R21" s="1961"/>
      <c r="S21" s="1961">
        <f>S16*S18</f>
        <v>1711.5300750192755</v>
      </c>
      <c r="T21" s="1961">
        <f t="shared" ref="T21:X21" si="7">T16*T18</f>
        <v>1783.4143381700851</v>
      </c>
      <c r="U21" s="1961">
        <f t="shared" si="7"/>
        <v>1854.7509116968886</v>
      </c>
      <c r="V21" s="1961">
        <f t="shared" si="7"/>
        <v>1928.940948164764</v>
      </c>
      <c r="W21" s="1961">
        <f t="shared" si="7"/>
        <v>2004.1696451431897</v>
      </c>
      <c r="X21" s="2828">
        <f t="shared" si="7"/>
        <v>2082.332261303774</v>
      </c>
      <c r="Y21" s="2660"/>
    </row>
    <row r="22" spans="1:27" x14ac:dyDescent="0.2">
      <c r="A22" s="2492" t="str">
        <f>A17</f>
        <v>не канализованный жил. фонд</v>
      </c>
      <c r="B22" s="2546" t="s">
        <v>915</v>
      </c>
      <c r="C22" s="1961"/>
      <c r="D22" s="1961"/>
      <c r="E22" s="1961"/>
      <c r="F22" s="1961"/>
      <c r="G22" s="1961"/>
      <c r="H22" s="1961"/>
      <c r="I22" s="1961"/>
      <c r="J22" s="1961">
        <f>J17*J18</f>
        <v>0</v>
      </c>
      <c r="K22" s="1961"/>
      <c r="L22" s="1961"/>
      <c r="M22" s="1961"/>
      <c r="N22" s="1961"/>
      <c r="O22" s="1961"/>
      <c r="P22" s="1961"/>
      <c r="Q22" s="1961"/>
      <c r="R22" s="1961"/>
      <c r="S22" s="1961">
        <f>S17*S18</f>
        <v>0</v>
      </c>
      <c r="T22" s="1961">
        <f t="shared" ref="T22:X22" si="8">T17*T18</f>
        <v>0</v>
      </c>
      <c r="U22" s="1961">
        <f t="shared" si="8"/>
        <v>0</v>
      </c>
      <c r="V22" s="1961">
        <f t="shared" si="8"/>
        <v>0</v>
      </c>
      <c r="W22" s="1961">
        <f t="shared" si="8"/>
        <v>0</v>
      </c>
      <c r="X22" s="2828">
        <f t="shared" si="8"/>
        <v>0</v>
      </c>
      <c r="Y22" s="2660"/>
    </row>
    <row r="23" spans="1:27" s="2153" customFormat="1" x14ac:dyDescent="0.2">
      <c r="A23" s="2051" t="s">
        <v>1941</v>
      </c>
      <c r="B23" s="2548"/>
      <c r="C23" s="1958"/>
      <c r="D23" s="1958"/>
      <c r="E23" s="1958"/>
      <c r="F23" s="1958"/>
      <c r="G23" s="1958"/>
      <c r="H23" s="1958"/>
      <c r="I23" s="1958"/>
      <c r="J23" s="1958"/>
      <c r="K23" s="1958"/>
      <c r="L23" s="1958"/>
      <c r="M23" s="1958"/>
      <c r="N23" s="1958"/>
      <c r="O23" s="1958"/>
      <c r="P23" s="1958"/>
      <c r="Q23" s="1958"/>
      <c r="R23" s="1958"/>
      <c r="S23" s="1958"/>
      <c r="T23" s="1958"/>
      <c r="U23" s="1958"/>
      <c r="V23" s="1958"/>
      <c r="W23" s="1958"/>
      <c r="X23" s="2496"/>
      <c r="Y23" s="2051"/>
    </row>
    <row r="24" spans="1:27" x14ac:dyDescent="0.2">
      <c r="A24" s="2491" t="s">
        <v>1943</v>
      </c>
      <c r="B24" s="2546" t="s">
        <v>950</v>
      </c>
      <c r="C24" s="1961">
        <v>3463.93</v>
      </c>
      <c r="D24" s="1961">
        <f>D9</f>
        <v>3061.49</v>
      </c>
      <c r="E24" s="1961">
        <f>E9</f>
        <v>3061.19</v>
      </c>
      <c r="F24" s="1961">
        <f>C24</f>
        <v>3463.93</v>
      </c>
      <c r="G24" s="1961">
        <f>G9</f>
        <v>3295.75</v>
      </c>
      <c r="H24" s="1961">
        <f>H9</f>
        <v>3197.32</v>
      </c>
      <c r="I24" s="1961">
        <f>G24</f>
        <v>3295.75</v>
      </c>
      <c r="J24" s="1961">
        <f>J26+J27</f>
        <v>3197.3199999999997</v>
      </c>
      <c r="K24" s="1961">
        <f>F24</f>
        <v>3463.93</v>
      </c>
      <c r="L24" s="1961">
        <f>L9</f>
        <v>3248.93</v>
      </c>
      <c r="M24" s="1961">
        <f t="shared" ref="M24:Q24" si="9">M9</f>
        <v>3248.93</v>
      </c>
      <c r="N24" s="1961">
        <f t="shared" si="9"/>
        <v>3253</v>
      </c>
      <c r="O24" s="1961">
        <f t="shared" si="9"/>
        <v>3253</v>
      </c>
      <c r="P24" s="1961">
        <f t="shared" si="9"/>
        <v>3253</v>
      </c>
      <c r="Q24" s="1961">
        <f t="shared" si="9"/>
        <v>3253</v>
      </c>
      <c r="R24" s="1961"/>
      <c r="S24" s="1961">
        <f>S26+S27</f>
        <v>3020.0036431580988</v>
      </c>
      <c r="T24" s="1961">
        <f t="shared" ref="T24:X24" si="10">T26+T27</f>
        <v>3020.0036431580988</v>
      </c>
      <c r="U24" s="1961">
        <f t="shared" si="10"/>
        <v>3020.0036431580988</v>
      </c>
      <c r="V24" s="1961">
        <f t="shared" si="10"/>
        <v>3020.0036431580988</v>
      </c>
      <c r="W24" s="1961">
        <f t="shared" si="10"/>
        <v>3020.0036431580988</v>
      </c>
      <c r="X24" s="2828">
        <f t="shared" si="10"/>
        <v>3020.0036431580988</v>
      </c>
      <c r="Y24" s="2660"/>
    </row>
    <row r="25" spans="1:27" x14ac:dyDescent="0.2">
      <c r="A25" s="2491" t="s">
        <v>50</v>
      </c>
      <c r="B25" s="2546"/>
      <c r="C25" s="1961"/>
      <c r="D25" s="1961"/>
      <c r="E25" s="1961"/>
      <c r="F25" s="1961"/>
      <c r="G25" s="1961"/>
      <c r="H25" s="1961"/>
      <c r="I25" s="1961"/>
      <c r="J25" s="1961"/>
      <c r="K25" s="1961"/>
      <c r="L25" s="1961"/>
      <c r="M25" s="1961"/>
      <c r="N25" s="1961"/>
      <c r="O25" s="1961"/>
      <c r="P25" s="1961"/>
      <c r="Q25" s="1961"/>
      <c r="R25" s="1961"/>
      <c r="S25" s="1961"/>
      <c r="T25" s="1961"/>
      <c r="U25" s="1961"/>
      <c r="V25" s="1961"/>
      <c r="W25" s="1961"/>
      <c r="X25" s="2828"/>
      <c r="Y25" s="2660"/>
    </row>
    <row r="26" spans="1:27" x14ac:dyDescent="0.2">
      <c r="A26" s="2492" t="str">
        <f>A21</f>
        <v>канализованный жил. фонд</v>
      </c>
      <c r="B26" s="2546" t="s">
        <v>950</v>
      </c>
      <c r="C26" s="1961"/>
      <c r="D26" s="1961"/>
      <c r="E26" s="1961"/>
      <c r="F26" s="1961"/>
      <c r="G26" s="1961"/>
      <c r="H26" s="1961"/>
      <c r="I26" s="1961"/>
      <c r="J26" s="1961">
        <f>J11</f>
        <v>3178.1</v>
      </c>
      <c r="K26" s="1961"/>
      <c r="L26" s="1961"/>
      <c r="M26" s="1961"/>
      <c r="N26" s="1961"/>
      <c r="O26" s="1961"/>
      <c r="P26" s="1961"/>
      <c r="Q26" s="1961"/>
      <c r="R26" s="1961"/>
      <c r="S26" s="1961">
        <f>S11</f>
        <v>3002.3369764914323</v>
      </c>
      <c r="T26" s="1961">
        <f>S26</f>
        <v>3002.3369764914323</v>
      </c>
      <c r="U26" s="1961">
        <f t="shared" ref="U26:X28" si="11">T26</f>
        <v>3002.3369764914323</v>
      </c>
      <c r="V26" s="1961">
        <f t="shared" si="11"/>
        <v>3002.3369764914323</v>
      </c>
      <c r="W26" s="1961">
        <f t="shared" si="11"/>
        <v>3002.3369764914323</v>
      </c>
      <c r="X26" s="2828">
        <f t="shared" si="11"/>
        <v>3002.3369764914323</v>
      </c>
      <c r="Y26" s="2660"/>
    </row>
    <row r="27" spans="1:27" x14ac:dyDescent="0.2">
      <c r="A27" s="2492" t="str">
        <f>A22</f>
        <v>не канализованный жил. фонд</v>
      </c>
      <c r="B27" s="2546" t="s">
        <v>950</v>
      </c>
      <c r="C27" s="1961"/>
      <c r="D27" s="1961"/>
      <c r="E27" s="1961"/>
      <c r="F27" s="1961"/>
      <c r="G27" s="1961"/>
      <c r="H27" s="1961"/>
      <c r="I27" s="1961"/>
      <c r="J27" s="1961">
        <f>J12</f>
        <v>19.22</v>
      </c>
      <c r="K27" s="1961"/>
      <c r="L27" s="1961"/>
      <c r="M27" s="1961"/>
      <c r="N27" s="1961"/>
      <c r="O27" s="1961"/>
      <c r="P27" s="1961"/>
      <c r="Q27" s="1961"/>
      <c r="R27" s="1961"/>
      <c r="S27" s="1961">
        <f>S12</f>
        <v>17.666666666666668</v>
      </c>
      <c r="T27" s="1961">
        <f>S27</f>
        <v>17.666666666666668</v>
      </c>
      <c r="U27" s="1961">
        <f t="shared" si="11"/>
        <v>17.666666666666668</v>
      </c>
      <c r="V27" s="1961">
        <f t="shared" si="11"/>
        <v>17.666666666666668</v>
      </c>
      <c r="W27" s="1961">
        <f t="shared" si="11"/>
        <v>17.666666666666668</v>
      </c>
      <c r="X27" s="2828">
        <f t="shared" si="11"/>
        <v>17.666666666666668</v>
      </c>
      <c r="Y27" s="2660"/>
    </row>
    <row r="28" spans="1:27" ht="63.75" x14ac:dyDescent="0.2">
      <c r="A28" s="2491" t="s">
        <v>1942</v>
      </c>
      <c r="B28" s="2546" t="s">
        <v>1854</v>
      </c>
      <c r="C28" s="2498">
        <v>0.42</v>
      </c>
      <c r="D28" s="2498">
        <v>0.60199999999999998</v>
      </c>
      <c r="E28" s="2498">
        <f>C28</f>
        <v>0.42</v>
      </c>
      <c r="F28" s="2498">
        <f>C28</f>
        <v>0.42</v>
      </c>
      <c r="G28" s="2498">
        <v>0.42</v>
      </c>
      <c r="H28" s="2498">
        <v>0.628</v>
      </c>
      <c r="I28" s="2498">
        <v>0.629</v>
      </c>
      <c r="J28" s="2498">
        <f>G28</f>
        <v>0.42</v>
      </c>
      <c r="K28" s="2498">
        <f>F28</f>
        <v>0.42</v>
      </c>
      <c r="L28" s="2498">
        <f>K28</f>
        <v>0.42</v>
      </c>
      <c r="M28" s="2498">
        <v>0.6</v>
      </c>
      <c r="N28" s="2498">
        <v>0.6</v>
      </c>
      <c r="O28" s="2498">
        <v>0.6</v>
      </c>
      <c r="P28" s="2498">
        <v>0.6</v>
      </c>
      <c r="Q28" s="2498">
        <v>0.6</v>
      </c>
      <c r="R28" s="2064"/>
      <c r="S28" s="2498">
        <f>A46</f>
        <v>0.46085083542073829</v>
      </c>
      <c r="T28" s="2498">
        <f>S28</f>
        <v>0.46085083542073829</v>
      </c>
      <c r="U28" s="2498">
        <f t="shared" si="11"/>
        <v>0.46085083542073829</v>
      </c>
      <c r="V28" s="2498">
        <f t="shared" si="11"/>
        <v>0.46085083542073829</v>
      </c>
      <c r="W28" s="2498">
        <f t="shared" si="11"/>
        <v>0.46085083542073829</v>
      </c>
      <c r="X28" s="2829">
        <f t="shared" si="11"/>
        <v>0.46085083542073829</v>
      </c>
      <c r="Y28" s="2743" t="s">
        <v>3555</v>
      </c>
    </row>
    <row r="29" spans="1:27" ht="25.5" x14ac:dyDescent="0.2">
      <c r="A29" s="2491" t="s">
        <v>1851</v>
      </c>
      <c r="B29" s="2546" t="s">
        <v>1855</v>
      </c>
      <c r="C29" s="1959">
        <v>1454.9</v>
      </c>
      <c r="D29" s="1959">
        <v>1842.5</v>
      </c>
      <c r="E29" s="1959">
        <v>1285.8</v>
      </c>
      <c r="F29" s="1959">
        <v>1454.9</v>
      </c>
      <c r="G29" s="1959">
        <v>1384.2</v>
      </c>
      <c r="H29" s="1959">
        <v>2009.0730000000001</v>
      </c>
      <c r="I29" s="1959">
        <v>2009.07</v>
      </c>
      <c r="J29" s="1959">
        <f>J31+J32</f>
        <v>1342.8743999999999</v>
      </c>
      <c r="K29" s="1959">
        <v>1454.9</v>
      </c>
      <c r="L29" s="1959">
        <v>1364.6</v>
      </c>
      <c r="M29" s="1959">
        <v>1949.36</v>
      </c>
      <c r="N29" s="1959">
        <v>1951.8</v>
      </c>
      <c r="O29" s="1959">
        <v>1951.8</v>
      </c>
      <c r="P29" s="1959">
        <v>1951.8</v>
      </c>
      <c r="Q29" s="1959">
        <v>1951.8</v>
      </c>
      <c r="R29" s="1959"/>
      <c r="S29" s="1959">
        <f>S24*S28</f>
        <v>1391.771201923083</v>
      </c>
      <c r="T29" s="1959">
        <f t="shared" ref="T29:X29" si="12">T24*T28</f>
        <v>1391.771201923083</v>
      </c>
      <c r="U29" s="1959">
        <f t="shared" si="12"/>
        <v>1391.771201923083</v>
      </c>
      <c r="V29" s="1959">
        <f t="shared" si="12"/>
        <v>1391.771201923083</v>
      </c>
      <c r="W29" s="1959">
        <f t="shared" si="12"/>
        <v>1391.771201923083</v>
      </c>
      <c r="X29" s="2830">
        <f t="shared" si="12"/>
        <v>1391.771201923083</v>
      </c>
      <c r="Y29" s="2491"/>
    </row>
    <row r="30" spans="1:27" x14ac:dyDescent="0.2">
      <c r="A30" s="2491" t="s">
        <v>50</v>
      </c>
      <c r="B30" s="2546"/>
      <c r="C30" s="1961"/>
      <c r="D30" s="1961"/>
      <c r="E30" s="1961"/>
      <c r="F30" s="1961"/>
      <c r="G30" s="1961"/>
      <c r="H30" s="1961"/>
      <c r="I30" s="1961"/>
      <c r="J30" s="1961"/>
      <c r="K30" s="1961"/>
      <c r="L30" s="1961"/>
      <c r="M30" s="1961"/>
      <c r="N30" s="1961"/>
      <c r="O30" s="1961"/>
      <c r="P30" s="1961"/>
      <c r="Q30" s="1961"/>
      <c r="R30" s="1961"/>
      <c r="S30" s="1961"/>
      <c r="T30" s="1961"/>
      <c r="U30" s="1961"/>
      <c r="V30" s="1961"/>
      <c r="W30" s="1961"/>
      <c r="X30" s="2828"/>
      <c r="Y30" s="2660"/>
    </row>
    <row r="31" spans="1:27" x14ac:dyDescent="0.2">
      <c r="A31" s="2492" t="str">
        <f>A26</f>
        <v>канализованный жил. фонд</v>
      </c>
      <c r="B31" s="2546" t="s">
        <v>1855</v>
      </c>
      <c r="C31" s="1961"/>
      <c r="D31" s="1961"/>
      <c r="E31" s="1961"/>
      <c r="F31" s="1961"/>
      <c r="G31" s="1961"/>
      <c r="H31" s="1961"/>
      <c r="I31" s="1961"/>
      <c r="J31" s="1961">
        <f>J26*J28</f>
        <v>1334.8019999999999</v>
      </c>
      <c r="K31" s="1961"/>
      <c r="L31" s="1961"/>
      <c r="M31" s="1961"/>
      <c r="N31" s="1961"/>
      <c r="O31" s="1961"/>
      <c r="P31" s="1961"/>
      <c r="Q31" s="1961"/>
      <c r="R31" s="1961"/>
      <c r="S31" s="1961">
        <f>S26*S28</f>
        <v>1383.62950383065</v>
      </c>
      <c r="T31" s="1961">
        <f t="shared" ref="T31:X31" si="13">T26*T28</f>
        <v>1383.62950383065</v>
      </c>
      <c r="U31" s="1961">
        <f t="shared" si="13"/>
        <v>1383.62950383065</v>
      </c>
      <c r="V31" s="1961">
        <f t="shared" si="13"/>
        <v>1383.62950383065</v>
      </c>
      <c r="W31" s="1961">
        <f t="shared" si="13"/>
        <v>1383.62950383065</v>
      </c>
      <c r="X31" s="2828">
        <f t="shared" si="13"/>
        <v>1383.62950383065</v>
      </c>
      <c r="Y31" s="2660"/>
    </row>
    <row r="32" spans="1:27" x14ac:dyDescent="0.2">
      <c r="A32" s="2492" t="str">
        <f>A27</f>
        <v>не канализованный жил. фонд</v>
      </c>
      <c r="B32" s="2546" t="s">
        <v>1855</v>
      </c>
      <c r="C32" s="1961"/>
      <c r="D32" s="1961"/>
      <c r="E32" s="1961"/>
      <c r="F32" s="1961"/>
      <c r="G32" s="1961"/>
      <c r="H32" s="1961"/>
      <c r="I32" s="1961"/>
      <c r="J32" s="1961">
        <f>J27*J28</f>
        <v>8.0724</v>
      </c>
      <c r="K32" s="1961"/>
      <c r="L32" s="1961"/>
      <c r="M32" s="1961"/>
      <c r="N32" s="1961"/>
      <c r="O32" s="1961"/>
      <c r="P32" s="1961"/>
      <c r="Q32" s="1961"/>
      <c r="R32" s="1961"/>
      <c r="S32" s="1961">
        <f>S27*S28</f>
        <v>8.1416980924330442</v>
      </c>
      <c r="T32" s="1961">
        <f t="shared" ref="T32:X32" si="14">T27*T28</f>
        <v>8.1416980924330442</v>
      </c>
      <c r="U32" s="1961">
        <f t="shared" si="14"/>
        <v>8.1416980924330442</v>
      </c>
      <c r="V32" s="1961">
        <f t="shared" si="14"/>
        <v>8.1416980924330442</v>
      </c>
      <c r="W32" s="1961">
        <f t="shared" si="14"/>
        <v>8.1416980924330442</v>
      </c>
      <c r="X32" s="2828">
        <f t="shared" si="14"/>
        <v>8.1416980924330442</v>
      </c>
      <c r="Y32" s="2660"/>
    </row>
    <row r="33" spans="1:25" ht="38.25" x14ac:dyDescent="0.2">
      <c r="A33" s="2491" t="s">
        <v>1852</v>
      </c>
      <c r="B33" s="2546" t="s">
        <v>1856</v>
      </c>
      <c r="C33" s="2495">
        <v>4.1189999999999998</v>
      </c>
      <c r="D33" s="2495">
        <v>5.05</v>
      </c>
      <c r="E33" s="2495">
        <v>5.05</v>
      </c>
      <c r="F33" s="2495">
        <v>4.391</v>
      </c>
      <c r="G33" s="2495">
        <v>4.3099999999999996</v>
      </c>
      <c r="H33" s="2495">
        <v>4.7386999999999997</v>
      </c>
      <c r="I33" s="2495">
        <v>4.71</v>
      </c>
      <c r="J33" s="2495">
        <f>I33</f>
        <v>4.71</v>
      </c>
      <c r="K33" s="2495">
        <v>4.6849999999999996</v>
      </c>
      <c r="L33" s="2495">
        <v>4.6150000000000002</v>
      </c>
      <c r="M33" s="2495">
        <v>5.4249999999999998</v>
      </c>
      <c r="N33" s="2495">
        <v>5.8049999999999997</v>
      </c>
      <c r="O33" s="2495">
        <v>6.2110000000000003</v>
      </c>
      <c r="P33" s="2495">
        <v>6.46</v>
      </c>
      <c r="Q33" s="2495">
        <v>7.1120000000000001</v>
      </c>
      <c r="R33" s="2495"/>
      <c r="S33" s="2495">
        <f>J33*1.039*1.059</f>
        <v>5.1824177099999993</v>
      </c>
      <c r="T33" s="2495">
        <f>S33*1.042</f>
        <v>5.4000792538199995</v>
      </c>
      <c r="U33" s="2495">
        <f>T33*1.04</f>
        <v>5.6160824239727996</v>
      </c>
      <c r="V33" s="2495">
        <f>U33*1.04</f>
        <v>5.8407257209317116</v>
      </c>
      <c r="W33" s="2495">
        <f>V33*1.039</f>
        <v>6.0685140240480475</v>
      </c>
      <c r="X33" s="2831">
        <f>W33*1.039</f>
        <v>6.3051860709859211</v>
      </c>
      <c r="Y33" s="2832" t="s">
        <v>1930</v>
      </c>
    </row>
    <row r="34" spans="1:25" s="2151" customFormat="1" ht="25.5" x14ac:dyDescent="0.2">
      <c r="A34" s="2051" t="s">
        <v>1945</v>
      </c>
      <c r="B34" s="2548" t="s">
        <v>915</v>
      </c>
      <c r="C34" s="1958">
        <v>5992.91</v>
      </c>
      <c r="D34" s="1958">
        <v>9297.2000000000007</v>
      </c>
      <c r="E34" s="1958">
        <v>6488.28</v>
      </c>
      <c r="F34" s="1958">
        <v>6388.45</v>
      </c>
      <c r="G34" s="1958">
        <v>5969.9</v>
      </c>
      <c r="H34" s="1958">
        <v>9520.39</v>
      </c>
      <c r="I34" s="1958">
        <v>9460.06</v>
      </c>
      <c r="J34" s="1958">
        <f>J36+J37</f>
        <v>6324.9384239999999</v>
      </c>
      <c r="K34" s="1958">
        <v>6816.47</v>
      </c>
      <c r="L34" s="1958">
        <v>6297.05</v>
      </c>
      <c r="M34" s="1958">
        <v>10575.93</v>
      </c>
      <c r="N34" s="1958">
        <v>11330.42</v>
      </c>
      <c r="O34" s="1958">
        <v>12123.55</v>
      </c>
      <c r="P34" s="1958">
        <v>12972.19</v>
      </c>
      <c r="Q34" s="1958">
        <v>13880.25</v>
      </c>
      <c r="R34" s="1958"/>
      <c r="S34" s="1958">
        <f>S29*S33</f>
        <v>7212.7397251141701</v>
      </c>
      <c r="T34" s="1958">
        <f t="shared" ref="T34:X34" si="15">T29*T33</f>
        <v>7515.6747935689664</v>
      </c>
      <c r="U34" s="1958">
        <f t="shared" si="15"/>
        <v>7816.3017853117244</v>
      </c>
      <c r="V34" s="1958">
        <f t="shared" si="15"/>
        <v>8128.9538567241934</v>
      </c>
      <c r="W34" s="1958">
        <f t="shared" si="15"/>
        <v>8445.9830571364364</v>
      </c>
      <c r="X34" s="2652">
        <f t="shared" si="15"/>
        <v>8775.3763963647561</v>
      </c>
      <c r="Y34" s="2051"/>
    </row>
    <row r="35" spans="1:25" x14ac:dyDescent="0.2">
      <c r="A35" s="2491" t="s">
        <v>50</v>
      </c>
      <c r="B35" s="2546"/>
      <c r="C35" s="1961"/>
      <c r="D35" s="1961"/>
      <c r="E35" s="1961"/>
      <c r="F35" s="1961"/>
      <c r="G35" s="1961"/>
      <c r="H35" s="1961"/>
      <c r="I35" s="1961"/>
      <c r="J35" s="1961"/>
      <c r="K35" s="1961"/>
      <c r="L35" s="1961"/>
      <c r="M35" s="1961"/>
      <c r="N35" s="1961"/>
      <c r="O35" s="1961"/>
      <c r="P35" s="1961"/>
      <c r="Q35" s="1961"/>
      <c r="R35" s="1961"/>
      <c r="S35" s="1961"/>
      <c r="T35" s="1961"/>
      <c r="U35" s="1961"/>
      <c r="V35" s="1961"/>
      <c r="W35" s="1961"/>
      <c r="X35" s="2828"/>
      <c r="Y35" s="2660"/>
    </row>
    <row r="36" spans="1:25" x14ac:dyDescent="0.2">
      <c r="A36" s="2492" t="str">
        <f>A31</f>
        <v>канализованный жил. фонд</v>
      </c>
      <c r="B36" s="2546" t="s">
        <v>915</v>
      </c>
      <c r="C36" s="1961"/>
      <c r="D36" s="1961"/>
      <c r="E36" s="1961"/>
      <c r="F36" s="1961"/>
      <c r="G36" s="1961"/>
      <c r="H36" s="1961"/>
      <c r="I36" s="1961"/>
      <c r="J36" s="1961">
        <f>J31*J33</f>
        <v>6286.9174199999998</v>
      </c>
      <c r="K36" s="1961"/>
      <c r="L36" s="1961"/>
      <c r="M36" s="1961"/>
      <c r="N36" s="1961"/>
      <c r="O36" s="1961"/>
      <c r="P36" s="1961"/>
      <c r="Q36" s="1961"/>
      <c r="R36" s="1961"/>
      <c r="S36" s="1961">
        <f>S31*S33</f>
        <v>7170.5460447304722</v>
      </c>
      <c r="T36" s="1961">
        <f t="shared" ref="T36:X36" si="16">T31*T33</f>
        <v>7471.7089786091528</v>
      </c>
      <c r="U36" s="1961">
        <f t="shared" si="16"/>
        <v>7770.5773377535188</v>
      </c>
      <c r="V36" s="1961">
        <f t="shared" si="16"/>
        <v>8081.4004312636598</v>
      </c>
      <c r="W36" s="1961">
        <f t="shared" si="16"/>
        <v>8396.5750480829411</v>
      </c>
      <c r="X36" s="2828">
        <f t="shared" si="16"/>
        <v>8724.041474958176</v>
      </c>
      <c r="Y36" s="2660"/>
    </row>
    <row r="37" spans="1:25" x14ac:dyDescent="0.2">
      <c r="A37" s="2492" t="str">
        <f>A32</f>
        <v>не канализованный жил. фонд</v>
      </c>
      <c r="B37" s="2546" t="s">
        <v>915</v>
      </c>
      <c r="C37" s="1961"/>
      <c r="D37" s="1961"/>
      <c r="E37" s="1961"/>
      <c r="F37" s="1961"/>
      <c r="G37" s="1961"/>
      <c r="H37" s="1961"/>
      <c r="I37" s="1961"/>
      <c r="J37" s="1961">
        <f>J32*J33</f>
        <v>38.021003999999998</v>
      </c>
      <c r="K37" s="1961"/>
      <c r="L37" s="1961"/>
      <c r="M37" s="1961"/>
      <c r="N37" s="1961"/>
      <c r="O37" s="1961"/>
      <c r="P37" s="1961"/>
      <c r="Q37" s="1961"/>
      <c r="R37" s="1961"/>
      <c r="S37" s="1961">
        <f>S32*S33</f>
        <v>42.193680383698222</v>
      </c>
      <c r="T37" s="1961">
        <f t="shared" ref="T37:X37" si="17">T32*T33</f>
        <v>43.965814959813549</v>
      </c>
      <c r="U37" s="1961">
        <f t="shared" si="17"/>
        <v>45.724447558206087</v>
      </c>
      <c r="V37" s="1961">
        <f t="shared" si="17"/>
        <v>47.553425460534335</v>
      </c>
      <c r="W37" s="1961">
        <f t="shared" si="17"/>
        <v>49.408009053495164</v>
      </c>
      <c r="X37" s="2828">
        <f t="shared" si="17"/>
        <v>51.334921406581472</v>
      </c>
      <c r="Y37" s="2660"/>
    </row>
    <row r="38" spans="1:25" ht="25.5" x14ac:dyDescent="0.2">
      <c r="A38" s="2491" t="s">
        <v>1862</v>
      </c>
      <c r="B38" s="2546" t="s">
        <v>915</v>
      </c>
      <c r="C38" s="1959">
        <f>C19+C34</f>
        <v>7602.7699999999995</v>
      </c>
      <c r="D38" s="1959">
        <f t="shared" ref="D38:E38" si="18">D19+D34</f>
        <v>9995.2300000000014</v>
      </c>
      <c r="E38" s="1959">
        <f t="shared" si="18"/>
        <v>7124.76</v>
      </c>
      <c r="F38" s="1959">
        <f t="shared" ref="F38:X38" si="19">F19+F34</f>
        <v>8104.5599999999995</v>
      </c>
      <c r="G38" s="1959">
        <f t="shared" si="19"/>
        <v>7536.42</v>
      </c>
      <c r="H38" s="1959">
        <f t="shared" si="19"/>
        <v>11186.59</v>
      </c>
      <c r="I38" s="1959">
        <f t="shared" si="19"/>
        <v>11113.849999999999</v>
      </c>
      <c r="J38" s="1959">
        <f t="shared" si="19"/>
        <v>7579.6523040000002</v>
      </c>
      <c r="K38" s="1959">
        <f t="shared" ref="K38" si="20">K19+K34</f>
        <v>8647.56</v>
      </c>
      <c r="L38" s="1959">
        <f t="shared" si="19"/>
        <v>7949.42</v>
      </c>
      <c r="M38" s="1959">
        <f t="shared" si="19"/>
        <v>12162.32</v>
      </c>
      <c r="N38" s="1959">
        <f t="shared" si="19"/>
        <v>13029.98</v>
      </c>
      <c r="O38" s="1959">
        <f t="shared" si="19"/>
        <v>13942.08</v>
      </c>
      <c r="P38" s="1959">
        <f t="shared" si="19"/>
        <v>14918.02</v>
      </c>
      <c r="Q38" s="1959">
        <f t="shared" si="19"/>
        <v>15962.29</v>
      </c>
      <c r="R38" s="1959">
        <f t="shared" si="19"/>
        <v>0</v>
      </c>
      <c r="S38" s="1959">
        <f t="shared" si="19"/>
        <v>8924.2698001334466</v>
      </c>
      <c r="T38" s="1959">
        <f t="shared" si="19"/>
        <v>9299.0891317390524</v>
      </c>
      <c r="U38" s="1959">
        <f t="shared" si="19"/>
        <v>9671.0526970086139</v>
      </c>
      <c r="V38" s="1959">
        <f t="shared" si="19"/>
        <v>10057.894804888958</v>
      </c>
      <c r="W38" s="1959">
        <f t="shared" si="19"/>
        <v>10450.152702279625</v>
      </c>
      <c r="X38" s="2830">
        <f t="shared" si="19"/>
        <v>10857.708657668531</v>
      </c>
      <c r="Y38" s="2491"/>
    </row>
    <row r="39" spans="1:25" x14ac:dyDescent="0.2">
      <c r="A39" s="2491" t="s">
        <v>50</v>
      </c>
      <c r="B39" s="2546"/>
      <c r="C39" s="1961"/>
      <c r="D39" s="1961"/>
      <c r="E39" s="1961"/>
      <c r="F39" s="1961"/>
      <c r="G39" s="1961"/>
      <c r="H39" s="1961"/>
      <c r="I39" s="1961"/>
      <c r="J39" s="1961"/>
      <c r="K39" s="1961"/>
      <c r="L39" s="1961"/>
      <c r="M39" s="1961"/>
      <c r="N39" s="1961"/>
      <c r="O39" s="1961"/>
      <c r="P39" s="1961"/>
      <c r="Q39" s="1961"/>
      <c r="R39" s="1961"/>
      <c r="S39" s="1961"/>
      <c r="T39" s="1961"/>
      <c r="U39" s="1961"/>
      <c r="V39" s="1961"/>
      <c r="W39" s="1961"/>
      <c r="X39" s="2828"/>
      <c r="Y39" s="2660"/>
    </row>
    <row r="40" spans="1:25" x14ac:dyDescent="0.2">
      <c r="A40" s="2492" t="str">
        <f>A36</f>
        <v>канализованный жил. фонд</v>
      </c>
      <c r="B40" s="2546" t="s">
        <v>915</v>
      </c>
      <c r="C40" s="1961"/>
      <c r="D40" s="1961"/>
      <c r="E40" s="1961"/>
      <c r="F40" s="1961"/>
      <c r="G40" s="1961"/>
      <c r="H40" s="1961"/>
      <c r="I40" s="1961"/>
      <c r="J40" s="1961">
        <f>J21+J36</f>
        <v>7541.6313</v>
      </c>
      <c r="K40" s="1961"/>
      <c r="L40" s="1961"/>
      <c r="M40" s="1961"/>
      <c r="N40" s="1961"/>
      <c r="O40" s="1961"/>
      <c r="P40" s="1961"/>
      <c r="Q40" s="1961"/>
      <c r="R40" s="1961"/>
      <c r="S40" s="1961">
        <f>S21+S36</f>
        <v>8882.0761197497486</v>
      </c>
      <c r="T40" s="1961">
        <f t="shared" ref="T40:X41" si="21">T21+T36</f>
        <v>9255.1233167792379</v>
      </c>
      <c r="U40" s="1961">
        <f t="shared" si="21"/>
        <v>9625.3282494504074</v>
      </c>
      <c r="V40" s="1961">
        <f t="shared" si="21"/>
        <v>10010.341379428424</v>
      </c>
      <c r="W40" s="1961">
        <f t="shared" si="21"/>
        <v>10400.74469322613</v>
      </c>
      <c r="X40" s="2828">
        <f t="shared" si="21"/>
        <v>10806.37373626195</v>
      </c>
      <c r="Y40" s="2660"/>
    </row>
    <row r="41" spans="1:25" x14ac:dyDescent="0.2">
      <c r="A41" s="2492" t="str">
        <f>A37</f>
        <v>не канализованный жил. фонд</v>
      </c>
      <c r="B41" s="2546" t="s">
        <v>915</v>
      </c>
      <c r="C41" s="1961"/>
      <c r="D41" s="1961"/>
      <c r="E41" s="1961"/>
      <c r="F41" s="1961"/>
      <c r="G41" s="1961"/>
      <c r="H41" s="1961"/>
      <c r="I41" s="1961"/>
      <c r="J41" s="1961">
        <f>J22+J37</f>
        <v>38.021003999999998</v>
      </c>
      <c r="K41" s="1961"/>
      <c r="L41" s="1961"/>
      <c r="M41" s="1961"/>
      <c r="N41" s="1961"/>
      <c r="O41" s="1961"/>
      <c r="P41" s="1961"/>
      <c r="Q41" s="1961"/>
      <c r="R41" s="1961"/>
      <c r="S41" s="1961">
        <f>S22+S37</f>
        <v>42.193680383698222</v>
      </c>
      <c r="T41" s="1961">
        <f t="shared" si="21"/>
        <v>43.965814959813549</v>
      </c>
      <c r="U41" s="1961">
        <f t="shared" si="21"/>
        <v>45.724447558206087</v>
      </c>
      <c r="V41" s="1961">
        <f t="shared" si="21"/>
        <v>47.553425460534335</v>
      </c>
      <c r="W41" s="1961">
        <f t="shared" si="21"/>
        <v>49.408009053495164</v>
      </c>
      <c r="X41" s="2828">
        <f t="shared" si="21"/>
        <v>51.334921406581472</v>
      </c>
      <c r="Y41" s="2660"/>
    </row>
    <row r="42" spans="1:25" x14ac:dyDescent="0.2"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</row>
    <row r="44" spans="1:25" x14ac:dyDescent="0.2">
      <c r="A44" s="2872">
        <f>I29</f>
        <v>2009.07</v>
      </c>
    </row>
    <row r="45" spans="1:25" x14ac:dyDescent="0.2">
      <c r="A45" s="2489">
        <f>объемы!AN57</f>
        <v>4359.4799999999996</v>
      </c>
    </row>
    <row r="46" spans="1:25" x14ac:dyDescent="0.2">
      <c r="A46" s="2489">
        <f>A44/A45</f>
        <v>0.46085083542073829</v>
      </c>
    </row>
  </sheetData>
  <mergeCells count="11">
    <mergeCell ref="A2:Y2"/>
    <mergeCell ref="A4:A6"/>
    <mergeCell ref="B4:B6"/>
    <mergeCell ref="C4:L4"/>
    <mergeCell ref="M4:X4"/>
    <mergeCell ref="C5:E5"/>
    <mergeCell ref="F5:J5"/>
    <mergeCell ref="K5:L5"/>
    <mergeCell ref="M6:R6"/>
    <mergeCell ref="S6:X6"/>
    <mergeCell ref="Y4:Y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76"/>
  <sheetViews>
    <sheetView topLeftCell="A32" zoomScale="90" zoomScaleNormal="90" workbookViewId="0">
      <selection activeCell="P51" sqref="P51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846"/>
      <c r="B1" s="5"/>
      <c r="C1" s="1846"/>
      <c r="D1" s="1846"/>
      <c r="E1" s="1846"/>
      <c r="F1" s="3577" t="s">
        <v>3683</v>
      </c>
      <c r="G1" s="3578"/>
      <c r="H1" s="3578"/>
      <c r="I1" s="3578"/>
    </row>
    <row r="2" spans="1:11" ht="15.75" customHeight="1" x14ac:dyDescent="0.25">
      <c r="A2" s="1846"/>
      <c r="B2" s="5"/>
      <c r="C2" s="1846"/>
      <c r="D2" s="1846"/>
      <c r="E2" s="1846"/>
      <c r="F2" s="3309"/>
      <c r="G2" s="3476"/>
      <c r="H2" s="3476"/>
      <c r="I2" s="3476"/>
    </row>
    <row r="3" spans="1:11" ht="15.75" customHeight="1" x14ac:dyDescent="0.25">
      <c r="A3" s="1846"/>
      <c r="B3" s="5"/>
      <c r="C3" s="1846"/>
      <c r="D3" s="1846"/>
      <c r="E3" s="1846"/>
      <c r="F3" s="3477" t="s">
        <v>3684</v>
      </c>
      <c r="G3" s="3477"/>
      <c r="H3" s="3477"/>
      <c r="I3" s="3477"/>
    </row>
    <row r="4" spans="1:11" ht="18" customHeight="1" x14ac:dyDescent="0.25">
      <c r="A4" s="1846"/>
      <c r="B4" s="5"/>
      <c r="C4" s="1846"/>
      <c r="D4" s="1846"/>
      <c r="E4" s="1846"/>
      <c r="F4" s="3477" t="s">
        <v>3651</v>
      </c>
      <c r="G4" s="3477"/>
      <c r="H4" s="3477"/>
      <c r="I4" s="3477"/>
    </row>
    <row r="5" spans="1:11" ht="21" customHeight="1" x14ac:dyDescent="0.25">
      <c r="A5" s="1846"/>
      <c r="B5" s="1846"/>
      <c r="C5" s="1846"/>
      <c r="D5" s="1846"/>
      <c r="E5" s="1846"/>
      <c r="F5" s="3477" t="s">
        <v>3722</v>
      </c>
      <c r="G5" s="3478"/>
      <c r="H5" s="3478"/>
      <c r="I5" s="3477"/>
    </row>
    <row r="6" spans="1:11" ht="21" customHeight="1" x14ac:dyDescent="0.3">
      <c r="A6" s="1846"/>
      <c r="B6" s="1846"/>
      <c r="C6" s="1846"/>
      <c r="D6" s="1846"/>
      <c r="E6" s="1846"/>
      <c r="F6" s="3479" t="s">
        <v>3723</v>
      </c>
      <c r="G6" s="3479"/>
      <c r="H6" s="3479"/>
      <c r="I6" s="3479"/>
    </row>
    <row r="7" spans="1:11" ht="15.75" x14ac:dyDescent="0.25">
      <c r="A7" s="1846"/>
      <c r="B7" s="1846"/>
      <c r="C7" s="1846"/>
      <c r="D7" s="1846"/>
      <c r="E7" s="1846"/>
      <c r="F7" s="1846"/>
      <c r="G7" s="1846"/>
      <c r="H7" s="1846"/>
      <c r="I7" s="1846"/>
    </row>
    <row r="8" spans="1:11" ht="45" customHeight="1" x14ac:dyDescent="0.2">
      <c r="A8" s="3579" t="s">
        <v>3729</v>
      </c>
      <c r="B8" s="3580"/>
      <c r="C8" s="3580"/>
      <c r="D8" s="3580"/>
      <c r="E8" s="3580"/>
      <c r="F8" s="3580"/>
      <c r="G8" s="3580"/>
      <c r="H8" s="3580"/>
      <c r="I8" s="3580"/>
    </row>
    <row r="9" spans="1:11" ht="16.5" thickBot="1" x14ac:dyDescent="0.3">
      <c r="A9" s="1846"/>
      <c r="B9" s="1846"/>
      <c r="C9" s="1846"/>
      <c r="D9" s="1846"/>
      <c r="E9" s="1846"/>
      <c r="F9" s="1846"/>
      <c r="G9" s="1846"/>
      <c r="H9" s="1846"/>
      <c r="I9" s="3312" t="s">
        <v>3693</v>
      </c>
    </row>
    <row r="10" spans="1:11" ht="45.75" customHeight="1" x14ac:dyDescent="0.2">
      <c r="A10" s="3318" t="s">
        <v>367</v>
      </c>
      <c r="B10" s="3319" t="s">
        <v>1002</v>
      </c>
      <c r="C10" s="3319" t="s">
        <v>3694</v>
      </c>
      <c r="D10" s="3319" t="s">
        <v>3695</v>
      </c>
      <c r="E10" s="3319" t="s">
        <v>384</v>
      </c>
      <c r="F10" s="3319" t="s">
        <v>3696</v>
      </c>
      <c r="G10" s="3319" t="s">
        <v>3697</v>
      </c>
      <c r="H10" s="3319" t="s">
        <v>3698</v>
      </c>
      <c r="I10" s="3320" t="s">
        <v>249</v>
      </c>
    </row>
    <row r="11" spans="1:11" ht="19.5" customHeight="1" x14ac:dyDescent="0.2">
      <c r="A11" s="3414" t="s">
        <v>3699</v>
      </c>
      <c r="B11" s="3321" t="s">
        <v>3700</v>
      </c>
      <c r="C11" s="3406">
        <v>286</v>
      </c>
      <c r="D11" s="3406">
        <v>286</v>
      </c>
      <c r="E11" s="3406">
        <v>286</v>
      </c>
      <c r="F11" s="3406">
        <v>286</v>
      </c>
      <c r="G11" s="3406">
        <v>286</v>
      </c>
      <c r="H11" s="3406">
        <v>286</v>
      </c>
      <c r="I11" s="3415">
        <v>286</v>
      </c>
    </row>
    <row r="12" spans="1:11" ht="19.5" customHeight="1" x14ac:dyDescent="0.2">
      <c r="A12" s="3581" t="s">
        <v>3701</v>
      </c>
      <c r="B12" s="3582"/>
      <c r="C12" s="3582"/>
      <c r="D12" s="3582"/>
      <c r="E12" s="3582"/>
      <c r="F12" s="3582"/>
      <c r="G12" s="3582"/>
      <c r="H12" s="3582"/>
      <c r="I12" s="3583"/>
    </row>
    <row r="13" spans="1:11" ht="20.100000000000001" customHeight="1" x14ac:dyDescent="0.2">
      <c r="A13" s="3405" t="s">
        <v>3730</v>
      </c>
      <c r="B13" s="3325" t="s">
        <v>3702</v>
      </c>
      <c r="C13" s="3408">
        <f>SUM(C14:C15)</f>
        <v>915.59873083333332</v>
      </c>
      <c r="D13" s="3408">
        <f t="shared" ref="D13:I13" si="0">SUM(D14:D15)</f>
        <v>915.59873083333332</v>
      </c>
      <c r="E13" s="3408">
        <f t="shared" si="0"/>
        <v>1831.1974616666666</v>
      </c>
      <c r="F13" s="3408">
        <f t="shared" si="0"/>
        <v>915.59873083333332</v>
      </c>
      <c r="G13" s="3408">
        <f t="shared" si="0"/>
        <v>2746.7961924999995</v>
      </c>
      <c r="H13" s="3408">
        <f t="shared" si="0"/>
        <v>915.59873083333332</v>
      </c>
      <c r="I13" s="3418">
        <f t="shared" si="0"/>
        <v>3662.3949233333333</v>
      </c>
      <c r="K13" s="128">
        <f>SUM(C13+D13+F13+H13)</f>
        <v>3662.3949233333333</v>
      </c>
    </row>
    <row r="14" spans="1:11" ht="20.100000000000001" customHeight="1" x14ac:dyDescent="0.2">
      <c r="A14" s="3403" t="s">
        <v>3731</v>
      </c>
      <c r="B14" s="3325" t="s">
        <v>3702</v>
      </c>
      <c r="C14" s="3323">
        <f>SUM('Прил. 1 План ФХД вода табл. 2'!M19)</f>
        <v>915.15623083333332</v>
      </c>
      <c r="D14" s="3323">
        <f>SUM('Прил. 1 План ФХД вода табл. 2'!P19)</f>
        <v>915.15623083333332</v>
      </c>
      <c r="E14" s="3323">
        <f>SUM('Прил. 1 План ФХД вода табл. 2'!S19)</f>
        <v>1830.3124616666666</v>
      </c>
      <c r="F14" s="3323">
        <f>SUM('Прил. 1 План ФХД вода табл. 2'!V19)</f>
        <v>915.15623083333332</v>
      </c>
      <c r="G14" s="3323">
        <f>SUM('Прил. 1 План ФХД вода табл. 2'!Y19)</f>
        <v>2745.4686924999996</v>
      </c>
      <c r="H14" s="3323">
        <f>SUM('Прил. 1 План ФХД вода табл. 2'!AB19)</f>
        <v>915.15623083333332</v>
      </c>
      <c r="I14" s="3324">
        <f>SUM('Прил. 1 План ФХД вода табл. 2'!AE19)</f>
        <v>3660.6249233333333</v>
      </c>
      <c r="K14" s="128">
        <f t="shared" ref="K14:K61" si="1">SUM(C14+D14+F14+H14)</f>
        <v>3660.6249233333333</v>
      </c>
    </row>
    <row r="15" spans="1:11" ht="20.100000000000001" customHeight="1" x14ac:dyDescent="0.2">
      <c r="A15" s="3403" t="s">
        <v>1711</v>
      </c>
      <c r="B15" s="3325" t="s">
        <v>3702</v>
      </c>
      <c r="C15" s="3323">
        <f>SUM('Прил. 1 План ФХД вода табл. 2'!N19)</f>
        <v>0.4425</v>
      </c>
      <c r="D15" s="3323">
        <f>SUM('Прил. 1 План ФХД вода табл. 2'!Q19)</f>
        <v>0.4425</v>
      </c>
      <c r="E15" s="3323">
        <f>SUM('Прил. 1 План ФХД вода табл. 2'!T19)</f>
        <v>0.88500000000000001</v>
      </c>
      <c r="F15" s="3323">
        <f>SUM('Прил. 1 План ФХД вода табл. 2'!W19)</f>
        <v>0.4425</v>
      </c>
      <c r="G15" s="3323">
        <f>SUM('Прил. 1 План ФХД вода табл. 2'!Z19)</f>
        <v>1.3275000000000001</v>
      </c>
      <c r="H15" s="3323">
        <f>SUM('Прил. 1 План ФХД вода табл. 2'!AC19)</f>
        <v>0.4425</v>
      </c>
      <c r="I15" s="3324">
        <f>SUM('Прил. 1 План ФХД вода табл. 2'!AF19)</f>
        <v>1.77</v>
      </c>
      <c r="K15" s="128">
        <f t="shared" si="1"/>
        <v>1.77</v>
      </c>
    </row>
    <row r="16" spans="1:11" ht="20.100000000000001" customHeight="1" x14ac:dyDescent="0.2">
      <c r="A16" s="3405" t="s">
        <v>3750</v>
      </c>
      <c r="B16" s="3325" t="s">
        <v>3702</v>
      </c>
      <c r="C16" s="3408">
        <v>0</v>
      </c>
      <c r="D16" s="3408">
        <v>0</v>
      </c>
      <c r="E16" s="3408">
        <v>0</v>
      </c>
      <c r="F16" s="3408">
        <v>0</v>
      </c>
      <c r="G16" s="3408">
        <v>0</v>
      </c>
      <c r="H16" s="3408">
        <v>128.46</v>
      </c>
      <c r="I16" s="3416">
        <f>SUM(G16:H16)</f>
        <v>128.46</v>
      </c>
      <c r="K16" s="128">
        <f t="shared" si="1"/>
        <v>128.46</v>
      </c>
    </row>
    <row r="17" spans="1:11" ht="20.100000000000001" customHeight="1" x14ac:dyDescent="0.2">
      <c r="A17" s="3419" t="s">
        <v>3733</v>
      </c>
      <c r="B17" s="3325" t="s">
        <v>3702</v>
      </c>
      <c r="C17" s="3408">
        <f>SUM(C18:C19)</f>
        <v>755.00091078952471</v>
      </c>
      <c r="D17" s="3408">
        <f t="shared" ref="D17:I17" si="2">SUM(D18:D19)</f>
        <v>755.00091078952471</v>
      </c>
      <c r="E17" s="3408">
        <f t="shared" si="2"/>
        <v>1510.0018215790494</v>
      </c>
      <c r="F17" s="3408">
        <f t="shared" si="2"/>
        <v>755.00091078952471</v>
      </c>
      <c r="G17" s="3408">
        <f t="shared" si="2"/>
        <v>2265.0027323685745</v>
      </c>
      <c r="H17" s="3408">
        <f t="shared" si="2"/>
        <v>755.00091078952471</v>
      </c>
      <c r="I17" s="3416">
        <f t="shared" si="2"/>
        <v>3020.0036431580988</v>
      </c>
      <c r="K17" s="128">
        <f>SUM(C17+D17+F17+H17)</f>
        <v>3020.0036431580988</v>
      </c>
    </row>
    <row r="18" spans="1:11" ht="20.100000000000001" customHeight="1" x14ac:dyDescent="0.2">
      <c r="A18" s="3404" t="s">
        <v>345</v>
      </c>
      <c r="B18" s="3325" t="s">
        <v>3702</v>
      </c>
      <c r="C18" s="3323">
        <f>SUM('Прил. 1 План ФХД стоки табл 2'!N15)</f>
        <v>750.58424412285808</v>
      </c>
      <c r="D18" s="3323">
        <f>SUM('Прил. 1 План ФХД стоки табл 2'!Q15)</f>
        <v>750.58424412285808</v>
      </c>
      <c r="E18" s="3323">
        <f>SUM('Прил. 1 План ФХД стоки табл 2'!T15)</f>
        <v>1501.1684882457162</v>
      </c>
      <c r="F18" s="3323">
        <f>SUM('Прил. 1 План ФХД стоки табл 2'!W15)</f>
        <v>750.58424412285808</v>
      </c>
      <c r="G18" s="3323">
        <f>SUM('Прил. 1 План ФХД стоки табл 2'!Z15)</f>
        <v>2251.7527323685745</v>
      </c>
      <c r="H18" s="3323">
        <f>SUM('Прил. 1 План ФХД стоки табл 2'!AC15)</f>
        <v>750.58424412285808</v>
      </c>
      <c r="I18" s="3324">
        <f>SUM('Прил. 1 План ФХД стоки табл 2'!AF15)</f>
        <v>3002.3369764914323</v>
      </c>
      <c r="K18" s="128">
        <f t="shared" si="1"/>
        <v>3002.3369764914323</v>
      </c>
    </row>
    <row r="19" spans="1:11" ht="20.100000000000001" customHeight="1" x14ac:dyDescent="0.2">
      <c r="A19" s="3404" t="s">
        <v>3732</v>
      </c>
      <c r="B19" s="3325" t="s">
        <v>3702</v>
      </c>
      <c r="C19" s="3323">
        <f>SUM('Прил. 1 План ФХД стоки табл 2'!O15)</f>
        <v>4.416666666666667</v>
      </c>
      <c r="D19" s="3323">
        <f>SUM('Прил. 1 План ФХД стоки табл 2'!R15)</f>
        <v>4.416666666666667</v>
      </c>
      <c r="E19" s="3323">
        <f>SUM('Прил. 1 План ФХД стоки табл 2'!U15)</f>
        <v>8.8333333333333339</v>
      </c>
      <c r="F19" s="3323">
        <f>SUM('Прил. 1 План ФХД стоки табл 2'!X15)</f>
        <v>4.416666666666667</v>
      </c>
      <c r="G19" s="3323">
        <f>SUM('Прил. 1 План ФХД стоки табл 2'!AA15)</f>
        <v>13.25</v>
      </c>
      <c r="H19" s="3323">
        <f>SUM('Прил. 1 План ФХД стоки табл 2'!AD15)</f>
        <v>4.416666666666667</v>
      </c>
      <c r="I19" s="3324">
        <f>SUM('Прил. 1 План ФХД стоки табл 2'!AG15)</f>
        <v>17.666666666666668</v>
      </c>
      <c r="K19" s="128">
        <f t="shared" si="1"/>
        <v>17.666666666666668</v>
      </c>
    </row>
    <row r="20" spans="1:11" ht="20.100000000000001" customHeight="1" x14ac:dyDescent="0.2">
      <c r="A20" s="3405" t="s">
        <v>3751</v>
      </c>
      <c r="B20" s="3325" t="s">
        <v>3702</v>
      </c>
      <c r="C20" s="3408">
        <v>0</v>
      </c>
      <c r="D20" s="3408">
        <v>0</v>
      </c>
      <c r="E20" s="3408">
        <v>0</v>
      </c>
      <c r="F20" s="3408">
        <v>0</v>
      </c>
      <c r="G20" s="3408">
        <v>0</v>
      </c>
      <c r="H20" s="3408">
        <v>153.05000000000001</v>
      </c>
      <c r="I20" s="3416">
        <f>SUM(G20:H20)</f>
        <v>153.05000000000001</v>
      </c>
      <c r="K20" s="128">
        <f t="shared" si="1"/>
        <v>153.05000000000001</v>
      </c>
    </row>
    <row r="21" spans="1:11" ht="20.100000000000001" customHeight="1" x14ac:dyDescent="0.2">
      <c r="A21" s="3417" t="s">
        <v>3703</v>
      </c>
      <c r="B21" s="3407" t="s">
        <v>187</v>
      </c>
      <c r="C21" s="3413">
        <f>SUM(C22+C27+C32+C26+C31)</f>
        <v>59011.467383830386</v>
      </c>
      <c r="D21" s="3413">
        <f t="shared" ref="D21:I21" si="3">SUM(D22+D27+D32+D26+D31)</f>
        <v>59011.467383830386</v>
      </c>
      <c r="E21" s="3413">
        <f t="shared" si="3"/>
        <v>118022.93476766077</v>
      </c>
      <c r="F21" s="3413">
        <f t="shared" si="3"/>
        <v>60166.756450456451</v>
      </c>
      <c r="G21" s="3413">
        <f t="shared" si="3"/>
        <v>178189.69121811725</v>
      </c>
      <c r="H21" s="3413">
        <f t="shared" si="3"/>
        <v>61232.586450456452</v>
      </c>
      <c r="I21" s="3418">
        <f t="shared" si="3"/>
        <v>239422.27766857369</v>
      </c>
      <c r="K21" s="128">
        <f t="shared" si="1"/>
        <v>239422.27766857366</v>
      </c>
    </row>
    <row r="22" spans="1:11" ht="20.100000000000001" customHeight="1" x14ac:dyDescent="0.2">
      <c r="A22" s="3428" t="s">
        <v>3704</v>
      </c>
      <c r="B22" s="3429" t="s">
        <v>187</v>
      </c>
      <c r="C22" s="3430">
        <f>SUM(C23+C25)</f>
        <v>33732.477890758535</v>
      </c>
      <c r="D22" s="3430">
        <f t="shared" ref="D22:I22" si="4">SUM(D23+D25)</f>
        <v>33732.477890758535</v>
      </c>
      <c r="E22" s="3430">
        <f t="shared" si="4"/>
        <v>67464.95578151707</v>
      </c>
      <c r="F22" s="3430">
        <f t="shared" si="4"/>
        <v>34886.376119793298</v>
      </c>
      <c r="G22" s="3430">
        <f t="shared" si="4"/>
        <v>102351.33190131038</v>
      </c>
      <c r="H22" s="3430">
        <f t="shared" si="4"/>
        <v>34886.376119793298</v>
      </c>
      <c r="I22" s="3431">
        <f t="shared" si="4"/>
        <v>137237.70802110367</v>
      </c>
      <c r="J22" s="585"/>
      <c r="K22" s="128">
        <f t="shared" si="1"/>
        <v>137237.70802110367</v>
      </c>
    </row>
    <row r="23" spans="1:11" ht="20.100000000000001" customHeight="1" x14ac:dyDescent="0.2">
      <c r="A23" s="3322" t="s">
        <v>3734</v>
      </c>
      <c r="B23" s="3407" t="s">
        <v>187</v>
      </c>
      <c r="C23" s="3409">
        <f>SUM('ФАКТ. СЕБЕСТ ВОДА 9 мес. 2019'!AD31)</f>
        <v>33724.775080142666</v>
      </c>
      <c r="D23" s="3409">
        <f>SUM('ФАКТ. СЕБЕСТ ВОДА 9 мес. 2019'!BQ31)</f>
        <v>33724.775080142666</v>
      </c>
      <c r="E23" s="3409">
        <f>SUM('ФАКТ. СЕБЕСТ ВОДА 9 мес. 2019'!CC31)</f>
        <v>67449.550160285333</v>
      </c>
      <c r="F23" s="3409">
        <f>SUM('ФАКТ. СЕБЕСТ ВОДА 9 мес. 2019'!DP31)</f>
        <v>34878.673309177429</v>
      </c>
      <c r="G23" s="3409">
        <f>SUM('ФАКТ. СЕБЕСТ ВОДА 9 мес. 2019'!EB31)</f>
        <v>102328.22346946277</v>
      </c>
      <c r="H23" s="3409">
        <f>SUM('ФАКТ. СЕБЕСТ ВОДА 9 мес. 2019'!FO31)</f>
        <v>34878.673309177429</v>
      </c>
      <c r="I23" s="3410">
        <f>SUM('ФАКТ. СЕБЕСТ ВОДА 9 мес. 2019'!GA31)</f>
        <v>137206.89677864019</v>
      </c>
      <c r="J23" s="585"/>
      <c r="K23" s="128">
        <f t="shared" si="1"/>
        <v>137206.89677864019</v>
      </c>
    </row>
    <row r="24" spans="1:11" ht="20.100000000000001" customHeight="1" x14ac:dyDescent="0.2">
      <c r="A24" s="3420" t="s">
        <v>3735</v>
      </c>
      <c r="B24" s="3407" t="s">
        <v>187</v>
      </c>
      <c r="C24" s="3411">
        <f>SUM('ФАКТ. СЕБЕСТ ВОДА 9 мес. 2019'!AD25)</f>
        <v>4032.2464721909982</v>
      </c>
      <c r="D24" s="3411">
        <f>SUM('ФАКТ. СЕБЕСТ ВОДА 9 мес. 2019'!BQ25)</f>
        <v>4032.2464721909982</v>
      </c>
      <c r="E24" s="3411">
        <f>SUM('ФАКТ. СЕБЕСТ ВОДА 9 мес. 2019'!CC25)</f>
        <v>8064.4929443819965</v>
      </c>
      <c r="F24" s="3411">
        <f>SUM('ФАКТ. СЕБЕСТ ВОДА 9 мес. 2019'!DP25)</f>
        <v>4379.2230708333173</v>
      </c>
      <c r="G24" s="3411">
        <f>SUM('ФАКТ. СЕБЕСТ ВОДА 9 мес. 2019'!EB25)</f>
        <v>12443.716015215314</v>
      </c>
      <c r="H24" s="3411">
        <f>SUM('ФАКТ. СЕБЕСТ ВОДА 9 мес. 2019'!FO25)</f>
        <v>4379.2230708333173</v>
      </c>
      <c r="I24" s="3412">
        <f>SUM('ФАКТ. СЕБЕСТ ВОДА 9 мес. 2019'!GA25)</f>
        <v>16822.939086048631</v>
      </c>
      <c r="J24" s="585"/>
      <c r="K24" s="128">
        <f t="shared" si="1"/>
        <v>16822.939086048631</v>
      </c>
    </row>
    <row r="25" spans="1:11" ht="20.100000000000001" customHeight="1" x14ac:dyDescent="0.2">
      <c r="A25" s="3402" t="s">
        <v>1711</v>
      </c>
      <c r="B25" s="3407" t="s">
        <v>187</v>
      </c>
      <c r="C25" s="3409">
        <f>SUM('ФАКТ. СЕБЕСТ ВОДА 9 мес. 2019'!AE31)</f>
        <v>7.7028106158698142</v>
      </c>
      <c r="D25" s="3409">
        <f>SUM('ФАКТ. СЕБЕСТ ВОДА 9 мес. 2019'!BR31)</f>
        <v>7.7028106158698142</v>
      </c>
      <c r="E25" s="3409">
        <f>SUM('ФАКТ. СЕБЕСТ ВОДА 9 мес. 2019'!CD31)</f>
        <v>15.405621231739628</v>
      </c>
      <c r="F25" s="3409">
        <f>SUM('ФАКТ. СЕБЕСТ ВОДА 9 мес. 2019'!DQ31)</f>
        <v>7.7028106158698142</v>
      </c>
      <c r="G25" s="3409">
        <f>SUM('ФАКТ. СЕБЕСТ ВОДА 9 мес. 2019'!EC31)</f>
        <v>23.108431847609442</v>
      </c>
      <c r="H25" s="3409">
        <f>SUM('ФАКТ. СЕБЕСТ ВОДА 9 мес. 2019'!FP31)</f>
        <v>7.7028106158698142</v>
      </c>
      <c r="I25" s="3410">
        <f>SUM('ФАКТ. СЕБЕСТ ВОДА 9 мес. 2019'!GB31)</f>
        <v>30.811242463479257</v>
      </c>
      <c r="J25" s="585"/>
      <c r="K25" s="128">
        <f t="shared" si="1"/>
        <v>30.811242463479257</v>
      </c>
    </row>
    <row r="26" spans="1:11" ht="20.100000000000001" customHeight="1" x14ac:dyDescent="0.2">
      <c r="A26" s="3405" t="s">
        <v>3750</v>
      </c>
      <c r="B26" s="3407" t="s">
        <v>187</v>
      </c>
      <c r="C26" s="3408">
        <v>0</v>
      </c>
      <c r="D26" s="3408">
        <v>0</v>
      </c>
      <c r="E26" s="3408">
        <v>0</v>
      </c>
      <c r="F26" s="3408">
        <v>0</v>
      </c>
      <c r="G26" s="3408">
        <v>0</v>
      </c>
      <c r="H26" s="3408">
        <v>268.08</v>
      </c>
      <c r="I26" s="3416">
        <f>SUM(G26:H26)</f>
        <v>268.08</v>
      </c>
      <c r="J26" s="585"/>
      <c r="K26" s="128">
        <f t="shared" si="1"/>
        <v>268.08</v>
      </c>
    </row>
    <row r="27" spans="1:11" ht="20.100000000000001" customHeight="1" x14ac:dyDescent="0.2">
      <c r="A27" s="3428" t="s">
        <v>3733</v>
      </c>
      <c r="B27" s="3429" t="s">
        <v>187</v>
      </c>
      <c r="C27" s="3430">
        <f>SUM(C28+C30)</f>
        <v>24128.989493071855</v>
      </c>
      <c r="D27" s="3430">
        <f t="shared" ref="D27:I27" si="5">SUM(D28+D30)</f>
        <v>24128.989493071855</v>
      </c>
      <c r="E27" s="3430">
        <f t="shared" si="5"/>
        <v>48257.978986143709</v>
      </c>
      <c r="F27" s="3430">
        <f t="shared" si="5"/>
        <v>24130.380330663153</v>
      </c>
      <c r="G27" s="3430">
        <f t="shared" si="5"/>
        <v>72388.359316806862</v>
      </c>
      <c r="H27" s="3430">
        <f t="shared" si="5"/>
        <v>24130.380330663153</v>
      </c>
      <c r="I27" s="3431">
        <f t="shared" si="5"/>
        <v>96518.739647470022</v>
      </c>
      <c r="J27" s="585"/>
      <c r="K27" s="128">
        <f t="shared" si="1"/>
        <v>96518.739647470007</v>
      </c>
    </row>
    <row r="28" spans="1:11" ht="20.100000000000001" customHeight="1" x14ac:dyDescent="0.2">
      <c r="A28" s="3402" t="s">
        <v>3733</v>
      </c>
      <c r="B28" s="3407" t="s">
        <v>187</v>
      </c>
      <c r="C28" s="3409">
        <f>SUM('ФАКТ. СЕБЕСТ. СТОКИ 9 мес. 2019'!AD21)</f>
        <v>24066.085667098174</v>
      </c>
      <c r="D28" s="3409">
        <f>SUM('ФАКТ. СЕБЕСТ. СТОКИ 9 мес. 2019'!BQ21)</f>
        <v>24066.085667098174</v>
      </c>
      <c r="E28" s="3409">
        <f>SUM('ФАКТ. СЕБЕСТ. СТОКИ 9 мес. 2019'!CC21)</f>
        <v>48132.171334196348</v>
      </c>
      <c r="F28" s="3409">
        <f>SUM('ФАКТ. СЕБЕСТ. СТОКИ 9 мес. 2019'!DP21)</f>
        <v>24066.085667098174</v>
      </c>
      <c r="G28" s="3409">
        <f>SUM('ФАКТ. СЕБЕСТ. СТОКИ 9 мес. 2019'!EB21)</f>
        <v>72198.257001294522</v>
      </c>
      <c r="H28" s="3409">
        <f>SUM('ФАКТ. СЕБЕСТ. СТОКИ 9 мес. 2019'!FO21)</f>
        <v>24066.085667098174</v>
      </c>
      <c r="I28" s="3410">
        <f>SUM('ФАКТ. СЕБЕСТ. СТОКИ 9 мес. 2019'!GA21)</f>
        <v>96264.342668392695</v>
      </c>
      <c r="J28" s="585"/>
      <c r="K28" s="128">
        <f t="shared" si="1"/>
        <v>96264.342668392695</v>
      </c>
    </row>
    <row r="29" spans="1:11" ht="20.100000000000001" customHeight="1" x14ac:dyDescent="0.2">
      <c r="A29" s="3420" t="s">
        <v>3735</v>
      </c>
      <c r="B29" s="3407" t="s">
        <v>187</v>
      </c>
      <c r="C29" s="3411">
        <f>SUM('ФАКТ. СЕБЕСТ. СТОКИ 9 мес. 2019'!AD18)</f>
        <v>4100.0882553577903</v>
      </c>
      <c r="D29" s="3411">
        <f>SUM('ФАКТ. СЕБЕСТ. СТОКИ 9 мес. 2019'!BQ18)</f>
        <v>4100.0882553577903</v>
      </c>
      <c r="E29" s="3411">
        <f>SUM('ФАКТ. СЕБЕСТ. СТОКИ 9 мес. 2019'!CC18)</f>
        <v>8200.1765107155807</v>
      </c>
      <c r="F29" s="3411">
        <f>SUM('ФАКТ. СЕБЕСТ. СТОКИ 9 мес. 2019'!DP18)</f>
        <v>3774.0425553577907</v>
      </c>
      <c r="G29" s="3411">
        <f>SUM('ФАКТ. СЕБЕСТ. СТОКИ 9 мес. 2019'!EB18)</f>
        <v>11974.219066073372</v>
      </c>
      <c r="H29" s="3411">
        <f>SUM('ФАКТ. СЕБЕСТ. СТОКИ 9 мес. 2019'!FO18)</f>
        <v>3774.0425553577907</v>
      </c>
      <c r="I29" s="3412">
        <f>SUM('ФАКТ. СЕБЕСТ. СТОКИ 9 мес. 2019'!GA18)</f>
        <v>15748.261621431164</v>
      </c>
      <c r="J29" s="585"/>
      <c r="K29" s="128">
        <f t="shared" si="1"/>
        <v>15748.261621431164</v>
      </c>
    </row>
    <row r="30" spans="1:11" ht="20.100000000000001" customHeight="1" x14ac:dyDescent="0.2">
      <c r="A30" s="3402" t="s">
        <v>3732</v>
      </c>
      <c r="B30" s="3407" t="s">
        <v>187</v>
      </c>
      <c r="C30" s="3409">
        <f>SUM('ФАКТ. СЕБЕСТ. СТОКИ 9 мес. 2019'!AE21)</f>
        <v>62.903825973680554</v>
      </c>
      <c r="D30" s="3409">
        <f>SUM('ФАКТ. СЕБЕСТ. СТОКИ 9 мес. 2019'!BR21)</f>
        <v>62.903825973680554</v>
      </c>
      <c r="E30" s="3409">
        <f>SUM('ФАКТ. СЕБЕСТ. СТОКИ 9 мес. 2019'!CD21)</f>
        <v>125.80765194736111</v>
      </c>
      <c r="F30" s="3409">
        <f>SUM('ФАКТ. СЕБЕСТ. СТОКИ 9 мес. 2019'!DQ21)</f>
        <v>64.294663564980283</v>
      </c>
      <c r="G30" s="3409">
        <f>SUM('ФАКТ. СЕБЕСТ. СТОКИ 9 мес. 2019'!EC21)</f>
        <v>190.10231551234139</v>
      </c>
      <c r="H30" s="3409">
        <f>SUM('ФАКТ. СЕБЕСТ. СТОКИ 9 мес. 2019'!FP21)</f>
        <v>64.294663564980283</v>
      </c>
      <c r="I30" s="3410">
        <f>SUM('ФАКТ. СЕБЕСТ. СТОКИ 9 мес. 2019'!GB21)</f>
        <v>254.39697907732167</v>
      </c>
      <c r="J30" s="585"/>
      <c r="K30" s="128">
        <f t="shared" si="1"/>
        <v>254.39697907732167</v>
      </c>
    </row>
    <row r="31" spans="1:11" ht="20.100000000000001" customHeight="1" x14ac:dyDescent="0.2">
      <c r="A31" s="3405" t="s">
        <v>3751</v>
      </c>
      <c r="B31" s="3407" t="s">
        <v>187</v>
      </c>
      <c r="C31" s="3408">
        <v>0</v>
      </c>
      <c r="D31" s="3408">
        <v>0</v>
      </c>
      <c r="E31" s="3408">
        <v>0</v>
      </c>
      <c r="F31" s="3408">
        <v>0</v>
      </c>
      <c r="G31" s="3408">
        <v>0</v>
      </c>
      <c r="H31" s="3408">
        <v>797.75</v>
      </c>
      <c r="I31" s="3416">
        <f>SUM(G31:H31)</f>
        <v>797.75</v>
      </c>
      <c r="J31" s="585"/>
      <c r="K31" s="128">
        <f t="shared" si="1"/>
        <v>797.75</v>
      </c>
    </row>
    <row r="32" spans="1:11" ht="20.100000000000001" customHeight="1" x14ac:dyDescent="0.2">
      <c r="A32" s="3428" t="s">
        <v>3742</v>
      </c>
      <c r="B32" s="3429" t="s">
        <v>187</v>
      </c>
      <c r="C32" s="3430">
        <f>SUM(C33:C34)</f>
        <v>1150</v>
      </c>
      <c r="D32" s="3430">
        <f t="shared" ref="D32:I32" si="6">SUM(D33:D34)</f>
        <v>1150</v>
      </c>
      <c r="E32" s="3430">
        <f t="shared" si="6"/>
        <v>2300</v>
      </c>
      <c r="F32" s="3430">
        <f t="shared" si="6"/>
        <v>1150</v>
      </c>
      <c r="G32" s="3430">
        <f t="shared" si="6"/>
        <v>3450</v>
      </c>
      <c r="H32" s="3430">
        <f t="shared" si="6"/>
        <v>1150</v>
      </c>
      <c r="I32" s="3431">
        <f t="shared" si="6"/>
        <v>4600</v>
      </c>
      <c r="K32" s="128">
        <f t="shared" si="1"/>
        <v>4600</v>
      </c>
    </row>
    <row r="33" spans="1:12" ht="20.100000000000001" customHeight="1" x14ac:dyDescent="0.2">
      <c r="A33" s="3421" t="s">
        <v>3736</v>
      </c>
      <c r="B33" s="3407" t="s">
        <v>187</v>
      </c>
      <c r="C33" s="3411">
        <v>250</v>
      </c>
      <c r="D33" s="3411">
        <v>250</v>
      </c>
      <c r="E33" s="3411">
        <f>SUM(C33:D33)</f>
        <v>500</v>
      </c>
      <c r="F33" s="3411">
        <v>250</v>
      </c>
      <c r="G33" s="3411">
        <f>SUM(E33:F33)</f>
        <v>750</v>
      </c>
      <c r="H33" s="3411">
        <v>250</v>
      </c>
      <c r="I33" s="3412">
        <f>SUM(G33:H33)</f>
        <v>1000</v>
      </c>
      <c r="K33" s="128">
        <f t="shared" si="1"/>
        <v>1000</v>
      </c>
    </row>
    <row r="34" spans="1:12" ht="20.100000000000001" customHeight="1" x14ac:dyDescent="0.2">
      <c r="A34" s="3421" t="s">
        <v>3612</v>
      </c>
      <c r="B34" s="3407" t="s">
        <v>187</v>
      </c>
      <c r="C34" s="3411">
        <v>900</v>
      </c>
      <c r="D34" s="3411">
        <v>900</v>
      </c>
      <c r="E34" s="3411">
        <f>SUM(C34:D34)</f>
        <v>1800</v>
      </c>
      <c r="F34" s="3411">
        <v>900</v>
      </c>
      <c r="G34" s="3411">
        <f>SUM(E34:F34)</f>
        <v>2700</v>
      </c>
      <c r="H34" s="3411">
        <v>900</v>
      </c>
      <c r="I34" s="3412">
        <f>SUM(G34:H34)</f>
        <v>3600</v>
      </c>
      <c r="K34" s="128">
        <f t="shared" si="1"/>
        <v>3600</v>
      </c>
    </row>
    <row r="35" spans="1:12" ht="20.100000000000001" customHeight="1" x14ac:dyDescent="0.2">
      <c r="A35" s="3417" t="s">
        <v>3706</v>
      </c>
      <c r="B35" s="3407" t="s">
        <v>187</v>
      </c>
      <c r="C35" s="3413">
        <f>SUM(C36+C40+C44)</f>
        <v>59004.06941624821</v>
      </c>
      <c r="D35" s="3413">
        <f>SUM(D36+D40+D44)</f>
        <v>59004.06941624821</v>
      </c>
      <c r="E35" s="3413">
        <f t="shared" ref="E35:I35" si="7">SUM(E36+E40+E44)</f>
        <v>118008.13883249642</v>
      </c>
      <c r="F35" s="3413">
        <f t="shared" si="7"/>
        <v>59304.154258087154</v>
      </c>
      <c r="G35" s="3413">
        <f t="shared" si="7"/>
        <v>177312.29309058358</v>
      </c>
      <c r="H35" s="3413">
        <f t="shared" si="7"/>
        <v>59304.154258087154</v>
      </c>
      <c r="I35" s="3418">
        <f t="shared" si="7"/>
        <v>236616.44734867071</v>
      </c>
      <c r="K35" s="128">
        <f t="shared" si="1"/>
        <v>236616.44734867074</v>
      </c>
    </row>
    <row r="36" spans="1:12" ht="20.100000000000001" customHeight="1" x14ac:dyDescent="0.2">
      <c r="A36" s="3428" t="s">
        <v>3704</v>
      </c>
      <c r="B36" s="3429" t="s">
        <v>187</v>
      </c>
      <c r="C36" s="3430">
        <f>SUM(C37:C38)</f>
        <v>34223.315028783894</v>
      </c>
      <c r="D36" s="3430">
        <f t="shared" ref="D36:I36" si="8">SUM(D37:D38)</f>
        <v>34223.315028783894</v>
      </c>
      <c r="E36" s="3430">
        <f t="shared" si="8"/>
        <v>68446.630057567789</v>
      </c>
      <c r="F36" s="3430">
        <f t="shared" si="8"/>
        <v>34395.538792864732</v>
      </c>
      <c r="G36" s="3430">
        <f t="shared" si="8"/>
        <v>102842.16885043251</v>
      </c>
      <c r="H36" s="3430">
        <f t="shared" si="8"/>
        <v>34395.538792864732</v>
      </c>
      <c r="I36" s="3431">
        <f t="shared" si="8"/>
        <v>137237.70764329724</v>
      </c>
      <c r="K36" s="128">
        <f t="shared" si="1"/>
        <v>137237.70764329727</v>
      </c>
    </row>
    <row r="37" spans="1:12" ht="20.100000000000001" customHeight="1" x14ac:dyDescent="0.2">
      <c r="A37" s="3322" t="s">
        <v>3731</v>
      </c>
      <c r="B37" s="3407" t="s">
        <v>187</v>
      </c>
      <c r="C37" s="3409">
        <f>SUM('ФАКТ. СЕБЕСТ ВОДА 9 мес. 2019'!AD74)</f>
        <v>34215.620946284398</v>
      </c>
      <c r="D37" s="3409">
        <f>SUM('ФАКТ. СЕБЕСТ ВОДА 9 мес. 2019'!BQ74)</f>
        <v>34215.620946284398</v>
      </c>
      <c r="E37" s="3409">
        <f>SUM('ФАКТ. СЕБЕСТ ВОДА 9 мес. 2019'!CC74)</f>
        <v>68431.241892568796</v>
      </c>
      <c r="F37" s="3409">
        <f>SUM('ФАКТ. СЕБЕСТ ВОДА 9 мес. 2019'!DP74)</f>
        <v>34387.82725422379</v>
      </c>
      <c r="G37" s="3409">
        <f>SUM('ФАКТ. СЕБЕСТ ВОДА 9 мес. 2019'!EB74)</f>
        <v>102819.06914679258</v>
      </c>
      <c r="H37" s="3409">
        <f>SUM('ФАКТ. СЕБЕСТ ВОДА 9 мес. 2019'!FO74)</f>
        <v>34387.82725422379</v>
      </c>
      <c r="I37" s="3410">
        <f>SUM('ФАКТ. СЕБЕСТ ВОДА 9 мес. 2019'!GA74)</f>
        <v>137206.89640101636</v>
      </c>
      <c r="K37" s="128">
        <f t="shared" si="1"/>
        <v>137206.89640101636</v>
      </c>
    </row>
    <row r="38" spans="1:12" ht="20.100000000000001" customHeight="1" x14ac:dyDescent="0.2">
      <c r="A38" s="3402" t="s">
        <v>1711</v>
      </c>
      <c r="B38" s="3407" t="s">
        <v>187</v>
      </c>
      <c r="C38" s="3409">
        <f>SUM('ФАКТ. СЕБЕСТ ВОДА 9 мес. 2019'!AE74)</f>
        <v>7.694082499492735</v>
      </c>
      <c r="D38" s="3409">
        <f>SUM('ФАКТ. СЕБЕСТ ВОДА 9 мес. 2019'!BR74)</f>
        <v>7.694082499492735</v>
      </c>
      <c r="E38" s="3409">
        <f>SUM('ФАКТ. СЕБЕСТ ВОДА 9 мес. 2019'!CD74)</f>
        <v>15.38816499898547</v>
      </c>
      <c r="F38" s="3409">
        <f>SUM('ФАКТ. СЕБЕСТ ВОДА 9 мес. 2019'!DQ74)</f>
        <v>7.7115386409448963</v>
      </c>
      <c r="G38" s="3409">
        <f>SUM('ФАКТ. СЕБЕСТ ВОДА 9 мес. 2019'!EC74)</f>
        <v>23.099703639930368</v>
      </c>
      <c r="H38" s="3409">
        <f>SUM('ФАКТ. СЕБЕСТ ВОДА 9 мес. 2019'!FP74)</f>
        <v>7.7115386409448963</v>
      </c>
      <c r="I38" s="3410">
        <f>SUM('ФАКТ. СЕБЕСТ ВОДА 9 мес. 2019'!GB74)</f>
        <v>30.811242280875263</v>
      </c>
      <c r="K38" s="128">
        <f t="shared" si="1"/>
        <v>30.811242280875263</v>
      </c>
    </row>
    <row r="39" spans="1:12" ht="20.100000000000001" customHeight="1" x14ac:dyDescent="0.2">
      <c r="A39" s="3481" t="s">
        <v>3750</v>
      </c>
      <c r="B39" s="3407" t="s">
        <v>187</v>
      </c>
      <c r="C39" s="3482">
        <v>0</v>
      </c>
      <c r="D39" s="3482">
        <v>0</v>
      </c>
      <c r="E39" s="3482">
        <v>0</v>
      </c>
      <c r="F39" s="3482">
        <v>0</v>
      </c>
      <c r="G39" s="3482">
        <v>0</v>
      </c>
      <c r="H39" s="3482">
        <v>268.08</v>
      </c>
      <c r="I39" s="3483">
        <f>SUM(G39:H39)</f>
        <v>268.08</v>
      </c>
      <c r="K39" s="128">
        <f t="shared" si="1"/>
        <v>268.08</v>
      </c>
    </row>
    <row r="40" spans="1:12" ht="20.100000000000001" customHeight="1" x14ac:dyDescent="0.2">
      <c r="A40" s="3428" t="s">
        <v>3733</v>
      </c>
      <c r="B40" s="3429" t="s">
        <v>187</v>
      </c>
      <c r="C40" s="3430">
        <f>SUM(C41:C42)</f>
        <v>24065.754387464316</v>
      </c>
      <c r="D40" s="3430">
        <f t="shared" ref="D40:I40" si="9">SUM(D41:D42)</f>
        <v>24065.754387464316</v>
      </c>
      <c r="E40" s="3430">
        <f t="shared" si="9"/>
        <v>48131.508774928632</v>
      </c>
      <c r="F40" s="3430">
        <f t="shared" si="9"/>
        <v>24193.615465222421</v>
      </c>
      <c r="G40" s="3430">
        <f t="shared" si="9"/>
        <v>72325.124240151054</v>
      </c>
      <c r="H40" s="3430">
        <f t="shared" si="9"/>
        <v>24193.615465222421</v>
      </c>
      <c r="I40" s="3431">
        <f t="shared" si="9"/>
        <v>96518.739705373475</v>
      </c>
      <c r="K40" s="128">
        <f t="shared" si="1"/>
        <v>96518.739705373475</v>
      </c>
    </row>
    <row r="41" spans="1:12" ht="20.100000000000001" customHeight="1" x14ac:dyDescent="0.2">
      <c r="A41" s="3402" t="s">
        <v>345</v>
      </c>
      <c r="B41" s="3407" t="s">
        <v>187</v>
      </c>
      <c r="C41" s="3409">
        <f>SUM('ФАКТ. СЕБЕСТ. СТОКИ 9 мес. 2019'!AD62)</f>
        <v>24002.457404368852</v>
      </c>
      <c r="D41" s="3409">
        <f>SUM('ФАКТ. СЕБЕСТ. СТОКИ 9 мес. 2019'!BQ62)</f>
        <v>24002.457404368852</v>
      </c>
      <c r="E41" s="3409">
        <f>SUM('ФАКТ. СЕБЕСТ. СТОКИ 9 мес. 2019'!CC62)</f>
        <v>48004.914808737703</v>
      </c>
      <c r="F41" s="3409">
        <f>SUM('ФАКТ. СЕБЕСТ. СТОКИ 9 мес. 2019'!DP62)</f>
        <v>24129.71395878003</v>
      </c>
      <c r="G41" s="3409">
        <f>SUM('ФАКТ. СЕБЕСТ. СТОКИ 9 мес. 2019'!EB62)</f>
        <v>72134.62876751773</v>
      </c>
      <c r="H41" s="3409">
        <f>SUM('ФАКТ. СЕБЕСТ. СТОКИ 9 мес. 2019'!FO62)</f>
        <v>24129.71395878003</v>
      </c>
      <c r="I41" s="3410">
        <f>SUM('ФАКТ. СЕБЕСТ. СТОКИ 9 мес. 2019'!GA62)</f>
        <v>96264.342726297764</v>
      </c>
      <c r="K41" s="128">
        <f t="shared" si="1"/>
        <v>96264.342726297764</v>
      </c>
    </row>
    <row r="42" spans="1:12" ht="20.100000000000001" customHeight="1" x14ac:dyDescent="0.2">
      <c r="A42" s="3402" t="s">
        <v>3732</v>
      </c>
      <c r="B42" s="3407" t="s">
        <v>187</v>
      </c>
      <c r="C42" s="3409">
        <f>SUM('ФАКТ. СЕБЕСТ. СТОКИ 9 мес. 2019'!AE62)</f>
        <v>63.296983095465002</v>
      </c>
      <c r="D42" s="3409">
        <f>SUM('ФАКТ. СЕБЕСТ. СТОКИ 9 мес. 2019'!BR62)</f>
        <v>63.296983095465002</v>
      </c>
      <c r="E42" s="3409">
        <f>SUM('ФАКТ. СЕБЕСТ. СТОКИ 9 мес. 2019'!CD62)</f>
        <v>126.59396619093</v>
      </c>
      <c r="F42" s="3409">
        <f>SUM('ФАКТ. СЕБЕСТ. СТОКИ 9 мес. 2019'!DQ62)</f>
        <v>63.901506442390257</v>
      </c>
      <c r="G42" s="3409">
        <f>SUM('ФАКТ. СЕБЕСТ. СТОКИ 9 мес. 2019'!EC62)</f>
        <v>190.49547263332028</v>
      </c>
      <c r="H42" s="3409">
        <f>SUM('ФАКТ. СЕБЕСТ. СТОКИ 9 мес. 2019'!FP62)</f>
        <v>63.901506442390257</v>
      </c>
      <c r="I42" s="3410">
        <f>SUM('ФАКТ. СЕБЕСТ. СТОКИ 9 мес. 2019'!GB62)</f>
        <v>254.39697907571053</v>
      </c>
      <c r="K42" s="128">
        <f t="shared" si="1"/>
        <v>254.39697907571053</v>
      </c>
    </row>
    <row r="43" spans="1:12" ht="20.100000000000001" customHeight="1" x14ac:dyDescent="0.2">
      <c r="A43" s="3481" t="s">
        <v>3751</v>
      </c>
      <c r="B43" s="3407" t="s">
        <v>187</v>
      </c>
      <c r="C43" s="3482">
        <v>0</v>
      </c>
      <c r="D43" s="3482">
        <v>0</v>
      </c>
      <c r="E43" s="3482">
        <v>0</v>
      </c>
      <c r="F43" s="3482">
        <v>0</v>
      </c>
      <c r="G43" s="3482">
        <v>0</v>
      </c>
      <c r="H43" s="3482">
        <v>797.75</v>
      </c>
      <c r="I43" s="3483">
        <f>SUM(G43:H43)</f>
        <v>797.75</v>
      </c>
      <c r="K43" s="128">
        <f t="shared" si="1"/>
        <v>797.75</v>
      </c>
    </row>
    <row r="44" spans="1:12" ht="20.100000000000001" customHeight="1" x14ac:dyDescent="0.2">
      <c r="A44" s="3428" t="s">
        <v>3737</v>
      </c>
      <c r="B44" s="3429" t="s">
        <v>187</v>
      </c>
      <c r="C44" s="3430">
        <f>SUM(C45:C46)</f>
        <v>715</v>
      </c>
      <c r="D44" s="3430">
        <f t="shared" ref="D44:I44" si="10">SUM(D45:D46)</f>
        <v>715</v>
      </c>
      <c r="E44" s="3430">
        <f t="shared" si="10"/>
        <v>1430</v>
      </c>
      <c r="F44" s="3430">
        <f t="shared" si="10"/>
        <v>715</v>
      </c>
      <c r="G44" s="3430">
        <f t="shared" si="10"/>
        <v>2145</v>
      </c>
      <c r="H44" s="3430">
        <f t="shared" si="10"/>
        <v>715</v>
      </c>
      <c r="I44" s="3431">
        <f t="shared" si="10"/>
        <v>2860</v>
      </c>
      <c r="K44" s="128">
        <f t="shared" si="1"/>
        <v>2860</v>
      </c>
    </row>
    <row r="45" spans="1:12" ht="20.100000000000001" customHeight="1" x14ac:dyDescent="0.2">
      <c r="A45" s="3432" t="s">
        <v>3736</v>
      </c>
      <c r="B45" s="3407" t="s">
        <v>187</v>
      </c>
      <c r="C45" s="3409">
        <f>SUM(C33*70%)</f>
        <v>175</v>
      </c>
      <c r="D45" s="3409">
        <f>SUM(D33*70%)</f>
        <v>175</v>
      </c>
      <c r="E45" s="3409">
        <f>SUM(E33*70%)</f>
        <v>350</v>
      </c>
      <c r="F45" s="3409">
        <f t="shared" ref="F45:I45" si="11">SUM(F33*70%)</f>
        <v>175</v>
      </c>
      <c r="G45" s="3409">
        <f t="shared" si="11"/>
        <v>525</v>
      </c>
      <c r="H45" s="3409">
        <f t="shared" si="11"/>
        <v>175</v>
      </c>
      <c r="I45" s="3410">
        <f t="shared" si="11"/>
        <v>700</v>
      </c>
      <c r="K45" s="128">
        <f t="shared" si="1"/>
        <v>700</v>
      </c>
    </row>
    <row r="46" spans="1:12" ht="20.100000000000001" customHeight="1" x14ac:dyDescent="0.2">
      <c r="A46" s="3432" t="s">
        <v>3612</v>
      </c>
      <c r="B46" s="3407" t="s">
        <v>187</v>
      </c>
      <c r="C46" s="3409">
        <f>SUM(C34*60%)</f>
        <v>540</v>
      </c>
      <c r="D46" s="3409">
        <f t="shared" ref="D46:I46" si="12">SUM(D34*60%)</f>
        <v>540</v>
      </c>
      <c r="E46" s="3409">
        <f t="shared" si="12"/>
        <v>1080</v>
      </c>
      <c r="F46" s="3409">
        <f t="shared" si="12"/>
        <v>540</v>
      </c>
      <c r="G46" s="3409">
        <f t="shared" si="12"/>
        <v>1620</v>
      </c>
      <c r="H46" s="3409">
        <f t="shared" si="12"/>
        <v>540</v>
      </c>
      <c r="I46" s="3410">
        <f t="shared" si="12"/>
        <v>2160</v>
      </c>
      <c r="K46" s="128">
        <f t="shared" si="1"/>
        <v>2160</v>
      </c>
    </row>
    <row r="47" spans="1:12" ht="20.100000000000001" customHeight="1" x14ac:dyDescent="0.2">
      <c r="A47" s="3419" t="s">
        <v>3707</v>
      </c>
      <c r="B47" s="3407" t="s">
        <v>187</v>
      </c>
      <c r="C47" s="3413">
        <f t="shared" ref="C47:I47" si="13">SUM(C48:C52)</f>
        <v>7.3979675821792625</v>
      </c>
      <c r="D47" s="3413">
        <f t="shared" si="13"/>
        <v>7.3979675821792625</v>
      </c>
      <c r="E47" s="3413">
        <f t="shared" si="13"/>
        <v>14.795935164358525</v>
      </c>
      <c r="F47" s="3413">
        <f t="shared" si="13"/>
        <v>862.60219236929697</v>
      </c>
      <c r="G47" s="3413">
        <f t="shared" si="13"/>
        <v>877.39812753367005</v>
      </c>
      <c r="H47" s="3413">
        <f t="shared" si="13"/>
        <v>862.60219236929697</v>
      </c>
      <c r="I47" s="3418">
        <f t="shared" si="13"/>
        <v>1740.0003199029743</v>
      </c>
      <c r="K47" s="128">
        <f t="shared" si="1"/>
        <v>1740.0003199029525</v>
      </c>
    </row>
    <row r="48" spans="1:12" ht="20.100000000000001" customHeight="1" x14ac:dyDescent="0.2">
      <c r="A48" s="3404" t="s">
        <v>355</v>
      </c>
      <c r="B48" s="3429" t="s">
        <v>187</v>
      </c>
      <c r="C48" s="3411">
        <f>SUM(C22-C36)</f>
        <v>-490.83713802535931</v>
      </c>
      <c r="D48" s="3411">
        <f t="shared" ref="D48:I48" si="14">SUM(D22-D36)</f>
        <v>-490.83713802535931</v>
      </c>
      <c r="E48" s="3411">
        <f t="shared" si="14"/>
        <v>-981.67427605071862</v>
      </c>
      <c r="F48" s="3411">
        <f t="shared" si="14"/>
        <v>490.83732692856574</v>
      </c>
      <c r="G48" s="3411">
        <f t="shared" si="14"/>
        <v>-490.83694912213832</v>
      </c>
      <c r="H48" s="3411">
        <f t="shared" si="14"/>
        <v>490.83732692856574</v>
      </c>
      <c r="I48" s="3412">
        <f t="shared" si="14"/>
        <v>3.7780642742291093E-4</v>
      </c>
      <c r="K48" s="128">
        <f t="shared" si="1"/>
        <v>3.778064128709957E-4</v>
      </c>
      <c r="L48" s="129"/>
    </row>
    <row r="49" spans="1:12" ht="20.100000000000001" customHeight="1" x14ac:dyDescent="0.2">
      <c r="A49" s="3403" t="s">
        <v>3750</v>
      </c>
      <c r="B49" s="3429" t="s">
        <v>187</v>
      </c>
      <c r="C49" s="3411">
        <f>SUM(C26-C39)</f>
        <v>0</v>
      </c>
      <c r="D49" s="3411">
        <f t="shared" ref="D49:I49" si="15">SUM(D26-D39)</f>
        <v>0</v>
      </c>
      <c r="E49" s="3411">
        <f t="shared" si="15"/>
        <v>0</v>
      </c>
      <c r="F49" s="3411">
        <f t="shared" si="15"/>
        <v>0</v>
      </c>
      <c r="G49" s="3411">
        <f t="shared" si="15"/>
        <v>0</v>
      </c>
      <c r="H49" s="3411">
        <f t="shared" si="15"/>
        <v>0</v>
      </c>
      <c r="I49" s="3412">
        <f t="shared" si="15"/>
        <v>0</v>
      </c>
      <c r="K49" s="128">
        <f t="shared" si="1"/>
        <v>0</v>
      </c>
      <c r="L49" s="129"/>
    </row>
    <row r="50" spans="1:12" ht="20.100000000000001" customHeight="1" x14ac:dyDescent="0.2">
      <c r="A50" s="3404" t="s">
        <v>345</v>
      </c>
      <c r="B50" s="3429" t="s">
        <v>187</v>
      </c>
      <c r="C50" s="3411">
        <f>SUM(C27-C40)</f>
        <v>63.235105607538571</v>
      </c>
      <c r="D50" s="3411">
        <f t="shared" ref="D50:I50" si="16">SUM(D27-D40)</f>
        <v>63.235105607538571</v>
      </c>
      <c r="E50" s="3411">
        <f t="shared" si="16"/>
        <v>126.47021121507714</v>
      </c>
      <c r="F50" s="3411">
        <f t="shared" si="16"/>
        <v>-63.235134559268772</v>
      </c>
      <c r="G50" s="3411">
        <f t="shared" si="16"/>
        <v>63.235076655808371</v>
      </c>
      <c r="H50" s="3411">
        <f t="shared" si="16"/>
        <v>-63.235134559268772</v>
      </c>
      <c r="I50" s="3412">
        <f t="shared" si="16"/>
        <v>-5.7903453125618398E-5</v>
      </c>
      <c r="K50" s="128">
        <f t="shared" si="1"/>
        <v>-5.7903460401576012E-5</v>
      </c>
      <c r="L50" s="129"/>
    </row>
    <row r="51" spans="1:12" ht="20.100000000000001" customHeight="1" x14ac:dyDescent="0.2">
      <c r="A51" s="3403" t="s">
        <v>3751</v>
      </c>
      <c r="B51" s="3429" t="s">
        <v>187</v>
      </c>
      <c r="C51" s="3411">
        <f>SUM(C31-C43)</f>
        <v>0</v>
      </c>
      <c r="D51" s="3411">
        <f t="shared" ref="D51:I51" si="17">SUM(D31-D43)</f>
        <v>0</v>
      </c>
      <c r="E51" s="3411">
        <f t="shared" si="17"/>
        <v>0</v>
      </c>
      <c r="F51" s="3411">
        <f t="shared" si="17"/>
        <v>0</v>
      </c>
      <c r="G51" s="3411">
        <f t="shared" si="17"/>
        <v>0</v>
      </c>
      <c r="H51" s="3411">
        <f t="shared" si="17"/>
        <v>0</v>
      </c>
      <c r="I51" s="3412">
        <f t="shared" si="17"/>
        <v>0</v>
      </c>
      <c r="K51" s="128">
        <f t="shared" si="1"/>
        <v>0</v>
      </c>
      <c r="L51" s="129"/>
    </row>
    <row r="52" spans="1:12" ht="20.100000000000001" customHeight="1" x14ac:dyDescent="0.2">
      <c r="A52" s="3404" t="s">
        <v>3705</v>
      </c>
      <c r="B52" s="3429" t="s">
        <v>187</v>
      </c>
      <c r="C52" s="3411">
        <f>SUM(C32-C44)</f>
        <v>435</v>
      </c>
      <c r="D52" s="3411">
        <f t="shared" ref="D52:I52" si="18">SUM(D32-D44)</f>
        <v>435</v>
      </c>
      <c r="E52" s="3411">
        <f t="shared" si="18"/>
        <v>870</v>
      </c>
      <c r="F52" s="3411">
        <f t="shared" si="18"/>
        <v>435</v>
      </c>
      <c r="G52" s="3411">
        <f t="shared" si="18"/>
        <v>1305</v>
      </c>
      <c r="H52" s="3411">
        <f t="shared" si="18"/>
        <v>435</v>
      </c>
      <c r="I52" s="3412">
        <f t="shared" si="18"/>
        <v>1740</v>
      </c>
      <c r="K52" s="128">
        <f t="shared" si="1"/>
        <v>1740</v>
      </c>
    </row>
    <row r="53" spans="1:12" ht="20.100000000000001" customHeight="1" x14ac:dyDescent="0.2">
      <c r="A53" s="3419" t="s">
        <v>3739</v>
      </c>
      <c r="B53" s="3407" t="s">
        <v>187</v>
      </c>
      <c r="C53" s="3413">
        <v>465</v>
      </c>
      <c r="D53" s="3413">
        <v>465</v>
      </c>
      <c r="E53" s="3413">
        <f>SUM(C53:D53)</f>
        <v>930</v>
      </c>
      <c r="F53" s="3413">
        <v>465</v>
      </c>
      <c r="G53" s="3413">
        <f>SUM(E53:F53)</f>
        <v>1395</v>
      </c>
      <c r="H53" s="3413">
        <v>465</v>
      </c>
      <c r="I53" s="3418">
        <f>SUM(G53:H53)</f>
        <v>1860</v>
      </c>
      <c r="K53" s="128">
        <f t="shared" si="1"/>
        <v>1860</v>
      </c>
    </row>
    <row r="54" spans="1:12" ht="20.100000000000001" customHeight="1" x14ac:dyDescent="0.2">
      <c r="A54" s="3419" t="s">
        <v>3708</v>
      </c>
      <c r="B54" s="3407" t="s">
        <v>187</v>
      </c>
      <c r="C54" s="3413">
        <f t="shared" ref="C54:I54" si="19">SUM(C55:C57)</f>
        <v>900</v>
      </c>
      <c r="D54" s="3413">
        <f t="shared" si="19"/>
        <v>900</v>
      </c>
      <c r="E54" s="3413">
        <f t="shared" si="19"/>
        <v>1800</v>
      </c>
      <c r="F54" s="3413">
        <f t="shared" si="19"/>
        <v>900</v>
      </c>
      <c r="G54" s="3413">
        <f t="shared" si="19"/>
        <v>2700</v>
      </c>
      <c r="H54" s="3413">
        <f t="shared" si="19"/>
        <v>900</v>
      </c>
      <c r="I54" s="3418">
        <f t="shared" si="19"/>
        <v>3600</v>
      </c>
      <c r="K54" s="128">
        <f t="shared" si="1"/>
        <v>3600</v>
      </c>
    </row>
    <row r="55" spans="1:12" ht="20.100000000000001" customHeight="1" x14ac:dyDescent="0.2">
      <c r="A55" s="3404" t="s">
        <v>3738</v>
      </c>
      <c r="B55" s="3429" t="s">
        <v>187</v>
      </c>
      <c r="C55" s="3411">
        <v>562.5</v>
      </c>
      <c r="D55" s="3411">
        <v>562.5</v>
      </c>
      <c r="E55" s="3411">
        <f>C55+D55</f>
        <v>1125</v>
      </c>
      <c r="F55" s="3411">
        <v>562.5</v>
      </c>
      <c r="G55" s="3411">
        <f>E55+F55</f>
        <v>1687.5</v>
      </c>
      <c r="H55" s="3411">
        <v>562.5</v>
      </c>
      <c r="I55" s="3412">
        <f t="shared" ref="I55:I57" si="20">G55+H55</f>
        <v>2250</v>
      </c>
      <c r="K55" s="128">
        <f t="shared" si="1"/>
        <v>2250</v>
      </c>
    </row>
    <row r="56" spans="1:12" ht="20.100000000000001" customHeight="1" x14ac:dyDescent="0.2">
      <c r="A56" s="3404" t="s">
        <v>3709</v>
      </c>
      <c r="B56" s="3429" t="s">
        <v>187</v>
      </c>
      <c r="C56" s="3411">
        <v>287.5</v>
      </c>
      <c r="D56" s="3411">
        <v>287.5</v>
      </c>
      <c r="E56" s="3411">
        <f>C56+D56</f>
        <v>575</v>
      </c>
      <c r="F56" s="3411">
        <v>287.5</v>
      </c>
      <c r="G56" s="3411">
        <f>E56+F56</f>
        <v>862.5</v>
      </c>
      <c r="H56" s="3411">
        <v>287.5</v>
      </c>
      <c r="I56" s="3412">
        <f t="shared" si="20"/>
        <v>1150</v>
      </c>
      <c r="K56" s="128">
        <f t="shared" si="1"/>
        <v>1150</v>
      </c>
    </row>
    <row r="57" spans="1:12" ht="20.100000000000001" customHeight="1" x14ac:dyDescent="0.2">
      <c r="A57" s="3404" t="s">
        <v>3710</v>
      </c>
      <c r="B57" s="3429" t="s">
        <v>187</v>
      </c>
      <c r="C57" s="3411">
        <v>50</v>
      </c>
      <c r="D57" s="3411">
        <v>50</v>
      </c>
      <c r="E57" s="3411">
        <f>C57+D57</f>
        <v>100</v>
      </c>
      <c r="F57" s="3411">
        <v>50</v>
      </c>
      <c r="G57" s="3411">
        <f>E57+F57</f>
        <v>150</v>
      </c>
      <c r="H57" s="3411">
        <v>50</v>
      </c>
      <c r="I57" s="3412">
        <f t="shared" si="20"/>
        <v>200</v>
      </c>
      <c r="K57" s="128">
        <f t="shared" si="1"/>
        <v>200</v>
      </c>
    </row>
    <row r="58" spans="1:12" ht="20.100000000000001" customHeight="1" x14ac:dyDescent="0.2">
      <c r="A58" s="3419" t="s">
        <v>3711</v>
      </c>
      <c r="B58" s="3407" t="s">
        <v>187</v>
      </c>
      <c r="C58" s="3413">
        <f t="shared" ref="C58:I58" si="21">SUM(C47+C53-C54)</f>
        <v>-427.60203241782074</v>
      </c>
      <c r="D58" s="3413">
        <f t="shared" si="21"/>
        <v>-427.60203241782074</v>
      </c>
      <c r="E58" s="3413">
        <f t="shared" si="21"/>
        <v>-855.20406483564147</v>
      </c>
      <c r="F58" s="3413">
        <f t="shared" si="21"/>
        <v>427.60219236929697</v>
      </c>
      <c r="G58" s="3413">
        <f t="shared" si="21"/>
        <v>-427.60187246632995</v>
      </c>
      <c r="H58" s="3413">
        <f t="shared" si="21"/>
        <v>427.60219236929697</v>
      </c>
      <c r="I58" s="3418">
        <f t="shared" si="21"/>
        <v>3.1990297429729253E-4</v>
      </c>
      <c r="K58" s="128">
        <f t="shared" si="1"/>
        <v>3.1990295246941969E-4</v>
      </c>
    </row>
    <row r="59" spans="1:12" ht="20.100000000000001" customHeight="1" x14ac:dyDescent="0.2">
      <c r="A59" s="3419" t="s">
        <v>3712</v>
      </c>
      <c r="B59" s="3407" t="s">
        <v>187</v>
      </c>
      <c r="C59" s="3413">
        <f>SUM(C58-(C58*20%))</f>
        <v>-342.08162593425658</v>
      </c>
      <c r="D59" s="3413">
        <f t="shared" ref="D59:I59" si="22">SUM(D58-(D58*20%))</f>
        <v>-342.08162593425658</v>
      </c>
      <c r="E59" s="3413">
        <f t="shared" si="22"/>
        <v>-684.16325186851316</v>
      </c>
      <c r="F59" s="3413">
        <f t="shared" si="22"/>
        <v>342.0817538954376</v>
      </c>
      <c r="G59" s="3413">
        <f t="shared" si="22"/>
        <v>-342.08149797306396</v>
      </c>
      <c r="H59" s="3413">
        <f t="shared" si="22"/>
        <v>342.0817538954376</v>
      </c>
      <c r="I59" s="3418">
        <f t="shared" si="22"/>
        <v>2.5592237943783402E-4</v>
      </c>
      <c r="K59" s="128">
        <f t="shared" si="1"/>
        <v>2.5592236204374785E-4</v>
      </c>
    </row>
    <row r="60" spans="1:12" ht="20.100000000000001" customHeight="1" x14ac:dyDescent="0.2">
      <c r="A60" s="3402" t="s">
        <v>3713</v>
      </c>
      <c r="B60" s="3325" t="s">
        <v>44</v>
      </c>
      <c r="C60" s="3409">
        <f t="shared" ref="C60:I60" si="23">C59/C35*100</f>
        <v>-0.57975937815579892</v>
      </c>
      <c r="D60" s="3409">
        <f t="shared" si="23"/>
        <v>-0.57975937815579892</v>
      </c>
      <c r="E60" s="3409">
        <f t="shared" si="23"/>
        <v>-0.57975937815579892</v>
      </c>
      <c r="F60" s="3409">
        <f t="shared" si="23"/>
        <v>0.57682595456420116</v>
      </c>
      <c r="G60" s="3409">
        <f t="shared" si="23"/>
        <v>-0.19292599064087715</v>
      </c>
      <c r="H60" s="3409">
        <f t="shared" si="23"/>
        <v>0.57682595456420116</v>
      </c>
      <c r="I60" s="3410">
        <f t="shared" si="23"/>
        <v>1.081591674228439E-7</v>
      </c>
      <c r="K60" s="128">
        <f t="shared" si="1"/>
        <v>-5.8668471831955227E-3</v>
      </c>
    </row>
    <row r="61" spans="1:12" ht="20.100000000000001" customHeight="1" thickBot="1" x14ac:dyDescent="0.25">
      <c r="A61" s="3329" t="s">
        <v>3714</v>
      </c>
      <c r="B61" s="3422" t="s">
        <v>187</v>
      </c>
      <c r="C61" s="3423">
        <f>SUM(C59)</f>
        <v>-342.08162593425658</v>
      </c>
      <c r="D61" s="3423">
        <f t="shared" ref="D61:I61" si="24">SUM(D59)</f>
        <v>-342.08162593425658</v>
      </c>
      <c r="E61" s="3423">
        <f t="shared" si="24"/>
        <v>-684.16325186851316</v>
      </c>
      <c r="F61" s="3423">
        <f t="shared" si="24"/>
        <v>342.0817538954376</v>
      </c>
      <c r="G61" s="3423">
        <f t="shared" si="24"/>
        <v>-342.08149797306396</v>
      </c>
      <c r="H61" s="3423">
        <f t="shared" si="24"/>
        <v>342.0817538954376</v>
      </c>
      <c r="I61" s="3330">
        <f t="shared" si="24"/>
        <v>2.5592237943783402E-4</v>
      </c>
      <c r="K61" s="128">
        <f t="shared" si="1"/>
        <v>2.5592236204374785E-4</v>
      </c>
    </row>
    <row r="62" spans="1:12" ht="48" hidden="1" customHeight="1" x14ac:dyDescent="0.2">
      <c r="A62" s="3331" t="s">
        <v>3715</v>
      </c>
      <c r="B62" s="3325" t="s">
        <v>187</v>
      </c>
      <c r="C62" s="3323">
        <v>0</v>
      </c>
      <c r="D62" s="3323">
        <v>0</v>
      </c>
      <c r="E62" s="3323">
        <v>0</v>
      </c>
      <c r="F62" s="3323">
        <v>0</v>
      </c>
      <c r="G62" s="3323">
        <v>0</v>
      </c>
      <c r="H62" s="3323">
        <v>0</v>
      </c>
      <c r="I62" s="3324">
        <v>0</v>
      </c>
    </row>
    <row r="63" spans="1:12" ht="49.5" hidden="1" customHeight="1" x14ac:dyDescent="0.2">
      <c r="A63" s="3332" t="s">
        <v>3716</v>
      </c>
      <c r="B63" s="3328" t="s">
        <v>187</v>
      </c>
      <c r="C63" s="3326">
        <v>0</v>
      </c>
      <c r="D63" s="3326">
        <v>0</v>
      </c>
      <c r="E63" s="3326">
        <v>0</v>
      </c>
      <c r="F63" s="3326">
        <v>0</v>
      </c>
      <c r="G63" s="3326">
        <v>0</v>
      </c>
      <c r="H63" s="3326">
        <v>0</v>
      </c>
      <c r="I63" s="3327">
        <v>0</v>
      </c>
    </row>
    <row r="64" spans="1:12" ht="49.5" hidden="1" customHeight="1" thickBot="1" x14ac:dyDescent="0.25">
      <c r="A64" s="3333" t="s">
        <v>3717</v>
      </c>
      <c r="B64" s="3334" t="s">
        <v>187</v>
      </c>
      <c r="C64" s="3335">
        <f>SUM(C61-(C62+C63))</f>
        <v>-342.08162593425658</v>
      </c>
      <c r="D64" s="3335">
        <f t="shared" ref="D64:I64" si="25">SUM(D61-(D62+D63))</f>
        <v>-342.08162593425658</v>
      </c>
      <c r="E64" s="3335">
        <f t="shared" si="25"/>
        <v>-684.16325186851316</v>
      </c>
      <c r="F64" s="3335">
        <f t="shared" si="25"/>
        <v>342.0817538954376</v>
      </c>
      <c r="G64" s="3335">
        <f t="shared" si="25"/>
        <v>-342.08149797306396</v>
      </c>
      <c r="H64" s="3335">
        <f t="shared" si="25"/>
        <v>342.0817538954376</v>
      </c>
      <c r="I64" s="3336">
        <f t="shared" si="25"/>
        <v>2.5592237943783402E-4</v>
      </c>
    </row>
    <row r="65" spans="1:9" ht="15.75" x14ac:dyDescent="0.25">
      <c r="A65" s="3337"/>
      <c r="B65" s="3337"/>
      <c r="C65" s="3337"/>
      <c r="D65" s="3337"/>
      <c r="E65" s="3337"/>
      <c r="F65" s="3337"/>
      <c r="G65" s="3337"/>
      <c r="H65" s="3337"/>
      <c r="I65" s="3337"/>
    </row>
    <row r="66" spans="1:9" ht="15.75" x14ac:dyDescent="0.25">
      <c r="A66" s="1846"/>
      <c r="B66" s="1846"/>
      <c r="C66" s="1846"/>
      <c r="D66" s="1846"/>
      <c r="E66" s="1846"/>
      <c r="F66" s="1846"/>
      <c r="G66" s="1846"/>
      <c r="H66" s="1846"/>
      <c r="I66" s="1846"/>
    </row>
    <row r="67" spans="1:9" ht="18.75" x14ac:dyDescent="0.3">
      <c r="A67" s="3479"/>
      <c r="B67" s="3479"/>
      <c r="C67" s="3479"/>
      <c r="D67" s="3479"/>
      <c r="E67" s="3479"/>
      <c r="F67" s="3480"/>
      <c r="G67" s="3474"/>
      <c r="H67" s="3474"/>
      <c r="I67" s="3474"/>
    </row>
    <row r="68" spans="1:9" ht="18.75" x14ac:dyDescent="0.3">
      <c r="A68" s="3479" t="s">
        <v>3690</v>
      </c>
      <c r="B68" s="3479"/>
      <c r="C68" s="3479"/>
      <c r="D68" s="3479"/>
      <c r="E68" s="3479" t="s">
        <v>3691</v>
      </c>
      <c r="F68" s="3480"/>
      <c r="G68" s="3474"/>
      <c r="H68" s="3474"/>
      <c r="I68" s="3474"/>
    </row>
    <row r="69" spans="1:9" ht="15" x14ac:dyDescent="0.2">
      <c r="A69" s="3160"/>
      <c r="B69" s="3160"/>
      <c r="C69" s="3160"/>
      <c r="D69" s="3160"/>
      <c r="E69" s="3160"/>
      <c r="F69" s="3160"/>
      <c r="G69" s="3160"/>
      <c r="H69" s="3160"/>
      <c r="I69" s="3160"/>
    </row>
    <row r="70" spans="1:9" ht="15" x14ac:dyDescent="0.2">
      <c r="A70" s="3160"/>
      <c r="B70" s="3160"/>
      <c r="C70" s="3160"/>
      <c r="D70" s="3160"/>
      <c r="E70" s="3160"/>
      <c r="F70" s="3160"/>
      <c r="G70" s="3160"/>
      <c r="H70" s="3160"/>
      <c r="I70" s="3160"/>
    </row>
    <row r="71" spans="1:9" ht="15" x14ac:dyDescent="0.2">
      <c r="A71" s="3160"/>
      <c r="B71" s="3160"/>
      <c r="C71" s="3160"/>
      <c r="D71" s="3160"/>
      <c r="E71" s="3160"/>
      <c r="F71" s="3160"/>
      <c r="G71" s="3160"/>
      <c r="H71" s="3160"/>
      <c r="I71" s="3160"/>
    </row>
    <row r="72" spans="1:9" ht="15" x14ac:dyDescent="0.2">
      <c r="A72" s="3160"/>
      <c r="B72" s="3160"/>
      <c r="C72" s="3160"/>
      <c r="D72" s="3160"/>
      <c r="E72" s="3160"/>
      <c r="F72" s="3160"/>
      <c r="G72" s="3160"/>
      <c r="H72" s="3160"/>
      <c r="I72" s="3160"/>
    </row>
    <row r="73" spans="1:9" ht="15" x14ac:dyDescent="0.2">
      <c r="A73" s="3160"/>
      <c r="B73" s="3160"/>
      <c r="C73" s="3160"/>
      <c r="D73" s="3160"/>
      <c r="E73" s="3160"/>
      <c r="F73" s="3160"/>
      <c r="G73" s="3160"/>
      <c r="H73" s="3160"/>
      <c r="I73" s="3160"/>
    </row>
    <row r="74" spans="1:9" ht="66.75" customHeight="1" x14ac:dyDescent="0.2">
      <c r="A74" s="3584"/>
      <c r="B74" s="3584"/>
      <c r="C74" s="3584"/>
      <c r="D74" s="3584"/>
      <c r="E74" s="3584"/>
      <c r="F74" s="3584"/>
      <c r="G74" s="3584"/>
      <c r="H74" s="3584"/>
      <c r="I74" s="3584"/>
    </row>
    <row r="75" spans="1:9" ht="31.5" customHeight="1" x14ac:dyDescent="0.2">
      <c r="A75" s="3584"/>
      <c r="B75" s="3491"/>
      <c r="C75" s="3491"/>
      <c r="D75" s="3491"/>
      <c r="E75" s="3491"/>
      <c r="F75" s="3491"/>
      <c r="G75" s="3491"/>
      <c r="H75" s="3491"/>
      <c r="I75" s="3491"/>
    </row>
    <row r="76" spans="1:9" ht="15" x14ac:dyDescent="0.2">
      <c r="A76" s="3160"/>
      <c r="B76" s="3160"/>
      <c r="C76" s="3160"/>
      <c r="D76" s="3160"/>
      <c r="E76" s="3160"/>
      <c r="F76" s="3160"/>
      <c r="G76" s="3160"/>
      <c r="H76" s="3160"/>
      <c r="I76" s="3160"/>
    </row>
  </sheetData>
  <mergeCells count="5">
    <mergeCell ref="F1:I1"/>
    <mergeCell ref="A8:I8"/>
    <mergeCell ref="A12:I12"/>
    <mergeCell ref="A74:I74"/>
    <mergeCell ref="A75:I75"/>
  </mergeCells>
  <printOptions horizontalCentered="1" verticalCentered="1"/>
  <pageMargins left="0.51181102362204722" right="0.15748031496062992" top="0.35433070866141736" bottom="0.35433070866141736" header="0" footer="0"/>
  <pageSetup paperSize="9" scale="5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BD105"/>
  <sheetViews>
    <sheetView zoomScaleNormal="100" workbookViewId="0">
      <selection activeCell="U34" sqref="U34"/>
    </sheetView>
  </sheetViews>
  <sheetFormatPr defaultRowHeight="12.75" x14ac:dyDescent="0.2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customWidth="1"/>
    <col min="22" max="22" width="11" hidden="1" customWidth="1"/>
    <col min="23" max="23" width="12.85546875" customWidth="1"/>
    <col min="24" max="24" width="13.42578125" customWidth="1"/>
    <col min="25" max="26" width="12.42578125" hidden="1" customWidth="1"/>
    <col min="27" max="27" width="14.85546875" customWidth="1"/>
    <col min="28" max="28" width="12.42578125" customWidth="1"/>
    <col min="29" max="29" width="13.5703125" customWidth="1"/>
    <col min="30" max="30" width="12.42578125" hidden="1" customWidth="1"/>
    <col min="31" max="31" width="13.5703125" customWidth="1"/>
    <col min="32" max="32" width="12.42578125" hidden="1" customWidth="1"/>
    <col min="33" max="43" width="12.42578125" customWidth="1"/>
    <col min="44" max="44" width="16.140625" customWidth="1"/>
    <col min="45" max="45" width="17.42578125" customWidth="1"/>
    <col min="46" max="46" width="0.42578125" customWidth="1"/>
    <col min="47" max="47" width="16.85546875" hidden="1" customWidth="1"/>
    <col min="48" max="48" width="16.7109375" customWidth="1"/>
    <col min="49" max="49" width="12.28515625" customWidth="1"/>
    <col min="51" max="51" width="0" hidden="1" customWidth="1"/>
    <col min="54" max="54" width="14.7109375" customWidth="1"/>
    <col min="55" max="55" width="17.140625" customWidth="1"/>
  </cols>
  <sheetData>
    <row r="1" spans="1:47" x14ac:dyDescent="0.2">
      <c r="V1" t="s">
        <v>1514</v>
      </c>
      <c r="AR1" s="3958" t="s">
        <v>1684</v>
      </c>
      <c r="AS1" s="3958"/>
    </row>
    <row r="2" spans="1:47" ht="15.75" customHeight="1" x14ac:dyDescent="0.3">
      <c r="A2" s="3782" t="s">
        <v>363</v>
      </c>
      <c r="B2" s="3782"/>
      <c r="C2" s="3782"/>
      <c r="D2" s="3782"/>
      <c r="E2" s="3782"/>
      <c r="F2" s="3782"/>
      <c r="G2" s="3782"/>
      <c r="H2" s="3782"/>
      <c r="I2" s="3782"/>
      <c r="J2" s="3782"/>
      <c r="K2" s="3782"/>
      <c r="L2" s="3782"/>
      <c r="M2" s="3782"/>
      <c r="N2" s="3782"/>
      <c r="O2" s="3782"/>
      <c r="P2" s="3782"/>
      <c r="Q2" s="3782"/>
      <c r="R2" s="3782"/>
      <c r="S2" s="3782"/>
      <c r="T2" s="3782"/>
      <c r="U2" s="3782"/>
      <c r="V2" s="3782"/>
      <c r="W2" s="3782"/>
      <c r="X2" s="3782"/>
      <c r="Y2" s="3782"/>
      <c r="Z2" s="3782"/>
      <c r="AA2" s="3782"/>
      <c r="AB2" s="3782"/>
      <c r="AC2" s="3782"/>
      <c r="AD2" s="3782"/>
      <c r="AE2" s="3782"/>
      <c r="AF2" s="3782"/>
      <c r="AG2" s="3782"/>
      <c r="AH2" s="3782"/>
      <c r="AI2" s="3782"/>
      <c r="AJ2" s="3782"/>
      <c r="AK2" s="3782"/>
      <c r="AL2" s="3782"/>
      <c r="AM2" s="3782"/>
      <c r="AN2" s="3782"/>
      <c r="AO2" s="3782"/>
      <c r="AP2" s="3782"/>
      <c r="AQ2" s="3782"/>
      <c r="AR2" s="3782"/>
      <c r="AS2" s="3782"/>
      <c r="AT2" s="137"/>
      <c r="AU2" s="137"/>
    </row>
    <row r="3" spans="1:47" ht="15.75" hidden="1" x14ac:dyDescent="0.25">
      <c r="A3" s="3827"/>
      <c r="B3" s="3799" t="s">
        <v>58</v>
      </c>
      <c r="C3" s="4110" t="s">
        <v>59</v>
      </c>
      <c r="D3" s="4110"/>
      <c r="E3" s="4267" t="s">
        <v>67</v>
      </c>
      <c r="F3" s="4267"/>
      <c r="G3" s="4242" t="s">
        <v>95</v>
      </c>
      <c r="H3" s="4245"/>
      <c r="I3" s="4242" t="s">
        <v>120</v>
      </c>
      <c r="J3" s="4243"/>
      <c r="K3" s="4243"/>
      <c r="L3" s="4244"/>
      <c r="M3" s="4243"/>
      <c r="N3" s="4245"/>
      <c r="O3" s="4267" t="s">
        <v>159</v>
      </c>
      <c r="P3" s="4267"/>
      <c r="Q3" s="4268"/>
      <c r="R3" s="4268"/>
      <c r="S3" s="4269"/>
      <c r="T3" s="4268"/>
      <c r="U3" s="4268"/>
      <c r="V3" s="4268"/>
      <c r="W3" s="4270"/>
      <c r="X3" s="4270"/>
      <c r="Y3" s="4270"/>
      <c r="Z3" s="4270"/>
      <c r="AA3" s="4270"/>
      <c r="AB3" s="4271"/>
      <c r="AC3" s="4271"/>
      <c r="AD3" s="4270"/>
      <c r="AE3" s="4270"/>
      <c r="AF3" s="4270"/>
      <c r="AG3" s="4271"/>
      <c r="AH3" s="4271"/>
      <c r="AI3" s="4271"/>
      <c r="AJ3" s="4271"/>
      <c r="AK3" s="4271"/>
      <c r="AL3" s="4271"/>
      <c r="AM3" s="4271"/>
      <c r="AN3" s="4271"/>
      <c r="AO3" s="4271"/>
      <c r="AP3" s="4271"/>
      <c r="AQ3" s="4271"/>
      <c r="AR3" s="4267"/>
      <c r="AS3" s="4267"/>
      <c r="AT3" s="4267"/>
      <c r="AU3" s="4267"/>
    </row>
    <row r="4" spans="1:47" ht="12.75" hidden="1" customHeight="1" x14ac:dyDescent="0.2">
      <c r="A4" s="3827"/>
      <c r="B4" s="3800"/>
      <c r="C4" s="4265" t="s">
        <v>61</v>
      </c>
      <c r="D4" s="4265" t="s">
        <v>62</v>
      </c>
      <c r="E4" s="4265" t="s">
        <v>61</v>
      </c>
      <c r="F4" s="4265" t="s">
        <v>66</v>
      </c>
      <c r="G4" s="3799" t="s">
        <v>61</v>
      </c>
      <c r="H4" s="3799" t="s">
        <v>112</v>
      </c>
      <c r="I4" s="4265" t="s">
        <v>86</v>
      </c>
      <c r="J4" s="3799" t="s">
        <v>63</v>
      </c>
      <c r="K4" s="3799" t="s">
        <v>110</v>
      </c>
      <c r="L4" s="659"/>
      <c r="M4" s="3799" t="s">
        <v>61</v>
      </c>
      <c r="N4" s="3799" t="s">
        <v>165</v>
      </c>
      <c r="O4" s="4265" t="s">
        <v>96</v>
      </c>
      <c r="P4" s="4265" t="s">
        <v>157</v>
      </c>
      <c r="Q4" s="714"/>
      <c r="R4" s="714"/>
      <c r="S4" s="1639"/>
      <c r="T4" s="714"/>
      <c r="U4" s="714"/>
      <c r="V4" s="714"/>
      <c r="W4" s="1954"/>
      <c r="X4" s="1954"/>
      <c r="Y4" s="1954"/>
      <c r="Z4" s="1954"/>
      <c r="AA4" s="1954"/>
      <c r="AB4" s="2499"/>
      <c r="AC4" s="2499"/>
      <c r="AD4" s="1954"/>
      <c r="AE4" s="1954"/>
      <c r="AF4" s="1954"/>
      <c r="AG4" s="2499"/>
      <c r="AH4" s="2499"/>
      <c r="AI4" s="2499"/>
      <c r="AJ4" s="2499"/>
      <c r="AK4" s="2499"/>
      <c r="AL4" s="2499"/>
      <c r="AM4" s="2499"/>
      <c r="AN4" s="2499"/>
      <c r="AO4" s="2499"/>
      <c r="AP4" s="2499"/>
      <c r="AQ4" s="2499"/>
      <c r="AR4" s="4265" t="s">
        <v>244</v>
      </c>
      <c r="AS4" s="4265" t="s">
        <v>245</v>
      </c>
      <c r="AT4" s="3799" t="s">
        <v>246</v>
      </c>
      <c r="AU4" s="3799" t="s">
        <v>61</v>
      </c>
    </row>
    <row r="5" spans="1:47" ht="27.75" hidden="1" customHeight="1" x14ac:dyDescent="0.2">
      <c r="A5" s="3827"/>
      <c r="B5" s="4246"/>
      <c r="C5" s="4265"/>
      <c r="D5" s="4265"/>
      <c r="E5" s="4265"/>
      <c r="F5" s="4265"/>
      <c r="G5" s="4246"/>
      <c r="H5" s="4246"/>
      <c r="I5" s="4265"/>
      <c r="J5" s="4246"/>
      <c r="K5" s="4246"/>
      <c r="L5" s="646"/>
      <c r="M5" s="4246"/>
      <c r="N5" s="4246"/>
      <c r="O5" s="4265"/>
      <c r="P5" s="4265"/>
      <c r="Q5" s="714"/>
      <c r="R5" s="714"/>
      <c r="S5" s="1639"/>
      <c r="T5" s="714"/>
      <c r="U5" s="714"/>
      <c r="V5" s="714"/>
      <c r="W5" s="1954"/>
      <c r="X5" s="1954"/>
      <c r="Y5" s="1954"/>
      <c r="Z5" s="1954"/>
      <c r="AA5" s="1954"/>
      <c r="AB5" s="2499"/>
      <c r="AC5" s="2499"/>
      <c r="AD5" s="1954"/>
      <c r="AE5" s="1954"/>
      <c r="AF5" s="1954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4265"/>
      <c r="AS5" s="4265"/>
      <c r="AT5" s="4246"/>
      <c r="AU5" s="4246"/>
    </row>
    <row r="6" spans="1:47" hidden="1" x14ac:dyDescent="0.2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662"/>
      <c r="M6" s="135">
        <v>3765.8</v>
      </c>
      <c r="N6" s="6">
        <f>M6/G6*100</f>
        <v>185.19720664896232</v>
      </c>
      <c r="O6" s="135">
        <v>3856</v>
      </c>
      <c r="P6" s="6">
        <f>O6/M6*100</f>
        <v>102.39524138297307</v>
      </c>
      <c r="Q6" s="664"/>
      <c r="R6" s="664"/>
      <c r="S6" s="1640"/>
      <c r="T6" s="664"/>
      <c r="U6" s="664"/>
      <c r="V6" s="664"/>
      <c r="W6" s="1936"/>
      <c r="X6" s="1936"/>
      <c r="Y6" s="1936"/>
      <c r="Z6" s="1936"/>
      <c r="AA6" s="1936"/>
      <c r="AB6" s="2452"/>
      <c r="AC6" s="2452"/>
      <c r="AD6" s="1936"/>
      <c r="AE6" s="1936"/>
      <c r="AF6" s="1936"/>
      <c r="AG6" s="2452"/>
      <c r="AH6" s="2452"/>
      <c r="AI6" s="2452"/>
      <c r="AJ6" s="2452"/>
      <c r="AK6" s="2452"/>
      <c r="AL6" s="2452"/>
      <c r="AM6" s="2452"/>
      <c r="AN6" s="2452"/>
      <c r="AO6" s="2452"/>
      <c r="AP6" s="2452"/>
      <c r="AQ6" s="2452"/>
      <c r="AR6" s="135">
        <f>вода!Q10</f>
        <v>3772</v>
      </c>
      <c r="AS6" s="135">
        <v>2819.3</v>
      </c>
      <c r="AT6" s="135">
        <v>3772</v>
      </c>
      <c r="AU6" s="135">
        <v>3756.7</v>
      </c>
    </row>
    <row r="7" spans="1:47" hidden="1" x14ac:dyDescent="0.2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662"/>
      <c r="M7" s="135">
        <v>535</v>
      </c>
      <c r="N7" s="6">
        <f>M7/G7*100</f>
        <v>102.86483368582964</v>
      </c>
      <c r="O7" s="135">
        <v>638</v>
      </c>
      <c r="P7" s="6">
        <f t="shared" ref="P7:P15" si="3">O7/M7*100</f>
        <v>119.25233644859814</v>
      </c>
      <c r="Q7" s="664"/>
      <c r="R7" s="664"/>
      <c r="S7" s="1640"/>
      <c r="T7" s="664"/>
      <c r="U7" s="664"/>
      <c r="V7" s="664"/>
      <c r="W7" s="1936"/>
      <c r="X7" s="1936"/>
      <c r="Y7" s="1936"/>
      <c r="Z7" s="1936"/>
      <c r="AA7" s="1936"/>
      <c r="AB7" s="2452"/>
      <c r="AC7" s="2452"/>
      <c r="AD7" s="1936"/>
      <c r="AE7" s="1936"/>
      <c r="AF7" s="1936"/>
      <c r="AG7" s="2452"/>
      <c r="AH7" s="2452"/>
      <c r="AI7" s="2452"/>
      <c r="AJ7" s="2452"/>
      <c r="AK7" s="2452"/>
      <c r="AL7" s="2452"/>
      <c r="AM7" s="2452"/>
      <c r="AN7" s="2452"/>
      <c r="AO7" s="2452"/>
      <c r="AP7" s="2452"/>
      <c r="AQ7" s="2452"/>
      <c r="AR7" s="135">
        <f>вода!Q20</f>
        <v>542</v>
      </c>
      <c r="AS7" s="135">
        <v>461.2</v>
      </c>
      <c r="AT7" s="135">
        <v>564</v>
      </c>
      <c r="AU7" s="135">
        <v>635.20000000000005</v>
      </c>
    </row>
    <row r="8" spans="1:47" hidden="1" x14ac:dyDescent="0.2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662"/>
      <c r="M8" s="135">
        <v>272.89999999999998</v>
      </c>
      <c r="N8" s="6">
        <f>M8/G8*100</f>
        <v>105.69326103795507</v>
      </c>
      <c r="O8" s="135">
        <v>257</v>
      </c>
      <c r="P8" s="6">
        <f t="shared" si="3"/>
        <v>94.173689996335668</v>
      </c>
      <c r="Q8" s="664"/>
      <c r="R8" s="664"/>
      <c r="S8" s="1640"/>
      <c r="T8" s="664"/>
      <c r="U8" s="664"/>
      <c r="V8" s="664"/>
      <c r="W8" s="1936"/>
      <c r="X8" s="1936"/>
      <c r="Y8" s="1936"/>
      <c r="Z8" s="1936"/>
      <c r="AA8" s="1936"/>
      <c r="AB8" s="2452"/>
      <c r="AC8" s="2452"/>
      <c r="AD8" s="1936"/>
      <c r="AE8" s="1936"/>
      <c r="AF8" s="1936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135">
        <f>вода!Q29</f>
        <v>257</v>
      </c>
      <c r="AS8" s="135">
        <v>205.4</v>
      </c>
      <c r="AT8" s="135">
        <v>293</v>
      </c>
      <c r="AU8" s="135">
        <v>272.89999999999998</v>
      </c>
    </row>
    <row r="9" spans="1:47" hidden="1" x14ac:dyDescent="0.2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662"/>
      <c r="M9" s="135">
        <v>2598.4</v>
      </c>
      <c r="N9" s="6">
        <f>M9/G9*100</f>
        <v>115.30508098513424</v>
      </c>
      <c r="O9" s="135">
        <v>3264</v>
      </c>
      <c r="P9" s="6">
        <f t="shared" si="3"/>
        <v>125.61576354679802</v>
      </c>
      <c r="Q9" s="664"/>
      <c r="R9" s="664"/>
      <c r="S9" s="1640"/>
      <c r="T9" s="664"/>
      <c r="U9" s="664"/>
      <c r="V9" s="664"/>
      <c r="W9" s="1936"/>
      <c r="X9" s="1936"/>
      <c r="Y9" s="1936"/>
      <c r="Z9" s="1936"/>
      <c r="AA9" s="1936"/>
      <c r="AB9" s="2452"/>
      <c r="AC9" s="2452"/>
      <c r="AD9" s="1936"/>
      <c r="AE9" s="1936"/>
      <c r="AF9" s="1936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135">
        <f>вода!Q36</f>
        <v>2628</v>
      </c>
      <c r="AS9" s="135">
        <v>2012.2</v>
      </c>
      <c r="AT9" s="135">
        <v>2662</v>
      </c>
      <c r="AU9" s="135">
        <v>2690.2</v>
      </c>
    </row>
    <row r="10" spans="1:47" hidden="1" x14ac:dyDescent="0.2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711"/>
      <c r="M10" s="134">
        <f>SUM(M6:M9)</f>
        <v>7172.1</v>
      </c>
      <c r="N10" s="6">
        <f>M10/G10*100</f>
        <v>141.59559346126511</v>
      </c>
      <c r="O10" s="134">
        <f>SUM(O6:O9)</f>
        <v>8015</v>
      </c>
      <c r="P10" s="6">
        <f t="shared" si="3"/>
        <v>111.75248532507911</v>
      </c>
      <c r="Q10" s="664"/>
      <c r="R10" s="664"/>
      <c r="S10" s="1640"/>
      <c r="T10" s="664"/>
      <c r="U10" s="664"/>
      <c r="V10" s="664"/>
      <c r="W10" s="1936"/>
      <c r="X10" s="1936"/>
      <c r="Y10" s="1936"/>
      <c r="Z10" s="1936"/>
      <c r="AA10" s="1936"/>
      <c r="AB10" s="2452"/>
      <c r="AC10" s="2452"/>
      <c r="AD10" s="1936"/>
      <c r="AE10" s="1936"/>
      <c r="AF10" s="1936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134">
        <f>SUM(AR6:AR9)</f>
        <v>7199</v>
      </c>
      <c r="AS10" s="134">
        <f>SUM(AS6:AS9)</f>
        <v>5498.1</v>
      </c>
      <c r="AT10" s="134">
        <f>SUM(AT6:AT9)</f>
        <v>7291</v>
      </c>
      <c r="AU10" s="134">
        <f>SUM(AU6:AU9)</f>
        <v>7354.9999999999991</v>
      </c>
    </row>
    <row r="11" spans="1:47" hidden="1" x14ac:dyDescent="0.2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660"/>
      <c r="M11" s="135">
        <v>247.9</v>
      </c>
      <c r="N11" s="6">
        <f>M11/E11*100</f>
        <v>117.48815165876778</v>
      </c>
      <c r="O11" s="135">
        <v>216.8</v>
      </c>
      <c r="P11" s="6">
        <f t="shared" si="3"/>
        <v>87.454618797902384</v>
      </c>
      <c r="Q11" s="664"/>
      <c r="R11" s="664"/>
      <c r="S11" s="1640"/>
      <c r="T11" s="664"/>
      <c r="U11" s="664"/>
      <c r="V11" s="664"/>
      <c r="W11" s="1936"/>
      <c r="X11" s="1936"/>
      <c r="Y11" s="1936"/>
      <c r="Z11" s="1936"/>
      <c r="AA11" s="1936"/>
      <c r="AB11" s="2452"/>
      <c r="AC11" s="2452"/>
      <c r="AD11" s="1936"/>
      <c r="AE11" s="1936"/>
      <c r="AF11" s="1936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135">
        <f>стоки!P10</f>
        <v>206.5</v>
      </c>
      <c r="AS11" s="135">
        <v>192.7</v>
      </c>
      <c r="AT11" s="135">
        <v>267.60000000000002</v>
      </c>
      <c r="AU11" s="135">
        <v>256.93</v>
      </c>
    </row>
    <row r="12" spans="1:47" hidden="1" x14ac:dyDescent="0.2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662"/>
      <c r="M12" s="135">
        <v>994.7</v>
      </c>
      <c r="N12" s="6">
        <f>M12/E12*100</f>
        <v>89.548073460568972</v>
      </c>
      <c r="O12" s="135">
        <v>1312.5</v>
      </c>
      <c r="P12" s="6">
        <f t="shared" si="3"/>
        <v>131.94933145672061</v>
      </c>
      <c r="Q12" s="664"/>
      <c r="R12" s="664"/>
      <c r="S12" s="1640"/>
      <c r="T12" s="664"/>
      <c r="U12" s="664"/>
      <c r="V12" s="664"/>
      <c r="W12" s="1936"/>
      <c r="X12" s="1936"/>
      <c r="Y12" s="1936"/>
      <c r="Z12" s="1936"/>
      <c r="AA12" s="1936"/>
      <c r="AB12" s="2452"/>
      <c r="AC12" s="2452"/>
      <c r="AD12" s="1936"/>
      <c r="AE12" s="1936"/>
      <c r="AF12" s="1936"/>
      <c r="AG12" s="2452"/>
      <c r="AH12" s="2452"/>
      <c r="AI12" s="2452"/>
      <c r="AJ12" s="2452"/>
      <c r="AK12" s="2452"/>
      <c r="AL12" s="2452"/>
      <c r="AM12" s="2452"/>
      <c r="AN12" s="2452"/>
      <c r="AO12" s="2452"/>
      <c r="AP12" s="2452"/>
      <c r="AQ12" s="2452"/>
      <c r="AR12" s="135">
        <f>стоки!P20</f>
        <v>1281</v>
      </c>
      <c r="AS12" s="135">
        <v>720.7</v>
      </c>
      <c r="AT12" s="135">
        <v>1281</v>
      </c>
      <c r="AU12" s="135">
        <v>960.93</v>
      </c>
    </row>
    <row r="13" spans="1:47" hidden="1" x14ac:dyDescent="0.2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662"/>
      <c r="M13" s="135">
        <v>25.5</v>
      </c>
      <c r="N13" s="6">
        <f>M13/E13*100</f>
        <v>134.92063492063494</v>
      </c>
      <c r="O13" s="135">
        <v>27.7</v>
      </c>
      <c r="P13" s="6">
        <f t="shared" si="3"/>
        <v>108.62745098039215</v>
      </c>
      <c r="Q13" s="664"/>
      <c r="R13" s="664"/>
      <c r="S13" s="1640"/>
      <c r="T13" s="664"/>
      <c r="U13" s="664"/>
      <c r="V13" s="664"/>
      <c r="W13" s="1936"/>
      <c r="X13" s="1936"/>
      <c r="Y13" s="1936"/>
      <c r="Z13" s="1936"/>
      <c r="AA13" s="1936"/>
      <c r="AB13" s="2452"/>
      <c r="AC13" s="2452"/>
      <c r="AD13" s="1936"/>
      <c r="AE13" s="1936"/>
      <c r="AF13" s="1936"/>
      <c r="AG13" s="2452"/>
      <c r="AH13" s="2452"/>
      <c r="AI13" s="2452"/>
      <c r="AJ13" s="2452"/>
      <c r="AK13" s="2452"/>
      <c r="AL13" s="2452"/>
      <c r="AM13" s="2452"/>
      <c r="AN13" s="2452"/>
      <c r="AO13" s="2452"/>
      <c r="AP13" s="2452"/>
      <c r="AQ13" s="2452"/>
      <c r="AR13" s="135">
        <f>стоки!P32</f>
        <v>26.4</v>
      </c>
      <c r="AS13" s="135">
        <v>18.899999999999999</v>
      </c>
      <c r="AT13" s="135">
        <v>26.4</v>
      </c>
      <c r="AU13" s="135">
        <v>25.2</v>
      </c>
    </row>
    <row r="14" spans="1:47" hidden="1" x14ac:dyDescent="0.2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662"/>
      <c r="M14" s="135">
        <v>3595</v>
      </c>
      <c r="N14" s="6">
        <f>M14/E14*100</f>
        <v>329.81651376146789</v>
      </c>
      <c r="O14" s="135">
        <v>3791.1</v>
      </c>
      <c r="P14" s="6">
        <f t="shared" si="3"/>
        <v>105.4547983310153</v>
      </c>
      <c r="Q14" s="664"/>
      <c r="R14" s="664"/>
      <c r="S14" s="1640"/>
      <c r="T14" s="664"/>
      <c r="U14" s="664"/>
      <c r="V14" s="664"/>
      <c r="W14" s="1936"/>
      <c r="X14" s="1936"/>
      <c r="Y14" s="1936"/>
      <c r="Z14" s="1936"/>
      <c r="AA14" s="1936"/>
      <c r="AB14" s="2452"/>
      <c r="AC14" s="2452"/>
      <c r="AD14" s="1936"/>
      <c r="AE14" s="1936"/>
      <c r="AF14" s="1936"/>
      <c r="AG14" s="2452"/>
      <c r="AH14" s="2452"/>
      <c r="AI14" s="2452"/>
      <c r="AJ14" s="2452"/>
      <c r="AK14" s="2452"/>
      <c r="AL14" s="2452"/>
      <c r="AM14" s="2452"/>
      <c r="AN14" s="2452"/>
      <c r="AO14" s="2452"/>
      <c r="AP14" s="2452"/>
      <c r="AQ14" s="2452"/>
      <c r="AR14" s="135">
        <f>стоки!P35</f>
        <v>2025</v>
      </c>
      <c r="AS14" s="135">
        <v>2658.5</v>
      </c>
      <c r="AT14" s="135">
        <v>3595</v>
      </c>
      <c r="AU14" s="135">
        <v>3544.67</v>
      </c>
    </row>
    <row r="15" spans="1:47" hidden="1" x14ac:dyDescent="0.2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712"/>
      <c r="M15" s="134">
        <f>SUM(M11:M14)</f>
        <v>4863.1000000000004</v>
      </c>
      <c r="N15" s="6">
        <f>M15/E15*100</f>
        <v>200.06993870078583</v>
      </c>
      <c r="O15" s="134">
        <f>SUM(O11:O14)</f>
        <v>5348.1</v>
      </c>
      <c r="P15" s="6">
        <f t="shared" si="3"/>
        <v>109.97306244987766</v>
      </c>
      <c r="Q15" s="664"/>
      <c r="R15" s="664"/>
      <c r="S15" s="1640"/>
      <c r="T15" s="664"/>
      <c r="U15" s="664"/>
      <c r="V15" s="664"/>
      <c r="W15" s="1936"/>
      <c r="X15" s="1936"/>
      <c r="Y15" s="1936"/>
      <c r="Z15" s="1936"/>
      <c r="AA15" s="1936"/>
      <c r="AB15" s="2452"/>
      <c r="AC15" s="2452"/>
      <c r="AD15" s="1936"/>
      <c r="AE15" s="1936"/>
      <c r="AF15" s="1936"/>
      <c r="AG15" s="2452"/>
      <c r="AH15" s="2452"/>
      <c r="AI15" s="2452"/>
      <c r="AJ15" s="2452"/>
      <c r="AK15" s="2452"/>
      <c r="AL15" s="2452"/>
      <c r="AM15" s="2452"/>
      <c r="AN15" s="2452"/>
      <c r="AO15" s="2452"/>
      <c r="AP15" s="2452"/>
      <c r="AQ15" s="2452"/>
      <c r="AR15" s="134">
        <f>SUM(AR11:AR14)</f>
        <v>3538.9</v>
      </c>
      <c r="AS15" s="134">
        <f>SUM(AS11:AS14)</f>
        <v>3590.8</v>
      </c>
      <c r="AT15" s="134">
        <f>SUM(AT11:AT14)</f>
        <v>5170</v>
      </c>
      <c r="AU15" s="134">
        <f>SUM(AU11:AU14)</f>
        <v>4787.7299999999996</v>
      </c>
    </row>
    <row r="16" spans="1:47" hidden="1" x14ac:dyDescent="0.2"/>
    <row r="18" spans="1:51" ht="36.75" customHeight="1" x14ac:dyDescent="0.2">
      <c r="A18" s="3971" t="s">
        <v>536</v>
      </c>
      <c r="B18" s="1866"/>
      <c r="C18" s="1866"/>
      <c r="D18" s="1866"/>
      <c r="E18" s="3996" t="s">
        <v>235</v>
      </c>
      <c r="F18" s="4258"/>
      <c r="G18" s="4258"/>
      <c r="H18" s="4258"/>
      <c r="I18" s="4258"/>
      <c r="J18" s="4258"/>
      <c r="K18" s="4258"/>
      <c r="L18" s="4258"/>
      <c r="M18" s="3999" t="s">
        <v>373</v>
      </c>
      <c r="N18" s="3999"/>
      <c r="O18" s="3999"/>
      <c r="P18" s="3999"/>
      <c r="Q18" s="3999"/>
      <c r="R18" s="3999"/>
      <c r="S18" s="3999"/>
      <c r="T18" s="4238" t="s">
        <v>829</v>
      </c>
      <c r="U18" s="4266"/>
      <c r="V18" s="4266"/>
      <c r="W18" s="4266"/>
      <c r="X18" s="4266"/>
      <c r="Y18" s="4239"/>
      <c r="Z18" s="2500" t="s">
        <v>1550</v>
      </c>
      <c r="AA18" s="3999" t="s">
        <v>908</v>
      </c>
      <c r="AB18" s="3999"/>
      <c r="AC18" s="3999"/>
      <c r="AD18" s="4238" t="s">
        <v>909</v>
      </c>
      <c r="AE18" s="4239"/>
      <c r="AF18" s="4255" t="s">
        <v>1551</v>
      </c>
      <c r="AG18" s="2443" t="s">
        <v>1819</v>
      </c>
      <c r="AH18" s="2443" t="s">
        <v>1825</v>
      </c>
      <c r="AI18" s="2443" t="s">
        <v>1826</v>
      </c>
      <c r="AJ18" s="2443" t="s">
        <v>1827</v>
      </c>
      <c r="AK18" s="2443" t="s">
        <v>1828</v>
      </c>
      <c r="AL18" s="2443" t="s">
        <v>1819</v>
      </c>
      <c r="AM18" s="2443" t="s">
        <v>1825</v>
      </c>
      <c r="AN18" s="2443" t="s">
        <v>1826</v>
      </c>
      <c r="AO18" s="2443" t="s">
        <v>1827</v>
      </c>
      <c r="AP18" s="2443" t="s">
        <v>1828</v>
      </c>
      <c r="AQ18" s="2443" t="s">
        <v>1829</v>
      </c>
      <c r="AR18" s="4247" t="s">
        <v>243</v>
      </c>
      <c r="AS18" s="4248"/>
    </row>
    <row r="19" spans="1:51" ht="12.75" customHeight="1" x14ac:dyDescent="0.2">
      <c r="A19" s="3971"/>
      <c r="B19" s="1866"/>
      <c r="C19" s="1866"/>
      <c r="D19" s="1866"/>
      <c r="E19" s="3960" t="s">
        <v>565</v>
      </c>
      <c r="F19" s="1865" t="s">
        <v>166</v>
      </c>
      <c r="G19" s="3960" t="s">
        <v>244</v>
      </c>
      <c r="H19" s="3960" t="s">
        <v>566</v>
      </c>
      <c r="I19" s="3960" t="s">
        <v>381</v>
      </c>
      <c r="J19" s="1865" t="s">
        <v>246</v>
      </c>
      <c r="K19" s="1865"/>
      <c r="L19" s="3960" t="s">
        <v>61</v>
      </c>
      <c r="M19" s="3960" t="s">
        <v>565</v>
      </c>
      <c r="N19" s="3960" t="s">
        <v>166</v>
      </c>
      <c r="O19" s="3960" t="s">
        <v>244</v>
      </c>
      <c r="P19" s="3960" t="s">
        <v>832</v>
      </c>
      <c r="Q19" s="3960" t="s">
        <v>566</v>
      </c>
      <c r="R19" s="3960" t="s">
        <v>381</v>
      </c>
      <c r="S19" s="3960" t="s">
        <v>61</v>
      </c>
      <c r="T19" s="3960" t="s">
        <v>565</v>
      </c>
      <c r="U19" s="4229" t="s">
        <v>1602</v>
      </c>
      <c r="V19" s="2243"/>
      <c r="W19" s="4229" t="s">
        <v>61</v>
      </c>
      <c r="X19" s="4229" t="s">
        <v>1693</v>
      </c>
      <c r="Y19" s="2243" t="s">
        <v>245</v>
      </c>
      <c r="Z19" s="2243" t="s">
        <v>122</v>
      </c>
      <c r="AA19" s="4229" t="s">
        <v>1697</v>
      </c>
      <c r="AB19" s="4229" t="s">
        <v>61</v>
      </c>
      <c r="AC19" s="4229" t="s">
        <v>1693</v>
      </c>
      <c r="AD19" s="2243" t="s">
        <v>122</v>
      </c>
      <c r="AE19" s="4229" t="s">
        <v>1697</v>
      </c>
      <c r="AF19" s="4256"/>
      <c r="AG19" s="4259" t="s">
        <v>122</v>
      </c>
      <c r="AH19" s="4260"/>
      <c r="AI19" s="4260"/>
      <c r="AJ19" s="4260"/>
      <c r="AK19" s="4261"/>
      <c r="AL19" s="4259" t="s">
        <v>1537</v>
      </c>
      <c r="AM19" s="4260"/>
      <c r="AN19" s="4260"/>
      <c r="AO19" s="4260"/>
      <c r="AP19" s="4260"/>
      <c r="AQ19" s="4261"/>
      <c r="AR19" s="4249"/>
      <c r="AS19" s="4250"/>
    </row>
    <row r="20" spans="1:51" ht="49.5" customHeight="1" x14ac:dyDescent="0.2">
      <c r="A20" s="3971"/>
      <c r="B20" s="1866"/>
      <c r="C20" s="1866"/>
      <c r="D20" s="1866"/>
      <c r="E20" s="3960"/>
      <c r="F20" s="1865"/>
      <c r="G20" s="3960"/>
      <c r="H20" s="3960"/>
      <c r="I20" s="3960"/>
      <c r="J20" s="1865"/>
      <c r="K20" s="1865"/>
      <c r="L20" s="3960"/>
      <c r="M20" s="3960"/>
      <c r="N20" s="3960"/>
      <c r="O20" s="3960"/>
      <c r="P20" s="3960"/>
      <c r="Q20" s="3960"/>
      <c r="R20" s="3960"/>
      <c r="S20" s="3960"/>
      <c r="T20" s="3960"/>
      <c r="U20" s="4231"/>
      <c r="V20" s="2243" t="s">
        <v>831</v>
      </c>
      <c r="W20" s="4231"/>
      <c r="X20" s="4231"/>
      <c r="Y20" s="2243" t="s">
        <v>245</v>
      </c>
      <c r="Z20" s="2243" t="s">
        <v>122</v>
      </c>
      <c r="AA20" s="4231"/>
      <c r="AB20" s="4231"/>
      <c r="AC20" s="4231"/>
      <c r="AD20" s="2243" t="s">
        <v>122</v>
      </c>
      <c r="AE20" s="4231"/>
      <c r="AF20" s="4257"/>
      <c r="AG20" s="4262"/>
      <c r="AH20" s="4263"/>
      <c r="AI20" s="4263"/>
      <c r="AJ20" s="4263"/>
      <c r="AK20" s="4264"/>
      <c r="AL20" s="4262"/>
      <c r="AM20" s="4263"/>
      <c r="AN20" s="4263"/>
      <c r="AO20" s="4263"/>
      <c r="AP20" s="4263"/>
      <c r="AQ20" s="4264"/>
      <c r="AR20" s="4251"/>
      <c r="AS20" s="4252"/>
    </row>
    <row r="21" spans="1:51" ht="24.95" customHeight="1" x14ac:dyDescent="0.2">
      <c r="A21" s="2550" t="s">
        <v>85</v>
      </c>
      <c r="B21" s="1745"/>
      <c r="C21" s="1745"/>
      <c r="D21" s="1745"/>
      <c r="E21" s="1726">
        <v>3847.4</v>
      </c>
      <c r="F21" s="1725" t="e">
        <f>E21/#REF!*100</f>
        <v>#REF!</v>
      </c>
      <c r="G21" s="1961">
        <f>AU6</f>
        <v>3756.7</v>
      </c>
      <c r="H21" s="1961">
        <v>1903.22</v>
      </c>
      <c r="I21" s="1961">
        <v>2781.7</v>
      </c>
      <c r="J21" s="1961">
        <v>3772</v>
      </c>
      <c r="K21" s="1961"/>
      <c r="L21" s="1961">
        <v>3695.7</v>
      </c>
      <c r="M21" s="1961">
        <v>3759.1</v>
      </c>
      <c r="N21" s="1962"/>
      <c r="O21" s="1961">
        <f>M21</f>
        <v>3759.1</v>
      </c>
      <c r="P21" s="1963">
        <f>O21/G21</f>
        <v>1.0006388585726835</v>
      </c>
      <c r="Q21" s="1961">
        <v>1827.75</v>
      </c>
      <c r="R21" s="1961">
        <v>2733.41</v>
      </c>
      <c r="S21" s="1961">
        <v>3621.84</v>
      </c>
      <c r="T21" s="1961">
        <v>3759.1</v>
      </c>
      <c r="U21" s="1961">
        <v>3644.55</v>
      </c>
      <c r="V21" s="2501">
        <f>SUM(U21/O21)</f>
        <v>0.96952728046606906</v>
      </c>
      <c r="W21" s="2501">
        <v>3566.58</v>
      </c>
      <c r="X21" s="2501">
        <v>3566.58</v>
      </c>
      <c r="Y21" s="2501"/>
      <c r="Z21" s="2501">
        <v>3621.84</v>
      </c>
      <c r="AA21" s="2501">
        <f>Z21</f>
        <v>3621.84</v>
      </c>
      <c r="AB21" s="2501">
        <v>3595.11</v>
      </c>
      <c r="AC21" s="2501">
        <f>AB21</f>
        <v>3595.11</v>
      </c>
      <c r="AD21" s="2501">
        <v>3566.58</v>
      </c>
      <c r="AE21" s="2501">
        <f>AD21</f>
        <v>3566.58</v>
      </c>
      <c r="AF21" s="1963">
        <f t="shared" ref="AF21:AF31" si="4">AA21/U21</f>
        <v>0.99376877803844099</v>
      </c>
      <c r="AG21" s="2502">
        <v>3595.11</v>
      </c>
      <c r="AH21" s="2502">
        <f>AG21</f>
        <v>3595.11</v>
      </c>
      <c r="AI21" s="2502">
        <f t="shared" ref="AI21:AK21" si="5">AH21</f>
        <v>3595.11</v>
      </c>
      <c r="AJ21" s="2502">
        <f t="shared" si="5"/>
        <v>3595.11</v>
      </c>
      <c r="AK21" s="2502">
        <f t="shared" si="5"/>
        <v>3595.11</v>
      </c>
      <c r="AL21" s="2502">
        <v>3595.11</v>
      </c>
      <c r="AM21" s="2502">
        <f>AL21</f>
        <v>3595.11</v>
      </c>
      <c r="AN21" s="2502">
        <f t="shared" ref="AN21:AQ21" si="6">AM21</f>
        <v>3595.11</v>
      </c>
      <c r="AO21" s="2502">
        <f t="shared" si="6"/>
        <v>3595.11</v>
      </c>
      <c r="AP21" s="2502">
        <f t="shared" si="6"/>
        <v>3595.11</v>
      </c>
      <c r="AQ21" s="2502">
        <f t="shared" si="6"/>
        <v>3595.11</v>
      </c>
      <c r="AR21" s="4253"/>
      <c r="AS21" s="4254"/>
      <c r="AY21">
        <f>R21/3*4</f>
        <v>3644.5466666666666</v>
      </c>
    </row>
    <row r="22" spans="1:51" ht="24.95" customHeight="1" x14ac:dyDescent="0.2">
      <c r="A22" s="1866" t="s">
        <v>87</v>
      </c>
      <c r="B22" s="1745"/>
      <c r="C22" s="1745"/>
      <c r="D22" s="1745"/>
      <c r="E22" s="1726">
        <v>575.29999999999995</v>
      </c>
      <c r="F22" s="1725" t="e">
        <f>E22/#REF!*100</f>
        <v>#REF!</v>
      </c>
      <c r="G22" s="1961">
        <f>E22</f>
        <v>575.29999999999995</v>
      </c>
      <c r="H22" s="1961">
        <v>445.93</v>
      </c>
      <c r="I22" s="1961">
        <v>753.9</v>
      </c>
      <c r="J22" s="1961">
        <v>564</v>
      </c>
      <c r="K22" s="1961"/>
      <c r="L22" s="1961">
        <v>1043.5999999999999</v>
      </c>
      <c r="M22" s="1961">
        <v>721.2</v>
      </c>
      <c r="N22" s="1962"/>
      <c r="O22" s="1961">
        <f>M22</f>
        <v>721.2</v>
      </c>
      <c r="P22" s="1963">
        <f t="shared" ref="P22:P34" si="7">O22/G22</f>
        <v>1.2536068138362595</v>
      </c>
      <c r="Q22" s="1961">
        <v>725.7</v>
      </c>
      <c r="R22" s="1961">
        <v>1151.78</v>
      </c>
      <c r="S22" s="1961">
        <v>1561.14</v>
      </c>
      <c r="T22" s="1961">
        <v>721.2</v>
      </c>
      <c r="U22" s="1961">
        <v>1535.71</v>
      </c>
      <c r="V22" s="2501">
        <f t="shared" ref="V22:V31" si="8">SUM(U22/O22)</f>
        <v>2.1293815862451471</v>
      </c>
      <c r="W22" s="2501">
        <v>1344.19</v>
      </c>
      <c r="X22" s="2501">
        <v>1344.19</v>
      </c>
      <c r="Y22" s="2501"/>
      <c r="Z22" s="2501">
        <v>1561.17</v>
      </c>
      <c r="AA22" s="2501">
        <f t="shared" ref="AA22:AA24" si="9">Z22</f>
        <v>1561.17</v>
      </c>
      <c r="AB22" s="2501">
        <v>2802.12</v>
      </c>
      <c r="AC22" s="2501">
        <f t="shared" ref="AC22:AC24" si="10">AB22</f>
        <v>2802.12</v>
      </c>
      <c r="AD22" s="2501">
        <v>1344.19</v>
      </c>
      <c r="AE22" s="2501">
        <f t="shared" ref="AE22:AE24" si="11">AD22</f>
        <v>1344.19</v>
      </c>
      <c r="AF22" s="1963">
        <f t="shared" si="4"/>
        <v>1.0165786509171655</v>
      </c>
      <c r="AG22" s="2501">
        <v>2802.12</v>
      </c>
      <c r="AH22" s="2502">
        <f t="shared" ref="AH22:AK25" si="12">AG22</f>
        <v>2802.12</v>
      </c>
      <c r="AI22" s="2502">
        <f t="shared" si="12"/>
        <v>2802.12</v>
      </c>
      <c r="AJ22" s="2502">
        <f t="shared" si="12"/>
        <v>2802.12</v>
      </c>
      <c r="AK22" s="2502">
        <f t="shared" si="12"/>
        <v>2802.12</v>
      </c>
      <c r="AL22" s="2501">
        <v>2802.12</v>
      </c>
      <c r="AM22" s="2502">
        <f t="shared" ref="AM22:AQ24" si="13">AL22</f>
        <v>2802.12</v>
      </c>
      <c r="AN22" s="2502">
        <f t="shared" si="13"/>
        <v>2802.12</v>
      </c>
      <c r="AO22" s="2502">
        <f t="shared" si="13"/>
        <v>2802.12</v>
      </c>
      <c r="AP22" s="2502">
        <f t="shared" si="13"/>
        <v>2802.12</v>
      </c>
      <c r="AQ22" s="2502">
        <f t="shared" si="13"/>
        <v>2802.12</v>
      </c>
      <c r="AR22" s="4241"/>
      <c r="AS22" s="4241"/>
      <c r="AY22">
        <f t="shared" ref="AY22:AY31" si="14">R22/3*4</f>
        <v>1535.7066666666667</v>
      </c>
    </row>
    <row r="23" spans="1:51" ht="24.95" customHeight="1" x14ac:dyDescent="0.2">
      <c r="A23" s="1866" t="s">
        <v>88</v>
      </c>
      <c r="B23" s="1745"/>
      <c r="C23" s="1745"/>
      <c r="D23" s="1745"/>
      <c r="E23" s="1726">
        <v>298.89999999999998</v>
      </c>
      <c r="F23" s="1725" t="e">
        <f>E23/#REF!*100</f>
        <v>#REF!</v>
      </c>
      <c r="G23" s="1961">
        <f>AU8</f>
        <v>272.89999999999998</v>
      </c>
      <c r="H23" s="1961">
        <v>100.67</v>
      </c>
      <c r="I23" s="1961">
        <v>58.6</v>
      </c>
      <c r="J23" s="1961">
        <v>293</v>
      </c>
      <c r="K23" s="1961"/>
      <c r="L23" s="1961">
        <v>72.099999999999994</v>
      </c>
      <c r="M23" s="1961">
        <v>273</v>
      </c>
      <c r="N23" s="1962"/>
      <c r="O23" s="1961">
        <f>M23</f>
        <v>273</v>
      </c>
      <c r="P23" s="1963">
        <f t="shared" si="7"/>
        <v>1.0003664345914256</v>
      </c>
      <c r="Q23" s="1961">
        <v>26.95</v>
      </c>
      <c r="R23" s="1961">
        <v>40.42</v>
      </c>
      <c r="S23" s="1961">
        <v>53.89</v>
      </c>
      <c r="T23" s="1961">
        <v>273</v>
      </c>
      <c r="U23" s="1961">
        <v>53.89</v>
      </c>
      <c r="V23" s="2501">
        <f t="shared" si="8"/>
        <v>0.19739926739926741</v>
      </c>
      <c r="W23" s="2501">
        <v>53.89</v>
      </c>
      <c r="X23" s="2501">
        <v>53.89</v>
      </c>
      <c r="Y23" s="2501"/>
      <c r="Z23" s="2501">
        <v>53.89</v>
      </c>
      <c r="AA23" s="2501">
        <f t="shared" si="9"/>
        <v>53.89</v>
      </c>
      <c r="AB23" s="2501">
        <v>53.88</v>
      </c>
      <c r="AC23" s="2501">
        <f t="shared" si="10"/>
        <v>53.88</v>
      </c>
      <c r="AD23" s="2501">
        <v>53.89</v>
      </c>
      <c r="AE23" s="2501">
        <f t="shared" si="11"/>
        <v>53.89</v>
      </c>
      <c r="AF23" s="1963">
        <f t="shared" si="4"/>
        <v>1</v>
      </c>
      <c r="AG23" s="2501">
        <v>53.88</v>
      </c>
      <c r="AH23" s="2502">
        <f t="shared" si="12"/>
        <v>53.88</v>
      </c>
      <c r="AI23" s="2502">
        <f t="shared" si="12"/>
        <v>53.88</v>
      </c>
      <c r="AJ23" s="2502">
        <f t="shared" si="12"/>
        <v>53.88</v>
      </c>
      <c r="AK23" s="2502">
        <f t="shared" si="12"/>
        <v>53.88</v>
      </c>
      <c r="AL23" s="2501">
        <v>53.88</v>
      </c>
      <c r="AM23" s="2502">
        <f t="shared" si="13"/>
        <v>53.88</v>
      </c>
      <c r="AN23" s="2502">
        <f t="shared" si="13"/>
        <v>53.88</v>
      </c>
      <c r="AO23" s="2502">
        <f t="shared" si="13"/>
        <v>53.88</v>
      </c>
      <c r="AP23" s="2502">
        <f t="shared" si="13"/>
        <v>53.88</v>
      </c>
      <c r="AQ23" s="2502">
        <f t="shared" si="13"/>
        <v>53.88</v>
      </c>
      <c r="AR23" s="4241"/>
      <c r="AS23" s="4241"/>
      <c r="AY23">
        <f t="shared" si="14"/>
        <v>53.893333333333338</v>
      </c>
    </row>
    <row r="24" spans="1:51" ht="24.95" customHeight="1" x14ac:dyDescent="0.2">
      <c r="A24" s="1866" t="s">
        <v>89</v>
      </c>
      <c r="B24" s="1745"/>
      <c r="C24" s="1745"/>
      <c r="D24" s="1745"/>
      <c r="E24" s="1726">
        <v>2715.2</v>
      </c>
      <c r="F24" s="1725" t="e">
        <f>E24/#REF!*100</f>
        <v>#REF!</v>
      </c>
      <c r="G24" s="1961">
        <f>AU9</f>
        <v>2690.2</v>
      </c>
      <c r="H24" s="1961">
        <v>1397.95</v>
      </c>
      <c r="I24" s="1961">
        <v>2094.3000000000002</v>
      </c>
      <c r="J24" s="1961">
        <v>2662</v>
      </c>
      <c r="K24" s="1961"/>
      <c r="L24" s="1961">
        <v>2798.4</v>
      </c>
      <c r="M24" s="1961">
        <v>2797</v>
      </c>
      <c r="N24" s="1962"/>
      <c r="O24" s="1961">
        <f>M24</f>
        <v>2797</v>
      </c>
      <c r="P24" s="1963">
        <f t="shared" si="7"/>
        <v>1.0396996505835998</v>
      </c>
      <c r="Q24" s="1961">
        <v>1412.82</v>
      </c>
      <c r="R24" s="1961">
        <v>2176.46</v>
      </c>
      <c r="S24" s="1961">
        <v>3059.78</v>
      </c>
      <c r="T24" s="1961">
        <v>2797</v>
      </c>
      <c r="U24" s="1961">
        <v>2901.95</v>
      </c>
      <c r="V24" s="2501">
        <f t="shared" si="8"/>
        <v>1.0375223453700393</v>
      </c>
      <c r="W24" s="2501">
        <v>3533.24</v>
      </c>
      <c r="X24" s="2501">
        <v>3533.24</v>
      </c>
      <c r="Y24" s="2501"/>
      <c r="Z24" s="2501">
        <v>3059.78</v>
      </c>
      <c r="AA24" s="2501">
        <f t="shared" si="9"/>
        <v>3059.78</v>
      </c>
      <c r="AB24" s="2501">
        <v>3533.27</v>
      </c>
      <c r="AC24" s="2501">
        <f t="shared" si="10"/>
        <v>3533.27</v>
      </c>
      <c r="AD24" s="2501">
        <v>3533.24</v>
      </c>
      <c r="AE24" s="2501">
        <f t="shared" si="11"/>
        <v>3533.24</v>
      </c>
      <c r="AF24" s="1963">
        <f t="shared" si="4"/>
        <v>1.0543875669808234</v>
      </c>
      <c r="AG24" s="2501">
        <v>3533.27</v>
      </c>
      <c r="AH24" s="2502">
        <f t="shared" si="12"/>
        <v>3533.27</v>
      </c>
      <c r="AI24" s="2502">
        <f t="shared" si="12"/>
        <v>3533.27</v>
      </c>
      <c r="AJ24" s="2502">
        <f t="shared" si="12"/>
        <v>3533.27</v>
      </c>
      <c r="AK24" s="2502">
        <f t="shared" si="12"/>
        <v>3533.27</v>
      </c>
      <c r="AL24" s="2501">
        <v>3533.27</v>
      </c>
      <c r="AM24" s="2502">
        <f t="shared" si="13"/>
        <v>3533.27</v>
      </c>
      <c r="AN24" s="2502">
        <f t="shared" si="13"/>
        <v>3533.27</v>
      </c>
      <c r="AO24" s="2502">
        <f t="shared" si="13"/>
        <v>3533.27</v>
      </c>
      <c r="AP24" s="2502">
        <f t="shared" si="13"/>
        <v>3533.27</v>
      </c>
      <c r="AQ24" s="2502">
        <f t="shared" si="13"/>
        <v>3533.27</v>
      </c>
      <c r="AR24" s="4241"/>
      <c r="AS24" s="4241"/>
      <c r="AY24">
        <f t="shared" si="14"/>
        <v>2901.9466666666667</v>
      </c>
    </row>
    <row r="25" spans="1:51" ht="23.25" customHeight="1" x14ac:dyDescent="0.2">
      <c r="A25" s="2644" t="s">
        <v>1966</v>
      </c>
      <c r="B25" s="1745"/>
      <c r="C25" s="1745"/>
      <c r="D25" s="1745"/>
      <c r="E25" s="1726"/>
      <c r="F25" s="1725"/>
      <c r="G25" s="1961"/>
      <c r="H25" s="1961"/>
      <c r="I25" s="1961"/>
      <c r="J25" s="1961"/>
      <c r="K25" s="1961"/>
      <c r="L25" s="1961"/>
      <c r="M25" s="1961"/>
      <c r="N25" s="1962"/>
      <c r="O25" s="1961"/>
      <c r="P25" s="1963"/>
      <c r="Q25" s="1961"/>
      <c r="R25" s="1961"/>
      <c r="S25" s="1961"/>
      <c r="T25" s="1961"/>
      <c r="U25" s="1961">
        <v>0</v>
      </c>
      <c r="V25" s="2501"/>
      <c r="W25" s="2501">
        <v>0</v>
      </c>
      <c r="X25" s="2501">
        <v>0</v>
      </c>
      <c r="Y25" s="2501"/>
      <c r="Z25" s="2501"/>
      <c r="AA25" s="2501">
        <v>0</v>
      </c>
      <c r="AB25" s="2501">
        <v>0</v>
      </c>
      <c r="AC25" s="2501">
        <v>0</v>
      </c>
      <c r="AD25" s="2501"/>
      <c r="AE25" s="2501">
        <v>0</v>
      </c>
      <c r="AF25" s="1963"/>
      <c r="AG25" s="2501">
        <v>2766.9</v>
      </c>
      <c r="AH25" s="2502">
        <f t="shared" si="12"/>
        <v>2766.9</v>
      </c>
      <c r="AI25" s="2502">
        <f t="shared" si="12"/>
        <v>2766.9</v>
      </c>
      <c r="AJ25" s="2502">
        <f t="shared" si="12"/>
        <v>2766.9</v>
      </c>
      <c r="AK25" s="2502">
        <f t="shared" si="12"/>
        <v>2766.9</v>
      </c>
      <c r="AL25" s="2501">
        <v>0</v>
      </c>
      <c r="AM25" s="2748">
        <f>AL25</f>
        <v>0</v>
      </c>
      <c r="AN25" s="2748">
        <f t="shared" ref="AN25:AQ25" si="15">AM25</f>
        <v>0</v>
      </c>
      <c r="AO25" s="2748">
        <f t="shared" si="15"/>
        <v>0</v>
      </c>
      <c r="AP25" s="2748">
        <f t="shared" si="15"/>
        <v>0</v>
      </c>
      <c r="AQ25" s="2748">
        <f t="shared" si="15"/>
        <v>0</v>
      </c>
      <c r="AR25" s="4253" t="s">
        <v>2218</v>
      </c>
      <c r="AS25" s="4254"/>
    </row>
    <row r="26" spans="1:51" ht="24.75" hidden="1" customHeight="1" x14ac:dyDescent="0.2">
      <c r="A26" s="2873" t="s">
        <v>3528</v>
      </c>
      <c r="B26" s="1745"/>
      <c r="C26" s="1745"/>
      <c r="D26" s="1745"/>
      <c r="E26" s="1726"/>
      <c r="F26" s="1725"/>
      <c r="G26" s="1961"/>
      <c r="H26" s="1961"/>
      <c r="I26" s="1961"/>
      <c r="J26" s="1961"/>
      <c r="K26" s="1961"/>
      <c r="L26" s="1961"/>
      <c r="M26" s="1961"/>
      <c r="N26" s="1962"/>
      <c r="O26" s="1961"/>
      <c r="P26" s="1963"/>
      <c r="Q26" s="1961"/>
      <c r="R26" s="1961"/>
      <c r="S26" s="1961"/>
      <c r="T26" s="1961"/>
      <c r="U26" s="1961"/>
      <c r="V26" s="2501"/>
      <c r="W26" s="2501"/>
      <c r="X26" s="2501"/>
      <c r="Y26" s="2501"/>
      <c r="Z26" s="2501"/>
      <c r="AA26" s="2501"/>
      <c r="AB26" s="2501"/>
      <c r="AC26" s="2501">
        <v>0</v>
      </c>
      <c r="AD26" s="2501"/>
      <c r="AE26" s="2501"/>
      <c r="AF26" s="1963"/>
      <c r="AG26" s="2501"/>
      <c r="AH26" s="2502"/>
      <c r="AI26" s="2502"/>
      <c r="AJ26" s="2502"/>
      <c r="AK26" s="2502"/>
      <c r="AL26" s="2501"/>
      <c r="AM26" s="2748"/>
      <c r="AN26" s="2748"/>
      <c r="AO26" s="2748"/>
      <c r="AP26" s="2748"/>
      <c r="AQ26" s="2748"/>
      <c r="AR26" s="2875"/>
      <c r="AS26" s="2876"/>
    </row>
    <row r="27" spans="1:51" ht="24.95" customHeight="1" x14ac:dyDescent="0.2">
      <c r="A27" s="1867" t="s">
        <v>90</v>
      </c>
      <c r="B27" s="1745"/>
      <c r="C27" s="1745"/>
      <c r="D27" s="1745"/>
      <c r="E27" s="1739">
        <f>SUM(E21:E24)</f>
        <v>7436.7999999999993</v>
      </c>
      <c r="F27" s="1725" t="e">
        <f>E27/#REF!*100</f>
        <v>#REF!</v>
      </c>
      <c r="G27" s="1958">
        <f>SUM(G21:G24)</f>
        <v>7295.0999999999995</v>
      </c>
      <c r="H27" s="1958">
        <f>SUM(H21:H24)</f>
        <v>3847.7700000000004</v>
      </c>
      <c r="I27" s="1958">
        <f>SUM(I21:I24)</f>
        <v>5688.5</v>
      </c>
      <c r="J27" s="1958">
        <f>SUM(J21:J24)</f>
        <v>7291</v>
      </c>
      <c r="K27" s="1959"/>
      <c r="L27" s="1958">
        <f>SUM(L21:L24)</f>
        <v>7609.7999999999993</v>
      </c>
      <c r="M27" s="1958">
        <f>SUM(M21:M24)</f>
        <v>7550.3</v>
      </c>
      <c r="N27" s="1960"/>
      <c r="O27" s="1958">
        <f>SUM(O21:O24)</f>
        <v>7550.3</v>
      </c>
      <c r="P27" s="1958">
        <f t="shared" ref="P27:T27" si="16">SUM(P21:P24)</f>
        <v>4.2943117575839684</v>
      </c>
      <c r="Q27" s="1958">
        <f t="shared" si="16"/>
        <v>3993.2199999999993</v>
      </c>
      <c r="R27" s="1958">
        <f t="shared" si="16"/>
        <v>6102.07</v>
      </c>
      <c r="S27" s="1958">
        <f t="shared" si="16"/>
        <v>8296.6500000000015</v>
      </c>
      <c r="T27" s="1958">
        <f t="shared" si="16"/>
        <v>7550.3</v>
      </c>
      <c r="U27" s="1958">
        <f>SUM(U21:U25)</f>
        <v>8136.1</v>
      </c>
      <c r="V27" s="1958">
        <f t="shared" ref="V27" si="17">SUM(V21:V24)</f>
        <v>4.3338304794805236</v>
      </c>
      <c r="W27" s="2072">
        <f>SUM(W21:W25)</f>
        <v>8497.9000000000015</v>
      </c>
      <c r="X27" s="2072">
        <f>SUM(X21:X25)</f>
        <v>8497.9000000000015</v>
      </c>
      <c r="Y27" s="1957">
        <v>6404.4</v>
      </c>
      <c r="Z27" s="1958">
        <f>SUM(Z21:Z24)</f>
        <v>8296.68</v>
      </c>
      <c r="AA27" s="1958">
        <f>SUM(AA21:AA24)</f>
        <v>8296.68</v>
      </c>
      <c r="AB27" s="1958">
        <f>SUM(AB21:AB25)</f>
        <v>9984.3799999999992</v>
      </c>
      <c r="AC27" s="1958">
        <f>SUM(AC21:AC26)</f>
        <v>9984.3799999999992</v>
      </c>
      <c r="AD27" s="1958">
        <f t="shared" ref="AD27:AF27" si="18">SUM(AD21:AD24)</f>
        <v>8497.9000000000015</v>
      </c>
      <c r="AE27" s="1958">
        <f t="shared" si="18"/>
        <v>8497.9000000000015</v>
      </c>
      <c r="AF27" s="1958">
        <f t="shared" si="18"/>
        <v>4.0647349959364298</v>
      </c>
      <c r="AG27" s="1958">
        <f>SUM(AG21:AG25)</f>
        <v>12751.279999999999</v>
      </c>
      <c r="AH27" s="1958">
        <f t="shared" ref="AH27:AK27" si="19">SUM(AH21:AH25)</f>
        <v>12751.279999999999</v>
      </c>
      <c r="AI27" s="1958">
        <f t="shared" si="19"/>
        <v>12751.279999999999</v>
      </c>
      <c r="AJ27" s="1958">
        <f t="shared" si="19"/>
        <v>12751.279999999999</v>
      </c>
      <c r="AK27" s="1958">
        <f t="shared" si="19"/>
        <v>12751.279999999999</v>
      </c>
      <c r="AL27" s="1958">
        <f>SUM(AL21:AL25)</f>
        <v>9984.3799999999992</v>
      </c>
      <c r="AM27" s="1958">
        <f t="shared" ref="AM27:AQ27" si="20">SUM(AM21:AM25)</f>
        <v>9984.3799999999992</v>
      </c>
      <c r="AN27" s="1958">
        <f t="shared" si="20"/>
        <v>9984.3799999999992</v>
      </c>
      <c r="AO27" s="1958">
        <f t="shared" si="20"/>
        <v>9984.3799999999992</v>
      </c>
      <c r="AP27" s="1958">
        <f t="shared" si="20"/>
        <v>9984.3799999999992</v>
      </c>
      <c r="AQ27" s="1958">
        <f t="shared" si="20"/>
        <v>9984.3799999999992</v>
      </c>
      <c r="AR27" s="4240"/>
      <c r="AS27" s="4240"/>
      <c r="AY27">
        <f>SUM(AY21:AY24)</f>
        <v>8136.0933333333332</v>
      </c>
    </row>
    <row r="28" spans="1:51" ht="24.95" customHeight="1" x14ac:dyDescent="0.2">
      <c r="A28" s="1866" t="s">
        <v>91</v>
      </c>
      <c r="B28" s="1745"/>
      <c r="C28" s="1745"/>
      <c r="D28" s="1745"/>
      <c r="E28" s="1726">
        <v>267.89999999999998</v>
      </c>
      <c r="F28" s="1725" t="e">
        <f>E28/#REF!*100</f>
        <v>#REF!</v>
      </c>
      <c r="G28" s="1961">
        <f>AU11</f>
        <v>256.93</v>
      </c>
      <c r="H28" s="1961">
        <v>136.63</v>
      </c>
      <c r="I28" s="1961">
        <v>205.2</v>
      </c>
      <c r="J28" s="1961">
        <v>267.60000000000002</v>
      </c>
      <c r="K28" s="1961"/>
      <c r="L28" s="1961">
        <v>275.8</v>
      </c>
      <c r="M28" s="1961">
        <v>273.60000000000002</v>
      </c>
      <c r="N28" s="1962"/>
      <c r="O28" s="1961">
        <f>M28</f>
        <v>273.60000000000002</v>
      </c>
      <c r="P28" s="1963">
        <f t="shared" si="7"/>
        <v>1.0648814852294399</v>
      </c>
      <c r="Q28" s="1961">
        <v>189.68</v>
      </c>
      <c r="R28" s="1961">
        <v>307.45999999999998</v>
      </c>
      <c r="S28" s="1961">
        <v>425.24</v>
      </c>
      <c r="T28" s="1961">
        <v>273.60000000000002</v>
      </c>
      <c r="U28" s="1961">
        <f>T28</f>
        <v>273.60000000000002</v>
      </c>
      <c r="V28" s="1963">
        <f t="shared" si="8"/>
        <v>1</v>
      </c>
      <c r="W28" s="1964">
        <v>498.59</v>
      </c>
      <c r="X28" s="1964">
        <v>498.59</v>
      </c>
      <c r="Y28" s="1964"/>
      <c r="Z28" s="1964">
        <v>425.24</v>
      </c>
      <c r="AA28" s="1964">
        <f>S28</f>
        <v>425.24</v>
      </c>
      <c r="AB28" s="1964">
        <v>498.89</v>
      </c>
      <c r="AC28" s="1964">
        <f>AB28</f>
        <v>498.89</v>
      </c>
      <c r="AD28" s="1964">
        <v>498.59</v>
      </c>
      <c r="AE28" s="1964">
        <f>AD28</f>
        <v>498.59</v>
      </c>
      <c r="AF28" s="1963">
        <f t="shared" si="4"/>
        <v>1.5542397660818712</v>
      </c>
      <c r="AG28" s="2501">
        <v>498.89</v>
      </c>
      <c r="AH28" s="2501">
        <f>AG28</f>
        <v>498.89</v>
      </c>
      <c r="AI28" s="2501">
        <f t="shared" ref="AI28:AK28" si="21">AH28</f>
        <v>498.89</v>
      </c>
      <c r="AJ28" s="2501">
        <f t="shared" si="21"/>
        <v>498.89</v>
      </c>
      <c r="AK28" s="2501">
        <f t="shared" si="21"/>
        <v>498.89</v>
      </c>
      <c r="AL28" s="2502">
        <v>498.89</v>
      </c>
      <c r="AM28" s="1961">
        <f>AL28</f>
        <v>498.89</v>
      </c>
      <c r="AN28" s="1961">
        <f t="shared" ref="AN28:AQ28" si="22">AM28</f>
        <v>498.89</v>
      </c>
      <c r="AO28" s="1961">
        <f t="shared" si="22"/>
        <v>498.89</v>
      </c>
      <c r="AP28" s="1961">
        <f t="shared" si="22"/>
        <v>498.89</v>
      </c>
      <c r="AQ28" s="1961">
        <f t="shared" si="22"/>
        <v>498.89</v>
      </c>
      <c r="AR28" s="4241"/>
      <c r="AS28" s="4241"/>
      <c r="AY28">
        <f t="shared" si="14"/>
        <v>409.94666666666666</v>
      </c>
    </row>
    <row r="29" spans="1:51" ht="24.95" customHeight="1" x14ac:dyDescent="0.2">
      <c r="A29" s="1866" t="s">
        <v>92</v>
      </c>
      <c r="B29" s="1745"/>
      <c r="C29" s="1745"/>
      <c r="D29" s="1745"/>
      <c r="E29" s="1726">
        <v>1281</v>
      </c>
      <c r="F29" s="1731" t="e">
        <f>E29/#REF!*100</f>
        <v>#REF!</v>
      </c>
      <c r="G29" s="1961">
        <f>AU12</f>
        <v>960.93</v>
      </c>
      <c r="H29" s="1961">
        <v>412.35</v>
      </c>
      <c r="I29" s="1961">
        <v>632.5</v>
      </c>
      <c r="J29" s="1961">
        <v>1281</v>
      </c>
      <c r="K29" s="1961"/>
      <c r="L29" s="1961">
        <v>833.9</v>
      </c>
      <c r="M29" s="1961">
        <v>960.9</v>
      </c>
      <c r="N29" s="1965"/>
      <c r="O29" s="1961">
        <f>M29</f>
        <v>960.9</v>
      </c>
      <c r="P29" s="1963">
        <f t="shared" si="7"/>
        <v>0.99996878024413849</v>
      </c>
      <c r="Q29" s="1961">
        <v>407.8</v>
      </c>
      <c r="R29" s="1961">
        <v>588.73</v>
      </c>
      <c r="S29" s="1961">
        <v>717.01</v>
      </c>
      <c r="T29" s="1961">
        <v>960.9</v>
      </c>
      <c r="U29" s="1961">
        <f t="shared" ref="U29:U31" si="23">T29</f>
        <v>960.9</v>
      </c>
      <c r="V29" s="1963">
        <f t="shared" si="8"/>
        <v>1</v>
      </c>
      <c r="W29" s="1964">
        <v>588.47</v>
      </c>
      <c r="X29" s="1964">
        <v>588.47</v>
      </c>
      <c r="Y29" s="1964"/>
      <c r="Z29" s="1964">
        <v>717.01</v>
      </c>
      <c r="AA29" s="1964">
        <f t="shared" ref="AA29:AA31" si="24">S29</f>
        <v>717.01</v>
      </c>
      <c r="AB29" s="1964">
        <v>513.41</v>
      </c>
      <c r="AC29" s="1964">
        <f t="shared" ref="AC29:AC31" si="25">AB29</f>
        <v>513.41</v>
      </c>
      <c r="AD29" s="1964">
        <v>588.47</v>
      </c>
      <c r="AE29" s="1964">
        <f t="shared" ref="AE29:AE31" si="26">AD29</f>
        <v>588.47</v>
      </c>
      <c r="AF29" s="1963">
        <f t="shared" si="4"/>
        <v>0.74618586741596415</v>
      </c>
      <c r="AG29" s="2501">
        <v>513.41</v>
      </c>
      <c r="AH29" s="2501">
        <f t="shared" ref="AH29:AK31" si="27">AG29</f>
        <v>513.41</v>
      </c>
      <c r="AI29" s="2501">
        <f t="shared" si="27"/>
        <v>513.41</v>
      </c>
      <c r="AJ29" s="2501">
        <f t="shared" si="27"/>
        <v>513.41</v>
      </c>
      <c r="AK29" s="2501">
        <f t="shared" si="27"/>
        <v>513.41</v>
      </c>
      <c r="AL29" s="2502">
        <v>513.41</v>
      </c>
      <c r="AM29" s="1961">
        <f t="shared" ref="AM29:AQ31" si="28">AL29</f>
        <v>513.41</v>
      </c>
      <c r="AN29" s="1961">
        <f t="shared" si="28"/>
        <v>513.41</v>
      </c>
      <c r="AO29" s="1961">
        <f t="shared" si="28"/>
        <v>513.41</v>
      </c>
      <c r="AP29" s="1961">
        <f t="shared" si="28"/>
        <v>513.41</v>
      </c>
      <c r="AQ29" s="1961">
        <f t="shared" si="28"/>
        <v>513.41</v>
      </c>
      <c r="AR29" s="4241"/>
      <c r="AS29" s="4241"/>
      <c r="AY29">
        <f t="shared" si="14"/>
        <v>784.97333333333336</v>
      </c>
    </row>
    <row r="30" spans="1:51" ht="24.95" customHeight="1" x14ac:dyDescent="0.2">
      <c r="A30" s="1866" t="s">
        <v>830</v>
      </c>
      <c r="B30" s="1745"/>
      <c r="C30" s="1745"/>
      <c r="D30" s="1745"/>
      <c r="E30" s="1726">
        <v>26.4</v>
      </c>
      <c r="F30" s="1725" t="e">
        <f>E30/#REF!*100</f>
        <v>#REF!</v>
      </c>
      <c r="G30" s="1961">
        <f>AU13</f>
        <v>25.2</v>
      </c>
      <c r="H30" s="1961">
        <v>0</v>
      </c>
      <c r="I30" s="1961">
        <v>18.899999999999999</v>
      </c>
      <c r="J30" s="1961">
        <v>26.4</v>
      </c>
      <c r="K30" s="1961"/>
      <c r="L30" s="1961">
        <v>25.2</v>
      </c>
      <c r="M30" s="1961">
        <v>25.2</v>
      </c>
      <c r="N30" s="1962"/>
      <c r="O30" s="1961">
        <f>M30</f>
        <v>25.2</v>
      </c>
      <c r="P30" s="1963">
        <f t="shared" si="7"/>
        <v>1</v>
      </c>
      <c r="Q30" s="1961">
        <v>12.72</v>
      </c>
      <c r="R30" s="1961">
        <v>19.11</v>
      </c>
      <c r="S30" s="1961">
        <v>25.5</v>
      </c>
      <c r="T30" s="1961">
        <v>25.2</v>
      </c>
      <c r="U30" s="1961">
        <f t="shared" si="23"/>
        <v>25.2</v>
      </c>
      <c r="V30" s="1963">
        <f t="shared" si="8"/>
        <v>1</v>
      </c>
      <c r="W30" s="1964">
        <v>36.94</v>
      </c>
      <c r="X30" s="1964">
        <v>36.94</v>
      </c>
      <c r="Y30" s="1964"/>
      <c r="Z30" s="1964">
        <v>25.5</v>
      </c>
      <c r="AA30" s="1964">
        <f t="shared" si="24"/>
        <v>25.5</v>
      </c>
      <c r="AB30" s="1964">
        <v>68.540000000000006</v>
      </c>
      <c r="AC30" s="1964">
        <f t="shared" si="25"/>
        <v>68.540000000000006</v>
      </c>
      <c r="AD30" s="1964">
        <v>36.94</v>
      </c>
      <c r="AE30" s="1964">
        <f t="shared" si="26"/>
        <v>36.94</v>
      </c>
      <c r="AF30" s="1963">
        <f t="shared" si="4"/>
        <v>1.0119047619047619</v>
      </c>
      <c r="AG30" s="2501">
        <v>68.540000000000006</v>
      </c>
      <c r="AH30" s="2501">
        <f t="shared" si="27"/>
        <v>68.540000000000006</v>
      </c>
      <c r="AI30" s="2501">
        <f t="shared" si="27"/>
        <v>68.540000000000006</v>
      </c>
      <c r="AJ30" s="2501">
        <f t="shared" si="27"/>
        <v>68.540000000000006</v>
      </c>
      <c r="AK30" s="2501">
        <f t="shared" si="27"/>
        <v>68.540000000000006</v>
      </c>
      <c r="AL30" s="2502">
        <v>68.540000000000006</v>
      </c>
      <c r="AM30" s="1961">
        <f t="shared" si="28"/>
        <v>68.540000000000006</v>
      </c>
      <c r="AN30" s="1961">
        <f t="shared" si="28"/>
        <v>68.540000000000006</v>
      </c>
      <c r="AO30" s="1961">
        <f t="shared" si="28"/>
        <v>68.540000000000006</v>
      </c>
      <c r="AP30" s="1961">
        <f t="shared" si="28"/>
        <v>68.540000000000006</v>
      </c>
      <c r="AQ30" s="1961">
        <f t="shared" si="28"/>
        <v>68.540000000000006</v>
      </c>
      <c r="AR30" s="4241"/>
      <c r="AS30" s="4241"/>
      <c r="AY30">
        <f t="shared" si="14"/>
        <v>25.48</v>
      </c>
    </row>
    <row r="31" spans="1:51" ht="24.95" customHeight="1" x14ac:dyDescent="0.2">
      <c r="A31" s="1866" t="s">
        <v>89</v>
      </c>
      <c r="B31" s="1745"/>
      <c r="C31" s="1745"/>
      <c r="D31" s="1745"/>
      <c r="E31" s="1726">
        <v>3595</v>
      </c>
      <c r="F31" s="1725" t="e">
        <f>E31/#REF!*100</f>
        <v>#REF!</v>
      </c>
      <c r="G31" s="1961">
        <f>AU14</f>
        <v>3544.67</v>
      </c>
      <c r="H31" s="1961">
        <v>1755.33</v>
      </c>
      <c r="I31" s="1961">
        <v>2673.6</v>
      </c>
      <c r="J31" s="1961">
        <v>3595</v>
      </c>
      <c r="K31" s="1961"/>
      <c r="L31" s="1961">
        <v>3567.6</v>
      </c>
      <c r="M31" s="1961">
        <v>3562.4</v>
      </c>
      <c r="N31" s="1962"/>
      <c r="O31" s="1961">
        <f>M31</f>
        <v>3562.4</v>
      </c>
      <c r="P31" s="1963">
        <f t="shared" si="7"/>
        <v>1.0050018760561632</v>
      </c>
      <c r="Q31" s="1961">
        <v>1790.52</v>
      </c>
      <c r="R31" s="1961">
        <v>2713.05</v>
      </c>
      <c r="S31" s="1961">
        <v>4015.93</v>
      </c>
      <c r="T31" s="1961">
        <v>3562.4</v>
      </c>
      <c r="U31" s="1961">
        <f t="shared" si="23"/>
        <v>3562.4</v>
      </c>
      <c r="V31" s="1963">
        <f t="shared" si="8"/>
        <v>1</v>
      </c>
      <c r="W31" s="1964">
        <v>3912.88</v>
      </c>
      <c r="X31" s="1964">
        <v>3912.88</v>
      </c>
      <c r="Y31" s="1964"/>
      <c r="Z31" s="1964">
        <v>4015.93</v>
      </c>
      <c r="AA31" s="1964">
        <f t="shared" si="24"/>
        <v>4015.93</v>
      </c>
      <c r="AB31" s="1964">
        <v>3925.45</v>
      </c>
      <c r="AC31" s="1964">
        <f t="shared" si="25"/>
        <v>3925.45</v>
      </c>
      <c r="AD31" s="1964">
        <v>3912.88</v>
      </c>
      <c r="AE31" s="1964">
        <f t="shared" si="26"/>
        <v>3912.88</v>
      </c>
      <c r="AF31" s="1963">
        <f t="shared" si="4"/>
        <v>1.1273102402874466</v>
      </c>
      <c r="AG31" s="2501">
        <v>3925.45</v>
      </c>
      <c r="AH31" s="2501">
        <f t="shared" si="27"/>
        <v>3925.45</v>
      </c>
      <c r="AI31" s="2501">
        <f t="shared" si="27"/>
        <v>3925.45</v>
      </c>
      <c r="AJ31" s="2501">
        <f t="shared" si="27"/>
        <v>3925.45</v>
      </c>
      <c r="AK31" s="2501">
        <f t="shared" si="27"/>
        <v>3925.45</v>
      </c>
      <c r="AL31" s="2501">
        <v>3925.45</v>
      </c>
      <c r="AM31" s="1961">
        <f t="shared" si="28"/>
        <v>3925.45</v>
      </c>
      <c r="AN31" s="1961">
        <f t="shared" si="28"/>
        <v>3925.45</v>
      </c>
      <c r="AO31" s="1961">
        <f t="shared" si="28"/>
        <v>3925.45</v>
      </c>
      <c r="AP31" s="1961">
        <f t="shared" si="28"/>
        <v>3925.45</v>
      </c>
      <c r="AQ31" s="1961">
        <f t="shared" si="28"/>
        <v>3925.45</v>
      </c>
      <c r="AR31" s="4241"/>
      <c r="AS31" s="4241"/>
      <c r="AY31">
        <f t="shared" si="14"/>
        <v>3617.4</v>
      </c>
    </row>
    <row r="32" spans="1:51" ht="24.95" hidden="1" customHeight="1" x14ac:dyDescent="0.2">
      <c r="A32" s="2873" t="s">
        <v>3528</v>
      </c>
      <c r="B32" s="1745"/>
      <c r="C32" s="1745"/>
      <c r="D32" s="1745"/>
      <c r="E32" s="1726"/>
      <c r="F32" s="1725"/>
      <c r="G32" s="1961"/>
      <c r="H32" s="1961"/>
      <c r="I32" s="1961"/>
      <c r="J32" s="1961"/>
      <c r="K32" s="1961"/>
      <c r="L32" s="1961"/>
      <c r="M32" s="1961"/>
      <c r="N32" s="1962"/>
      <c r="O32" s="1961"/>
      <c r="P32" s="1963"/>
      <c r="Q32" s="1961"/>
      <c r="R32" s="1961"/>
      <c r="S32" s="1961"/>
      <c r="T32" s="1961"/>
      <c r="U32" s="1961"/>
      <c r="V32" s="1963"/>
      <c r="W32" s="1964"/>
      <c r="X32" s="1964"/>
      <c r="Y32" s="1964"/>
      <c r="Z32" s="1964"/>
      <c r="AA32" s="1964"/>
      <c r="AB32" s="1964"/>
      <c r="AC32" s="1964">
        <v>0</v>
      </c>
      <c r="AD32" s="1964"/>
      <c r="AE32" s="1964"/>
      <c r="AF32" s="1963"/>
      <c r="AG32" s="2501"/>
      <c r="AH32" s="2501"/>
      <c r="AI32" s="2501"/>
      <c r="AJ32" s="2501"/>
      <c r="AK32" s="2501"/>
      <c r="AL32" s="2501"/>
      <c r="AM32" s="1961"/>
      <c r="AN32" s="1961"/>
      <c r="AO32" s="1961"/>
      <c r="AP32" s="1961"/>
      <c r="AQ32" s="1961"/>
      <c r="AR32" s="2874"/>
      <c r="AS32" s="2874"/>
    </row>
    <row r="33" spans="1:56" ht="24.95" customHeight="1" x14ac:dyDescent="0.2">
      <c r="A33" s="1867" t="s">
        <v>94</v>
      </c>
      <c r="B33" s="1745"/>
      <c r="C33" s="1745"/>
      <c r="D33" s="1745"/>
      <c r="E33" s="1739">
        <f>SUM(E28:E31)</f>
        <v>5170.3</v>
      </c>
      <c r="F33" s="1725" t="e">
        <f>E33/#REF!*100</f>
        <v>#REF!</v>
      </c>
      <c r="G33" s="1958">
        <f>SUM(G28:G31)</f>
        <v>4787.7299999999996</v>
      </c>
      <c r="H33" s="1958">
        <f>SUM(H28:H31)</f>
        <v>2304.31</v>
      </c>
      <c r="I33" s="1958">
        <f>SUM(I28:I31)</f>
        <v>3530.2</v>
      </c>
      <c r="J33" s="1958">
        <f>SUM(J28:J31)</f>
        <v>5170</v>
      </c>
      <c r="K33" s="1959"/>
      <c r="L33" s="1958">
        <f>SUM(L28:L31)</f>
        <v>4702.5</v>
      </c>
      <c r="M33" s="1958">
        <f>SUM(M28:M31)</f>
        <v>4822.1000000000004</v>
      </c>
      <c r="N33" s="1960"/>
      <c r="O33" s="1958">
        <f>SUM(O28:O31)</f>
        <v>4822.1000000000004</v>
      </c>
      <c r="P33" s="1956">
        <f t="shared" si="7"/>
        <v>1.0071787673908097</v>
      </c>
      <c r="Q33" s="1958">
        <f>SUM(Q28:Q31)</f>
        <v>2400.7200000000003</v>
      </c>
      <c r="R33" s="1958">
        <f>SUM(R28:R31)</f>
        <v>3628.3500000000004</v>
      </c>
      <c r="S33" s="1958">
        <f>SUM(S28:S31)</f>
        <v>5183.68</v>
      </c>
      <c r="T33" s="1958">
        <f>SUM(T28:T31)</f>
        <v>4822.1000000000004</v>
      </c>
      <c r="U33" s="1958">
        <f>SUM(U28:U31)</f>
        <v>4822.1000000000004</v>
      </c>
      <c r="V33" s="1958">
        <f t="shared" ref="V33:X33" si="29">SUM(V28:V31)</f>
        <v>4</v>
      </c>
      <c r="W33" s="2072">
        <f t="shared" ref="W33" si="30">SUM(W28:W31)</f>
        <v>5036.88</v>
      </c>
      <c r="X33" s="2072">
        <f t="shared" si="29"/>
        <v>5036.88</v>
      </c>
      <c r="Y33" s="1957">
        <v>3759.56</v>
      </c>
      <c r="Z33" s="1958">
        <f>SUM(Z28:Z31)</f>
        <v>5183.68</v>
      </c>
      <c r="AA33" s="1958">
        <f>SUM(AA28:AA31)</f>
        <v>5183.68</v>
      </c>
      <c r="AB33" s="1958">
        <f>SUM(AB28:AB32)</f>
        <v>5006.29</v>
      </c>
      <c r="AC33" s="1958">
        <f>SUM(AC28:AC32)</f>
        <v>5006.29</v>
      </c>
      <c r="AD33" s="1958">
        <f t="shared" ref="AD33:AE33" si="31">SUM(AD28:AD31)</f>
        <v>5036.88</v>
      </c>
      <c r="AE33" s="1958">
        <f t="shared" si="31"/>
        <v>5036.88</v>
      </c>
      <c r="AF33" s="1958">
        <f t="shared" ref="AF33:AQ33" si="32">SUM(AF28:AF31)</f>
        <v>4.4396406356900435</v>
      </c>
      <c r="AG33" s="1958">
        <f t="shared" si="32"/>
        <v>5006.29</v>
      </c>
      <c r="AH33" s="1958">
        <f t="shared" si="32"/>
        <v>5006.29</v>
      </c>
      <c r="AI33" s="1958">
        <f t="shared" si="32"/>
        <v>5006.29</v>
      </c>
      <c r="AJ33" s="1958">
        <f t="shared" si="32"/>
        <v>5006.29</v>
      </c>
      <c r="AK33" s="1958">
        <f t="shared" si="32"/>
        <v>5006.29</v>
      </c>
      <c r="AL33" s="1958">
        <f>SUM(AL28:AL31)</f>
        <v>5006.29</v>
      </c>
      <c r="AM33" s="1958">
        <f t="shared" si="32"/>
        <v>5006.29</v>
      </c>
      <c r="AN33" s="1958">
        <f t="shared" si="32"/>
        <v>5006.29</v>
      </c>
      <c r="AO33" s="1958">
        <f t="shared" si="32"/>
        <v>5006.29</v>
      </c>
      <c r="AP33" s="1958">
        <f t="shared" si="32"/>
        <v>5006.29</v>
      </c>
      <c r="AQ33" s="1958">
        <f t="shared" si="32"/>
        <v>5006.29</v>
      </c>
      <c r="AR33" s="4240"/>
      <c r="AS33" s="4240"/>
      <c r="AY33">
        <f>SUM(AY28:AY31)</f>
        <v>4837.8</v>
      </c>
    </row>
    <row r="34" spans="1:56" s="5" customFormat="1" ht="27" customHeight="1" x14ac:dyDescent="0.2">
      <c r="A34" s="1867" t="s">
        <v>627</v>
      </c>
      <c r="B34" s="1753"/>
      <c r="C34" s="1753"/>
      <c r="D34" s="1753"/>
      <c r="E34" s="1754">
        <f>SUM(E33,E27)</f>
        <v>12607.099999999999</v>
      </c>
      <c r="F34" s="1953" t="e">
        <f>E34/#REF!*100</f>
        <v>#REF!</v>
      </c>
      <c r="G34" s="1870">
        <f t="shared" ref="G34:O34" si="33">SUM(G33,G27)</f>
        <v>12082.829999999998</v>
      </c>
      <c r="H34" s="1870">
        <f t="shared" si="33"/>
        <v>6152.08</v>
      </c>
      <c r="I34" s="1870">
        <f t="shared" si="33"/>
        <v>9218.7000000000007</v>
      </c>
      <c r="J34" s="1870">
        <f t="shared" si="33"/>
        <v>12461</v>
      </c>
      <c r="K34" s="1870">
        <f t="shared" si="33"/>
        <v>0</v>
      </c>
      <c r="L34" s="1870">
        <f t="shared" si="33"/>
        <v>12312.3</v>
      </c>
      <c r="M34" s="1870">
        <f t="shared" si="33"/>
        <v>12372.400000000001</v>
      </c>
      <c r="N34" s="1870">
        <f t="shared" si="33"/>
        <v>0</v>
      </c>
      <c r="O34" s="1870">
        <f t="shared" si="33"/>
        <v>12372.400000000001</v>
      </c>
      <c r="P34" s="1956">
        <f t="shared" si="7"/>
        <v>1.0239654120764758</v>
      </c>
      <c r="Q34" s="1870">
        <f t="shared" ref="Q34" si="34">SUM(Q33,Q27)</f>
        <v>6393.94</v>
      </c>
      <c r="R34" s="1870">
        <f t="shared" ref="R34:T34" si="35">SUM(R33,R27)</f>
        <v>9730.42</v>
      </c>
      <c r="S34" s="1870">
        <f t="shared" si="35"/>
        <v>13480.330000000002</v>
      </c>
      <c r="T34" s="1870">
        <f t="shared" si="35"/>
        <v>12372.400000000001</v>
      </c>
      <c r="U34" s="1870">
        <f t="shared" ref="U34:AA34" si="36">SUM(U33,U27)</f>
        <v>12958.2</v>
      </c>
      <c r="V34" s="1870">
        <f t="shared" si="36"/>
        <v>8.3338304794805236</v>
      </c>
      <c r="W34" s="2123">
        <f t="shared" ref="W34" si="37">SUM(W33,W27)</f>
        <v>13534.780000000002</v>
      </c>
      <c r="X34" s="2123">
        <f t="shared" si="36"/>
        <v>13534.780000000002</v>
      </c>
      <c r="Y34" s="1870">
        <f t="shared" si="36"/>
        <v>10163.959999999999</v>
      </c>
      <c r="Z34" s="1870">
        <f t="shared" si="36"/>
        <v>13480.36</v>
      </c>
      <c r="AA34" s="1870">
        <f t="shared" si="36"/>
        <v>13480.36</v>
      </c>
      <c r="AB34" s="1870">
        <f t="shared" ref="AB34:AC34" si="38">SUM(AB33,AB27)</f>
        <v>14990.669999999998</v>
      </c>
      <c r="AC34" s="1870">
        <f t="shared" si="38"/>
        <v>14990.669999999998</v>
      </c>
      <c r="AD34" s="1870">
        <f t="shared" ref="AD34:AE34" si="39">SUM(AD33,AD27)</f>
        <v>13534.780000000002</v>
      </c>
      <c r="AE34" s="1870">
        <f t="shared" si="39"/>
        <v>13534.780000000002</v>
      </c>
      <c r="AF34" s="1870">
        <f t="shared" ref="AF34:AQ34" si="40">SUM(AF33,AF27)</f>
        <v>8.5043756316264734</v>
      </c>
      <c r="AG34" s="1870">
        <f t="shared" si="40"/>
        <v>17757.57</v>
      </c>
      <c r="AH34" s="1870">
        <f t="shared" si="40"/>
        <v>17757.57</v>
      </c>
      <c r="AI34" s="1870">
        <f t="shared" si="40"/>
        <v>17757.57</v>
      </c>
      <c r="AJ34" s="1870">
        <f t="shared" si="40"/>
        <v>17757.57</v>
      </c>
      <c r="AK34" s="1870">
        <f t="shared" si="40"/>
        <v>17757.57</v>
      </c>
      <c r="AL34" s="1870">
        <f t="shared" si="40"/>
        <v>14990.669999999998</v>
      </c>
      <c r="AM34" s="1870">
        <f t="shared" si="40"/>
        <v>14990.669999999998</v>
      </c>
      <c r="AN34" s="1870">
        <f t="shared" si="40"/>
        <v>14990.669999999998</v>
      </c>
      <c r="AO34" s="1870">
        <f t="shared" si="40"/>
        <v>14990.669999999998</v>
      </c>
      <c r="AP34" s="1870">
        <f t="shared" si="40"/>
        <v>14990.669999999998</v>
      </c>
      <c r="AQ34" s="1870">
        <f t="shared" si="40"/>
        <v>14990.669999999998</v>
      </c>
      <c r="AR34" s="4240"/>
      <c r="AS34" s="4240"/>
    </row>
    <row r="35" spans="1:56" s="5" customFormat="1" x14ac:dyDescent="0.2"/>
    <row r="36" spans="1:56" s="5" customFormat="1" x14ac:dyDescent="0.2">
      <c r="G36" s="3958"/>
      <c r="H36" s="3958"/>
      <c r="I36" s="3958"/>
      <c r="J36" s="3958"/>
      <c r="K36" s="3958"/>
      <c r="L36" s="3958"/>
      <c r="M36" s="3958"/>
      <c r="N36" s="3958"/>
      <c r="O36" s="3958"/>
      <c r="P36" s="3958"/>
      <c r="Q36" s="3958"/>
      <c r="R36" s="3958"/>
      <c r="S36" s="3958"/>
    </row>
    <row r="37" spans="1:56" s="2093" customFormat="1" ht="15" hidden="1" x14ac:dyDescent="0.2">
      <c r="A37" s="4237" t="s">
        <v>1001</v>
      </c>
      <c r="B37" s="1723"/>
      <c r="C37" s="1723"/>
      <c r="D37" s="1723"/>
      <c r="E37" s="1723"/>
      <c r="F37" s="1723"/>
      <c r="G37" s="4237" t="s">
        <v>1002</v>
      </c>
      <c r="H37" s="1723"/>
      <c r="I37" s="1723"/>
      <c r="J37" s="1723"/>
      <c r="K37" s="1723"/>
      <c r="L37" s="2095" t="s">
        <v>355</v>
      </c>
      <c r="M37" s="1723"/>
      <c r="N37" s="1723"/>
      <c r="O37" s="2095" t="s">
        <v>345</v>
      </c>
      <c r="P37" s="1723"/>
      <c r="Q37" s="1723"/>
      <c r="R37" s="1723"/>
      <c r="S37" s="2095" t="s">
        <v>1474</v>
      </c>
      <c r="U37" s="2039"/>
      <c r="Y37" s="2107">
        <f>S27-O27</f>
        <v>746.35000000000127</v>
      </c>
      <c r="Z37" s="2039"/>
      <c r="AA37" s="2039"/>
      <c r="AB37" s="2039"/>
      <c r="AC37" s="2039"/>
      <c r="AD37" s="2039"/>
      <c r="AE37" s="2039"/>
      <c r="AS37" s="4236"/>
      <c r="AT37" s="4236"/>
      <c r="AU37" s="2100"/>
      <c r="AV37" s="2100"/>
      <c r="AW37" s="2100"/>
    </row>
    <row r="38" spans="1:56" s="5" customFormat="1" ht="15" hidden="1" x14ac:dyDescent="0.2">
      <c r="A38" s="4237"/>
      <c r="B38" s="1861"/>
      <c r="C38" s="1861"/>
      <c r="D38" s="1861"/>
      <c r="E38" s="1861"/>
      <c r="F38" s="1861"/>
      <c r="G38" s="4237"/>
      <c r="H38" s="2094"/>
      <c r="I38" s="2094"/>
      <c r="J38" s="2094"/>
      <c r="K38" s="2094"/>
      <c r="L38" s="2095" t="s">
        <v>1003</v>
      </c>
      <c r="M38" s="2094"/>
      <c r="N38" s="2094"/>
      <c r="O38" s="2095" t="s">
        <v>1003</v>
      </c>
      <c r="P38" s="2094"/>
      <c r="Q38" s="2094"/>
      <c r="R38" s="2094"/>
      <c r="S38" s="2095" t="s">
        <v>1003</v>
      </c>
      <c r="U38" s="1860"/>
      <c r="V38" s="1860"/>
      <c r="W38" s="1860"/>
      <c r="X38" s="1860"/>
      <c r="Y38" s="2108">
        <f>S33-O33</f>
        <v>361.57999999999993</v>
      </c>
      <c r="Z38" s="1860"/>
      <c r="AS38" s="4236"/>
      <c r="AT38" s="4236"/>
      <c r="AU38" s="2100"/>
      <c r="AV38" s="2100"/>
      <c r="AW38" s="2100"/>
    </row>
    <row r="39" spans="1:56" s="5" customFormat="1" ht="15" hidden="1" x14ac:dyDescent="0.25">
      <c r="A39" s="2099" t="s">
        <v>1465</v>
      </c>
      <c r="B39" s="1861"/>
      <c r="C39" s="1861"/>
      <c r="D39" s="1861"/>
      <c r="E39" s="1861"/>
      <c r="F39" s="1861"/>
      <c r="G39" s="2097" t="s">
        <v>1004</v>
      </c>
      <c r="H39" s="2094"/>
      <c r="I39" s="2094"/>
      <c r="J39" s="2094"/>
      <c r="K39" s="2094"/>
      <c r="L39" s="2098">
        <v>94861.048999999999</v>
      </c>
      <c r="M39" s="2094"/>
      <c r="N39" s="2094"/>
      <c r="O39" s="2098">
        <v>71225.517999999996</v>
      </c>
      <c r="P39" s="2094"/>
      <c r="Q39" s="2094"/>
      <c r="R39" s="2094"/>
      <c r="S39" s="2098">
        <v>3130.4870000000001</v>
      </c>
      <c r="U39" s="1860"/>
      <c r="V39" s="1860"/>
      <c r="W39" s="1860"/>
      <c r="X39" s="1860"/>
      <c r="Y39" s="1860"/>
      <c r="Z39" s="1860"/>
      <c r="AS39" s="2101"/>
      <c r="AT39" s="2102"/>
      <c r="AU39" s="2103"/>
      <c r="AV39" s="2103"/>
      <c r="AW39" s="2103"/>
      <c r="BA39" s="2039"/>
      <c r="BB39" s="2093"/>
      <c r="BC39" s="2039"/>
      <c r="BD39" s="2039"/>
    </row>
    <row r="40" spans="1:56" s="5" customFormat="1" ht="15" hidden="1" x14ac:dyDescent="0.25">
      <c r="A40" s="2096" t="s">
        <v>1471</v>
      </c>
      <c r="B40" s="1861"/>
      <c r="C40" s="1861"/>
      <c r="D40" s="1861"/>
      <c r="E40" s="1861"/>
      <c r="F40" s="1861"/>
      <c r="G40" s="2097" t="s">
        <v>1004</v>
      </c>
      <c r="H40" s="2094"/>
      <c r="I40" s="2094"/>
      <c r="J40" s="2094"/>
      <c r="K40" s="2094"/>
      <c r="L40" s="2098">
        <f>L39-L42-L43</f>
        <v>644.92696999998589</v>
      </c>
      <c r="M40" s="2098">
        <f t="shared" ref="M40:O40" si="41">M39-M42-M43</f>
        <v>0</v>
      </c>
      <c r="N40" s="2098">
        <f t="shared" si="41"/>
        <v>0</v>
      </c>
      <c r="O40" s="2098">
        <f t="shared" si="41"/>
        <v>-3911.8511299999955</v>
      </c>
      <c r="P40" s="2094"/>
      <c r="Q40" s="2094"/>
      <c r="R40" s="2094"/>
      <c r="S40" s="2098">
        <v>99.817999999999998</v>
      </c>
      <c r="U40" s="1860"/>
      <c r="V40" s="1860"/>
      <c r="W40" s="1860"/>
      <c r="X40" s="1860"/>
      <c r="Y40" s="1860"/>
      <c r="Z40" s="1860"/>
      <c r="AS40" s="2101"/>
      <c r="AT40" s="2102"/>
      <c r="AU40" s="2103"/>
      <c r="AV40" s="2103"/>
      <c r="AW40" s="2103"/>
      <c r="BA40" s="1860"/>
      <c r="BB40" s="1860"/>
      <c r="BC40" s="1860"/>
    </row>
    <row r="41" spans="1:56" s="5" customFormat="1" ht="15" hidden="1" x14ac:dyDescent="0.25">
      <c r="A41" s="2096" t="s">
        <v>1673</v>
      </c>
      <c r="B41" s="1861"/>
      <c r="C41" s="1861"/>
      <c r="D41" s="1861"/>
      <c r="E41" s="1861"/>
      <c r="F41" s="1861"/>
      <c r="G41" s="2097" t="s">
        <v>1004</v>
      </c>
      <c r="H41" s="2094"/>
      <c r="I41" s="2094"/>
      <c r="J41" s="2094"/>
      <c r="K41" s="2094"/>
      <c r="L41" s="2098">
        <v>0</v>
      </c>
      <c r="M41" s="2094"/>
      <c r="N41" s="2094"/>
      <c r="O41" s="2098">
        <v>0</v>
      </c>
      <c r="P41" s="2094"/>
      <c r="Q41" s="2094"/>
      <c r="R41" s="2094"/>
      <c r="S41" s="2098"/>
      <c r="U41" s="1860"/>
      <c r="V41" s="1860"/>
      <c r="W41" s="1860"/>
      <c r="X41" s="1860"/>
      <c r="Y41" s="1860"/>
      <c r="Z41" s="1860"/>
      <c r="AS41" s="2101"/>
      <c r="AT41" s="2102"/>
      <c r="AU41" s="2103"/>
      <c r="AV41" s="2103"/>
      <c r="AW41" s="2103"/>
      <c r="BA41" s="1860"/>
      <c r="BB41" s="1860"/>
      <c r="BC41" s="1860"/>
    </row>
    <row r="42" spans="1:56" s="5" customFormat="1" ht="25.5" hidden="1" x14ac:dyDescent="0.25">
      <c r="A42" s="2099" t="s">
        <v>1473</v>
      </c>
      <c r="B42" s="1861"/>
      <c r="C42" s="1861"/>
      <c r="D42" s="1861"/>
      <c r="E42" s="1861"/>
      <c r="F42" s="1861"/>
      <c r="G42" s="2097" t="s">
        <v>1004</v>
      </c>
      <c r="H42" s="2094"/>
      <c r="I42" s="2094"/>
      <c r="J42" s="2094"/>
      <c r="K42" s="2094"/>
      <c r="L42" s="2098">
        <v>8850.2302899999995</v>
      </c>
      <c r="M42" s="2094"/>
      <c r="N42" s="2094"/>
      <c r="O42" s="2098">
        <v>5124.2388899999996</v>
      </c>
      <c r="P42" s="2094"/>
      <c r="Q42" s="2094"/>
      <c r="R42" s="2094"/>
      <c r="S42" s="2098">
        <f>'ОХР '!BI55/3*4</f>
        <v>0</v>
      </c>
      <c r="U42" s="1860"/>
      <c r="V42" s="1860"/>
      <c r="W42" s="1860"/>
      <c r="X42" s="1860"/>
      <c r="Y42" s="1860"/>
      <c r="Z42" s="1860"/>
      <c r="AS42" s="2101"/>
      <c r="AT42" s="2102"/>
      <c r="AU42" s="2103"/>
      <c r="AV42" s="2103"/>
      <c r="AW42" s="2103"/>
      <c r="BA42" s="1860"/>
      <c r="BB42" s="1860"/>
      <c r="BC42" s="1860"/>
    </row>
    <row r="43" spans="1:56" s="5" customFormat="1" ht="22.5" hidden="1" customHeight="1" x14ac:dyDescent="0.25">
      <c r="A43" s="2096" t="s">
        <v>1005</v>
      </c>
      <c r="B43" s="1861"/>
      <c r="C43" s="1861"/>
      <c r="D43" s="1861"/>
      <c r="E43" s="1861"/>
      <c r="F43" s="1861"/>
      <c r="G43" s="2097" t="s">
        <v>1004</v>
      </c>
      <c r="H43" s="2094"/>
      <c r="I43" s="2094"/>
      <c r="J43" s="2094"/>
      <c r="K43" s="2094"/>
      <c r="L43" s="2098">
        <v>85365.891740000006</v>
      </c>
      <c r="M43" s="2094"/>
      <c r="N43" s="2094"/>
      <c r="O43" s="2098">
        <v>70013.130239999999</v>
      </c>
      <c r="P43" s="2094"/>
      <c r="Q43" s="2094"/>
      <c r="R43" s="2094"/>
      <c r="S43" s="2098">
        <f>S39+S40-S42</f>
        <v>3230.3050000000003</v>
      </c>
      <c r="U43" s="1860"/>
      <c r="V43" s="1860"/>
      <c r="W43" s="1860"/>
      <c r="X43" s="1860"/>
      <c r="Y43" s="1860"/>
      <c r="Z43" s="1860"/>
      <c r="AS43" s="2101"/>
      <c r="AT43" s="2102"/>
      <c r="AU43" s="2103"/>
      <c r="AV43" s="2103"/>
      <c r="AW43" s="2103"/>
      <c r="BA43" s="1860"/>
      <c r="BB43" s="1860"/>
      <c r="BC43" s="1860"/>
    </row>
    <row r="44" spans="1:56" s="5" customFormat="1" hidden="1" x14ac:dyDescent="0.2">
      <c r="A44" s="2091"/>
      <c r="G44" s="1860"/>
      <c r="H44" s="1860"/>
      <c r="I44" s="1860"/>
      <c r="J44" s="1860"/>
      <c r="K44" s="1860"/>
      <c r="L44" s="1860">
        <f>(L43+L39)/2*2.2%</f>
        <v>1982.49634814</v>
      </c>
      <c r="M44" s="1860">
        <f t="shared" ref="M44:O44" si="42">(M43+M39)/2*2.2%</f>
        <v>0</v>
      </c>
      <c r="N44" s="1860">
        <f t="shared" si="42"/>
        <v>0</v>
      </c>
      <c r="O44" s="1860">
        <f t="shared" si="42"/>
        <v>1553.6251306400002</v>
      </c>
      <c r="P44" s="1860"/>
      <c r="Q44" s="1860"/>
      <c r="R44" s="1860"/>
      <c r="S44" s="1860"/>
      <c r="U44" s="1860"/>
      <c r="V44" s="1860"/>
      <c r="W44" s="1860"/>
      <c r="X44" s="1860"/>
      <c r="Y44" s="1860"/>
      <c r="Z44" s="1860"/>
      <c r="AS44" s="29"/>
      <c r="AT44" s="29"/>
      <c r="AU44" s="29"/>
      <c r="AV44" s="29"/>
      <c r="AW44" s="29"/>
      <c r="BA44" s="1860"/>
      <c r="BB44" s="1860"/>
      <c r="BC44" s="1860"/>
    </row>
    <row r="45" spans="1:56" s="5" customFormat="1" hidden="1" x14ac:dyDescent="0.2">
      <c r="G45" s="1860"/>
      <c r="H45" s="1860"/>
      <c r="I45" s="1860"/>
      <c r="J45" s="1860"/>
      <c r="K45" s="1860"/>
      <c r="L45" s="1860"/>
      <c r="M45" s="1860"/>
      <c r="N45" s="1860"/>
      <c r="O45" s="1860"/>
      <c r="P45" s="1860"/>
      <c r="Q45" s="1860"/>
      <c r="R45" s="1860"/>
      <c r="S45" s="1860"/>
      <c r="AS45" s="29"/>
      <c r="AT45" s="29"/>
      <c r="AU45" s="29"/>
      <c r="AV45" s="29"/>
      <c r="AW45" s="29"/>
      <c r="BA45" s="1860"/>
      <c r="BB45" s="1860"/>
      <c r="BC45" s="1860"/>
    </row>
    <row r="46" spans="1:56" s="5" customFormat="1" hidden="1" x14ac:dyDescent="0.2">
      <c r="G46" s="1860"/>
      <c r="H46" s="1860"/>
      <c r="I46" s="1860"/>
      <c r="J46" s="1860"/>
      <c r="K46" s="1860"/>
      <c r="L46" s="1860"/>
      <c r="M46" s="1860"/>
      <c r="N46" s="1860"/>
      <c r="O46" s="1860"/>
      <c r="P46" s="1860"/>
      <c r="Q46" s="1860"/>
      <c r="R46" s="1860"/>
      <c r="S46" s="1860"/>
      <c r="AS46" s="29"/>
      <c r="AT46" s="29"/>
      <c r="AU46" s="29"/>
      <c r="AV46" s="29"/>
      <c r="AW46" s="29"/>
      <c r="BA46" s="1860"/>
      <c r="BB46" s="1860"/>
      <c r="BC46" s="1860"/>
    </row>
    <row r="47" spans="1:56" s="5" customFormat="1" hidden="1" x14ac:dyDescent="0.2">
      <c r="G47" s="1860"/>
      <c r="H47" s="1860"/>
      <c r="I47" s="1860"/>
      <c r="J47" s="1860"/>
      <c r="K47" s="1860"/>
      <c r="L47" s="1860"/>
      <c r="M47" s="1860"/>
      <c r="N47" s="1860"/>
      <c r="O47" s="1860">
        <f>O39-O43</f>
        <v>1212.3877599999978</v>
      </c>
      <c r="P47" s="1860"/>
      <c r="Q47" s="1860"/>
      <c r="R47" s="1860"/>
      <c r="S47" s="1860"/>
    </row>
    <row r="48" spans="1:56" s="5" customFormat="1" hidden="1" x14ac:dyDescent="0.2">
      <c r="G48" s="1860"/>
      <c r="H48" s="1860"/>
      <c r="I48" s="1860"/>
      <c r="J48" s="1860"/>
      <c r="K48" s="1860"/>
      <c r="L48" s="1860"/>
      <c r="M48" s="1860"/>
      <c r="N48" s="1860"/>
      <c r="O48" s="1860"/>
      <c r="P48" s="1860"/>
      <c r="Q48" s="1860"/>
      <c r="R48" s="1860"/>
      <c r="S48" s="1860"/>
    </row>
    <row r="49" spans="1:21" s="5" customFormat="1" hidden="1" x14ac:dyDescent="0.2"/>
    <row r="50" spans="1:21" s="5" customFormat="1" hidden="1" x14ac:dyDescent="0.2">
      <c r="A50" s="5" t="s">
        <v>1672</v>
      </c>
      <c r="G50" s="1860">
        <v>17901488.870000001</v>
      </c>
      <c r="H50" s="1860"/>
      <c r="I50" s="1860"/>
      <c r="J50" s="1860"/>
      <c r="K50" s="1860"/>
      <c r="L50" s="1860">
        <v>1113993.2</v>
      </c>
      <c r="M50" s="1860"/>
      <c r="N50" s="1860"/>
      <c r="O50" s="1860">
        <v>1820778.51</v>
      </c>
      <c r="P50" s="1860"/>
      <c r="Q50" s="1860"/>
      <c r="R50" s="1860"/>
      <c r="S50" s="1860">
        <f>G50+L50-O50</f>
        <v>17194703.559999999</v>
      </c>
    </row>
    <row r="51" spans="1:21" s="5" customFormat="1" hidden="1" x14ac:dyDescent="0.2">
      <c r="A51" s="5" t="s">
        <v>1674</v>
      </c>
      <c r="G51" s="1860">
        <v>63169982.32</v>
      </c>
      <c r="H51" s="1860"/>
      <c r="I51" s="1860"/>
      <c r="J51" s="1860"/>
      <c r="K51" s="1860"/>
      <c r="L51" s="1860">
        <f>-(104348582.04-102079895.1)</f>
        <v>-2268686.9400000125</v>
      </c>
      <c r="M51" s="1860"/>
      <c r="N51" s="1860"/>
      <c r="O51" s="1860">
        <v>4219837.3600000003</v>
      </c>
      <c r="P51" s="1860"/>
      <c r="Q51" s="1860"/>
      <c r="R51" s="1860"/>
      <c r="S51" s="1860">
        <f>G51+L51-O51</f>
        <v>56681458.019999988</v>
      </c>
    </row>
    <row r="52" spans="1:21" s="5" customFormat="1" hidden="1" x14ac:dyDescent="0.2">
      <c r="A52" s="5" t="s">
        <v>1675</v>
      </c>
      <c r="G52" s="1860">
        <v>13362305.09</v>
      </c>
      <c r="H52" s="1860"/>
      <c r="I52" s="1860"/>
      <c r="J52" s="1860"/>
      <c r="K52" s="1860"/>
      <c r="L52" s="1860">
        <v>564290.65</v>
      </c>
      <c r="M52" s="1860"/>
      <c r="N52" s="1860"/>
      <c r="O52" s="1860">
        <v>2091200</v>
      </c>
      <c r="P52" s="1860"/>
      <c r="Q52" s="1860"/>
      <c r="R52" s="1860"/>
      <c r="S52" s="1860">
        <f>G52+L52-O52</f>
        <v>11835395.74</v>
      </c>
    </row>
    <row r="53" spans="1:21" s="5" customFormat="1" hidden="1" x14ac:dyDescent="0.2">
      <c r="A53" s="5" t="s">
        <v>1676</v>
      </c>
      <c r="G53" s="1860">
        <v>427273.6</v>
      </c>
      <c r="H53" s="1860"/>
      <c r="I53" s="1860"/>
      <c r="J53" s="1860"/>
      <c r="K53" s="1860"/>
      <c r="L53" s="1860">
        <v>0</v>
      </c>
      <c r="M53" s="1860"/>
      <c r="N53" s="1860"/>
      <c r="O53" s="1860">
        <v>132713.32</v>
      </c>
      <c r="P53" s="1860"/>
      <c r="Q53" s="1860"/>
      <c r="R53" s="1860"/>
      <c r="S53" s="1860">
        <f>G53+L53-O53</f>
        <v>294560.27999999997</v>
      </c>
    </row>
    <row r="54" spans="1:21" s="5" customFormat="1" hidden="1" x14ac:dyDescent="0.2">
      <c r="G54" s="1860">
        <f>SUM(G50:G53)</f>
        <v>94861049.879999995</v>
      </c>
      <c r="O54" s="1860">
        <f>SUM(O50:O53)</f>
        <v>8264529.1900000004</v>
      </c>
      <c r="P54" s="1860">
        <f t="shared" ref="P54:S54" si="43">SUM(P50:P53)</f>
        <v>0</v>
      </c>
      <c r="Q54" s="1860">
        <f t="shared" si="43"/>
        <v>0</v>
      </c>
      <c r="R54" s="1860">
        <f t="shared" si="43"/>
        <v>0</v>
      </c>
      <c r="S54" s="1860">
        <f t="shared" si="43"/>
        <v>86006117.599999979</v>
      </c>
      <c r="U54" s="1860">
        <f>(G54+S54)/2*2.2%</f>
        <v>1989538.8422799997</v>
      </c>
    </row>
    <row r="55" spans="1:21" s="5" customFormat="1" hidden="1" x14ac:dyDescent="0.2">
      <c r="O55" s="1860">
        <v>8296680</v>
      </c>
    </row>
    <row r="56" spans="1:21" s="5" customFormat="1" hidden="1" x14ac:dyDescent="0.2">
      <c r="O56" s="1860">
        <f>O54-O55</f>
        <v>-32150.80999999959</v>
      </c>
    </row>
    <row r="57" spans="1:21" s="5" customFormat="1" hidden="1" x14ac:dyDescent="0.2"/>
    <row r="58" spans="1:21" s="5" customFormat="1" hidden="1" x14ac:dyDescent="0.2"/>
    <row r="59" spans="1:21" hidden="1" x14ac:dyDescent="0.2"/>
    <row r="60" spans="1:21" hidden="1" x14ac:dyDescent="0.2"/>
    <row r="61" spans="1:21" hidden="1" x14ac:dyDescent="0.2"/>
    <row r="62" spans="1:21" hidden="1" x14ac:dyDescent="0.2"/>
    <row r="63" spans="1:21" hidden="1" x14ac:dyDescent="0.2"/>
    <row r="64" spans="1:21" hidden="1" x14ac:dyDescent="0.2"/>
    <row r="65" spans="1:29" hidden="1" x14ac:dyDescent="0.2"/>
    <row r="66" spans="1:29" hidden="1" x14ac:dyDescent="0.2"/>
    <row r="67" spans="1:29" hidden="1" x14ac:dyDescent="0.2"/>
    <row r="68" spans="1:29" hidden="1" x14ac:dyDescent="0.2"/>
    <row r="69" spans="1:29" hidden="1" x14ac:dyDescent="0.2"/>
    <row r="70" spans="1:29" hidden="1" x14ac:dyDescent="0.2"/>
    <row r="71" spans="1:29" hidden="1" x14ac:dyDescent="0.2"/>
    <row r="72" spans="1:29" hidden="1" x14ac:dyDescent="0.2"/>
    <row r="73" spans="1:29" s="5" customFormat="1" ht="20.25" customHeight="1" x14ac:dyDescent="0.2">
      <c r="A73" s="4235" t="s">
        <v>1969</v>
      </c>
      <c r="B73" s="4235"/>
      <c r="C73" s="4235"/>
      <c r="D73" s="4235"/>
      <c r="E73" s="4235"/>
      <c r="F73" s="4235"/>
      <c r="G73" s="4235"/>
      <c r="H73" s="4235"/>
      <c r="I73" s="4235"/>
      <c r="J73" s="4235"/>
      <c r="K73" s="4235"/>
      <c r="L73" s="4235"/>
      <c r="M73" s="4235"/>
      <c r="N73" s="4235"/>
      <c r="O73" s="4235"/>
      <c r="P73" s="4235"/>
      <c r="Q73" s="4235"/>
      <c r="R73" s="4235"/>
      <c r="S73" s="4235"/>
      <c r="T73" s="4235"/>
      <c r="U73" s="4235"/>
      <c r="V73" s="4235"/>
      <c r="W73" s="4235"/>
      <c r="X73" s="4235"/>
      <c r="Y73" s="4235"/>
      <c r="Z73" s="4235"/>
      <c r="AA73" s="4235"/>
      <c r="AB73" s="4235"/>
      <c r="AC73" s="4235"/>
    </row>
    <row r="74" spans="1:29" s="5" customFormat="1" ht="25.5" x14ac:dyDescent="0.2">
      <c r="A74" s="2661" t="s">
        <v>1978</v>
      </c>
      <c r="B74" s="2751"/>
      <c r="C74" s="2751"/>
      <c r="D74" s="2751"/>
      <c r="E74" s="2751"/>
      <c r="F74" s="2751"/>
      <c r="G74" s="2751"/>
      <c r="H74" s="2751"/>
      <c r="I74" s="2751"/>
      <c r="J74" s="2751"/>
      <c r="K74" s="2751"/>
      <c r="L74" s="2751"/>
      <c r="M74" s="2751"/>
      <c r="N74" s="2751"/>
      <c r="O74" s="2751"/>
      <c r="P74" s="2751"/>
      <c r="Q74" s="2751"/>
      <c r="R74" s="2751"/>
      <c r="S74" s="2751"/>
      <c r="T74" s="2751"/>
      <c r="U74" s="1969">
        <v>132562246.41</v>
      </c>
      <c r="V74" s="2751"/>
      <c r="W74" s="4234" t="s">
        <v>1970</v>
      </c>
      <c r="X74" s="2746" t="s">
        <v>1971</v>
      </c>
      <c r="Y74" s="2751"/>
      <c r="Z74" s="2751"/>
      <c r="AA74" s="4233" t="s">
        <v>1972</v>
      </c>
      <c r="AB74" s="4233"/>
      <c r="AC74" s="1969">
        <v>59463871.259999998</v>
      </c>
    </row>
    <row r="75" spans="1:29" s="5" customFormat="1" ht="38.25" x14ac:dyDescent="0.2">
      <c r="A75" s="2661" t="s">
        <v>1977</v>
      </c>
      <c r="B75" s="2751"/>
      <c r="C75" s="2751"/>
      <c r="D75" s="2751"/>
      <c r="E75" s="2751"/>
      <c r="F75" s="2751"/>
      <c r="G75" s="2751"/>
      <c r="H75" s="2751"/>
      <c r="I75" s="2751"/>
      <c r="J75" s="2751"/>
      <c r="K75" s="2751"/>
      <c r="L75" s="2751"/>
      <c r="M75" s="2751"/>
      <c r="N75" s="2751"/>
      <c r="O75" s="2751"/>
      <c r="P75" s="2751"/>
      <c r="Q75" s="2751"/>
      <c r="R75" s="2751"/>
      <c r="S75" s="2751"/>
      <c r="T75" s="2751"/>
      <c r="U75" s="2075">
        <v>50</v>
      </c>
      <c r="V75" s="2751"/>
      <c r="W75" s="4234"/>
      <c r="X75" s="2746" t="s">
        <v>1973</v>
      </c>
      <c r="Y75" s="2751"/>
      <c r="Z75" s="2751"/>
      <c r="AA75" s="4233" t="s">
        <v>1974</v>
      </c>
      <c r="AB75" s="4233"/>
      <c r="AC75" s="1969">
        <v>71948220.920000002</v>
      </c>
    </row>
    <row r="76" spans="1:29" s="5" customFormat="1" ht="38.25" x14ac:dyDescent="0.2">
      <c r="A76" s="2661" t="s">
        <v>1979</v>
      </c>
      <c r="B76" s="2751"/>
      <c r="C76" s="2751"/>
      <c r="D76" s="2751"/>
      <c r="E76" s="2751"/>
      <c r="F76" s="2751"/>
      <c r="G76" s="2751"/>
      <c r="H76" s="2751"/>
      <c r="I76" s="2751"/>
      <c r="J76" s="2751"/>
      <c r="K76" s="2751"/>
      <c r="L76" s="2751"/>
      <c r="M76" s="2751"/>
      <c r="N76" s="2751"/>
      <c r="O76" s="2751"/>
      <c r="P76" s="2751"/>
      <c r="Q76" s="2751"/>
      <c r="R76" s="2751"/>
      <c r="S76" s="2751"/>
      <c r="T76" s="2751"/>
      <c r="U76" s="1969">
        <f>U74/U75</f>
        <v>2651244.9282</v>
      </c>
      <c r="V76" s="2751"/>
      <c r="W76" s="4234"/>
      <c r="X76" s="2746" t="s">
        <v>1975</v>
      </c>
      <c r="Y76" s="2751"/>
      <c r="Z76" s="2751"/>
      <c r="AA76" s="4233" t="s">
        <v>1976</v>
      </c>
      <c r="AB76" s="4233"/>
      <c r="AC76" s="1969">
        <v>1150154.23</v>
      </c>
    </row>
    <row r="77" spans="1:29" s="5" customFormat="1" x14ac:dyDescent="0.2">
      <c r="A77" s="2661"/>
      <c r="B77" s="2751"/>
      <c r="C77" s="2751"/>
      <c r="D77" s="2751"/>
      <c r="E77" s="2751"/>
      <c r="F77" s="2751"/>
      <c r="G77" s="2751"/>
      <c r="H77" s="2751"/>
      <c r="I77" s="2751"/>
      <c r="J77" s="2751"/>
      <c r="K77" s="2751"/>
      <c r="L77" s="2751"/>
      <c r="M77" s="2751"/>
      <c r="N77" s="2751"/>
      <c r="O77" s="2751"/>
      <c r="P77" s="2751"/>
      <c r="Q77" s="2751"/>
      <c r="R77" s="2751"/>
      <c r="S77" s="2751"/>
      <c r="T77" s="2751"/>
      <c r="U77" s="1975"/>
      <c r="V77" s="2751"/>
      <c r="W77" s="2751"/>
      <c r="X77" s="2751"/>
      <c r="Y77" s="2751"/>
      <c r="Z77" s="2751"/>
      <c r="AA77" s="2751"/>
      <c r="AB77" s="2751"/>
      <c r="AC77" s="1969">
        <f>SUM(AC74:AC76)</f>
        <v>132562246.41000001</v>
      </c>
    </row>
    <row r="78" spans="1:29" s="5" customFormat="1" x14ac:dyDescent="0.2">
      <c r="A78" s="375"/>
    </row>
    <row r="79" spans="1:29" s="5" customFormat="1" x14ac:dyDescent="0.2">
      <c r="A79" s="375"/>
    </row>
    <row r="80" spans="1:29" s="5" customFormat="1" x14ac:dyDescent="0.2">
      <c r="A80" s="2151" t="s">
        <v>2027</v>
      </c>
    </row>
    <row r="81" spans="1:29" s="5" customFormat="1" x14ac:dyDescent="0.2">
      <c r="A81" s="5" t="s">
        <v>1966</v>
      </c>
      <c r="U81" s="1860"/>
    </row>
    <row r="82" spans="1:29" s="5" customFormat="1" x14ac:dyDescent="0.2">
      <c r="A82" s="1861" t="s">
        <v>2028</v>
      </c>
      <c r="B82" s="1861"/>
      <c r="C82" s="1861"/>
      <c r="D82" s="1861"/>
      <c r="E82" s="1861"/>
      <c r="F82" s="1861"/>
      <c r="G82" s="1861"/>
      <c r="H82" s="1861"/>
      <c r="I82" s="1861"/>
      <c r="J82" s="1861"/>
      <c r="K82" s="1861"/>
      <c r="L82" s="1861"/>
      <c r="M82" s="1861"/>
      <c r="N82" s="1861"/>
      <c r="O82" s="1861"/>
      <c r="P82" s="1861"/>
      <c r="Q82" s="1861"/>
      <c r="R82" s="1861"/>
      <c r="S82" s="1861"/>
      <c r="T82" s="1861"/>
      <c r="U82" s="2094">
        <f>U74</f>
        <v>132562246.41</v>
      </c>
    </row>
    <row r="83" spans="1:29" s="5" customFormat="1" x14ac:dyDescent="0.2">
      <c r="A83" s="1861" t="s">
        <v>2029</v>
      </c>
      <c r="B83" s="1861"/>
      <c r="C83" s="1861"/>
      <c r="D83" s="1861"/>
      <c r="E83" s="1861"/>
      <c r="F83" s="1861"/>
      <c r="G83" s="1861"/>
      <c r="H83" s="1861"/>
      <c r="I83" s="1861"/>
      <c r="J83" s="1861"/>
      <c r="K83" s="1861"/>
      <c r="L83" s="1861"/>
      <c r="M83" s="1861"/>
      <c r="N83" s="1861"/>
      <c r="O83" s="1861"/>
      <c r="P83" s="1861"/>
      <c r="Q83" s="1861"/>
      <c r="R83" s="1861"/>
      <c r="S83" s="1861"/>
      <c r="T83" s="1861"/>
      <c r="U83" s="2094">
        <f>U82</f>
        <v>132562246.41</v>
      </c>
    </row>
    <row r="84" spans="1:29" s="5" customFormat="1" x14ac:dyDescent="0.2">
      <c r="A84" s="1745" t="s">
        <v>2030</v>
      </c>
      <c r="B84" s="1861"/>
      <c r="C84" s="1861"/>
      <c r="D84" s="1861"/>
      <c r="E84" s="1861"/>
      <c r="F84" s="1861"/>
      <c r="G84" s="1861"/>
      <c r="H84" s="1861"/>
      <c r="I84" s="1861"/>
      <c r="J84" s="1861"/>
      <c r="K84" s="1861"/>
      <c r="L84" s="1861"/>
      <c r="M84" s="1861"/>
      <c r="N84" s="1861"/>
      <c r="O84" s="1861"/>
      <c r="P84" s="1861"/>
      <c r="Q84" s="1861"/>
      <c r="R84" s="1861"/>
      <c r="S84" s="1861"/>
      <c r="T84" s="1861"/>
      <c r="U84" s="2094">
        <f>U76</f>
        <v>2651244.9282</v>
      </c>
    </row>
    <row r="85" spans="1:29" s="5" customFormat="1" x14ac:dyDescent="0.2">
      <c r="A85" s="1745" t="s">
        <v>2031</v>
      </c>
      <c r="B85" s="1861"/>
      <c r="C85" s="1861"/>
      <c r="D85" s="1861"/>
      <c r="E85" s="1861"/>
      <c r="F85" s="1861"/>
      <c r="G85" s="1861"/>
      <c r="H85" s="1861"/>
      <c r="I85" s="1861"/>
      <c r="J85" s="1861"/>
      <c r="K85" s="1861"/>
      <c r="L85" s="1861"/>
      <c r="M85" s="1861"/>
      <c r="N85" s="1861"/>
      <c r="O85" s="1861"/>
      <c r="P85" s="1861"/>
      <c r="Q85" s="1861"/>
      <c r="R85" s="1861"/>
      <c r="S85" s="1861"/>
      <c r="T85" s="1861"/>
      <c r="U85" s="2094">
        <f>U83-U84</f>
        <v>129911001.48179999</v>
      </c>
    </row>
    <row r="86" spans="1:29" s="5" customFormat="1" x14ac:dyDescent="0.2">
      <c r="A86" s="1745" t="s">
        <v>2032</v>
      </c>
      <c r="B86" s="1861"/>
      <c r="C86" s="1861"/>
      <c r="D86" s="1861"/>
      <c r="E86" s="1861"/>
      <c r="F86" s="1861"/>
      <c r="G86" s="1861"/>
      <c r="H86" s="1861"/>
      <c r="I86" s="1861"/>
      <c r="J86" s="1861"/>
      <c r="K86" s="1861"/>
      <c r="L86" s="1861"/>
      <c r="M86" s="1861"/>
      <c r="N86" s="1861"/>
      <c r="O86" s="1861"/>
      <c r="P86" s="1861"/>
      <c r="Q86" s="1861"/>
      <c r="R86" s="1861"/>
      <c r="S86" s="1861"/>
      <c r="T86" s="1861"/>
      <c r="U86" s="2094">
        <f>U76</f>
        <v>2651244.9282</v>
      </c>
    </row>
    <row r="87" spans="1:29" s="5" customFormat="1" x14ac:dyDescent="0.2">
      <c r="A87" s="1745" t="s">
        <v>2033</v>
      </c>
      <c r="B87" s="1861"/>
      <c r="C87" s="1861"/>
      <c r="D87" s="1861"/>
      <c r="E87" s="1861"/>
      <c r="F87" s="1861"/>
      <c r="G87" s="1861"/>
      <c r="H87" s="1861"/>
      <c r="I87" s="1861"/>
      <c r="J87" s="1861"/>
      <c r="K87" s="1861"/>
      <c r="L87" s="1861"/>
      <c r="M87" s="1861"/>
      <c r="N87" s="1861"/>
      <c r="O87" s="1861"/>
      <c r="P87" s="1861"/>
      <c r="Q87" s="1861"/>
      <c r="R87" s="1861"/>
      <c r="S87" s="1861"/>
      <c r="T87" s="1861"/>
      <c r="U87" s="2094">
        <f>U85-U86</f>
        <v>127259756.55359998</v>
      </c>
    </row>
    <row r="88" spans="1:29" s="5" customFormat="1" x14ac:dyDescent="0.2">
      <c r="A88" s="1745" t="s">
        <v>2034</v>
      </c>
      <c r="B88" s="1861"/>
      <c r="C88" s="1861"/>
      <c r="D88" s="1861"/>
      <c r="E88" s="1861"/>
      <c r="F88" s="1861"/>
      <c r="G88" s="1861"/>
      <c r="H88" s="1861"/>
      <c r="I88" s="1861"/>
      <c r="J88" s="1861"/>
      <c r="K88" s="1861"/>
      <c r="L88" s="1861"/>
      <c r="M88" s="1861"/>
      <c r="N88" s="1861"/>
      <c r="O88" s="1861"/>
      <c r="P88" s="1861"/>
      <c r="Q88" s="1861"/>
      <c r="R88" s="1861"/>
      <c r="S88" s="1861"/>
      <c r="T88" s="1861"/>
      <c r="U88" s="2094">
        <f>U76</f>
        <v>2651244.9282</v>
      </c>
    </row>
    <row r="89" spans="1:29" s="5" customFormat="1" x14ac:dyDescent="0.2">
      <c r="A89" s="1745" t="s">
        <v>2035</v>
      </c>
      <c r="B89" s="1861"/>
      <c r="C89" s="1861"/>
      <c r="D89" s="1861"/>
      <c r="E89" s="1861"/>
      <c r="F89" s="1861"/>
      <c r="G89" s="1861"/>
      <c r="H89" s="1861"/>
      <c r="I89" s="1861"/>
      <c r="J89" s="1861"/>
      <c r="K89" s="1861"/>
      <c r="L89" s="1861"/>
      <c r="M89" s="1861"/>
      <c r="N89" s="1861"/>
      <c r="O89" s="1861"/>
      <c r="P89" s="1861"/>
      <c r="Q89" s="1861"/>
      <c r="R89" s="1861"/>
      <c r="S89" s="1861"/>
      <c r="T89" s="1861"/>
      <c r="U89" s="2094">
        <f>U87-U88</f>
        <v>124608511.62539998</v>
      </c>
    </row>
    <row r="90" spans="1:29" s="5" customFormat="1" x14ac:dyDescent="0.2">
      <c r="A90" s="1745" t="s">
        <v>2036</v>
      </c>
      <c r="B90" s="1861"/>
      <c r="C90" s="1861"/>
      <c r="D90" s="1861"/>
      <c r="E90" s="1861"/>
      <c r="F90" s="1861"/>
      <c r="G90" s="1861"/>
      <c r="H90" s="1861"/>
      <c r="I90" s="1861"/>
      <c r="J90" s="1861"/>
      <c r="K90" s="1861"/>
      <c r="L90" s="1861"/>
      <c r="M90" s="1861"/>
      <c r="N90" s="1861"/>
      <c r="O90" s="1861"/>
      <c r="P90" s="1861"/>
      <c r="Q90" s="1861"/>
      <c r="R90" s="1861"/>
      <c r="S90" s="1861"/>
      <c r="T90" s="1861"/>
      <c r="U90" s="2094">
        <f>U76</f>
        <v>2651244.9282</v>
      </c>
    </row>
    <row r="91" spans="1:29" s="5" customFormat="1" x14ac:dyDescent="0.2">
      <c r="A91" s="1745" t="s">
        <v>2037</v>
      </c>
      <c r="B91" s="1861"/>
      <c r="C91" s="1861"/>
      <c r="D91" s="1861"/>
      <c r="E91" s="1861"/>
      <c r="F91" s="1861"/>
      <c r="G91" s="1861"/>
      <c r="H91" s="1861"/>
      <c r="I91" s="1861"/>
      <c r="J91" s="1861"/>
      <c r="K91" s="1861"/>
      <c r="L91" s="1861"/>
      <c r="M91" s="1861"/>
      <c r="N91" s="1861"/>
      <c r="O91" s="1861"/>
      <c r="P91" s="1861"/>
      <c r="Q91" s="1861"/>
      <c r="R91" s="1861"/>
      <c r="S91" s="1861"/>
      <c r="T91" s="1861"/>
      <c r="U91" s="2094">
        <f>U89-U90</f>
        <v>121957266.69719997</v>
      </c>
    </row>
    <row r="92" spans="1:29" s="5" customFormat="1" x14ac:dyDescent="0.2">
      <c r="A92" s="1745" t="s">
        <v>2038</v>
      </c>
      <c r="B92" s="1861"/>
      <c r="C92" s="1861"/>
      <c r="D92" s="1861"/>
      <c r="E92" s="1861"/>
      <c r="F92" s="1861"/>
      <c r="G92" s="1861"/>
      <c r="H92" s="1861"/>
      <c r="I92" s="1861"/>
      <c r="J92" s="1861"/>
      <c r="K92" s="1861"/>
      <c r="L92" s="1861"/>
      <c r="M92" s="1861"/>
      <c r="N92" s="1861"/>
      <c r="O92" s="1861"/>
      <c r="P92" s="1861"/>
      <c r="Q92" s="1861"/>
      <c r="R92" s="1861"/>
      <c r="S92" s="1861"/>
      <c r="T92" s="1861"/>
      <c r="U92" s="2094">
        <f>U76</f>
        <v>2651244.9282</v>
      </c>
    </row>
    <row r="93" spans="1:29" s="5" customFormat="1" x14ac:dyDescent="0.2">
      <c r="A93" s="1745" t="s">
        <v>2039</v>
      </c>
      <c r="B93" s="1861"/>
      <c r="C93" s="1861"/>
      <c r="D93" s="1861"/>
      <c r="E93" s="1861"/>
      <c r="F93" s="1861"/>
      <c r="G93" s="1861"/>
      <c r="H93" s="1861"/>
      <c r="I93" s="1861"/>
      <c r="J93" s="1861"/>
      <c r="K93" s="1861"/>
      <c r="L93" s="1861"/>
      <c r="M93" s="1861"/>
      <c r="N93" s="1861"/>
      <c r="O93" s="1861"/>
      <c r="P93" s="1861"/>
      <c r="Q93" s="1861"/>
      <c r="R93" s="1861"/>
      <c r="S93" s="1861"/>
      <c r="T93" s="1861"/>
      <c r="U93" s="2094">
        <f>U91-U92</f>
        <v>119306021.76899996</v>
      </c>
    </row>
    <row r="94" spans="1:29" s="5" customFormat="1" x14ac:dyDescent="0.2">
      <c r="A94" s="1745" t="s">
        <v>2040</v>
      </c>
      <c r="B94" s="1861"/>
      <c r="C94" s="1861"/>
      <c r="D94" s="1861"/>
      <c r="E94" s="1861"/>
      <c r="F94" s="1861"/>
      <c r="G94" s="1861"/>
      <c r="H94" s="1861"/>
      <c r="I94" s="1861"/>
      <c r="J94" s="1861"/>
      <c r="K94" s="1861"/>
      <c r="L94" s="1861"/>
      <c r="M94" s="1861"/>
      <c r="N94" s="1861"/>
      <c r="O94" s="1861"/>
      <c r="P94" s="1861"/>
      <c r="Q94" s="1861"/>
      <c r="R94" s="1861"/>
      <c r="S94" s="1861"/>
      <c r="T94" s="1861"/>
      <c r="U94" s="2094">
        <f>U76</f>
        <v>2651244.9282</v>
      </c>
    </row>
    <row r="95" spans="1:29" s="5" customFormat="1" x14ac:dyDescent="0.2">
      <c r="A95" s="1745" t="s">
        <v>2041</v>
      </c>
      <c r="B95" s="1861"/>
      <c r="C95" s="1861"/>
      <c r="D95" s="1861"/>
      <c r="E95" s="1861"/>
      <c r="F95" s="1861"/>
      <c r="G95" s="1861"/>
      <c r="H95" s="1861"/>
      <c r="I95" s="1861"/>
      <c r="J95" s="1861"/>
      <c r="K95" s="1861"/>
      <c r="L95" s="1861"/>
      <c r="M95" s="1861"/>
      <c r="N95" s="1861"/>
      <c r="O95" s="1861"/>
      <c r="P95" s="1861"/>
      <c r="Q95" s="1861"/>
      <c r="R95" s="1861"/>
      <c r="S95" s="1861"/>
      <c r="T95" s="1861"/>
      <c r="U95" s="2094">
        <f>U93-U94</f>
        <v>116654776.84079996</v>
      </c>
    </row>
    <row r="96" spans="1:29" s="2093" customFormat="1" x14ac:dyDescent="0.2">
      <c r="A96" s="1723"/>
      <c r="B96" s="1723"/>
      <c r="C96" s="1723"/>
      <c r="D96" s="1723"/>
      <c r="E96" s="1723"/>
      <c r="F96" s="1723"/>
      <c r="G96" s="1723"/>
      <c r="H96" s="1723"/>
      <c r="I96" s="1723"/>
      <c r="J96" s="1723"/>
      <c r="K96" s="1723"/>
      <c r="L96" s="1723"/>
      <c r="M96" s="1723"/>
      <c r="N96" s="1723"/>
      <c r="O96" s="1723"/>
      <c r="P96" s="1723"/>
      <c r="Q96" s="1723"/>
      <c r="R96" s="1723"/>
      <c r="S96" s="1723"/>
      <c r="T96" s="1723"/>
      <c r="U96" s="1723" t="s">
        <v>1819</v>
      </c>
      <c r="V96" s="1723" t="s">
        <v>1825</v>
      </c>
      <c r="W96" s="1723" t="s">
        <v>1825</v>
      </c>
      <c r="X96" s="1723" t="s">
        <v>1826</v>
      </c>
      <c r="Y96" s="1723" t="s">
        <v>1827</v>
      </c>
      <c r="Z96" s="1723" t="s">
        <v>1828</v>
      </c>
      <c r="AA96" s="1723" t="s">
        <v>1827</v>
      </c>
      <c r="AB96" s="1723" t="s">
        <v>1828</v>
      </c>
      <c r="AC96" s="1723" t="s">
        <v>1829</v>
      </c>
    </row>
    <row r="97" spans="1:31" x14ac:dyDescent="0.2">
      <c r="A97" s="1745" t="s">
        <v>2042</v>
      </c>
      <c r="B97" s="2484"/>
      <c r="C97" s="2484"/>
      <c r="D97" s="2484"/>
      <c r="E97" s="2484"/>
      <c r="F97" s="2484"/>
      <c r="G97" s="2484"/>
      <c r="H97" s="2484"/>
      <c r="I97" s="2484"/>
      <c r="J97" s="2484"/>
      <c r="K97" s="2484"/>
      <c r="L97" s="2484"/>
      <c r="M97" s="2484"/>
      <c r="N97" s="2484"/>
      <c r="O97" s="2484"/>
      <c r="P97" s="2484"/>
      <c r="Q97" s="2484"/>
      <c r="R97" s="2484"/>
      <c r="S97" s="2484"/>
      <c r="T97" s="2484"/>
      <c r="U97" s="2094">
        <f>(U83+U85)/2</f>
        <v>131236623.94589999</v>
      </c>
      <c r="V97" s="2094"/>
      <c r="W97" s="2094">
        <f>(U85+U87)/2</f>
        <v>128585379.01769999</v>
      </c>
      <c r="X97" s="2094">
        <f>(U87+U89)/2</f>
        <v>125934134.08949998</v>
      </c>
      <c r="Y97" s="2094"/>
      <c r="Z97" s="2094"/>
      <c r="AA97" s="2094">
        <f>(U89+U91)/2</f>
        <v>123282889.16129997</v>
      </c>
      <c r="AB97" s="2094">
        <f>(U91+U93)/2</f>
        <v>120631644.23309997</v>
      </c>
      <c r="AC97" s="2094">
        <f>(U93+U95)/2</f>
        <v>117980399.30489996</v>
      </c>
      <c r="AD97" s="1860"/>
      <c r="AE97" s="1860"/>
    </row>
    <row r="98" spans="1:31" s="5" customFormat="1" x14ac:dyDescent="0.2">
      <c r="A98" s="1861" t="s">
        <v>1008</v>
      </c>
      <c r="B98" s="1861"/>
      <c r="C98" s="1861"/>
      <c r="D98" s="1861"/>
      <c r="E98" s="1861"/>
      <c r="F98" s="1861"/>
      <c r="G98" s="1861"/>
      <c r="H98" s="1861"/>
      <c r="I98" s="1861"/>
      <c r="J98" s="1861"/>
      <c r="K98" s="1861"/>
      <c r="L98" s="1861"/>
      <c r="M98" s="1861"/>
      <c r="N98" s="1861"/>
      <c r="O98" s="1861"/>
      <c r="P98" s="1861"/>
      <c r="Q98" s="1861"/>
      <c r="R98" s="1861"/>
      <c r="S98" s="1861"/>
      <c r="T98" s="1861"/>
      <c r="U98" s="2094">
        <v>2.2000000000000002</v>
      </c>
      <c r="V98" s="2094"/>
      <c r="W98" s="2094">
        <v>2.2000000000000002</v>
      </c>
      <c r="X98" s="2094">
        <v>2.2000000000000002</v>
      </c>
      <c r="Y98" s="2094"/>
      <c r="Z98" s="2094"/>
      <c r="AA98" s="2094">
        <v>2.2000000000000002</v>
      </c>
      <c r="AB98" s="2094">
        <v>2.2000000000000002</v>
      </c>
      <c r="AC98" s="2094">
        <v>2.2000000000000002</v>
      </c>
      <c r="AD98" s="1860"/>
      <c r="AE98" s="1860"/>
    </row>
    <row r="99" spans="1:31" s="5" customFormat="1" x14ac:dyDescent="0.2">
      <c r="A99" s="1861" t="s">
        <v>535</v>
      </c>
      <c r="B99" s="1861"/>
      <c r="C99" s="1861"/>
      <c r="D99" s="1861"/>
      <c r="E99" s="1861"/>
      <c r="F99" s="1861"/>
      <c r="G99" s="1861"/>
      <c r="H99" s="1861"/>
      <c r="I99" s="1861"/>
      <c r="J99" s="1861"/>
      <c r="K99" s="1861"/>
      <c r="L99" s="1861"/>
      <c r="M99" s="1861"/>
      <c r="N99" s="1861"/>
      <c r="O99" s="1861"/>
      <c r="P99" s="1861"/>
      <c r="Q99" s="1861"/>
      <c r="R99" s="1861"/>
      <c r="S99" s="1861"/>
      <c r="T99" s="1861"/>
      <c r="U99" s="2094">
        <f>U97*U98/100</f>
        <v>2887205.7268098001</v>
      </c>
      <c r="V99" s="2094">
        <f t="shared" ref="V99:AD99" si="44">V97*V98/100</f>
        <v>0</v>
      </c>
      <c r="W99" s="2094">
        <f t="shared" si="44"/>
        <v>2828878.3383893995</v>
      </c>
      <c r="X99" s="2094">
        <f t="shared" si="44"/>
        <v>2770550.9499689997</v>
      </c>
      <c r="Y99" s="2094">
        <f t="shared" si="44"/>
        <v>0</v>
      </c>
      <c r="Z99" s="2094">
        <f t="shared" si="44"/>
        <v>0</v>
      </c>
      <c r="AA99" s="2094">
        <f t="shared" si="44"/>
        <v>2712223.5615485995</v>
      </c>
      <c r="AB99" s="2094">
        <f t="shared" si="44"/>
        <v>2653896.1731281998</v>
      </c>
      <c r="AC99" s="2094">
        <f t="shared" si="44"/>
        <v>2595568.7847077991</v>
      </c>
      <c r="AD99" s="2094">
        <f t="shared" si="44"/>
        <v>0</v>
      </c>
      <c r="AE99" s="1860"/>
    </row>
    <row r="100" spans="1:31" s="5" customFormat="1" x14ac:dyDescent="0.2">
      <c r="U100" s="1860"/>
      <c r="V100" s="1860"/>
      <c r="W100" s="1860"/>
      <c r="X100" s="1860"/>
      <c r="Y100" s="1860"/>
      <c r="Z100" s="1860"/>
      <c r="AA100" s="1860"/>
      <c r="AB100" s="1860"/>
      <c r="AC100" s="1860"/>
      <c r="AD100" s="1860"/>
      <c r="AE100" s="1860"/>
    </row>
    <row r="101" spans="1:31" s="5" customFormat="1" x14ac:dyDescent="0.2">
      <c r="U101" s="1860"/>
      <c r="V101" s="1860"/>
      <c r="W101" s="1860"/>
      <c r="X101" s="1860"/>
      <c r="Y101" s="1860"/>
      <c r="Z101" s="1860"/>
      <c r="AA101" s="1860"/>
      <c r="AB101" s="1860"/>
      <c r="AC101" s="1860"/>
      <c r="AD101" s="1860"/>
      <c r="AE101" s="1860"/>
    </row>
    <row r="102" spans="1:31" s="5" customFormat="1" x14ac:dyDescent="0.2">
      <c r="U102" s="1860"/>
      <c r="V102" s="1860"/>
      <c r="W102" s="1860"/>
      <c r="X102" s="1860"/>
      <c r="Y102" s="1860"/>
      <c r="Z102" s="1860"/>
      <c r="AA102" s="1860"/>
      <c r="AB102" s="1860"/>
      <c r="AC102" s="1860"/>
      <c r="AD102" s="1860"/>
      <c r="AE102" s="1860"/>
    </row>
    <row r="103" spans="1:31" s="5" customFormat="1" x14ac:dyDescent="0.2">
      <c r="U103" s="1860"/>
      <c r="V103" s="1860"/>
      <c r="W103" s="1860"/>
      <c r="X103" s="1860"/>
      <c r="Y103" s="1860"/>
      <c r="Z103" s="1860"/>
      <c r="AA103" s="1860"/>
      <c r="AB103" s="1860"/>
      <c r="AC103" s="1860"/>
      <c r="AD103" s="1860"/>
      <c r="AE103" s="1860"/>
    </row>
    <row r="104" spans="1:31" s="5" customFormat="1" x14ac:dyDescent="0.2">
      <c r="U104" s="1860"/>
      <c r="V104" s="1860"/>
      <c r="W104" s="1860"/>
      <c r="X104" s="1860"/>
      <c r="Y104" s="1860"/>
      <c r="Z104" s="1860"/>
      <c r="AA104" s="1860"/>
      <c r="AB104" s="1860"/>
      <c r="AC104" s="1860"/>
      <c r="AD104" s="1860"/>
      <c r="AE104" s="1860"/>
    </row>
    <row r="105" spans="1:31" s="5" customFormat="1" x14ac:dyDescent="0.2">
      <c r="U105" s="1860"/>
      <c r="V105" s="1860"/>
      <c r="W105" s="1860"/>
      <c r="X105" s="1860"/>
      <c r="Y105" s="1860"/>
      <c r="Z105" s="1860"/>
      <c r="AA105" s="1860"/>
      <c r="AB105" s="1860"/>
      <c r="AC105" s="1860"/>
      <c r="AD105" s="1860"/>
      <c r="AE105" s="1860"/>
    </row>
  </sheetData>
  <mergeCells count="78">
    <mergeCell ref="AR1:AS1"/>
    <mergeCell ref="A2:AS2"/>
    <mergeCell ref="B3:B5"/>
    <mergeCell ref="O3:AU3"/>
    <mergeCell ref="AU4:AU5"/>
    <mergeCell ref="E3:F3"/>
    <mergeCell ref="A3:A5"/>
    <mergeCell ref="G3:H3"/>
    <mergeCell ref="H4:H5"/>
    <mergeCell ref="C3:D3"/>
    <mergeCell ref="G4:G5"/>
    <mergeCell ref="C4:C5"/>
    <mergeCell ref="AT4:AT5"/>
    <mergeCell ref="P4:P5"/>
    <mergeCell ref="AS4:AS5"/>
    <mergeCell ref="AR4:AR5"/>
    <mergeCell ref="AR23:AS23"/>
    <mergeCell ref="AR33:AS33"/>
    <mergeCell ref="AR24:AS24"/>
    <mergeCell ref="AR27:AS27"/>
    <mergeCell ref="AR28:AS28"/>
    <mergeCell ref="AR29:AS29"/>
    <mergeCell ref="AR30:AS30"/>
    <mergeCell ref="AR31:AS31"/>
    <mergeCell ref="AR25:AS25"/>
    <mergeCell ref="M19:M20"/>
    <mergeCell ref="N19:N20"/>
    <mergeCell ref="O19:O20"/>
    <mergeCell ref="P19:P20"/>
    <mergeCell ref="O4:O5"/>
    <mergeCell ref="T19:T20"/>
    <mergeCell ref="U19:U20"/>
    <mergeCell ref="T18:Y18"/>
    <mergeCell ref="AA18:AC18"/>
    <mergeCell ref="AE19:AE20"/>
    <mergeCell ref="F4:F5"/>
    <mergeCell ref="D4:D5"/>
    <mergeCell ref="E4:E5"/>
    <mergeCell ref="N4:N5"/>
    <mergeCell ref="I4:I5"/>
    <mergeCell ref="J4:J5"/>
    <mergeCell ref="I3:N3"/>
    <mergeCell ref="K4:K5"/>
    <mergeCell ref="M4:M5"/>
    <mergeCell ref="AR18:AS20"/>
    <mergeCell ref="AR21:AS21"/>
    <mergeCell ref="Q19:Q20"/>
    <mergeCell ref="R19:R20"/>
    <mergeCell ref="L19:L20"/>
    <mergeCell ref="M18:S18"/>
    <mergeCell ref="S19:S20"/>
    <mergeCell ref="AA19:AA20"/>
    <mergeCell ref="AF18:AF20"/>
    <mergeCell ref="X19:X20"/>
    <mergeCell ref="E18:L18"/>
    <mergeCell ref="AG19:AK20"/>
    <mergeCell ref="AL19:AQ20"/>
    <mergeCell ref="AT37:AT38"/>
    <mergeCell ref="G37:G38"/>
    <mergeCell ref="W19:W20"/>
    <mergeCell ref="A37:A38"/>
    <mergeCell ref="G36:S36"/>
    <mergeCell ref="AS37:AS38"/>
    <mergeCell ref="A18:A20"/>
    <mergeCell ref="E19:E20"/>
    <mergeCell ref="G19:G20"/>
    <mergeCell ref="I19:I20"/>
    <mergeCell ref="H19:H20"/>
    <mergeCell ref="AD18:AE18"/>
    <mergeCell ref="AC19:AC20"/>
    <mergeCell ref="AB19:AB20"/>
    <mergeCell ref="AR34:AS34"/>
    <mergeCell ref="AR22:AS22"/>
    <mergeCell ref="AA74:AB74"/>
    <mergeCell ref="AA75:AB75"/>
    <mergeCell ref="AA76:AB76"/>
    <mergeCell ref="W74:W76"/>
    <mergeCell ref="A73:AC73"/>
  </mergeCells>
  <phoneticPr fontId="8" type="noConversion"/>
  <printOptions horizontalCentered="1"/>
  <pageMargins left="0.31496062992125984" right="0.31496062992125984" top="1.02" bottom="0.35433070866141736" header="0" footer="0"/>
  <pageSetup paperSize="9" scale="6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4">
        <f>F10+F11+F12+F13</f>
        <v>148.32999999999998</v>
      </c>
      <c r="G9" s="233">
        <f>H9/F9/12*1000</f>
        <v>10790.411020472371</v>
      </c>
      <c r="H9" s="235">
        <f>H10+H11+H12+H13</f>
        <v>19206.5</v>
      </c>
      <c r="I9" s="236" t="e">
        <f>G9/#REF!</f>
        <v>#REF!</v>
      </c>
    </row>
    <row r="10" spans="6:9" ht="20.25" x14ac:dyDescent="0.3">
      <c r="F10" s="240">
        <v>23.5</v>
      </c>
      <c r="G10" s="237">
        <f>H10/F10/12*1000</f>
        <v>10395.035460992907</v>
      </c>
      <c r="H10" s="239">
        <v>2931.4</v>
      </c>
      <c r="I10" s="236" t="e">
        <f>G10/#REF!</f>
        <v>#REF!</v>
      </c>
    </row>
    <row r="11" spans="6:9" ht="20.25" x14ac:dyDescent="0.3">
      <c r="F11" s="240">
        <v>73.5</v>
      </c>
      <c r="G11" s="237">
        <f>H11/F11/12*1000</f>
        <v>9934.4671201814072</v>
      </c>
      <c r="H11" s="239">
        <v>8762.2000000000007</v>
      </c>
      <c r="I11" s="236" t="e">
        <f>G11/#REF!</f>
        <v>#REF!</v>
      </c>
    </row>
    <row r="12" spans="6:9" ht="20.25" x14ac:dyDescent="0.3">
      <c r="F12" s="240">
        <v>29.33</v>
      </c>
      <c r="G12" s="237">
        <f>H12/F12/12*1000</f>
        <v>12505.398340720538</v>
      </c>
      <c r="H12" s="239">
        <v>4401.3999999999996</v>
      </c>
      <c r="I12" s="236" t="e">
        <f>G12/#REF!</f>
        <v>#REF!</v>
      </c>
    </row>
    <row r="13" spans="6:9" ht="20.25" x14ac:dyDescent="0.3">
      <c r="F13" s="240">
        <v>22</v>
      </c>
      <c r="G13" s="237">
        <f>H13/F13/12*1000</f>
        <v>11785.98484848485</v>
      </c>
      <c r="H13" s="239">
        <v>3111.5</v>
      </c>
      <c r="I13" s="236" t="e">
        <f>G13/#REF!</f>
        <v>#REF!</v>
      </c>
    </row>
    <row r="14" spans="6:9" ht="20.25" x14ac:dyDescent="0.3">
      <c r="F14" s="238"/>
      <c r="G14" s="237"/>
      <c r="H14" s="239"/>
      <c r="I14" s="236"/>
    </row>
    <row r="15" spans="6:9" ht="20.25" x14ac:dyDescent="0.3">
      <c r="F15" s="242">
        <f>F16+F17+F18+F19</f>
        <v>95</v>
      </c>
      <c r="G15" s="241">
        <f>H15/F15/12*1000</f>
        <v>11418.333333333334</v>
      </c>
      <c r="H15" s="243">
        <f>H16+H17+H18+H19</f>
        <v>13016.900000000001</v>
      </c>
      <c r="I15" s="236" t="e">
        <f>G15/#REF!</f>
        <v>#REF!</v>
      </c>
    </row>
    <row r="16" spans="6:9" ht="20.25" x14ac:dyDescent="0.3">
      <c r="F16" s="238">
        <v>25</v>
      </c>
      <c r="G16" s="237">
        <f>H16/F16/12*1000</f>
        <v>10917.666666666668</v>
      </c>
      <c r="H16" s="239">
        <v>3275.3</v>
      </c>
      <c r="I16" s="236" t="e">
        <f>G16/#REF!</f>
        <v>#REF!</v>
      </c>
    </row>
    <row r="17" spans="6:9" ht="20.25" x14ac:dyDescent="0.3">
      <c r="F17" s="238">
        <v>49</v>
      </c>
      <c r="G17" s="237">
        <f>H17/F17/12*1000</f>
        <v>11832.653061224491</v>
      </c>
      <c r="H17" s="239">
        <v>6957.6</v>
      </c>
      <c r="I17" s="236" t="e">
        <f>G17/#REF!</f>
        <v>#REF!</v>
      </c>
    </row>
    <row r="18" spans="6:9" ht="20.25" x14ac:dyDescent="0.3">
      <c r="F18" s="238">
        <v>4</v>
      </c>
      <c r="G18" s="237">
        <f>H18/F18/12*1000</f>
        <v>11164.583333333332</v>
      </c>
      <c r="H18" s="239">
        <v>535.9</v>
      </c>
      <c r="I18" s="236" t="e">
        <f>G18/AF1</f>
        <v>#DIV/0!</v>
      </c>
    </row>
    <row r="19" spans="6:9" ht="21" thickBot="1" x14ac:dyDescent="0.35">
      <c r="F19" s="260">
        <v>17</v>
      </c>
      <c r="G19" s="257">
        <f>H19/F19/12*1000</f>
        <v>11020.098039215687</v>
      </c>
      <c r="H19" s="258">
        <v>2248.1</v>
      </c>
      <c r="I19" s="259" t="e">
        <f>G19/AF2</f>
        <v>#DIV/0!</v>
      </c>
    </row>
  </sheetData>
  <phoneticPr fontId="8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7"/>
  <sheetViews>
    <sheetView workbookViewId="0">
      <selection activeCell="H20" sqref="H20"/>
    </sheetView>
  </sheetViews>
  <sheetFormatPr defaultRowHeight="12.75" x14ac:dyDescent="0.2"/>
  <cols>
    <col min="1" max="1" width="29.28515625" style="5" customWidth="1"/>
    <col min="2" max="2" width="16" style="2489" customWidth="1"/>
    <col min="3" max="3" width="12.140625" style="2489" customWidth="1"/>
    <col min="4" max="4" width="15.140625" style="2489" customWidth="1"/>
    <col min="5" max="5" width="14.5703125" style="2753" customWidth="1"/>
    <col min="6" max="16" width="9.140625" style="2753"/>
    <col min="17" max="17" width="26.28515625" style="2753" customWidth="1"/>
    <col min="18" max="16384" width="9.140625" style="5"/>
  </cols>
  <sheetData>
    <row r="3" spans="1:18" x14ac:dyDescent="0.2">
      <c r="A3" s="5" t="s">
        <v>2140</v>
      </c>
    </row>
    <row r="4" spans="1:18" x14ac:dyDescent="0.2">
      <c r="A4" s="3971" t="s">
        <v>536</v>
      </c>
      <c r="B4" s="3960" t="s">
        <v>659</v>
      </c>
      <c r="C4" s="3960"/>
      <c r="D4" s="3971" t="s">
        <v>2072</v>
      </c>
      <c r="E4" s="3971"/>
      <c r="F4" s="2726" t="s">
        <v>1819</v>
      </c>
      <c r="G4" s="2726" t="s">
        <v>1825</v>
      </c>
      <c r="H4" s="2726" t="s">
        <v>1826</v>
      </c>
      <c r="I4" s="2726" t="s">
        <v>1827</v>
      </c>
      <c r="J4" s="2726" t="s">
        <v>1828</v>
      </c>
      <c r="K4" s="2726" t="s">
        <v>1819</v>
      </c>
      <c r="L4" s="2726" t="s">
        <v>1825</v>
      </c>
      <c r="M4" s="2726" t="s">
        <v>1826</v>
      </c>
      <c r="N4" s="2726" t="s">
        <v>1827</v>
      </c>
      <c r="O4" s="2726" t="s">
        <v>1828</v>
      </c>
      <c r="P4" s="2726" t="s">
        <v>1829</v>
      </c>
      <c r="Q4" s="3971" t="s">
        <v>243</v>
      </c>
    </row>
    <row r="5" spans="1:18" x14ac:dyDescent="0.2">
      <c r="A5" s="3971"/>
      <c r="B5" s="2725" t="s">
        <v>1602</v>
      </c>
      <c r="C5" s="2725" t="s">
        <v>61</v>
      </c>
      <c r="D5" s="2725" t="s">
        <v>1602</v>
      </c>
      <c r="E5" s="2726" t="s">
        <v>61</v>
      </c>
      <c r="F5" s="3971" t="s">
        <v>122</v>
      </c>
      <c r="G5" s="3971"/>
      <c r="H5" s="3971"/>
      <c r="I5" s="3971"/>
      <c r="J5" s="3971"/>
      <c r="K5" s="3971" t="s">
        <v>1537</v>
      </c>
      <c r="L5" s="3971"/>
      <c r="M5" s="3971"/>
      <c r="N5" s="3971"/>
      <c r="O5" s="3971"/>
      <c r="P5" s="3971"/>
      <c r="Q5" s="3971"/>
    </row>
    <row r="6" spans="1:18" x14ac:dyDescent="0.2">
      <c r="A6" s="1972" t="s">
        <v>98</v>
      </c>
      <c r="B6" s="2491"/>
      <c r="C6" s="2491"/>
      <c r="D6" s="2491"/>
      <c r="E6" s="2726"/>
      <c r="F6" s="2726"/>
      <c r="G6" s="2726"/>
      <c r="H6" s="2726"/>
      <c r="I6" s="2726"/>
      <c r="J6" s="2726"/>
      <c r="K6" s="2726"/>
      <c r="L6" s="2726"/>
      <c r="M6" s="2726"/>
      <c r="N6" s="2726"/>
      <c r="O6" s="2726"/>
      <c r="P6" s="2726"/>
      <c r="Q6" s="2726"/>
    </row>
    <row r="7" spans="1:18" x14ac:dyDescent="0.2">
      <c r="A7" s="1972" t="s">
        <v>46</v>
      </c>
      <c r="B7" s="2864">
        <f>'вода 2018 коррект'!F17</f>
        <v>216.27343999999999</v>
      </c>
      <c r="C7" s="2265">
        <f>'вода 2018 коррект'!H17</f>
        <v>128.16</v>
      </c>
      <c r="D7" s="2265">
        <f>B7</f>
        <v>216.27343999999999</v>
      </c>
      <c r="E7" s="1959">
        <f>'вода 2018 коррект'!L17</f>
        <v>156.02000000000001</v>
      </c>
      <c r="F7" s="1959">
        <f>'вода 2018 коррект'!Q17</f>
        <v>222.75</v>
      </c>
      <c r="G7" s="1959">
        <f>'вода 2018 коррект'!R17</f>
        <v>229.44</v>
      </c>
      <c r="H7" s="1959">
        <f>'вода 2018 коррект'!S17</f>
        <v>236.32</v>
      </c>
      <c r="I7" s="1959">
        <f>'вода 2018 коррект'!T17</f>
        <v>243.41</v>
      </c>
      <c r="J7" s="1959">
        <f>'вода 2018 коррект'!U17</f>
        <v>250.71</v>
      </c>
      <c r="K7" s="2071">
        <f>D28/1000</f>
        <v>63.916885499999999</v>
      </c>
      <c r="L7" s="2071">
        <f>K7*1.034</f>
        <v>66.090059607000001</v>
      </c>
      <c r="M7" s="2071">
        <f>L7*1.04</f>
        <v>68.733661991280002</v>
      </c>
      <c r="N7" s="2071">
        <f t="shared" ref="N7:P11" si="0">M7*1.04</f>
        <v>71.48300847093121</v>
      </c>
      <c r="O7" s="2071">
        <f t="shared" si="0"/>
        <v>74.34232880976846</v>
      </c>
      <c r="P7" s="2071">
        <f t="shared" si="0"/>
        <v>77.316021962159198</v>
      </c>
      <c r="Q7" s="2726"/>
    </row>
    <row r="8" spans="1:18" x14ac:dyDescent="0.2">
      <c r="A8" s="1972" t="s">
        <v>50</v>
      </c>
      <c r="B8" s="2775"/>
      <c r="C8" s="2267"/>
      <c r="D8" s="2267"/>
      <c r="E8" s="1961"/>
      <c r="F8" s="1961"/>
      <c r="G8" s="1961"/>
      <c r="H8" s="1961"/>
      <c r="I8" s="1961"/>
      <c r="J8" s="1961"/>
      <c r="K8" s="2067"/>
      <c r="L8" s="2067"/>
      <c r="M8" s="2067"/>
      <c r="N8" s="2067"/>
      <c r="O8" s="2067"/>
      <c r="P8" s="2067"/>
      <c r="Q8" s="2075"/>
    </row>
    <row r="9" spans="1:18" s="2091" customFormat="1" x14ac:dyDescent="0.2">
      <c r="A9" s="2092" t="s">
        <v>2144</v>
      </c>
      <c r="B9" s="2859"/>
      <c r="C9" s="2860"/>
      <c r="D9" s="2860"/>
      <c r="E9" s="2861"/>
      <c r="F9" s="2861"/>
      <c r="G9" s="2861"/>
      <c r="H9" s="2861"/>
      <c r="I9" s="2861"/>
      <c r="J9" s="2861"/>
      <c r="K9" s="2862">
        <f>вода!BR57</f>
        <v>63.885995088205725</v>
      </c>
      <c r="L9" s="2067">
        <f t="shared" ref="L9:L10" si="1">K9*1.034</f>
        <v>66.058118921204724</v>
      </c>
      <c r="M9" s="2067">
        <f t="shared" ref="M9:P9" si="2">L9*1.04</f>
        <v>68.70044367805292</v>
      </c>
      <c r="N9" s="2067">
        <f t="shared" si="2"/>
        <v>71.44846142517504</v>
      </c>
      <c r="O9" s="2067">
        <f t="shared" si="2"/>
        <v>74.306399882182049</v>
      </c>
      <c r="P9" s="2067">
        <f t="shared" si="2"/>
        <v>77.278655877469333</v>
      </c>
      <c r="Q9" s="2861"/>
      <c r="R9" s="2865">
        <f>имущество!L33</f>
        <v>0.99971703324065575</v>
      </c>
    </row>
    <row r="10" spans="1:18" s="2091" customFormat="1" x14ac:dyDescent="0.2">
      <c r="A10" s="2092" t="s">
        <v>263</v>
      </c>
      <c r="B10" s="2859"/>
      <c r="C10" s="2860"/>
      <c r="D10" s="2860"/>
      <c r="E10" s="2861"/>
      <c r="F10" s="2861"/>
      <c r="G10" s="2861"/>
      <c r="H10" s="2861"/>
      <c r="I10" s="2861"/>
      <c r="J10" s="2861"/>
      <c r="K10" s="2862">
        <f>вода!BS57</f>
        <v>3.0890411794274542E-2</v>
      </c>
      <c r="L10" s="2067">
        <f t="shared" si="1"/>
        <v>3.194068579527988E-2</v>
      </c>
      <c r="M10" s="2067">
        <f t="shared" ref="M10:P10" si="3">L10*1.04</f>
        <v>3.3218313227091074E-2</v>
      </c>
      <c r="N10" s="2067">
        <f t="shared" si="3"/>
        <v>3.4547045756174719E-2</v>
      </c>
      <c r="O10" s="2067">
        <f t="shared" si="3"/>
        <v>3.5928927586421709E-2</v>
      </c>
      <c r="P10" s="2067">
        <f t="shared" si="3"/>
        <v>3.7366084689878579E-2</v>
      </c>
      <c r="Q10" s="2863"/>
      <c r="R10" s="2865">
        <f>имущество!L34</f>
        <v>2.8296675934412632E-4</v>
      </c>
    </row>
    <row r="11" spans="1:18" x14ac:dyDescent="0.2">
      <c r="A11" s="1972" t="s">
        <v>2141</v>
      </c>
      <c r="B11" s="2864">
        <f>'стоки 2018'!F17</f>
        <v>152.0548</v>
      </c>
      <c r="C11" s="2864">
        <f>'стоки 2018'!G17</f>
        <v>157.80000000000001</v>
      </c>
      <c r="D11" s="2864">
        <f>B11</f>
        <v>152.0548</v>
      </c>
      <c r="E11" s="1959">
        <f>'стоки 2018'!M17</f>
        <v>165.87</v>
      </c>
      <c r="F11" s="1959">
        <f>'стоки 2018'!S17</f>
        <v>175.97</v>
      </c>
      <c r="G11" s="1959">
        <f>'стоки 2018'!T17</f>
        <v>181.25</v>
      </c>
      <c r="H11" s="1959">
        <f>'стоки 2018'!U17</f>
        <v>186.68</v>
      </c>
      <c r="I11" s="1959">
        <f>'стоки 2018'!V17</f>
        <v>192.28</v>
      </c>
      <c r="J11" s="1959">
        <f>'стоки 2018'!W17</f>
        <v>198.05</v>
      </c>
      <c r="K11" s="2071">
        <f>D29/1000</f>
        <v>105.48881849999999</v>
      </c>
      <c r="L11" s="2071">
        <f>K11*1.034</f>
        <v>109.07543832899999</v>
      </c>
      <c r="M11" s="2071">
        <f>L11*1.04</f>
        <v>113.43845586216</v>
      </c>
      <c r="N11" s="2071">
        <f t="shared" si="0"/>
        <v>117.9759940966464</v>
      </c>
      <c r="O11" s="2071">
        <f t="shared" si="0"/>
        <v>122.69503386051227</v>
      </c>
      <c r="P11" s="2071">
        <f t="shared" si="0"/>
        <v>127.60283521493277</v>
      </c>
      <c r="Q11" s="2726"/>
    </row>
    <row r="12" spans="1:18" x14ac:dyDescent="0.2">
      <c r="A12" s="1972" t="s">
        <v>50</v>
      </c>
      <c r="B12" s="2660"/>
      <c r="C12" s="2660"/>
      <c r="D12" s="2660"/>
      <c r="E12" s="2075"/>
      <c r="F12" s="2075"/>
      <c r="G12" s="2075"/>
      <c r="H12" s="2075"/>
      <c r="I12" s="2075"/>
      <c r="J12" s="2075"/>
      <c r="K12" s="2075"/>
      <c r="L12" s="2075"/>
      <c r="M12" s="2075"/>
      <c r="N12" s="2075"/>
      <c r="O12" s="2075"/>
      <c r="P12" s="2075"/>
      <c r="Q12" s="2075"/>
    </row>
    <row r="13" spans="1:18" x14ac:dyDescent="0.2">
      <c r="A13" s="2092" t="s">
        <v>2141</v>
      </c>
      <c r="B13" s="2660"/>
      <c r="C13" s="2660"/>
      <c r="D13" s="2660"/>
      <c r="E13" s="2075"/>
      <c r="F13" s="2075"/>
      <c r="G13" s="2075"/>
      <c r="H13" s="2075"/>
      <c r="I13" s="2075"/>
      <c r="J13" s="2075"/>
      <c r="K13" s="2067">
        <f>K11</f>
        <v>105.48881849999999</v>
      </c>
      <c r="L13" s="2067">
        <f t="shared" ref="L13:P13" si="4">L11</f>
        <v>109.07543832899999</v>
      </c>
      <c r="M13" s="2067">
        <f t="shared" si="4"/>
        <v>113.43845586216</v>
      </c>
      <c r="N13" s="2067">
        <f t="shared" si="4"/>
        <v>117.9759940966464</v>
      </c>
      <c r="O13" s="2067">
        <f t="shared" si="4"/>
        <v>122.69503386051227</v>
      </c>
      <c r="P13" s="2067">
        <f t="shared" si="4"/>
        <v>127.60283521493277</v>
      </c>
      <c r="Q13" s="2075"/>
    </row>
    <row r="14" spans="1:18" x14ac:dyDescent="0.2">
      <c r="A14" s="2092" t="s">
        <v>151</v>
      </c>
      <c r="B14" s="2660"/>
      <c r="C14" s="2660"/>
      <c r="D14" s="2660"/>
      <c r="E14" s="2075"/>
      <c r="F14" s="2075"/>
      <c r="G14" s="2075"/>
      <c r="H14" s="2075"/>
      <c r="I14" s="2075"/>
      <c r="J14" s="2075"/>
      <c r="K14" s="2075"/>
      <c r="L14" s="2075"/>
      <c r="M14" s="2075"/>
      <c r="N14" s="2075"/>
      <c r="O14" s="2075"/>
      <c r="P14" s="2075"/>
      <c r="Q14" s="2075"/>
    </row>
    <row r="18" spans="1:17" s="2871" customFormat="1" ht="51" x14ac:dyDescent="0.2">
      <c r="A18" s="2867" t="s">
        <v>2146</v>
      </c>
      <c r="B18" s="2866" t="s">
        <v>2148</v>
      </c>
      <c r="C18" s="2866"/>
      <c r="D18" s="2866" t="s">
        <v>2161</v>
      </c>
    </row>
    <row r="19" spans="1:17" x14ac:dyDescent="0.2">
      <c r="A19" s="2869" t="s">
        <v>2147</v>
      </c>
      <c r="B19" s="2879">
        <v>14554</v>
      </c>
      <c r="C19" s="2660" t="s">
        <v>2156</v>
      </c>
      <c r="D19" s="2879">
        <f>B19*1.027</f>
        <v>14946.957999999999</v>
      </c>
    </row>
    <row r="20" spans="1:17" x14ac:dyDescent="0.2">
      <c r="A20" s="2869" t="s">
        <v>2149</v>
      </c>
      <c r="B20" s="2879">
        <v>49500</v>
      </c>
      <c r="C20" s="2660" t="s">
        <v>2158</v>
      </c>
      <c r="D20" s="2879">
        <f t="shared" ref="D20:D25" si="5">B20*1.027</f>
        <v>50836.499999999993</v>
      </c>
    </row>
    <row r="21" spans="1:17" x14ac:dyDescent="0.2">
      <c r="A21" s="2869" t="s">
        <v>2150</v>
      </c>
      <c r="B21" s="2879">
        <v>72832</v>
      </c>
      <c r="C21" s="2660" t="s">
        <v>2159</v>
      </c>
      <c r="D21" s="2879">
        <f t="shared" si="5"/>
        <v>74798.463999999993</v>
      </c>
    </row>
    <row r="22" spans="1:17" ht="25.5" x14ac:dyDescent="0.2">
      <c r="A22" s="2869" t="s">
        <v>2151</v>
      </c>
      <c r="B22" s="2879">
        <v>1541</v>
      </c>
      <c r="C22" s="2660" t="s">
        <v>2160</v>
      </c>
      <c r="D22" s="2879">
        <f t="shared" si="5"/>
        <v>1582.607</v>
      </c>
    </row>
    <row r="23" spans="1:17" ht="25.5" x14ac:dyDescent="0.2">
      <c r="A23" s="2869" t="s">
        <v>2152</v>
      </c>
      <c r="B23" s="2879">
        <v>11966</v>
      </c>
      <c r="C23" s="2660" t="s">
        <v>2157</v>
      </c>
      <c r="D23" s="2879">
        <f t="shared" si="5"/>
        <v>12289.081999999999</v>
      </c>
    </row>
    <row r="24" spans="1:17" x14ac:dyDescent="0.2">
      <c r="A24" s="2869" t="s">
        <v>2153</v>
      </c>
      <c r="B24" s="2879">
        <v>28977</v>
      </c>
      <c r="C24" s="2660" t="s">
        <v>2159</v>
      </c>
      <c r="D24" s="2879">
        <f t="shared" si="5"/>
        <v>29759.378999999997</v>
      </c>
    </row>
    <row r="25" spans="1:17" x14ac:dyDescent="0.2">
      <c r="A25" s="2869" t="s">
        <v>2154</v>
      </c>
      <c r="B25" s="2879">
        <v>136</v>
      </c>
      <c r="C25" s="2660" t="s">
        <v>2159</v>
      </c>
      <c r="D25" s="2879">
        <f t="shared" si="5"/>
        <v>139.672</v>
      </c>
    </row>
    <row r="26" spans="1:17" s="2151" customFormat="1" x14ac:dyDescent="0.2">
      <c r="A26" s="2050"/>
      <c r="B26" s="2880">
        <f>SUM(B19:B25)</f>
        <v>179506</v>
      </c>
      <c r="C26" s="2051"/>
      <c r="D26" s="2880">
        <f>SUM(D19:D25)</f>
        <v>184352.66199999992</v>
      </c>
      <c r="E26" s="2870"/>
      <c r="F26" s="2870"/>
      <c r="G26" s="2870"/>
      <c r="H26" s="2870"/>
      <c r="I26" s="2870"/>
      <c r="J26" s="2870"/>
      <c r="K26" s="2870"/>
      <c r="L26" s="2870"/>
      <c r="M26" s="2870"/>
      <c r="N26" s="2870"/>
      <c r="O26" s="2870"/>
      <c r="P26" s="2870"/>
      <c r="Q26" s="2870"/>
    </row>
    <row r="27" spans="1:17" x14ac:dyDescent="0.2">
      <c r="A27" s="2869" t="s">
        <v>50</v>
      </c>
      <c r="B27" s="2491"/>
      <c r="C27" s="2491"/>
      <c r="D27" s="2491"/>
      <c r="E27" s="2871"/>
      <c r="F27" s="2871"/>
      <c r="G27" s="2871"/>
      <c r="H27" s="2871"/>
      <c r="I27" s="2871"/>
      <c r="J27" s="2871"/>
      <c r="K27" s="2871"/>
      <c r="L27" s="2871"/>
      <c r="M27" s="2871"/>
      <c r="N27" s="2871"/>
      <c r="O27" s="2871"/>
      <c r="P27" s="2871"/>
      <c r="Q27" s="2871"/>
    </row>
    <row r="28" spans="1:17" ht="19.5" customHeight="1" x14ac:dyDescent="0.2">
      <c r="A28" s="2869" t="s">
        <v>46</v>
      </c>
      <c r="B28" s="2881">
        <f>B20+B23+B22/2</f>
        <v>62236.5</v>
      </c>
      <c r="C28" s="2868"/>
      <c r="D28" s="2881">
        <f>D20+D23+D22/2</f>
        <v>63916.885499999997</v>
      </c>
      <c r="E28" s="2871"/>
      <c r="F28" s="2871"/>
      <c r="G28" s="2871"/>
      <c r="H28" s="2871"/>
      <c r="I28" s="2871"/>
      <c r="J28" s="2871"/>
      <c r="K28" s="2871"/>
      <c r="L28" s="2871"/>
      <c r="M28" s="2871"/>
      <c r="N28" s="2871"/>
      <c r="O28" s="2871"/>
      <c r="P28" s="2871"/>
      <c r="Q28" s="2871"/>
    </row>
    <row r="29" spans="1:17" ht="20.25" customHeight="1" x14ac:dyDescent="0.2">
      <c r="A29" s="2869" t="s">
        <v>47</v>
      </c>
      <c r="B29" s="2881">
        <f>B21+B24+B25+B22/2</f>
        <v>102715.5</v>
      </c>
      <c r="C29" s="2868"/>
      <c r="D29" s="2881">
        <f>D21+D24+D25+D22/2</f>
        <v>105488.81849999999</v>
      </c>
      <c r="E29" s="2871"/>
      <c r="F29" s="2871"/>
      <c r="G29" s="2871"/>
      <c r="H29" s="2871"/>
      <c r="I29" s="2871"/>
      <c r="J29" s="2871"/>
      <c r="K29" s="2871"/>
      <c r="L29" s="2871"/>
      <c r="M29" s="2871"/>
      <c r="N29" s="2871"/>
      <c r="O29" s="2871"/>
      <c r="P29" s="2871"/>
      <c r="Q29" s="2871"/>
    </row>
    <row r="30" spans="1:17" ht="18.75" customHeight="1" x14ac:dyDescent="0.2">
      <c r="A30" s="2869" t="s">
        <v>2162</v>
      </c>
      <c r="B30" s="2881">
        <f>B19</f>
        <v>14554</v>
      </c>
      <c r="C30" s="2881"/>
      <c r="D30" s="2881">
        <f>D19</f>
        <v>14946.957999999999</v>
      </c>
      <c r="E30" s="2871"/>
      <c r="F30" s="2871"/>
      <c r="G30" s="2871"/>
      <c r="H30" s="2871"/>
      <c r="I30" s="2871"/>
      <c r="J30" s="2871"/>
      <c r="K30" s="2871"/>
      <c r="L30" s="2871"/>
      <c r="M30" s="2871"/>
      <c r="N30" s="2871"/>
      <c r="O30" s="2871"/>
      <c r="P30" s="2871"/>
      <c r="Q30" s="2871"/>
    </row>
    <row r="31" spans="1:17" x14ac:dyDescent="0.2">
      <c r="B31" s="2878">
        <f>SUM(B28:B30)</f>
        <v>179506</v>
      </c>
      <c r="C31" s="2878"/>
      <c r="D31" s="2878">
        <f t="shared" ref="D31" si="6">SUM(D28:D30)</f>
        <v>184352.66200000001</v>
      </c>
      <c r="E31" s="2871"/>
      <c r="F31" s="2871"/>
      <c r="G31" s="2871"/>
      <c r="H31" s="2871"/>
      <c r="I31" s="2871"/>
      <c r="J31" s="2871"/>
      <c r="K31" s="2871"/>
      <c r="L31" s="2871"/>
      <c r="M31" s="2871"/>
      <c r="N31" s="2871"/>
      <c r="O31" s="2871"/>
      <c r="P31" s="2871"/>
      <c r="Q31" s="2871"/>
    </row>
    <row r="32" spans="1:17" x14ac:dyDescent="0.2">
      <c r="E32" s="2871"/>
      <c r="F32" s="2871"/>
      <c r="G32" s="2871"/>
      <c r="H32" s="2871"/>
      <c r="I32" s="2871"/>
      <c r="J32" s="2871"/>
      <c r="K32" s="2871"/>
      <c r="L32" s="2871"/>
      <c r="M32" s="2871"/>
      <c r="N32" s="2871"/>
      <c r="O32" s="2871"/>
      <c r="P32" s="2871"/>
      <c r="Q32" s="2871"/>
    </row>
    <row r="33" spans="1:17" x14ac:dyDescent="0.2">
      <c r="E33" s="2871"/>
      <c r="F33" s="2871"/>
      <c r="G33" s="2871"/>
      <c r="H33" s="2871"/>
      <c r="I33" s="2871"/>
      <c r="J33" s="2871"/>
      <c r="K33" s="2871"/>
      <c r="L33" s="2871"/>
      <c r="M33" s="2871"/>
      <c r="N33" s="2871"/>
      <c r="O33" s="2871"/>
      <c r="P33" s="2871"/>
      <c r="Q33" s="2871"/>
    </row>
    <row r="34" spans="1:17" x14ac:dyDescent="0.2">
      <c r="E34" s="2871"/>
      <c r="F34" s="2871"/>
      <c r="G34" s="2871"/>
      <c r="H34" s="2871"/>
      <c r="I34" s="2871"/>
      <c r="J34" s="2871"/>
      <c r="K34" s="2871"/>
      <c r="L34" s="2871"/>
      <c r="M34" s="2871"/>
      <c r="N34" s="2871"/>
      <c r="O34" s="2871"/>
      <c r="P34" s="2871"/>
      <c r="Q34" s="2871"/>
    </row>
    <row r="35" spans="1:17" x14ac:dyDescent="0.2">
      <c r="E35" s="2871"/>
      <c r="F35" s="2871"/>
      <c r="G35" s="2871"/>
      <c r="H35" s="2871"/>
      <c r="I35" s="2871"/>
      <c r="J35" s="2871"/>
      <c r="K35" s="2871"/>
      <c r="L35" s="2871"/>
      <c r="M35" s="2871"/>
      <c r="N35" s="2871"/>
      <c r="O35" s="2871"/>
      <c r="P35" s="2871"/>
      <c r="Q35" s="2871"/>
    </row>
    <row r="36" spans="1:17" x14ac:dyDescent="0.2">
      <c r="E36" s="2871"/>
      <c r="F36" s="2871"/>
      <c r="G36" s="2871"/>
      <c r="H36" s="2871"/>
      <c r="I36" s="2871"/>
      <c r="J36" s="2871"/>
      <c r="K36" s="2871"/>
      <c r="L36" s="2871"/>
      <c r="M36" s="2871"/>
      <c r="N36" s="2871"/>
      <c r="O36" s="2871"/>
      <c r="P36" s="2871"/>
      <c r="Q36" s="2871"/>
    </row>
    <row r="37" spans="1:17" x14ac:dyDescent="0.2">
      <c r="E37" s="2871"/>
      <c r="F37" s="2871"/>
      <c r="G37" s="2871"/>
      <c r="H37" s="2871"/>
      <c r="I37" s="2871"/>
      <c r="J37" s="2871"/>
      <c r="K37" s="2871"/>
      <c r="L37" s="2871"/>
      <c r="M37" s="2871"/>
      <c r="N37" s="2871"/>
      <c r="O37" s="2871"/>
      <c r="P37" s="2871"/>
      <c r="Q37" s="2871"/>
    </row>
    <row r="38" spans="1:17" x14ac:dyDescent="0.2">
      <c r="E38" s="2871"/>
      <c r="F38" s="2871"/>
      <c r="G38" s="2871"/>
      <c r="H38" s="2871"/>
      <c r="I38" s="2871"/>
      <c r="J38" s="2871"/>
      <c r="K38" s="2871"/>
      <c r="L38" s="2871"/>
      <c r="M38" s="2871"/>
      <c r="N38" s="2871"/>
      <c r="O38" s="2871"/>
      <c r="P38" s="2871"/>
      <c r="Q38" s="2871"/>
    </row>
    <row r="39" spans="1:17" x14ac:dyDescent="0.2">
      <c r="E39" s="2871"/>
      <c r="F39" s="2871"/>
      <c r="G39" s="2871"/>
      <c r="H39" s="2871"/>
      <c r="I39" s="2871"/>
      <c r="J39" s="2871"/>
      <c r="K39" s="2871"/>
      <c r="L39" s="2871"/>
      <c r="M39" s="2871"/>
      <c r="N39" s="2871"/>
      <c r="O39" s="2871"/>
      <c r="P39" s="2871"/>
      <c r="Q39" s="2871"/>
    </row>
    <row r="40" spans="1:17" x14ac:dyDescent="0.2">
      <c r="E40" s="2871"/>
      <c r="F40" s="2871"/>
      <c r="G40" s="2871"/>
      <c r="H40" s="2871"/>
      <c r="I40" s="2871"/>
      <c r="J40" s="2871"/>
      <c r="K40" s="2871"/>
      <c r="L40" s="2871"/>
      <c r="M40" s="2871"/>
      <c r="N40" s="2871"/>
      <c r="O40" s="2871"/>
      <c r="P40" s="2871"/>
      <c r="Q40" s="2871"/>
    </row>
    <row r="43" spans="1:17" x14ac:dyDescent="0.2">
      <c r="A43" s="5" t="s">
        <v>1963</v>
      </c>
      <c r="B43" s="2489">
        <v>23.18</v>
      </c>
    </row>
    <row r="44" spans="1:17" x14ac:dyDescent="0.2">
      <c r="A44" s="5" t="s">
        <v>46</v>
      </c>
    </row>
    <row r="45" spans="1:17" x14ac:dyDescent="0.2">
      <c r="B45" s="2489">
        <v>989.91</v>
      </c>
    </row>
    <row r="46" spans="1:17" x14ac:dyDescent="0.2">
      <c r="B46" s="2489">
        <v>242.96</v>
      </c>
    </row>
    <row r="47" spans="1:17" x14ac:dyDescent="0.2">
      <c r="B47" s="2489">
        <v>964.85</v>
      </c>
    </row>
    <row r="48" spans="1:17" x14ac:dyDescent="0.2">
      <c r="B48" s="2489">
        <v>83550.570000000007</v>
      </c>
    </row>
    <row r="49" spans="1:17" x14ac:dyDescent="0.2">
      <c r="B49" s="2489">
        <v>1445.5</v>
      </c>
      <c r="E49" s="2871"/>
      <c r="F49" s="2871"/>
      <c r="G49" s="2871"/>
      <c r="H49" s="2871"/>
      <c r="I49" s="2871"/>
      <c r="J49" s="2871"/>
      <c r="K49" s="2871"/>
      <c r="L49" s="2871"/>
      <c r="M49" s="2871"/>
      <c r="N49" s="2871"/>
      <c r="O49" s="2871"/>
      <c r="P49" s="2871"/>
      <c r="Q49" s="2871"/>
    </row>
    <row r="50" spans="1:17" x14ac:dyDescent="0.2">
      <c r="B50" s="2489">
        <v>30390.560000000001</v>
      </c>
      <c r="E50" s="2871"/>
      <c r="F50" s="2871"/>
      <c r="G50" s="2871"/>
      <c r="H50" s="2871"/>
      <c r="I50" s="2871"/>
      <c r="J50" s="2871"/>
      <c r="K50" s="2871"/>
      <c r="L50" s="2871"/>
      <c r="M50" s="2871"/>
      <c r="N50" s="2871"/>
      <c r="O50" s="2871"/>
      <c r="P50" s="2871"/>
      <c r="Q50" s="2871"/>
    </row>
    <row r="51" spans="1:17" x14ac:dyDescent="0.2">
      <c r="B51" s="2489">
        <v>30.29</v>
      </c>
      <c r="E51" s="2871"/>
      <c r="F51" s="2871"/>
      <c r="G51" s="2871"/>
      <c r="H51" s="2871"/>
      <c r="I51" s="2871"/>
      <c r="J51" s="2871"/>
      <c r="K51" s="2871"/>
      <c r="L51" s="2871"/>
      <c r="M51" s="2871"/>
      <c r="N51" s="2871"/>
      <c r="O51" s="2871"/>
      <c r="P51" s="2871"/>
      <c r="Q51" s="2871"/>
    </row>
    <row r="52" spans="1:17" x14ac:dyDescent="0.2">
      <c r="B52" s="2872">
        <f>SUM(B43:B51)</f>
        <v>117637.81999999999</v>
      </c>
      <c r="E52" s="2871"/>
      <c r="F52" s="2871"/>
      <c r="G52" s="2871"/>
      <c r="H52" s="2871"/>
      <c r="I52" s="2871"/>
      <c r="J52" s="2871"/>
      <c r="K52" s="2871"/>
      <c r="L52" s="2871"/>
      <c r="M52" s="2871"/>
      <c r="N52" s="2871"/>
      <c r="O52" s="2871"/>
      <c r="P52" s="2871"/>
      <c r="Q52" s="2871"/>
    </row>
    <row r="53" spans="1:17" x14ac:dyDescent="0.2">
      <c r="E53" s="2871"/>
      <c r="F53" s="2871"/>
      <c r="G53" s="2871"/>
      <c r="H53" s="2871"/>
      <c r="I53" s="2871"/>
      <c r="J53" s="2871"/>
      <c r="K53" s="2871"/>
      <c r="L53" s="2871"/>
      <c r="M53" s="2871"/>
      <c r="N53" s="2871"/>
      <c r="O53" s="2871"/>
      <c r="P53" s="2871"/>
      <c r="Q53" s="2871"/>
    </row>
    <row r="54" spans="1:17" x14ac:dyDescent="0.2">
      <c r="E54" s="2871"/>
      <c r="F54" s="2871"/>
      <c r="G54" s="2871"/>
      <c r="H54" s="2871"/>
      <c r="I54" s="2871"/>
      <c r="J54" s="2871"/>
      <c r="K54" s="2871"/>
      <c r="L54" s="2871"/>
      <c r="M54" s="2871"/>
      <c r="N54" s="2871"/>
      <c r="O54" s="2871"/>
      <c r="P54" s="2871"/>
      <c r="Q54" s="2871"/>
    </row>
    <row r="55" spans="1:17" x14ac:dyDescent="0.2">
      <c r="E55" s="2871"/>
      <c r="F55" s="2871"/>
      <c r="G55" s="2871"/>
      <c r="H55" s="2871"/>
      <c r="I55" s="2871"/>
      <c r="J55" s="2871"/>
      <c r="K55" s="2871"/>
      <c r="L55" s="2871"/>
      <c r="M55" s="2871"/>
      <c r="N55" s="2871"/>
      <c r="O55" s="2871"/>
      <c r="P55" s="2871"/>
      <c r="Q55" s="2871"/>
    </row>
    <row r="56" spans="1:17" x14ac:dyDescent="0.2">
      <c r="A56" s="5" t="s">
        <v>47</v>
      </c>
    </row>
    <row r="57" spans="1:17" x14ac:dyDescent="0.2">
      <c r="A57" s="5" t="s">
        <v>2155</v>
      </c>
      <c r="B57" s="2872">
        <v>594.78</v>
      </c>
    </row>
    <row r="58" spans="1:17" x14ac:dyDescent="0.2">
      <c r="B58" s="2872">
        <v>302.64999999999998</v>
      </c>
    </row>
    <row r="59" spans="1:17" x14ac:dyDescent="0.2">
      <c r="B59" s="2872">
        <v>842.18</v>
      </c>
    </row>
    <row r="60" spans="1:17" x14ac:dyDescent="0.2">
      <c r="B60" s="2872">
        <v>1477.03</v>
      </c>
    </row>
    <row r="61" spans="1:17" x14ac:dyDescent="0.2">
      <c r="B61" s="2872">
        <v>88959.62</v>
      </c>
    </row>
    <row r="62" spans="1:17" x14ac:dyDescent="0.2">
      <c r="B62" s="2872">
        <v>246.76</v>
      </c>
    </row>
    <row r="63" spans="1:17" x14ac:dyDescent="0.2">
      <c r="B63" s="2872">
        <f>SUM(B57:B62)</f>
        <v>92423.01999999999</v>
      </c>
    </row>
    <row r="65" spans="1:2" x14ac:dyDescent="0.2">
      <c r="B65" s="2872">
        <f>B63+B52</f>
        <v>210060.83999999997</v>
      </c>
    </row>
    <row r="67" spans="1:2" x14ac:dyDescent="0.2">
      <c r="A67" s="5" t="s">
        <v>2156</v>
      </c>
      <c r="B67" s="2489">
        <v>14554</v>
      </c>
    </row>
  </sheetData>
  <mergeCells count="6">
    <mergeCell ref="Q4:Q5"/>
    <mergeCell ref="F5:J5"/>
    <mergeCell ref="K5:P5"/>
    <mergeCell ref="A4:A5"/>
    <mergeCell ref="B4:C4"/>
    <mergeCell ref="D4:E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N8" sqref="N8"/>
    </sheetView>
  </sheetViews>
  <sheetFormatPr defaultRowHeight="12.75" x14ac:dyDescent="0.2"/>
  <cols>
    <col min="1" max="1" width="27.28515625" style="2490" customWidth="1"/>
    <col min="2" max="2" width="11.85546875" style="2490" customWidth="1"/>
    <col min="3" max="3" width="11.140625" style="2753" customWidth="1"/>
    <col min="4" max="4" width="14.28515625" style="2753" customWidth="1"/>
    <col min="5" max="5" width="12.42578125" style="2753" customWidth="1"/>
    <col min="6" max="6" width="13.42578125" style="2753" customWidth="1"/>
    <col min="7" max="7" width="14.28515625" style="2753" customWidth="1"/>
    <col min="8" max="8" width="16.140625" style="2753" customWidth="1"/>
    <col min="9" max="9" width="28.28515625" style="5" customWidth="1"/>
    <col min="10" max="16384" width="9.140625" style="5"/>
  </cols>
  <sheetData>
    <row r="2" spans="1:9" s="1844" customFormat="1" ht="38.25" customHeight="1" x14ac:dyDescent="0.25">
      <c r="A2" s="4272" t="s">
        <v>2107</v>
      </c>
      <c r="B2" s="4272"/>
      <c r="C2" s="4272"/>
      <c r="D2" s="4272"/>
      <c r="E2" s="4272"/>
      <c r="F2" s="4272"/>
      <c r="G2" s="4272"/>
      <c r="H2" s="4272"/>
      <c r="I2" s="4272"/>
    </row>
    <row r="3" spans="1:9" ht="25.5" customHeight="1" x14ac:dyDescent="0.2">
      <c r="A3" s="4273" t="s">
        <v>2058</v>
      </c>
      <c r="B3" s="4273"/>
      <c r="C3" s="4273"/>
      <c r="D3" s="4273"/>
      <c r="E3" s="4273"/>
      <c r="F3" s="4273"/>
      <c r="G3" s="4273"/>
      <c r="H3" s="4273"/>
      <c r="I3" s="4273"/>
    </row>
    <row r="4" spans="1:9" ht="27.75" customHeight="1" x14ac:dyDescent="0.2">
      <c r="A4" s="2725" t="s">
        <v>536</v>
      </c>
      <c r="B4" s="2725" t="s">
        <v>333</v>
      </c>
      <c r="C4" s="2726" t="s">
        <v>1819</v>
      </c>
      <c r="D4" s="2726" t="s">
        <v>1825</v>
      </c>
      <c r="E4" s="2726" t="s">
        <v>1826</v>
      </c>
      <c r="F4" s="2726" t="s">
        <v>1827</v>
      </c>
      <c r="G4" s="2726" t="s">
        <v>1828</v>
      </c>
      <c r="H4" s="2726" t="s">
        <v>1829</v>
      </c>
      <c r="I4" s="2726" t="s">
        <v>243</v>
      </c>
    </row>
    <row r="5" spans="1:9" ht="25.5" customHeight="1" x14ac:dyDescent="0.2">
      <c r="A5" s="4080" t="s">
        <v>2051</v>
      </c>
      <c r="B5" s="4081"/>
      <c r="C5" s="4081"/>
      <c r="D5" s="4081"/>
      <c r="E5" s="4081"/>
      <c r="F5" s="4081"/>
      <c r="G5" s="4081"/>
      <c r="H5" s="4082"/>
      <c r="I5" s="1972"/>
    </row>
    <row r="6" spans="1:9" ht="66.75" customHeight="1" x14ac:dyDescent="0.2">
      <c r="A6" s="2729" t="s">
        <v>2052</v>
      </c>
      <c r="B6" s="2725" t="s">
        <v>950</v>
      </c>
      <c r="C6" s="2075">
        <f>'[26]объемы2019-2024'!$AC$19/1000</f>
        <v>2.63</v>
      </c>
      <c r="D6" s="2075">
        <f>'[26]объемы2019-2024'!$AC$19/1000</f>
        <v>2.63</v>
      </c>
      <c r="E6" s="2075">
        <f>'[26]объемы2019-2024'!$AC$19/1000</f>
        <v>2.63</v>
      </c>
      <c r="F6" s="2075">
        <f>'[26]объемы2019-2024'!$AC$19/1000</f>
        <v>2.63</v>
      </c>
      <c r="G6" s="2075">
        <f>'[26]объемы2019-2024'!$AC$19/1000</f>
        <v>2.63</v>
      </c>
      <c r="H6" s="2075">
        <f>'[26]объемы2019-2024'!$AC$19/1000</f>
        <v>2.63</v>
      </c>
      <c r="I6" s="2660" t="s">
        <v>2112</v>
      </c>
    </row>
    <row r="7" spans="1:9" ht="48.75" customHeight="1" x14ac:dyDescent="0.2">
      <c r="A7" s="2729" t="s">
        <v>2053</v>
      </c>
      <c r="B7" s="2725" t="s">
        <v>2059</v>
      </c>
      <c r="C7" s="1961">
        <v>7.98</v>
      </c>
      <c r="D7" s="1961">
        <v>8.26</v>
      </c>
      <c r="E7" s="1961">
        <v>8.4499999999999993</v>
      </c>
      <c r="F7" s="1961">
        <v>8.6999999999999993</v>
      </c>
      <c r="G7" s="1961">
        <v>8.9600000000000009</v>
      </c>
      <c r="H7" s="1961">
        <v>9.2200000000000006</v>
      </c>
      <c r="I7" s="2660" t="s">
        <v>2113</v>
      </c>
    </row>
    <row r="8" spans="1:9" s="2151" customFormat="1" ht="27" customHeight="1" x14ac:dyDescent="0.2">
      <c r="A8" s="1869" t="s">
        <v>2054</v>
      </c>
      <c r="B8" s="2732" t="s">
        <v>915</v>
      </c>
      <c r="C8" s="2072">
        <f>C6*C7</f>
        <v>20.987400000000001</v>
      </c>
      <c r="D8" s="2072">
        <f t="shared" ref="D8:H8" si="0">D6*D7</f>
        <v>21.723799999999997</v>
      </c>
      <c r="E8" s="2072">
        <f t="shared" si="0"/>
        <v>22.223499999999998</v>
      </c>
      <c r="F8" s="2072">
        <f t="shared" si="0"/>
        <v>22.880999999999997</v>
      </c>
      <c r="G8" s="2072">
        <f t="shared" si="0"/>
        <v>23.564800000000002</v>
      </c>
      <c r="H8" s="2072">
        <f t="shared" si="0"/>
        <v>24.2486</v>
      </c>
      <c r="I8" s="2050"/>
    </row>
    <row r="9" spans="1:9" ht="23.25" customHeight="1" x14ac:dyDescent="0.2">
      <c r="A9" s="4080" t="s">
        <v>2055</v>
      </c>
      <c r="B9" s="4081"/>
      <c r="C9" s="4081"/>
      <c r="D9" s="4081"/>
      <c r="E9" s="4081"/>
      <c r="F9" s="4081"/>
      <c r="G9" s="4081"/>
      <c r="H9" s="4082"/>
      <c r="I9" s="1972"/>
    </row>
    <row r="10" spans="1:9" ht="63.75" x14ac:dyDescent="0.2">
      <c r="A10" s="2729" t="s">
        <v>2056</v>
      </c>
      <c r="B10" s="2725" t="s">
        <v>950</v>
      </c>
      <c r="C10" s="2067">
        <f>'[26]объемы2019-2024'!$AC$28/1000</f>
        <v>93.374850000000009</v>
      </c>
      <c r="D10" s="2067">
        <f>'[26]объемы2019-2024'!$AC$28/1000</f>
        <v>93.374850000000009</v>
      </c>
      <c r="E10" s="2067">
        <f>'[26]объемы2019-2024'!$AC$28/1000</f>
        <v>93.374850000000009</v>
      </c>
      <c r="F10" s="2067">
        <f>'[26]объемы2019-2024'!$AC$28/1000</f>
        <v>93.374850000000009</v>
      </c>
      <c r="G10" s="2067">
        <f>'[26]объемы2019-2024'!$AC$28/1000</f>
        <v>93.374850000000009</v>
      </c>
      <c r="H10" s="2067">
        <f>'[26]объемы2019-2024'!$AC$28/1000</f>
        <v>93.374850000000009</v>
      </c>
      <c r="I10" s="2660" t="s">
        <v>2112</v>
      </c>
    </row>
    <row r="11" spans="1:9" ht="38.25" x14ac:dyDescent="0.2">
      <c r="A11" s="2729" t="s">
        <v>2057</v>
      </c>
      <c r="B11" s="2725" t="s">
        <v>2059</v>
      </c>
      <c r="C11" s="2075">
        <v>5.54</v>
      </c>
      <c r="D11" s="2075">
        <v>5.88</v>
      </c>
      <c r="E11" s="2075">
        <v>6.02</v>
      </c>
      <c r="F11" s="2075">
        <v>6.2</v>
      </c>
      <c r="G11" s="2075">
        <v>6.39</v>
      </c>
      <c r="H11" s="2075">
        <v>6.57</v>
      </c>
      <c r="I11" s="2660" t="s">
        <v>2113</v>
      </c>
    </row>
    <row r="12" spans="1:9" s="2151" customFormat="1" ht="25.5" customHeight="1" x14ac:dyDescent="0.2">
      <c r="A12" s="1869" t="s">
        <v>2054</v>
      </c>
      <c r="B12" s="2732" t="s">
        <v>915</v>
      </c>
      <c r="C12" s="2072">
        <f>C10*C11</f>
        <v>517.29666900000007</v>
      </c>
      <c r="D12" s="2072">
        <f t="shared" ref="D12" si="1">D10*D11</f>
        <v>549.04411800000003</v>
      </c>
      <c r="E12" s="2072">
        <f t="shared" ref="E12" si="2">E10*E11</f>
        <v>562.11659700000007</v>
      </c>
      <c r="F12" s="2072">
        <f t="shared" ref="F12" si="3">F10*F11</f>
        <v>578.92407000000003</v>
      </c>
      <c r="G12" s="2072">
        <f t="shared" ref="G12" si="4">G10*G11</f>
        <v>596.66529150000008</v>
      </c>
      <c r="H12" s="2072">
        <f t="shared" ref="H12" si="5">H10*H11</f>
        <v>613.47276450000004</v>
      </c>
      <c r="I12" s="2050"/>
    </row>
  </sheetData>
  <mergeCells count="4">
    <mergeCell ref="A5:H5"/>
    <mergeCell ref="A9:H9"/>
    <mergeCell ref="A2:I2"/>
    <mergeCell ref="A3:I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4"/>
  <sheetViews>
    <sheetView workbookViewId="0">
      <selection activeCell="H8" sqref="H8"/>
    </sheetView>
  </sheetViews>
  <sheetFormatPr defaultRowHeight="12.75" x14ac:dyDescent="0.2"/>
  <cols>
    <col min="1" max="1" width="36.5703125" style="5" customWidth="1"/>
    <col min="2" max="2" width="12" style="5" customWidth="1"/>
    <col min="3" max="13" width="9.140625" style="5"/>
    <col min="14" max="14" width="22" style="5" customWidth="1"/>
    <col min="15" max="16384" width="9.140625" style="5"/>
  </cols>
  <sheetData>
    <row r="3" spans="1:14" ht="15.75" x14ac:dyDescent="0.2">
      <c r="A3" s="4274" t="s">
        <v>2114</v>
      </c>
      <c r="B3" s="4274"/>
      <c r="C3" s="4274"/>
      <c r="D3" s="4274"/>
      <c r="E3" s="4274"/>
      <c r="F3" s="4274"/>
      <c r="G3" s="4274"/>
      <c r="H3" s="4274"/>
      <c r="I3" s="4274"/>
      <c r="J3" s="4274"/>
      <c r="K3" s="4274"/>
      <c r="L3" s="4274"/>
      <c r="M3" s="4274"/>
      <c r="N3" s="4274"/>
    </row>
    <row r="5" spans="1:14" x14ac:dyDescent="0.2">
      <c r="A5" s="3971" t="s">
        <v>536</v>
      </c>
      <c r="B5" s="3966" t="s">
        <v>1536</v>
      </c>
      <c r="C5" s="3971" t="s">
        <v>122</v>
      </c>
      <c r="D5" s="3971"/>
      <c r="E5" s="3971"/>
      <c r="F5" s="3971"/>
      <c r="G5" s="3971"/>
      <c r="H5" s="3970" t="s">
        <v>1537</v>
      </c>
      <c r="I5" s="3970"/>
      <c r="J5" s="3970"/>
      <c r="K5" s="3970"/>
      <c r="L5" s="3970"/>
      <c r="M5" s="3970"/>
      <c r="N5" s="3971" t="s">
        <v>1925</v>
      </c>
    </row>
    <row r="6" spans="1:14" x14ac:dyDescent="0.2">
      <c r="A6" s="3971"/>
      <c r="B6" s="3967"/>
      <c r="C6" s="2641" t="s">
        <v>1819</v>
      </c>
      <c r="D6" s="2641" t="s">
        <v>1825</v>
      </c>
      <c r="E6" s="2641" t="s">
        <v>1826</v>
      </c>
      <c r="F6" s="2641" t="s">
        <v>1827</v>
      </c>
      <c r="G6" s="2641" t="s">
        <v>1828</v>
      </c>
      <c r="H6" s="2641" t="s">
        <v>1819</v>
      </c>
      <c r="I6" s="2641" t="s">
        <v>1825</v>
      </c>
      <c r="J6" s="2641" t="s">
        <v>1826</v>
      </c>
      <c r="K6" s="2641" t="s">
        <v>1827</v>
      </c>
      <c r="L6" s="2641" t="s">
        <v>1828</v>
      </c>
      <c r="M6" s="2641" t="s">
        <v>1829</v>
      </c>
      <c r="N6" s="3971"/>
    </row>
    <row r="7" spans="1:14" x14ac:dyDescent="0.2">
      <c r="A7" s="4232" t="s">
        <v>1980</v>
      </c>
      <c r="B7" s="4275"/>
      <c r="C7" s="4275"/>
      <c r="D7" s="4275"/>
      <c r="E7" s="4275"/>
      <c r="F7" s="4275"/>
      <c r="G7" s="4275"/>
      <c r="H7" s="4275"/>
      <c r="I7" s="4275"/>
      <c r="J7" s="4275"/>
      <c r="K7" s="4275"/>
      <c r="L7" s="4275"/>
      <c r="M7" s="4275"/>
      <c r="N7" s="4276"/>
    </row>
    <row r="8" spans="1:14" ht="22.5" customHeight="1" x14ac:dyDescent="0.2">
      <c r="A8" s="2644" t="s">
        <v>1981</v>
      </c>
      <c r="B8" s="2642" t="s">
        <v>1985</v>
      </c>
      <c r="C8" s="1961">
        <v>2105.39</v>
      </c>
      <c r="D8" s="1961">
        <v>2210.66</v>
      </c>
      <c r="E8" s="1961">
        <v>2321.1999999999998</v>
      </c>
      <c r="F8" s="1961">
        <v>2437.3000000000002</v>
      </c>
      <c r="G8" s="1961">
        <v>2559.1</v>
      </c>
      <c r="H8" s="1961">
        <f>D14*1.059</f>
        <v>2049.7898100000002</v>
      </c>
      <c r="I8" s="1961">
        <f>H8*1.042</f>
        <v>2135.8809820200004</v>
      </c>
      <c r="J8" s="1961">
        <f>I8*1.04</f>
        <v>2221.3162213008004</v>
      </c>
      <c r="K8" s="1961">
        <f>J8*1.04</f>
        <v>2310.1688701528324</v>
      </c>
      <c r="L8" s="1961">
        <f>K8*1.039</f>
        <v>2400.2654560887927</v>
      </c>
      <c r="M8" s="1961">
        <f>L8*1.039</f>
        <v>2493.8758088762556</v>
      </c>
      <c r="N8" s="2754" t="s">
        <v>1989</v>
      </c>
    </row>
    <row r="9" spans="1:14" ht="45" customHeight="1" x14ac:dyDescent="0.2">
      <c r="A9" s="2644" t="s">
        <v>1982</v>
      </c>
      <c r="B9" s="2642" t="s">
        <v>1984</v>
      </c>
      <c r="C9" s="2075">
        <v>153</v>
      </c>
      <c r="D9" s="2075">
        <v>153</v>
      </c>
      <c r="E9" s="2075">
        <v>153</v>
      </c>
      <c r="F9" s="2075">
        <v>153</v>
      </c>
      <c r="G9" s="2075">
        <v>153</v>
      </c>
      <c r="H9" s="2075">
        <v>153</v>
      </c>
      <c r="I9" s="2075">
        <v>153</v>
      </c>
      <c r="J9" s="2075">
        <f>I9</f>
        <v>153</v>
      </c>
      <c r="K9" s="2075">
        <f t="shared" ref="K9:M9" si="0">J9</f>
        <v>153</v>
      </c>
      <c r="L9" s="2075">
        <f t="shared" si="0"/>
        <v>153</v>
      </c>
      <c r="M9" s="2075">
        <f t="shared" si="0"/>
        <v>153</v>
      </c>
      <c r="N9" s="2639" t="s">
        <v>1988</v>
      </c>
    </row>
    <row r="10" spans="1:14" ht="40.5" customHeight="1" x14ac:dyDescent="0.2">
      <c r="A10" s="2644" t="s">
        <v>1983</v>
      </c>
      <c r="B10" s="2642" t="s">
        <v>915</v>
      </c>
      <c r="C10" s="1959">
        <v>322.13</v>
      </c>
      <c r="D10" s="1959">
        <v>338.23</v>
      </c>
      <c r="E10" s="1959">
        <v>355.14</v>
      </c>
      <c r="F10" s="1959">
        <v>372.9</v>
      </c>
      <c r="G10" s="1959">
        <v>391.55</v>
      </c>
      <c r="H10" s="1958">
        <f>H8*H9/1000</f>
        <v>313.61784093</v>
      </c>
      <c r="I10" s="1958">
        <f t="shared" ref="I10:M10" si="1">I8*I9/1000</f>
        <v>326.7897902490601</v>
      </c>
      <c r="J10" s="1958">
        <f t="shared" si="1"/>
        <v>339.86138185902246</v>
      </c>
      <c r="K10" s="1958">
        <f t="shared" si="1"/>
        <v>353.4558371333834</v>
      </c>
      <c r="L10" s="1958">
        <f t="shared" si="1"/>
        <v>367.24061478158529</v>
      </c>
      <c r="M10" s="1958">
        <f t="shared" si="1"/>
        <v>381.56299875806707</v>
      </c>
      <c r="N10" s="2642"/>
    </row>
    <row r="12" spans="1:14" ht="25.5" x14ac:dyDescent="0.2">
      <c r="A12" s="2489" t="s">
        <v>1986</v>
      </c>
      <c r="B12" s="3904" t="s">
        <v>1987</v>
      </c>
      <c r="C12" s="3904"/>
      <c r="D12" s="3904"/>
      <c r="E12" s="3904"/>
    </row>
    <row r="13" spans="1:14" x14ac:dyDescent="0.2">
      <c r="B13" s="5" t="s">
        <v>1992</v>
      </c>
      <c r="C13" s="5" t="s">
        <v>1991</v>
      </c>
      <c r="D13" s="5" t="s">
        <v>1993</v>
      </c>
    </row>
    <row r="14" spans="1:14" x14ac:dyDescent="0.2">
      <c r="A14" s="5" t="s">
        <v>1990</v>
      </c>
      <c r="B14" s="5">
        <v>1884.96</v>
      </c>
      <c r="C14" s="5">
        <v>1986.22</v>
      </c>
      <c r="D14" s="1860">
        <f>(B14*6+C14*6)/12</f>
        <v>1935.5900000000001</v>
      </c>
    </row>
  </sheetData>
  <mergeCells count="8">
    <mergeCell ref="A3:N3"/>
    <mergeCell ref="N5:N6"/>
    <mergeCell ref="B5:B6"/>
    <mergeCell ref="A7:N7"/>
    <mergeCell ref="B12:E12"/>
    <mergeCell ref="C5:G5"/>
    <mergeCell ref="A5:A6"/>
    <mergeCell ref="H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CQ48"/>
  <sheetViews>
    <sheetView zoomScaleNormal="100" workbookViewId="0">
      <pane xSplit="12" ySplit="23" topLeftCell="CF24" activePane="bottomRight" state="frozen"/>
      <selection pane="topRight" activeCell="M1" sqref="M1"/>
      <selection pane="bottomLeft" activeCell="A23" sqref="A23"/>
      <selection pane="bottomRight" activeCell="CP25" sqref="CP25"/>
    </sheetView>
  </sheetViews>
  <sheetFormatPr defaultRowHeight="12.75" outlineLevelCol="1" x14ac:dyDescent="0.2"/>
  <cols>
    <col min="1" max="1" width="6.42578125" style="5" customWidth="1"/>
    <col min="2" max="2" width="21.4257812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69" width="9.7109375" style="5" customWidth="1"/>
    <col min="70" max="70" width="12.42578125" style="5" customWidth="1"/>
    <col min="71" max="71" width="11.140625" style="5" customWidth="1"/>
    <col min="72" max="72" width="12.7109375" style="5" hidden="1" customWidth="1"/>
    <col min="73" max="73" width="10.42578125" style="5" customWidth="1"/>
    <col min="74" max="74" width="12.7109375" style="5" customWidth="1"/>
    <col min="75" max="75" width="10.42578125" style="5" customWidth="1"/>
    <col min="76" max="76" width="10" style="5" customWidth="1"/>
    <col min="77" max="77" width="12.7109375" style="5" customWidth="1"/>
    <col min="78" max="79" width="10.28515625" style="5" customWidth="1"/>
    <col min="80" max="80" width="12.42578125" style="5" customWidth="1"/>
    <col min="81" max="82" width="10.28515625" style="5" customWidth="1"/>
    <col min="83" max="83" width="12.140625" style="5" customWidth="1"/>
    <col min="84" max="85" width="10.28515625" style="5" customWidth="1"/>
    <col min="86" max="86" width="13" style="5" customWidth="1"/>
    <col min="87" max="87" width="10.28515625" style="5" customWidth="1"/>
    <col min="88" max="88" width="9.5703125" style="5" customWidth="1"/>
    <col min="89" max="89" width="11.42578125" style="5" customWidth="1"/>
    <col min="90" max="90" width="10.140625" style="5" customWidth="1"/>
    <col min="91" max="91" width="10.5703125" style="5" customWidth="1"/>
    <col min="92" max="92" width="12.5703125" style="5" customWidth="1"/>
    <col min="93" max="93" width="10.7109375" style="5" customWidth="1"/>
    <col min="94" max="94" width="46.5703125" style="5" customWidth="1"/>
    <col min="95" max="95" width="12.7109375" style="5" customWidth="1"/>
    <col min="96" max="96" width="17.140625" style="5" customWidth="1"/>
    <col min="97" max="16384" width="9.140625" style="5"/>
  </cols>
  <sheetData>
    <row r="1" spans="1:95" x14ac:dyDescent="0.2">
      <c r="BT1" s="5" t="s">
        <v>1515</v>
      </c>
    </row>
    <row r="2" spans="1:95" ht="15.75" x14ac:dyDescent="0.25">
      <c r="A2" s="4279" t="s">
        <v>1932</v>
      </c>
      <c r="B2" s="4279"/>
      <c r="C2" s="4279"/>
      <c r="D2" s="4279"/>
      <c r="E2" s="4279"/>
      <c r="F2" s="4279"/>
      <c r="G2" s="4279"/>
      <c r="H2" s="4279"/>
      <c r="I2" s="4279"/>
      <c r="J2" s="4279"/>
      <c r="K2" s="4279"/>
      <c r="L2" s="4279"/>
      <c r="M2" s="4279"/>
      <c r="N2" s="4279"/>
      <c r="O2" s="4279"/>
      <c r="P2" s="4279"/>
      <c r="Q2" s="4279"/>
      <c r="R2" s="4279"/>
      <c r="S2" s="4279"/>
      <c r="T2" s="4279"/>
      <c r="U2" s="4279"/>
      <c r="V2" s="4279"/>
      <c r="W2" s="4279"/>
      <c r="X2" s="4279"/>
      <c r="Y2" s="4279"/>
      <c r="Z2" s="4279"/>
      <c r="AA2" s="4279"/>
      <c r="AB2" s="4279"/>
      <c r="AC2" s="4279"/>
      <c r="AD2" s="4279"/>
      <c r="AE2" s="4279"/>
      <c r="AF2" s="4279"/>
      <c r="AG2" s="4279"/>
      <c r="AH2" s="4279"/>
      <c r="AI2" s="4279"/>
      <c r="AJ2" s="4279"/>
      <c r="AK2" s="4279"/>
      <c r="AL2" s="4279"/>
      <c r="AM2" s="4279"/>
      <c r="AN2" s="4279"/>
      <c r="AO2" s="4279"/>
      <c r="AP2" s="4279"/>
      <c r="AQ2" s="4279"/>
      <c r="AR2" s="4279"/>
      <c r="AS2" s="4279"/>
      <c r="AT2" s="4279"/>
      <c r="AU2" s="4280"/>
      <c r="AV2" s="4280"/>
      <c r="AW2" s="4280"/>
      <c r="AX2" s="4280"/>
      <c r="AY2" s="4280"/>
      <c r="AZ2" s="4280"/>
      <c r="BA2" s="4280"/>
      <c r="BB2" s="4280"/>
      <c r="BC2" s="4280"/>
      <c r="BD2" s="4280"/>
      <c r="BE2" s="4280"/>
      <c r="BF2" s="4280"/>
      <c r="BG2" s="4280"/>
      <c r="BH2" s="4280"/>
      <c r="BI2" s="4280"/>
      <c r="BJ2" s="4280"/>
      <c r="BK2" s="4280"/>
      <c r="BL2" s="4280"/>
      <c r="BM2" s="4280"/>
      <c r="BN2" s="4280"/>
      <c r="BO2" s="4280"/>
      <c r="BP2" s="4280"/>
      <c r="BQ2" s="4280"/>
      <c r="BR2" s="4280"/>
      <c r="BS2" s="4280"/>
      <c r="BT2" s="4280"/>
      <c r="BU2" s="4280"/>
      <c r="BV2" s="4280"/>
      <c r="BW2" s="4280"/>
      <c r="BX2" s="4280"/>
      <c r="BY2" s="4280"/>
      <c r="BZ2" s="4280"/>
      <c r="CA2" s="4280"/>
      <c r="CB2" s="4280"/>
      <c r="CC2" s="4280"/>
      <c r="CD2" s="4280"/>
      <c r="CE2" s="4280"/>
      <c r="CF2" s="4280"/>
      <c r="CG2" s="4280"/>
      <c r="CH2" s="4280"/>
      <c r="CI2" s="4280"/>
      <c r="CJ2" s="4280"/>
      <c r="CK2" s="4280"/>
      <c r="CL2" s="4280"/>
      <c r="CM2" s="4280"/>
      <c r="CN2" s="4280"/>
      <c r="CO2" s="4280"/>
      <c r="CP2" s="4280"/>
      <c r="CQ2" s="4280"/>
    </row>
    <row r="3" spans="1:95" ht="19.5" hidden="1" thickBot="1" x14ac:dyDescent="0.35">
      <c r="A3" s="4302"/>
      <c r="B3" s="4302"/>
      <c r="C3" s="4302"/>
      <c r="D3" s="4302"/>
      <c r="E3" s="4302"/>
      <c r="F3" s="4302"/>
      <c r="G3" s="4302"/>
      <c r="H3" s="4302"/>
      <c r="I3" s="4302"/>
      <c r="J3" s="4302"/>
      <c r="K3" s="4302"/>
      <c r="L3" s="4302"/>
      <c r="M3" s="4302"/>
      <c r="N3" s="4302"/>
      <c r="O3" s="4302"/>
      <c r="P3" s="4302"/>
      <c r="Q3" s="4302"/>
      <c r="R3" s="4302"/>
      <c r="S3" s="4302"/>
      <c r="T3" s="4302"/>
      <c r="U3" s="4302"/>
      <c r="V3" s="4302"/>
      <c r="W3" s="4302"/>
      <c r="X3" s="4302"/>
      <c r="Y3" s="4302"/>
      <c r="Z3" s="4302"/>
      <c r="AA3" s="4302"/>
      <c r="AB3" s="4302"/>
      <c r="AC3" s="4302"/>
      <c r="AD3" s="4302"/>
      <c r="AE3" s="4302"/>
      <c r="AF3" s="4302"/>
      <c r="AG3" s="4302"/>
      <c r="AH3" s="4302"/>
      <c r="AI3" s="4302"/>
      <c r="AJ3" s="4302"/>
      <c r="AK3" s="4302"/>
      <c r="AL3" s="4302"/>
      <c r="AM3" s="4302"/>
      <c r="AN3" s="4302"/>
      <c r="AO3" s="4302"/>
      <c r="AP3" s="4302"/>
      <c r="AQ3" s="462"/>
      <c r="AR3" s="462"/>
      <c r="AS3" s="462"/>
      <c r="AT3" s="462"/>
      <c r="AU3" s="462"/>
      <c r="AV3" s="462"/>
      <c r="AW3" s="462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</row>
    <row r="4" spans="1:95" ht="23.25" hidden="1" customHeight="1" thickBot="1" x14ac:dyDescent="0.25">
      <c r="A4" s="4296" t="s">
        <v>172</v>
      </c>
      <c r="B4" s="4299" t="s">
        <v>173</v>
      </c>
      <c r="C4" s="4281" t="s">
        <v>174</v>
      </c>
      <c r="D4" s="4282"/>
      <c r="E4" s="4283"/>
      <c r="F4" s="4303" t="s">
        <v>175</v>
      </c>
      <c r="G4" s="4304"/>
      <c r="H4" s="4304"/>
      <c r="I4" s="3532" t="s">
        <v>176</v>
      </c>
      <c r="J4" s="3532"/>
      <c r="K4" s="3532"/>
      <c r="L4" s="3532"/>
      <c r="M4" s="4281" t="s">
        <v>177</v>
      </c>
      <c r="N4" s="4282"/>
      <c r="O4" s="4283"/>
      <c r="P4" s="4281" t="s">
        <v>195</v>
      </c>
      <c r="Q4" s="4282"/>
      <c r="R4" s="4283"/>
      <c r="S4" s="4307" t="s">
        <v>196</v>
      </c>
      <c r="T4" s="4308"/>
      <c r="U4" s="4309"/>
      <c r="V4" s="4307" t="s">
        <v>197</v>
      </c>
      <c r="W4" s="4308"/>
      <c r="X4" s="4309"/>
      <c r="Y4" s="4307" t="s">
        <v>250</v>
      </c>
      <c r="Z4" s="4308"/>
      <c r="AA4" s="4309"/>
      <c r="AB4" s="4287" t="s">
        <v>198</v>
      </c>
      <c r="AC4" s="4288"/>
      <c r="AD4" s="4288"/>
      <c r="AE4" s="4288"/>
      <c r="AF4" s="4289"/>
      <c r="AG4" s="4313" t="s">
        <v>178</v>
      </c>
      <c r="AH4" s="4314"/>
      <c r="AI4" s="4314"/>
      <c r="AJ4" s="4314"/>
      <c r="AK4" s="4315"/>
      <c r="AL4" s="4287" t="s">
        <v>231</v>
      </c>
      <c r="AM4" s="4288"/>
      <c r="AN4" s="4288"/>
      <c r="AO4" s="4288"/>
      <c r="AP4" s="4289"/>
      <c r="AQ4" s="2444"/>
      <c r="AR4" s="2444"/>
      <c r="AS4" s="2444"/>
      <c r="AT4" s="2444"/>
      <c r="AU4" s="4287" t="s">
        <v>232</v>
      </c>
      <c r="AV4" s="4288"/>
      <c r="AW4" s="4289"/>
      <c r="AX4" s="4287" t="s">
        <v>359</v>
      </c>
      <c r="AY4" s="4288"/>
      <c r="AZ4" s="4289"/>
      <c r="BA4" s="4287" t="s">
        <v>375</v>
      </c>
      <c r="BB4" s="4288"/>
      <c r="BC4" s="4288"/>
      <c r="BD4" s="4319" t="s">
        <v>383</v>
      </c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</row>
    <row r="5" spans="1:95" ht="22.5" hidden="1" customHeight="1" x14ac:dyDescent="0.2">
      <c r="A5" s="4297"/>
      <c r="B5" s="4300"/>
      <c r="C5" s="4284"/>
      <c r="D5" s="4285"/>
      <c r="E5" s="4286"/>
      <c r="F5" s="4305"/>
      <c r="G5" s="4306"/>
      <c r="H5" s="4306"/>
      <c r="I5" s="463"/>
      <c r="J5" s="463"/>
      <c r="K5" s="463"/>
      <c r="L5" s="464"/>
      <c r="M5" s="4284"/>
      <c r="N5" s="4285"/>
      <c r="O5" s="4286"/>
      <c r="P5" s="4284"/>
      <c r="Q5" s="4285"/>
      <c r="R5" s="4286"/>
      <c r="S5" s="4310"/>
      <c r="T5" s="4311"/>
      <c r="U5" s="4312"/>
      <c r="V5" s="4310"/>
      <c r="W5" s="4311"/>
      <c r="X5" s="4312"/>
      <c r="Y5" s="4310"/>
      <c r="Z5" s="4311"/>
      <c r="AA5" s="4312"/>
      <c r="AB5" s="4290"/>
      <c r="AC5" s="4291"/>
      <c r="AD5" s="4291"/>
      <c r="AE5" s="4291"/>
      <c r="AF5" s="4292"/>
      <c r="AG5" s="4293" t="s">
        <v>179</v>
      </c>
      <c r="AH5" s="4295" t="s">
        <v>180</v>
      </c>
      <c r="AI5" s="4295"/>
      <c r="AJ5" s="4295" t="s">
        <v>181</v>
      </c>
      <c r="AK5" s="4322"/>
      <c r="AL5" s="4290"/>
      <c r="AM5" s="4291"/>
      <c r="AN5" s="4291"/>
      <c r="AO5" s="4291"/>
      <c r="AP5" s="4292"/>
      <c r="AQ5" s="2445"/>
      <c r="AR5" s="2445"/>
      <c r="AS5" s="2445"/>
      <c r="AT5" s="2445"/>
      <c r="AU5" s="4290"/>
      <c r="AV5" s="4291"/>
      <c r="AW5" s="4292"/>
      <c r="AX5" s="4290"/>
      <c r="AY5" s="4291"/>
      <c r="AZ5" s="4292"/>
      <c r="BA5" s="4290"/>
      <c r="BB5" s="4291"/>
      <c r="BC5" s="4291"/>
      <c r="BD5" s="4320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463"/>
      <c r="CQ5" s="463"/>
    </row>
    <row r="6" spans="1:95" ht="63" hidden="1" customHeight="1" thickBot="1" x14ac:dyDescent="0.25">
      <c r="A6" s="4298"/>
      <c r="B6" s="4301"/>
      <c r="C6" s="465" t="s">
        <v>179</v>
      </c>
      <c r="D6" s="394" t="s">
        <v>182</v>
      </c>
      <c r="E6" s="1467" t="s">
        <v>183</v>
      </c>
      <c r="F6" s="467" t="s">
        <v>179</v>
      </c>
      <c r="G6" s="468" t="s">
        <v>182</v>
      </c>
      <c r="H6" s="469" t="s">
        <v>183</v>
      </c>
      <c r="I6" s="465" t="s">
        <v>179</v>
      </c>
      <c r="J6" s="394" t="s">
        <v>182</v>
      </c>
      <c r="K6" s="394" t="s">
        <v>184</v>
      </c>
      <c r="L6" s="1467" t="s">
        <v>183</v>
      </c>
      <c r="M6" s="2423" t="s">
        <v>179</v>
      </c>
      <c r="N6" s="394" t="s">
        <v>182</v>
      </c>
      <c r="O6" s="470" t="s">
        <v>183</v>
      </c>
      <c r="P6" s="2423" t="s">
        <v>179</v>
      </c>
      <c r="Q6" s="377" t="s">
        <v>182</v>
      </c>
      <c r="R6" s="470" t="s">
        <v>183</v>
      </c>
      <c r="S6" s="471" t="s">
        <v>179</v>
      </c>
      <c r="T6" s="472" t="s">
        <v>182</v>
      </c>
      <c r="U6" s="473" t="s">
        <v>183</v>
      </c>
      <c r="V6" s="474" t="s">
        <v>179</v>
      </c>
      <c r="W6" s="472" t="s">
        <v>182</v>
      </c>
      <c r="X6" s="473" t="s">
        <v>183</v>
      </c>
      <c r="Y6" s="471" t="s">
        <v>179</v>
      </c>
      <c r="Z6" s="472" t="s">
        <v>182</v>
      </c>
      <c r="AA6" s="473" t="s">
        <v>183</v>
      </c>
      <c r="AB6" s="393" t="s">
        <v>179</v>
      </c>
      <c r="AC6" s="385" t="s">
        <v>182</v>
      </c>
      <c r="AD6" s="475" t="s">
        <v>206</v>
      </c>
      <c r="AE6" s="475" t="s">
        <v>207</v>
      </c>
      <c r="AF6" s="392" t="s">
        <v>183</v>
      </c>
      <c r="AG6" s="4294"/>
      <c r="AH6" s="385" t="s">
        <v>185</v>
      </c>
      <c r="AI6" s="385" t="s">
        <v>186</v>
      </c>
      <c r="AJ6" s="385" t="s">
        <v>187</v>
      </c>
      <c r="AK6" s="392" t="s">
        <v>188</v>
      </c>
      <c r="AL6" s="393" t="s">
        <v>179</v>
      </c>
      <c r="AM6" s="385" t="s">
        <v>182</v>
      </c>
      <c r="AN6" s="475" t="s">
        <v>206</v>
      </c>
      <c r="AO6" s="475" t="s">
        <v>207</v>
      </c>
      <c r="AP6" s="392" t="s">
        <v>183</v>
      </c>
      <c r="AQ6" s="911"/>
      <c r="AR6" s="911"/>
      <c r="AS6" s="911"/>
      <c r="AT6" s="911"/>
      <c r="AU6" s="393" t="s">
        <v>179</v>
      </c>
      <c r="AV6" s="385" t="s">
        <v>182</v>
      </c>
      <c r="AW6" s="392" t="s">
        <v>183</v>
      </c>
      <c r="AX6" s="393" t="s">
        <v>179</v>
      </c>
      <c r="AY6" s="385" t="s">
        <v>182</v>
      </c>
      <c r="AZ6" s="392" t="s">
        <v>183</v>
      </c>
      <c r="BA6" s="393" t="s">
        <v>179</v>
      </c>
      <c r="BB6" s="385" t="s">
        <v>182</v>
      </c>
      <c r="BC6" s="475" t="s">
        <v>183</v>
      </c>
      <c r="BD6" s="4321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</row>
    <row r="7" spans="1:95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37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2435"/>
      <c r="AC7" s="2433"/>
      <c r="AD7" s="2437"/>
      <c r="AE7" s="2437"/>
      <c r="AF7" s="2434"/>
      <c r="AG7" s="2435"/>
      <c r="AH7" s="2433"/>
      <c r="AI7" s="2433"/>
      <c r="AJ7" s="2433"/>
      <c r="AK7" s="491"/>
      <c r="AL7" s="2435"/>
      <c r="AM7" s="2433"/>
      <c r="AN7" s="2437"/>
      <c r="AO7" s="2437"/>
      <c r="AP7" s="2434"/>
      <c r="AQ7" s="912"/>
      <c r="AR7" s="912"/>
      <c r="AS7" s="912"/>
      <c r="AT7" s="912"/>
      <c r="AU7" s="2435"/>
      <c r="AV7" s="2433"/>
      <c r="AW7" s="2434"/>
      <c r="AX7" s="2435"/>
      <c r="AY7" s="2433"/>
      <c r="AZ7" s="2434"/>
      <c r="BA7" s="2435"/>
      <c r="BB7" s="2433"/>
      <c r="BC7" s="2437"/>
      <c r="BD7" s="2503"/>
      <c r="BE7" s="2504"/>
      <c r="BF7" s="2504"/>
      <c r="BG7" s="2504"/>
      <c r="BH7" s="2504"/>
      <c r="BI7" s="2504"/>
      <c r="BJ7" s="2504"/>
      <c r="BK7" s="2504"/>
      <c r="BL7" s="2504"/>
      <c r="BM7" s="2504"/>
      <c r="BN7" s="2504"/>
      <c r="BO7" s="2504"/>
      <c r="BP7" s="2504"/>
      <c r="BQ7" s="2504"/>
      <c r="BR7" s="2504"/>
      <c r="BS7" s="2504"/>
      <c r="BT7" s="2504"/>
      <c r="BU7" s="2504"/>
      <c r="BV7" s="2504"/>
      <c r="BW7" s="2504"/>
      <c r="BX7" s="2504"/>
      <c r="BY7" s="2504"/>
      <c r="BZ7" s="2504"/>
      <c r="CA7" s="2504"/>
      <c r="CB7" s="2504"/>
      <c r="CC7" s="2504"/>
      <c r="CD7" s="2504"/>
      <c r="CE7" s="2504"/>
      <c r="CF7" s="2504"/>
      <c r="CG7" s="2504"/>
      <c r="CH7" s="2504"/>
      <c r="CI7" s="2504"/>
      <c r="CJ7" s="2504"/>
      <c r="CK7" s="2504"/>
      <c r="CL7" s="2504"/>
      <c r="CM7" s="2504"/>
      <c r="CN7" s="2504"/>
      <c r="CO7" s="2504"/>
      <c r="CP7" s="2504"/>
      <c r="CQ7" s="2504"/>
    </row>
    <row r="8" spans="1:95" ht="56.25" hidden="1" x14ac:dyDescent="0.3">
      <c r="A8" s="493" t="s">
        <v>189</v>
      </c>
      <c r="B8" s="494" t="s">
        <v>201</v>
      </c>
      <c r="C8" s="495">
        <v>840</v>
      </c>
      <c r="D8" s="496">
        <v>12146</v>
      </c>
      <c r="E8" s="497">
        <v>122429.8</v>
      </c>
      <c r="F8" s="498">
        <f>F9+F10</f>
        <v>813</v>
      </c>
      <c r="G8" s="499">
        <f>(G9*F9+G10*F10)/(F9+F10)</f>
        <v>12443.442804428045</v>
      </c>
      <c r="H8" s="500">
        <f>H10+H9</f>
        <v>121398.228</v>
      </c>
      <c r="I8" s="501">
        <v>799</v>
      </c>
      <c r="J8" s="496">
        <v>13361</v>
      </c>
      <c r="K8" s="502">
        <f>J8/G8</f>
        <v>1.07373820975377</v>
      </c>
      <c r="L8" s="503">
        <v>128108.9</v>
      </c>
      <c r="M8" s="501">
        <f>M9+M10+M11+M12</f>
        <v>155.5</v>
      </c>
      <c r="N8" s="496">
        <f>O8/M8/12*1000</f>
        <v>17474.049303322616</v>
      </c>
      <c r="O8" s="497">
        <f>O9+O10+O11+O12</f>
        <v>32606.576000000001</v>
      </c>
      <c r="P8" s="504">
        <f>SUM(P9:P12)</f>
        <v>150</v>
      </c>
      <c r="Q8" s="505">
        <f>R8/P8/12*1000</f>
        <v>20234.871111111108</v>
      </c>
      <c r="R8" s="504">
        <f>SUM(R9:R12)</f>
        <v>36422.767999999996</v>
      </c>
      <c r="S8" s="506">
        <f>S9+S10+S11+S12</f>
        <v>155</v>
      </c>
      <c r="T8" s="407">
        <f>U8/S8/12*1000</f>
        <v>19690.870967741936</v>
      </c>
      <c r="U8" s="372">
        <f>U9+U10+U11+U12</f>
        <v>36625.020000000004</v>
      </c>
      <c r="V8" s="2439">
        <f>V9+V10+V11+V12</f>
        <v>149</v>
      </c>
      <c r="W8" s="407">
        <f>X8/V8/12*1000</f>
        <v>8464.3176733780765</v>
      </c>
      <c r="X8" s="507">
        <f>X9+X10</f>
        <v>15134.2</v>
      </c>
      <c r="Y8" s="508">
        <f>Y9+Y10+Y11+Y12</f>
        <v>155</v>
      </c>
      <c r="Z8" s="509">
        <f>AA8/Y8/12*1000</f>
        <v>19376.075268817203</v>
      </c>
      <c r="AA8" s="510">
        <f>AA9+AA10+AA11+AA12</f>
        <v>36039.5</v>
      </c>
      <c r="AB8" s="508">
        <f>AB9+AB10+AB11+AB12</f>
        <v>155</v>
      </c>
      <c r="AC8" s="509">
        <f>AF8/AB8/12*1000</f>
        <v>24645.696774193548</v>
      </c>
      <c r="AD8" s="511">
        <f>AC8/T8*100</f>
        <v>125.16306066180987</v>
      </c>
      <c r="AE8" s="511">
        <f>AC8/Z8*100</f>
        <v>127.19653713286812</v>
      </c>
      <c r="AF8" s="510">
        <f>AF9+AF10+AF11+AF12</f>
        <v>45840.995999999999</v>
      </c>
      <c r="AG8" s="512">
        <f>AG9+AG10</f>
        <v>94</v>
      </c>
      <c r="AH8" s="509">
        <f>AJ8/AG8/12*1000</f>
        <v>19182.659183059011</v>
      </c>
      <c r="AI8" s="513">
        <f>AH8/Z8*100</f>
        <v>99.001778827369307</v>
      </c>
      <c r="AJ8" s="514">
        <f>AJ9+AJ10</f>
        <v>21638.039558490564</v>
      </c>
      <c r="AK8" s="515">
        <f>AJ8/U8*100</f>
        <v>59.079939228676359</v>
      </c>
      <c r="AL8" s="508">
        <f>AL9+AL10+AL11+AL12</f>
        <v>155</v>
      </c>
      <c r="AM8" s="509">
        <f>AP8/AL8/12*1000</f>
        <v>21088.92280645161</v>
      </c>
      <c r="AN8" s="516">
        <f>AM8/T8*100</f>
        <v>107.1</v>
      </c>
      <c r="AO8" s="511">
        <f>AM8/AJ8*100</f>
        <v>97.462262001348989</v>
      </c>
      <c r="AP8" s="510">
        <f>AP9+AP10+AP11+AP12</f>
        <v>39225.396419999997</v>
      </c>
      <c r="AQ8" s="913"/>
      <c r="AR8" s="913"/>
      <c r="AS8" s="913"/>
      <c r="AT8" s="913"/>
      <c r="AU8" s="508">
        <f>AU9+AU10+AU11+AU12</f>
        <v>151</v>
      </c>
      <c r="AV8" s="509">
        <f>AW8/AU8/9*1000</f>
        <v>22518.469462840323</v>
      </c>
      <c r="AW8" s="510">
        <f>AW9+AW10+AW11+AW12</f>
        <v>30602.6</v>
      </c>
      <c r="AX8" s="508">
        <f>AX9+AX10+AX11+AX12</f>
        <v>151</v>
      </c>
      <c r="AY8" s="509">
        <f>AZ8/AX8/3*1000</f>
        <v>25066.88741721855</v>
      </c>
      <c r="AZ8" s="510">
        <f>AZ9+AZ10+AZ11+AZ12</f>
        <v>11355.300000000001</v>
      </c>
      <c r="BA8" s="508">
        <f>BA9+BA10+BA11+BA12</f>
        <v>150</v>
      </c>
      <c r="BB8" s="509">
        <f>BC8/BA8/12*1000</f>
        <v>22582.944444444442</v>
      </c>
      <c r="BC8" s="517">
        <f>BC9+BC10+BC11+BC12</f>
        <v>40649.299999999996</v>
      </c>
      <c r="BD8" s="2505">
        <f>(M8+P8+Y8+BA8)/4</f>
        <v>152.625</v>
      </c>
      <c r="BE8" s="2506"/>
      <c r="BF8" s="2506"/>
      <c r="BG8" s="2506"/>
      <c r="BH8" s="2506"/>
      <c r="BI8" s="2506"/>
      <c r="BJ8" s="2506"/>
      <c r="BK8" s="2506"/>
      <c r="BL8" s="2506"/>
      <c r="BM8" s="2506"/>
      <c r="BN8" s="2506"/>
      <c r="BO8" s="2506"/>
      <c r="BP8" s="2506"/>
      <c r="BQ8" s="2506"/>
      <c r="BR8" s="2506"/>
      <c r="BS8" s="2506"/>
      <c r="BT8" s="2506"/>
      <c r="BU8" s="2506"/>
      <c r="BV8" s="2506"/>
      <c r="BW8" s="2506"/>
      <c r="BX8" s="2506"/>
      <c r="BY8" s="2506"/>
      <c r="BZ8" s="2506"/>
      <c r="CA8" s="2506"/>
      <c r="CB8" s="2506"/>
      <c r="CC8" s="2506"/>
      <c r="CD8" s="2506"/>
      <c r="CE8" s="2506"/>
      <c r="CF8" s="2506"/>
      <c r="CG8" s="2506"/>
      <c r="CH8" s="2506"/>
      <c r="CI8" s="2506"/>
      <c r="CJ8" s="2506"/>
      <c r="CK8" s="2506"/>
      <c r="CL8" s="2506"/>
      <c r="CM8" s="2506"/>
      <c r="CN8" s="2506"/>
      <c r="CO8" s="2506"/>
      <c r="CP8" s="2506"/>
      <c r="CQ8" s="2506"/>
    </row>
    <row r="9" spans="1:95" ht="18.75" hidden="1" x14ac:dyDescent="0.3">
      <c r="A9" s="518" t="s">
        <v>190</v>
      </c>
      <c r="B9" s="383" t="s">
        <v>85</v>
      </c>
      <c r="C9" s="519">
        <v>456</v>
      </c>
      <c r="D9" s="520">
        <v>12405</v>
      </c>
      <c r="E9" s="521">
        <v>67882.600000000006</v>
      </c>
      <c r="F9" s="522">
        <v>444</v>
      </c>
      <c r="G9" s="523">
        <v>12620</v>
      </c>
      <c r="H9" s="524">
        <f>F9*G9*12/1000</f>
        <v>67239.360000000001</v>
      </c>
      <c r="I9" s="525">
        <v>435</v>
      </c>
      <c r="J9" s="520">
        <v>13646</v>
      </c>
      <c r="K9" s="502">
        <f>J9/G9</f>
        <v>1.0812995245641839</v>
      </c>
      <c r="L9" s="526">
        <v>71232.100000000006</v>
      </c>
      <c r="M9" s="525">
        <v>26</v>
      </c>
      <c r="N9" s="520">
        <f>O9/M9/12*1000</f>
        <v>16771.474358974359</v>
      </c>
      <c r="O9" s="521">
        <v>5232.7</v>
      </c>
      <c r="P9" s="527">
        <v>22</v>
      </c>
      <c r="Q9" s="520">
        <v>20793</v>
      </c>
      <c r="R9" s="528">
        <f>P9*Q9*12/1000</f>
        <v>5489.3519999999999</v>
      </c>
      <c r="S9" s="676">
        <v>26.5</v>
      </c>
      <c r="T9" s="406">
        <f>U9/12/S9*1000</f>
        <v>17888.993710691826</v>
      </c>
      <c r="U9" s="373">
        <f>вода!I13</f>
        <v>5688.7</v>
      </c>
      <c r="V9" s="397">
        <v>22</v>
      </c>
      <c r="W9" s="529">
        <f>X9/9/V9*1000</f>
        <v>17417.171717171717</v>
      </c>
      <c r="X9" s="530">
        <v>3448.6</v>
      </c>
      <c r="Y9" s="531">
        <v>26.5</v>
      </c>
      <c r="Z9" s="529">
        <f>AA9/12/Y9*1000</f>
        <v>15450.943396226414</v>
      </c>
      <c r="AA9" s="532">
        <v>4913.3999999999996</v>
      </c>
      <c r="AB9" s="531">
        <v>26.5</v>
      </c>
      <c r="AC9" s="529">
        <v>21852</v>
      </c>
      <c r="AD9" s="533">
        <f t="shared" ref="AD9:AD18" si="0">AC9/T9*100</f>
        <v>122.15332149700282</v>
      </c>
      <c r="AE9" s="533">
        <f t="shared" ref="AE9:AE18" si="1">AC9/Z9*100</f>
        <v>141.42825741848824</v>
      </c>
      <c r="AF9" s="532">
        <f>AB9*AC9*12/1000</f>
        <v>6948.9359999999997</v>
      </c>
      <c r="AG9" s="531">
        <f>V9</f>
        <v>22</v>
      </c>
      <c r="AH9" s="529">
        <f>Z9*1.051</f>
        <v>16238.94150943396</v>
      </c>
      <c r="AI9" s="534">
        <f>AH9/Z9*100</f>
        <v>105.1</v>
      </c>
      <c r="AJ9" s="535">
        <f>AH9*12*AG9/1000</f>
        <v>4287.0805584905647</v>
      </c>
      <c r="AK9" s="536">
        <f>AJ9/U9*100</f>
        <v>75.361340174214931</v>
      </c>
      <c r="AL9" s="531">
        <v>26.5</v>
      </c>
      <c r="AM9" s="537">
        <f>T9*1.071</f>
        <v>19159.112264150946</v>
      </c>
      <c r="AN9" s="516">
        <f>AM9/T9*100</f>
        <v>107.1</v>
      </c>
      <c r="AO9" s="538">
        <f>AM9/Z9*100</f>
        <v>123.99962754915133</v>
      </c>
      <c r="AP9" s="532">
        <f>AL9*AM9*12/1000</f>
        <v>6092.5977000000012</v>
      </c>
      <c r="AQ9" s="914"/>
      <c r="AR9" s="914"/>
      <c r="AS9" s="914"/>
      <c r="AT9" s="914"/>
      <c r="AU9" s="531">
        <v>22</v>
      </c>
      <c r="AV9" s="529">
        <f>AW9/9/AU9*1000</f>
        <v>21411.616161616163</v>
      </c>
      <c r="AW9" s="532">
        <v>4239.5</v>
      </c>
      <c r="AX9" s="531">
        <v>22</v>
      </c>
      <c r="AY9" s="529">
        <f>AZ9/3/AX9*1000</f>
        <v>23621.21212121212</v>
      </c>
      <c r="AZ9" s="532">
        <v>1559</v>
      </c>
      <c r="BA9" s="531">
        <v>22</v>
      </c>
      <c r="BB9" s="537">
        <f>BC9/BA9/12*1000</f>
        <v>21159.469696969696</v>
      </c>
      <c r="BC9" s="539">
        <v>5586.1</v>
      </c>
      <c r="BD9" s="2505">
        <f>(M9+P9+Y9+BA9)/4</f>
        <v>24.125</v>
      </c>
      <c r="BE9" s="2506"/>
      <c r="BF9" s="2506"/>
      <c r="BG9" s="2506"/>
      <c r="BH9" s="2506"/>
      <c r="BI9" s="2506"/>
      <c r="BJ9" s="2506"/>
      <c r="BK9" s="2506"/>
      <c r="BL9" s="2506"/>
      <c r="BM9" s="2506"/>
      <c r="BN9" s="2506"/>
      <c r="BO9" s="2506"/>
      <c r="BP9" s="2506"/>
      <c r="BQ9" s="2506"/>
      <c r="BR9" s="2506"/>
      <c r="BS9" s="2506"/>
      <c r="BT9" s="2506"/>
      <c r="BU9" s="2506"/>
      <c r="BV9" s="2506"/>
      <c r="BW9" s="2506"/>
      <c r="BX9" s="2506"/>
      <c r="BY9" s="2506"/>
      <c r="BZ9" s="2506"/>
      <c r="CA9" s="2506"/>
      <c r="CB9" s="2506"/>
      <c r="CC9" s="2506"/>
      <c r="CD9" s="2506"/>
      <c r="CE9" s="2506"/>
      <c r="CF9" s="2506"/>
      <c r="CG9" s="2506"/>
      <c r="CH9" s="2506"/>
      <c r="CI9" s="2506"/>
      <c r="CJ9" s="2506"/>
      <c r="CK9" s="2506"/>
      <c r="CL9" s="2506"/>
      <c r="CM9" s="2506"/>
      <c r="CN9" s="2506"/>
      <c r="CO9" s="2506"/>
      <c r="CP9" s="2506"/>
      <c r="CQ9" s="2506"/>
    </row>
    <row r="10" spans="1:95" ht="18.75" hidden="1" x14ac:dyDescent="0.3">
      <c r="A10" s="518" t="s">
        <v>191</v>
      </c>
      <c r="B10" s="383" t="s">
        <v>87</v>
      </c>
      <c r="C10" s="519">
        <v>384</v>
      </c>
      <c r="D10" s="520">
        <v>11838</v>
      </c>
      <c r="E10" s="521">
        <v>54547.199999999997</v>
      </c>
      <c r="F10" s="522">
        <v>369</v>
      </c>
      <c r="G10" s="523">
        <v>12231</v>
      </c>
      <c r="H10" s="524">
        <f>F10*G10*12/1000</f>
        <v>54158.868000000002</v>
      </c>
      <c r="I10" s="525">
        <v>364</v>
      </c>
      <c r="J10" s="520">
        <v>13021</v>
      </c>
      <c r="K10" s="502">
        <f>J10/G10</f>
        <v>1.0645899762897555</v>
      </c>
      <c r="L10" s="526">
        <v>56876.800000000003</v>
      </c>
      <c r="M10" s="540">
        <v>71.5</v>
      </c>
      <c r="N10" s="520">
        <f>O10/M10/12*1000</f>
        <v>16952.564102564102</v>
      </c>
      <c r="O10" s="521">
        <v>14545.3</v>
      </c>
      <c r="P10" s="527">
        <v>70</v>
      </c>
      <c r="Q10" s="520">
        <f>R10/P10/12*1000</f>
        <v>18740.238095238095</v>
      </c>
      <c r="R10" s="528">
        <v>15741.8</v>
      </c>
      <c r="S10" s="676">
        <v>72.5</v>
      </c>
      <c r="T10" s="406">
        <f>U10/S10/12*1000</f>
        <v>18462.988505747122</v>
      </c>
      <c r="U10" s="373">
        <f>вода!I23</f>
        <v>16062.8</v>
      </c>
      <c r="V10" s="397">
        <v>72</v>
      </c>
      <c r="W10" s="529">
        <f>X10/V10/12*1000</f>
        <v>13525</v>
      </c>
      <c r="X10" s="530">
        <v>11685.6</v>
      </c>
      <c r="Y10" s="531">
        <v>72.5</v>
      </c>
      <c r="Z10" s="529">
        <f>AA10/12/72*1000</f>
        <v>19107.638888888891</v>
      </c>
      <c r="AA10" s="532">
        <v>16509</v>
      </c>
      <c r="AB10" s="531">
        <v>72.5</v>
      </c>
      <c r="AC10" s="529">
        <v>23802</v>
      </c>
      <c r="AD10" s="533">
        <f t="shared" si="0"/>
        <v>128.91737430584956</v>
      </c>
      <c r="AE10" s="533">
        <f t="shared" si="1"/>
        <v>124.56798110121751</v>
      </c>
      <c r="AF10" s="532">
        <f>AB10*AC10*12/1000</f>
        <v>20707.740000000002</v>
      </c>
      <c r="AG10" s="531">
        <f>V10</f>
        <v>72</v>
      </c>
      <c r="AH10" s="529">
        <f>Z10*1.051</f>
        <v>20082.128472222223</v>
      </c>
      <c r="AI10" s="534">
        <f>AH10/Z10*100</f>
        <v>105.1</v>
      </c>
      <c r="AJ10" s="535">
        <f>AH10*12*AG10/1000</f>
        <v>17350.958999999999</v>
      </c>
      <c r="AK10" s="536">
        <f>AJ10/U10*100</f>
        <v>108.01951714520506</v>
      </c>
      <c r="AL10" s="531">
        <v>72.5</v>
      </c>
      <c r="AM10" s="537">
        <f>T10*1.071</f>
        <v>19773.860689655168</v>
      </c>
      <c r="AN10" s="516">
        <f>AM10/T10*100</f>
        <v>107.1</v>
      </c>
      <c r="AO10" s="538">
        <f t="shared" ref="AO10:AO18" si="2">AM10/Z10*100</f>
        <v>103.48667778703775</v>
      </c>
      <c r="AP10" s="532">
        <f>AL10*AM10*12/1000</f>
        <v>17203.258799999996</v>
      </c>
      <c r="AQ10" s="914"/>
      <c r="AR10" s="914"/>
      <c r="AS10" s="914"/>
      <c r="AT10" s="914"/>
      <c r="AU10" s="531">
        <v>72</v>
      </c>
      <c r="AV10" s="529">
        <f>AW10/9/AU10*1000</f>
        <v>21503.703703703704</v>
      </c>
      <c r="AW10" s="532">
        <v>13934.4</v>
      </c>
      <c r="AX10" s="531">
        <v>72</v>
      </c>
      <c r="AY10" s="529">
        <f>AZ10/3/AX10*1000</f>
        <v>23650.925925925927</v>
      </c>
      <c r="AZ10" s="532">
        <v>5108.6000000000004</v>
      </c>
      <c r="BA10" s="531">
        <v>72</v>
      </c>
      <c r="BB10" s="537">
        <f>BC10/BA10/12*1000</f>
        <v>21402.199074074077</v>
      </c>
      <c r="BC10" s="539">
        <v>18491.5</v>
      </c>
      <c r="BD10" s="2505">
        <f>(M10+P10+Y10+BA10)/4</f>
        <v>71.5</v>
      </c>
      <c r="BE10" s="2506"/>
      <c r="BF10" s="2506"/>
      <c r="BG10" s="2506"/>
      <c r="BH10" s="2506"/>
      <c r="BI10" s="2506"/>
      <c r="BJ10" s="2506"/>
      <c r="BK10" s="2506"/>
      <c r="BL10" s="2506"/>
      <c r="BM10" s="2506"/>
      <c r="BN10" s="2506"/>
      <c r="BO10" s="2506"/>
      <c r="BP10" s="2506"/>
      <c r="BQ10" s="2506"/>
      <c r="BR10" s="2506"/>
      <c r="BS10" s="2506"/>
      <c r="BT10" s="2506"/>
      <c r="BU10" s="2506"/>
      <c r="BV10" s="2506"/>
      <c r="BW10" s="2506"/>
      <c r="BX10" s="2506"/>
      <c r="BY10" s="2506"/>
      <c r="BZ10" s="2506"/>
      <c r="CA10" s="2506"/>
      <c r="CB10" s="2506"/>
      <c r="CC10" s="2506"/>
      <c r="CD10" s="2506"/>
      <c r="CE10" s="2506"/>
      <c r="CF10" s="2506"/>
      <c r="CG10" s="2506"/>
      <c r="CH10" s="2506"/>
      <c r="CI10" s="2506"/>
      <c r="CJ10" s="2506"/>
      <c r="CK10" s="2506"/>
      <c r="CL10" s="2506"/>
      <c r="CM10" s="2506"/>
      <c r="CN10" s="2506"/>
      <c r="CO10" s="2506"/>
      <c r="CP10" s="2506"/>
      <c r="CQ10" s="2506"/>
    </row>
    <row r="11" spans="1:95" ht="18.75" hidden="1" x14ac:dyDescent="0.3">
      <c r="A11" s="518" t="s">
        <v>199</v>
      </c>
      <c r="B11" s="383" t="s">
        <v>88</v>
      </c>
      <c r="C11" s="519"/>
      <c r="D11" s="520"/>
      <c r="E11" s="521"/>
      <c r="F11" s="522"/>
      <c r="G11" s="523"/>
      <c r="H11" s="524"/>
      <c r="I11" s="525"/>
      <c r="J11" s="520"/>
      <c r="K11" s="502"/>
      <c r="L11" s="526"/>
      <c r="M11" s="525">
        <v>33</v>
      </c>
      <c r="N11" s="520">
        <v>18981</v>
      </c>
      <c r="O11" s="521">
        <f>M11*N11*12/1000</f>
        <v>7516.4759999999997</v>
      </c>
      <c r="P11" s="541">
        <v>32</v>
      </c>
      <c r="Q11" s="542">
        <v>21797</v>
      </c>
      <c r="R11" s="528">
        <f>P11*Q11*12/1000</f>
        <v>8370.0480000000007</v>
      </c>
      <c r="S11" s="676">
        <v>31</v>
      </c>
      <c r="T11" s="333">
        <v>23385</v>
      </c>
      <c r="U11" s="373">
        <f>S11*T11*12/1000</f>
        <v>8699.2199999999993</v>
      </c>
      <c r="V11" s="397">
        <v>30</v>
      </c>
      <c r="W11" s="529">
        <v>21786</v>
      </c>
      <c r="X11" s="530">
        <f>V11*W11*9/1000</f>
        <v>5882.22</v>
      </c>
      <c r="Y11" s="531">
        <v>31</v>
      </c>
      <c r="Z11" s="529">
        <v>24160</v>
      </c>
      <c r="AA11" s="532">
        <v>8778.6</v>
      </c>
      <c r="AB11" s="531">
        <v>31</v>
      </c>
      <c r="AC11" s="529">
        <v>28610</v>
      </c>
      <c r="AD11" s="533">
        <f t="shared" si="0"/>
        <v>122.34338251015609</v>
      </c>
      <c r="AE11" s="533">
        <f t="shared" si="1"/>
        <v>118.41887417218544</v>
      </c>
      <c r="AF11" s="532">
        <f>AB11*AC11*12/1000</f>
        <v>10642.92</v>
      </c>
      <c r="AG11" s="531"/>
      <c r="AH11" s="529"/>
      <c r="AI11" s="534"/>
      <c r="AJ11" s="535"/>
      <c r="AK11" s="536"/>
      <c r="AL11" s="531">
        <v>31</v>
      </c>
      <c r="AM11" s="537">
        <f>T11*1.071</f>
        <v>25045.334999999999</v>
      </c>
      <c r="AN11" s="516">
        <f>AM11/T11*100</f>
        <v>107.1</v>
      </c>
      <c r="AO11" s="538">
        <f t="shared" si="2"/>
        <v>103.66446605960265</v>
      </c>
      <c r="AP11" s="532">
        <f>AL11*AM11*12/1000</f>
        <v>9316.8646200000003</v>
      </c>
      <c r="AQ11" s="914"/>
      <c r="AR11" s="914"/>
      <c r="AS11" s="914"/>
      <c r="AT11" s="914"/>
      <c r="AU11" s="531">
        <v>32</v>
      </c>
      <c r="AV11" s="529">
        <f>AW11/9/AU11*1000</f>
        <v>25180.902777777777</v>
      </c>
      <c r="AW11" s="532">
        <v>7252.1</v>
      </c>
      <c r="AX11" s="531">
        <v>32</v>
      </c>
      <c r="AY11" s="529">
        <f>AZ11/3/AX11*1000</f>
        <v>28734.375</v>
      </c>
      <c r="AZ11" s="532">
        <v>2758.5</v>
      </c>
      <c r="BA11" s="531">
        <v>31</v>
      </c>
      <c r="BB11" s="537">
        <f>BC11/BA11/12*1000</f>
        <v>26139.247311827956</v>
      </c>
      <c r="BC11" s="539">
        <v>9723.7999999999993</v>
      </c>
      <c r="BD11" s="2505">
        <f>(M11+P11+Y11+BA11)/4</f>
        <v>31.75</v>
      </c>
      <c r="BE11" s="2506"/>
      <c r="BF11" s="2506"/>
      <c r="BG11" s="2506"/>
      <c r="BH11" s="2506"/>
      <c r="BI11" s="2506"/>
      <c r="BJ11" s="2506"/>
      <c r="BK11" s="2506"/>
      <c r="BL11" s="2506"/>
      <c r="BM11" s="2506"/>
      <c r="BN11" s="2506"/>
      <c r="BO11" s="2506"/>
      <c r="BP11" s="2506"/>
      <c r="BQ11" s="2506"/>
      <c r="BR11" s="2506"/>
      <c r="BS11" s="2506"/>
      <c r="BT11" s="2506"/>
      <c r="BU11" s="2506"/>
      <c r="BV11" s="2506"/>
      <c r="BW11" s="2506"/>
      <c r="BX11" s="2506"/>
      <c r="BY11" s="2506"/>
      <c r="BZ11" s="2506"/>
      <c r="CA11" s="2506"/>
      <c r="CB11" s="2506"/>
      <c r="CC11" s="2506"/>
      <c r="CD11" s="2506"/>
      <c r="CE11" s="2506"/>
      <c r="CF11" s="2506"/>
      <c r="CG11" s="2506"/>
      <c r="CH11" s="2506"/>
      <c r="CI11" s="2506"/>
      <c r="CJ11" s="2506"/>
      <c r="CK11" s="2506"/>
      <c r="CL11" s="2506"/>
      <c r="CM11" s="2506"/>
      <c r="CN11" s="2506"/>
      <c r="CO11" s="2506"/>
      <c r="CP11" s="2506"/>
      <c r="CQ11" s="2506"/>
    </row>
    <row r="12" spans="1:95" ht="18.75" hidden="1" x14ac:dyDescent="0.3">
      <c r="A12" s="518" t="s">
        <v>200</v>
      </c>
      <c r="B12" s="383" t="s">
        <v>89</v>
      </c>
      <c r="C12" s="519"/>
      <c r="D12" s="520"/>
      <c r="E12" s="521"/>
      <c r="F12" s="522"/>
      <c r="G12" s="523"/>
      <c r="H12" s="524"/>
      <c r="I12" s="525"/>
      <c r="J12" s="520"/>
      <c r="K12" s="502"/>
      <c r="L12" s="526"/>
      <c r="M12" s="525">
        <v>25</v>
      </c>
      <c r="N12" s="520">
        <v>17707</v>
      </c>
      <c r="O12" s="521">
        <f>M12*N12*12/1000</f>
        <v>5312.1</v>
      </c>
      <c r="P12" s="541">
        <v>26</v>
      </c>
      <c r="Q12" s="542">
        <v>21864</v>
      </c>
      <c r="R12" s="528">
        <f>P12*Q12*12/1000</f>
        <v>6821.5680000000002</v>
      </c>
      <c r="S12" s="676">
        <v>25</v>
      </c>
      <c r="T12" s="333">
        <v>20581</v>
      </c>
      <c r="U12" s="373">
        <f>S12*T12*12/1000</f>
        <v>6174.3</v>
      </c>
      <c r="V12" s="397">
        <v>25</v>
      </c>
      <c r="W12" s="529">
        <v>18220</v>
      </c>
      <c r="X12" s="530">
        <f>V12*W12*9/1000</f>
        <v>4099.5</v>
      </c>
      <c r="Y12" s="531">
        <v>25</v>
      </c>
      <c r="Z12" s="529">
        <v>20570</v>
      </c>
      <c r="AA12" s="532">
        <v>5838.5</v>
      </c>
      <c r="AB12" s="531">
        <v>25</v>
      </c>
      <c r="AC12" s="529">
        <v>25138</v>
      </c>
      <c r="AD12" s="533">
        <f t="shared" si="0"/>
        <v>122.14178125455517</v>
      </c>
      <c r="AE12" s="533">
        <f t="shared" si="1"/>
        <v>122.2070977151191</v>
      </c>
      <c r="AF12" s="532">
        <f>AB12*AC12*12/1000</f>
        <v>7541.4</v>
      </c>
      <c r="AG12" s="531"/>
      <c r="AH12" s="529"/>
      <c r="AI12" s="534"/>
      <c r="AJ12" s="535"/>
      <c r="AK12" s="536"/>
      <c r="AL12" s="531">
        <v>25</v>
      </c>
      <c r="AM12" s="537">
        <f>T12*1.071</f>
        <v>22042.251</v>
      </c>
      <c r="AN12" s="516">
        <f>AM12/T12*100</f>
        <v>107.1</v>
      </c>
      <c r="AO12" s="538">
        <f t="shared" si="2"/>
        <v>107.15727272727274</v>
      </c>
      <c r="AP12" s="532">
        <f>AL12*AM12*12/1000</f>
        <v>6612.6753000000008</v>
      </c>
      <c r="AQ12" s="914"/>
      <c r="AR12" s="914"/>
      <c r="AS12" s="914"/>
      <c r="AT12" s="914"/>
      <c r="AU12" s="531">
        <v>25</v>
      </c>
      <c r="AV12" s="529">
        <f>AW12/9/AU12*1000</f>
        <v>23007.111111111113</v>
      </c>
      <c r="AW12" s="532">
        <v>5176.6000000000004</v>
      </c>
      <c r="AX12" s="531">
        <v>25</v>
      </c>
      <c r="AY12" s="529">
        <f>AZ12/3/AX12*1000</f>
        <v>25722.666666666668</v>
      </c>
      <c r="AZ12" s="532">
        <v>1929.2</v>
      </c>
      <c r="BA12" s="531">
        <v>25</v>
      </c>
      <c r="BB12" s="537">
        <f>BC12/BA12/12*1000</f>
        <v>22826.333333333336</v>
      </c>
      <c r="BC12" s="539">
        <v>6847.9</v>
      </c>
      <c r="BD12" s="2505">
        <f>(M12+P12+Y12+BA12)/4</f>
        <v>25.25</v>
      </c>
      <c r="BE12" s="2506"/>
      <c r="BF12" s="2506"/>
      <c r="BG12" s="2506"/>
      <c r="BH12" s="2506"/>
      <c r="BI12" s="2506"/>
      <c r="BJ12" s="2506"/>
      <c r="BK12" s="2506"/>
      <c r="BL12" s="2506"/>
      <c r="BM12" s="2506"/>
      <c r="BN12" s="2506"/>
      <c r="BO12" s="2506"/>
      <c r="BP12" s="2506"/>
      <c r="BQ12" s="2506"/>
      <c r="BR12" s="2506"/>
      <c r="BS12" s="2506"/>
      <c r="BT12" s="2506"/>
      <c r="BU12" s="2506"/>
      <c r="BV12" s="2506"/>
      <c r="BW12" s="2506"/>
      <c r="BX12" s="2506"/>
      <c r="BY12" s="2506"/>
      <c r="BZ12" s="2506"/>
      <c r="CA12" s="2506"/>
      <c r="CB12" s="2506"/>
      <c r="CC12" s="2506"/>
      <c r="CD12" s="2506"/>
      <c r="CE12" s="2506"/>
      <c r="CF12" s="2506"/>
      <c r="CG12" s="2506"/>
      <c r="CH12" s="2506"/>
      <c r="CI12" s="2506"/>
      <c r="CJ12" s="2506"/>
      <c r="CK12" s="2506"/>
      <c r="CL12" s="2506"/>
      <c r="CM12" s="2506"/>
      <c r="CN12" s="2506"/>
      <c r="CO12" s="2506"/>
      <c r="CP12" s="2506"/>
      <c r="CQ12" s="2506"/>
    </row>
    <row r="13" spans="1:95" ht="18.75" hidden="1" x14ac:dyDescent="0.3">
      <c r="A13" s="518"/>
      <c r="B13" s="383"/>
      <c r="C13" s="519"/>
      <c r="D13" s="520"/>
      <c r="E13" s="521"/>
      <c r="F13" s="522"/>
      <c r="G13" s="523"/>
      <c r="H13" s="524"/>
      <c r="I13" s="525"/>
      <c r="J13" s="520"/>
      <c r="K13" s="502"/>
      <c r="L13" s="526"/>
      <c r="M13" s="525"/>
      <c r="N13" s="520"/>
      <c r="O13" s="521"/>
      <c r="P13" s="528"/>
      <c r="Q13" s="543"/>
      <c r="R13" s="528"/>
      <c r="S13" s="676"/>
      <c r="T13" s="333"/>
      <c r="U13" s="373"/>
      <c r="V13" s="397"/>
      <c r="W13" s="529"/>
      <c r="X13" s="530"/>
      <c r="Y13" s="531"/>
      <c r="Z13" s="529"/>
      <c r="AA13" s="532"/>
      <c r="AB13" s="531"/>
      <c r="AC13" s="529"/>
      <c r="AD13" s="511"/>
      <c r="AE13" s="533"/>
      <c r="AF13" s="532"/>
      <c r="AG13" s="531"/>
      <c r="AH13" s="529"/>
      <c r="AI13" s="534"/>
      <c r="AJ13" s="535"/>
      <c r="AK13" s="536"/>
      <c r="AL13" s="531"/>
      <c r="AM13" s="529"/>
      <c r="AN13" s="516"/>
      <c r="AO13" s="538"/>
      <c r="AP13" s="532"/>
      <c r="AQ13" s="914"/>
      <c r="AR13" s="914"/>
      <c r="AS13" s="914"/>
      <c r="AT13" s="914"/>
      <c r="AU13" s="531"/>
      <c r="AV13" s="544"/>
      <c r="AW13" s="532"/>
      <c r="AX13" s="531"/>
      <c r="AY13" s="544"/>
      <c r="AZ13" s="532"/>
      <c r="BA13" s="531"/>
      <c r="BB13" s="529"/>
      <c r="BC13" s="539"/>
      <c r="BD13" s="2505"/>
      <c r="BE13" s="2506"/>
      <c r="BF13" s="2506"/>
      <c r="BG13" s="2506"/>
      <c r="BH13" s="2506"/>
      <c r="BI13" s="2506"/>
      <c r="BJ13" s="2506"/>
      <c r="BK13" s="2506"/>
      <c r="BL13" s="2506"/>
      <c r="BM13" s="2506"/>
      <c r="BN13" s="2506"/>
      <c r="BO13" s="2506"/>
      <c r="BP13" s="2506"/>
      <c r="BQ13" s="2506"/>
      <c r="BR13" s="2506"/>
      <c r="BS13" s="2506"/>
      <c r="BT13" s="2506"/>
      <c r="BU13" s="2506"/>
      <c r="BV13" s="2506"/>
      <c r="BW13" s="2506"/>
      <c r="BX13" s="2506"/>
      <c r="BY13" s="2506"/>
      <c r="BZ13" s="2506"/>
      <c r="CA13" s="2506"/>
      <c r="CB13" s="2506"/>
      <c r="CC13" s="2506"/>
      <c r="CD13" s="2506"/>
      <c r="CE13" s="2506"/>
      <c r="CF13" s="2506"/>
      <c r="CG13" s="2506"/>
      <c r="CH13" s="2506"/>
      <c r="CI13" s="2506"/>
      <c r="CJ13" s="2506"/>
      <c r="CK13" s="2506"/>
      <c r="CL13" s="2506"/>
      <c r="CM13" s="2506"/>
      <c r="CN13" s="2506"/>
      <c r="CO13" s="2506"/>
      <c r="CP13" s="2506"/>
      <c r="CQ13" s="2506"/>
    </row>
    <row r="14" spans="1:95" ht="56.25" hidden="1" x14ac:dyDescent="0.3">
      <c r="A14" s="493" t="s">
        <v>192</v>
      </c>
      <c r="B14" s="494" t="s">
        <v>202</v>
      </c>
      <c r="C14" s="495">
        <v>840</v>
      </c>
      <c r="D14" s="496">
        <v>12146</v>
      </c>
      <c r="E14" s="497">
        <v>122429.8</v>
      </c>
      <c r="F14" s="498">
        <f>F15+F16</f>
        <v>813</v>
      </c>
      <c r="G14" s="499">
        <f>(G15*F15+G16*F16)/(F15+F16)</f>
        <v>12443.442804428045</v>
      </c>
      <c r="H14" s="500">
        <f>H16+H15</f>
        <v>121398.228</v>
      </c>
      <c r="I14" s="501">
        <v>799</v>
      </c>
      <c r="J14" s="496">
        <v>13361</v>
      </c>
      <c r="K14" s="502">
        <f>J14/G14</f>
        <v>1.07373820975377</v>
      </c>
      <c r="L14" s="503">
        <v>128108.9</v>
      </c>
      <c r="M14" s="501">
        <f>M15+M16+M17+M18</f>
        <v>109</v>
      </c>
      <c r="N14" s="496">
        <f>O14/M14/12*1000</f>
        <v>18196.483180428135</v>
      </c>
      <c r="O14" s="497">
        <f>O15+O16+O17+O18</f>
        <v>23801.000000000004</v>
      </c>
      <c r="P14" s="504">
        <f>SUM(P15:P18)</f>
        <v>95</v>
      </c>
      <c r="Q14" s="505">
        <f>R14/P14/12*1000</f>
        <v>21844.621052631581</v>
      </c>
      <c r="R14" s="504">
        <f>SUM(R15:R18)</f>
        <v>24902.868000000002</v>
      </c>
      <c r="S14" s="506">
        <f>S15+S16+S17+S18</f>
        <v>105</v>
      </c>
      <c r="T14" s="407">
        <f>U14/S14/12*1000</f>
        <v>22144.31111111111</v>
      </c>
      <c r="U14" s="372">
        <f>U15+U16+U17+U18</f>
        <v>27901.832000000002</v>
      </c>
      <c r="V14" s="2439">
        <f>V15+V16+V17+V18</f>
        <v>98</v>
      </c>
      <c r="W14" s="407">
        <f>X14/V14/12*1000</f>
        <v>15199.064625850338</v>
      </c>
      <c r="X14" s="507">
        <f>X15+X16+X17+X18</f>
        <v>17874.099999999999</v>
      </c>
      <c r="Y14" s="545">
        <f>Y15+Y16+Y17+Y18</f>
        <v>94</v>
      </c>
      <c r="Z14" s="546">
        <f>AA14/Y14/12*1000</f>
        <v>22720.301418439718</v>
      </c>
      <c r="AA14" s="547">
        <f>AA15+AA16+AA17+AA18</f>
        <v>25628.5</v>
      </c>
      <c r="AB14" s="508">
        <f>AB15+AB16+AB17+AB18</f>
        <v>105</v>
      </c>
      <c r="AC14" s="509">
        <f>AF14/AB14/12*1000</f>
        <v>27439.161904761906</v>
      </c>
      <c r="AD14" s="511">
        <f t="shared" si="0"/>
        <v>123.91065934308546</v>
      </c>
      <c r="AE14" s="533">
        <f t="shared" si="1"/>
        <v>120.76935688226555</v>
      </c>
      <c r="AF14" s="510">
        <f>AF15+AF16+AF17+AF18</f>
        <v>34573.344000000005</v>
      </c>
      <c r="AG14" s="531"/>
      <c r="AH14" s="529"/>
      <c r="AI14" s="534"/>
      <c r="AJ14" s="535"/>
      <c r="AK14" s="536"/>
      <c r="AL14" s="508">
        <f>AL15+AL16+AL17+AL18</f>
        <v>105</v>
      </c>
      <c r="AM14" s="509">
        <f>AP14/AL14/12*1000</f>
        <v>23716.557199999999</v>
      </c>
      <c r="AN14" s="516">
        <f>AM14/T14*100</f>
        <v>107.1</v>
      </c>
      <c r="AO14" s="538">
        <f t="shared" si="2"/>
        <v>104.38487044345162</v>
      </c>
      <c r="AP14" s="510">
        <f>AP15+AP16+AP17+AP18</f>
        <v>29882.862072</v>
      </c>
      <c r="AQ14" s="913"/>
      <c r="AR14" s="913"/>
      <c r="AS14" s="913"/>
      <c r="AT14" s="913"/>
      <c r="AU14" s="508">
        <f>AU15+AU16+AU17+AU18</f>
        <v>98</v>
      </c>
      <c r="AV14" s="509">
        <f>AW14/AU14/9*1000</f>
        <v>24623.582766439908</v>
      </c>
      <c r="AW14" s="510">
        <f>AW15+AW16+AW17+AW18</f>
        <v>21717.999999999996</v>
      </c>
      <c r="AX14" s="508">
        <f>AX15+AX16+AX17+AX18</f>
        <v>98</v>
      </c>
      <c r="AY14" s="509">
        <f>AZ14/AX14/3*1000</f>
        <v>27260.884353741498</v>
      </c>
      <c r="AZ14" s="510">
        <f>AZ15+AZ16+AZ17+AZ18</f>
        <v>8014.7000000000007</v>
      </c>
      <c r="BA14" s="508">
        <f>BA15+BA16+BA17+BA18</f>
        <v>98</v>
      </c>
      <c r="BB14" s="509">
        <f>BC14/BA14/12*1000</f>
        <v>24748.639455782311</v>
      </c>
      <c r="BC14" s="517">
        <f>BC15+BC16+BC17+BC18</f>
        <v>29104.399999999998</v>
      </c>
      <c r="BD14" s="2505">
        <f>(M14+P14+Y14+BA14)/4</f>
        <v>99</v>
      </c>
      <c r="BE14" s="2506"/>
      <c r="BF14" s="2506"/>
      <c r="BG14" s="2506"/>
      <c r="BH14" s="2506"/>
      <c r="BI14" s="2506"/>
      <c r="BJ14" s="2506"/>
      <c r="BK14" s="2506"/>
      <c r="BL14" s="2506"/>
      <c r="BM14" s="2506"/>
      <c r="BN14" s="2506"/>
      <c r="BO14" s="2506"/>
      <c r="BP14" s="2506"/>
      <c r="BQ14" s="2506"/>
      <c r="BR14" s="2506"/>
      <c r="BS14" s="2506"/>
      <c r="BT14" s="2506"/>
      <c r="BU14" s="2506"/>
      <c r="BV14" s="2506"/>
      <c r="BW14" s="2506"/>
      <c r="BX14" s="2506"/>
      <c r="BY14" s="2506"/>
      <c r="BZ14" s="2506"/>
      <c r="CA14" s="2506"/>
      <c r="CB14" s="2506"/>
      <c r="CC14" s="2506"/>
      <c r="CD14" s="2506"/>
      <c r="CE14" s="2506"/>
      <c r="CF14" s="2506"/>
      <c r="CG14" s="2506"/>
      <c r="CH14" s="2506"/>
      <c r="CI14" s="2506"/>
      <c r="CJ14" s="2506"/>
      <c r="CK14" s="2506"/>
      <c r="CL14" s="2506"/>
      <c r="CM14" s="2506"/>
      <c r="CN14" s="2506"/>
      <c r="CO14" s="2506"/>
      <c r="CP14" s="2506"/>
      <c r="CQ14" s="2506"/>
    </row>
    <row r="15" spans="1:95" ht="18.75" hidden="1" x14ac:dyDescent="0.3">
      <c r="A15" s="518" t="s">
        <v>193</v>
      </c>
      <c r="B15" s="383" t="s">
        <v>91</v>
      </c>
      <c r="C15" s="519">
        <v>456</v>
      </c>
      <c r="D15" s="520">
        <v>12405</v>
      </c>
      <c r="E15" s="521">
        <v>67882.600000000006</v>
      </c>
      <c r="F15" s="522">
        <v>444</v>
      </c>
      <c r="G15" s="523">
        <v>12620</v>
      </c>
      <c r="H15" s="524">
        <f>F15*G15*12/1000</f>
        <v>67239.360000000001</v>
      </c>
      <c r="I15" s="525">
        <v>435</v>
      </c>
      <c r="J15" s="520">
        <v>13646</v>
      </c>
      <c r="K15" s="502">
        <f>J15/G15</f>
        <v>1.0812995245641839</v>
      </c>
      <c r="L15" s="526">
        <v>71232.100000000006</v>
      </c>
      <c r="M15" s="525">
        <v>26</v>
      </c>
      <c r="N15" s="520">
        <f>O15/M15/12*1000</f>
        <v>18108.974358974363</v>
      </c>
      <c r="O15" s="521">
        <v>5650</v>
      </c>
      <c r="P15" s="527">
        <v>26</v>
      </c>
      <c r="Q15" s="520">
        <f>R15/P15/12*1000</f>
        <v>19295.833333333336</v>
      </c>
      <c r="R15" s="528">
        <v>6020.3</v>
      </c>
      <c r="S15" s="676">
        <v>30</v>
      </c>
      <c r="T15" s="406">
        <f>U15/S15/12*1000</f>
        <v>18746.388888888887</v>
      </c>
      <c r="U15" s="373">
        <v>6748.7</v>
      </c>
      <c r="V15" s="397">
        <v>27</v>
      </c>
      <c r="W15" s="406">
        <f>X15/V15/9*1000</f>
        <v>17960.905349794237</v>
      </c>
      <c r="X15" s="530">
        <v>4364.5</v>
      </c>
      <c r="Y15" s="531">
        <v>26</v>
      </c>
      <c r="Z15" s="529">
        <f>AA15/12/Y15*1000</f>
        <v>19381.410256410254</v>
      </c>
      <c r="AA15" s="532">
        <v>6047</v>
      </c>
      <c r="AB15" s="531">
        <v>30</v>
      </c>
      <c r="AC15" s="529">
        <v>23903</v>
      </c>
      <c r="AD15" s="533">
        <f t="shared" si="0"/>
        <v>127.50722361343666</v>
      </c>
      <c r="AE15" s="533">
        <f t="shared" si="1"/>
        <v>123.32951876963784</v>
      </c>
      <c r="AF15" s="532">
        <f>AB15*AC15*12/1000</f>
        <v>8605.08</v>
      </c>
      <c r="AG15" s="531"/>
      <c r="AH15" s="529"/>
      <c r="AI15" s="534"/>
      <c r="AJ15" s="535"/>
      <c r="AK15" s="536"/>
      <c r="AL15" s="531">
        <v>30</v>
      </c>
      <c r="AM15" s="537">
        <f>T15*1.071</f>
        <v>20077.382499999996</v>
      </c>
      <c r="AN15" s="516">
        <f>AM15/T15*100</f>
        <v>107.1</v>
      </c>
      <c r="AO15" s="538">
        <f t="shared" si="2"/>
        <v>103.5909267405325</v>
      </c>
      <c r="AP15" s="532">
        <f>AL15*AM15*12/1000</f>
        <v>7227.8576999999987</v>
      </c>
      <c r="AQ15" s="914"/>
      <c r="AR15" s="914"/>
      <c r="AS15" s="914"/>
      <c r="AT15" s="914"/>
      <c r="AU15" s="531">
        <v>26</v>
      </c>
      <c r="AV15" s="529">
        <f>AW15/9/AU15*1000</f>
        <v>22458.119658119656</v>
      </c>
      <c r="AW15" s="532">
        <v>5255.2</v>
      </c>
      <c r="AX15" s="531">
        <v>26</v>
      </c>
      <c r="AY15" s="529">
        <f>AZ15/3/AX15*1000</f>
        <v>23894.871794871793</v>
      </c>
      <c r="AZ15" s="532">
        <v>1863.8</v>
      </c>
      <c r="BA15" s="531">
        <v>26</v>
      </c>
      <c r="BB15" s="537">
        <f>BC15/12/BA15*1000</f>
        <v>22598.076923076926</v>
      </c>
      <c r="BC15" s="539">
        <v>7050.6</v>
      </c>
      <c r="BD15" s="2505">
        <f>(M15+P15+Y15+BA15)/4</f>
        <v>26</v>
      </c>
      <c r="BE15" s="2506"/>
      <c r="BF15" s="2506"/>
      <c r="BG15" s="2506"/>
      <c r="BH15" s="2506"/>
      <c r="BI15" s="2506"/>
      <c r="BJ15" s="2506"/>
      <c r="BK15" s="2506"/>
      <c r="BL15" s="2506"/>
      <c r="BM15" s="2506"/>
      <c r="BN15" s="2506"/>
      <c r="BO15" s="2506"/>
      <c r="BP15" s="2506"/>
      <c r="BQ15" s="2506"/>
      <c r="BR15" s="2506"/>
      <c r="BS15" s="2506"/>
      <c r="BT15" s="2506"/>
      <c r="BU15" s="2506"/>
      <c r="BV15" s="2506"/>
      <c r="BW15" s="2506"/>
      <c r="BX15" s="2506"/>
      <c r="BY15" s="2506"/>
      <c r="BZ15" s="2506"/>
      <c r="CA15" s="2506"/>
      <c r="CB15" s="2506"/>
      <c r="CC15" s="2506"/>
      <c r="CD15" s="2506"/>
      <c r="CE15" s="2506"/>
      <c r="CF15" s="2506"/>
      <c r="CG15" s="2506"/>
      <c r="CH15" s="2506"/>
      <c r="CI15" s="2506"/>
      <c r="CJ15" s="2506"/>
      <c r="CK15" s="2506"/>
      <c r="CL15" s="2506"/>
      <c r="CM15" s="2506"/>
      <c r="CN15" s="2506"/>
      <c r="CO15" s="2506"/>
      <c r="CP15" s="2506"/>
      <c r="CQ15" s="2506"/>
    </row>
    <row r="16" spans="1:95" ht="18.75" hidden="1" x14ac:dyDescent="0.3">
      <c r="A16" s="518" t="s">
        <v>194</v>
      </c>
      <c r="B16" s="383" t="s">
        <v>92</v>
      </c>
      <c r="C16" s="519">
        <v>384</v>
      </c>
      <c r="D16" s="520">
        <v>11838</v>
      </c>
      <c r="E16" s="521">
        <v>54547.199999999997</v>
      </c>
      <c r="F16" s="522">
        <v>369</v>
      </c>
      <c r="G16" s="523">
        <v>12231</v>
      </c>
      <c r="H16" s="524">
        <f>F16*G16*12/1000</f>
        <v>54158.868000000002</v>
      </c>
      <c r="I16" s="525">
        <v>364</v>
      </c>
      <c r="J16" s="520">
        <v>13021</v>
      </c>
      <c r="K16" s="502">
        <f>J16/G16</f>
        <v>1.0645899762897555</v>
      </c>
      <c r="L16" s="526">
        <v>56876.800000000003</v>
      </c>
      <c r="M16" s="525">
        <v>60</v>
      </c>
      <c r="N16" s="520">
        <v>19277</v>
      </c>
      <c r="O16" s="521">
        <f>M16*N16*12/1000</f>
        <v>13879.44</v>
      </c>
      <c r="P16" s="527">
        <v>48</v>
      </c>
      <c r="Q16" s="520">
        <v>22603</v>
      </c>
      <c r="R16" s="528">
        <f>P16*Q16*12/1000</f>
        <v>13019.328</v>
      </c>
      <c r="S16" s="676">
        <v>49</v>
      </c>
      <c r="T16" s="333">
        <v>24500</v>
      </c>
      <c r="U16" s="373">
        <f>S16*T16*12/1000</f>
        <v>14406</v>
      </c>
      <c r="V16" s="397">
        <v>48</v>
      </c>
      <c r="W16" s="406">
        <f>X16/V16/9*1000</f>
        <v>21462.037037037036</v>
      </c>
      <c r="X16" s="530">
        <v>9271.6</v>
      </c>
      <c r="Y16" s="531">
        <v>48</v>
      </c>
      <c r="Z16" s="529">
        <f>AA16/12/Y16*1000</f>
        <v>23137.326388888891</v>
      </c>
      <c r="AA16" s="532">
        <v>13327.1</v>
      </c>
      <c r="AB16" s="531">
        <v>49</v>
      </c>
      <c r="AC16" s="529">
        <v>28797</v>
      </c>
      <c r="AD16" s="533">
        <f t="shared" si="0"/>
        <v>117.53877551020409</v>
      </c>
      <c r="AE16" s="533">
        <f t="shared" si="1"/>
        <v>124.46122562297874</v>
      </c>
      <c r="AF16" s="532">
        <f>AB16*AC16*12/1000</f>
        <v>16932.635999999999</v>
      </c>
      <c r="AG16" s="531"/>
      <c r="AH16" s="529"/>
      <c r="AI16" s="534"/>
      <c r="AJ16" s="535"/>
      <c r="AK16" s="536"/>
      <c r="AL16" s="531">
        <v>49</v>
      </c>
      <c r="AM16" s="537">
        <f>T16*1.071</f>
        <v>26239.5</v>
      </c>
      <c r="AN16" s="516">
        <f>AM16/T16*100</f>
        <v>107.1</v>
      </c>
      <c r="AO16" s="538">
        <f t="shared" si="2"/>
        <v>113.40765808015247</v>
      </c>
      <c r="AP16" s="532">
        <f>AL16*AM16*12/1000</f>
        <v>15428.825999999999</v>
      </c>
      <c r="AQ16" s="914"/>
      <c r="AR16" s="914"/>
      <c r="AS16" s="914"/>
      <c r="AT16" s="914"/>
      <c r="AU16" s="531">
        <v>49</v>
      </c>
      <c r="AV16" s="529">
        <f>AW16/9/AU16*1000</f>
        <v>25834.24036281179</v>
      </c>
      <c r="AW16" s="532">
        <v>11392.9</v>
      </c>
      <c r="AX16" s="531">
        <v>49</v>
      </c>
      <c r="AY16" s="529">
        <f>AZ16/3/AX16*1000</f>
        <v>28514.285714285717</v>
      </c>
      <c r="AZ16" s="532">
        <v>4191.6000000000004</v>
      </c>
      <c r="BA16" s="531">
        <v>49</v>
      </c>
      <c r="BB16" s="537">
        <f>BC16/12/BA16*1000</f>
        <v>26018.707482993199</v>
      </c>
      <c r="BC16" s="539">
        <v>15299</v>
      </c>
      <c r="BD16" s="2505">
        <f>(M16+P16+Y16+BA16)/4</f>
        <v>51.25</v>
      </c>
      <c r="BE16" s="2506"/>
      <c r="BF16" s="2506"/>
      <c r="BG16" s="2506"/>
      <c r="BH16" s="2506"/>
      <c r="BI16" s="2506"/>
      <c r="BJ16" s="2506"/>
      <c r="BK16" s="2506"/>
      <c r="BL16" s="2506"/>
      <c r="BM16" s="2506"/>
      <c r="BN16" s="2506"/>
      <c r="BO16" s="2506"/>
      <c r="BP16" s="2506"/>
      <c r="BQ16" s="2506"/>
      <c r="BR16" s="2506"/>
      <c r="BS16" s="2506"/>
      <c r="BT16" s="2506"/>
      <c r="BU16" s="2506"/>
      <c r="BV16" s="2506"/>
      <c r="BW16" s="2506"/>
      <c r="BX16" s="2506"/>
      <c r="BY16" s="2506"/>
      <c r="BZ16" s="2506"/>
      <c r="CA16" s="2506"/>
      <c r="CB16" s="2506"/>
      <c r="CC16" s="2506"/>
      <c r="CD16" s="2506"/>
      <c r="CE16" s="2506"/>
      <c r="CF16" s="2506"/>
      <c r="CG16" s="2506"/>
      <c r="CH16" s="2506"/>
      <c r="CI16" s="2506"/>
      <c r="CJ16" s="2506"/>
      <c r="CK16" s="2506"/>
      <c r="CL16" s="2506"/>
      <c r="CM16" s="2506"/>
      <c r="CN16" s="2506"/>
      <c r="CO16" s="2506"/>
      <c r="CP16" s="2506"/>
      <c r="CQ16" s="2506"/>
    </row>
    <row r="17" spans="1:95" ht="75" hidden="1" x14ac:dyDescent="0.3">
      <c r="A17" s="518" t="s">
        <v>203</v>
      </c>
      <c r="B17" s="548" t="s">
        <v>205</v>
      </c>
      <c r="C17" s="519"/>
      <c r="D17" s="520"/>
      <c r="E17" s="521"/>
      <c r="F17" s="522"/>
      <c r="G17" s="523"/>
      <c r="H17" s="524"/>
      <c r="I17" s="525"/>
      <c r="J17" s="520"/>
      <c r="K17" s="502"/>
      <c r="L17" s="526"/>
      <c r="M17" s="525">
        <v>6</v>
      </c>
      <c r="N17" s="496">
        <f>O17/M17/12*1000</f>
        <v>18130.555555555555</v>
      </c>
      <c r="O17" s="521">
        <v>1305.4000000000001</v>
      </c>
      <c r="P17" s="541">
        <v>6</v>
      </c>
      <c r="Q17" s="542">
        <f>R17/P17/12*1000</f>
        <v>22363.888888888891</v>
      </c>
      <c r="R17" s="528">
        <v>1610.2</v>
      </c>
      <c r="S17" s="676">
        <v>7</v>
      </c>
      <c r="T17" s="333">
        <v>22943</v>
      </c>
      <c r="U17" s="373">
        <f>S17*T17*12/1000</f>
        <v>1927.212</v>
      </c>
      <c r="V17" s="397">
        <v>7</v>
      </c>
      <c r="W17" s="406">
        <f>X17/V17/9*1000</f>
        <v>18404.761904761905</v>
      </c>
      <c r="X17" s="530">
        <v>1159.5</v>
      </c>
      <c r="Y17" s="531">
        <v>5</v>
      </c>
      <c r="Z17" s="529">
        <f>AA17/12/Y17*1000</f>
        <v>28281.666666666668</v>
      </c>
      <c r="AA17" s="532">
        <v>1696.9</v>
      </c>
      <c r="AB17" s="531">
        <v>7</v>
      </c>
      <c r="AC17" s="529">
        <v>29211</v>
      </c>
      <c r="AD17" s="533">
        <f t="shared" si="0"/>
        <v>127.31987970186984</v>
      </c>
      <c r="AE17" s="533">
        <f t="shared" si="1"/>
        <v>103.2859921032471</v>
      </c>
      <c r="AF17" s="532">
        <f>AB17*AC17*12/1000</f>
        <v>2453.7240000000002</v>
      </c>
      <c r="AG17" s="531"/>
      <c r="AH17" s="529"/>
      <c r="AI17" s="534"/>
      <c r="AJ17" s="535"/>
      <c r="AK17" s="536"/>
      <c r="AL17" s="531">
        <v>7</v>
      </c>
      <c r="AM17" s="537">
        <f>T17*1.071</f>
        <v>24571.952999999998</v>
      </c>
      <c r="AN17" s="516">
        <f>AM17/T17*100</f>
        <v>107.1</v>
      </c>
      <c r="AO17" s="538">
        <f t="shared" si="2"/>
        <v>86.882973657846648</v>
      </c>
      <c r="AP17" s="532">
        <f>AL17*AM17*12/1000</f>
        <v>2064.0440519999997</v>
      </c>
      <c r="AQ17" s="914"/>
      <c r="AR17" s="914"/>
      <c r="AS17" s="914"/>
      <c r="AT17" s="914"/>
      <c r="AU17" s="531">
        <v>6</v>
      </c>
      <c r="AV17" s="529">
        <f>AW17/9/AU17*1000</f>
        <v>23866.666666666664</v>
      </c>
      <c r="AW17" s="532">
        <v>1288.8</v>
      </c>
      <c r="AX17" s="531">
        <v>6</v>
      </c>
      <c r="AY17" s="529">
        <f>AZ17/3/AX17*1000</f>
        <v>29477.777777777777</v>
      </c>
      <c r="AZ17" s="532">
        <v>530.6</v>
      </c>
      <c r="BA17" s="531">
        <v>6</v>
      </c>
      <c r="BB17" s="537">
        <f>BC17/12/BA17*1000</f>
        <v>24416.666666666668</v>
      </c>
      <c r="BC17" s="539">
        <v>1758</v>
      </c>
      <c r="BD17" s="2505">
        <f>(M17+P17+Y17+BA17)/4</f>
        <v>5.75</v>
      </c>
      <c r="BE17" s="2506"/>
      <c r="BF17" s="2506"/>
      <c r="BG17" s="2506"/>
      <c r="BH17" s="2506"/>
      <c r="BI17" s="2506"/>
      <c r="BJ17" s="2506"/>
      <c r="BK17" s="2506"/>
      <c r="BL17" s="2506"/>
      <c r="BM17" s="2506"/>
      <c r="BN17" s="2506"/>
      <c r="BO17" s="2506"/>
      <c r="BP17" s="2506"/>
      <c r="BQ17" s="2506"/>
      <c r="BR17" s="2506"/>
      <c r="BS17" s="2506"/>
      <c r="BT17" s="2506"/>
      <c r="BU17" s="2506"/>
      <c r="BV17" s="2506"/>
      <c r="BW17" s="2506"/>
      <c r="BX17" s="2506"/>
      <c r="BY17" s="2506"/>
      <c r="BZ17" s="2506"/>
      <c r="CA17" s="2506"/>
      <c r="CB17" s="2506"/>
      <c r="CC17" s="2506"/>
      <c r="CD17" s="2506"/>
      <c r="CE17" s="2506"/>
      <c r="CF17" s="2506"/>
      <c r="CG17" s="2506"/>
      <c r="CH17" s="2506"/>
      <c r="CI17" s="2506"/>
      <c r="CJ17" s="2506"/>
      <c r="CK17" s="2506"/>
      <c r="CL17" s="2506"/>
      <c r="CM17" s="2506"/>
      <c r="CN17" s="2506"/>
      <c r="CO17" s="2506"/>
      <c r="CP17" s="2506"/>
      <c r="CQ17" s="2506"/>
    </row>
    <row r="18" spans="1:95" ht="19.5" hidden="1" thickBot="1" x14ac:dyDescent="0.35">
      <c r="A18" s="549" t="s">
        <v>204</v>
      </c>
      <c r="B18" s="384" t="s">
        <v>89</v>
      </c>
      <c r="C18" s="550"/>
      <c r="D18" s="551"/>
      <c r="E18" s="552"/>
      <c r="F18" s="553"/>
      <c r="G18" s="554"/>
      <c r="H18" s="555"/>
      <c r="I18" s="556"/>
      <c r="J18" s="551"/>
      <c r="K18" s="557"/>
      <c r="L18" s="558"/>
      <c r="M18" s="556">
        <v>17</v>
      </c>
      <c r="N18" s="551">
        <v>14540</v>
      </c>
      <c r="O18" s="552">
        <f>M18*N18*12/1000</f>
        <v>2966.16</v>
      </c>
      <c r="P18" s="559">
        <v>15</v>
      </c>
      <c r="Q18" s="560">
        <v>23628</v>
      </c>
      <c r="R18" s="561">
        <f>P18*Q18*12/1000</f>
        <v>4253.04</v>
      </c>
      <c r="S18" s="2438">
        <v>19</v>
      </c>
      <c r="T18" s="374">
        <v>21140</v>
      </c>
      <c r="U18" s="563">
        <f>S18*T18*12/1000</f>
        <v>4819.92</v>
      </c>
      <c r="V18" s="564">
        <v>16</v>
      </c>
      <c r="W18" s="565">
        <f>X18/V18/9*1000</f>
        <v>21378.472222222223</v>
      </c>
      <c r="X18" s="566">
        <v>3078.5</v>
      </c>
      <c r="Y18" s="2436">
        <v>15</v>
      </c>
      <c r="Z18" s="565">
        <f>AA18/12/Y18*1000</f>
        <v>25319.444444444445</v>
      </c>
      <c r="AA18" s="568">
        <v>4557.5</v>
      </c>
      <c r="AB18" s="2436">
        <v>19</v>
      </c>
      <c r="AC18" s="565">
        <v>28868</v>
      </c>
      <c r="AD18" s="569">
        <f t="shared" si="0"/>
        <v>136.55629139072846</v>
      </c>
      <c r="AE18" s="569">
        <f t="shared" si="1"/>
        <v>114.01513987931979</v>
      </c>
      <c r="AF18" s="568">
        <f>AB18*AC18*12/1000</f>
        <v>6581.9040000000005</v>
      </c>
      <c r="AG18" s="531"/>
      <c r="AH18" s="529"/>
      <c r="AI18" s="534"/>
      <c r="AJ18" s="535"/>
      <c r="AK18" s="536"/>
      <c r="AL18" s="2436">
        <v>19</v>
      </c>
      <c r="AM18" s="570">
        <f>T18*1.071</f>
        <v>22640.94</v>
      </c>
      <c r="AN18" s="571">
        <f>AM18/T18*100</f>
        <v>107.1</v>
      </c>
      <c r="AO18" s="572">
        <f t="shared" si="2"/>
        <v>89.421156335710364</v>
      </c>
      <c r="AP18" s="568">
        <f>AL18*AM18*12/1000</f>
        <v>5162.1343200000001</v>
      </c>
      <c r="AQ18" s="915"/>
      <c r="AR18" s="915"/>
      <c r="AS18" s="915"/>
      <c r="AT18" s="915"/>
      <c r="AU18" s="2436">
        <v>17</v>
      </c>
      <c r="AV18" s="565">
        <f>AW18/9/AU18*1000</f>
        <v>24713.071895424837</v>
      </c>
      <c r="AW18" s="568">
        <v>3781.1</v>
      </c>
      <c r="AX18" s="2436">
        <v>17</v>
      </c>
      <c r="AY18" s="565">
        <f>AZ18/3/AX18*1000</f>
        <v>28013.725490196081</v>
      </c>
      <c r="AZ18" s="568">
        <v>1428.7</v>
      </c>
      <c r="BA18" s="2436">
        <v>17</v>
      </c>
      <c r="BB18" s="570">
        <f>BC18/12/BA18*1000</f>
        <v>24494.117647058825</v>
      </c>
      <c r="BC18" s="573">
        <v>4996.8</v>
      </c>
      <c r="BD18" s="2505">
        <f>(M18+P18+Y18+BA18)/4</f>
        <v>16</v>
      </c>
      <c r="BE18" s="2506"/>
      <c r="BF18" s="2506"/>
      <c r="BG18" s="2506"/>
      <c r="BH18" s="2506"/>
      <c r="BI18" s="2506"/>
      <c r="BJ18" s="2506"/>
      <c r="BK18" s="2506"/>
      <c r="BL18" s="2506"/>
      <c r="BM18" s="2506"/>
      <c r="BN18" s="2506"/>
      <c r="BO18" s="2506"/>
      <c r="BP18" s="2506"/>
      <c r="BQ18" s="2506"/>
      <c r="BR18" s="2506"/>
      <c r="BS18" s="2506"/>
      <c r="BT18" s="2506"/>
      <c r="BU18" s="2506"/>
      <c r="BV18" s="2506"/>
      <c r="BW18" s="2506"/>
      <c r="BX18" s="2506"/>
      <c r="BY18" s="2506"/>
      <c r="BZ18" s="2506"/>
      <c r="CA18" s="2506"/>
      <c r="CB18" s="2506"/>
      <c r="CC18" s="2506"/>
      <c r="CD18" s="2506"/>
      <c r="CE18" s="2506"/>
      <c r="CF18" s="2506"/>
      <c r="CG18" s="2506"/>
      <c r="CH18" s="2506"/>
      <c r="CI18" s="2506"/>
      <c r="CJ18" s="2506"/>
      <c r="CK18" s="2506"/>
      <c r="CL18" s="2506"/>
      <c r="CM18" s="2506"/>
      <c r="CN18" s="2506"/>
      <c r="CO18" s="2506"/>
      <c r="CP18" s="2506"/>
      <c r="CQ18" s="2506"/>
    </row>
    <row r="19" spans="1:95" ht="18.75" x14ac:dyDescent="0.3">
      <c r="A19" s="396"/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  <c r="BJ19" s="396"/>
      <c r="BK19" s="396"/>
      <c r="BL19" s="396"/>
      <c r="BM19" s="396"/>
      <c r="BN19" s="396"/>
      <c r="BO19" s="396"/>
      <c r="BP19" s="396"/>
      <c r="BQ19" s="396"/>
      <c r="BR19" s="396"/>
      <c r="BS19" s="396"/>
      <c r="BT19" s="396"/>
      <c r="BU19" s="396"/>
      <c r="BV19" s="396"/>
      <c r="BW19" s="396"/>
      <c r="BX19" s="396"/>
      <c r="BY19" s="396"/>
      <c r="BZ19" s="396"/>
      <c r="CA19" s="396"/>
      <c r="CB19" s="396"/>
      <c r="CC19" s="396"/>
      <c r="CD19" s="396"/>
      <c r="CE19" s="396"/>
      <c r="CF19" s="396"/>
      <c r="CG19" s="396"/>
      <c r="CH19" s="396"/>
      <c r="CI19" s="396"/>
      <c r="CJ19" s="396"/>
      <c r="CK19" s="396"/>
      <c r="CL19" s="396"/>
      <c r="CM19" s="396"/>
      <c r="CN19" s="396"/>
      <c r="CO19" s="396"/>
      <c r="CP19" s="396"/>
      <c r="CQ19" s="396"/>
    </row>
    <row r="20" spans="1:95" ht="12.75" customHeight="1" x14ac:dyDescent="0.2">
      <c r="A20" s="3960" t="s">
        <v>172</v>
      </c>
      <c r="B20" s="3960" t="s">
        <v>173</v>
      </c>
      <c r="C20" s="1861"/>
      <c r="D20" s="1861"/>
      <c r="E20" s="1861"/>
      <c r="F20" s="1861"/>
      <c r="G20" s="1861"/>
      <c r="H20" s="1861"/>
      <c r="I20" s="1861"/>
      <c r="J20" s="1861"/>
      <c r="K20" s="1861"/>
      <c r="L20" s="1861"/>
      <c r="M20" s="4324" t="s">
        <v>235</v>
      </c>
      <c r="N20" s="4324"/>
      <c r="O20" s="4324"/>
      <c r="P20" s="4324"/>
      <c r="Q20" s="4324"/>
      <c r="R20" s="4324"/>
      <c r="S20" s="4324"/>
      <c r="T20" s="4324"/>
      <c r="U20" s="4324"/>
      <c r="V20" s="4324"/>
      <c r="W20" s="4324"/>
      <c r="X20" s="4324"/>
      <c r="Y20" s="4324"/>
      <c r="Z20" s="4324"/>
      <c r="AA20" s="4324"/>
      <c r="AB20" s="4324"/>
      <c r="AC20" s="4324"/>
      <c r="AD20" s="4324"/>
      <c r="AE20" s="4324"/>
      <c r="AF20" s="4324"/>
      <c r="AG20" s="4324"/>
      <c r="AH20" s="4324"/>
      <c r="AI20" s="4324"/>
      <c r="AJ20" s="4324"/>
      <c r="AK20" s="4324"/>
      <c r="AL20" s="4324"/>
      <c r="AM20" s="4324"/>
      <c r="AN20" s="4324"/>
      <c r="AO20" s="4324"/>
      <c r="AP20" s="4324"/>
      <c r="AQ20" s="4324"/>
      <c r="AR20" s="4324"/>
      <c r="AS20" s="4324"/>
      <c r="AT20" s="4324"/>
      <c r="AU20" s="4324" t="s">
        <v>373</v>
      </c>
      <c r="AV20" s="4324"/>
      <c r="AW20" s="4324"/>
      <c r="AX20" s="4324"/>
      <c r="AY20" s="4324"/>
      <c r="AZ20" s="4324"/>
      <c r="BA20" s="4324"/>
      <c r="BB20" s="4324"/>
      <c r="BC20" s="4324"/>
      <c r="BD20" s="4324"/>
      <c r="BE20" s="4324"/>
      <c r="BF20" s="4324"/>
      <c r="BG20" s="4324"/>
      <c r="BH20" s="4324"/>
      <c r="BI20" s="4324"/>
      <c r="BJ20" s="4324"/>
      <c r="BK20" s="4324"/>
      <c r="BL20" s="4324"/>
      <c r="BM20" s="4335" t="s">
        <v>829</v>
      </c>
      <c r="BN20" s="4335"/>
      <c r="BO20" s="4335"/>
      <c r="BP20" s="4335"/>
      <c r="BQ20" s="4335"/>
      <c r="BR20" s="4335"/>
      <c r="BS20" s="4335"/>
      <c r="BT20" s="4335"/>
      <c r="BU20" s="4335"/>
      <c r="BV20" s="4335"/>
      <c r="BW20" s="4335"/>
      <c r="BX20" s="4332" t="s">
        <v>908</v>
      </c>
      <c r="BY20" s="4333"/>
      <c r="BZ20" s="4333"/>
      <c r="CA20" s="4333"/>
      <c r="CB20" s="4333"/>
      <c r="CC20" s="4333"/>
      <c r="CD20" s="4333"/>
      <c r="CE20" s="4333"/>
      <c r="CF20" s="4334"/>
      <c r="CG20" s="4332" t="s">
        <v>909</v>
      </c>
      <c r="CH20" s="4333"/>
      <c r="CI20" s="4334"/>
      <c r="CJ20" s="4332" t="s">
        <v>1819</v>
      </c>
      <c r="CK20" s="4333"/>
      <c r="CL20" s="4333"/>
      <c r="CM20" s="4333"/>
      <c r="CN20" s="4333"/>
      <c r="CO20" s="4334"/>
      <c r="CP20" s="4326" t="s">
        <v>243</v>
      </c>
      <c r="CQ20" s="28"/>
    </row>
    <row r="21" spans="1:95" ht="12.75" customHeight="1" x14ac:dyDescent="0.2">
      <c r="A21" s="3997"/>
      <c r="B21" s="3997"/>
      <c r="C21" s="4278" t="s">
        <v>174</v>
      </c>
      <c r="D21" s="4278"/>
      <c r="E21" s="4278"/>
      <c r="F21" s="4278" t="s">
        <v>175</v>
      </c>
      <c r="G21" s="4278"/>
      <c r="H21" s="4278"/>
      <c r="I21" s="4278" t="s">
        <v>176</v>
      </c>
      <c r="J21" s="4278"/>
      <c r="K21" s="4278"/>
      <c r="L21" s="4278"/>
      <c r="M21" s="4278" t="s">
        <v>233</v>
      </c>
      <c r="N21" s="4278"/>
      <c r="O21" s="4278"/>
      <c r="P21" s="4278"/>
      <c r="Q21" s="4278"/>
      <c r="R21" s="4325"/>
      <c r="S21" s="4278" t="s">
        <v>234</v>
      </c>
      <c r="T21" s="4278"/>
      <c r="U21" s="4278"/>
      <c r="V21" s="4278"/>
      <c r="W21" s="4278"/>
      <c r="X21" s="4278" t="s">
        <v>424</v>
      </c>
      <c r="Y21" s="4278"/>
      <c r="Z21" s="4278"/>
      <c r="AA21" s="4278"/>
      <c r="AB21" s="4278"/>
      <c r="AC21" s="1918"/>
      <c r="AD21" s="1918"/>
      <c r="AE21" s="1918"/>
      <c r="AF21" s="1918"/>
      <c r="AG21" s="1918"/>
      <c r="AH21" s="1918"/>
      <c r="AI21" s="1918"/>
      <c r="AJ21" s="1918"/>
      <c r="AK21" s="1918"/>
      <c r="AL21" s="4278" t="s">
        <v>425</v>
      </c>
      <c r="AM21" s="4278"/>
      <c r="AN21" s="4278"/>
      <c r="AO21" s="4278"/>
      <c r="AP21" s="4278"/>
      <c r="AQ21" s="4278" t="s">
        <v>828</v>
      </c>
      <c r="AR21" s="4323"/>
      <c r="AS21" s="4323"/>
      <c r="AT21" s="4323"/>
      <c r="AU21" s="4278" t="s">
        <v>376</v>
      </c>
      <c r="AV21" s="4278"/>
      <c r="AW21" s="4278"/>
      <c r="AX21" s="4278"/>
      <c r="AY21" s="4278"/>
      <c r="AZ21" s="4278" t="s">
        <v>380</v>
      </c>
      <c r="BA21" s="4278"/>
      <c r="BB21" s="4278"/>
      <c r="BC21" s="4278"/>
      <c r="BD21" s="4278"/>
      <c r="BE21" s="4278" t="s">
        <v>855</v>
      </c>
      <c r="BF21" s="4278"/>
      <c r="BG21" s="4278"/>
      <c r="BH21" s="4278"/>
      <c r="BI21" s="4278" t="s">
        <v>854</v>
      </c>
      <c r="BJ21" s="4278"/>
      <c r="BK21" s="4278"/>
      <c r="BL21" s="4278"/>
      <c r="BM21" s="3999" t="s">
        <v>856</v>
      </c>
      <c r="BN21" s="3999"/>
      <c r="BO21" s="3999"/>
      <c r="BP21" s="3999"/>
      <c r="BQ21" s="3999" t="s">
        <v>1602</v>
      </c>
      <c r="BR21" s="3999"/>
      <c r="BS21" s="3999"/>
      <c r="BT21" s="3999"/>
      <c r="BU21" s="4259" t="s">
        <v>61</v>
      </c>
      <c r="BV21" s="4260"/>
      <c r="BW21" s="4261"/>
      <c r="BX21" s="4259" t="s">
        <v>61</v>
      </c>
      <c r="BY21" s="4260"/>
      <c r="BZ21" s="4261"/>
      <c r="CA21" s="3999" t="s">
        <v>1602</v>
      </c>
      <c r="CB21" s="3999"/>
      <c r="CC21" s="3999"/>
      <c r="CD21" s="4260" t="s">
        <v>1693</v>
      </c>
      <c r="CE21" s="4260"/>
      <c r="CF21" s="4261"/>
      <c r="CG21" s="3999" t="s">
        <v>1602</v>
      </c>
      <c r="CH21" s="3999"/>
      <c r="CI21" s="3999"/>
      <c r="CJ21" s="4259" t="s">
        <v>122</v>
      </c>
      <c r="CK21" s="4260"/>
      <c r="CL21" s="4261"/>
      <c r="CM21" s="4259" t="s">
        <v>1537</v>
      </c>
      <c r="CN21" s="4260"/>
      <c r="CO21" s="4261"/>
      <c r="CP21" s="4327"/>
      <c r="CQ21" s="2508"/>
    </row>
    <row r="22" spans="1:95" ht="18.75" customHeight="1" x14ac:dyDescent="0.2">
      <c r="A22" s="3997"/>
      <c r="B22" s="3997"/>
      <c r="C22" s="4278"/>
      <c r="D22" s="4278"/>
      <c r="E22" s="4278"/>
      <c r="F22" s="4278"/>
      <c r="G22" s="4278"/>
      <c r="H22" s="4278"/>
      <c r="I22" s="2431"/>
      <c r="J22" s="2431"/>
      <c r="K22" s="2431"/>
      <c r="L22" s="2431"/>
      <c r="M22" s="4278"/>
      <c r="N22" s="4278"/>
      <c r="O22" s="4278"/>
      <c r="P22" s="4278"/>
      <c r="Q22" s="4278"/>
      <c r="R22" s="4325"/>
      <c r="S22" s="4278"/>
      <c r="T22" s="4278"/>
      <c r="U22" s="4278"/>
      <c r="V22" s="4278"/>
      <c r="W22" s="4278"/>
      <c r="X22" s="4278"/>
      <c r="Y22" s="4278"/>
      <c r="Z22" s="4278"/>
      <c r="AA22" s="4278"/>
      <c r="AB22" s="4278"/>
      <c r="AC22" s="1918"/>
      <c r="AD22" s="1918"/>
      <c r="AE22" s="1918"/>
      <c r="AF22" s="1918"/>
      <c r="AG22" s="1918"/>
      <c r="AH22" s="1918"/>
      <c r="AI22" s="1918"/>
      <c r="AJ22" s="1918"/>
      <c r="AK22" s="1918"/>
      <c r="AL22" s="4278"/>
      <c r="AM22" s="4278"/>
      <c r="AN22" s="4278"/>
      <c r="AO22" s="4278"/>
      <c r="AP22" s="4278"/>
      <c r="AQ22" s="4323"/>
      <c r="AR22" s="4323"/>
      <c r="AS22" s="4323"/>
      <c r="AT22" s="4323"/>
      <c r="AU22" s="4278"/>
      <c r="AV22" s="4278"/>
      <c r="AW22" s="4278"/>
      <c r="AX22" s="4278"/>
      <c r="AY22" s="4278"/>
      <c r="AZ22" s="4278"/>
      <c r="BA22" s="4278"/>
      <c r="BB22" s="4278"/>
      <c r="BC22" s="4278"/>
      <c r="BD22" s="4278"/>
      <c r="BE22" s="4278"/>
      <c r="BF22" s="4278"/>
      <c r="BG22" s="4278"/>
      <c r="BH22" s="4278"/>
      <c r="BI22" s="4278"/>
      <c r="BJ22" s="4278"/>
      <c r="BK22" s="4278"/>
      <c r="BL22" s="4278"/>
      <c r="BM22" s="3999"/>
      <c r="BN22" s="3999"/>
      <c r="BO22" s="3999"/>
      <c r="BP22" s="3999"/>
      <c r="BQ22" s="3999"/>
      <c r="BR22" s="3999"/>
      <c r="BS22" s="3999"/>
      <c r="BT22" s="3999"/>
      <c r="BU22" s="4262"/>
      <c r="BV22" s="4263"/>
      <c r="BW22" s="4264"/>
      <c r="BX22" s="4262"/>
      <c r="BY22" s="4263"/>
      <c r="BZ22" s="4264"/>
      <c r="CA22" s="3999"/>
      <c r="CB22" s="3999"/>
      <c r="CC22" s="3999"/>
      <c r="CD22" s="4263"/>
      <c r="CE22" s="4263"/>
      <c r="CF22" s="4264"/>
      <c r="CG22" s="3999"/>
      <c r="CH22" s="3999"/>
      <c r="CI22" s="3999"/>
      <c r="CJ22" s="4262"/>
      <c r="CK22" s="4263"/>
      <c r="CL22" s="4264"/>
      <c r="CM22" s="4262"/>
      <c r="CN22" s="4263"/>
      <c r="CO22" s="4264"/>
      <c r="CP22" s="4327"/>
      <c r="CQ22" s="2508"/>
    </row>
    <row r="23" spans="1:95" ht="75" customHeight="1" x14ac:dyDescent="0.2">
      <c r="A23" s="3997"/>
      <c r="B23" s="3997"/>
      <c r="C23" s="2432" t="s">
        <v>179</v>
      </c>
      <c r="D23" s="2432" t="s">
        <v>182</v>
      </c>
      <c r="E23" s="2432" t="s">
        <v>183</v>
      </c>
      <c r="F23" s="2432" t="s">
        <v>179</v>
      </c>
      <c r="G23" s="2432" t="s">
        <v>182</v>
      </c>
      <c r="H23" s="2432" t="s">
        <v>183</v>
      </c>
      <c r="I23" s="2432" t="s">
        <v>179</v>
      </c>
      <c r="J23" s="2432" t="s">
        <v>182</v>
      </c>
      <c r="K23" s="2432" t="s">
        <v>184</v>
      </c>
      <c r="L23" s="2432" t="s">
        <v>183</v>
      </c>
      <c r="M23" s="2432" t="s">
        <v>179</v>
      </c>
      <c r="N23" s="2432" t="s">
        <v>182</v>
      </c>
      <c r="O23" s="2432" t="s">
        <v>183</v>
      </c>
      <c r="P23" s="2432" t="s">
        <v>251</v>
      </c>
      <c r="Q23" s="2432" t="s">
        <v>252</v>
      </c>
      <c r="R23" s="4325"/>
      <c r="S23" s="2432" t="s">
        <v>179</v>
      </c>
      <c r="T23" s="2432" t="s">
        <v>182</v>
      </c>
      <c r="U23" s="2432" t="s">
        <v>183</v>
      </c>
      <c r="V23" s="2432" t="s">
        <v>251</v>
      </c>
      <c r="W23" s="2432" t="s">
        <v>252</v>
      </c>
      <c r="X23" s="2432" t="s">
        <v>179</v>
      </c>
      <c r="Y23" s="2432" t="s">
        <v>182</v>
      </c>
      <c r="Z23" s="2432" t="s">
        <v>183</v>
      </c>
      <c r="AA23" s="2432" t="s">
        <v>251</v>
      </c>
      <c r="AB23" s="2432" t="s">
        <v>252</v>
      </c>
      <c r="AC23" s="1918"/>
      <c r="AD23" s="1918"/>
      <c r="AE23" s="1918"/>
      <c r="AF23" s="1918"/>
      <c r="AG23" s="1918"/>
      <c r="AH23" s="1918"/>
      <c r="AI23" s="1918"/>
      <c r="AJ23" s="1918"/>
      <c r="AK23" s="1918"/>
      <c r="AL23" s="2432" t="s">
        <v>179</v>
      </c>
      <c r="AM23" s="2432" t="s">
        <v>182</v>
      </c>
      <c r="AN23" s="2432" t="s">
        <v>183</v>
      </c>
      <c r="AO23" s="2432" t="s">
        <v>251</v>
      </c>
      <c r="AP23" s="1918"/>
      <c r="AQ23" s="2432" t="s">
        <v>179</v>
      </c>
      <c r="AR23" s="2432" t="s">
        <v>182</v>
      </c>
      <c r="AS23" s="2432" t="s">
        <v>183</v>
      </c>
      <c r="AT23" s="2432" t="s">
        <v>251</v>
      </c>
      <c r="AU23" s="2432" t="s">
        <v>179</v>
      </c>
      <c r="AV23" s="2432" t="s">
        <v>182</v>
      </c>
      <c r="AW23" s="2432" t="s">
        <v>183</v>
      </c>
      <c r="AX23" s="2432" t="s">
        <v>251</v>
      </c>
      <c r="AY23" s="2432" t="s">
        <v>444</v>
      </c>
      <c r="AZ23" s="2432" t="s">
        <v>179</v>
      </c>
      <c r="BA23" s="2432" t="s">
        <v>182</v>
      </c>
      <c r="BB23" s="2432" t="s">
        <v>183</v>
      </c>
      <c r="BC23" s="2432" t="s">
        <v>251</v>
      </c>
      <c r="BD23" s="1918"/>
      <c r="BE23" s="2432" t="s">
        <v>179</v>
      </c>
      <c r="BF23" s="2432" t="s">
        <v>182</v>
      </c>
      <c r="BG23" s="2432" t="s">
        <v>183</v>
      </c>
      <c r="BH23" s="2432" t="s">
        <v>251</v>
      </c>
      <c r="BI23" s="2432" t="s">
        <v>179</v>
      </c>
      <c r="BJ23" s="2432" t="s">
        <v>182</v>
      </c>
      <c r="BK23" s="2432" t="s">
        <v>183</v>
      </c>
      <c r="BL23" s="2432" t="s">
        <v>251</v>
      </c>
      <c r="BM23" s="2427" t="s">
        <v>179</v>
      </c>
      <c r="BN23" s="2427" t="s">
        <v>182</v>
      </c>
      <c r="BO23" s="2427" t="s">
        <v>183</v>
      </c>
      <c r="BP23" s="2427" t="s">
        <v>251</v>
      </c>
      <c r="BQ23" s="2427" t="s">
        <v>179</v>
      </c>
      <c r="BR23" s="2427" t="s">
        <v>182</v>
      </c>
      <c r="BS23" s="2427" t="s">
        <v>1863</v>
      </c>
      <c r="BT23" s="2427" t="s">
        <v>251</v>
      </c>
      <c r="BU23" s="2427" t="s">
        <v>179</v>
      </c>
      <c r="BV23" s="2427" t="s">
        <v>182</v>
      </c>
      <c r="BW23" s="2427" t="s">
        <v>1863</v>
      </c>
      <c r="BX23" s="2427" t="s">
        <v>179</v>
      </c>
      <c r="BY23" s="2427" t="s">
        <v>182</v>
      </c>
      <c r="BZ23" s="2427" t="s">
        <v>1863</v>
      </c>
      <c r="CA23" s="2970" t="s">
        <v>179</v>
      </c>
      <c r="CB23" s="2970" t="s">
        <v>182</v>
      </c>
      <c r="CC23" s="2970" t="s">
        <v>1863</v>
      </c>
      <c r="CD23" s="2970" t="s">
        <v>179</v>
      </c>
      <c r="CE23" s="2970" t="s">
        <v>182</v>
      </c>
      <c r="CF23" s="2970" t="s">
        <v>1863</v>
      </c>
      <c r="CG23" s="2970" t="s">
        <v>179</v>
      </c>
      <c r="CH23" s="2970" t="s">
        <v>182</v>
      </c>
      <c r="CI23" s="2970" t="s">
        <v>1863</v>
      </c>
      <c r="CJ23" s="2427" t="s">
        <v>179</v>
      </c>
      <c r="CK23" s="2427" t="s">
        <v>182</v>
      </c>
      <c r="CL23" s="2427" t="s">
        <v>1863</v>
      </c>
      <c r="CM23" s="2427" t="s">
        <v>179</v>
      </c>
      <c r="CN23" s="2427" t="s">
        <v>182</v>
      </c>
      <c r="CO23" s="2427" t="s">
        <v>1863</v>
      </c>
      <c r="CP23" s="4328"/>
      <c r="CQ23" s="2525"/>
    </row>
    <row r="24" spans="1:95" ht="72.75" customHeight="1" x14ac:dyDescent="0.2">
      <c r="A24" s="2528" t="s">
        <v>189</v>
      </c>
      <c r="B24" s="1869" t="s">
        <v>201</v>
      </c>
      <c r="C24" s="2509">
        <v>840</v>
      </c>
      <c r="D24" s="2510">
        <v>12146</v>
      </c>
      <c r="E24" s="2511">
        <v>122429.8</v>
      </c>
      <c r="F24" s="2510">
        <f>F25+F26</f>
        <v>813</v>
      </c>
      <c r="G24" s="2510">
        <f>(G25*F25+G26*F26)/(F25+F26)</f>
        <v>12443.442804428045</v>
      </c>
      <c r="H24" s="2511">
        <f>H26+H25</f>
        <v>121398.228</v>
      </c>
      <c r="I24" s="2509">
        <v>799</v>
      </c>
      <c r="J24" s="2510">
        <v>13361</v>
      </c>
      <c r="K24" s="2512">
        <f>J24/G24</f>
        <v>1.07373820975377</v>
      </c>
      <c r="L24" s="2511">
        <v>128108.9</v>
      </c>
      <c r="M24" s="2509">
        <f>M25+M26+M27+M28</f>
        <v>155</v>
      </c>
      <c r="N24" s="2510">
        <f t="shared" ref="N24:N34" si="3">O24/M24/12*1000</f>
        <v>25754.516129032254</v>
      </c>
      <c r="O24" s="2511">
        <f>O25+O26+O27+O28</f>
        <v>47903.399999999994</v>
      </c>
      <c r="P24" s="2513">
        <f>N24/AM8</f>
        <v>1.2212343117474604</v>
      </c>
      <c r="Q24" s="1918"/>
      <c r="R24" s="4325"/>
      <c r="S24" s="2514">
        <f>SUM(S25:S28)</f>
        <v>155</v>
      </c>
      <c r="T24" s="2515">
        <f>U24/S24/12*1000</f>
        <v>22269.902483612907</v>
      </c>
      <c r="U24" s="2514">
        <f>SUM(U25:U28)</f>
        <v>41422.018619520008</v>
      </c>
      <c r="V24" s="2513">
        <f>T24/AM8</f>
        <v>1.0560000000000003</v>
      </c>
      <c r="W24" s="1918"/>
      <c r="X24" s="2509">
        <f>X25+X26+X27+X28</f>
        <v>148.32999999999998</v>
      </c>
      <c r="Y24" s="2510">
        <f t="shared" ref="Y24:Y34" si="4">Z24/X24/6*1000</f>
        <v>21580.822040944742</v>
      </c>
      <c r="Z24" s="2511">
        <f>Z25+Z26+Z27+Z28</f>
        <v>19206.5</v>
      </c>
      <c r="AA24" s="2513">
        <f>Y24/BB8</f>
        <v>0.95562481208041816</v>
      </c>
      <c r="AB24" s="1918"/>
      <c r="AC24" s="1918"/>
      <c r="AD24" s="1918"/>
      <c r="AE24" s="1918"/>
      <c r="AF24" s="1918"/>
      <c r="AG24" s="1918"/>
      <c r="AH24" s="1918"/>
      <c r="AI24" s="1918"/>
      <c r="AJ24" s="1918"/>
      <c r="AK24" s="1918"/>
      <c r="AL24" s="2509">
        <f>AL25+AL26+AL27+AL28</f>
        <v>148</v>
      </c>
      <c r="AM24" s="2510">
        <f t="shared" ref="AM24:AM34" si="5">AN24/AL24/9*1000</f>
        <v>22609.909909909911</v>
      </c>
      <c r="AN24" s="2511">
        <f>AN25+AN26+AN27+AN28</f>
        <v>30116.400000000001</v>
      </c>
      <c r="AO24" s="2513">
        <f>AM24/BB8</f>
        <v>1.0011940633132144</v>
      </c>
      <c r="AP24" s="1918"/>
      <c r="AQ24" s="2509">
        <f>AQ25+AQ26+AQ27+AQ28</f>
        <v>148</v>
      </c>
      <c r="AR24" s="2510">
        <f t="shared" ref="AR24:AR34" si="6">AS24/AQ24/12*1000</f>
        <v>22770.326576576579</v>
      </c>
      <c r="AS24" s="2511">
        <f>AS25+AS26+AS27+AS28</f>
        <v>40440.100000000006</v>
      </c>
      <c r="AT24" s="2513">
        <f>AR24/T24</f>
        <v>1.0224708704194778</v>
      </c>
      <c r="AU24" s="2509">
        <f>AU25+AU26+AU27+AU28</f>
        <v>155</v>
      </c>
      <c r="AV24" s="2510">
        <f t="shared" ref="AV24:AV34" si="7">AW24/AU24/12*1000</f>
        <v>23460.37634408602</v>
      </c>
      <c r="AW24" s="2511">
        <f>AW25+AW26+AW27+AW28</f>
        <v>43636.299999999996</v>
      </c>
      <c r="AX24" s="2513">
        <f>AV24/T24</f>
        <v>1.0534566265545668</v>
      </c>
      <c r="AY24" s="2513">
        <f>AV24/BB8</f>
        <v>1.0388537421149895</v>
      </c>
      <c r="AZ24" s="2514">
        <f>SUM(AZ25:AZ28)</f>
        <v>150</v>
      </c>
      <c r="BA24" s="2515">
        <f>BB24/AZ24/12*1000</f>
        <v>23530.113691896189</v>
      </c>
      <c r="BB24" s="2514">
        <f>SUM(BB25:BB28)</f>
        <v>42354.204645413141</v>
      </c>
      <c r="BC24" s="2513">
        <f t="shared" ref="BC24:BC34" si="8">BA24/T24</f>
        <v>1.0565880883048588</v>
      </c>
      <c r="BD24" s="1918"/>
      <c r="BE24" s="2509">
        <f>BE25+BE26+BE27+BE28</f>
        <v>144</v>
      </c>
      <c r="BF24" s="2510">
        <f t="shared" ref="BF24:BF34" si="9">BG24/BE24/6*1000</f>
        <v>22832.175925925923</v>
      </c>
      <c r="BG24" s="2511">
        <f>BG25+BG26+BG27+BG28</f>
        <v>19727</v>
      </c>
      <c r="BH24" s="2513">
        <f>BF24/AV24</f>
        <v>0.9732229181260148</v>
      </c>
      <c r="BI24" s="2509">
        <f>BI25+BI26+BI27+BI28</f>
        <v>148</v>
      </c>
      <c r="BJ24" s="2510">
        <f t="shared" ref="BJ24:BJ34" si="10">BK24/BI24/9*1000</f>
        <v>22988.888888888887</v>
      </c>
      <c r="BK24" s="2511">
        <f>BK25+BK26+BK27+BK28</f>
        <v>30621.199999999997</v>
      </c>
      <c r="BL24" s="2513">
        <f>BJ24/BA24</f>
        <v>0.9769986320468268</v>
      </c>
      <c r="BM24" s="2509">
        <f>BM25+BM26+BM27+BM28</f>
        <v>155</v>
      </c>
      <c r="BN24" s="2515">
        <f>BO24/BM24/12*1000</f>
        <v>25806.413978494627</v>
      </c>
      <c r="BO24" s="2514">
        <f>SUM(BO25:BO28)</f>
        <v>47999.930000000008</v>
      </c>
      <c r="BP24" s="2513">
        <f>BN24/BA24</f>
        <v>1.0967398762455789</v>
      </c>
      <c r="BQ24" s="2530">
        <f>BQ25+BQ26+BQ27+BQ28</f>
        <v>148</v>
      </c>
      <c r="BR24" s="2531">
        <f>BS24/BQ24/12*1000</f>
        <v>26725.298409525822</v>
      </c>
      <c r="BS24" s="2532">
        <f>SUM(BS25:BS28)</f>
        <v>47464.129975317854</v>
      </c>
      <c r="BT24" s="2513">
        <f>BR24/BA24</f>
        <v>1.1357912995860304</v>
      </c>
      <c r="BU24" s="2530">
        <f>BU25+BU26+BU27+BU28</f>
        <v>145</v>
      </c>
      <c r="BV24" s="2531">
        <f>BW24/BU24/12*1000</f>
        <v>23794.813793103443</v>
      </c>
      <c r="BW24" s="2532">
        <f>SUM(BW25:BW28)</f>
        <v>41402.975999999995</v>
      </c>
      <c r="BX24" s="2530">
        <f>BX25+BX26+BX27+BX28</f>
        <v>140</v>
      </c>
      <c r="BY24" s="2531">
        <f>BZ24/BX24/12*1000</f>
        <v>25072.607142857141</v>
      </c>
      <c r="BZ24" s="2532">
        <f>SUM(BZ25:BZ28)</f>
        <v>42121.979999999996</v>
      </c>
      <c r="CA24" s="2530">
        <f t="shared" ref="CA24" si="11">CA25+CA26+CA27+CA28</f>
        <v>148</v>
      </c>
      <c r="CB24" s="2531">
        <f t="shared" ref="CB24" si="12">CC24/CA24/12*1000</f>
        <v>28336.566650636127</v>
      </c>
      <c r="CC24" s="2532">
        <f t="shared" ref="CC24" si="13">SUM(CC25:CC28)</f>
        <v>50325.742371529755</v>
      </c>
      <c r="CD24" s="2530">
        <f t="shared" ref="CD24" si="14">CD25+CD26+CD27+CD28</f>
        <v>148</v>
      </c>
      <c r="CE24" s="2531">
        <f t="shared" ref="CE24" si="15">CF24/CD24/12*1000</f>
        <v>27436.993106171485</v>
      </c>
      <c r="CF24" s="2532">
        <f t="shared" ref="CF24" si="16">SUM(CF25:CF28)</f>
        <v>48728.099756560558</v>
      </c>
      <c r="CG24" s="2530">
        <f t="shared" ref="CG24" si="17">CG25+CG26+CG27+CG28</f>
        <v>148</v>
      </c>
      <c r="CH24" s="2531">
        <f t="shared" ref="CH24" si="18">CI24/CG24/12*1000</f>
        <v>29763.424699027808</v>
      </c>
      <c r="CI24" s="2532">
        <f t="shared" ref="CI24" si="19">SUM(CI25:CI28)</f>
        <v>52859.842265473388</v>
      </c>
      <c r="CJ24" s="2530">
        <f>CJ25+CJ26+CJ27+CJ28+CJ29</f>
        <v>148</v>
      </c>
      <c r="CK24" s="2531">
        <f>CL24/CJ24/12*1000</f>
        <v>31450.472972972973</v>
      </c>
      <c r="CL24" s="2532">
        <f>SUM(CL25:CL28)</f>
        <v>55856.04</v>
      </c>
      <c r="CM24" s="3026">
        <f>CM25+CM26+CM27+CM28+CM29</f>
        <v>146.20255707762556</v>
      </c>
      <c r="CN24" s="2531">
        <f>CO24/CM24/12*1000</f>
        <v>30971.534278593906</v>
      </c>
      <c r="CO24" s="1958">
        <f>SUM(CO25:CO29)</f>
        <v>54337.410097773143</v>
      </c>
      <c r="CP24" s="2536"/>
      <c r="CQ24" s="2526"/>
    </row>
    <row r="25" spans="1:95" ht="37.5" customHeight="1" x14ac:dyDescent="0.2">
      <c r="A25" s="2529" t="s">
        <v>190</v>
      </c>
      <c r="B25" s="1868" t="s">
        <v>85</v>
      </c>
      <c r="C25" s="2516">
        <v>456</v>
      </c>
      <c r="D25" s="2517">
        <v>12405</v>
      </c>
      <c r="E25" s="2518">
        <v>67882.600000000006</v>
      </c>
      <c r="F25" s="2517">
        <v>444</v>
      </c>
      <c r="G25" s="2517">
        <v>12620</v>
      </c>
      <c r="H25" s="2518">
        <f>F25*G25*12/1000</f>
        <v>67239.360000000001</v>
      </c>
      <c r="I25" s="2516">
        <v>435</v>
      </c>
      <c r="J25" s="2517">
        <v>13646</v>
      </c>
      <c r="K25" s="2512">
        <f>J25/G25</f>
        <v>1.0812995245641839</v>
      </c>
      <c r="L25" s="2518">
        <v>71232.100000000006</v>
      </c>
      <c r="M25" s="2516">
        <v>26.5</v>
      </c>
      <c r="N25" s="2517">
        <f t="shared" si="3"/>
        <v>22554.402515723272</v>
      </c>
      <c r="O25" s="2518">
        <v>7172.3</v>
      </c>
      <c r="P25" s="2513">
        <f>N25/AM9</f>
        <v>1.1772154265166728</v>
      </c>
      <c r="Q25" s="1918"/>
      <c r="R25" s="4325"/>
      <c r="S25" s="2519">
        <f>AL9</f>
        <v>26.5</v>
      </c>
      <c r="T25" s="2517">
        <f>AM9*1.056</f>
        <v>20232.022550943402</v>
      </c>
      <c r="U25" s="2518">
        <f>S25*T25*12/1000</f>
        <v>6433.7831712000025</v>
      </c>
      <c r="V25" s="2513">
        <f>T25/AM9</f>
        <v>1.056</v>
      </c>
      <c r="W25" s="2513">
        <f>T25/AY9</f>
        <v>0.85651923563968224</v>
      </c>
      <c r="X25" s="2520">
        <v>23.5</v>
      </c>
      <c r="Y25" s="2517">
        <f t="shared" si="4"/>
        <v>20790.070921985814</v>
      </c>
      <c r="Z25" s="2518">
        <v>2931.4</v>
      </c>
      <c r="AA25" s="2513">
        <f>Y25/BB9</f>
        <v>0.98254215345308094</v>
      </c>
      <c r="AB25" s="2513" t="e">
        <f>Y25/#REF!</f>
        <v>#REF!</v>
      </c>
      <c r="AC25" s="1918"/>
      <c r="AD25" s="1918"/>
      <c r="AE25" s="1918"/>
      <c r="AF25" s="1918"/>
      <c r="AG25" s="1918"/>
      <c r="AH25" s="1918"/>
      <c r="AI25" s="1918"/>
      <c r="AJ25" s="1918"/>
      <c r="AK25" s="1918"/>
      <c r="AL25" s="2516">
        <v>24</v>
      </c>
      <c r="AM25" s="2517">
        <f t="shared" si="5"/>
        <v>21343.981481481482</v>
      </c>
      <c r="AN25" s="2518">
        <v>4610.3</v>
      </c>
      <c r="AO25" s="2513">
        <f>AM25/BB9</f>
        <v>1.0087200571259218</v>
      </c>
      <c r="AP25" s="1918"/>
      <c r="AQ25" s="2516">
        <v>24</v>
      </c>
      <c r="AR25" s="2517">
        <f t="shared" si="6"/>
        <v>21852.430555555558</v>
      </c>
      <c r="AS25" s="2518">
        <v>6293.5</v>
      </c>
      <c r="AT25" s="2513">
        <f t="shared" ref="AT25:AT38" si="20">AR25/T25</f>
        <v>1.0800912514076155</v>
      </c>
      <c r="AU25" s="2516">
        <v>26.5</v>
      </c>
      <c r="AV25" s="2517">
        <f t="shared" si="7"/>
        <v>21298.113207547172</v>
      </c>
      <c r="AW25" s="2518">
        <v>6772.8</v>
      </c>
      <c r="AX25" s="2513">
        <f t="shared" ref="AX25:AX34" si="21">AV25/T25</f>
        <v>1.0526932319257454</v>
      </c>
      <c r="AY25" s="2513">
        <f>AV25/BB9</f>
        <v>1.0065523149948004</v>
      </c>
      <c r="AZ25" s="2521">
        <f>BA9</f>
        <v>22</v>
      </c>
      <c r="BA25" s="2517">
        <f>AV25</f>
        <v>21298.113207547172</v>
      </c>
      <c r="BB25" s="2518">
        <f>AZ25*BA25*12/1000</f>
        <v>5622.7018867924526</v>
      </c>
      <c r="BC25" s="2513">
        <f t="shared" si="8"/>
        <v>1.0526932319257454</v>
      </c>
      <c r="BD25" s="1918"/>
      <c r="BE25" s="2516">
        <v>24</v>
      </c>
      <c r="BF25" s="2517">
        <f t="shared" si="9"/>
        <v>21190.972222222223</v>
      </c>
      <c r="BG25" s="2518">
        <v>3051.5</v>
      </c>
      <c r="BH25" s="2513">
        <f t="shared" ref="BH25:BH38" si="22">BF25/AV25</f>
        <v>0.99496946117804541</v>
      </c>
      <c r="BI25" s="2516">
        <v>24</v>
      </c>
      <c r="BJ25" s="2517">
        <f t="shared" si="10"/>
        <v>21644.444444444442</v>
      </c>
      <c r="BK25" s="2518">
        <v>4675.2</v>
      </c>
      <c r="BL25" s="2513">
        <f t="shared" ref="BL25:BL38" si="23">BJ25/BA25</f>
        <v>1.0162611229230645</v>
      </c>
      <c r="BM25" s="2516">
        <v>26.5</v>
      </c>
      <c r="BN25" s="2517">
        <f>SUM(BA25*1.1)</f>
        <v>23427.92452830189</v>
      </c>
      <c r="BO25" s="2518">
        <f>BM25*BN25*12/1000</f>
        <v>7450.0800000000017</v>
      </c>
      <c r="BP25" s="2513">
        <f t="shared" ref="BP25:BP38" si="24">BN25/BA25</f>
        <v>1.1000000000000001</v>
      </c>
      <c r="BQ25" s="2533">
        <f>AQ25</f>
        <v>24</v>
      </c>
      <c r="BR25" s="2534">
        <f>'ЗП с факт 3 кв. 2015'!BU25</f>
        <v>24220.191666666662</v>
      </c>
      <c r="BS25" s="2535">
        <f>BQ25*BR25*12/1000</f>
        <v>6975.4151999999985</v>
      </c>
      <c r="BT25" s="2513">
        <f t="shared" ref="BT25:BT34" si="25">BR25/BA25</f>
        <v>1.1371989354476726</v>
      </c>
      <c r="BU25" s="2533">
        <v>25</v>
      </c>
      <c r="BV25" s="2534">
        <v>22802</v>
      </c>
      <c r="BW25" s="2535">
        <f>BU25*BV25*12/1000</f>
        <v>6840.6</v>
      </c>
      <c r="BX25" s="2533">
        <v>19</v>
      </c>
      <c r="BY25" s="2534">
        <v>27193</v>
      </c>
      <c r="BZ25" s="2535">
        <f>BX25*BY25*12/1000</f>
        <v>6200.0039999999999</v>
      </c>
      <c r="CA25" s="2535">
        <f>BQ25</f>
        <v>24</v>
      </c>
      <c r="CB25" s="2535">
        <f>CC25/12/CA25*1000</f>
        <v>25680.427022249991</v>
      </c>
      <c r="CC25" s="2535">
        <f>BS25*0.99*1.071</f>
        <v>7395.9629824079975</v>
      </c>
      <c r="CD25" s="2535">
        <f>CA25</f>
        <v>24</v>
      </c>
      <c r="CE25" s="2535">
        <f>CF25/12/CD25*1000</f>
        <v>24865.175370749992</v>
      </c>
      <c r="CF25" s="2535">
        <f>BS25*0.99*1.037</f>
        <v>7161.1705067759976</v>
      </c>
      <c r="CG25" s="2535">
        <f>CD25</f>
        <v>24</v>
      </c>
      <c r="CH25" s="2535">
        <f>CI25/CG25/12*1000</f>
        <v>26973.537949716923</v>
      </c>
      <c r="CI25" s="2535">
        <f>BS25*0.99*1.074*0.99*1.058</f>
        <v>7768.3789295184743</v>
      </c>
      <c r="CJ25" s="2533">
        <v>24</v>
      </c>
      <c r="CK25" s="2534">
        <v>33742</v>
      </c>
      <c r="CL25" s="2535">
        <f>CJ25*CK25*12/1000</f>
        <v>9717.6959999999999</v>
      </c>
      <c r="CM25" s="2533">
        <v>24</v>
      </c>
      <c r="CN25" s="2534">
        <f>'ЗП среднемес'!F53</f>
        <v>27214.086625</v>
      </c>
      <c r="CO25" s="2535">
        <f>CM25*CN25*12/1000</f>
        <v>7837.6569480000007</v>
      </c>
      <c r="CP25" s="3027" t="s">
        <v>1864</v>
      </c>
      <c r="CQ25" s="2526"/>
    </row>
    <row r="26" spans="1:95" ht="37.5" customHeight="1" x14ac:dyDescent="0.2">
      <c r="A26" s="2529" t="s">
        <v>191</v>
      </c>
      <c r="B26" s="1868" t="s">
        <v>87</v>
      </c>
      <c r="C26" s="2516">
        <v>384</v>
      </c>
      <c r="D26" s="2517">
        <v>11838</v>
      </c>
      <c r="E26" s="2518">
        <v>54547.199999999997</v>
      </c>
      <c r="F26" s="2517">
        <v>369</v>
      </c>
      <c r="G26" s="2517">
        <v>12231</v>
      </c>
      <c r="H26" s="2518">
        <f>F26*G26*12/1000</f>
        <v>54158.868000000002</v>
      </c>
      <c r="I26" s="2516">
        <v>364</v>
      </c>
      <c r="J26" s="2517">
        <v>13021</v>
      </c>
      <c r="K26" s="2512">
        <f>J26/G26</f>
        <v>1.0645899762897555</v>
      </c>
      <c r="L26" s="2518">
        <v>56876.800000000003</v>
      </c>
      <c r="M26" s="2520">
        <v>72.5</v>
      </c>
      <c r="N26" s="2517">
        <f t="shared" si="3"/>
        <v>24945.172413793101</v>
      </c>
      <c r="O26" s="2518">
        <v>21702.3</v>
      </c>
      <c r="P26" s="2513">
        <f>N26/AM10</f>
        <v>1.2615226133783446</v>
      </c>
      <c r="Q26" s="1918"/>
      <c r="R26" s="4325"/>
      <c r="S26" s="2519">
        <f>AL10</f>
        <v>72.5</v>
      </c>
      <c r="T26" s="2517">
        <f>AM10*1.056</f>
        <v>20881.196888275859</v>
      </c>
      <c r="U26" s="2518">
        <f>S26*T26*12/1000</f>
        <v>18166.641292799999</v>
      </c>
      <c r="V26" s="2513">
        <f>T26/AM10</f>
        <v>1.056</v>
      </c>
      <c r="W26" s="2513">
        <f>T26/AY10</f>
        <v>0.88289130639854074</v>
      </c>
      <c r="X26" s="2520">
        <v>73.5</v>
      </c>
      <c r="Y26" s="2517">
        <f t="shared" si="4"/>
        <v>19868.934240362814</v>
      </c>
      <c r="Z26" s="2518">
        <v>8762.2000000000007</v>
      </c>
      <c r="AA26" s="2513">
        <f>Y26/BB10</f>
        <v>0.9283594723885823</v>
      </c>
      <c r="AB26" s="2513" t="e">
        <f>Y26/#REF!</f>
        <v>#REF!</v>
      </c>
      <c r="AC26" s="1918"/>
      <c r="AD26" s="1918"/>
      <c r="AE26" s="1918"/>
      <c r="AF26" s="1918"/>
      <c r="AG26" s="1918"/>
      <c r="AH26" s="1918"/>
      <c r="AI26" s="1918"/>
      <c r="AJ26" s="1918"/>
      <c r="AK26" s="1918"/>
      <c r="AL26" s="2520">
        <v>75</v>
      </c>
      <c r="AM26" s="2517">
        <f t="shared" si="5"/>
        <v>20413.185185185186</v>
      </c>
      <c r="AN26" s="2518">
        <v>13778.9</v>
      </c>
      <c r="AO26" s="2513">
        <f>AM26/BB10</f>
        <v>0.95378914636454581</v>
      </c>
      <c r="AP26" s="1918"/>
      <c r="AQ26" s="2520">
        <v>74</v>
      </c>
      <c r="AR26" s="2517">
        <f t="shared" si="6"/>
        <v>20925.33783783784</v>
      </c>
      <c r="AS26" s="2518">
        <v>18581.7</v>
      </c>
      <c r="AT26" s="2513">
        <f t="shared" si="20"/>
        <v>1.0021139089774478</v>
      </c>
      <c r="AU26" s="2520">
        <v>72.5</v>
      </c>
      <c r="AV26" s="2517">
        <f t="shared" si="7"/>
        <v>21999.540229885057</v>
      </c>
      <c r="AW26" s="2518">
        <v>19139.599999999999</v>
      </c>
      <c r="AX26" s="2513">
        <f t="shared" si="21"/>
        <v>1.0535574348344521</v>
      </c>
      <c r="AY26" s="2513">
        <f>AV26/BB10</f>
        <v>1.0279102700495193</v>
      </c>
      <c r="AZ26" s="2521">
        <f>BA10</f>
        <v>72</v>
      </c>
      <c r="BA26" s="2517">
        <f>AV26</f>
        <v>21999.540229885057</v>
      </c>
      <c r="BB26" s="2518">
        <f>AZ26*BA26*12/1000</f>
        <v>19007.602758620687</v>
      </c>
      <c r="BC26" s="2513">
        <f t="shared" si="8"/>
        <v>1.0535574348344521</v>
      </c>
      <c r="BD26" s="1918"/>
      <c r="BE26" s="2520">
        <v>72</v>
      </c>
      <c r="BF26" s="2517">
        <f t="shared" si="9"/>
        <v>21250.231481481482</v>
      </c>
      <c r="BG26" s="2518">
        <v>9180.1</v>
      </c>
      <c r="BH26" s="2513">
        <f t="shared" si="22"/>
        <v>0.965939799624281</v>
      </c>
      <c r="BI26" s="2520">
        <v>74</v>
      </c>
      <c r="BJ26" s="2517">
        <f t="shared" si="10"/>
        <v>21538.138138138136</v>
      </c>
      <c r="BK26" s="2518">
        <v>14344.4</v>
      </c>
      <c r="BL26" s="2513">
        <f t="shared" si="23"/>
        <v>0.97902673933520967</v>
      </c>
      <c r="BM26" s="2520">
        <v>72.5</v>
      </c>
      <c r="BN26" s="2517">
        <f t="shared" ref="BN26:BN34" si="26">SUM(BA26*1.1)</f>
        <v>24199.494252873563</v>
      </c>
      <c r="BO26" s="2518">
        <f>BM26*BN26*12/1000</f>
        <v>21053.56</v>
      </c>
      <c r="BP26" s="2513">
        <f t="shared" si="24"/>
        <v>1.1000000000000001</v>
      </c>
      <c r="BQ26" s="2533">
        <f t="shared" ref="BQ26:BQ28" si="27">AQ26</f>
        <v>74</v>
      </c>
      <c r="BR26" s="2534">
        <f>'ЗП с факт 3 кв. 2015'!BU26</f>
        <v>25326.293150684927</v>
      </c>
      <c r="BS26" s="2535">
        <f>BQ26*BR26*12/1000</f>
        <v>22489.748317808218</v>
      </c>
      <c r="BT26" s="2513">
        <f t="shared" si="25"/>
        <v>1.1512192021304462</v>
      </c>
      <c r="BU26" s="2533">
        <v>74</v>
      </c>
      <c r="BV26" s="2534">
        <v>22320</v>
      </c>
      <c r="BW26" s="2535">
        <f>BU26*BV26*12/1000</f>
        <v>19820.16</v>
      </c>
      <c r="BX26" s="2533">
        <v>78</v>
      </c>
      <c r="BY26" s="2534">
        <v>23280</v>
      </c>
      <c r="BZ26" s="2535">
        <f>BX26*BY26*12/1000</f>
        <v>21790.080000000002</v>
      </c>
      <c r="CA26" s="2535">
        <f t="shared" ref="CA26:CA28" si="28">BQ26</f>
        <v>74</v>
      </c>
      <c r="CB26" s="2535">
        <f t="shared" ref="CB26:CB28" si="29">CC26/12/CA26*1000</f>
        <v>26853.215364739717</v>
      </c>
      <c r="CC26" s="2535">
        <f t="shared" ref="CC26:CC28" si="30">BS26*0.99*1.071</f>
        <v>23845.655243888872</v>
      </c>
      <c r="CD26" s="2535">
        <f t="shared" ref="CD26:CD28" si="31">CA26</f>
        <v>74</v>
      </c>
      <c r="CE26" s="2535">
        <f t="shared" ref="CE26:CE28" si="32">CF26/12/CD26*1000</f>
        <v>26000.732337287667</v>
      </c>
      <c r="CF26" s="2535">
        <f t="shared" ref="CF26:CF28" si="33">BS26*0.99*1.037</f>
        <v>23088.650315511448</v>
      </c>
      <c r="CG26" s="2535">
        <f t="shared" ref="CG26:CG28" si="34">CD26</f>
        <v>74</v>
      </c>
      <c r="CH26" s="2535">
        <f t="shared" ref="CH26:CH28" si="35">CI26/CG26/12*1000</f>
        <v>28205.380817272198</v>
      </c>
      <c r="CI26" s="2535">
        <f t="shared" ref="CI26:CI28" si="36">BS26*0.99*1.074*0.99*1.058</f>
        <v>25046.378165737715</v>
      </c>
      <c r="CJ26" s="2533">
        <v>70</v>
      </c>
      <c r="CK26" s="2534">
        <v>32321</v>
      </c>
      <c r="CL26" s="2535">
        <f>CJ26*CK26*12/1000</f>
        <v>27149.64</v>
      </c>
      <c r="CM26" s="2533">
        <v>70</v>
      </c>
      <c r="CN26" s="2534">
        <f>'ЗП среднемес'!H53</f>
        <v>30826.575999999997</v>
      </c>
      <c r="CO26" s="2535">
        <f>CM26*CN26*12/1000</f>
        <v>25894.323839999997</v>
      </c>
      <c r="CP26" s="3028"/>
      <c r="CQ26" s="2526"/>
    </row>
    <row r="27" spans="1:95" ht="37.5" customHeight="1" x14ac:dyDescent="0.2">
      <c r="A27" s="2529" t="s">
        <v>199</v>
      </c>
      <c r="B27" s="1868" t="s">
        <v>88</v>
      </c>
      <c r="C27" s="2516"/>
      <c r="D27" s="2517"/>
      <c r="E27" s="2518"/>
      <c r="F27" s="2517"/>
      <c r="G27" s="2517"/>
      <c r="H27" s="2518"/>
      <c r="I27" s="2516"/>
      <c r="J27" s="2517"/>
      <c r="K27" s="2512"/>
      <c r="L27" s="2518"/>
      <c r="M27" s="2516">
        <v>31</v>
      </c>
      <c r="N27" s="2517">
        <f t="shared" si="3"/>
        <v>30275.806451612905</v>
      </c>
      <c r="O27" s="2518">
        <v>11262.6</v>
      </c>
      <c r="P27" s="2513">
        <f>N27/AM11</f>
        <v>1.2088401473413275</v>
      </c>
      <c r="Q27" s="1918"/>
      <c r="R27" s="4325"/>
      <c r="S27" s="2519">
        <f>AL11</f>
        <v>31</v>
      </c>
      <c r="T27" s="2517">
        <f>AM11*1.056</f>
        <v>26447.873759999999</v>
      </c>
      <c r="U27" s="2518">
        <f>S27*T27*12/1000</f>
        <v>9838.6090387200002</v>
      </c>
      <c r="V27" s="2513">
        <f>T27/AM11</f>
        <v>1.056</v>
      </c>
      <c r="W27" s="2513">
        <f>T27/AY11</f>
        <v>0.92042627549755296</v>
      </c>
      <c r="X27" s="2520">
        <v>29.33</v>
      </c>
      <c r="Y27" s="2517">
        <f t="shared" si="4"/>
        <v>25010.796681441076</v>
      </c>
      <c r="Z27" s="2518">
        <v>4401.3999999999996</v>
      </c>
      <c r="AA27" s="2513">
        <f>Y27/BB11</f>
        <v>0.95682926073099828</v>
      </c>
      <c r="AB27" s="2513" t="e">
        <f>Y27/#REF!</f>
        <v>#REF!</v>
      </c>
      <c r="AC27" s="1918"/>
      <c r="AD27" s="1918"/>
      <c r="AE27" s="1918"/>
      <c r="AF27" s="1918"/>
      <c r="AG27" s="1918"/>
      <c r="AH27" s="1918"/>
      <c r="AI27" s="1918"/>
      <c r="AJ27" s="1918"/>
      <c r="AK27" s="1918"/>
      <c r="AL27" s="2516">
        <v>28</v>
      </c>
      <c r="AM27" s="2517">
        <f t="shared" si="5"/>
        <v>27159.920634920636</v>
      </c>
      <c r="AN27" s="2518">
        <v>6844.3</v>
      </c>
      <c r="AO27" s="2513">
        <f>AM27/BB11</f>
        <v>1.039047540692988</v>
      </c>
      <c r="AP27" s="1918"/>
      <c r="AQ27" s="2516">
        <v>29</v>
      </c>
      <c r="AR27" s="2517">
        <f t="shared" si="6"/>
        <v>26195.689655172417</v>
      </c>
      <c r="AS27" s="2518">
        <v>9116.1</v>
      </c>
      <c r="AT27" s="2513">
        <f t="shared" si="20"/>
        <v>0.99046486280462409</v>
      </c>
      <c r="AU27" s="2516">
        <v>31</v>
      </c>
      <c r="AV27" s="2517">
        <f t="shared" si="7"/>
        <v>27862.365591397847</v>
      </c>
      <c r="AW27" s="2518">
        <v>10364.799999999999</v>
      </c>
      <c r="AX27" s="2513">
        <f t="shared" si="21"/>
        <v>1.0534822513232478</v>
      </c>
      <c r="AY27" s="2513">
        <f>AV27/BB11</f>
        <v>1.0659207305785803</v>
      </c>
      <c r="AZ27" s="2521">
        <f>BA11</f>
        <v>31</v>
      </c>
      <c r="BA27" s="2517">
        <f>AV27</f>
        <v>27862.365591397847</v>
      </c>
      <c r="BB27" s="2518">
        <f>AZ27*BA27*12/1000</f>
        <v>10364.799999999999</v>
      </c>
      <c r="BC27" s="2513">
        <f t="shared" si="8"/>
        <v>1.0534822513232478</v>
      </c>
      <c r="BD27" s="1918"/>
      <c r="BE27" s="2516">
        <v>28</v>
      </c>
      <c r="BF27" s="2517">
        <f t="shared" si="9"/>
        <v>26782.738095238099</v>
      </c>
      <c r="BG27" s="2518">
        <v>4499.5</v>
      </c>
      <c r="BH27" s="2513">
        <f t="shared" si="22"/>
        <v>0.96125140585718716</v>
      </c>
      <c r="BI27" s="2516">
        <v>29</v>
      </c>
      <c r="BJ27" s="2517">
        <f t="shared" si="10"/>
        <v>26555.938697318008</v>
      </c>
      <c r="BK27" s="2518">
        <v>6931.1</v>
      </c>
      <c r="BL27" s="2513">
        <f t="shared" si="23"/>
        <v>0.95311141511677022</v>
      </c>
      <c r="BM27" s="2516">
        <v>31</v>
      </c>
      <c r="BN27" s="2517">
        <f t="shared" si="26"/>
        <v>30648.602150537634</v>
      </c>
      <c r="BO27" s="2518">
        <f>BM27*BN27*12/1000</f>
        <v>11401.28</v>
      </c>
      <c r="BP27" s="2513">
        <f t="shared" si="24"/>
        <v>1.1000000000000001</v>
      </c>
      <c r="BQ27" s="2533">
        <f t="shared" si="27"/>
        <v>29</v>
      </c>
      <c r="BR27" s="2534">
        <f>'ЗП с факт 3 кв. 2015'!BU27</f>
        <v>30544.308771929835</v>
      </c>
      <c r="BS27" s="2535">
        <f>BQ27*BR27*12/1000</f>
        <v>10629.419452631584</v>
      </c>
      <c r="BT27" s="2513">
        <f t="shared" si="25"/>
        <v>1.0962568369054781</v>
      </c>
      <c r="BU27" s="2533">
        <v>28</v>
      </c>
      <c r="BV27" s="2534">
        <v>27648</v>
      </c>
      <c r="BW27" s="2535">
        <f>BU27*BV27*12/1000</f>
        <v>9289.7279999999992</v>
      </c>
      <c r="BX27" s="2533">
        <v>25</v>
      </c>
      <c r="BY27" s="2534">
        <v>28184</v>
      </c>
      <c r="BZ27" s="2535">
        <f>BX27*BY27*12/1000</f>
        <v>8455.2000000000007</v>
      </c>
      <c r="CA27" s="2535">
        <f t="shared" si="28"/>
        <v>29</v>
      </c>
      <c r="CB27" s="2535">
        <f t="shared" si="29"/>
        <v>32385.825147789488</v>
      </c>
      <c r="CC27" s="2535">
        <f t="shared" si="30"/>
        <v>11270.267151430742</v>
      </c>
      <c r="CD27" s="2535">
        <f t="shared" si="31"/>
        <v>29</v>
      </c>
      <c r="CE27" s="2535">
        <f t="shared" si="32"/>
        <v>31357.703714526331</v>
      </c>
      <c r="CF27" s="2535">
        <f t="shared" si="33"/>
        <v>10912.480892655163</v>
      </c>
      <c r="CG27" s="2535">
        <f t="shared" si="34"/>
        <v>29</v>
      </c>
      <c r="CH27" s="2535">
        <f t="shared" si="35"/>
        <v>34016.579354382535</v>
      </c>
      <c r="CI27" s="2535">
        <f t="shared" si="36"/>
        <v>11837.769615325124</v>
      </c>
      <c r="CJ27" s="2533">
        <v>28</v>
      </c>
      <c r="CK27" s="2534">
        <v>35526</v>
      </c>
      <c r="CL27" s="2535">
        <f>CJ27*CK27*12/1000</f>
        <v>11936.736000000001</v>
      </c>
      <c r="CM27" s="2533">
        <v>28</v>
      </c>
      <c r="CN27" s="2534">
        <f>'ЗП среднемес'!J53</f>
        <v>34679.898000000001</v>
      </c>
      <c r="CO27" s="2535">
        <f>CM27*CN27*12/1000</f>
        <v>11652.445728000001</v>
      </c>
      <c r="CP27" s="3028"/>
      <c r="CQ27" s="2526"/>
    </row>
    <row r="28" spans="1:95" ht="37.5" customHeight="1" x14ac:dyDescent="0.2">
      <c r="A28" s="2529" t="s">
        <v>200</v>
      </c>
      <c r="B28" s="1868" t="s">
        <v>89</v>
      </c>
      <c r="C28" s="2516"/>
      <c r="D28" s="2517"/>
      <c r="E28" s="2518"/>
      <c r="F28" s="2517"/>
      <c r="G28" s="2517"/>
      <c r="H28" s="2518"/>
      <c r="I28" s="2516"/>
      <c r="J28" s="2517"/>
      <c r="K28" s="2512"/>
      <c r="L28" s="2518"/>
      <c r="M28" s="2516">
        <v>25</v>
      </c>
      <c r="N28" s="2517">
        <f t="shared" si="3"/>
        <v>25887.333333333332</v>
      </c>
      <c r="O28" s="2518">
        <v>7766.2</v>
      </c>
      <c r="P28" s="2513">
        <f>N28/AM12</f>
        <v>1.174441454882867</v>
      </c>
      <c r="Q28" s="1918"/>
      <c r="R28" s="4325"/>
      <c r="S28" s="2519">
        <f>AL12</f>
        <v>25</v>
      </c>
      <c r="T28" s="2517">
        <f>AM12*1.056</f>
        <v>23276.617056000003</v>
      </c>
      <c r="U28" s="2518">
        <f>S28*T28*12/1000</f>
        <v>6982.9851168000005</v>
      </c>
      <c r="V28" s="2513">
        <f>T28/AM12</f>
        <v>1.056</v>
      </c>
      <c r="W28" s="2513">
        <f>T28/AY12</f>
        <v>0.90490684179970982</v>
      </c>
      <c r="X28" s="2520">
        <v>22</v>
      </c>
      <c r="Y28" s="2517">
        <f t="shared" si="4"/>
        <v>23571.9696969697</v>
      </c>
      <c r="Z28" s="2518">
        <v>3111.5</v>
      </c>
      <c r="AA28" s="2513">
        <f>Y28/BB12</f>
        <v>1.0326656214446632</v>
      </c>
      <c r="AB28" s="2513" t="e">
        <f>Y28/#REF!</f>
        <v>#REF!</v>
      </c>
      <c r="AC28" s="1918"/>
      <c r="AD28" s="1918"/>
      <c r="AE28" s="1918"/>
      <c r="AF28" s="1918"/>
      <c r="AG28" s="1918"/>
      <c r="AH28" s="1918"/>
      <c r="AI28" s="1918"/>
      <c r="AJ28" s="1918"/>
      <c r="AK28" s="1918"/>
      <c r="AL28" s="2516">
        <v>21</v>
      </c>
      <c r="AM28" s="2517">
        <f t="shared" si="5"/>
        <v>25835.449735449733</v>
      </c>
      <c r="AN28" s="2518">
        <v>4882.8999999999996</v>
      </c>
      <c r="AO28" s="2513">
        <f>AM28/BB12</f>
        <v>1.1318265337745761</v>
      </c>
      <c r="AP28" s="1918"/>
      <c r="AQ28" s="2516">
        <v>21</v>
      </c>
      <c r="AR28" s="2517">
        <f t="shared" si="6"/>
        <v>25590.476190476191</v>
      </c>
      <c r="AS28" s="2518">
        <v>6448.8</v>
      </c>
      <c r="AT28" s="2513">
        <f t="shared" si="20"/>
        <v>1.0994070198822017</v>
      </c>
      <c r="AU28" s="2516">
        <v>25</v>
      </c>
      <c r="AV28" s="2517">
        <f t="shared" si="7"/>
        <v>24530.333333333336</v>
      </c>
      <c r="AW28" s="2518">
        <v>7359.1</v>
      </c>
      <c r="AX28" s="2513">
        <f t="shared" si="21"/>
        <v>1.0538616189078114</v>
      </c>
      <c r="AY28" s="2513">
        <f>AV28/BB12</f>
        <v>1.0746506228186743</v>
      </c>
      <c r="AZ28" s="2521">
        <f>BA12</f>
        <v>25</v>
      </c>
      <c r="BA28" s="2517">
        <f>AV28</f>
        <v>24530.333333333336</v>
      </c>
      <c r="BB28" s="2518">
        <f>AZ28*BA28*12/1000</f>
        <v>7359.1</v>
      </c>
      <c r="BC28" s="2513">
        <f t="shared" si="8"/>
        <v>1.0538616189078114</v>
      </c>
      <c r="BD28" s="1918"/>
      <c r="BE28" s="2516">
        <v>20</v>
      </c>
      <c r="BF28" s="2517">
        <f t="shared" si="9"/>
        <v>24965.833333333336</v>
      </c>
      <c r="BG28" s="2518">
        <v>2995.9</v>
      </c>
      <c r="BH28" s="2513">
        <f t="shared" si="22"/>
        <v>1.0177535296435705</v>
      </c>
      <c r="BI28" s="2516">
        <v>21</v>
      </c>
      <c r="BJ28" s="2517">
        <f t="shared" si="10"/>
        <v>24711.640211640213</v>
      </c>
      <c r="BK28" s="2518">
        <v>4670.5</v>
      </c>
      <c r="BL28" s="2513">
        <f t="shared" si="23"/>
        <v>1.0073911298245795</v>
      </c>
      <c r="BM28" s="2516">
        <v>25</v>
      </c>
      <c r="BN28" s="2517">
        <f t="shared" si="26"/>
        <v>26983.366666666672</v>
      </c>
      <c r="BO28" s="2518">
        <f>BM28*BN28*12/1000</f>
        <v>8095.010000000002</v>
      </c>
      <c r="BP28" s="2513">
        <f t="shared" si="24"/>
        <v>1.1000000000000001</v>
      </c>
      <c r="BQ28" s="2533">
        <f t="shared" si="27"/>
        <v>21</v>
      </c>
      <c r="BR28" s="2534">
        <f>'ЗП с факт 3 кв. 2015'!BU28</f>
        <v>29244.234146341467</v>
      </c>
      <c r="BS28" s="2535">
        <f>BQ28*BR28*12/1000</f>
        <v>7369.5470048780498</v>
      </c>
      <c r="BT28" s="2513">
        <f t="shared" si="25"/>
        <v>1.1921661947659958</v>
      </c>
      <c r="BU28" s="2533">
        <v>18</v>
      </c>
      <c r="BV28" s="2534">
        <v>25243</v>
      </c>
      <c r="BW28" s="2535">
        <f>BU28*BV28*12/1000</f>
        <v>5452.4880000000003</v>
      </c>
      <c r="BX28" s="2533">
        <v>18</v>
      </c>
      <c r="BY28" s="2534">
        <v>26281</v>
      </c>
      <c r="BZ28" s="2535">
        <f>BX28*BY28*12/1000</f>
        <v>5676.6959999999999</v>
      </c>
      <c r="CA28" s="2535">
        <f t="shared" si="28"/>
        <v>21</v>
      </c>
      <c r="CB28" s="2535">
        <f t="shared" si="29"/>
        <v>31007.369023024396</v>
      </c>
      <c r="CC28" s="2535">
        <f t="shared" si="30"/>
        <v>7813.8569938021474</v>
      </c>
      <c r="CD28" s="2535">
        <f t="shared" si="31"/>
        <v>21</v>
      </c>
      <c r="CE28" s="2535">
        <f t="shared" si="32"/>
        <v>30023.008101658535</v>
      </c>
      <c r="CF28" s="2535">
        <f t="shared" si="33"/>
        <v>7565.7980416179516</v>
      </c>
      <c r="CG28" s="2535">
        <f t="shared" si="34"/>
        <v>21</v>
      </c>
      <c r="CH28" s="2535">
        <f t="shared" si="35"/>
        <v>32568.712519413013</v>
      </c>
      <c r="CI28" s="2535">
        <f t="shared" si="36"/>
        <v>8207.3155548920786</v>
      </c>
      <c r="CJ28" s="2533">
        <v>18</v>
      </c>
      <c r="CK28" s="2534">
        <v>32648</v>
      </c>
      <c r="CL28" s="2535">
        <f>CJ28*CK28*12/1000</f>
        <v>7051.9679999999998</v>
      </c>
      <c r="CM28" s="2533">
        <v>18</v>
      </c>
      <c r="CN28" s="2534">
        <f>'ЗП среднемес'!H53</f>
        <v>30826.575999999997</v>
      </c>
      <c r="CO28" s="2535">
        <f>CM28*CN28*12/1000</f>
        <v>6658.5404159999989</v>
      </c>
      <c r="CP28" s="3029"/>
      <c r="CQ28" s="2526"/>
    </row>
    <row r="29" spans="1:95" ht="57" customHeight="1" x14ac:dyDescent="0.2">
      <c r="A29" s="2529" t="s">
        <v>1618</v>
      </c>
      <c r="B29" s="2643" t="s">
        <v>1994</v>
      </c>
      <c r="C29" s="2516"/>
      <c r="D29" s="2517"/>
      <c r="E29" s="2518"/>
      <c r="F29" s="2517"/>
      <c r="G29" s="2517"/>
      <c r="H29" s="2518"/>
      <c r="I29" s="2516"/>
      <c r="J29" s="2517"/>
      <c r="K29" s="2512"/>
      <c r="L29" s="2518"/>
      <c r="M29" s="2516"/>
      <c r="N29" s="2517"/>
      <c r="O29" s="2518"/>
      <c r="P29" s="2513"/>
      <c r="Q29" s="1918"/>
      <c r="R29" s="4325"/>
      <c r="S29" s="2519"/>
      <c r="T29" s="2517"/>
      <c r="U29" s="2518"/>
      <c r="V29" s="2513"/>
      <c r="W29" s="2513"/>
      <c r="X29" s="2520"/>
      <c r="Y29" s="2517"/>
      <c r="Z29" s="2518"/>
      <c r="AA29" s="2513"/>
      <c r="AB29" s="2513"/>
      <c r="AC29" s="1918"/>
      <c r="AD29" s="1918"/>
      <c r="AE29" s="1918"/>
      <c r="AF29" s="1918"/>
      <c r="AG29" s="1918"/>
      <c r="AH29" s="1918"/>
      <c r="AI29" s="1918"/>
      <c r="AJ29" s="1918"/>
      <c r="AK29" s="1918"/>
      <c r="AL29" s="2516"/>
      <c r="AM29" s="2517"/>
      <c r="AN29" s="2518"/>
      <c r="AO29" s="2513"/>
      <c r="AP29" s="1918"/>
      <c r="AQ29" s="2516"/>
      <c r="AR29" s="2517"/>
      <c r="AS29" s="2518"/>
      <c r="AT29" s="2513"/>
      <c r="AU29" s="2516"/>
      <c r="AV29" s="2517"/>
      <c r="AW29" s="2518"/>
      <c r="AX29" s="2513"/>
      <c r="AY29" s="2513"/>
      <c r="AZ29" s="2521"/>
      <c r="BA29" s="2517"/>
      <c r="BB29" s="2518"/>
      <c r="BC29" s="2513"/>
      <c r="BD29" s="1918"/>
      <c r="BE29" s="2516"/>
      <c r="BF29" s="2517"/>
      <c r="BG29" s="2518"/>
      <c r="BH29" s="2513"/>
      <c r="BI29" s="2516"/>
      <c r="BJ29" s="2517"/>
      <c r="BK29" s="2518"/>
      <c r="BL29" s="2513"/>
      <c r="BM29" s="2516"/>
      <c r="BN29" s="2517"/>
      <c r="BO29" s="2518"/>
      <c r="BP29" s="2513"/>
      <c r="BQ29" s="2533"/>
      <c r="BR29" s="2534"/>
      <c r="BS29" s="2535"/>
      <c r="BT29" s="2513"/>
      <c r="BU29" s="2533"/>
      <c r="BV29" s="2534"/>
      <c r="BW29" s="2535"/>
      <c r="BX29" s="2533"/>
      <c r="BY29" s="2534"/>
      <c r="BZ29" s="2535"/>
      <c r="CA29" s="2535"/>
      <c r="CB29" s="2535"/>
      <c r="CC29" s="2535"/>
      <c r="CD29" s="2535"/>
      <c r="CE29" s="2535"/>
      <c r="CF29" s="2535"/>
      <c r="CG29" s="2535"/>
      <c r="CH29" s="2535"/>
      <c r="CI29" s="2535"/>
      <c r="CJ29" s="2533">
        <v>8</v>
      </c>
      <c r="CK29" s="2534">
        <f>CL29/CJ29/12*1000</f>
        <v>35088.541666666664</v>
      </c>
      <c r="CL29" s="2535">
        <v>3368.5</v>
      </c>
      <c r="CM29" s="3025">
        <f>'3 подъем зпл'!B19</f>
        <v>6.2025570776255705</v>
      </c>
      <c r="CN29" s="2534">
        <f>'ЗП среднемес'!H53</f>
        <v>30826.575999999997</v>
      </c>
      <c r="CO29" s="2535">
        <f>CM29*CN29*12/1000</f>
        <v>2294.4431657731507</v>
      </c>
      <c r="CP29" s="3013" t="s">
        <v>3571</v>
      </c>
      <c r="CQ29" s="2526"/>
    </row>
    <row r="30" spans="1:95" ht="63" customHeight="1" x14ac:dyDescent="0.2">
      <c r="A30" s="2528" t="s">
        <v>192</v>
      </c>
      <c r="B30" s="1869" t="s">
        <v>202</v>
      </c>
      <c r="C30" s="2509">
        <v>840</v>
      </c>
      <c r="D30" s="2510">
        <v>12146</v>
      </c>
      <c r="E30" s="2511">
        <v>122429.8</v>
      </c>
      <c r="F30" s="2510">
        <f>F31+F32</f>
        <v>813</v>
      </c>
      <c r="G30" s="2510">
        <f>(G31*F31+G32*F32)/(F31+F32)</f>
        <v>12443.442804428045</v>
      </c>
      <c r="H30" s="2511">
        <f>H32+H31</f>
        <v>121398.228</v>
      </c>
      <c r="I30" s="2509">
        <v>799</v>
      </c>
      <c r="J30" s="2510">
        <v>13361</v>
      </c>
      <c r="K30" s="2512">
        <f>J30/G30</f>
        <v>1.07373820975377</v>
      </c>
      <c r="L30" s="2511">
        <v>128108.9</v>
      </c>
      <c r="M30" s="2509">
        <f>M31+M32+M33+M34</f>
        <v>105</v>
      </c>
      <c r="N30" s="2510">
        <f t="shared" si="3"/>
        <v>28668.650793650795</v>
      </c>
      <c r="O30" s="2511">
        <f>O31+O32+O33+O34</f>
        <v>36122.5</v>
      </c>
      <c r="P30" s="2513">
        <f>N30/AM14</f>
        <v>1.2088032234986785</v>
      </c>
      <c r="Q30" s="1918"/>
      <c r="R30" s="4325"/>
      <c r="S30" s="2514">
        <f>SUM(S31:S34)</f>
        <v>96</v>
      </c>
      <c r="T30" s="2515">
        <f>U30/S30/12*1000</f>
        <v>25224.382875999996</v>
      </c>
      <c r="U30" s="2514">
        <f>SUM(U31:U34)</f>
        <v>29058.489073151999</v>
      </c>
      <c r="V30" s="2513">
        <f>T30/AM14</f>
        <v>1.0635769206839176</v>
      </c>
      <c r="W30" s="1918"/>
      <c r="X30" s="2509">
        <f>X31+X32+X33+X34</f>
        <v>95</v>
      </c>
      <c r="Y30" s="2510">
        <f t="shared" si="4"/>
        <v>22836.666666666668</v>
      </c>
      <c r="Z30" s="2511">
        <f>Z31+Z32+Z33+Z34</f>
        <v>13016.900000000001</v>
      </c>
      <c r="AA30" s="2513">
        <f>Y30/BB14</f>
        <v>0.92274432731820633</v>
      </c>
      <c r="AB30" s="1918"/>
      <c r="AC30" s="1918"/>
      <c r="AD30" s="1918"/>
      <c r="AE30" s="1918"/>
      <c r="AF30" s="1918"/>
      <c r="AG30" s="1918"/>
      <c r="AH30" s="1918"/>
      <c r="AI30" s="1918"/>
      <c r="AJ30" s="1918"/>
      <c r="AK30" s="1918"/>
      <c r="AL30" s="2509">
        <f>AL31+AL32+AL33+AL34</f>
        <v>94</v>
      </c>
      <c r="AM30" s="2510">
        <f t="shared" si="5"/>
        <v>23876.59574468085</v>
      </c>
      <c r="AN30" s="2511">
        <f>AN31+AN32+AN33+AN34</f>
        <v>20199.599999999999</v>
      </c>
      <c r="AO30" s="2513">
        <f>AM30/BB14</f>
        <v>0.96476397368592659</v>
      </c>
      <c r="AP30" s="1918"/>
      <c r="AQ30" s="2509">
        <f>AQ31+AQ32+AQ33+AQ34</f>
        <v>94</v>
      </c>
      <c r="AR30" s="2510">
        <f t="shared" si="6"/>
        <v>24074.734042553187</v>
      </c>
      <c r="AS30" s="2511">
        <f>AS31+AS32+AS33+AS34</f>
        <v>27156.3</v>
      </c>
      <c r="AT30" s="2513">
        <f t="shared" si="20"/>
        <v>0.95442311357632248</v>
      </c>
      <c r="AU30" s="2509">
        <f>AU31+AU32+AU33+AU34</f>
        <v>105</v>
      </c>
      <c r="AV30" s="2510">
        <f t="shared" si="7"/>
        <v>28668.650793650795</v>
      </c>
      <c r="AW30" s="2511">
        <f>AW31+AW32+AW33+AW34</f>
        <v>36122.5</v>
      </c>
      <c r="AX30" s="2513">
        <f t="shared" si="21"/>
        <v>1.1365451806921265</v>
      </c>
      <c r="AY30" s="2522">
        <f>AV30/BB14</f>
        <v>1.1583930035779242</v>
      </c>
      <c r="AZ30" s="2514">
        <f>SUM(AZ31:AZ34)</f>
        <v>98</v>
      </c>
      <c r="BA30" s="2515">
        <f>BB30/AZ30/12*1000</f>
        <v>28763.121622082414</v>
      </c>
      <c r="BB30" s="2514">
        <f>SUM(BB31:BB34)</f>
        <v>33825.43102756892</v>
      </c>
      <c r="BC30" s="2513">
        <f t="shared" si="8"/>
        <v>1.1402903993123807</v>
      </c>
      <c r="BD30" s="1918"/>
      <c r="BE30" s="2509">
        <f>BE31+BE32+BE33+BE34</f>
        <v>94</v>
      </c>
      <c r="BF30" s="2510">
        <f t="shared" si="9"/>
        <v>23914.007092198586</v>
      </c>
      <c r="BG30" s="2511">
        <f>BG31+BG32+BG33+BG34</f>
        <v>13487.5</v>
      </c>
      <c r="BH30" s="2513">
        <f t="shared" si="22"/>
        <v>0.83415181496768542</v>
      </c>
      <c r="BI30" s="2509">
        <f>BI31+BI32+BI33+BI34</f>
        <v>94</v>
      </c>
      <c r="BJ30" s="2510">
        <f t="shared" si="10"/>
        <v>24833.096926713952</v>
      </c>
      <c r="BK30" s="2511">
        <f>BK31+BK32+BK33+BK34</f>
        <v>21008.800000000003</v>
      </c>
      <c r="BL30" s="2513">
        <f t="shared" si="23"/>
        <v>0.86336584926334103</v>
      </c>
      <c r="BM30" s="2509">
        <f>BM31+BM32+BM33+BM34</f>
        <v>105</v>
      </c>
      <c r="BN30" s="2515">
        <f>BO30/BM30/12*1000</f>
        <v>31535.515873015873</v>
      </c>
      <c r="BO30" s="2514">
        <f>SUM(BO31:BO34)</f>
        <v>39734.75</v>
      </c>
      <c r="BP30" s="2513">
        <f t="shared" si="24"/>
        <v>1.0963871128926772</v>
      </c>
      <c r="BQ30" s="2530">
        <f>BQ31+BQ32+BQ33+BQ34</f>
        <v>94</v>
      </c>
      <c r="BR30" s="2531">
        <f>BS30/BQ30/12*1000</f>
        <v>28606.666659040642</v>
      </c>
      <c r="BS30" s="2532">
        <f>SUM(BS31:BS34)</f>
        <v>32268.319991397846</v>
      </c>
      <c r="BT30" s="2513">
        <f t="shared" si="25"/>
        <v>0.99456057082060056</v>
      </c>
      <c r="BU30" s="2530">
        <f>BU31+BU32+BU33+BU34</f>
        <v>92</v>
      </c>
      <c r="BV30" s="2531">
        <f>BW30/BU30/12*1000</f>
        <v>27420.467391304352</v>
      </c>
      <c r="BW30" s="2532">
        <f>SUM(BW31:BW34)</f>
        <v>30272.196000000004</v>
      </c>
      <c r="BX30" s="2530">
        <f>BX31+BX32+BX33+BX34</f>
        <v>93</v>
      </c>
      <c r="BY30" s="2531">
        <f>BZ30/BX30/12*1000</f>
        <v>26876.440860215054</v>
      </c>
      <c r="BZ30" s="2532">
        <f>SUM(BZ31:BZ34)</f>
        <v>29994.108000000004</v>
      </c>
      <c r="CA30" s="2530">
        <f t="shared" ref="CA30" si="37">CA31+CA32+CA33+CA34</f>
        <v>94</v>
      </c>
      <c r="CB30" s="2531">
        <f t="shared" ref="CB30" si="38">CC30/CA30/12*1000</f>
        <v>30331.362591914203</v>
      </c>
      <c r="CC30" s="2532">
        <f t="shared" ref="CC30" si="39">SUM(CC31:CC34)</f>
        <v>34213.777003679221</v>
      </c>
      <c r="CD30" s="2530">
        <f t="shared" ref="CD30" si="40">CD31+CD32+CD33+CD34</f>
        <v>94</v>
      </c>
      <c r="CE30" s="2531">
        <f t="shared" ref="CE30" si="41">CF30/CD30/12*1000</f>
        <v>29368.462192170893</v>
      </c>
      <c r="CF30" s="2532">
        <f t="shared" ref="CF30" si="42">SUM(CF31:CF34)</f>
        <v>33127.625352768766</v>
      </c>
      <c r="CG30" s="2530">
        <f t="shared" ref="CG30" si="43">CG31+CG32+CG33+CG34</f>
        <v>94</v>
      </c>
      <c r="CH30" s="2531">
        <f t="shared" ref="CH30:CH34" si="44">CI30/CG30/12*1000</f>
        <v>31858.666494555055</v>
      </c>
      <c r="CI30" s="2532">
        <f t="shared" ref="CI30" si="45">SUM(CI31:CI34)</f>
        <v>35936.575805858105</v>
      </c>
      <c r="CJ30" s="2530">
        <f>CJ31+CJ32+CJ33+CJ34</f>
        <v>95</v>
      </c>
      <c r="CK30" s="2531">
        <f>CL30/CJ30/12*1000</f>
        <v>34424.473684210527</v>
      </c>
      <c r="CL30" s="2532">
        <f>SUM(CL31:CL34)</f>
        <v>39243.9</v>
      </c>
      <c r="CM30" s="2530">
        <f>CM31+CM32+CM33+CM34</f>
        <v>95</v>
      </c>
      <c r="CN30" s="2531">
        <f>CO30/CM30/12*1000</f>
        <v>32976.324063157896</v>
      </c>
      <c r="CO30" s="1958">
        <f>SUM(CO31:CO34)</f>
        <v>37593.009431999999</v>
      </c>
      <c r="CP30" s="2537"/>
      <c r="CQ30" s="2526"/>
    </row>
    <row r="31" spans="1:95" ht="37.5" customHeight="1" x14ac:dyDescent="0.2">
      <c r="A31" s="2529" t="s">
        <v>193</v>
      </c>
      <c r="B31" s="1868" t="s">
        <v>91</v>
      </c>
      <c r="C31" s="2516">
        <v>456</v>
      </c>
      <c r="D31" s="2517">
        <v>12405</v>
      </c>
      <c r="E31" s="2518">
        <v>67882.600000000006</v>
      </c>
      <c r="F31" s="2517">
        <v>444</v>
      </c>
      <c r="G31" s="2517">
        <v>12620</v>
      </c>
      <c r="H31" s="2518">
        <f>F31*G31*12/1000</f>
        <v>67239.360000000001</v>
      </c>
      <c r="I31" s="2516">
        <v>435</v>
      </c>
      <c r="J31" s="2517">
        <v>13646</v>
      </c>
      <c r="K31" s="2512">
        <f>J31/G31</f>
        <v>1.0812995245641839</v>
      </c>
      <c r="L31" s="2518">
        <v>71232.100000000006</v>
      </c>
      <c r="M31" s="2516">
        <v>30</v>
      </c>
      <c r="N31" s="2517">
        <f t="shared" si="3"/>
        <v>25154.444444444449</v>
      </c>
      <c r="O31" s="2518">
        <v>9055.6</v>
      </c>
      <c r="P31" s="2513">
        <f>N31/AM15</f>
        <v>1.2528746934240285</v>
      </c>
      <c r="Q31" s="1918"/>
      <c r="R31" s="4325"/>
      <c r="S31" s="2523">
        <v>26</v>
      </c>
      <c r="T31" s="2517">
        <f>AM15*1.056</f>
        <v>21201.715919999995</v>
      </c>
      <c r="U31" s="2518">
        <f>S31*T31*12/1000</f>
        <v>6614.9353670399987</v>
      </c>
      <c r="V31" s="2513">
        <f>T31/AM15</f>
        <v>1.056</v>
      </c>
      <c r="W31" s="1918"/>
      <c r="X31" s="2516">
        <v>25</v>
      </c>
      <c r="Y31" s="2517">
        <f t="shared" si="4"/>
        <v>21835.333333333336</v>
      </c>
      <c r="Z31" s="2518">
        <v>3275.3</v>
      </c>
      <c r="AA31" s="2513">
        <f>Y31/BB15</f>
        <v>0.9662474115678098</v>
      </c>
      <c r="AB31" s="1918"/>
      <c r="AC31" s="1918"/>
      <c r="AD31" s="1918"/>
      <c r="AE31" s="1918"/>
      <c r="AF31" s="1918"/>
      <c r="AG31" s="1918"/>
      <c r="AH31" s="1918"/>
      <c r="AI31" s="1918"/>
      <c r="AJ31" s="1918"/>
      <c r="AK31" s="1918"/>
      <c r="AL31" s="2516">
        <v>25</v>
      </c>
      <c r="AM31" s="2517">
        <f t="shared" si="5"/>
        <v>22584.444444444445</v>
      </c>
      <c r="AN31" s="2518">
        <v>5081.5</v>
      </c>
      <c r="AO31" s="2513">
        <f>AM31/BB15</f>
        <v>0.99939674164846481</v>
      </c>
      <c r="AP31" s="1918"/>
      <c r="AQ31" s="2516">
        <v>25</v>
      </c>
      <c r="AR31" s="2517">
        <f t="shared" si="6"/>
        <v>23072.333333333332</v>
      </c>
      <c r="AS31" s="2518">
        <v>6921.7</v>
      </c>
      <c r="AT31" s="2513">
        <f t="shared" si="20"/>
        <v>1.0882295291754545</v>
      </c>
      <c r="AU31" s="2516">
        <v>30</v>
      </c>
      <c r="AV31" s="2517">
        <f t="shared" si="7"/>
        <v>25154.444444444449</v>
      </c>
      <c r="AW31" s="2518">
        <v>9055.6</v>
      </c>
      <c r="AX31" s="2513">
        <f t="shared" si="21"/>
        <v>1.1864343687727543</v>
      </c>
      <c r="AY31" s="2522">
        <f>AV31/BB15</f>
        <v>1.1131232330109022</v>
      </c>
      <c r="AZ31" s="2521">
        <f>BA15</f>
        <v>26</v>
      </c>
      <c r="BA31" s="2517">
        <f>AV31</f>
        <v>25154.444444444449</v>
      </c>
      <c r="BB31" s="2518">
        <f>AZ31*BA31*12/1000</f>
        <v>7848.1866666666683</v>
      </c>
      <c r="BC31" s="2513">
        <f t="shared" si="8"/>
        <v>1.1864343687727543</v>
      </c>
      <c r="BD31" s="1918"/>
      <c r="BE31" s="2516">
        <v>25</v>
      </c>
      <c r="BF31" s="2517">
        <f t="shared" si="9"/>
        <v>22802.666666666668</v>
      </c>
      <c r="BG31" s="2518">
        <v>3420.4</v>
      </c>
      <c r="BH31" s="2513">
        <f t="shared" si="22"/>
        <v>0.90650647113388394</v>
      </c>
      <c r="BI31" s="2516">
        <v>25</v>
      </c>
      <c r="BJ31" s="2517">
        <f t="shared" si="10"/>
        <v>23330.666666666664</v>
      </c>
      <c r="BK31" s="2518">
        <v>5249.4</v>
      </c>
      <c r="BL31" s="2513">
        <f t="shared" si="23"/>
        <v>0.92749679756172954</v>
      </c>
      <c r="BM31" s="2516">
        <v>30</v>
      </c>
      <c r="BN31" s="2517">
        <f t="shared" si="26"/>
        <v>27669.888888888898</v>
      </c>
      <c r="BO31" s="2518">
        <f>BM31*BN31*12/1000</f>
        <v>9961.1600000000035</v>
      </c>
      <c r="BP31" s="2513">
        <f t="shared" si="24"/>
        <v>1.1000000000000001</v>
      </c>
      <c r="BQ31" s="2533">
        <f>AQ31</f>
        <v>25</v>
      </c>
      <c r="BR31" s="2534">
        <f>'ЗП с факт 3 кв. 2015'!BU30</f>
        <v>26191.279999999995</v>
      </c>
      <c r="BS31" s="2535">
        <f>BQ31*BR31*12/1000</f>
        <v>7857.3839999999982</v>
      </c>
      <c r="BT31" s="2513">
        <f t="shared" si="25"/>
        <v>1.0412187817483101</v>
      </c>
      <c r="BU31" s="2533">
        <v>25</v>
      </c>
      <c r="BV31" s="2534">
        <v>25988</v>
      </c>
      <c r="BW31" s="2535">
        <f>BU31*BV31*12/1000</f>
        <v>7796.4</v>
      </c>
      <c r="BX31" s="2533">
        <v>26</v>
      </c>
      <c r="BY31" s="2534">
        <v>26050</v>
      </c>
      <c r="BZ31" s="2535">
        <f>BX31*BY31*12/1000</f>
        <v>8127.6</v>
      </c>
      <c r="CA31" s="2535">
        <f t="shared" ref="CA31" si="46">BQ31</f>
        <v>25</v>
      </c>
      <c r="CB31" s="2535">
        <f>CC31/12/CA31*1000</f>
        <v>27770.35227119999</v>
      </c>
      <c r="CC31" s="2535">
        <f t="shared" ref="CC31:CC34" si="47">BS31*0.99*1.071</f>
        <v>8331.1056813599971</v>
      </c>
      <c r="CD31" s="2535">
        <f t="shared" ref="CD31" si="48">CA31</f>
        <v>25</v>
      </c>
      <c r="CE31" s="2535">
        <f>CF31/12/CD31*1000</f>
        <v>26888.75378639999</v>
      </c>
      <c r="CF31" s="2535">
        <f t="shared" ref="CF31:CF34" si="49">BS31*0.99*1.037</f>
        <v>8066.6261359199971</v>
      </c>
      <c r="CG31" s="2535">
        <f>CD31</f>
        <v>25</v>
      </c>
      <c r="CH31" s="2535">
        <f t="shared" si="44"/>
        <v>29168.699189278173</v>
      </c>
      <c r="CI31" s="2535">
        <f>BS31*0.99*1.074*0.99*1.058</f>
        <v>8750.6097567834513</v>
      </c>
      <c r="CJ31" s="2533">
        <v>27</v>
      </c>
      <c r="CK31" s="2534">
        <v>34182</v>
      </c>
      <c r="CL31" s="2535">
        <f>CJ31*CK31*12/1000</f>
        <v>11074.968000000001</v>
      </c>
      <c r="CM31" s="2533">
        <v>27</v>
      </c>
      <c r="CN31" s="2534">
        <f>'ЗП среднемес'!H53</f>
        <v>30826.575999999997</v>
      </c>
      <c r="CO31" s="2535">
        <f>CM31*CN31*12/1000</f>
        <v>9987.8106239999979</v>
      </c>
      <c r="CP31" s="4329" t="s">
        <v>1864</v>
      </c>
      <c r="CQ31" s="2526"/>
    </row>
    <row r="32" spans="1:95" ht="44.25" customHeight="1" x14ac:dyDescent="0.2">
      <c r="A32" s="2529" t="s">
        <v>194</v>
      </c>
      <c r="B32" s="1868" t="s">
        <v>92</v>
      </c>
      <c r="C32" s="2516">
        <v>384</v>
      </c>
      <c r="D32" s="2517">
        <v>11838</v>
      </c>
      <c r="E32" s="2518">
        <v>54547.199999999997</v>
      </c>
      <c r="F32" s="2517">
        <v>369</v>
      </c>
      <c r="G32" s="2517">
        <v>12231</v>
      </c>
      <c r="H32" s="2518">
        <f>F32*G32*12/1000</f>
        <v>54158.868000000002</v>
      </c>
      <c r="I32" s="2516">
        <v>364</v>
      </c>
      <c r="J32" s="2517">
        <v>13021</v>
      </c>
      <c r="K32" s="2512">
        <f>J32/G32</f>
        <v>1.0645899762897555</v>
      </c>
      <c r="L32" s="2518">
        <v>56876.800000000003</v>
      </c>
      <c r="M32" s="2516">
        <v>49</v>
      </c>
      <c r="N32" s="2517">
        <f t="shared" si="3"/>
        <v>30026.530612244896</v>
      </c>
      <c r="O32" s="2518">
        <v>17655.599999999999</v>
      </c>
      <c r="P32" s="2513">
        <f>N32/AM16</f>
        <v>1.1443255630726537</v>
      </c>
      <c r="Q32" s="1918"/>
      <c r="R32" s="4325"/>
      <c r="S32" s="2523">
        <v>48</v>
      </c>
      <c r="T32" s="2517">
        <f>AM16*1.056</f>
        <v>27708.912</v>
      </c>
      <c r="U32" s="2518">
        <f>S32*T32*12/1000</f>
        <v>15960.333312000001</v>
      </c>
      <c r="V32" s="2513">
        <f>T32/AM16</f>
        <v>1.056</v>
      </c>
      <c r="W32" s="1918"/>
      <c r="X32" s="2516">
        <v>49</v>
      </c>
      <c r="Y32" s="2517">
        <f t="shared" si="4"/>
        <v>23665.306122448983</v>
      </c>
      <c r="Z32" s="2518">
        <v>6957.6</v>
      </c>
      <c r="AA32" s="2513">
        <f>Y32/BB16</f>
        <v>0.90954964376756653</v>
      </c>
      <c r="AB32" s="1918"/>
      <c r="AC32" s="1918"/>
      <c r="AD32" s="1918"/>
      <c r="AE32" s="1918"/>
      <c r="AF32" s="1918"/>
      <c r="AG32" s="1918"/>
      <c r="AH32" s="1918"/>
      <c r="AI32" s="1918"/>
      <c r="AJ32" s="1918"/>
      <c r="AK32" s="1918"/>
      <c r="AL32" s="2516">
        <v>49</v>
      </c>
      <c r="AM32" s="2517">
        <f t="shared" si="5"/>
        <v>24274.149659863946</v>
      </c>
      <c r="AN32" s="2518">
        <v>10704.9</v>
      </c>
      <c r="AO32" s="2513">
        <f>AM32/BB16</f>
        <v>0.93294986600431395</v>
      </c>
      <c r="AP32" s="1918"/>
      <c r="AQ32" s="2516">
        <v>49</v>
      </c>
      <c r="AR32" s="2517">
        <f t="shared" si="6"/>
        <v>24466.496598639456</v>
      </c>
      <c r="AS32" s="2518">
        <v>14386.3</v>
      </c>
      <c r="AT32" s="2513">
        <f t="shared" si="20"/>
        <v>0.88298294060190652</v>
      </c>
      <c r="AU32" s="2516">
        <v>49</v>
      </c>
      <c r="AV32" s="2517">
        <f t="shared" si="7"/>
        <v>30026.530612244896</v>
      </c>
      <c r="AW32" s="2518">
        <v>17655.599999999999</v>
      </c>
      <c r="AX32" s="2513">
        <f t="shared" si="21"/>
        <v>1.0836416316975888</v>
      </c>
      <c r="AY32" s="2522">
        <f>AV32/BB16</f>
        <v>1.1540362115170926</v>
      </c>
      <c r="AZ32" s="2521">
        <f>BA16</f>
        <v>49</v>
      </c>
      <c r="BA32" s="2517">
        <f>AV32</f>
        <v>30026.530612244896</v>
      </c>
      <c r="BB32" s="2518">
        <f>AZ32*BA32*12/1000</f>
        <v>17655.599999999999</v>
      </c>
      <c r="BC32" s="2513">
        <f t="shared" si="8"/>
        <v>1.0836416316975888</v>
      </c>
      <c r="BD32" s="1918"/>
      <c r="BE32" s="2516">
        <v>49</v>
      </c>
      <c r="BF32" s="2517">
        <f t="shared" si="9"/>
        <v>24546.938775510203</v>
      </c>
      <c r="BG32" s="2518">
        <v>7216.8</v>
      </c>
      <c r="BH32" s="2513">
        <f t="shared" si="22"/>
        <v>0.81750832597023038</v>
      </c>
      <c r="BI32" s="2516">
        <v>49</v>
      </c>
      <c r="BJ32" s="2517">
        <f t="shared" si="10"/>
        <v>25629.25170068027</v>
      </c>
      <c r="BK32" s="2518">
        <v>11302.5</v>
      </c>
      <c r="BL32" s="2513">
        <f t="shared" si="23"/>
        <v>0.85355354675003958</v>
      </c>
      <c r="BM32" s="2516">
        <v>49</v>
      </c>
      <c r="BN32" s="2517">
        <f t="shared" si="26"/>
        <v>33029.183673469386</v>
      </c>
      <c r="BO32" s="2518">
        <f>BM32*BN32*12/1000</f>
        <v>19421.16</v>
      </c>
      <c r="BP32" s="2513">
        <f t="shared" si="24"/>
        <v>1.1000000000000001</v>
      </c>
      <c r="BQ32" s="2533">
        <f t="shared" ref="BQ32:BQ34" si="50">AQ32</f>
        <v>49</v>
      </c>
      <c r="BR32" s="2534">
        <f>'ЗП с факт 3 кв. 2015'!BU31</f>
        <v>29850.624489795915</v>
      </c>
      <c r="BS32" s="2535">
        <f>BQ32*BR32*12/1000</f>
        <v>17552.1672</v>
      </c>
      <c r="BT32" s="2513">
        <f t="shared" si="25"/>
        <v>0.99414164344457279</v>
      </c>
      <c r="BU32" s="2533">
        <v>48</v>
      </c>
      <c r="BV32" s="2534">
        <v>28455</v>
      </c>
      <c r="BW32" s="2535">
        <f>BU32*BV32*12/1000</f>
        <v>16390.080000000002</v>
      </c>
      <c r="BX32" s="2533">
        <v>48</v>
      </c>
      <c r="BY32" s="2534">
        <v>27434</v>
      </c>
      <c r="BZ32" s="2535">
        <f>BX32*BY32*12/1000</f>
        <v>15801.984</v>
      </c>
      <c r="CA32" s="2535">
        <f t="shared" ref="CA32:CA34" si="51">BQ32</f>
        <v>49</v>
      </c>
      <c r="CB32" s="2535">
        <f t="shared" ref="CB32:CB34" si="52">CC32/12/CA32*1000</f>
        <v>31650.31864028571</v>
      </c>
      <c r="CC32" s="2535">
        <f t="shared" si="47"/>
        <v>18610.387360487999</v>
      </c>
      <c r="CD32" s="2535">
        <f t="shared" ref="CD32:CD34" si="53">CA32</f>
        <v>49</v>
      </c>
      <c r="CE32" s="2535">
        <f t="shared" ref="CE32:CE34" si="54">CF32/12/CD32*1000</f>
        <v>30645.546619959183</v>
      </c>
      <c r="CF32" s="2535">
        <f t="shared" si="49"/>
        <v>18019.581412536001</v>
      </c>
      <c r="CG32" s="2535">
        <f t="shared" ref="CG32:CG34" si="55">CD32</f>
        <v>49</v>
      </c>
      <c r="CH32" s="2535">
        <f t="shared" si="44"/>
        <v>33244.037189284274</v>
      </c>
      <c r="CI32" s="2535">
        <f t="shared" ref="CI32:CI34" si="56">BS32*0.99*1.074*0.99*1.058</f>
        <v>19547.493867299156</v>
      </c>
      <c r="CJ32" s="2533">
        <v>49</v>
      </c>
      <c r="CK32" s="2534">
        <v>35224</v>
      </c>
      <c r="CL32" s="2535">
        <f>CJ32*CK32*12/1000</f>
        <v>20711.712</v>
      </c>
      <c r="CM32" s="2533">
        <v>49</v>
      </c>
      <c r="CN32" s="2534">
        <f>'ЗП среднемес'!J53</f>
        <v>34679.898000000001</v>
      </c>
      <c r="CO32" s="2535">
        <f>CM32*CN32*12/1000</f>
        <v>20391.780024</v>
      </c>
      <c r="CP32" s="4330"/>
      <c r="CQ32" s="2526"/>
    </row>
    <row r="33" spans="1:95" ht="48.75" customHeight="1" x14ac:dyDescent="0.2">
      <c r="A33" s="2529" t="s">
        <v>203</v>
      </c>
      <c r="B33" s="1868" t="s">
        <v>205</v>
      </c>
      <c r="C33" s="2516"/>
      <c r="D33" s="2517"/>
      <c r="E33" s="2518"/>
      <c r="F33" s="2517"/>
      <c r="G33" s="2517"/>
      <c r="H33" s="2518"/>
      <c r="I33" s="2516"/>
      <c r="J33" s="2517"/>
      <c r="K33" s="2512"/>
      <c r="L33" s="2518"/>
      <c r="M33" s="2516">
        <v>7</v>
      </c>
      <c r="N33" s="2517">
        <f t="shared" si="3"/>
        <v>31347.619047619046</v>
      </c>
      <c r="O33" s="2518">
        <v>2633.2</v>
      </c>
      <c r="P33" s="2513">
        <f>N33/AM17</f>
        <v>1.2757479654799539</v>
      </c>
      <c r="Q33" s="1918"/>
      <c r="R33" s="4325"/>
      <c r="S33" s="2524">
        <v>7</v>
      </c>
      <c r="T33" s="2517">
        <f>AM17*1.056</f>
        <v>25947.982367999997</v>
      </c>
      <c r="U33" s="2518">
        <f>S33*T33*12/1000</f>
        <v>2179.6305189119998</v>
      </c>
      <c r="V33" s="2513">
        <f>T33/AM17</f>
        <v>1.056</v>
      </c>
      <c r="W33" s="1918"/>
      <c r="X33" s="2516">
        <v>4</v>
      </c>
      <c r="Y33" s="2517">
        <f t="shared" si="4"/>
        <v>22329.166666666664</v>
      </c>
      <c r="Z33" s="2518">
        <v>535.9</v>
      </c>
      <c r="AA33" s="2513">
        <f>Y33/BB17</f>
        <v>0.91450511945392476</v>
      </c>
      <c r="AB33" s="1918"/>
      <c r="AC33" s="1918"/>
      <c r="AD33" s="1918"/>
      <c r="AE33" s="1918"/>
      <c r="AF33" s="1918"/>
      <c r="AG33" s="1918"/>
      <c r="AH33" s="1918"/>
      <c r="AI33" s="1918"/>
      <c r="AJ33" s="1918"/>
      <c r="AK33" s="1918"/>
      <c r="AL33" s="2516">
        <v>4</v>
      </c>
      <c r="AM33" s="2517">
        <f t="shared" si="5"/>
        <v>23575.000000000004</v>
      </c>
      <c r="AN33" s="2518">
        <v>848.7</v>
      </c>
      <c r="AO33" s="2513">
        <f>AM33/BB17</f>
        <v>0.96552901023890791</v>
      </c>
      <c r="AP33" s="1918"/>
      <c r="AQ33" s="2516">
        <v>4</v>
      </c>
      <c r="AR33" s="2517">
        <f t="shared" si="6"/>
        <v>24131.249999999996</v>
      </c>
      <c r="AS33" s="2518">
        <v>1158.3</v>
      </c>
      <c r="AT33" s="2513">
        <f t="shared" si="20"/>
        <v>0.92998560187706691</v>
      </c>
      <c r="AU33" s="2516">
        <v>7</v>
      </c>
      <c r="AV33" s="2517">
        <f t="shared" si="7"/>
        <v>31347.619047619046</v>
      </c>
      <c r="AW33" s="2518">
        <v>2633.2</v>
      </c>
      <c r="AX33" s="2513">
        <f t="shared" si="21"/>
        <v>1.2080946642802595</v>
      </c>
      <c r="AY33" s="2522">
        <f>AV33/BB17</f>
        <v>1.283861530960507</v>
      </c>
      <c r="AZ33" s="2521">
        <f>BA17</f>
        <v>6</v>
      </c>
      <c r="BA33" s="2517">
        <f>AV33</f>
        <v>31347.619047619046</v>
      </c>
      <c r="BB33" s="2518">
        <f>AZ33*BA33*12/1000</f>
        <v>2257.028571428571</v>
      </c>
      <c r="BC33" s="2513">
        <f t="shared" si="8"/>
        <v>1.2080946642802595</v>
      </c>
      <c r="BD33" s="1918"/>
      <c r="BE33" s="2516">
        <v>5</v>
      </c>
      <c r="BF33" s="2517">
        <f t="shared" si="9"/>
        <v>22876.666666666664</v>
      </c>
      <c r="BG33" s="2518">
        <v>686.3</v>
      </c>
      <c r="BH33" s="2513">
        <f t="shared" si="22"/>
        <v>0.72977365942579364</v>
      </c>
      <c r="BI33" s="2516">
        <v>4</v>
      </c>
      <c r="BJ33" s="2517">
        <f t="shared" si="10"/>
        <v>31052.777777777781</v>
      </c>
      <c r="BK33" s="2518">
        <v>1117.9000000000001</v>
      </c>
      <c r="BL33" s="2513">
        <f t="shared" si="23"/>
        <v>0.99059446047901178</v>
      </c>
      <c r="BM33" s="2516">
        <v>7</v>
      </c>
      <c r="BN33" s="2517">
        <f t="shared" si="26"/>
        <v>34482.380952380954</v>
      </c>
      <c r="BO33" s="2518">
        <f>BM33*BN33*12/1000</f>
        <v>2896.52</v>
      </c>
      <c r="BP33" s="2513">
        <f t="shared" si="24"/>
        <v>1.1000000000000001</v>
      </c>
      <c r="BQ33" s="2533">
        <f t="shared" si="50"/>
        <v>4</v>
      </c>
      <c r="BR33" s="2534">
        <f>'ЗП с факт 3 кв. 2015'!BU32</f>
        <v>34336.17777777779</v>
      </c>
      <c r="BS33" s="2535">
        <f>BQ33*BR33*12/1000</f>
        <v>1648.136533333334</v>
      </c>
      <c r="BT33" s="2513">
        <f t="shared" si="25"/>
        <v>1.0953360676489954</v>
      </c>
      <c r="BU33" s="2533">
        <v>4</v>
      </c>
      <c r="BV33" s="2534">
        <v>30077</v>
      </c>
      <c r="BW33" s="2535">
        <f>BU33*BV33*12/1000</f>
        <v>1443.6959999999999</v>
      </c>
      <c r="BX33" s="2533">
        <v>4</v>
      </c>
      <c r="BY33" s="2534">
        <v>26583</v>
      </c>
      <c r="BZ33" s="2535">
        <f>BX33*BY33*12/1000</f>
        <v>1275.9839999999999</v>
      </c>
      <c r="CA33" s="2535">
        <f t="shared" si="51"/>
        <v>4</v>
      </c>
      <c r="CB33" s="2535">
        <f t="shared" si="52"/>
        <v>36406.305936000019</v>
      </c>
      <c r="CC33" s="2535">
        <f t="shared" si="47"/>
        <v>1747.5026849280007</v>
      </c>
      <c r="CD33" s="2535">
        <f t="shared" si="53"/>
        <v>4</v>
      </c>
      <c r="CE33" s="2535">
        <f t="shared" si="54"/>
        <v>35250.55019200001</v>
      </c>
      <c r="CF33" s="2535">
        <f t="shared" si="49"/>
        <v>1692.0264092160005</v>
      </c>
      <c r="CG33" s="2535">
        <f t="shared" si="55"/>
        <v>4</v>
      </c>
      <c r="CH33" s="2535">
        <f t="shared" si="44"/>
        <v>38239.507229489296</v>
      </c>
      <c r="CI33" s="2535">
        <f t="shared" si="56"/>
        <v>1835.4963470154864</v>
      </c>
      <c r="CJ33" s="2533">
        <v>4</v>
      </c>
      <c r="CK33" s="2534">
        <v>28530</v>
      </c>
      <c r="CL33" s="2535">
        <f>CJ33*CK33*12/1000</f>
        <v>1369.44</v>
      </c>
      <c r="CM33" s="2533">
        <v>4</v>
      </c>
      <c r="CN33" s="2534">
        <f>'ЗП среднемес'!J53</f>
        <v>34679.898000000001</v>
      </c>
      <c r="CO33" s="2535">
        <f>CM33*CN33*12/1000</f>
        <v>1664.635104</v>
      </c>
      <c r="CP33" s="4330"/>
      <c r="CQ33" s="2526"/>
    </row>
    <row r="34" spans="1:95" ht="24.95" customHeight="1" x14ac:dyDescent="0.2">
      <c r="A34" s="2529" t="s">
        <v>204</v>
      </c>
      <c r="B34" s="1868" t="s">
        <v>89</v>
      </c>
      <c r="C34" s="2516"/>
      <c r="D34" s="2517"/>
      <c r="E34" s="2518"/>
      <c r="F34" s="2517"/>
      <c r="G34" s="2517"/>
      <c r="H34" s="2518"/>
      <c r="I34" s="2516"/>
      <c r="J34" s="2517"/>
      <c r="K34" s="2512"/>
      <c r="L34" s="2518"/>
      <c r="M34" s="2516">
        <v>19</v>
      </c>
      <c r="N34" s="2517">
        <f t="shared" si="3"/>
        <v>29728.508771929824</v>
      </c>
      <c r="O34" s="2518">
        <v>6778.1</v>
      </c>
      <c r="P34" s="2513">
        <f>N34/AM18</f>
        <v>1.3130421604372358</v>
      </c>
      <c r="Q34" s="1918"/>
      <c r="R34" s="4325"/>
      <c r="S34" s="2524">
        <v>15</v>
      </c>
      <c r="T34" s="2517">
        <f>AM18*1.056</f>
        <v>23908.832640000001</v>
      </c>
      <c r="U34" s="2518">
        <f>S34*T34*12/1000</f>
        <v>4303.5898752000003</v>
      </c>
      <c r="V34" s="2513">
        <f>T34/AM18</f>
        <v>1.056</v>
      </c>
      <c r="W34" s="1918"/>
      <c r="X34" s="2516">
        <v>17</v>
      </c>
      <c r="Y34" s="2517">
        <f t="shared" si="4"/>
        <v>22040.196078431374</v>
      </c>
      <c r="Z34" s="2518">
        <v>2248.1</v>
      </c>
      <c r="AA34" s="2513">
        <f>Y34/BB18</f>
        <v>0.8998158821645853</v>
      </c>
      <c r="AB34" s="1918"/>
      <c r="AC34" s="1918"/>
      <c r="AD34" s="1918"/>
      <c r="AE34" s="1918"/>
      <c r="AF34" s="1918"/>
      <c r="AG34" s="1918"/>
      <c r="AH34" s="1918"/>
      <c r="AI34" s="1918"/>
      <c r="AJ34" s="1918"/>
      <c r="AK34" s="1918"/>
      <c r="AL34" s="2516">
        <v>16</v>
      </c>
      <c r="AM34" s="2517">
        <f t="shared" si="5"/>
        <v>24753.472222222223</v>
      </c>
      <c r="AN34" s="2518">
        <v>3564.5</v>
      </c>
      <c r="AO34" s="2513">
        <f>AM34/BB18</f>
        <v>1.0105884432703596</v>
      </c>
      <c r="AP34" s="1918"/>
      <c r="AQ34" s="2516">
        <v>16</v>
      </c>
      <c r="AR34" s="2517">
        <f t="shared" si="6"/>
        <v>24427.083333333332</v>
      </c>
      <c r="AS34" s="2518">
        <v>4690</v>
      </c>
      <c r="AT34" s="2513">
        <f t="shared" si="20"/>
        <v>1.0216761186602765</v>
      </c>
      <c r="AU34" s="2516">
        <v>19</v>
      </c>
      <c r="AV34" s="2517">
        <f t="shared" si="7"/>
        <v>29728.508771929824</v>
      </c>
      <c r="AW34" s="2518">
        <v>6778.1</v>
      </c>
      <c r="AX34" s="2513">
        <f t="shared" si="21"/>
        <v>1.2434111367776852</v>
      </c>
      <c r="AY34" s="2522">
        <f>AV34/BB18</f>
        <v>1.2136999258472789</v>
      </c>
      <c r="AZ34" s="2521">
        <f>BA18</f>
        <v>17</v>
      </c>
      <c r="BA34" s="2517">
        <f>AV34</f>
        <v>29728.508771929824</v>
      </c>
      <c r="BB34" s="2518">
        <f>AZ34*BA34*12/1000</f>
        <v>6064.6157894736843</v>
      </c>
      <c r="BC34" s="2513">
        <f t="shared" si="8"/>
        <v>1.2434111367776852</v>
      </c>
      <c r="BD34" s="1918"/>
      <c r="BE34" s="2516">
        <v>15</v>
      </c>
      <c r="BF34" s="2517">
        <f t="shared" si="9"/>
        <v>24044.444444444449</v>
      </c>
      <c r="BG34" s="2518">
        <v>2164</v>
      </c>
      <c r="BH34" s="2513">
        <f t="shared" si="22"/>
        <v>0.80880089307229674</v>
      </c>
      <c r="BI34" s="2516">
        <v>16</v>
      </c>
      <c r="BJ34" s="2517">
        <f t="shared" si="10"/>
        <v>23187.5</v>
      </c>
      <c r="BK34" s="2518">
        <v>3339</v>
      </c>
      <c r="BL34" s="2513">
        <f t="shared" si="23"/>
        <v>0.77997521429309102</v>
      </c>
      <c r="BM34" s="2516">
        <v>19</v>
      </c>
      <c r="BN34" s="2517">
        <f t="shared" si="26"/>
        <v>32701.359649122809</v>
      </c>
      <c r="BO34" s="2518">
        <f>BM34*BN34*12/1000</f>
        <v>7455.91</v>
      </c>
      <c r="BP34" s="2513">
        <f t="shared" si="24"/>
        <v>1.1000000000000001</v>
      </c>
      <c r="BQ34" s="2533">
        <f t="shared" si="50"/>
        <v>16</v>
      </c>
      <c r="BR34" s="2534">
        <f>'ЗП с факт 3 кв. 2015'!BU33</f>
        <v>27138.709677419356</v>
      </c>
      <c r="BS34" s="2535">
        <f>BQ34*BR34*12/1000</f>
        <v>5210.6322580645156</v>
      </c>
      <c r="BT34" s="2513">
        <f t="shared" si="25"/>
        <v>0.91288499822245361</v>
      </c>
      <c r="BU34" s="2533">
        <v>15</v>
      </c>
      <c r="BV34" s="2534">
        <v>25789</v>
      </c>
      <c r="BW34" s="2535">
        <f>BU34*BV34*12/1000</f>
        <v>4642.0200000000004</v>
      </c>
      <c r="BX34" s="2533">
        <v>15</v>
      </c>
      <c r="BY34" s="2534">
        <v>26603</v>
      </c>
      <c r="BZ34" s="2535">
        <f>BX34*BY34*12/1000</f>
        <v>4788.54</v>
      </c>
      <c r="CA34" s="2535">
        <f t="shared" si="51"/>
        <v>16</v>
      </c>
      <c r="CB34" s="2535">
        <f t="shared" si="52"/>
        <v>28774.902483870959</v>
      </c>
      <c r="CC34" s="2535">
        <f t="shared" si="47"/>
        <v>5524.7812769032244</v>
      </c>
      <c r="CD34" s="2535">
        <f t="shared" si="53"/>
        <v>16</v>
      </c>
      <c r="CE34" s="2535">
        <f t="shared" si="54"/>
        <v>27861.413516129021</v>
      </c>
      <c r="CF34" s="2535">
        <f t="shared" si="49"/>
        <v>5349.3913950967726</v>
      </c>
      <c r="CG34" s="2535">
        <f t="shared" si="55"/>
        <v>16</v>
      </c>
      <c r="CH34" s="2535">
        <f t="shared" si="44"/>
        <v>30223.832472708385</v>
      </c>
      <c r="CI34" s="2535">
        <f t="shared" si="56"/>
        <v>5802.97583476001</v>
      </c>
      <c r="CJ34" s="2533">
        <v>15</v>
      </c>
      <c r="CK34" s="2534">
        <v>33821</v>
      </c>
      <c r="CL34" s="2535">
        <f>CJ34*CK34*12/1000</f>
        <v>6087.78</v>
      </c>
      <c r="CM34" s="2533">
        <v>15</v>
      </c>
      <c r="CN34" s="2534">
        <f>'ЗП среднемес'!H53</f>
        <v>30826.575999999997</v>
      </c>
      <c r="CO34" s="2535">
        <f>CM34*CN34*12/1000</f>
        <v>5548.7836799999995</v>
      </c>
      <c r="CP34" s="4331"/>
      <c r="CQ34" s="2526"/>
    </row>
    <row r="35" spans="1:95" x14ac:dyDescent="0.2">
      <c r="A35" s="4317" t="s">
        <v>853</v>
      </c>
      <c r="B35" s="4317"/>
      <c r="C35" s="4317"/>
      <c r="D35" s="4317"/>
      <c r="E35" s="4317"/>
      <c r="F35" s="4317"/>
      <c r="G35" s="4317"/>
      <c r="H35" s="4317"/>
      <c r="I35" s="4317"/>
      <c r="J35" s="4317"/>
      <c r="K35" s="4317"/>
      <c r="L35" s="4317"/>
      <c r="M35" s="4317"/>
      <c r="N35" s="4317"/>
      <c r="O35" s="4317"/>
      <c r="P35" s="4317"/>
      <c r="Q35" s="4317"/>
      <c r="R35" s="4317"/>
      <c r="S35" s="4317"/>
      <c r="T35" s="4317"/>
      <c r="U35" s="4317"/>
      <c r="V35" s="4317"/>
      <c r="W35" s="4317"/>
      <c r="X35" s="4317"/>
      <c r="Y35" s="4317"/>
      <c r="Z35" s="4317"/>
      <c r="AA35" s="4317"/>
      <c r="AB35" s="4317"/>
      <c r="AC35" s="4317"/>
      <c r="AD35" s="4317"/>
      <c r="AE35" s="4317"/>
      <c r="AF35" s="4317"/>
      <c r="AG35" s="4317"/>
      <c r="AH35" s="4317"/>
      <c r="AI35" s="4317"/>
      <c r="AJ35" s="4317"/>
      <c r="AK35" s="4317"/>
      <c r="AL35" s="4317"/>
      <c r="AM35" s="4317"/>
      <c r="AN35" s="4317"/>
      <c r="AO35" s="4317"/>
      <c r="AP35" s="4317"/>
      <c r="AQ35" s="4317"/>
      <c r="AR35" s="4317"/>
      <c r="AS35" s="4317"/>
      <c r="AT35" s="4317"/>
      <c r="AU35" s="4317"/>
      <c r="AV35" s="4317"/>
      <c r="AW35" s="4317"/>
      <c r="AX35" s="4317"/>
      <c r="AY35" s="4317"/>
      <c r="AZ35" s="4317"/>
      <c r="BA35" s="4317"/>
      <c r="BB35" s="4317"/>
      <c r="BC35" s="4317"/>
      <c r="BD35" s="4317"/>
      <c r="BE35" s="4317"/>
      <c r="BF35" s="4317"/>
      <c r="BG35" s="4317"/>
      <c r="BH35" s="4317"/>
      <c r="BI35" s="4317"/>
      <c r="BJ35" s="4317"/>
      <c r="BK35" s="4317"/>
      <c r="BL35" s="4317"/>
      <c r="BM35" s="4318"/>
      <c r="BN35" s="4318"/>
      <c r="BO35" s="4318"/>
      <c r="BP35" s="4318"/>
      <c r="BQ35" s="4318"/>
      <c r="BR35" s="4318"/>
      <c r="BS35" s="4318"/>
      <c r="BT35" s="4318"/>
      <c r="BU35" s="2527"/>
      <c r="BV35" s="2527"/>
      <c r="BW35" s="2527"/>
      <c r="BX35" s="2527"/>
      <c r="BY35" s="2527"/>
      <c r="BZ35" s="2527"/>
      <c r="CA35" s="2527"/>
      <c r="CB35" s="2527"/>
      <c r="CC35" s="2527"/>
      <c r="CD35" s="2527"/>
      <c r="CE35" s="2527"/>
      <c r="CF35" s="2527"/>
      <c r="CG35" s="2527"/>
      <c r="CH35" s="2527"/>
      <c r="CI35" s="2527"/>
      <c r="CJ35" s="2527"/>
      <c r="CK35" s="2527"/>
      <c r="CL35" s="2527"/>
      <c r="CM35" s="2527"/>
      <c r="CN35" s="2527"/>
      <c r="CO35" s="2527"/>
      <c r="CP35" s="2527"/>
      <c r="CQ35" s="2527"/>
    </row>
    <row r="36" spans="1:95" s="2668" customFormat="1" ht="37.5" customHeight="1" x14ac:dyDescent="0.2">
      <c r="A36" s="4277" t="s">
        <v>255</v>
      </c>
      <c r="B36" s="4277"/>
      <c r="C36" s="2661"/>
      <c r="D36" s="2661"/>
      <c r="E36" s="2661"/>
      <c r="F36" s="2661"/>
      <c r="G36" s="2661"/>
      <c r="H36" s="2661"/>
      <c r="I36" s="2661"/>
      <c r="J36" s="2661"/>
      <c r="K36" s="2661"/>
      <c r="L36" s="2661"/>
      <c r="M36" s="2661"/>
      <c r="N36" s="2662">
        <f>(O24+O30)/(M24+M30)/12*1000</f>
        <v>26931.3782051282</v>
      </c>
      <c r="O36" s="2661"/>
      <c r="P36" s="2661"/>
      <c r="Q36" s="2661"/>
      <c r="R36" s="4233"/>
      <c r="S36" s="2661"/>
      <c r="T36" s="2662">
        <f>(U24+U30)/(S24+S30)/12*1000</f>
        <v>23399.902952414348</v>
      </c>
      <c r="U36" s="2661"/>
      <c r="V36" s="2661"/>
      <c r="W36" s="2661"/>
      <c r="X36" s="2663"/>
      <c r="Y36" s="2662">
        <f>(Z24+Z30)/(X24+X30)/6*1000</f>
        <v>22071.124261976194</v>
      </c>
      <c r="Z36" s="2664"/>
      <c r="AA36" s="2661"/>
      <c r="AB36" s="2661"/>
      <c r="AC36" s="2661"/>
      <c r="AD36" s="2661"/>
      <c r="AE36" s="2661"/>
      <c r="AF36" s="2661"/>
      <c r="AG36" s="2661"/>
      <c r="AH36" s="2661"/>
      <c r="AI36" s="2661"/>
      <c r="AJ36" s="2661"/>
      <c r="AK36" s="2661"/>
      <c r="AL36" s="2663"/>
      <c r="AM36" s="2662">
        <f>(AN24+AN30)/(AL24+AL30)/9*1000</f>
        <v>23101.92837465565</v>
      </c>
      <c r="AN36" s="2664"/>
      <c r="AO36" s="2661"/>
      <c r="AP36" s="2661"/>
      <c r="AQ36" s="2663"/>
      <c r="AR36" s="2662">
        <f>(AS24+AS30)/(AQ24+AQ30)/12*1000</f>
        <v>23276.997245179064</v>
      </c>
      <c r="AS36" s="2664"/>
      <c r="AT36" s="2665">
        <f t="shared" si="20"/>
        <v>0.99474759756545894</v>
      </c>
      <c r="AU36" s="2661"/>
      <c r="AV36" s="2662">
        <f>(AW24+AW30)/(AU24+AU30)/12*1000</f>
        <v>25563.717948717946</v>
      </c>
      <c r="AW36" s="2661"/>
      <c r="AX36" s="2661"/>
      <c r="AY36" s="2661"/>
      <c r="AZ36" s="2661"/>
      <c r="BA36" s="2662">
        <f>(BB24+BB30)/(AZ24+AZ30)/12*1000</f>
        <v>25597.995857856873</v>
      </c>
      <c r="BB36" s="2661"/>
      <c r="BC36" s="2666">
        <f>BA36/T36</f>
        <v>1.0939359838334599</v>
      </c>
      <c r="BD36" s="2661"/>
      <c r="BE36" s="2663"/>
      <c r="BF36" s="2662">
        <f>(BG24+BG30)/(BE24+BE30)/6*1000</f>
        <v>23259.453781512606</v>
      </c>
      <c r="BG36" s="2664"/>
      <c r="BH36" s="2665">
        <f t="shared" si="22"/>
        <v>0.90986193120156444</v>
      </c>
      <c r="BI36" s="2663"/>
      <c r="BJ36" s="2662">
        <f>(BK24+BK30)/(BI24+BI30)/9*1000</f>
        <v>23705.234159779615</v>
      </c>
      <c r="BK36" s="2664"/>
      <c r="BL36" s="2665">
        <f t="shared" si="23"/>
        <v>0.9260582075023539</v>
      </c>
      <c r="BM36" s="2661"/>
      <c r="BN36" s="2662">
        <f>(BO24+BO30)/(BM24+BM30)/12*1000</f>
        <v>28120.089743589746</v>
      </c>
      <c r="BO36" s="2661"/>
      <c r="BP36" s="2665">
        <f t="shared" si="24"/>
        <v>1.0985270057756791</v>
      </c>
      <c r="BQ36" s="2661"/>
      <c r="BR36" s="2662">
        <f>(BS24+BS30)/(BQ24+BQ30)/12*1000</f>
        <v>27456.077812229923</v>
      </c>
      <c r="BS36" s="2662"/>
      <c r="BT36" s="2662"/>
      <c r="BU36" s="2662"/>
      <c r="BV36" s="2662">
        <f t="shared" ref="BV36:CN36" si="57">(BW24+BW30)/(BU24+BU30)/12*1000</f>
        <v>25202.240506329108</v>
      </c>
      <c r="BW36" s="2662"/>
      <c r="BX36" s="2662"/>
      <c r="BY36" s="2662">
        <f t="shared" si="57"/>
        <v>25792.592274678114</v>
      </c>
      <c r="BZ36" s="2662"/>
      <c r="CA36" s="2662"/>
      <c r="CB36" s="2662">
        <f t="shared" si="57"/>
        <v>29111.40474352926</v>
      </c>
      <c r="CC36" s="2662"/>
      <c r="CD36" s="2662"/>
      <c r="CE36" s="2662">
        <f t="shared" si="57"/>
        <v>28187.233164369605</v>
      </c>
      <c r="CF36" s="2662"/>
      <c r="CG36" s="2662"/>
      <c r="CH36" s="2662">
        <f t="shared" si="57"/>
        <v>30577.278950183019</v>
      </c>
      <c r="CI36" s="2662"/>
      <c r="CJ36" s="2662"/>
      <c r="CK36" s="2662">
        <f t="shared" si="57"/>
        <v>32613.14814814815</v>
      </c>
      <c r="CL36" s="2662"/>
      <c r="CM36" s="2662"/>
      <c r="CN36" s="2662">
        <f t="shared" si="57"/>
        <v>31761.140457902715</v>
      </c>
      <c r="CO36" s="2662"/>
      <c r="CP36" s="2665"/>
      <c r="CQ36" s="2667"/>
    </row>
    <row r="37" spans="1:95" s="2668" customFormat="1" ht="37.5" customHeight="1" x14ac:dyDescent="0.2">
      <c r="A37" s="4277" t="s">
        <v>253</v>
      </c>
      <c r="B37" s="4277"/>
      <c r="C37" s="2661"/>
      <c r="D37" s="2661"/>
      <c r="E37" s="2661"/>
      <c r="F37" s="2661"/>
      <c r="G37" s="2661"/>
      <c r="H37" s="2661"/>
      <c r="I37" s="2661"/>
      <c r="J37" s="2661"/>
      <c r="K37" s="2661"/>
      <c r="L37" s="2661"/>
      <c r="M37" s="2661"/>
      <c r="N37" s="2669">
        <f>N24</f>
        <v>25754.516129032254</v>
      </c>
      <c r="O37" s="2661"/>
      <c r="P37" s="2666">
        <f>N37/AM8</f>
        <v>1.2212343117474604</v>
      </c>
      <c r="Q37" s="2661"/>
      <c r="R37" s="4233"/>
      <c r="S37" s="2661"/>
      <c r="T37" s="2669">
        <f>T24</f>
        <v>22269.902483612907</v>
      </c>
      <c r="U37" s="2661"/>
      <c r="V37" s="2666">
        <f>T37/AM8</f>
        <v>1.0560000000000003</v>
      </c>
      <c r="W37" s="2661"/>
      <c r="X37" s="2663"/>
      <c r="Y37" s="2669">
        <f>Y24</f>
        <v>21580.822040944742</v>
      </c>
      <c r="Z37" s="2670"/>
      <c r="AA37" s="2665">
        <f>Y37/T37</f>
        <v>0.96905777009238292</v>
      </c>
      <c r="AB37" s="2661"/>
      <c r="AC37" s="2661"/>
      <c r="AD37" s="2661"/>
      <c r="AE37" s="2661"/>
      <c r="AF37" s="2661"/>
      <c r="AG37" s="2661"/>
      <c r="AH37" s="2661"/>
      <c r="AI37" s="2661"/>
      <c r="AJ37" s="2661"/>
      <c r="AK37" s="2661"/>
      <c r="AL37" s="2663"/>
      <c r="AM37" s="2669">
        <f>AM24</f>
        <v>22609.909909909911</v>
      </c>
      <c r="AN37" s="2670"/>
      <c r="AO37" s="2665">
        <f>AM37/T37</f>
        <v>1.0152675758929433</v>
      </c>
      <c r="AP37" s="2661"/>
      <c r="AQ37" s="2663"/>
      <c r="AR37" s="2669">
        <f>AR24</f>
        <v>22770.326576576579</v>
      </c>
      <c r="AS37" s="2670"/>
      <c r="AT37" s="2665">
        <f t="shared" si="20"/>
        <v>1.0224708704194778</v>
      </c>
      <c r="AU37" s="2661"/>
      <c r="AV37" s="2669">
        <f>AV24</f>
        <v>23460.37634408602</v>
      </c>
      <c r="AW37" s="2661"/>
      <c r="AX37" s="2666">
        <f>AV37/T37</f>
        <v>1.0534566265545668</v>
      </c>
      <c r="AY37" s="2661"/>
      <c r="AZ37" s="2661"/>
      <c r="BA37" s="2669">
        <f>BA24</f>
        <v>23530.113691896189</v>
      </c>
      <c r="BB37" s="2661"/>
      <c r="BC37" s="2666">
        <f>BA37/T37</f>
        <v>1.0565880883048588</v>
      </c>
      <c r="BD37" s="2661"/>
      <c r="BE37" s="2663"/>
      <c r="BF37" s="2669">
        <f>BF24</f>
        <v>22832.175925925923</v>
      </c>
      <c r="BG37" s="2670"/>
      <c r="BH37" s="2665">
        <f t="shared" si="22"/>
        <v>0.9732229181260148</v>
      </c>
      <c r="BI37" s="2663"/>
      <c r="BJ37" s="2669">
        <f>BJ24</f>
        <v>22988.888888888887</v>
      </c>
      <c r="BK37" s="2670"/>
      <c r="BL37" s="2665">
        <f t="shared" si="23"/>
        <v>0.9769986320468268</v>
      </c>
      <c r="BM37" s="2661"/>
      <c r="BN37" s="2669">
        <f>BN24</f>
        <v>25806.413978494627</v>
      </c>
      <c r="BO37" s="2661"/>
      <c r="BP37" s="2665">
        <f t="shared" si="24"/>
        <v>1.0967398762455789</v>
      </c>
      <c r="BQ37" s="2661"/>
      <c r="BR37" s="2669">
        <f>BR24</f>
        <v>26725.298409525822</v>
      </c>
      <c r="BS37" s="2669"/>
      <c r="BT37" s="2669"/>
      <c r="BU37" s="2669"/>
      <c r="BV37" s="2669">
        <f t="shared" ref="BV37:CN37" si="58">BV24</f>
        <v>23794.813793103443</v>
      </c>
      <c r="BW37" s="2669"/>
      <c r="BX37" s="2669"/>
      <c r="BY37" s="2669">
        <f t="shared" si="58"/>
        <v>25072.607142857141</v>
      </c>
      <c r="BZ37" s="2669"/>
      <c r="CA37" s="2669"/>
      <c r="CB37" s="2669"/>
      <c r="CC37" s="2669"/>
      <c r="CD37" s="2669"/>
      <c r="CE37" s="2669"/>
      <c r="CF37" s="2669"/>
      <c r="CG37" s="2669"/>
      <c r="CH37" s="2669"/>
      <c r="CI37" s="2669"/>
      <c r="CJ37" s="2669"/>
      <c r="CK37" s="2669">
        <f t="shared" si="58"/>
        <v>31450.472972972973</v>
      </c>
      <c r="CL37" s="2669"/>
      <c r="CM37" s="2669"/>
      <c r="CN37" s="2669">
        <f t="shared" si="58"/>
        <v>30971.534278593906</v>
      </c>
      <c r="CO37" s="2882"/>
      <c r="CP37" s="2665"/>
      <c r="CQ37" s="2667"/>
    </row>
    <row r="38" spans="1:95" s="2668" customFormat="1" ht="37.5" customHeight="1" x14ac:dyDescent="0.2">
      <c r="A38" s="2661" t="s">
        <v>254</v>
      </c>
      <c r="B38" s="2661"/>
      <c r="C38" s="2661"/>
      <c r="D38" s="2661"/>
      <c r="E38" s="2661"/>
      <c r="F38" s="2661"/>
      <c r="G38" s="2661"/>
      <c r="H38" s="2661"/>
      <c r="I38" s="2661"/>
      <c r="J38" s="2661"/>
      <c r="K38" s="2661"/>
      <c r="L38" s="2661"/>
      <c r="M38" s="2661"/>
      <c r="N38" s="2669">
        <f>N30</f>
        <v>28668.650793650795</v>
      </c>
      <c r="O38" s="2661"/>
      <c r="P38" s="2666">
        <f>N38/AM14</f>
        <v>1.2088032234986785</v>
      </c>
      <c r="Q38" s="2661"/>
      <c r="R38" s="4233"/>
      <c r="S38" s="2661"/>
      <c r="T38" s="2669">
        <f>T30</f>
        <v>25224.382875999996</v>
      </c>
      <c r="U38" s="2661"/>
      <c r="V38" s="2666">
        <f>T38/AM14</f>
        <v>1.0635769206839176</v>
      </c>
      <c r="W38" s="2661"/>
      <c r="X38" s="2663"/>
      <c r="Y38" s="2669">
        <f>Y30</f>
        <v>22836.666666666668</v>
      </c>
      <c r="Z38" s="2670"/>
      <c r="AA38" s="2665">
        <f>Y38/T38</f>
        <v>0.90534094645363372</v>
      </c>
      <c r="AB38" s="2661"/>
      <c r="AC38" s="2661"/>
      <c r="AD38" s="2661"/>
      <c r="AE38" s="2661"/>
      <c r="AF38" s="2661"/>
      <c r="AG38" s="2661"/>
      <c r="AH38" s="2661"/>
      <c r="AI38" s="2661"/>
      <c r="AJ38" s="2661"/>
      <c r="AK38" s="2661"/>
      <c r="AL38" s="2663"/>
      <c r="AM38" s="2669">
        <f>AM30</f>
        <v>23876.59574468085</v>
      </c>
      <c r="AN38" s="2670"/>
      <c r="AO38" s="2665">
        <f>AM38/T38</f>
        <v>0.94656808303518447</v>
      </c>
      <c r="AP38" s="2661"/>
      <c r="AQ38" s="2663"/>
      <c r="AR38" s="2669">
        <f>AR30</f>
        <v>24074.734042553187</v>
      </c>
      <c r="AS38" s="2670"/>
      <c r="AT38" s="2665">
        <f t="shared" si="20"/>
        <v>0.95442311357632248</v>
      </c>
      <c r="AU38" s="2661"/>
      <c r="AV38" s="2669">
        <f>AV30</f>
        <v>28668.650793650795</v>
      </c>
      <c r="AW38" s="2661"/>
      <c r="AX38" s="2666">
        <f>AV38/T38</f>
        <v>1.1365451806921265</v>
      </c>
      <c r="AY38" s="2661"/>
      <c r="AZ38" s="2661"/>
      <c r="BA38" s="2669">
        <f>BA30</f>
        <v>28763.121622082414</v>
      </c>
      <c r="BB38" s="2661"/>
      <c r="BC38" s="2666">
        <f>BA38/T38</f>
        <v>1.1402903993123807</v>
      </c>
      <c r="BD38" s="2661"/>
      <c r="BE38" s="2663"/>
      <c r="BF38" s="2669">
        <f>BF30</f>
        <v>23914.007092198586</v>
      </c>
      <c r="BG38" s="2670"/>
      <c r="BH38" s="2665">
        <f t="shared" si="22"/>
        <v>0.83415181496768542</v>
      </c>
      <c r="BI38" s="2663"/>
      <c r="BJ38" s="2669">
        <f>BJ30</f>
        <v>24833.096926713952</v>
      </c>
      <c r="BK38" s="2670"/>
      <c r="BL38" s="2665">
        <f t="shared" si="23"/>
        <v>0.86336584926334103</v>
      </c>
      <c r="BM38" s="2661"/>
      <c r="BN38" s="2669">
        <f>BN30</f>
        <v>31535.515873015873</v>
      </c>
      <c r="BO38" s="2661"/>
      <c r="BP38" s="2665">
        <f t="shared" si="24"/>
        <v>1.0963871128926772</v>
      </c>
      <c r="BQ38" s="2661"/>
      <c r="BR38" s="2669">
        <f>BR30</f>
        <v>28606.666659040642</v>
      </c>
      <c r="BS38" s="2669"/>
      <c r="BT38" s="2669"/>
      <c r="BU38" s="2669"/>
      <c r="BV38" s="2669">
        <f t="shared" ref="BV38:CN38" si="59">BV30</f>
        <v>27420.467391304352</v>
      </c>
      <c r="BW38" s="2669"/>
      <c r="BX38" s="2669"/>
      <c r="BY38" s="2669">
        <f t="shared" si="59"/>
        <v>26876.440860215054</v>
      </c>
      <c r="BZ38" s="2669"/>
      <c r="CA38" s="2669"/>
      <c r="CB38" s="2669"/>
      <c r="CC38" s="2669"/>
      <c r="CD38" s="2669"/>
      <c r="CE38" s="2669"/>
      <c r="CF38" s="2669"/>
      <c r="CG38" s="2669"/>
      <c r="CH38" s="2669"/>
      <c r="CI38" s="2669"/>
      <c r="CJ38" s="2669"/>
      <c r="CK38" s="2669">
        <f t="shared" si="59"/>
        <v>34424.473684210527</v>
      </c>
      <c r="CL38" s="2669"/>
      <c r="CM38" s="2669"/>
      <c r="CN38" s="2669">
        <f t="shared" si="59"/>
        <v>32976.324063157896</v>
      </c>
      <c r="CO38" s="2882"/>
      <c r="CP38" s="2665"/>
      <c r="CQ38" s="2667"/>
    </row>
    <row r="41" spans="1:95" ht="50.25" hidden="1" customHeight="1" x14ac:dyDescent="0.3">
      <c r="A41" s="4316" t="s">
        <v>1037</v>
      </c>
      <c r="B41" s="4316"/>
      <c r="C41" s="4316"/>
      <c r="D41" s="4316"/>
      <c r="E41" s="4316"/>
      <c r="F41" s="4316"/>
      <c r="G41" s="4316"/>
      <c r="H41" s="4316"/>
      <c r="I41" s="4316"/>
      <c r="J41" s="4316"/>
      <c r="K41" s="4316"/>
      <c r="L41" s="4316"/>
      <c r="M41" s="4316"/>
      <c r="N41" s="4316"/>
      <c r="O41" s="4316"/>
      <c r="P41" s="4316"/>
      <c r="Q41" s="4316"/>
      <c r="R41" s="4316"/>
      <c r="S41" s="4316"/>
      <c r="T41" s="4316"/>
      <c r="U41" s="4316"/>
      <c r="V41" s="4316"/>
      <c r="W41" s="4316"/>
      <c r="X41" s="4316"/>
      <c r="Y41" s="4316"/>
      <c r="Z41" s="4316"/>
      <c r="AA41" s="4316"/>
      <c r="AB41" s="4316"/>
      <c r="AC41" s="4316"/>
      <c r="AD41" s="4316"/>
      <c r="AE41" s="4316"/>
      <c r="AF41" s="4316"/>
      <c r="AG41" s="4316"/>
      <c r="AH41" s="4316"/>
      <c r="AI41" s="4316"/>
      <c r="AJ41" s="4316"/>
      <c r="AK41" s="4316"/>
      <c r="AL41" s="4316"/>
      <c r="AM41" s="4316"/>
      <c r="AN41" s="4316"/>
      <c r="AO41" s="4316"/>
      <c r="AP41" s="4316"/>
      <c r="AQ41" s="4316"/>
      <c r="AR41" s="4316"/>
      <c r="AS41" s="4316"/>
      <c r="AT41" s="4316"/>
      <c r="AU41" s="4316"/>
      <c r="AV41" s="4316"/>
      <c r="AW41" s="4316"/>
      <c r="AX41" s="4316"/>
      <c r="AY41" s="4316"/>
      <c r="AZ41" s="4316"/>
      <c r="BA41" s="4316"/>
      <c r="BB41" s="4316"/>
      <c r="BC41" s="4316"/>
      <c r="BD41" s="4316"/>
      <c r="BE41" s="4316"/>
      <c r="BF41" s="4316"/>
      <c r="BG41" s="4316"/>
      <c r="BH41" s="4316"/>
      <c r="BI41" s="4316"/>
      <c r="BJ41" s="4316"/>
      <c r="BK41" s="4316"/>
      <c r="BL41" s="4316"/>
      <c r="BM41" s="4316"/>
      <c r="BN41" s="4316"/>
      <c r="BO41" s="4316"/>
      <c r="BP41" s="4316"/>
      <c r="BQ41" s="4316"/>
      <c r="BR41" s="4316"/>
      <c r="BS41" s="4316"/>
      <c r="BT41" s="4316"/>
      <c r="BU41" s="4316"/>
      <c r="BV41" s="4316"/>
      <c r="BW41" s="4316"/>
      <c r="BX41" s="4316"/>
      <c r="BY41" s="4316"/>
      <c r="BZ41" s="4316"/>
      <c r="CA41" s="4316"/>
      <c r="CB41" s="4316"/>
      <c r="CC41" s="4316"/>
      <c r="CD41" s="4316"/>
      <c r="CE41" s="4316"/>
      <c r="CF41" s="4316"/>
      <c r="CG41" s="4316"/>
      <c r="CH41" s="4316"/>
      <c r="CI41" s="4316"/>
      <c r="CJ41" s="4316"/>
      <c r="CK41" s="4316"/>
      <c r="CL41" s="4316"/>
      <c r="CM41" s="4316"/>
      <c r="CN41" s="4316"/>
      <c r="CO41" s="4316"/>
      <c r="CP41" s="4316"/>
      <c r="CQ41" s="4316"/>
    </row>
    <row r="48" spans="1:95" x14ac:dyDescent="0.2">
      <c r="BJ48" s="2507"/>
    </row>
  </sheetData>
  <mergeCells count="59">
    <mergeCell ref="M21:Q22"/>
    <mergeCell ref="BX21:BZ22"/>
    <mergeCell ref="BX20:CF20"/>
    <mergeCell ref="CA21:CC22"/>
    <mergeCell ref="CD21:CF22"/>
    <mergeCell ref="X21:AB22"/>
    <mergeCell ref="CP20:CP23"/>
    <mergeCell ref="V4:X5"/>
    <mergeCell ref="CP31:CP34"/>
    <mergeCell ref="CJ21:CL22"/>
    <mergeCell ref="CM21:CO22"/>
    <mergeCell ref="CJ20:CO20"/>
    <mergeCell ref="CG20:CI20"/>
    <mergeCell ref="CG21:CI22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A41:CQ41"/>
    <mergeCell ref="BQ21:BT22"/>
    <mergeCell ref="A35:BT35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R36:R38"/>
    <mergeCell ref="R21:R34"/>
    <mergeCell ref="BE21:BH22"/>
    <mergeCell ref="BI21:BL22"/>
    <mergeCell ref="A2:CQ2"/>
    <mergeCell ref="C4:E5"/>
    <mergeCell ref="AL4:AP5"/>
    <mergeCell ref="AG5:AG6"/>
    <mergeCell ref="AH5:AI5"/>
    <mergeCell ref="AX4:AZ5"/>
    <mergeCell ref="BA4:BC5"/>
    <mergeCell ref="A4:A6"/>
    <mergeCell ref="B4:B6"/>
    <mergeCell ref="A3:AP3"/>
    <mergeCell ref="F4:H5"/>
    <mergeCell ref="M4:O5"/>
    <mergeCell ref="S4:U5"/>
    <mergeCell ref="AG4:AK4"/>
    <mergeCell ref="AB4:AF5"/>
    <mergeCell ref="Y4:AA5"/>
    <mergeCell ref="A36:B36"/>
    <mergeCell ref="A37:B37"/>
    <mergeCell ref="F21:H22"/>
    <mergeCell ref="I21:L21"/>
    <mergeCell ref="C21:E22"/>
  </mergeCells>
  <phoneticPr fontId="8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5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1515</v>
      </c>
    </row>
    <row r="2" spans="1:80" ht="30" x14ac:dyDescent="0.2">
      <c r="A2" s="4336" t="s">
        <v>230</v>
      </c>
      <c r="B2" s="4336"/>
      <c r="C2" s="4336"/>
      <c r="D2" s="4336"/>
      <c r="E2" s="4336"/>
      <c r="F2" s="4336"/>
      <c r="G2" s="4336"/>
      <c r="H2" s="4336"/>
      <c r="I2" s="4336"/>
      <c r="J2" s="4336"/>
      <c r="K2" s="4336"/>
      <c r="L2" s="4336"/>
      <c r="M2" s="4336"/>
      <c r="N2" s="4336"/>
      <c r="O2" s="4336"/>
      <c r="P2" s="4336"/>
      <c r="Q2" s="4336"/>
      <c r="R2" s="4336"/>
      <c r="S2" s="4336"/>
      <c r="T2" s="4336"/>
      <c r="U2" s="4336"/>
      <c r="V2" s="4336"/>
      <c r="W2" s="4336"/>
      <c r="X2" s="4336"/>
      <c r="Y2" s="4336"/>
      <c r="Z2" s="4336"/>
      <c r="AA2" s="4336"/>
      <c r="AB2" s="4336"/>
      <c r="AC2" s="4336"/>
      <c r="AD2" s="4336"/>
      <c r="AE2" s="4336"/>
      <c r="AF2" s="4336"/>
      <c r="AG2" s="4336"/>
      <c r="AH2" s="4336"/>
      <c r="AI2" s="4336"/>
      <c r="AJ2" s="4336"/>
      <c r="AK2" s="4336"/>
      <c r="AL2" s="4336"/>
      <c r="AM2" s="4336"/>
      <c r="AN2" s="4336"/>
      <c r="AO2" s="4336"/>
      <c r="AP2" s="4336"/>
      <c r="AQ2" s="4336"/>
      <c r="AR2" s="4336"/>
      <c r="AS2" s="4336"/>
      <c r="AT2" s="4336"/>
      <c r="AU2" s="4337"/>
      <c r="AV2" s="4337"/>
      <c r="AW2" s="4337"/>
      <c r="AX2" s="4337"/>
      <c r="AY2" s="4337"/>
      <c r="AZ2" s="4337"/>
      <c r="BA2" s="4337"/>
      <c r="BB2" s="4337"/>
      <c r="BC2" s="4337"/>
      <c r="BD2" s="4337"/>
      <c r="BE2" s="4337"/>
      <c r="BF2" s="4337"/>
      <c r="BG2" s="4337"/>
      <c r="BH2" s="4337"/>
      <c r="BI2" s="4337"/>
      <c r="BJ2" s="4337"/>
      <c r="BK2" s="4337"/>
      <c r="BL2" s="4337"/>
      <c r="BM2" s="4337"/>
      <c r="BN2" s="4337"/>
      <c r="BO2" s="4337"/>
      <c r="BP2" s="4337"/>
      <c r="BQ2" s="4337"/>
      <c r="BR2" s="4337"/>
      <c r="BS2" s="4337"/>
      <c r="BT2" s="4337"/>
      <c r="BU2" s="4337"/>
      <c r="BV2" s="4337"/>
      <c r="BW2" s="4337"/>
      <c r="BX2" s="4337"/>
      <c r="BY2" s="4337"/>
      <c r="BZ2" s="4337"/>
      <c r="CA2" s="4337"/>
      <c r="CB2" s="4337"/>
    </row>
    <row r="3" spans="1:80" ht="19.5" hidden="1" thickBot="1" x14ac:dyDescent="0.35">
      <c r="A3" s="4302"/>
      <c r="B3" s="4302"/>
      <c r="C3" s="4302"/>
      <c r="D3" s="4302"/>
      <c r="E3" s="4302"/>
      <c r="F3" s="4302"/>
      <c r="G3" s="4302"/>
      <c r="H3" s="4302"/>
      <c r="I3" s="4302"/>
      <c r="J3" s="4302"/>
      <c r="K3" s="4302"/>
      <c r="L3" s="4302"/>
      <c r="M3" s="4302"/>
      <c r="N3" s="4302"/>
      <c r="O3" s="4302"/>
      <c r="P3" s="4302"/>
      <c r="Q3" s="4302"/>
      <c r="R3" s="4302"/>
      <c r="S3" s="4302"/>
      <c r="T3" s="4302"/>
      <c r="U3" s="4302"/>
      <c r="V3" s="4302"/>
      <c r="W3" s="4302"/>
      <c r="X3" s="4302"/>
      <c r="Y3" s="4302"/>
      <c r="Z3" s="4302"/>
      <c r="AA3" s="4302"/>
      <c r="AB3" s="4302"/>
      <c r="AC3" s="4302"/>
      <c r="AD3" s="4302"/>
      <c r="AE3" s="4302"/>
      <c r="AF3" s="4302"/>
      <c r="AG3" s="4302"/>
      <c r="AH3" s="4302"/>
      <c r="AI3" s="4302"/>
      <c r="AJ3" s="4302"/>
      <c r="AK3" s="4302"/>
      <c r="AL3" s="4302"/>
      <c r="AM3" s="4302"/>
      <c r="AN3" s="4302"/>
      <c r="AO3" s="4302"/>
      <c r="AP3" s="4302"/>
      <c r="AQ3" s="462"/>
      <c r="AR3" s="462"/>
      <c r="AS3" s="462"/>
      <c r="AT3" s="462"/>
      <c r="AU3" s="462"/>
      <c r="AV3" s="462"/>
      <c r="AW3" s="462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</row>
    <row r="4" spans="1:80" ht="23.25" hidden="1" customHeight="1" x14ac:dyDescent="0.2">
      <c r="A4" s="4296" t="s">
        <v>172</v>
      </c>
      <c r="B4" s="4299" t="s">
        <v>173</v>
      </c>
      <c r="C4" s="4281" t="s">
        <v>174</v>
      </c>
      <c r="D4" s="4282"/>
      <c r="E4" s="4283"/>
      <c r="F4" s="4303" t="s">
        <v>175</v>
      </c>
      <c r="G4" s="4304"/>
      <c r="H4" s="4304"/>
      <c r="I4" s="3532" t="s">
        <v>176</v>
      </c>
      <c r="J4" s="3532"/>
      <c r="K4" s="3532"/>
      <c r="L4" s="3532"/>
      <c r="M4" s="4281" t="s">
        <v>177</v>
      </c>
      <c r="N4" s="4282"/>
      <c r="O4" s="4283"/>
      <c r="P4" s="4281" t="s">
        <v>195</v>
      </c>
      <c r="Q4" s="4282"/>
      <c r="R4" s="4283"/>
      <c r="S4" s="4307" t="s">
        <v>196</v>
      </c>
      <c r="T4" s="4308"/>
      <c r="U4" s="4309"/>
      <c r="V4" s="4307" t="s">
        <v>197</v>
      </c>
      <c r="W4" s="4308"/>
      <c r="X4" s="4309"/>
      <c r="Y4" s="4307" t="s">
        <v>250</v>
      </c>
      <c r="Z4" s="4308"/>
      <c r="AA4" s="4309"/>
      <c r="AB4" s="4287" t="s">
        <v>198</v>
      </c>
      <c r="AC4" s="4288"/>
      <c r="AD4" s="4288"/>
      <c r="AE4" s="4288"/>
      <c r="AF4" s="4289"/>
      <c r="AG4" s="4313" t="s">
        <v>178</v>
      </c>
      <c r="AH4" s="4314"/>
      <c r="AI4" s="4314"/>
      <c r="AJ4" s="4314"/>
      <c r="AK4" s="4315"/>
      <c r="AL4" s="4287" t="s">
        <v>231</v>
      </c>
      <c r="AM4" s="4288"/>
      <c r="AN4" s="4288"/>
      <c r="AO4" s="4288"/>
      <c r="AP4" s="4289"/>
      <c r="AQ4" s="1468"/>
      <c r="AR4" s="1468"/>
      <c r="AS4" s="1468"/>
      <c r="AT4" s="1468"/>
      <c r="AU4" s="4287" t="s">
        <v>232</v>
      </c>
      <c r="AV4" s="4288"/>
      <c r="AW4" s="4289"/>
      <c r="AX4" s="4287" t="s">
        <v>359</v>
      </c>
      <c r="AY4" s="4288"/>
      <c r="AZ4" s="4289"/>
      <c r="BA4" s="4287" t="s">
        <v>375</v>
      </c>
      <c r="BB4" s="4288"/>
      <c r="BC4" s="4288"/>
      <c r="BD4" s="4338" t="s">
        <v>383</v>
      </c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</row>
    <row r="5" spans="1:80" ht="22.5" hidden="1" customHeight="1" x14ac:dyDescent="0.2">
      <c r="A5" s="4297"/>
      <c r="B5" s="4300"/>
      <c r="C5" s="4284"/>
      <c r="D5" s="4285"/>
      <c r="E5" s="4286"/>
      <c r="F5" s="4305"/>
      <c r="G5" s="4306"/>
      <c r="H5" s="4306"/>
      <c r="I5" s="463"/>
      <c r="J5" s="463"/>
      <c r="K5" s="463"/>
      <c r="L5" s="464"/>
      <c r="M5" s="4284"/>
      <c r="N5" s="4285"/>
      <c r="O5" s="4286"/>
      <c r="P5" s="4284"/>
      <c r="Q5" s="4285"/>
      <c r="R5" s="4286"/>
      <c r="S5" s="4310"/>
      <c r="T5" s="4311"/>
      <c r="U5" s="4312"/>
      <c r="V5" s="4310"/>
      <c r="W5" s="4311"/>
      <c r="X5" s="4312"/>
      <c r="Y5" s="4310"/>
      <c r="Z5" s="4311"/>
      <c r="AA5" s="4312"/>
      <c r="AB5" s="4290"/>
      <c r="AC5" s="4291"/>
      <c r="AD5" s="4291"/>
      <c r="AE5" s="4291"/>
      <c r="AF5" s="4292"/>
      <c r="AG5" s="4293" t="s">
        <v>179</v>
      </c>
      <c r="AH5" s="4295" t="s">
        <v>180</v>
      </c>
      <c r="AI5" s="4295"/>
      <c r="AJ5" s="4295" t="s">
        <v>181</v>
      </c>
      <c r="AK5" s="4322"/>
      <c r="AL5" s="4290"/>
      <c r="AM5" s="4291"/>
      <c r="AN5" s="4291"/>
      <c r="AO5" s="4291"/>
      <c r="AP5" s="4292"/>
      <c r="AQ5" s="1469"/>
      <c r="AR5" s="1469"/>
      <c r="AS5" s="1469"/>
      <c r="AT5" s="1469"/>
      <c r="AU5" s="4290"/>
      <c r="AV5" s="4291"/>
      <c r="AW5" s="4292"/>
      <c r="AX5" s="4290"/>
      <c r="AY5" s="4291"/>
      <c r="AZ5" s="4292"/>
      <c r="BA5" s="4290"/>
      <c r="BB5" s="4291"/>
      <c r="BC5" s="4291"/>
      <c r="BD5" s="4339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</row>
    <row r="6" spans="1:80" ht="63" hidden="1" customHeight="1" x14ac:dyDescent="0.2">
      <c r="A6" s="4298"/>
      <c r="B6" s="4301"/>
      <c r="C6" s="1451" t="s">
        <v>179</v>
      </c>
      <c r="D6" s="1466" t="s">
        <v>182</v>
      </c>
      <c r="E6" s="1467" t="s">
        <v>183</v>
      </c>
      <c r="F6" s="1477" t="s">
        <v>179</v>
      </c>
      <c r="G6" s="1478" t="s">
        <v>182</v>
      </c>
      <c r="H6" s="1479" t="s">
        <v>183</v>
      </c>
      <c r="I6" s="1451" t="s">
        <v>179</v>
      </c>
      <c r="J6" s="1466" t="s">
        <v>182</v>
      </c>
      <c r="K6" s="1466" t="s">
        <v>184</v>
      </c>
      <c r="L6" s="1467" t="s">
        <v>183</v>
      </c>
      <c r="M6" s="1450" t="s">
        <v>179</v>
      </c>
      <c r="N6" s="1466" t="s">
        <v>182</v>
      </c>
      <c r="O6" s="1480" t="s">
        <v>183</v>
      </c>
      <c r="P6" s="1450" t="s">
        <v>179</v>
      </c>
      <c r="Q6" s="1481" t="s">
        <v>182</v>
      </c>
      <c r="R6" s="1480" t="s">
        <v>183</v>
      </c>
      <c r="S6" s="1482" t="s">
        <v>179</v>
      </c>
      <c r="T6" s="1483" t="s">
        <v>182</v>
      </c>
      <c r="U6" s="1484" t="s">
        <v>183</v>
      </c>
      <c r="V6" s="1485" t="s">
        <v>179</v>
      </c>
      <c r="W6" s="1483" t="s">
        <v>182</v>
      </c>
      <c r="X6" s="1484" t="s">
        <v>183</v>
      </c>
      <c r="Y6" s="1482" t="s">
        <v>179</v>
      </c>
      <c r="Z6" s="1483" t="s">
        <v>182</v>
      </c>
      <c r="AA6" s="1484" t="s">
        <v>183</v>
      </c>
      <c r="AB6" s="1486" t="s">
        <v>179</v>
      </c>
      <c r="AC6" s="1444" t="s">
        <v>182</v>
      </c>
      <c r="AD6" s="1487" t="s">
        <v>206</v>
      </c>
      <c r="AE6" s="1487" t="s">
        <v>207</v>
      </c>
      <c r="AF6" s="1445" t="s">
        <v>183</v>
      </c>
      <c r="AG6" s="4294"/>
      <c r="AH6" s="1444" t="s">
        <v>185</v>
      </c>
      <c r="AI6" s="1444" t="s">
        <v>186</v>
      </c>
      <c r="AJ6" s="1444" t="s">
        <v>187</v>
      </c>
      <c r="AK6" s="1445" t="s">
        <v>188</v>
      </c>
      <c r="AL6" s="1486" t="s">
        <v>179</v>
      </c>
      <c r="AM6" s="1444" t="s">
        <v>182</v>
      </c>
      <c r="AN6" s="1487" t="s">
        <v>206</v>
      </c>
      <c r="AO6" s="1487" t="s">
        <v>207</v>
      </c>
      <c r="AP6" s="1445" t="s">
        <v>183</v>
      </c>
      <c r="AQ6" s="1488"/>
      <c r="AR6" s="1488"/>
      <c r="AS6" s="1488"/>
      <c r="AT6" s="1488"/>
      <c r="AU6" s="1486" t="s">
        <v>179</v>
      </c>
      <c r="AV6" s="1444" t="s">
        <v>182</v>
      </c>
      <c r="AW6" s="1445" t="s">
        <v>183</v>
      </c>
      <c r="AX6" s="1486" t="s">
        <v>179</v>
      </c>
      <c r="AY6" s="1444" t="s">
        <v>182</v>
      </c>
      <c r="AZ6" s="1445" t="s">
        <v>183</v>
      </c>
      <c r="BA6" s="1486" t="s">
        <v>179</v>
      </c>
      <c r="BB6" s="1444" t="s">
        <v>182</v>
      </c>
      <c r="BC6" s="1487" t="s">
        <v>183</v>
      </c>
      <c r="BD6" s="4340"/>
      <c r="BE6" s="920"/>
      <c r="BF6" s="920"/>
      <c r="BG6" s="920"/>
      <c r="BH6" s="920"/>
      <c r="BI6" s="920"/>
      <c r="BJ6" s="920"/>
      <c r="BK6" s="920"/>
      <c r="BL6" s="920"/>
      <c r="BM6" s="920"/>
      <c r="BN6" s="920"/>
      <c r="BO6" s="920"/>
      <c r="BP6" s="920"/>
      <c r="BQ6" s="920"/>
      <c r="BR6" s="920"/>
      <c r="BS6" s="920"/>
      <c r="BT6" s="920"/>
      <c r="BU6" s="920"/>
      <c r="BV6" s="920"/>
      <c r="BW6" s="920"/>
      <c r="BX6" s="920"/>
    </row>
    <row r="7" spans="1:80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148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1453"/>
      <c r="AC7" s="1452"/>
      <c r="AD7" s="1458"/>
      <c r="AE7" s="1458"/>
      <c r="AF7" s="1455"/>
      <c r="AG7" s="1453"/>
      <c r="AH7" s="1452"/>
      <c r="AI7" s="1452"/>
      <c r="AJ7" s="1452"/>
      <c r="AK7" s="491"/>
      <c r="AL7" s="1453"/>
      <c r="AM7" s="1452"/>
      <c r="AN7" s="1458"/>
      <c r="AO7" s="1458"/>
      <c r="AP7" s="1455"/>
      <c r="AQ7" s="912"/>
      <c r="AR7" s="912"/>
      <c r="AS7" s="912"/>
      <c r="AT7" s="912"/>
      <c r="AU7" s="1453"/>
      <c r="AV7" s="1452"/>
      <c r="AW7" s="1455"/>
      <c r="AX7" s="1453"/>
      <c r="AY7" s="1452"/>
      <c r="AZ7" s="1455"/>
      <c r="BA7" s="1453"/>
      <c r="BB7" s="1452"/>
      <c r="BC7" s="1458"/>
      <c r="BD7" s="492"/>
      <c r="BE7" s="921"/>
      <c r="BF7" s="921"/>
      <c r="BG7" s="921"/>
      <c r="BH7" s="921"/>
      <c r="BI7" s="921"/>
      <c r="BJ7" s="921"/>
      <c r="BK7" s="921"/>
      <c r="BL7" s="921"/>
      <c r="BM7" s="921"/>
      <c r="BN7" s="921"/>
      <c r="BO7" s="921"/>
      <c r="BP7" s="921"/>
      <c r="BQ7" s="921"/>
      <c r="BR7" s="921"/>
      <c r="BS7" s="921"/>
      <c r="BT7" s="921"/>
      <c r="BU7" s="921"/>
      <c r="BV7" s="921"/>
      <c r="BW7" s="921"/>
      <c r="BX7" s="921"/>
    </row>
    <row r="8" spans="1:80" ht="56.25" hidden="1" x14ac:dyDescent="0.3">
      <c r="A8" s="1490" t="s">
        <v>189</v>
      </c>
      <c r="B8" s="1491" t="s">
        <v>201</v>
      </c>
      <c r="C8" s="1492">
        <v>840</v>
      </c>
      <c r="D8" s="1493">
        <v>12146</v>
      </c>
      <c r="E8" s="1494">
        <v>122429.8</v>
      </c>
      <c r="F8" s="1495">
        <f>F9+F10</f>
        <v>813</v>
      </c>
      <c r="G8" s="1496">
        <f>(G9*F9+G10*F10)/(F9+F10)</f>
        <v>12443.442804428045</v>
      </c>
      <c r="H8" s="1497">
        <f>H10+H9</f>
        <v>121398.228</v>
      </c>
      <c r="I8" s="1498">
        <v>799</v>
      </c>
      <c r="J8" s="1493">
        <v>13361</v>
      </c>
      <c r="K8" s="1499">
        <f>J8/G8</f>
        <v>1.07373820975377</v>
      </c>
      <c r="L8" s="1500">
        <v>128108.9</v>
      </c>
      <c r="M8" s="1498">
        <f>M9+M10+M11+M12</f>
        <v>155.5</v>
      </c>
      <c r="N8" s="1493">
        <f>O8/M8/12*1000</f>
        <v>17474.049303322616</v>
      </c>
      <c r="O8" s="1494">
        <f>O9+O10+O11+O12</f>
        <v>32606.576000000001</v>
      </c>
      <c r="P8" s="1501">
        <f>SUM(P9:P12)</f>
        <v>150</v>
      </c>
      <c r="Q8" s="1502">
        <f>R8/P8/12*1000</f>
        <v>20234.871111111108</v>
      </c>
      <c r="R8" s="1501">
        <f>SUM(R9:R12)</f>
        <v>36422.767999999996</v>
      </c>
      <c r="S8" s="1503">
        <f>S9+S10+S11+S12</f>
        <v>155</v>
      </c>
      <c r="T8" s="1504">
        <f>U8/S8/12*1000</f>
        <v>8717.967741935483</v>
      </c>
      <c r="U8" s="1505">
        <f>U9+U10+U11+U12</f>
        <v>16215.419999999998</v>
      </c>
      <c r="V8" s="1506">
        <f>V9+V10+V11+V12</f>
        <v>149</v>
      </c>
      <c r="W8" s="1504">
        <f>X8/V8/12*1000</f>
        <v>8464.3176733780765</v>
      </c>
      <c r="X8" s="1507">
        <f>X9+X10</f>
        <v>15134.2</v>
      </c>
      <c r="Y8" s="1508">
        <f>Y9+Y10+Y11+Y12</f>
        <v>155</v>
      </c>
      <c r="Z8" s="1509">
        <f>AA8/Y8/12*1000</f>
        <v>19376.075268817203</v>
      </c>
      <c r="AA8" s="1510">
        <f>AA9+AA10+AA11+AA12</f>
        <v>36039.5</v>
      </c>
      <c r="AB8" s="1508">
        <f>AB9+AB10+AB11+AB12</f>
        <v>155</v>
      </c>
      <c r="AC8" s="1509">
        <f>AF8/AB8/12*1000</f>
        <v>24645.696774193548</v>
      </c>
      <c r="AD8" s="1511">
        <f>AC8/T8*100</f>
        <v>282.70002257110826</v>
      </c>
      <c r="AE8" s="1511">
        <f>AC8/Z8*100</f>
        <v>127.19653713286812</v>
      </c>
      <c r="AF8" s="1510">
        <f>AF9+AF10+AF11+AF12</f>
        <v>45840.995999999999</v>
      </c>
      <c r="AG8" s="1512">
        <f>AG9+AG10</f>
        <v>94</v>
      </c>
      <c r="AH8" s="1509">
        <f>AJ8/AG8/12*1000</f>
        <v>19182.659183059011</v>
      </c>
      <c r="AI8" s="1513">
        <f>AH8/Z8*100</f>
        <v>99.001778827369307</v>
      </c>
      <c r="AJ8" s="1514">
        <f>AJ9+AJ10</f>
        <v>21638.039558490564</v>
      </c>
      <c r="AK8" s="1515">
        <f>AJ8/U8*100</f>
        <v>133.44112923680402</v>
      </c>
      <c r="AL8" s="1508">
        <f>AL9+AL10+AL11+AL12</f>
        <v>155</v>
      </c>
      <c r="AM8" s="1509">
        <f>AP8/AL8/12*1000</f>
        <v>9336.943451612904</v>
      </c>
      <c r="AN8" s="1516">
        <f>AM8/T8*100</f>
        <v>107.10000000000002</v>
      </c>
      <c r="AO8" s="1511">
        <f>AM8/AJ8*100</f>
        <v>43.150597938292314</v>
      </c>
      <c r="AP8" s="1510">
        <f>AP9+AP10+AP11+AP12</f>
        <v>17366.714820000001</v>
      </c>
      <c r="AQ8" s="1517"/>
      <c r="AR8" s="1517"/>
      <c r="AS8" s="1517"/>
      <c r="AT8" s="1517"/>
      <c r="AU8" s="1508">
        <f>AU9+AU10+AU11+AU12</f>
        <v>151</v>
      </c>
      <c r="AV8" s="1509">
        <f>AW8/AU8/9*1000</f>
        <v>22518.469462840323</v>
      </c>
      <c r="AW8" s="1510">
        <f>AW9+AW10+AW11+AW12</f>
        <v>30602.6</v>
      </c>
      <c r="AX8" s="1508">
        <f>AX9+AX10+AX11+AX12</f>
        <v>151</v>
      </c>
      <c r="AY8" s="1509">
        <f>AZ8/AX8/3*1000</f>
        <v>25066.88741721855</v>
      </c>
      <c r="AZ8" s="1510">
        <f>AZ9+AZ10+AZ11+AZ12</f>
        <v>11355.300000000001</v>
      </c>
      <c r="BA8" s="1508">
        <f>BA9+BA10+BA11+BA12</f>
        <v>150</v>
      </c>
      <c r="BB8" s="1509">
        <f>BC8/BA8/12*1000</f>
        <v>22582.944444444442</v>
      </c>
      <c r="BC8" s="1518">
        <f>BC9+BC10+BC11+BC12</f>
        <v>40649.299999999996</v>
      </c>
      <c r="BD8" s="1519">
        <f>(M8+P8+Y8+BA8)/4</f>
        <v>152.625</v>
      </c>
      <c r="BE8" s="922"/>
      <c r="BF8" s="922"/>
      <c r="BG8" s="922"/>
      <c r="BH8" s="922"/>
      <c r="BI8" s="922"/>
      <c r="BJ8" s="922"/>
      <c r="BK8" s="922"/>
      <c r="BL8" s="922"/>
      <c r="BM8" s="922"/>
      <c r="BN8" s="922"/>
      <c r="BO8" s="922"/>
      <c r="BP8" s="922"/>
      <c r="BQ8" s="922"/>
      <c r="BR8" s="922"/>
      <c r="BS8" s="922"/>
      <c r="BT8" s="922"/>
      <c r="BU8" s="922"/>
      <c r="BV8" s="922"/>
      <c r="BW8" s="922"/>
      <c r="BX8" s="922"/>
    </row>
    <row r="9" spans="1:80" ht="18.75" hidden="1" x14ac:dyDescent="0.3">
      <c r="A9" s="1520" t="s">
        <v>190</v>
      </c>
      <c r="B9" s="1521" t="s">
        <v>85</v>
      </c>
      <c r="C9" s="1522">
        <v>456</v>
      </c>
      <c r="D9" s="1523">
        <v>12405</v>
      </c>
      <c r="E9" s="1524">
        <v>67882.600000000006</v>
      </c>
      <c r="F9" s="1525">
        <v>444</v>
      </c>
      <c r="G9" s="1526">
        <v>12620</v>
      </c>
      <c r="H9" s="1527">
        <f>F9*G9*12/1000</f>
        <v>67239.360000000001</v>
      </c>
      <c r="I9" s="1528">
        <v>435</v>
      </c>
      <c r="J9" s="1523">
        <v>13646</v>
      </c>
      <c r="K9" s="1499">
        <f>J9/G9</f>
        <v>1.0812995245641839</v>
      </c>
      <c r="L9" s="1529">
        <v>71232.100000000006</v>
      </c>
      <c r="M9" s="1528">
        <v>26</v>
      </c>
      <c r="N9" s="1523">
        <f>O9/M9/12*1000</f>
        <v>16771.474358974359</v>
      </c>
      <c r="O9" s="1524">
        <v>5232.7</v>
      </c>
      <c r="P9" s="1530">
        <v>22</v>
      </c>
      <c r="Q9" s="1523">
        <v>20793</v>
      </c>
      <c r="R9" s="1531">
        <f>P9*Q9*12/1000</f>
        <v>5489.3519999999999</v>
      </c>
      <c r="S9" s="1532">
        <v>26.5</v>
      </c>
      <c r="T9" s="1533">
        <f>U9/12/S9*1000</f>
        <v>1500.3144654088051</v>
      </c>
      <c r="U9" s="1534">
        <f>вода!I12</f>
        <v>477.1</v>
      </c>
      <c r="V9" s="1535">
        <v>22</v>
      </c>
      <c r="W9" s="1536">
        <f>X9/9/V9*1000</f>
        <v>17417.171717171717</v>
      </c>
      <c r="X9" s="1537">
        <v>3448.6</v>
      </c>
      <c r="Y9" s="1538">
        <v>26.5</v>
      </c>
      <c r="Z9" s="1536">
        <f>AA9/12/Y9*1000</f>
        <v>15450.943396226414</v>
      </c>
      <c r="AA9" s="1539">
        <v>4913.3999999999996</v>
      </c>
      <c r="AB9" s="1538">
        <v>26.5</v>
      </c>
      <c r="AC9" s="1536">
        <v>21852</v>
      </c>
      <c r="AD9" s="1540">
        <f t="shared" ref="AD9:AD18" si="0">AC9/T9*100</f>
        <v>1456.4946552085516</v>
      </c>
      <c r="AE9" s="1540">
        <f t="shared" ref="AE9:AE18" si="1">AC9/Z9*100</f>
        <v>141.42825741848824</v>
      </c>
      <c r="AF9" s="1539">
        <f>AB9*AC9*12/1000</f>
        <v>6948.9359999999997</v>
      </c>
      <c r="AG9" s="1538">
        <f>V9</f>
        <v>22</v>
      </c>
      <c r="AH9" s="1536">
        <f>Z9*1.051</f>
        <v>16238.94150943396</v>
      </c>
      <c r="AI9" s="1541">
        <f>AH9/Z9*100</f>
        <v>105.1</v>
      </c>
      <c r="AJ9" s="1542">
        <f>AH9*12*AG9/1000</f>
        <v>4287.0805584905647</v>
      </c>
      <c r="AK9" s="1543">
        <f>AJ9/U9*100</f>
        <v>898.57064734658661</v>
      </c>
      <c r="AL9" s="1538">
        <v>26.5</v>
      </c>
      <c r="AM9" s="1544">
        <f>T9*1.071</f>
        <v>1606.8367924528302</v>
      </c>
      <c r="AN9" s="1516">
        <f>AM9/T9*100</f>
        <v>107.1</v>
      </c>
      <c r="AO9" s="1545">
        <f>AM9/Z9*100</f>
        <v>10.399603126144829</v>
      </c>
      <c r="AP9" s="1539">
        <f>AL9*AM9*12/1000</f>
        <v>510.97410000000002</v>
      </c>
      <c r="AQ9" s="1546"/>
      <c r="AR9" s="1546"/>
      <c r="AS9" s="1546"/>
      <c r="AT9" s="1546"/>
      <c r="AU9" s="1538">
        <v>22</v>
      </c>
      <c r="AV9" s="1536">
        <f>AW9/9/AU9*1000</f>
        <v>21411.616161616163</v>
      </c>
      <c r="AW9" s="1539">
        <v>4239.5</v>
      </c>
      <c r="AX9" s="1538">
        <v>22</v>
      </c>
      <c r="AY9" s="1536">
        <f>AZ9/3/AX9*1000</f>
        <v>23621.21212121212</v>
      </c>
      <c r="AZ9" s="1539">
        <v>1559</v>
      </c>
      <c r="BA9" s="1538">
        <v>22</v>
      </c>
      <c r="BB9" s="1544">
        <f>BC9/BA9/12*1000</f>
        <v>21159.469696969696</v>
      </c>
      <c r="BC9" s="1547">
        <v>5586.1</v>
      </c>
      <c r="BD9" s="1519">
        <f>(M9+P9+Y9+BA9)/4</f>
        <v>24.125</v>
      </c>
      <c r="BE9" s="922"/>
      <c r="BF9" s="922"/>
      <c r="BG9" s="922"/>
      <c r="BH9" s="922"/>
      <c r="BI9" s="922"/>
      <c r="BJ9" s="922"/>
      <c r="BK9" s="922"/>
      <c r="BL9" s="922"/>
      <c r="BM9" s="922"/>
      <c r="BN9" s="922"/>
      <c r="BO9" s="922"/>
      <c r="BP9" s="922"/>
      <c r="BQ9" s="922"/>
      <c r="BR9" s="922"/>
      <c r="BS9" s="922"/>
      <c r="BT9" s="922"/>
      <c r="BU9" s="922"/>
      <c r="BV9" s="922"/>
      <c r="BW9" s="922"/>
      <c r="BX9" s="922"/>
    </row>
    <row r="10" spans="1:80" ht="18.75" hidden="1" x14ac:dyDescent="0.3">
      <c r="A10" s="1520" t="s">
        <v>191</v>
      </c>
      <c r="B10" s="1521" t="s">
        <v>87</v>
      </c>
      <c r="C10" s="1522">
        <v>384</v>
      </c>
      <c r="D10" s="1523">
        <v>11838</v>
      </c>
      <c r="E10" s="1524">
        <v>54547.199999999997</v>
      </c>
      <c r="F10" s="1525">
        <v>369</v>
      </c>
      <c r="G10" s="1526">
        <v>12231</v>
      </c>
      <c r="H10" s="1527">
        <f>F10*G10*12/1000</f>
        <v>54158.868000000002</v>
      </c>
      <c r="I10" s="1528">
        <v>364</v>
      </c>
      <c r="J10" s="1523">
        <v>13021</v>
      </c>
      <c r="K10" s="1499">
        <f>J10/G10</f>
        <v>1.0645899762897555</v>
      </c>
      <c r="L10" s="1529">
        <v>56876.800000000003</v>
      </c>
      <c r="M10" s="1548">
        <v>71.5</v>
      </c>
      <c r="N10" s="1523">
        <f>O10/M10/12*1000</f>
        <v>16952.564102564102</v>
      </c>
      <c r="O10" s="1524">
        <v>14545.3</v>
      </c>
      <c r="P10" s="1530">
        <v>70</v>
      </c>
      <c r="Q10" s="1523">
        <f>R10/P10/12*1000</f>
        <v>18740.238095238095</v>
      </c>
      <c r="R10" s="1531">
        <v>15741.8</v>
      </c>
      <c r="S10" s="1532">
        <v>72.5</v>
      </c>
      <c r="T10" s="1533">
        <f>U10/S10/12*1000</f>
        <v>994.02298850574709</v>
      </c>
      <c r="U10" s="1534">
        <f>вода!I22</f>
        <v>864.8</v>
      </c>
      <c r="V10" s="1535">
        <v>72</v>
      </c>
      <c r="W10" s="1536">
        <f>X10/V10/12*1000</f>
        <v>13525</v>
      </c>
      <c r="X10" s="1537">
        <v>11685.6</v>
      </c>
      <c r="Y10" s="1538">
        <v>72.5</v>
      </c>
      <c r="Z10" s="1536">
        <f>AA10/12/72*1000</f>
        <v>19107.638888888891</v>
      </c>
      <c r="AA10" s="1539">
        <v>16509</v>
      </c>
      <c r="AB10" s="1538">
        <v>72.5</v>
      </c>
      <c r="AC10" s="1536">
        <v>23802</v>
      </c>
      <c r="AD10" s="1540">
        <f t="shared" si="0"/>
        <v>2394.5120259019427</v>
      </c>
      <c r="AE10" s="1540">
        <f t="shared" si="1"/>
        <v>124.56798110121751</v>
      </c>
      <c r="AF10" s="1539">
        <f>AB10*AC10*12/1000</f>
        <v>20707.740000000002</v>
      </c>
      <c r="AG10" s="1538">
        <f>V10</f>
        <v>72</v>
      </c>
      <c r="AH10" s="1536">
        <f>Z10*1.051</f>
        <v>20082.128472222223</v>
      </c>
      <c r="AI10" s="1541">
        <f>AH10/Z10*100</f>
        <v>105.1</v>
      </c>
      <c r="AJ10" s="1542">
        <f>AH10*12*AG10/1000</f>
        <v>17350.958999999999</v>
      </c>
      <c r="AK10" s="1543">
        <f>AJ10/U10*100</f>
        <v>2006.3551110083256</v>
      </c>
      <c r="AL10" s="1538">
        <v>72.5</v>
      </c>
      <c r="AM10" s="1544">
        <f>T10*1.071</f>
        <v>1064.598620689655</v>
      </c>
      <c r="AN10" s="1516">
        <f>AM10/T10*100</f>
        <v>107.1</v>
      </c>
      <c r="AO10" s="1545">
        <f t="shared" ref="AO10:AO18" si="2">AM10/Z10*100</f>
        <v>5.5715864575435328</v>
      </c>
      <c r="AP10" s="1539">
        <f>AL10*AM10*12/1000</f>
        <v>926.20079999999996</v>
      </c>
      <c r="AQ10" s="1546"/>
      <c r="AR10" s="1546"/>
      <c r="AS10" s="1546"/>
      <c r="AT10" s="1546"/>
      <c r="AU10" s="1538">
        <v>72</v>
      </c>
      <c r="AV10" s="1536">
        <f>AW10/9/AU10*1000</f>
        <v>21503.703703703704</v>
      </c>
      <c r="AW10" s="1539">
        <v>13934.4</v>
      </c>
      <c r="AX10" s="1538">
        <v>72</v>
      </c>
      <c r="AY10" s="1536">
        <f>AZ10/3/AX10*1000</f>
        <v>23650.925925925927</v>
      </c>
      <c r="AZ10" s="1539">
        <v>5108.6000000000004</v>
      </c>
      <c r="BA10" s="1538">
        <v>72</v>
      </c>
      <c r="BB10" s="1544">
        <f>BC10/BA10/12*1000</f>
        <v>21402.199074074077</v>
      </c>
      <c r="BC10" s="1547">
        <v>18491.5</v>
      </c>
      <c r="BD10" s="1519">
        <f>(M10+P10+Y10+BA10)/4</f>
        <v>71.5</v>
      </c>
      <c r="BE10" s="922"/>
      <c r="BF10" s="922"/>
      <c r="BG10" s="922"/>
      <c r="BH10" s="922"/>
      <c r="BI10" s="922"/>
      <c r="BJ10" s="922"/>
      <c r="BK10" s="922"/>
      <c r="BL10" s="922"/>
      <c r="BM10" s="922"/>
      <c r="BN10" s="922"/>
      <c r="BO10" s="922"/>
      <c r="BP10" s="922"/>
      <c r="BQ10" s="922"/>
      <c r="BR10" s="922"/>
      <c r="BS10" s="922"/>
      <c r="BT10" s="922"/>
      <c r="BU10" s="922"/>
      <c r="BV10" s="922"/>
      <c r="BW10" s="922"/>
      <c r="BX10" s="922"/>
    </row>
    <row r="11" spans="1:80" ht="18.75" hidden="1" x14ac:dyDescent="0.3">
      <c r="A11" s="1520" t="s">
        <v>199</v>
      </c>
      <c r="B11" s="1521" t="s">
        <v>88</v>
      </c>
      <c r="C11" s="1522"/>
      <c r="D11" s="1523"/>
      <c r="E11" s="1524"/>
      <c r="F11" s="1525"/>
      <c r="G11" s="1526"/>
      <c r="H11" s="1527"/>
      <c r="I11" s="1528"/>
      <c r="J11" s="1523"/>
      <c r="K11" s="1499"/>
      <c r="L11" s="1529"/>
      <c r="M11" s="1528">
        <v>33</v>
      </c>
      <c r="N11" s="1523">
        <v>18981</v>
      </c>
      <c r="O11" s="1524">
        <f>M11*N11*12/1000</f>
        <v>7516.4759999999997</v>
      </c>
      <c r="P11" s="1549">
        <v>32</v>
      </c>
      <c r="Q11" s="1550">
        <v>21797</v>
      </c>
      <c r="R11" s="1531">
        <f>P11*Q11*12/1000</f>
        <v>8370.0480000000007</v>
      </c>
      <c r="S11" s="1532">
        <v>31</v>
      </c>
      <c r="T11" s="1420">
        <v>23385</v>
      </c>
      <c r="U11" s="1534">
        <f>S11*T11*12/1000</f>
        <v>8699.2199999999993</v>
      </c>
      <c r="V11" s="1535">
        <v>30</v>
      </c>
      <c r="W11" s="1536">
        <v>21786</v>
      </c>
      <c r="X11" s="1537">
        <f>V11*W11*9/1000</f>
        <v>5882.22</v>
      </c>
      <c r="Y11" s="1538">
        <v>31</v>
      </c>
      <c r="Z11" s="1536">
        <v>24160</v>
      </c>
      <c r="AA11" s="1539">
        <v>8778.6</v>
      </c>
      <c r="AB11" s="1538">
        <v>31</v>
      </c>
      <c r="AC11" s="1536">
        <v>28610</v>
      </c>
      <c r="AD11" s="1540">
        <f t="shared" si="0"/>
        <v>122.34338251015609</v>
      </c>
      <c r="AE11" s="1540">
        <f t="shared" si="1"/>
        <v>118.41887417218544</v>
      </c>
      <c r="AF11" s="1539">
        <f>AB11*AC11*12/1000</f>
        <v>10642.92</v>
      </c>
      <c r="AG11" s="1538"/>
      <c r="AH11" s="1536"/>
      <c r="AI11" s="1541"/>
      <c r="AJ11" s="1542"/>
      <c r="AK11" s="1543"/>
      <c r="AL11" s="1538">
        <v>31</v>
      </c>
      <c r="AM11" s="1544">
        <f>T11*1.071</f>
        <v>25045.334999999999</v>
      </c>
      <c r="AN11" s="1516">
        <f>AM11/T11*100</f>
        <v>107.1</v>
      </c>
      <c r="AO11" s="1545">
        <f t="shared" si="2"/>
        <v>103.66446605960265</v>
      </c>
      <c r="AP11" s="1539">
        <f>AL11*AM11*12/1000</f>
        <v>9316.8646200000003</v>
      </c>
      <c r="AQ11" s="1546"/>
      <c r="AR11" s="1546"/>
      <c r="AS11" s="1546"/>
      <c r="AT11" s="1546"/>
      <c r="AU11" s="1538">
        <v>32</v>
      </c>
      <c r="AV11" s="1536">
        <f>AW11/9/AU11*1000</f>
        <v>25180.902777777777</v>
      </c>
      <c r="AW11" s="1539">
        <v>7252.1</v>
      </c>
      <c r="AX11" s="1538">
        <v>32</v>
      </c>
      <c r="AY11" s="1536">
        <f>AZ11/3/AX11*1000</f>
        <v>28734.375</v>
      </c>
      <c r="AZ11" s="1539">
        <v>2758.5</v>
      </c>
      <c r="BA11" s="1538">
        <v>31</v>
      </c>
      <c r="BB11" s="1544">
        <f>BC11/BA11/12*1000</f>
        <v>26139.247311827956</v>
      </c>
      <c r="BC11" s="1547">
        <v>9723.7999999999993</v>
      </c>
      <c r="BD11" s="1519">
        <f>(M11+P11+Y11+BA11)/4</f>
        <v>31.75</v>
      </c>
      <c r="BE11" s="922"/>
      <c r="BF11" s="922"/>
      <c r="BG11" s="922"/>
      <c r="BH11" s="922"/>
      <c r="BI11" s="922"/>
      <c r="BJ11" s="922"/>
      <c r="BK11" s="922"/>
      <c r="BL11" s="922"/>
      <c r="BM11" s="922"/>
      <c r="BN11" s="922"/>
      <c r="BO11" s="922"/>
      <c r="BP11" s="922"/>
      <c r="BQ11" s="922"/>
      <c r="BR11" s="922"/>
      <c r="BS11" s="922"/>
      <c r="BT11" s="922"/>
      <c r="BU11" s="922"/>
      <c r="BV11" s="922"/>
      <c r="BW11" s="922"/>
      <c r="BX11" s="922"/>
    </row>
    <row r="12" spans="1:80" ht="18.75" hidden="1" x14ac:dyDescent="0.3">
      <c r="A12" s="1520" t="s">
        <v>200</v>
      </c>
      <c r="B12" s="1521" t="s">
        <v>89</v>
      </c>
      <c r="C12" s="1522"/>
      <c r="D12" s="1523"/>
      <c r="E12" s="1524"/>
      <c r="F12" s="1525"/>
      <c r="G12" s="1526"/>
      <c r="H12" s="1527"/>
      <c r="I12" s="1528"/>
      <c r="J12" s="1523"/>
      <c r="K12" s="1499"/>
      <c r="L12" s="1529"/>
      <c r="M12" s="1528">
        <v>25</v>
      </c>
      <c r="N12" s="1523">
        <v>17707</v>
      </c>
      <c r="O12" s="1524">
        <f>M12*N12*12/1000</f>
        <v>5312.1</v>
      </c>
      <c r="P12" s="1549">
        <v>26</v>
      </c>
      <c r="Q12" s="1550">
        <v>21864</v>
      </c>
      <c r="R12" s="1531">
        <f>P12*Q12*12/1000</f>
        <v>6821.5680000000002</v>
      </c>
      <c r="S12" s="1532">
        <v>25</v>
      </c>
      <c r="T12" s="1420">
        <v>20581</v>
      </c>
      <c r="U12" s="1534">
        <f>S12*T12*12/1000</f>
        <v>6174.3</v>
      </c>
      <c r="V12" s="1535">
        <v>25</v>
      </c>
      <c r="W12" s="1536">
        <v>18220</v>
      </c>
      <c r="X12" s="1537">
        <f>V12*W12*9/1000</f>
        <v>4099.5</v>
      </c>
      <c r="Y12" s="1538">
        <v>25</v>
      </c>
      <c r="Z12" s="1536">
        <v>20570</v>
      </c>
      <c r="AA12" s="1539">
        <v>5838.5</v>
      </c>
      <c r="AB12" s="1538">
        <v>25</v>
      </c>
      <c r="AC12" s="1536">
        <v>25138</v>
      </c>
      <c r="AD12" s="1540">
        <f t="shared" si="0"/>
        <v>122.14178125455517</v>
      </c>
      <c r="AE12" s="1540">
        <f t="shared" si="1"/>
        <v>122.2070977151191</v>
      </c>
      <c r="AF12" s="1539">
        <f>AB12*AC12*12/1000</f>
        <v>7541.4</v>
      </c>
      <c r="AG12" s="1538"/>
      <c r="AH12" s="1536"/>
      <c r="AI12" s="1541"/>
      <c r="AJ12" s="1542"/>
      <c r="AK12" s="1543"/>
      <c r="AL12" s="1538">
        <v>25</v>
      </c>
      <c r="AM12" s="1544">
        <f>T12*1.071</f>
        <v>22042.251</v>
      </c>
      <c r="AN12" s="1516">
        <f>AM12/T12*100</f>
        <v>107.1</v>
      </c>
      <c r="AO12" s="1545">
        <f t="shared" si="2"/>
        <v>107.15727272727274</v>
      </c>
      <c r="AP12" s="1539">
        <f>AL12*AM12*12/1000</f>
        <v>6612.6753000000008</v>
      </c>
      <c r="AQ12" s="1546"/>
      <c r="AR12" s="1546"/>
      <c r="AS12" s="1546"/>
      <c r="AT12" s="1546"/>
      <c r="AU12" s="1538">
        <v>25</v>
      </c>
      <c r="AV12" s="1536">
        <f>AW12/9/AU12*1000</f>
        <v>23007.111111111113</v>
      </c>
      <c r="AW12" s="1539">
        <v>5176.6000000000004</v>
      </c>
      <c r="AX12" s="1538">
        <v>25</v>
      </c>
      <c r="AY12" s="1536">
        <f>AZ12/3/AX12*1000</f>
        <v>25722.666666666668</v>
      </c>
      <c r="AZ12" s="1539">
        <v>1929.2</v>
      </c>
      <c r="BA12" s="1538">
        <v>25</v>
      </c>
      <c r="BB12" s="1544">
        <f>BC12/BA12/12*1000</f>
        <v>22826.333333333336</v>
      </c>
      <c r="BC12" s="1547">
        <v>6847.9</v>
      </c>
      <c r="BD12" s="1519">
        <f>(M12+P12+Y12+BA12)/4</f>
        <v>25.25</v>
      </c>
      <c r="BE12" s="922"/>
      <c r="BF12" s="922"/>
      <c r="BG12" s="922"/>
      <c r="BH12" s="922"/>
      <c r="BI12" s="922"/>
      <c r="BJ12" s="922"/>
      <c r="BK12" s="922"/>
      <c r="BL12" s="922"/>
      <c r="BM12" s="922"/>
      <c r="BN12" s="922"/>
      <c r="BO12" s="922"/>
      <c r="BP12" s="922"/>
      <c r="BQ12" s="922"/>
      <c r="BR12" s="922"/>
      <c r="BS12" s="922"/>
      <c r="BT12" s="922"/>
      <c r="BU12" s="922"/>
      <c r="BV12" s="922"/>
      <c r="BW12" s="922"/>
      <c r="BX12" s="922"/>
    </row>
    <row r="13" spans="1:80" ht="18.75" hidden="1" x14ac:dyDescent="0.3">
      <c r="A13" s="1520"/>
      <c r="B13" s="1521"/>
      <c r="C13" s="1522"/>
      <c r="D13" s="1523"/>
      <c r="E13" s="1524"/>
      <c r="F13" s="1525"/>
      <c r="G13" s="1526"/>
      <c r="H13" s="1527"/>
      <c r="I13" s="1528"/>
      <c r="J13" s="1523"/>
      <c r="K13" s="1499"/>
      <c r="L13" s="1529"/>
      <c r="M13" s="1528"/>
      <c r="N13" s="1523"/>
      <c r="O13" s="1524"/>
      <c r="P13" s="1531"/>
      <c r="Q13" s="1551"/>
      <c r="R13" s="1531"/>
      <c r="S13" s="1532"/>
      <c r="T13" s="1420"/>
      <c r="U13" s="1534"/>
      <c r="V13" s="1535"/>
      <c r="W13" s="1536"/>
      <c r="X13" s="1537"/>
      <c r="Y13" s="1538"/>
      <c r="Z13" s="1536"/>
      <c r="AA13" s="1539"/>
      <c r="AB13" s="1538"/>
      <c r="AC13" s="1536"/>
      <c r="AD13" s="1511"/>
      <c r="AE13" s="1540"/>
      <c r="AF13" s="1539"/>
      <c r="AG13" s="1538"/>
      <c r="AH13" s="1536"/>
      <c r="AI13" s="1541"/>
      <c r="AJ13" s="1542"/>
      <c r="AK13" s="1543"/>
      <c r="AL13" s="1538"/>
      <c r="AM13" s="1536"/>
      <c r="AN13" s="1516"/>
      <c r="AO13" s="1545"/>
      <c r="AP13" s="1539"/>
      <c r="AQ13" s="1546"/>
      <c r="AR13" s="1546"/>
      <c r="AS13" s="1546"/>
      <c r="AT13" s="1546"/>
      <c r="AU13" s="1538"/>
      <c r="AV13" s="544"/>
      <c r="AW13" s="1539"/>
      <c r="AX13" s="1538"/>
      <c r="AY13" s="544"/>
      <c r="AZ13" s="1539"/>
      <c r="BA13" s="1538"/>
      <c r="BB13" s="1536"/>
      <c r="BC13" s="1547"/>
      <c r="BD13" s="1519"/>
      <c r="BE13" s="922"/>
      <c r="BF13" s="922"/>
      <c r="BG13" s="922"/>
      <c r="BH13" s="922"/>
      <c r="BI13" s="922"/>
      <c r="BJ13" s="922"/>
      <c r="BK13" s="922"/>
      <c r="BL13" s="922"/>
      <c r="BM13" s="922"/>
      <c r="BN13" s="922"/>
      <c r="BO13" s="922"/>
      <c r="BP13" s="922"/>
      <c r="BQ13" s="922"/>
      <c r="BR13" s="922"/>
      <c r="BS13" s="922"/>
      <c r="BT13" s="922"/>
      <c r="BU13" s="922"/>
      <c r="BV13" s="922"/>
      <c r="BW13" s="922"/>
      <c r="BX13" s="922"/>
    </row>
    <row r="14" spans="1:80" ht="56.25" hidden="1" x14ac:dyDescent="0.3">
      <c r="A14" s="1490" t="s">
        <v>192</v>
      </c>
      <c r="B14" s="1491" t="s">
        <v>202</v>
      </c>
      <c r="C14" s="1492">
        <v>840</v>
      </c>
      <c r="D14" s="1493">
        <v>12146</v>
      </c>
      <c r="E14" s="1494">
        <v>122429.8</v>
      </c>
      <c r="F14" s="1495">
        <f>F15+F16</f>
        <v>813</v>
      </c>
      <c r="G14" s="1496">
        <f>(G15*F15+G16*F16)/(F15+F16)</f>
        <v>12443.442804428045</v>
      </c>
      <c r="H14" s="1497">
        <f>H16+H15</f>
        <v>121398.228</v>
      </c>
      <c r="I14" s="1498">
        <v>799</v>
      </c>
      <c r="J14" s="1493">
        <v>13361</v>
      </c>
      <c r="K14" s="1499">
        <f>J14/G14</f>
        <v>1.07373820975377</v>
      </c>
      <c r="L14" s="1500">
        <v>128108.9</v>
      </c>
      <c r="M14" s="1498">
        <f>M15+M16+M17+M18</f>
        <v>109</v>
      </c>
      <c r="N14" s="1493">
        <f>O14/M14/12*1000</f>
        <v>18196.483180428135</v>
      </c>
      <c r="O14" s="1494">
        <f>O15+O16+O17+O18</f>
        <v>23801.000000000004</v>
      </c>
      <c r="P14" s="1501">
        <f>SUM(P15:P18)</f>
        <v>95</v>
      </c>
      <c r="Q14" s="1502">
        <f>R14/P14/12*1000</f>
        <v>21844.621052631581</v>
      </c>
      <c r="R14" s="1501">
        <f>SUM(R15:R18)</f>
        <v>24902.868000000002</v>
      </c>
      <c r="S14" s="1503">
        <f>S15+S16+S17+S18</f>
        <v>105</v>
      </c>
      <c r="T14" s="1504">
        <f>U14/S14/12*1000</f>
        <v>22144.31111111111</v>
      </c>
      <c r="U14" s="1505">
        <f>U15+U16+U17+U18</f>
        <v>27901.832000000002</v>
      </c>
      <c r="V14" s="1506">
        <f>V15+V16+V17+V18</f>
        <v>98</v>
      </c>
      <c r="W14" s="1504">
        <f>X14/V14/12*1000</f>
        <v>15199.064625850338</v>
      </c>
      <c r="X14" s="1507">
        <f>X15+X16+X17+X18</f>
        <v>17874.099999999999</v>
      </c>
      <c r="Y14" s="1552">
        <f>Y15+Y16+Y17+Y18</f>
        <v>94</v>
      </c>
      <c r="Z14" s="1553">
        <f>AA14/Y14/12*1000</f>
        <v>22720.301418439718</v>
      </c>
      <c r="AA14" s="1554">
        <f>AA15+AA16+AA17+AA18</f>
        <v>25628.5</v>
      </c>
      <c r="AB14" s="1508">
        <f>AB15+AB16+AB17+AB18</f>
        <v>105</v>
      </c>
      <c r="AC14" s="1509">
        <f>AF14/AB14/12*1000</f>
        <v>27439.161904761906</v>
      </c>
      <c r="AD14" s="1511">
        <f t="shared" si="0"/>
        <v>123.91065934308546</v>
      </c>
      <c r="AE14" s="1540">
        <f t="shared" si="1"/>
        <v>120.76935688226555</v>
      </c>
      <c r="AF14" s="1510">
        <f>AF15+AF16+AF17+AF18</f>
        <v>34573.344000000005</v>
      </c>
      <c r="AG14" s="1538"/>
      <c r="AH14" s="1536"/>
      <c r="AI14" s="1541"/>
      <c r="AJ14" s="1542"/>
      <c r="AK14" s="1543"/>
      <c r="AL14" s="1508">
        <f>AL15+AL16+AL17+AL18</f>
        <v>105</v>
      </c>
      <c r="AM14" s="1509">
        <f>AP14/AL14/12*1000</f>
        <v>23716.557199999999</v>
      </c>
      <c r="AN14" s="1516">
        <f>AM14/T14*100</f>
        <v>107.1</v>
      </c>
      <c r="AO14" s="1545">
        <f t="shared" si="2"/>
        <v>104.38487044345162</v>
      </c>
      <c r="AP14" s="1510">
        <f>AP15+AP16+AP17+AP18</f>
        <v>29882.862072</v>
      </c>
      <c r="AQ14" s="1517"/>
      <c r="AR14" s="1517"/>
      <c r="AS14" s="1517"/>
      <c r="AT14" s="1517"/>
      <c r="AU14" s="1508">
        <f>AU15+AU16+AU17+AU18</f>
        <v>98</v>
      </c>
      <c r="AV14" s="1509">
        <f>AW14/AU14/9*1000</f>
        <v>24623.582766439908</v>
      </c>
      <c r="AW14" s="1510">
        <f>AW15+AW16+AW17+AW18</f>
        <v>21717.999999999996</v>
      </c>
      <c r="AX14" s="1508">
        <f>AX15+AX16+AX17+AX18</f>
        <v>98</v>
      </c>
      <c r="AY14" s="1509">
        <f>AZ14/AX14/3*1000</f>
        <v>27260.884353741498</v>
      </c>
      <c r="AZ14" s="1510">
        <f>AZ15+AZ16+AZ17+AZ18</f>
        <v>8014.7000000000007</v>
      </c>
      <c r="BA14" s="1508">
        <f>BA15+BA16+BA17+BA18</f>
        <v>98</v>
      </c>
      <c r="BB14" s="1509">
        <f>BC14/BA14/12*1000</f>
        <v>24748.639455782311</v>
      </c>
      <c r="BC14" s="1518">
        <f>BC15+BC16+BC17+BC18</f>
        <v>29104.399999999998</v>
      </c>
      <c r="BD14" s="1519">
        <f>(M14+P14+Y14+BA14)/4</f>
        <v>99</v>
      </c>
      <c r="BE14" s="922"/>
      <c r="BF14" s="922"/>
      <c r="BG14" s="922"/>
      <c r="BH14" s="922"/>
      <c r="BI14" s="922"/>
      <c r="BJ14" s="922"/>
      <c r="BK14" s="922"/>
      <c r="BL14" s="922"/>
      <c r="BM14" s="922"/>
      <c r="BN14" s="922"/>
      <c r="BO14" s="922"/>
      <c r="BP14" s="922"/>
      <c r="BQ14" s="922"/>
      <c r="BR14" s="922"/>
      <c r="BS14" s="922"/>
      <c r="BT14" s="922"/>
      <c r="BU14" s="922"/>
      <c r="BV14" s="922"/>
      <c r="BW14" s="922"/>
      <c r="BX14" s="922"/>
    </row>
    <row r="15" spans="1:80" ht="18.75" hidden="1" x14ac:dyDescent="0.3">
      <c r="A15" s="1520" t="s">
        <v>193</v>
      </c>
      <c r="B15" s="1521" t="s">
        <v>91</v>
      </c>
      <c r="C15" s="1522">
        <v>456</v>
      </c>
      <c r="D15" s="1523">
        <v>12405</v>
      </c>
      <c r="E15" s="1524">
        <v>67882.600000000006</v>
      </c>
      <c r="F15" s="1525">
        <v>444</v>
      </c>
      <c r="G15" s="1526">
        <v>12620</v>
      </c>
      <c r="H15" s="1527">
        <f>F15*G15*12/1000</f>
        <v>67239.360000000001</v>
      </c>
      <c r="I15" s="1528">
        <v>435</v>
      </c>
      <c r="J15" s="1523">
        <v>13646</v>
      </c>
      <c r="K15" s="1499">
        <f>J15/G15</f>
        <v>1.0812995245641839</v>
      </c>
      <c r="L15" s="1529">
        <v>71232.100000000006</v>
      </c>
      <c r="M15" s="1528">
        <v>26</v>
      </c>
      <c r="N15" s="1523">
        <f>O15/M15/12*1000</f>
        <v>18108.974358974363</v>
      </c>
      <c r="O15" s="1524">
        <v>5650</v>
      </c>
      <c r="P15" s="1530">
        <v>26</v>
      </c>
      <c r="Q15" s="1523">
        <f>R15/P15/12*1000</f>
        <v>19295.833333333336</v>
      </c>
      <c r="R15" s="1531">
        <v>6020.3</v>
      </c>
      <c r="S15" s="1532">
        <v>30</v>
      </c>
      <c r="T15" s="1533">
        <f>U15/S15/12*1000</f>
        <v>18746.388888888887</v>
      </c>
      <c r="U15" s="1534">
        <v>6748.7</v>
      </c>
      <c r="V15" s="1535">
        <v>27</v>
      </c>
      <c r="W15" s="1533">
        <f>X15/V15/9*1000</f>
        <v>17960.905349794237</v>
      </c>
      <c r="X15" s="1537">
        <v>4364.5</v>
      </c>
      <c r="Y15" s="1538">
        <v>26</v>
      </c>
      <c r="Z15" s="1536">
        <f>AA15/12/Y15*1000</f>
        <v>19381.410256410254</v>
      </c>
      <c r="AA15" s="1539">
        <v>6047</v>
      </c>
      <c r="AB15" s="1538">
        <v>30</v>
      </c>
      <c r="AC15" s="1536">
        <v>23903</v>
      </c>
      <c r="AD15" s="1540">
        <f t="shared" si="0"/>
        <v>127.50722361343666</v>
      </c>
      <c r="AE15" s="1540">
        <f t="shared" si="1"/>
        <v>123.32951876963784</v>
      </c>
      <c r="AF15" s="1539">
        <f>AB15*AC15*12/1000</f>
        <v>8605.08</v>
      </c>
      <c r="AG15" s="1538"/>
      <c r="AH15" s="1536"/>
      <c r="AI15" s="1541"/>
      <c r="AJ15" s="1542"/>
      <c r="AK15" s="1543"/>
      <c r="AL15" s="1538">
        <v>30</v>
      </c>
      <c r="AM15" s="1544">
        <f>T15*1.071</f>
        <v>20077.382499999996</v>
      </c>
      <c r="AN15" s="1516">
        <f>AM15/T15*100</f>
        <v>107.1</v>
      </c>
      <c r="AO15" s="1545">
        <f t="shared" si="2"/>
        <v>103.5909267405325</v>
      </c>
      <c r="AP15" s="1539">
        <f>AL15*AM15*12/1000</f>
        <v>7227.8576999999987</v>
      </c>
      <c r="AQ15" s="1546"/>
      <c r="AR15" s="1546"/>
      <c r="AS15" s="1546"/>
      <c r="AT15" s="1546"/>
      <c r="AU15" s="1538">
        <v>26</v>
      </c>
      <c r="AV15" s="1536">
        <f>AW15/9/AU15*1000</f>
        <v>22458.119658119656</v>
      </c>
      <c r="AW15" s="1539">
        <v>5255.2</v>
      </c>
      <c r="AX15" s="1538">
        <v>26</v>
      </c>
      <c r="AY15" s="1536">
        <f>AZ15/3/AX15*1000</f>
        <v>23894.871794871793</v>
      </c>
      <c r="AZ15" s="1539">
        <v>1863.8</v>
      </c>
      <c r="BA15" s="1538">
        <v>26</v>
      </c>
      <c r="BB15" s="1544">
        <f>BC15/12/BA15*1000</f>
        <v>22598.076923076926</v>
      </c>
      <c r="BC15" s="1547">
        <v>7050.6</v>
      </c>
      <c r="BD15" s="1519">
        <f>(M15+P15+Y15+BA15)/4</f>
        <v>26</v>
      </c>
      <c r="BE15" s="922"/>
      <c r="BF15" s="922"/>
      <c r="BG15" s="922"/>
      <c r="BH15" s="922"/>
      <c r="BI15" s="922"/>
      <c r="BJ15" s="922"/>
      <c r="BK15" s="922"/>
      <c r="BL15" s="922"/>
      <c r="BM15" s="922"/>
      <c r="BN15" s="922"/>
      <c r="BO15" s="922"/>
      <c r="BP15" s="922"/>
      <c r="BQ15" s="922"/>
      <c r="BR15" s="922"/>
      <c r="BS15" s="922"/>
      <c r="BT15" s="922"/>
      <c r="BU15" s="922"/>
      <c r="BV15" s="922"/>
      <c r="BW15" s="922"/>
      <c r="BX15" s="922"/>
    </row>
    <row r="16" spans="1:80" ht="18.75" hidden="1" x14ac:dyDescent="0.3">
      <c r="A16" s="1520" t="s">
        <v>194</v>
      </c>
      <c r="B16" s="1521" t="s">
        <v>92</v>
      </c>
      <c r="C16" s="1522">
        <v>384</v>
      </c>
      <c r="D16" s="1523">
        <v>11838</v>
      </c>
      <c r="E16" s="1524">
        <v>54547.199999999997</v>
      </c>
      <c r="F16" s="1525">
        <v>369</v>
      </c>
      <c r="G16" s="1526">
        <v>12231</v>
      </c>
      <c r="H16" s="1527">
        <f>F16*G16*12/1000</f>
        <v>54158.868000000002</v>
      </c>
      <c r="I16" s="1528">
        <v>364</v>
      </c>
      <c r="J16" s="1523">
        <v>13021</v>
      </c>
      <c r="K16" s="1499">
        <f>J16/G16</f>
        <v>1.0645899762897555</v>
      </c>
      <c r="L16" s="1529">
        <v>56876.800000000003</v>
      </c>
      <c r="M16" s="1528">
        <v>60</v>
      </c>
      <c r="N16" s="1523">
        <v>19277</v>
      </c>
      <c r="O16" s="1524">
        <f>M16*N16*12/1000</f>
        <v>13879.44</v>
      </c>
      <c r="P16" s="1530">
        <v>48</v>
      </c>
      <c r="Q16" s="1523">
        <v>22603</v>
      </c>
      <c r="R16" s="1531">
        <f>P16*Q16*12/1000</f>
        <v>13019.328</v>
      </c>
      <c r="S16" s="1532">
        <v>49</v>
      </c>
      <c r="T16" s="1420">
        <v>24500</v>
      </c>
      <c r="U16" s="1534">
        <f>S16*T16*12/1000</f>
        <v>14406</v>
      </c>
      <c r="V16" s="1535">
        <v>48</v>
      </c>
      <c r="W16" s="1533">
        <f>X16/V16/9*1000</f>
        <v>21462.037037037036</v>
      </c>
      <c r="X16" s="1537">
        <v>9271.6</v>
      </c>
      <c r="Y16" s="1538">
        <v>48</v>
      </c>
      <c r="Z16" s="1536">
        <f>AA16/12/Y16*1000</f>
        <v>23137.326388888891</v>
      </c>
      <c r="AA16" s="1539">
        <v>13327.1</v>
      </c>
      <c r="AB16" s="1538">
        <v>49</v>
      </c>
      <c r="AC16" s="1536">
        <v>28797</v>
      </c>
      <c r="AD16" s="1540">
        <f t="shared" si="0"/>
        <v>117.53877551020409</v>
      </c>
      <c r="AE16" s="1540">
        <f t="shared" si="1"/>
        <v>124.46122562297874</v>
      </c>
      <c r="AF16" s="1539">
        <f>AB16*AC16*12/1000</f>
        <v>16932.635999999999</v>
      </c>
      <c r="AG16" s="1538"/>
      <c r="AH16" s="1536"/>
      <c r="AI16" s="1541"/>
      <c r="AJ16" s="1542"/>
      <c r="AK16" s="1543"/>
      <c r="AL16" s="1538">
        <v>49</v>
      </c>
      <c r="AM16" s="1544">
        <f>T16*1.071</f>
        <v>26239.5</v>
      </c>
      <c r="AN16" s="1516">
        <f>AM16/T16*100</f>
        <v>107.1</v>
      </c>
      <c r="AO16" s="1545">
        <f t="shared" si="2"/>
        <v>113.40765808015247</v>
      </c>
      <c r="AP16" s="1539">
        <f>AL16*AM16*12/1000</f>
        <v>15428.825999999999</v>
      </c>
      <c r="AQ16" s="1546"/>
      <c r="AR16" s="1546"/>
      <c r="AS16" s="1546"/>
      <c r="AT16" s="1546"/>
      <c r="AU16" s="1538">
        <v>49</v>
      </c>
      <c r="AV16" s="1536">
        <f>AW16/9/AU16*1000</f>
        <v>25834.24036281179</v>
      </c>
      <c r="AW16" s="1539">
        <v>11392.9</v>
      </c>
      <c r="AX16" s="1538">
        <v>49</v>
      </c>
      <c r="AY16" s="1536">
        <f>AZ16/3/AX16*1000</f>
        <v>28514.285714285717</v>
      </c>
      <c r="AZ16" s="1539">
        <v>4191.6000000000004</v>
      </c>
      <c r="BA16" s="1538">
        <v>49</v>
      </c>
      <c r="BB16" s="1544">
        <f>BC16/12/BA16*1000</f>
        <v>26018.707482993199</v>
      </c>
      <c r="BC16" s="1547">
        <v>15299</v>
      </c>
      <c r="BD16" s="1519">
        <f>(M16+P16+Y16+BA16)/4</f>
        <v>51.25</v>
      </c>
      <c r="BE16" s="922"/>
      <c r="BF16" s="922"/>
      <c r="BG16" s="922"/>
      <c r="BH16" s="922"/>
      <c r="BI16" s="922"/>
      <c r="BJ16" s="922"/>
      <c r="BK16" s="922"/>
      <c r="BL16" s="922"/>
      <c r="BM16" s="922"/>
      <c r="BN16" s="922"/>
      <c r="BO16" s="922"/>
      <c r="BP16" s="922"/>
      <c r="BQ16" s="922"/>
      <c r="BR16" s="922"/>
      <c r="BS16" s="922"/>
      <c r="BT16" s="922"/>
      <c r="BU16" s="922"/>
      <c r="BV16" s="922"/>
      <c r="BW16" s="922"/>
      <c r="BX16" s="922"/>
    </row>
    <row r="17" spans="1:80" ht="75" hidden="1" x14ac:dyDescent="0.3">
      <c r="A17" s="1520" t="s">
        <v>203</v>
      </c>
      <c r="B17" s="1555" t="s">
        <v>205</v>
      </c>
      <c r="C17" s="1522"/>
      <c r="D17" s="1523"/>
      <c r="E17" s="1524"/>
      <c r="F17" s="1525"/>
      <c r="G17" s="1526"/>
      <c r="H17" s="1527"/>
      <c r="I17" s="1528"/>
      <c r="J17" s="1523"/>
      <c r="K17" s="1499"/>
      <c r="L17" s="1529"/>
      <c r="M17" s="1528">
        <v>6</v>
      </c>
      <c r="N17" s="1493">
        <f>O17/M17/12*1000</f>
        <v>18130.555555555555</v>
      </c>
      <c r="O17" s="1524">
        <v>1305.4000000000001</v>
      </c>
      <c r="P17" s="1549">
        <v>6</v>
      </c>
      <c r="Q17" s="1550">
        <f>R17/P17/12*1000</f>
        <v>22363.888888888891</v>
      </c>
      <c r="R17" s="1531">
        <v>1610.2</v>
      </c>
      <c r="S17" s="1532">
        <v>7</v>
      </c>
      <c r="T17" s="1420">
        <v>22943</v>
      </c>
      <c r="U17" s="1534">
        <f>S17*T17*12/1000</f>
        <v>1927.212</v>
      </c>
      <c r="V17" s="1535">
        <v>7</v>
      </c>
      <c r="W17" s="1533">
        <f>X17/V17/9*1000</f>
        <v>18404.761904761905</v>
      </c>
      <c r="X17" s="1537">
        <v>1159.5</v>
      </c>
      <c r="Y17" s="1538">
        <v>5</v>
      </c>
      <c r="Z17" s="1536">
        <f>AA17/12/Y17*1000</f>
        <v>28281.666666666668</v>
      </c>
      <c r="AA17" s="1539">
        <v>1696.9</v>
      </c>
      <c r="AB17" s="1538">
        <v>7</v>
      </c>
      <c r="AC17" s="1536">
        <v>29211</v>
      </c>
      <c r="AD17" s="1540">
        <f t="shared" si="0"/>
        <v>127.31987970186984</v>
      </c>
      <c r="AE17" s="1540">
        <f t="shared" si="1"/>
        <v>103.2859921032471</v>
      </c>
      <c r="AF17" s="1539">
        <f>AB17*AC17*12/1000</f>
        <v>2453.7240000000002</v>
      </c>
      <c r="AG17" s="1538"/>
      <c r="AH17" s="1536"/>
      <c r="AI17" s="1541"/>
      <c r="AJ17" s="1542"/>
      <c r="AK17" s="1543"/>
      <c r="AL17" s="1538">
        <v>7</v>
      </c>
      <c r="AM17" s="1544">
        <f>T17*1.071</f>
        <v>24571.952999999998</v>
      </c>
      <c r="AN17" s="1516">
        <f>AM17/T17*100</f>
        <v>107.1</v>
      </c>
      <c r="AO17" s="1545">
        <f t="shared" si="2"/>
        <v>86.882973657846648</v>
      </c>
      <c r="AP17" s="1539">
        <f>AL17*AM17*12/1000</f>
        <v>2064.0440519999997</v>
      </c>
      <c r="AQ17" s="1546"/>
      <c r="AR17" s="1546"/>
      <c r="AS17" s="1546"/>
      <c r="AT17" s="1546"/>
      <c r="AU17" s="1538">
        <v>6</v>
      </c>
      <c r="AV17" s="1536">
        <f>AW17/9/AU17*1000</f>
        <v>23866.666666666664</v>
      </c>
      <c r="AW17" s="1539">
        <v>1288.8</v>
      </c>
      <c r="AX17" s="1538">
        <v>6</v>
      </c>
      <c r="AY17" s="1536">
        <f>AZ17/3/AX17*1000</f>
        <v>29477.777777777777</v>
      </c>
      <c r="AZ17" s="1539">
        <v>530.6</v>
      </c>
      <c r="BA17" s="1538">
        <v>6</v>
      </c>
      <c r="BB17" s="1544">
        <f>BC17/12/BA17*1000</f>
        <v>24416.666666666668</v>
      </c>
      <c r="BC17" s="1547">
        <v>1758</v>
      </c>
      <c r="BD17" s="1519">
        <f>(M17+P17+Y17+BA17)/4</f>
        <v>5.75</v>
      </c>
      <c r="BE17" s="922"/>
      <c r="BF17" s="922"/>
      <c r="BG17" s="922"/>
      <c r="BH17" s="922"/>
      <c r="BI17" s="922"/>
      <c r="BJ17" s="922"/>
      <c r="BK17" s="922"/>
      <c r="BL17" s="922"/>
      <c r="BM17" s="922"/>
      <c r="BN17" s="922"/>
      <c r="BO17" s="922"/>
      <c r="BP17" s="922"/>
      <c r="BQ17" s="922"/>
      <c r="BR17" s="922"/>
      <c r="BS17" s="922"/>
      <c r="BT17" s="922"/>
      <c r="BU17" s="922"/>
      <c r="BV17" s="922"/>
      <c r="BW17" s="922"/>
      <c r="BX17" s="922"/>
    </row>
    <row r="18" spans="1:80" ht="19.5" hidden="1" thickBot="1" x14ac:dyDescent="0.35">
      <c r="A18" s="549" t="s">
        <v>204</v>
      </c>
      <c r="B18" s="384" t="s">
        <v>89</v>
      </c>
      <c r="C18" s="1556"/>
      <c r="D18" s="1557"/>
      <c r="E18" s="552"/>
      <c r="F18" s="553"/>
      <c r="G18" s="1558"/>
      <c r="H18" s="1559"/>
      <c r="I18" s="556"/>
      <c r="J18" s="1557"/>
      <c r="K18" s="1560"/>
      <c r="L18" s="1561"/>
      <c r="M18" s="556">
        <v>17</v>
      </c>
      <c r="N18" s="1557">
        <v>14540</v>
      </c>
      <c r="O18" s="552">
        <f>M18*N18*12/1000</f>
        <v>2966.16</v>
      </c>
      <c r="P18" s="1562">
        <v>15</v>
      </c>
      <c r="Q18" s="1563">
        <v>23628</v>
      </c>
      <c r="R18" s="1564">
        <f>P18*Q18*12/1000</f>
        <v>4253.04</v>
      </c>
      <c r="S18" s="1459">
        <v>19</v>
      </c>
      <c r="T18" s="1565">
        <v>21140</v>
      </c>
      <c r="U18" s="563">
        <f>S18*T18*12/1000</f>
        <v>4819.92</v>
      </c>
      <c r="V18" s="1566">
        <v>16</v>
      </c>
      <c r="W18" s="1567">
        <f>X18/V18/9*1000</f>
        <v>21378.472222222223</v>
      </c>
      <c r="X18" s="1568">
        <v>3078.5</v>
      </c>
      <c r="Y18" s="1454">
        <v>15</v>
      </c>
      <c r="Z18" s="1567">
        <f>AA18/12/Y18*1000</f>
        <v>25319.444444444445</v>
      </c>
      <c r="AA18" s="568">
        <v>4557.5</v>
      </c>
      <c r="AB18" s="1454">
        <v>19</v>
      </c>
      <c r="AC18" s="1567">
        <v>28868</v>
      </c>
      <c r="AD18" s="1569">
        <f t="shared" si="0"/>
        <v>136.55629139072846</v>
      </c>
      <c r="AE18" s="1569">
        <f t="shared" si="1"/>
        <v>114.01513987931979</v>
      </c>
      <c r="AF18" s="568">
        <f>AB18*AC18*12/1000</f>
        <v>6581.9040000000005</v>
      </c>
      <c r="AG18" s="1538"/>
      <c r="AH18" s="1536"/>
      <c r="AI18" s="1541"/>
      <c r="AJ18" s="1542"/>
      <c r="AK18" s="1543"/>
      <c r="AL18" s="1454">
        <v>19</v>
      </c>
      <c r="AM18" s="1570">
        <f>T18*1.071</f>
        <v>22640.94</v>
      </c>
      <c r="AN18" s="1571">
        <f>AM18/T18*100</f>
        <v>107.1</v>
      </c>
      <c r="AO18" s="1572">
        <f t="shared" si="2"/>
        <v>89.421156335710364</v>
      </c>
      <c r="AP18" s="568">
        <f>AL18*AM18*12/1000</f>
        <v>5162.1343200000001</v>
      </c>
      <c r="AQ18" s="915"/>
      <c r="AR18" s="915"/>
      <c r="AS18" s="915"/>
      <c r="AT18" s="915"/>
      <c r="AU18" s="1454">
        <v>17</v>
      </c>
      <c r="AV18" s="1567">
        <f>AW18/9/AU18*1000</f>
        <v>24713.071895424837</v>
      </c>
      <c r="AW18" s="568">
        <v>3781.1</v>
      </c>
      <c r="AX18" s="1454">
        <v>17</v>
      </c>
      <c r="AY18" s="1567">
        <f>AZ18/3/AX18*1000</f>
        <v>28013.725490196081</v>
      </c>
      <c r="AZ18" s="568">
        <v>1428.7</v>
      </c>
      <c r="BA18" s="1454">
        <v>17</v>
      </c>
      <c r="BB18" s="1570">
        <f>BC18/12/BA18*1000</f>
        <v>24494.117647058825</v>
      </c>
      <c r="BC18" s="1573">
        <v>4996.8</v>
      </c>
      <c r="BD18" s="1519">
        <f>(M18+P18+Y18+BA18)/4</f>
        <v>16</v>
      </c>
      <c r="BE18" s="922"/>
      <c r="BF18" s="922"/>
      <c r="BG18" s="922"/>
      <c r="BH18" s="922"/>
      <c r="BI18" s="922"/>
      <c r="BJ18" s="922"/>
      <c r="BK18" s="922"/>
      <c r="BL18" s="922"/>
      <c r="BM18" s="922"/>
      <c r="BN18" s="922"/>
      <c r="BO18" s="922"/>
      <c r="BP18" s="922"/>
      <c r="BQ18" s="922"/>
      <c r="BR18" s="922"/>
      <c r="BS18" s="922"/>
      <c r="BT18" s="922"/>
      <c r="BU18" s="922"/>
      <c r="BV18" s="922"/>
      <c r="BW18" s="922"/>
      <c r="BX18" s="922"/>
    </row>
    <row r="19" spans="1:80" ht="18.75" thickBot="1" x14ac:dyDescent="0.3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</row>
    <row r="20" spans="1:80" ht="27" thickBot="1" x14ac:dyDescent="0.45">
      <c r="A20" s="4381" t="s">
        <v>172</v>
      </c>
      <c r="B20" s="4322" t="s">
        <v>173</v>
      </c>
      <c r="C20" s="916"/>
      <c r="D20" s="916"/>
      <c r="E20" s="916"/>
      <c r="F20" s="916"/>
      <c r="G20" s="916"/>
      <c r="H20" s="916"/>
      <c r="I20" s="916"/>
      <c r="J20" s="916"/>
      <c r="K20" s="916"/>
      <c r="L20" s="916"/>
      <c r="M20" s="4342" t="s">
        <v>235</v>
      </c>
      <c r="N20" s="4342"/>
      <c r="O20" s="4342"/>
      <c r="P20" s="4342"/>
      <c r="Q20" s="4342"/>
      <c r="R20" s="4342"/>
      <c r="S20" s="4342"/>
      <c r="T20" s="4342"/>
      <c r="U20" s="4342"/>
      <c r="V20" s="4342"/>
      <c r="W20" s="4342"/>
      <c r="X20" s="4342"/>
      <c r="Y20" s="4342"/>
      <c r="Z20" s="4342"/>
      <c r="AA20" s="4342"/>
      <c r="AB20" s="4342"/>
      <c r="AC20" s="4342"/>
      <c r="AD20" s="4342"/>
      <c r="AE20" s="4342"/>
      <c r="AF20" s="4342"/>
      <c r="AG20" s="4342"/>
      <c r="AH20" s="4342"/>
      <c r="AI20" s="4342"/>
      <c r="AJ20" s="4342"/>
      <c r="AK20" s="4342"/>
      <c r="AL20" s="4342"/>
      <c r="AM20" s="4342"/>
      <c r="AN20" s="4342"/>
      <c r="AO20" s="4342"/>
      <c r="AP20" s="4342"/>
      <c r="AQ20" s="4342"/>
      <c r="AR20" s="4342"/>
      <c r="AS20" s="4342"/>
      <c r="AT20" s="4342"/>
      <c r="AU20" s="4341" t="s">
        <v>373</v>
      </c>
      <c r="AV20" s="4342"/>
      <c r="AW20" s="4342"/>
      <c r="AX20" s="4342"/>
      <c r="AY20" s="4342"/>
      <c r="AZ20" s="4342"/>
      <c r="BA20" s="4342"/>
      <c r="BB20" s="4342"/>
      <c r="BC20" s="4342"/>
      <c r="BD20" s="4342"/>
      <c r="BE20" s="4342"/>
      <c r="BF20" s="4342"/>
      <c r="BG20" s="4342"/>
      <c r="BH20" s="4342"/>
      <c r="BI20" s="4342"/>
      <c r="BJ20" s="4342"/>
      <c r="BK20" s="4342"/>
      <c r="BL20" s="4342"/>
      <c r="BM20" s="4342"/>
      <c r="BN20" s="4342"/>
      <c r="BO20" s="4343"/>
      <c r="BP20" s="4341" t="s">
        <v>829</v>
      </c>
      <c r="BQ20" s="4342"/>
      <c r="BR20" s="4342"/>
      <c r="BS20" s="4342"/>
      <c r="BT20" s="4342"/>
      <c r="BU20" s="4342"/>
      <c r="BV20" s="4342"/>
      <c r="BW20" s="4342"/>
      <c r="BX20" s="4343"/>
      <c r="BY20" s="4344" t="s">
        <v>243</v>
      </c>
      <c r="BZ20" s="3490"/>
      <c r="CA20" s="3490"/>
      <c r="CB20" s="4345"/>
    </row>
    <row r="21" spans="1:80" ht="12.75" customHeight="1" x14ac:dyDescent="0.2">
      <c r="A21" s="4382"/>
      <c r="B21" s="4383"/>
      <c r="C21" s="4288" t="s">
        <v>174</v>
      </c>
      <c r="D21" s="4288"/>
      <c r="E21" s="4289"/>
      <c r="F21" s="4287" t="s">
        <v>175</v>
      </c>
      <c r="G21" s="4288"/>
      <c r="H21" s="4288"/>
      <c r="I21" s="4351" t="s">
        <v>176</v>
      </c>
      <c r="J21" s="4351"/>
      <c r="K21" s="4351"/>
      <c r="L21" s="3859"/>
      <c r="M21" s="4352" t="s">
        <v>233</v>
      </c>
      <c r="N21" s="4353"/>
      <c r="O21" s="4353"/>
      <c r="P21" s="4353"/>
      <c r="Q21" s="4354"/>
      <c r="R21" s="4372"/>
      <c r="S21" s="4359" t="s">
        <v>234</v>
      </c>
      <c r="T21" s="4360"/>
      <c r="U21" s="4360"/>
      <c r="V21" s="4360"/>
      <c r="W21" s="4374"/>
      <c r="X21" s="4359" t="s">
        <v>424</v>
      </c>
      <c r="Y21" s="4360"/>
      <c r="Z21" s="4360"/>
      <c r="AA21" s="4360"/>
      <c r="AB21" s="4361"/>
      <c r="AC21" s="582"/>
      <c r="AD21" s="582"/>
      <c r="AE21" s="582"/>
      <c r="AF21" s="582"/>
      <c r="AG21" s="582"/>
      <c r="AH21" s="582"/>
      <c r="AI21" s="582"/>
      <c r="AJ21" s="582"/>
      <c r="AK21" s="582"/>
      <c r="AL21" s="4359" t="s">
        <v>425</v>
      </c>
      <c r="AM21" s="4360"/>
      <c r="AN21" s="4360"/>
      <c r="AO21" s="4360"/>
      <c r="AP21" s="4361"/>
      <c r="AQ21" s="4352" t="s">
        <v>828</v>
      </c>
      <c r="AR21" s="4376"/>
      <c r="AS21" s="4376"/>
      <c r="AT21" s="4377"/>
      <c r="AU21" s="4359" t="s">
        <v>376</v>
      </c>
      <c r="AV21" s="4360"/>
      <c r="AW21" s="4360"/>
      <c r="AX21" s="4360"/>
      <c r="AY21" s="4361"/>
      <c r="AZ21" s="4359" t="s">
        <v>380</v>
      </c>
      <c r="BA21" s="4360"/>
      <c r="BB21" s="4360"/>
      <c r="BC21" s="4360"/>
      <c r="BD21" s="4361"/>
      <c r="BE21" s="4359" t="s">
        <v>855</v>
      </c>
      <c r="BF21" s="4360"/>
      <c r="BG21" s="4360"/>
      <c r="BH21" s="4360"/>
      <c r="BI21" s="4359" t="s">
        <v>854</v>
      </c>
      <c r="BJ21" s="4360"/>
      <c r="BK21" s="4360"/>
      <c r="BL21" s="4360"/>
      <c r="BM21" s="4365" t="s">
        <v>1525</v>
      </c>
      <c r="BN21" s="4353"/>
      <c r="BO21" s="4354"/>
      <c r="BP21" s="4367" t="s">
        <v>856</v>
      </c>
      <c r="BQ21" s="4368"/>
      <c r="BR21" s="4368"/>
      <c r="BS21" s="4368"/>
      <c r="BT21" s="4369" t="s">
        <v>857</v>
      </c>
      <c r="BU21" s="4370"/>
      <c r="BV21" s="4370"/>
      <c r="BW21" s="4370"/>
      <c r="BX21" s="4371"/>
      <c r="BY21" s="4346"/>
      <c r="BZ21" s="4347"/>
      <c r="CA21" s="4347"/>
      <c r="CB21" s="4348"/>
    </row>
    <row r="22" spans="1:80" ht="18.75" customHeight="1" x14ac:dyDescent="0.2">
      <c r="A22" s="4382"/>
      <c r="B22" s="4383"/>
      <c r="C22" s="4291"/>
      <c r="D22" s="4291"/>
      <c r="E22" s="4292"/>
      <c r="F22" s="4290"/>
      <c r="G22" s="4291"/>
      <c r="H22" s="4291"/>
      <c r="I22" s="1457"/>
      <c r="J22" s="1457"/>
      <c r="K22" s="1457"/>
      <c r="L22" s="1457"/>
      <c r="M22" s="4355"/>
      <c r="N22" s="4356"/>
      <c r="O22" s="4356"/>
      <c r="P22" s="4356"/>
      <c r="Q22" s="4357"/>
      <c r="R22" s="4373"/>
      <c r="S22" s="4362"/>
      <c r="T22" s="4363"/>
      <c r="U22" s="4363"/>
      <c r="V22" s="4363"/>
      <c r="W22" s="4375"/>
      <c r="X22" s="4362"/>
      <c r="Y22" s="4363"/>
      <c r="Z22" s="4363"/>
      <c r="AA22" s="4363"/>
      <c r="AB22" s="4364"/>
      <c r="AC22" s="575"/>
      <c r="AD22" s="575"/>
      <c r="AE22" s="575"/>
      <c r="AF22" s="575"/>
      <c r="AG22" s="575"/>
      <c r="AH22" s="575"/>
      <c r="AI22" s="575"/>
      <c r="AJ22" s="575"/>
      <c r="AK22" s="575"/>
      <c r="AL22" s="4362"/>
      <c r="AM22" s="4363"/>
      <c r="AN22" s="4363"/>
      <c r="AO22" s="4363"/>
      <c r="AP22" s="4364"/>
      <c r="AQ22" s="4378"/>
      <c r="AR22" s="4379"/>
      <c r="AS22" s="4379"/>
      <c r="AT22" s="4380"/>
      <c r="AU22" s="4362"/>
      <c r="AV22" s="4363"/>
      <c r="AW22" s="4363"/>
      <c r="AX22" s="4363"/>
      <c r="AY22" s="4364"/>
      <c r="AZ22" s="4362"/>
      <c r="BA22" s="4363"/>
      <c r="BB22" s="4363"/>
      <c r="BC22" s="4363"/>
      <c r="BD22" s="4364"/>
      <c r="BE22" s="4362"/>
      <c r="BF22" s="4363"/>
      <c r="BG22" s="4363"/>
      <c r="BH22" s="4363"/>
      <c r="BI22" s="4362"/>
      <c r="BJ22" s="4363"/>
      <c r="BK22" s="4363"/>
      <c r="BL22" s="4363"/>
      <c r="BM22" s="4366"/>
      <c r="BN22" s="4356"/>
      <c r="BO22" s="4357"/>
      <c r="BP22" s="4362"/>
      <c r="BQ22" s="4363"/>
      <c r="BR22" s="4363"/>
      <c r="BS22" s="4363"/>
      <c r="BT22" s="4369"/>
      <c r="BU22" s="4370"/>
      <c r="BV22" s="4370"/>
      <c r="BW22" s="4370"/>
      <c r="BX22" s="4371"/>
      <c r="BY22" s="4346"/>
      <c r="BZ22" s="4347"/>
      <c r="CA22" s="4347"/>
      <c r="CB22" s="4348"/>
    </row>
    <row r="23" spans="1:80" ht="150.75" thickBot="1" x14ac:dyDescent="0.25">
      <c r="A23" s="4382"/>
      <c r="B23" s="4383"/>
      <c r="C23" s="1456" t="s">
        <v>179</v>
      </c>
      <c r="D23" s="1574" t="s">
        <v>182</v>
      </c>
      <c r="E23" s="574" t="s">
        <v>183</v>
      </c>
      <c r="F23" s="1456" t="s">
        <v>179</v>
      </c>
      <c r="G23" s="1574" t="s">
        <v>182</v>
      </c>
      <c r="H23" s="1575" t="s">
        <v>183</v>
      </c>
      <c r="I23" s="1456" t="s">
        <v>179</v>
      </c>
      <c r="J23" s="1574" t="s">
        <v>182</v>
      </c>
      <c r="K23" s="1574" t="s">
        <v>184</v>
      </c>
      <c r="L23" s="1575" t="s">
        <v>183</v>
      </c>
      <c r="M23" s="1576" t="s">
        <v>179</v>
      </c>
      <c r="N23" s="1577" t="s">
        <v>182</v>
      </c>
      <c r="O23" s="1577" t="s">
        <v>183</v>
      </c>
      <c r="P23" s="1577" t="s">
        <v>251</v>
      </c>
      <c r="Q23" s="1578" t="s">
        <v>252</v>
      </c>
      <c r="R23" s="4373"/>
      <c r="S23" s="1576" t="s">
        <v>179</v>
      </c>
      <c r="T23" s="1577" t="s">
        <v>182</v>
      </c>
      <c r="U23" s="1577" t="s">
        <v>183</v>
      </c>
      <c r="V23" s="1577" t="s">
        <v>251</v>
      </c>
      <c r="W23" s="1579" t="s">
        <v>252</v>
      </c>
      <c r="X23" s="1576" t="s">
        <v>179</v>
      </c>
      <c r="Y23" s="1577" t="s">
        <v>182</v>
      </c>
      <c r="Z23" s="1577" t="s">
        <v>183</v>
      </c>
      <c r="AA23" s="1577" t="s">
        <v>251</v>
      </c>
      <c r="AB23" s="1578" t="s">
        <v>252</v>
      </c>
      <c r="AC23" s="575"/>
      <c r="AD23" s="575"/>
      <c r="AE23" s="575"/>
      <c r="AF23" s="575"/>
      <c r="AG23" s="575"/>
      <c r="AH23" s="575"/>
      <c r="AI23" s="575"/>
      <c r="AJ23" s="575"/>
      <c r="AK23" s="575"/>
      <c r="AL23" s="1576" t="s">
        <v>179</v>
      </c>
      <c r="AM23" s="1577" t="s">
        <v>182</v>
      </c>
      <c r="AN23" s="1577" t="s">
        <v>183</v>
      </c>
      <c r="AO23" s="1577" t="s">
        <v>251</v>
      </c>
      <c r="AP23" s="1580"/>
      <c r="AQ23" s="1576" t="s">
        <v>179</v>
      </c>
      <c r="AR23" s="1577" t="s">
        <v>182</v>
      </c>
      <c r="AS23" s="1577" t="s">
        <v>183</v>
      </c>
      <c r="AT23" s="1577" t="s">
        <v>251</v>
      </c>
      <c r="AU23" s="1576" t="s">
        <v>179</v>
      </c>
      <c r="AV23" s="1577" t="s">
        <v>182</v>
      </c>
      <c r="AW23" s="1577" t="s">
        <v>183</v>
      </c>
      <c r="AX23" s="1577" t="s">
        <v>251</v>
      </c>
      <c r="AY23" s="1578" t="s">
        <v>444</v>
      </c>
      <c r="AZ23" s="1576" t="s">
        <v>179</v>
      </c>
      <c r="BA23" s="1577" t="s">
        <v>182</v>
      </c>
      <c r="BB23" s="1577" t="s">
        <v>183</v>
      </c>
      <c r="BC23" s="1577" t="s">
        <v>251</v>
      </c>
      <c r="BD23" s="1580"/>
      <c r="BE23" s="1576" t="s">
        <v>179</v>
      </c>
      <c r="BF23" s="1577" t="s">
        <v>182</v>
      </c>
      <c r="BG23" s="1577" t="s">
        <v>183</v>
      </c>
      <c r="BH23" s="1577" t="s">
        <v>251</v>
      </c>
      <c r="BI23" s="1576" t="s">
        <v>179</v>
      </c>
      <c r="BJ23" s="1577" t="s">
        <v>182</v>
      </c>
      <c r="BK23" s="1577" t="s">
        <v>183</v>
      </c>
      <c r="BL23" s="1577" t="s">
        <v>251</v>
      </c>
      <c r="BM23" s="1576" t="s">
        <v>179</v>
      </c>
      <c r="BN23" s="1577" t="s">
        <v>182</v>
      </c>
      <c r="BO23" s="1577" t="s">
        <v>183</v>
      </c>
      <c r="BP23" s="1576" t="s">
        <v>179</v>
      </c>
      <c r="BQ23" s="1577" t="s">
        <v>182</v>
      </c>
      <c r="BR23" s="1577" t="s">
        <v>183</v>
      </c>
      <c r="BS23" s="1577" t="s">
        <v>251</v>
      </c>
      <c r="BT23" s="1576" t="s">
        <v>179</v>
      </c>
      <c r="BU23" s="1577" t="s">
        <v>182</v>
      </c>
      <c r="BV23" s="1577" t="s">
        <v>183</v>
      </c>
      <c r="BW23" s="1577" t="s">
        <v>251</v>
      </c>
      <c r="BX23" s="1581" t="s">
        <v>1036</v>
      </c>
      <c r="BY23" s="4349"/>
      <c r="BZ23" s="3622"/>
      <c r="CA23" s="3622"/>
      <c r="CB23" s="4350"/>
    </row>
    <row r="24" spans="1:80" ht="72.75" customHeight="1" x14ac:dyDescent="0.2">
      <c r="A24" s="1582" t="s">
        <v>189</v>
      </c>
      <c r="B24" s="1583" t="s">
        <v>201</v>
      </c>
      <c r="C24" s="1584">
        <v>840</v>
      </c>
      <c r="D24" s="1585">
        <v>12146</v>
      </c>
      <c r="E24" s="1510">
        <v>122429.8</v>
      </c>
      <c r="F24" s="1586">
        <f>F25+F26</f>
        <v>813</v>
      </c>
      <c r="G24" s="1585">
        <f>(G25*F25+G26*F26)/(F25+F26)</f>
        <v>12443.442804428045</v>
      </c>
      <c r="H24" s="1518">
        <f>H26+H25</f>
        <v>121398.228</v>
      </c>
      <c r="I24" s="1587">
        <v>799</v>
      </c>
      <c r="J24" s="1585">
        <v>13361</v>
      </c>
      <c r="K24" s="1588">
        <f>J24/G24</f>
        <v>1.07373820975377</v>
      </c>
      <c r="L24" s="1518">
        <v>128108.9</v>
      </c>
      <c r="M24" s="1587">
        <f>M25+M26+M27+M28</f>
        <v>155</v>
      </c>
      <c r="N24" s="1585">
        <f t="shared" ref="N24:N33" si="3">O24/M24/12*1000</f>
        <v>25754.516129032254</v>
      </c>
      <c r="O24" s="1514">
        <f>O25+O26+O27+O28</f>
        <v>47903.399999999994</v>
      </c>
      <c r="P24" s="1589">
        <f>N24/AM8</f>
        <v>2.7583455187985857</v>
      </c>
      <c r="Q24" s="1580"/>
      <c r="R24" s="4373"/>
      <c r="S24" s="1590">
        <f>SUM(S25:S28)</f>
        <v>155</v>
      </c>
      <c r="T24" s="1591">
        <f>U24/S24/12*1000</f>
        <v>9859.8122849032261</v>
      </c>
      <c r="U24" s="1592">
        <f>SUM(U25:U28)</f>
        <v>18339.250849920001</v>
      </c>
      <c r="V24" s="1589">
        <f>T24/AM8</f>
        <v>1.056</v>
      </c>
      <c r="W24" s="1593"/>
      <c r="X24" s="1587">
        <f>X25+X26+X27+X28</f>
        <v>148.32999999999998</v>
      </c>
      <c r="Y24" s="1585">
        <f t="shared" ref="Y24:Y33" si="4">Z24/X24/6*1000</f>
        <v>21580.822040944742</v>
      </c>
      <c r="Z24" s="1514">
        <f>Z25+Z26+Z27+Z28</f>
        <v>19206.5</v>
      </c>
      <c r="AA24" s="1589">
        <f>Y24/BB8</f>
        <v>0.95562481208041816</v>
      </c>
      <c r="AB24" s="1580"/>
      <c r="AC24" s="575"/>
      <c r="AD24" s="575"/>
      <c r="AE24" s="575"/>
      <c r="AF24" s="575"/>
      <c r="AG24" s="575"/>
      <c r="AH24" s="575"/>
      <c r="AI24" s="575"/>
      <c r="AJ24" s="575"/>
      <c r="AK24" s="575"/>
      <c r="AL24" s="1587">
        <f>AL25+AL26+AL27+AL28</f>
        <v>148</v>
      </c>
      <c r="AM24" s="1585">
        <f t="shared" ref="AM24:AM33" si="5">AN24/AL24/9*1000</f>
        <v>22609.909909909911</v>
      </c>
      <c r="AN24" s="1514">
        <f>AN25+AN26+AN27+AN28</f>
        <v>30116.400000000001</v>
      </c>
      <c r="AO24" s="1589">
        <f>AM24/BB8</f>
        <v>1.0011940633132144</v>
      </c>
      <c r="AP24" s="1580"/>
      <c r="AQ24" s="1587">
        <f>AQ25+AQ26+AQ27+AQ28</f>
        <v>148</v>
      </c>
      <c r="AR24" s="1585">
        <f t="shared" ref="AR24:AR33" si="6">AS24/AQ24/12*1000</f>
        <v>22770.326576576579</v>
      </c>
      <c r="AS24" s="1514">
        <f>AS25+AS26+AS27+AS28</f>
        <v>40440.100000000006</v>
      </c>
      <c r="AT24" s="1589">
        <f>AR24/T24</f>
        <v>2.3094077167616249</v>
      </c>
      <c r="AU24" s="1587">
        <f>AU25+AU26+AU27+AU28</f>
        <v>155</v>
      </c>
      <c r="AV24" s="1585">
        <f t="shared" ref="AV24:AV33" si="7">AW24/AU24/12*1000</f>
        <v>23460.37634408602</v>
      </c>
      <c r="AW24" s="1514">
        <f>AW25+AW26+AW27+AW28</f>
        <v>43636.299999999996</v>
      </c>
      <c r="AX24" s="1589">
        <f>AV24/T24</f>
        <v>2.3793938125989671</v>
      </c>
      <c r="AY24" s="1594">
        <f>AV24/BB8</f>
        <v>1.0388537421149895</v>
      </c>
      <c r="AZ24" s="1590">
        <f>SUM(AZ25:AZ28)</f>
        <v>150</v>
      </c>
      <c r="BA24" s="1591">
        <f>BB24/AZ24/12*1000</f>
        <v>23530.113691896189</v>
      </c>
      <c r="BB24" s="1592">
        <f>SUM(BB25:BB28)</f>
        <v>42354.204645413141</v>
      </c>
      <c r="BC24" s="1589">
        <f t="shared" ref="BC24:BC33" si="8">BA24/T24</f>
        <v>2.3864667005805109</v>
      </c>
      <c r="BD24" s="1580"/>
      <c r="BE24" s="1587">
        <f>BE25+BE26+BE27+BE28</f>
        <v>144</v>
      </c>
      <c r="BF24" s="1585">
        <f t="shared" ref="BF24:BF33" si="9">BG24/BE24/6*1000</f>
        <v>22832.175925925923</v>
      </c>
      <c r="BG24" s="1514">
        <f>BG25+BG26+BG27+BG28</f>
        <v>19727</v>
      </c>
      <c r="BH24" s="1589">
        <f>BF24/AV24</f>
        <v>0.9732229181260148</v>
      </c>
      <c r="BI24" s="1587">
        <f>BI25+BI26+BI27+BI28</f>
        <v>148</v>
      </c>
      <c r="BJ24" s="1585">
        <f t="shared" ref="BJ24:BJ33" si="10">BK24/BI24/9*1000</f>
        <v>22988.888888888887</v>
      </c>
      <c r="BK24" s="1514">
        <f>BK25+BK26+BK27+BK28</f>
        <v>30621.199999999997</v>
      </c>
      <c r="BL24" s="1589">
        <f>BJ24/BA24</f>
        <v>0.9769986320468268</v>
      </c>
      <c r="BM24" s="1587">
        <f>(BI24+BE24)/2</f>
        <v>146</v>
      </c>
      <c r="BN24" s="1585">
        <f>BO24/BM24/3*1000</f>
        <v>24872.602739726019</v>
      </c>
      <c r="BO24" s="1514">
        <f>BK24-BG24</f>
        <v>10894.199999999997</v>
      </c>
      <c r="BP24" s="1587">
        <f>BP25+BP26+BP27+BP28</f>
        <v>155</v>
      </c>
      <c r="BQ24" s="1591">
        <f>BR24/BP24/12*1000</f>
        <v>25806.413978494627</v>
      </c>
      <c r="BR24" s="1592">
        <f>SUM(BR25:BR28)</f>
        <v>47999.930000000008</v>
      </c>
      <c r="BS24" s="1589">
        <f>BQ24/BA24</f>
        <v>1.0967398762455789</v>
      </c>
      <c r="BT24" s="1587">
        <f>BT25+BT26+BT27+BT28</f>
        <v>148</v>
      </c>
      <c r="BU24" s="1591">
        <f>BV24/BT24/12*1000</f>
        <v>26725.298409525822</v>
      </c>
      <c r="BV24" s="1592">
        <f>SUM(BV25:BV28)</f>
        <v>47464.129975317854</v>
      </c>
      <c r="BW24" s="1589">
        <f>BU24/BA24</f>
        <v>1.1357912995860304</v>
      </c>
      <c r="BX24" s="1367"/>
      <c r="BY24" s="4384" t="s">
        <v>567</v>
      </c>
      <c r="BZ24" s="4385"/>
      <c r="CA24" s="4385"/>
      <c r="CB24" s="4386"/>
    </row>
    <row r="25" spans="1:80" ht="37.5" customHeight="1" x14ac:dyDescent="0.2">
      <c r="A25" s="1595" t="s">
        <v>190</v>
      </c>
      <c r="B25" s="1596" t="s">
        <v>85</v>
      </c>
      <c r="C25" s="1597">
        <v>456</v>
      </c>
      <c r="D25" s="1598">
        <v>12405</v>
      </c>
      <c r="E25" s="1539">
        <v>67882.600000000006</v>
      </c>
      <c r="F25" s="1599">
        <v>444</v>
      </c>
      <c r="G25" s="1598">
        <v>12620</v>
      </c>
      <c r="H25" s="1547">
        <f>F25*G25*12/1000</f>
        <v>67239.360000000001</v>
      </c>
      <c r="I25" s="1600">
        <v>435</v>
      </c>
      <c r="J25" s="1598">
        <v>13646</v>
      </c>
      <c r="K25" s="1588">
        <f>J25/G25</f>
        <v>1.0812995245641839</v>
      </c>
      <c r="L25" s="1547">
        <v>71232.100000000006</v>
      </c>
      <c r="M25" s="1600">
        <v>26.5</v>
      </c>
      <c r="N25" s="1598">
        <f t="shared" si="3"/>
        <v>22554.402515723272</v>
      </c>
      <c r="O25" s="1542">
        <v>7172.3</v>
      </c>
      <c r="P25" s="1589">
        <f>N25/AM9</f>
        <v>14.036523573308315</v>
      </c>
      <c r="Q25" s="1580"/>
      <c r="R25" s="4373"/>
      <c r="S25" s="1601">
        <f>AL9</f>
        <v>26.5</v>
      </c>
      <c r="T25" s="1598">
        <f>AM9*1.056</f>
        <v>1696.8196528301887</v>
      </c>
      <c r="U25" s="1542">
        <f>S25*T25*12/1000</f>
        <v>539.58864960000005</v>
      </c>
      <c r="V25" s="1589">
        <f>T25/AM9</f>
        <v>1.056</v>
      </c>
      <c r="W25" s="1589">
        <f>T25/AY9</f>
        <v>7.1834571575877137E-2</v>
      </c>
      <c r="X25" s="1602">
        <v>23.5</v>
      </c>
      <c r="Y25" s="1598">
        <f t="shared" si="4"/>
        <v>20790.070921985814</v>
      </c>
      <c r="Z25" s="1542">
        <v>2931.4</v>
      </c>
      <c r="AA25" s="1589">
        <f>Y25/BB9</f>
        <v>0.98254215345308094</v>
      </c>
      <c r="AB25" s="1594" t="e">
        <f>Y25/#REF!</f>
        <v>#REF!</v>
      </c>
      <c r="AC25" s="575"/>
      <c r="AD25" s="575"/>
      <c r="AE25" s="575"/>
      <c r="AF25" s="575"/>
      <c r="AG25" s="575"/>
      <c r="AH25" s="575"/>
      <c r="AI25" s="575"/>
      <c r="AJ25" s="575"/>
      <c r="AK25" s="575"/>
      <c r="AL25" s="1600">
        <v>24</v>
      </c>
      <c r="AM25" s="1598">
        <f t="shared" si="5"/>
        <v>21343.981481481482</v>
      </c>
      <c r="AN25" s="1542">
        <v>4610.3</v>
      </c>
      <c r="AO25" s="1589">
        <f>AM25/BB9</f>
        <v>1.0087200571259218</v>
      </c>
      <c r="AP25" s="1580"/>
      <c r="AQ25" s="1600">
        <v>24</v>
      </c>
      <c r="AR25" s="1598">
        <f t="shared" si="6"/>
        <v>21852.430555555558</v>
      </c>
      <c r="AS25" s="1542">
        <v>6293.5</v>
      </c>
      <c r="AT25" s="1589">
        <f t="shared" ref="AT25:AT37" si="11">AR25/T25</f>
        <v>12.878463848003573</v>
      </c>
      <c r="AU25" s="1600">
        <v>26.5</v>
      </c>
      <c r="AV25" s="1598">
        <f t="shared" si="7"/>
        <v>21298.113207547172</v>
      </c>
      <c r="AW25" s="1542">
        <v>6772.8</v>
      </c>
      <c r="AX25" s="1589">
        <f t="shared" ref="AX25:AX33" si="12">AV25/T25</f>
        <v>12.551783668949883</v>
      </c>
      <c r="AY25" s="1594">
        <f>AV25/BB9</f>
        <v>1.0065523149948004</v>
      </c>
      <c r="AZ25" s="1603">
        <f>BA9</f>
        <v>22</v>
      </c>
      <c r="BA25" s="1598">
        <f>AV25</f>
        <v>21298.113207547172</v>
      </c>
      <c r="BB25" s="1542">
        <f>AZ25*BA25*12/1000</f>
        <v>5622.7018867924526</v>
      </c>
      <c r="BC25" s="1589">
        <f t="shared" si="8"/>
        <v>12.551783668949883</v>
      </c>
      <c r="BD25" s="1580"/>
      <c r="BE25" s="1600">
        <v>24</v>
      </c>
      <c r="BF25" s="1598">
        <f t="shared" si="9"/>
        <v>21190.972222222223</v>
      </c>
      <c r="BG25" s="1542">
        <v>3051.5</v>
      </c>
      <c r="BH25" s="1589">
        <f t="shared" ref="BH25:BH37" si="13">BF25/AV25</f>
        <v>0.99496946117804541</v>
      </c>
      <c r="BI25" s="1600">
        <v>24</v>
      </c>
      <c r="BJ25" s="1598">
        <f t="shared" si="10"/>
        <v>21644.444444444442</v>
      </c>
      <c r="BK25" s="1542">
        <v>4675.2</v>
      </c>
      <c r="BL25" s="1589">
        <f t="shared" ref="BL25:BL37" si="14">BJ25/BA25</f>
        <v>1.0162611229230645</v>
      </c>
      <c r="BM25" s="1587">
        <f t="shared" ref="BM25:BM33" si="15">(BI25+BE25)/2</f>
        <v>24</v>
      </c>
      <c r="BN25" s="1598">
        <f>BO25/BM25/3*1000</f>
        <v>22551.388888888883</v>
      </c>
      <c r="BO25" s="1514">
        <f t="shared" ref="BO25:BO33" si="16">BK25-BG25</f>
        <v>1623.6999999999998</v>
      </c>
      <c r="BP25" s="1600">
        <v>26.5</v>
      </c>
      <c r="BQ25" s="1598">
        <f>SUM(BA25*1.1)</f>
        <v>23427.92452830189</v>
      </c>
      <c r="BR25" s="1542">
        <f>BP25*BQ25*12/1000</f>
        <v>7450.0800000000017</v>
      </c>
      <c r="BS25" s="1589">
        <f t="shared" ref="BS25:BS37" si="17">BQ25/BA25</f>
        <v>1.1000000000000001</v>
      </c>
      <c r="BT25" s="1600">
        <f>AQ25</f>
        <v>24</v>
      </c>
      <c r="BU25" s="1598">
        <f>BN25*1.074</f>
        <v>24220.191666666662</v>
      </c>
      <c r="BV25" s="1542">
        <f>BT25*BU25*12/1000</f>
        <v>6975.4151999999985</v>
      </c>
      <c r="BW25" s="1589">
        <f t="shared" ref="BW25:BW37" si="18">BU25/BA25</f>
        <v>1.1371989354476726</v>
      </c>
      <c r="BX25" s="1368">
        <f>BU25/BJ25</f>
        <v>1.1190026950718686</v>
      </c>
      <c r="BY25" s="4387"/>
      <c r="BZ25" s="4388"/>
      <c r="CA25" s="4388"/>
      <c r="CB25" s="4389"/>
    </row>
    <row r="26" spans="1:80" ht="37.5" customHeight="1" x14ac:dyDescent="0.2">
      <c r="A26" s="1595" t="s">
        <v>191</v>
      </c>
      <c r="B26" s="1596" t="s">
        <v>87</v>
      </c>
      <c r="C26" s="1597">
        <v>384</v>
      </c>
      <c r="D26" s="1598">
        <v>11838</v>
      </c>
      <c r="E26" s="1539">
        <v>54547.199999999997</v>
      </c>
      <c r="F26" s="1599">
        <v>369</v>
      </c>
      <c r="G26" s="1598">
        <v>12231</v>
      </c>
      <c r="H26" s="1547">
        <f>F26*G26*12/1000</f>
        <v>54158.868000000002</v>
      </c>
      <c r="I26" s="1600">
        <v>364</v>
      </c>
      <c r="J26" s="1598">
        <v>13021</v>
      </c>
      <c r="K26" s="1588">
        <f>J26/G26</f>
        <v>1.0645899762897555</v>
      </c>
      <c r="L26" s="1547">
        <v>56876.800000000003</v>
      </c>
      <c r="M26" s="1602">
        <v>72.5</v>
      </c>
      <c r="N26" s="1598">
        <f t="shared" si="3"/>
        <v>24945.172413793101</v>
      </c>
      <c r="O26" s="1542">
        <v>21702.3</v>
      </c>
      <c r="P26" s="1589">
        <f>N26/AM10</f>
        <v>23.43152802286502</v>
      </c>
      <c r="Q26" s="1580"/>
      <c r="R26" s="4373"/>
      <c r="S26" s="1601">
        <f>AL10</f>
        <v>72.5</v>
      </c>
      <c r="T26" s="1598">
        <f>AM10*1.056</f>
        <v>1124.2161434482757</v>
      </c>
      <c r="U26" s="1542">
        <f>S26*T26*12/1000</f>
        <v>978.06804479999983</v>
      </c>
      <c r="V26" s="1589">
        <f>T26/AM10</f>
        <v>1.056</v>
      </c>
      <c r="W26" s="1589">
        <f>T26/AY10</f>
        <v>4.753370531747006E-2</v>
      </c>
      <c r="X26" s="1602">
        <v>73.5</v>
      </c>
      <c r="Y26" s="1598">
        <f t="shared" si="4"/>
        <v>19868.934240362814</v>
      </c>
      <c r="Z26" s="1542">
        <v>8762.2000000000007</v>
      </c>
      <c r="AA26" s="1589">
        <f>Y26/BB10</f>
        <v>0.9283594723885823</v>
      </c>
      <c r="AB26" s="1594" t="e">
        <f>Y26/#REF!</f>
        <v>#REF!</v>
      </c>
      <c r="AC26" s="575"/>
      <c r="AD26" s="575"/>
      <c r="AE26" s="575"/>
      <c r="AF26" s="575"/>
      <c r="AG26" s="575"/>
      <c r="AH26" s="575"/>
      <c r="AI26" s="575"/>
      <c r="AJ26" s="575"/>
      <c r="AK26" s="575"/>
      <c r="AL26" s="1602">
        <v>75</v>
      </c>
      <c r="AM26" s="1598">
        <f t="shared" si="5"/>
        <v>20413.185185185186</v>
      </c>
      <c r="AN26" s="1542">
        <v>13778.9</v>
      </c>
      <c r="AO26" s="1589">
        <f>AM26/BB10</f>
        <v>0.95378914636454581</v>
      </c>
      <c r="AP26" s="1580"/>
      <c r="AQ26" s="1602">
        <v>74</v>
      </c>
      <c r="AR26" s="1598">
        <f t="shared" si="6"/>
        <v>20925.33783783784</v>
      </c>
      <c r="AS26" s="1542">
        <v>18581.7</v>
      </c>
      <c r="AT26" s="1589">
        <f t="shared" si="11"/>
        <v>18.61326930749647</v>
      </c>
      <c r="AU26" s="1602">
        <v>72.5</v>
      </c>
      <c r="AV26" s="1598">
        <f t="shared" si="7"/>
        <v>21999.540229885057</v>
      </c>
      <c r="AW26" s="1542">
        <v>19139.599999999999</v>
      </c>
      <c r="AX26" s="1589">
        <f t="shared" si="12"/>
        <v>19.568781642297452</v>
      </c>
      <c r="AY26" s="1594">
        <f>AV26/BB10</f>
        <v>1.0279102700495193</v>
      </c>
      <c r="AZ26" s="1603">
        <f>BA10</f>
        <v>72</v>
      </c>
      <c r="BA26" s="1598">
        <f>AV26</f>
        <v>21999.540229885057</v>
      </c>
      <c r="BB26" s="1542">
        <f>AZ26*BA26*12/1000</f>
        <v>19007.602758620687</v>
      </c>
      <c r="BC26" s="1589">
        <f t="shared" si="8"/>
        <v>19.568781642297452</v>
      </c>
      <c r="BD26" s="1580"/>
      <c r="BE26" s="1602">
        <v>72</v>
      </c>
      <c r="BF26" s="1598">
        <f t="shared" si="9"/>
        <v>21250.231481481482</v>
      </c>
      <c r="BG26" s="1542">
        <v>9180.1</v>
      </c>
      <c r="BH26" s="1589">
        <f t="shared" si="13"/>
        <v>0.965939799624281</v>
      </c>
      <c r="BI26" s="1602">
        <v>74</v>
      </c>
      <c r="BJ26" s="1598">
        <f t="shared" si="10"/>
        <v>21538.138138138136</v>
      </c>
      <c r="BK26" s="1542">
        <v>14344.4</v>
      </c>
      <c r="BL26" s="1589">
        <f t="shared" si="14"/>
        <v>0.97902673933520967</v>
      </c>
      <c r="BM26" s="1587">
        <f t="shared" si="15"/>
        <v>73</v>
      </c>
      <c r="BN26" s="1598">
        <f t="shared" ref="BN26:BN33" si="19">BO26/BM26/3*1000</f>
        <v>23581.278538812781</v>
      </c>
      <c r="BO26" s="1514">
        <f t="shared" si="16"/>
        <v>5164.2999999999993</v>
      </c>
      <c r="BP26" s="1602">
        <v>72.5</v>
      </c>
      <c r="BQ26" s="1598">
        <f t="shared" ref="BQ26:BQ33" si="20">SUM(BA26*1.1)</f>
        <v>24199.494252873563</v>
      </c>
      <c r="BR26" s="1542">
        <f>BP26*BQ26*12/1000</f>
        <v>21053.56</v>
      </c>
      <c r="BS26" s="1589">
        <f t="shared" si="17"/>
        <v>1.1000000000000001</v>
      </c>
      <c r="BT26" s="1600">
        <f t="shared" ref="BT26:BT28" si="21">AQ26</f>
        <v>74</v>
      </c>
      <c r="BU26" s="1598">
        <f t="shared" ref="BU26:BU28" si="22">BN26*1.074</f>
        <v>25326.293150684927</v>
      </c>
      <c r="BV26" s="1542">
        <f>BT26*BU26*12/1000</f>
        <v>22489.748317808218</v>
      </c>
      <c r="BW26" s="1589">
        <f t="shared" si="18"/>
        <v>1.1512192021304462</v>
      </c>
      <c r="BX26" s="1368">
        <f t="shared" ref="BX26:BX37" si="23">BU26/BJ26</f>
        <v>1.1758812664423861</v>
      </c>
      <c r="BY26" s="4387"/>
      <c r="BZ26" s="4388"/>
      <c r="CA26" s="4388"/>
      <c r="CB26" s="4389"/>
    </row>
    <row r="27" spans="1:80" ht="37.5" customHeight="1" x14ac:dyDescent="0.2">
      <c r="A27" s="1595" t="s">
        <v>199</v>
      </c>
      <c r="B27" s="1596" t="s">
        <v>88</v>
      </c>
      <c r="C27" s="1597"/>
      <c r="D27" s="1598"/>
      <c r="E27" s="1539"/>
      <c r="F27" s="1599"/>
      <c r="G27" s="1598"/>
      <c r="H27" s="1547"/>
      <c r="I27" s="1600"/>
      <c r="J27" s="1598"/>
      <c r="K27" s="1588"/>
      <c r="L27" s="1547"/>
      <c r="M27" s="1600">
        <v>31</v>
      </c>
      <c r="N27" s="1598">
        <f t="shared" si="3"/>
        <v>30275.806451612905</v>
      </c>
      <c r="O27" s="1542">
        <v>11262.6</v>
      </c>
      <c r="P27" s="1589">
        <f>N27/AM11</f>
        <v>1.2088401473413275</v>
      </c>
      <c r="Q27" s="1580"/>
      <c r="R27" s="4373"/>
      <c r="S27" s="1601">
        <f>AL11</f>
        <v>31</v>
      </c>
      <c r="T27" s="1598">
        <f>AM11*1.056</f>
        <v>26447.873759999999</v>
      </c>
      <c r="U27" s="1542">
        <f>S27*T27*12/1000</f>
        <v>9838.6090387200002</v>
      </c>
      <c r="V27" s="1589">
        <f>T27/AM11</f>
        <v>1.056</v>
      </c>
      <c r="W27" s="1589">
        <f>T27/AY11</f>
        <v>0.92042627549755296</v>
      </c>
      <c r="X27" s="1602">
        <v>29.33</v>
      </c>
      <c r="Y27" s="1598">
        <f t="shared" si="4"/>
        <v>25010.796681441076</v>
      </c>
      <c r="Z27" s="1542">
        <v>4401.3999999999996</v>
      </c>
      <c r="AA27" s="1589">
        <f>Y27/BB11</f>
        <v>0.95682926073099828</v>
      </c>
      <c r="AB27" s="1594" t="e">
        <f>Y27/#REF!</f>
        <v>#REF!</v>
      </c>
      <c r="AC27" s="575"/>
      <c r="AD27" s="575"/>
      <c r="AE27" s="575"/>
      <c r="AF27" s="575"/>
      <c r="AG27" s="575"/>
      <c r="AH27" s="575"/>
      <c r="AI27" s="575"/>
      <c r="AJ27" s="575"/>
      <c r="AK27" s="575"/>
      <c r="AL27" s="1600">
        <v>28</v>
      </c>
      <c r="AM27" s="1598">
        <f t="shared" si="5"/>
        <v>27159.920634920636</v>
      </c>
      <c r="AN27" s="1542">
        <v>6844.3</v>
      </c>
      <c r="AO27" s="1589">
        <f>AM27/BB11</f>
        <v>1.039047540692988</v>
      </c>
      <c r="AP27" s="1580"/>
      <c r="AQ27" s="1600">
        <v>29</v>
      </c>
      <c r="AR27" s="1598">
        <f t="shared" si="6"/>
        <v>26195.689655172417</v>
      </c>
      <c r="AS27" s="1542">
        <v>9116.1</v>
      </c>
      <c r="AT27" s="1589">
        <f t="shared" si="11"/>
        <v>0.99046486280462409</v>
      </c>
      <c r="AU27" s="1600">
        <v>31</v>
      </c>
      <c r="AV27" s="1598">
        <f t="shared" si="7"/>
        <v>27862.365591397847</v>
      </c>
      <c r="AW27" s="1542">
        <v>10364.799999999999</v>
      </c>
      <c r="AX27" s="1589">
        <f t="shared" si="12"/>
        <v>1.0534822513232478</v>
      </c>
      <c r="AY27" s="1594">
        <f>AV27/BB11</f>
        <v>1.0659207305785803</v>
      </c>
      <c r="AZ27" s="1603">
        <f>BA11</f>
        <v>31</v>
      </c>
      <c r="BA27" s="1598">
        <f>AV27</f>
        <v>27862.365591397847</v>
      </c>
      <c r="BB27" s="1542">
        <f>AZ27*BA27*12/1000</f>
        <v>10364.799999999999</v>
      </c>
      <c r="BC27" s="1589">
        <f t="shared" si="8"/>
        <v>1.0534822513232478</v>
      </c>
      <c r="BD27" s="1580"/>
      <c r="BE27" s="1600">
        <v>28</v>
      </c>
      <c r="BF27" s="1598">
        <f t="shared" si="9"/>
        <v>26782.738095238099</v>
      </c>
      <c r="BG27" s="1542">
        <v>4499.5</v>
      </c>
      <c r="BH27" s="1589">
        <f t="shared" si="13"/>
        <v>0.96125140585718716</v>
      </c>
      <c r="BI27" s="1600">
        <v>29</v>
      </c>
      <c r="BJ27" s="1598">
        <f t="shared" si="10"/>
        <v>26555.938697318008</v>
      </c>
      <c r="BK27" s="1542">
        <v>6931.1</v>
      </c>
      <c r="BL27" s="1589">
        <f t="shared" si="14"/>
        <v>0.95311141511677022</v>
      </c>
      <c r="BM27" s="1587">
        <f t="shared" si="15"/>
        <v>28.5</v>
      </c>
      <c r="BN27" s="1598">
        <f t="shared" si="19"/>
        <v>28439.766081871352</v>
      </c>
      <c r="BO27" s="1514">
        <f t="shared" si="16"/>
        <v>2431.6000000000004</v>
      </c>
      <c r="BP27" s="1600">
        <v>31</v>
      </c>
      <c r="BQ27" s="1598">
        <f t="shared" si="20"/>
        <v>30648.602150537634</v>
      </c>
      <c r="BR27" s="1542">
        <f>BP27*BQ27*12/1000</f>
        <v>11401.28</v>
      </c>
      <c r="BS27" s="1589">
        <f t="shared" si="17"/>
        <v>1.1000000000000001</v>
      </c>
      <c r="BT27" s="1600">
        <f t="shared" si="21"/>
        <v>29</v>
      </c>
      <c r="BU27" s="1598">
        <f t="shared" si="22"/>
        <v>30544.308771929835</v>
      </c>
      <c r="BV27" s="1542">
        <f>BT27*BU27*12/1000</f>
        <v>10629.419452631584</v>
      </c>
      <c r="BW27" s="1589">
        <f t="shared" si="18"/>
        <v>1.0962568369054781</v>
      </c>
      <c r="BX27" s="1368">
        <f t="shared" si="23"/>
        <v>1.1501875011864908</v>
      </c>
      <c r="BY27" s="4387"/>
      <c r="BZ27" s="4388"/>
      <c r="CA27" s="4388"/>
      <c r="CB27" s="4389"/>
    </row>
    <row r="28" spans="1:80" ht="37.5" customHeight="1" x14ac:dyDescent="0.2">
      <c r="A28" s="1595" t="s">
        <v>200</v>
      </c>
      <c r="B28" s="1596" t="s">
        <v>89</v>
      </c>
      <c r="C28" s="1597"/>
      <c r="D28" s="1598"/>
      <c r="E28" s="1539"/>
      <c r="F28" s="1599"/>
      <c r="G28" s="1598"/>
      <c r="H28" s="1547"/>
      <c r="I28" s="1600"/>
      <c r="J28" s="1598"/>
      <c r="K28" s="1588"/>
      <c r="L28" s="1547"/>
      <c r="M28" s="1600">
        <v>25</v>
      </c>
      <c r="N28" s="1598">
        <f t="shared" si="3"/>
        <v>25887.333333333332</v>
      </c>
      <c r="O28" s="1542">
        <v>7766.2</v>
      </c>
      <c r="P28" s="1589">
        <f>N28/AM12</f>
        <v>1.174441454882867</v>
      </c>
      <c r="Q28" s="1580"/>
      <c r="R28" s="4373"/>
      <c r="S28" s="1601">
        <f>AL12</f>
        <v>25</v>
      </c>
      <c r="T28" s="1598">
        <f>AM12*1.056</f>
        <v>23276.617056000003</v>
      </c>
      <c r="U28" s="1542">
        <f>S28*T28*12/1000</f>
        <v>6982.9851168000005</v>
      </c>
      <c r="V28" s="1589">
        <f>T28/AM12</f>
        <v>1.056</v>
      </c>
      <c r="W28" s="1589">
        <f>T28/AY12</f>
        <v>0.90490684179970982</v>
      </c>
      <c r="X28" s="1602">
        <v>22</v>
      </c>
      <c r="Y28" s="1598">
        <f t="shared" si="4"/>
        <v>23571.9696969697</v>
      </c>
      <c r="Z28" s="1542">
        <v>3111.5</v>
      </c>
      <c r="AA28" s="1589">
        <f>Y28/BB12</f>
        <v>1.0326656214446632</v>
      </c>
      <c r="AB28" s="1594" t="e">
        <f>Y28/#REF!</f>
        <v>#REF!</v>
      </c>
      <c r="AC28" s="575"/>
      <c r="AD28" s="575"/>
      <c r="AE28" s="575"/>
      <c r="AF28" s="575"/>
      <c r="AG28" s="575"/>
      <c r="AH28" s="575"/>
      <c r="AI28" s="575"/>
      <c r="AJ28" s="575"/>
      <c r="AK28" s="575"/>
      <c r="AL28" s="1600">
        <v>21</v>
      </c>
      <c r="AM28" s="1598">
        <f t="shared" si="5"/>
        <v>25835.449735449733</v>
      </c>
      <c r="AN28" s="1542">
        <v>4882.8999999999996</v>
      </c>
      <c r="AO28" s="1589">
        <f>AM28/BB12</f>
        <v>1.1318265337745761</v>
      </c>
      <c r="AP28" s="1580"/>
      <c r="AQ28" s="1600">
        <v>21</v>
      </c>
      <c r="AR28" s="1598">
        <f t="shared" si="6"/>
        <v>25590.476190476191</v>
      </c>
      <c r="AS28" s="1542">
        <v>6448.8</v>
      </c>
      <c r="AT28" s="1589">
        <f t="shared" si="11"/>
        <v>1.0994070198822017</v>
      </c>
      <c r="AU28" s="1600">
        <v>25</v>
      </c>
      <c r="AV28" s="1598">
        <f t="shared" si="7"/>
        <v>24530.333333333336</v>
      </c>
      <c r="AW28" s="1542">
        <v>7359.1</v>
      </c>
      <c r="AX28" s="1589">
        <f t="shared" si="12"/>
        <v>1.0538616189078114</v>
      </c>
      <c r="AY28" s="1594">
        <f>AV28/BB12</f>
        <v>1.0746506228186743</v>
      </c>
      <c r="AZ28" s="1603">
        <f>BA12</f>
        <v>25</v>
      </c>
      <c r="BA28" s="1598">
        <f>AV28</f>
        <v>24530.333333333336</v>
      </c>
      <c r="BB28" s="1542">
        <f>AZ28*BA28*12/1000</f>
        <v>7359.1</v>
      </c>
      <c r="BC28" s="1589">
        <f t="shared" si="8"/>
        <v>1.0538616189078114</v>
      </c>
      <c r="BD28" s="1580"/>
      <c r="BE28" s="1600">
        <v>20</v>
      </c>
      <c r="BF28" s="1598">
        <f t="shared" si="9"/>
        <v>24965.833333333336</v>
      </c>
      <c r="BG28" s="1542">
        <v>2995.9</v>
      </c>
      <c r="BH28" s="1589">
        <f t="shared" si="13"/>
        <v>1.0177535296435705</v>
      </c>
      <c r="BI28" s="1600">
        <v>21</v>
      </c>
      <c r="BJ28" s="1598">
        <f t="shared" si="10"/>
        <v>24711.640211640213</v>
      </c>
      <c r="BK28" s="1542">
        <v>4670.5</v>
      </c>
      <c r="BL28" s="1589">
        <f t="shared" si="14"/>
        <v>1.0073911298245795</v>
      </c>
      <c r="BM28" s="1587">
        <f t="shared" si="15"/>
        <v>20.5</v>
      </c>
      <c r="BN28" s="1598">
        <f t="shared" si="19"/>
        <v>27229.268292682929</v>
      </c>
      <c r="BO28" s="1514">
        <f t="shared" si="16"/>
        <v>1674.6</v>
      </c>
      <c r="BP28" s="1600">
        <v>25</v>
      </c>
      <c r="BQ28" s="1598">
        <f t="shared" si="20"/>
        <v>26983.366666666672</v>
      </c>
      <c r="BR28" s="1542">
        <f>BP28*BQ28*12/1000</f>
        <v>8095.010000000002</v>
      </c>
      <c r="BS28" s="1589">
        <f t="shared" si="17"/>
        <v>1.1000000000000001</v>
      </c>
      <c r="BT28" s="1600">
        <f t="shared" si="21"/>
        <v>21</v>
      </c>
      <c r="BU28" s="1598">
        <f t="shared" si="22"/>
        <v>29244.234146341467</v>
      </c>
      <c r="BV28" s="1542">
        <f>BT28*BU28*12/1000</f>
        <v>7369.5470048780498</v>
      </c>
      <c r="BW28" s="1589">
        <f t="shared" si="18"/>
        <v>1.1921661947659958</v>
      </c>
      <c r="BX28" s="1368">
        <f t="shared" si="23"/>
        <v>1.183419388429191</v>
      </c>
      <c r="BY28" s="4387"/>
      <c r="BZ28" s="4388"/>
      <c r="CA28" s="4388"/>
      <c r="CB28" s="4389"/>
    </row>
    <row r="29" spans="1:80" ht="63" customHeight="1" x14ac:dyDescent="0.2">
      <c r="A29" s="1582" t="s">
        <v>192</v>
      </c>
      <c r="B29" s="1583" t="s">
        <v>202</v>
      </c>
      <c r="C29" s="1584">
        <v>840</v>
      </c>
      <c r="D29" s="1585">
        <v>12146</v>
      </c>
      <c r="E29" s="1510">
        <v>122429.8</v>
      </c>
      <c r="F29" s="1586">
        <f>F30+F31</f>
        <v>813</v>
      </c>
      <c r="G29" s="1585">
        <f>(G30*F30+G31*F31)/(F30+F31)</f>
        <v>12443.442804428045</v>
      </c>
      <c r="H29" s="1518">
        <f>H31+H30</f>
        <v>121398.228</v>
      </c>
      <c r="I29" s="1587">
        <v>799</v>
      </c>
      <c r="J29" s="1585">
        <v>13361</v>
      </c>
      <c r="K29" s="1588">
        <f>J29/G29</f>
        <v>1.07373820975377</v>
      </c>
      <c r="L29" s="1518">
        <v>128108.9</v>
      </c>
      <c r="M29" s="1587">
        <f>M30+M31+M32+M33</f>
        <v>105</v>
      </c>
      <c r="N29" s="1585">
        <f t="shared" si="3"/>
        <v>28668.650793650795</v>
      </c>
      <c r="O29" s="1514">
        <f>O30+O31+O32+O33</f>
        <v>36122.5</v>
      </c>
      <c r="P29" s="1589">
        <f>N29/AM14</f>
        <v>1.2088032234986785</v>
      </c>
      <c r="Q29" s="1580"/>
      <c r="R29" s="4373"/>
      <c r="S29" s="1590">
        <f>SUM(S30:S33)</f>
        <v>96</v>
      </c>
      <c r="T29" s="1591">
        <f>U29/S29/12*1000</f>
        <v>25224.382875999996</v>
      </c>
      <c r="U29" s="1592">
        <f>SUM(U30:U33)</f>
        <v>29058.489073151999</v>
      </c>
      <c r="V29" s="1589">
        <f>T29/AM14</f>
        <v>1.0635769206839176</v>
      </c>
      <c r="W29" s="1593"/>
      <c r="X29" s="1587">
        <f>X30+X31+X32+X33</f>
        <v>95</v>
      </c>
      <c r="Y29" s="1585">
        <f t="shared" si="4"/>
        <v>22836.666666666668</v>
      </c>
      <c r="Z29" s="1514">
        <f>Z30+Z31+Z32+Z33</f>
        <v>13016.900000000001</v>
      </c>
      <c r="AA29" s="1589">
        <f>Y29/BB14</f>
        <v>0.92274432731820633</v>
      </c>
      <c r="AB29" s="1580"/>
      <c r="AC29" s="575"/>
      <c r="AD29" s="575"/>
      <c r="AE29" s="575"/>
      <c r="AF29" s="575"/>
      <c r="AG29" s="575"/>
      <c r="AH29" s="575"/>
      <c r="AI29" s="575"/>
      <c r="AJ29" s="575"/>
      <c r="AK29" s="575"/>
      <c r="AL29" s="1587">
        <f>AL30+AL31+AL32+AL33</f>
        <v>94</v>
      </c>
      <c r="AM29" s="1585">
        <f t="shared" si="5"/>
        <v>23876.59574468085</v>
      </c>
      <c r="AN29" s="1514">
        <f>AN30+AN31+AN32+AN33</f>
        <v>20199.599999999999</v>
      </c>
      <c r="AO29" s="1589">
        <f>AM29/BB14</f>
        <v>0.96476397368592659</v>
      </c>
      <c r="AP29" s="1580"/>
      <c r="AQ29" s="1587">
        <f>AQ30+AQ31+AQ32+AQ33</f>
        <v>94</v>
      </c>
      <c r="AR29" s="1585">
        <f t="shared" si="6"/>
        <v>24074.734042553187</v>
      </c>
      <c r="AS29" s="1514">
        <f>AS30+AS31+AS32+AS33</f>
        <v>27156.3</v>
      </c>
      <c r="AT29" s="1589">
        <f t="shared" si="11"/>
        <v>0.95442311357632248</v>
      </c>
      <c r="AU29" s="1587">
        <f>AU30+AU31+AU32+AU33</f>
        <v>105</v>
      </c>
      <c r="AV29" s="1585">
        <f t="shared" si="7"/>
        <v>28668.650793650795</v>
      </c>
      <c r="AW29" s="1514">
        <f>AW30+AW31+AW32+AW33</f>
        <v>36122.5</v>
      </c>
      <c r="AX29" s="1589">
        <f t="shared" si="12"/>
        <v>1.1365451806921265</v>
      </c>
      <c r="AY29" s="1604">
        <f>AV29/BB14</f>
        <v>1.1583930035779242</v>
      </c>
      <c r="AZ29" s="1590">
        <f>SUM(AZ30:AZ33)</f>
        <v>98</v>
      </c>
      <c r="BA29" s="1591">
        <f>BB29/AZ29/12*1000</f>
        <v>28763.121622082414</v>
      </c>
      <c r="BB29" s="1592">
        <f>SUM(BB30:BB33)</f>
        <v>33825.43102756892</v>
      </c>
      <c r="BC29" s="1589">
        <f t="shared" si="8"/>
        <v>1.1402903993123807</v>
      </c>
      <c r="BD29" s="1580"/>
      <c r="BE29" s="1587">
        <f>BE30+BE31+BE32+BE33</f>
        <v>94</v>
      </c>
      <c r="BF29" s="1585">
        <f t="shared" si="9"/>
        <v>23914.007092198586</v>
      </c>
      <c r="BG29" s="1514">
        <f>BG30+BG31+BG32+BG33</f>
        <v>13487.5</v>
      </c>
      <c r="BH29" s="1589">
        <f t="shared" si="13"/>
        <v>0.83415181496768542</v>
      </c>
      <c r="BI29" s="1587">
        <f>BI30+BI31+BI32+BI33</f>
        <v>94</v>
      </c>
      <c r="BJ29" s="1585">
        <f t="shared" si="10"/>
        <v>24833.096926713952</v>
      </c>
      <c r="BK29" s="1514">
        <f>BK30+BK31+BK32+BK33</f>
        <v>21008.800000000003</v>
      </c>
      <c r="BL29" s="1589">
        <f t="shared" si="14"/>
        <v>0.86336584926334103</v>
      </c>
      <c r="BM29" s="1587">
        <f t="shared" si="15"/>
        <v>94</v>
      </c>
      <c r="BN29" s="1585">
        <f t="shared" si="19"/>
        <v>26671.27659574469</v>
      </c>
      <c r="BO29" s="1514">
        <f t="shared" si="16"/>
        <v>7521.3000000000029</v>
      </c>
      <c r="BP29" s="1587">
        <f>BP30+BP31+BP32+BP33</f>
        <v>105</v>
      </c>
      <c r="BQ29" s="1591">
        <f>BR29/BP29/12*1000</f>
        <v>31535.515873015873</v>
      </c>
      <c r="BR29" s="1592">
        <f>SUM(BR30:BR33)</f>
        <v>39734.75</v>
      </c>
      <c r="BS29" s="1589">
        <f t="shared" si="17"/>
        <v>1.0963871128926772</v>
      </c>
      <c r="BT29" s="1587">
        <f>BT30+BT31+BT32+BT33</f>
        <v>94</v>
      </c>
      <c r="BU29" s="1591">
        <f>BV29/BT29/12*1000</f>
        <v>28606.666659040642</v>
      </c>
      <c r="BV29" s="1592">
        <f>SUM(BV30:BV33)</f>
        <v>32268.319991397846</v>
      </c>
      <c r="BW29" s="1589">
        <f t="shared" si="18"/>
        <v>0.99456057082060056</v>
      </c>
      <c r="BX29" s="1368"/>
      <c r="BY29" s="4387"/>
      <c r="BZ29" s="4388"/>
      <c r="CA29" s="4388"/>
      <c r="CB29" s="4389"/>
    </row>
    <row r="30" spans="1:80" ht="37.5" customHeight="1" x14ac:dyDescent="0.2">
      <c r="A30" s="1595" t="s">
        <v>193</v>
      </c>
      <c r="B30" s="1596" t="s">
        <v>91</v>
      </c>
      <c r="C30" s="1597">
        <v>456</v>
      </c>
      <c r="D30" s="1598">
        <v>12405</v>
      </c>
      <c r="E30" s="1539">
        <v>67882.600000000006</v>
      </c>
      <c r="F30" s="1599">
        <v>444</v>
      </c>
      <c r="G30" s="1598">
        <v>12620</v>
      </c>
      <c r="H30" s="1547">
        <f>F30*G30*12/1000</f>
        <v>67239.360000000001</v>
      </c>
      <c r="I30" s="1600">
        <v>435</v>
      </c>
      <c r="J30" s="1598">
        <v>13646</v>
      </c>
      <c r="K30" s="1588">
        <f>J30/G30</f>
        <v>1.0812995245641839</v>
      </c>
      <c r="L30" s="1547">
        <v>71232.100000000006</v>
      </c>
      <c r="M30" s="1600">
        <v>30</v>
      </c>
      <c r="N30" s="1598">
        <f t="shared" si="3"/>
        <v>25154.444444444449</v>
      </c>
      <c r="O30" s="1542">
        <v>9055.6</v>
      </c>
      <c r="P30" s="1589">
        <f>N30/AM15</f>
        <v>1.2528746934240285</v>
      </c>
      <c r="Q30" s="1580"/>
      <c r="R30" s="4373"/>
      <c r="S30" s="1605">
        <v>26</v>
      </c>
      <c r="T30" s="1598">
        <f>AM15*1.056</f>
        <v>21201.715919999995</v>
      </c>
      <c r="U30" s="1542">
        <f>S30*T30*12/1000</f>
        <v>6614.9353670399987</v>
      </c>
      <c r="V30" s="1589">
        <f>T30/AM15</f>
        <v>1.056</v>
      </c>
      <c r="W30" s="1593"/>
      <c r="X30" s="1600">
        <v>25</v>
      </c>
      <c r="Y30" s="1598">
        <f t="shared" si="4"/>
        <v>21835.333333333336</v>
      </c>
      <c r="Z30" s="1542">
        <v>3275.3</v>
      </c>
      <c r="AA30" s="1589">
        <f>Y30/BB15</f>
        <v>0.9662474115678098</v>
      </c>
      <c r="AB30" s="1580"/>
      <c r="AC30" s="575"/>
      <c r="AD30" s="575"/>
      <c r="AE30" s="575"/>
      <c r="AF30" s="575"/>
      <c r="AG30" s="575"/>
      <c r="AH30" s="575"/>
      <c r="AI30" s="575"/>
      <c r="AJ30" s="575"/>
      <c r="AK30" s="575"/>
      <c r="AL30" s="1600">
        <v>25</v>
      </c>
      <c r="AM30" s="1598">
        <f t="shared" si="5"/>
        <v>22584.444444444445</v>
      </c>
      <c r="AN30" s="1542">
        <v>5081.5</v>
      </c>
      <c r="AO30" s="1589">
        <f>AM30/BB15</f>
        <v>0.99939674164846481</v>
      </c>
      <c r="AP30" s="1580"/>
      <c r="AQ30" s="1600">
        <v>25</v>
      </c>
      <c r="AR30" s="1598">
        <f t="shared" si="6"/>
        <v>23072.333333333332</v>
      </c>
      <c r="AS30" s="1542">
        <v>6921.7</v>
      </c>
      <c r="AT30" s="1589">
        <f t="shared" si="11"/>
        <v>1.0882295291754545</v>
      </c>
      <c r="AU30" s="1600">
        <v>30</v>
      </c>
      <c r="AV30" s="1598">
        <f t="shared" si="7"/>
        <v>25154.444444444449</v>
      </c>
      <c r="AW30" s="1542">
        <v>9055.6</v>
      </c>
      <c r="AX30" s="1589">
        <f t="shared" si="12"/>
        <v>1.1864343687727543</v>
      </c>
      <c r="AY30" s="1604">
        <f>AV30/BB15</f>
        <v>1.1131232330109022</v>
      </c>
      <c r="AZ30" s="1603">
        <f>BA15</f>
        <v>26</v>
      </c>
      <c r="BA30" s="1598">
        <f>AV30</f>
        <v>25154.444444444449</v>
      </c>
      <c r="BB30" s="1542">
        <f>AZ30*BA30*12/1000</f>
        <v>7848.1866666666683</v>
      </c>
      <c r="BC30" s="1589">
        <f t="shared" si="8"/>
        <v>1.1864343687727543</v>
      </c>
      <c r="BD30" s="1580"/>
      <c r="BE30" s="1600">
        <v>25</v>
      </c>
      <c r="BF30" s="1598">
        <f t="shared" si="9"/>
        <v>22802.666666666668</v>
      </c>
      <c r="BG30" s="1542">
        <v>3420.4</v>
      </c>
      <c r="BH30" s="1589">
        <f t="shared" si="13"/>
        <v>0.90650647113388394</v>
      </c>
      <c r="BI30" s="1600">
        <v>25</v>
      </c>
      <c r="BJ30" s="1598">
        <f t="shared" si="10"/>
        <v>23330.666666666664</v>
      </c>
      <c r="BK30" s="1542">
        <v>5249.4</v>
      </c>
      <c r="BL30" s="1589">
        <f t="shared" si="14"/>
        <v>0.92749679756172954</v>
      </c>
      <c r="BM30" s="1587">
        <f t="shared" si="15"/>
        <v>25</v>
      </c>
      <c r="BN30" s="1598">
        <f t="shared" si="19"/>
        <v>24386.666666666661</v>
      </c>
      <c r="BO30" s="1514">
        <f t="shared" si="16"/>
        <v>1828.9999999999995</v>
      </c>
      <c r="BP30" s="1600">
        <v>30</v>
      </c>
      <c r="BQ30" s="1598">
        <f t="shared" si="20"/>
        <v>27669.888888888898</v>
      </c>
      <c r="BR30" s="1542">
        <f>BP30*BQ30*12/1000</f>
        <v>9961.1600000000035</v>
      </c>
      <c r="BS30" s="1589">
        <f t="shared" si="17"/>
        <v>1.1000000000000001</v>
      </c>
      <c r="BT30" s="1600">
        <f>AQ30</f>
        <v>25</v>
      </c>
      <c r="BU30" s="1598">
        <f>BN30*1.074</f>
        <v>26191.279999999995</v>
      </c>
      <c r="BV30" s="1542">
        <f>BT30*BU30*12/1000</f>
        <v>7857.3839999999982</v>
      </c>
      <c r="BW30" s="1589">
        <f t="shared" si="18"/>
        <v>1.0412187817483101</v>
      </c>
      <c r="BX30" s="1368">
        <f t="shared" si="23"/>
        <v>1.1226117270545204</v>
      </c>
      <c r="BY30" s="4387"/>
      <c r="BZ30" s="4388"/>
      <c r="CA30" s="4388"/>
      <c r="CB30" s="4389"/>
    </row>
    <row r="31" spans="1:80" ht="37.5" customHeight="1" x14ac:dyDescent="0.2">
      <c r="A31" s="1595" t="s">
        <v>194</v>
      </c>
      <c r="B31" s="1596" t="s">
        <v>92</v>
      </c>
      <c r="C31" s="1597">
        <v>384</v>
      </c>
      <c r="D31" s="1598">
        <v>11838</v>
      </c>
      <c r="E31" s="1539">
        <v>54547.199999999997</v>
      </c>
      <c r="F31" s="1599">
        <v>369</v>
      </c>
      <c r="G31" s="1598">
        <v>12231</v>
      </c>
      <c r="H31" s="1547">
        <f>F31*G31*12/1000</f>
        <v>54158.868000000002</v>
      </c>
      <c r="I31" s="1600">
        <v>364</v>
      </c>
      <c r="J31" s="1598">
        <v>13021</v>
      </c>
      <c r="K31" s="1588">
        <f>J31/G31</f>
        <v>1.0645899762897555</v>
      </c>
      <c r="L31" s="1547">
        <v>56876.800000000003</v>
      </c>
      <c r="M31" s="1600">
        <v>49</v>
      </c>
      <c r="N31" s="1598">
        <f t="shared" si="3"/>
        <v>30026.530612244896</v>
      </c>
      <c r="O31" s="1542">
        <v>17655.599999999999</v>
      </c>
      <c r="P31" s="1589">
        <f>N31/AM16</f>
        <v>1.1443255630726537</v>
      </c>
      <c r="Q31" s="1580"/>
      <c r="R31" s="4373"/>
      <c r="S31" s="1605">
        <v>48</v>
      </c>
      <c r="T31" s="1598">
        <f>AM16*1.056</f>
        <v>27708.912</v>
      </c>
      <c r="U31" s="1542">
        <f>S31*T31*12/1000</f>
        <v>15960.333312000001</v>
      </c>
      <c r="V31" s="1589">
        <f>T31/AM16</f>
        <v>1.056</v>
      </c>
      <c r="W31" s="1593"/>
      <c r="X31" s="1600">
        <v>49</v>
      </c>
      <c r="Y31" s="1598">
        <f t="shared" si="4"/>
        <v>23665.306122448983</v>
      </c>
      <c r="Z31" s="1542">
        <v>6957.6</v>
      </c>
      <c r="AA31" s="1589">
        <f>Y31/BB16</f>
        <v>0.90954964376756653</v>
      </c>
      <c r="AB31" s="1580"/>
      <c r="AC31" s="575"/>
      <c r="AD31" s="575"/>
      <c r="AE31" s="575"/>
      <c r="AF31" s="575"/>
      <c r="AG31" s="575"/>
      <c r="AH31" s="575"/>
      <c r="AI31" s="575"/>
      <c r="AJ31" s="575"/>
      <c r="AK31" s="575"/>
      <c r="AL31" s="1600">
        <v>49</v>
      </c>
      <c r="AM31" s="1598">
        <f t="shared" si="5"/>
        <v>24274.149659863946</v>
      </c>
      <c r="AN31" s="1542">
        <v>10704.9</v>
      </c>
      <c r="AO31" s="1589">
        <f>AM31/BB16</f>
        <v>0.93294986600431395</v>
      </c>
      <c r="AP31" s="1580"/>
      <c r="AQ31" s="1600">
        <v>49</v>
      </c>
      <c r="AR31" s="1598">
        <f t="shared" si="6"/>
        <v>24466.496598639456</v>
      </c>
      <c r="AS31" s="1542">
        <v>14386.3</v>
      </c>
      <c r="AT31" s="1589">
        <f t="shared" si="11"/>
        <v>0.88298294060190652</v>
      </c>
      <c r="AU31" s="1600">
        <v>49</v>
      </c>
      <c r="AV31" s="1598">
        <f t="shared" si="7"/>
        <v>30026.530612244896</v>
      </c>
      <c r="AW31" s="1542">
        <v>17655.599999999999</v>
      </c>
      <c r="AX31" s="1589">
        <f t="shared" si="12"/>
        <v>1.0836416316975888</v>
      </c>
      <c r="AY31" s="1604">
        <f>AV31/BB16</f>
        <v>1.1540362115170926</v>
      </c>
      <c r="AZ31" s="1603">
        <f>BA16</f>
        <v>49</v>
      </c>
      <c r="BA31" s="1598">
        <f>AV31</f>
        <v>30026.530612244896</v>
      </c>
      <c r="BB31" s="1542">
        <f>AZ31*BA31*12/1000</f>
        <v>17655.599999999999</v>
      </c>
      <c r="BC31" s="1589">
        <f t="shared" si="8"/>
        <v>1.0836416316975888</v>
      </c>
      <c r="BD31" s="1580"/>
      <c r="BE31" s="1600">
        <v>49</v>
      </c>
      <c r="BF31" s="1598">
        <f t="shared" si="9"/>
        <v>24546.938775510203</v>
      </c>
      <c r="BG31" s="1542">
        <v>7216.8</v>
      </c>
      <c r="BH31" s="1589">
        <f t="shared" si="13"/>
        <v>0.81750832597023038</v>
      </c>
      <c r="BI31" s="1600">
        <v>49</v>
      </c>
      <c r="BJ31" s="1598">
        <f t="shared" si="10"/>
        <v>25629.25170068027</v>
      </c>
      <c r="BK31" s="1542">
        <v>11302.5</v>
      </c>
      <c r="BL31" s="1589">
        <f t="shared" si="14"/>
        <v>0.85355354675003958</v>
      </c>
      <c r="BM31" s="1587">
        <f t="shared" si="15"/>
        <v>49</v>
      </c>
      <c r="BN31" s="1598">
        <f t="shared" si="19"/>
        <v>27793.877551020403</v>
      </c>
      <c r="BO31" s="1514">
        <f t="shared" si="16"/>
        <v>4085.7</v>
      </c>
      <c r="BP31" s="1600">
        <v>49</v>
      </c>
      <c r="BQ31" s="1598">
        <f t="shared" si="20"/>
        <v>33029.183673469386</v>
      </c>
      <c r="BR31" s="1542">
        <f>BP31*BQ31*12/1000</f>
        <v>19421.16</v>
      </c>
      <c r="BS31" s="1589">
        <f t="shared" si="17"/>
        <v>1.1000000000000001</v>
      </c>
      <c r="BT31" s="1600">
        <f t="shared" ref="BT31:BT33" si="24">AQ31</f>
        <v>49</v>
      </c>
      <c r="BU31" s="1598">
        <f t="shared" ref="BU31:BU33" si="25">BN31*1.074</f>
        <v>29850.624489795915</v>
      </c>
      <c r="BV31" s="1542">
        <f>BT31*BU31*12/1000</f>
        <v>17552.1672</v>
      </c>
      <c r="BW31" s="1589">
        <f t="shared" si="18"/>
        <v>0.99414164344457279</v>
      </c>
      <c r="BX31" s="1368">
        <f t="shared" si="23"/>
        <v>1.1647091705374917</v>
      </c>
      <c r="BY31" s="4387"/>
      <c r="BZ31" s="4388"/>
      <c r="CA31" s="4388"/>
      <c r="CB31" s="4389"/>
    </row>
    <row r="32" spans="1:80" ht="75" x14ac:dyDescent="0.2">
      <c r="A32" s="1595" t="s">
        <v>203</v>
      </c>
      <c r="B32" s="1596" t="s">
        <v>205</v>
      </c>
      <c r="C32" s="1597"/>
      <c r="D32" s="1598"/>
      <c r="E32" s="1539"/>
      <c r="F32" s="1599"/>
      <c r="G32" s="1598"/>
      <c r="H32" s="1547"/>
      <c r="I32" s="1600"/>
      <c r="J32" s="1598"/>
      <c r="K32" s="1588"/>
      <c r="L32" s="1547"/>
      <c r="M32" s="1600">
        <v>7</v>
      </c>
      <c r="N32" s="1598">
        <f t="shared" si="3"/>
        <v>31347.619047619046</v>
      </c>
      <c r="O32" s="1542">
        <v>2633.2</v>
      </c>
      <c r="P32" s="1589">
        <f>N32/AM17</f>
        <v>1.2757479654799539</v>
      </c>
      <c r="Q32" s="1580"/>
      <c r="R32" s="4373"/>
      <c r="S32" s="1606">
        <v>7</v>
      </c>
      <c r="T32" s="1598">
        <f>AM17*1.056</f>
        <v>25947.982367999997</v>
      </c>
      <c r="U32" s="1542">
        <f>S32*T32*12/1000</f>
        <v>2179.6305189119998</v>
      </c>
      <c r="V32" s="1589">
        <f>T32/AM17</f>
        <v>1.056</v>
      </c>
      <c r="W32" s="1593"/>
      <c r="X32" s="1600">
        <v>4</v>
      </c>
      <c r="Y32" s="1598">
        <f t="shared" si="4"/>
        <v>22329.166666666664</v>
      </c>
      <c r="Z32" s="1542">
        <v>535.9</v>
      </c>
      <c r="AA32" s="1589">
        <f>Y32/BB17</f>
        <v>0.91450511945392476</v>
      </c>
      <c r="AB32" s="1580"/>
      <c r="AC32" s="575"/>
      <c r="AD32" s="575"/>
      <c r="AE32" s="575"/>
      <c r="AF32" s="575"/>
      <c r="AG32" s="575"/>
      <c r="AH32" s="575"/>
      <c r="AI32" s="575"/>
      <c r="AJ32" s="575"/>
      <c r="AK32" s="575"/>
      <c r="AL32" s="1600">
        <v>4</v>
      </c>
      <c r="AM32" s="1598">
        <f t="shared" si="5"/>
        <v>23575.000000000004</v>
      </c>
      <c r="AN32" s="1542">
        <v>848.7</v>
      </c>
      <c r="AO32" s="1589">
        <f>AM32/BB17</f>
        <v>0.96552901023890791</v>
      </c>
      <c r="AP32" s="1580"/>
      <c r="AQ32" s="1600">
        <v>4</v>
      </c>
      <c r="AR32" s="1598">
        <f t="shared" si="6"/>
        <v>24131.249999999996</v>
      </c>
      <c r="AS32" s="1542">
        <v>1158.3</v>
      </c>
      <c r="AT32" s="1589">
        <f t="shared" si="11"/>
        <v>0.92998560187706691</v>
      </c>
      <c r="AU32" s="1600">
        <v>7</v>
      </c>
      <c r="AV32" s="1598">
        <f t="shared" si="7"/>
        <v>31347.619047619046</v>
      </c>
      <c r="AW32" s="1542">
        <v>2633.2</v>
      </c>
      <c r="AX32" s="1589">
        <f t="shared" si="12"/>
        <v>1.2080946642802595</v>
      </c>
      <c r="AY32" s="1604">
        <f>AV32/BB17</f>
        <v>1.283861530960507</v>
      </c>
      <c r="AZ32" s="1603">
        <f>BA17</f>
        <v>6</v>
      </c>
      <c r="BA32" s="1598">
        <f>AV32</f>
        <v>31347.619047619046</v>
      </c>
      <c r="BB32" s="1542">
        <f>AZ32*BA32*12/1000</f>
        <v>2257.028571428571</v>
      </c>
      <c r="BC32" s="1589">
        <f t="shared" si="8"/>
        <v>1.2080946642802595</v>
      </c>
      <c r="BD32" s="1580"/>
      <c r="BE32" s="1600">
        <v>5</v>
      </c>
      <c r="BF32" s="1598">
        <f t="shared" si="9"/>
        <v>22876.666666666664</v>
      </c>
      <c r="BG32" s="1542">
        <v>686.3</v>
      </c>
      <c r="BH32" s="1589">
        <f t="shared" si="13"/>
        <v>0.72977365942579364</v>
      </c>
      <c r="BI32" s="1600">
        <v>4</v>
      </c>
      <c r="BJ32" s="1598">
        <f t="shared" si="10"/>
        <v>31052.777777777781</v>
      </c>
      <c r="BK32" s="1542">
        <v>1117.9000000000001</v>
      </c>
      <c r="BL32" s="1589">
        <f t="shared" si="14"/>
        <v>0.99059446047901178</v>
      </c>
      <c r="BM32" s="1587">
        <f t="shared" si="15"/>
        <v>4.5</v>
      </c>
      <c r="BN32" s="1598">
        <f t="shared" si="19"/>
        <v>31970.37037037038</v>
      </c>
      <c r="BO32" s="1514">
        <f t="shared" si="16"/>
        <v>431.60000000000014</v>
      </c>
      <c r="BP32" s="1600">
        <v>7</v>
      </c>
      <c r="BQ32" s="1598">
        <f t="shared" si="20"/>
        <v>34482.380952380954</v>
      </c>
      <c r="BR32" s="1542">
        <f>BP32*BQ32*12/1000</f>
        <v>2896.52</v>
      </c>
      <c r="BS32" s="1589">
        <f t="shared" si="17"/>
        <v>1.1000000000000001</v>
      </c>
      <c r="BT32" s="1600">
        <f t="shared" si="24"/>
        <v>4</v>
      </c>
      <c r="BU32" s="1598">
        <f t="shared" si="25"/>
        <v>34336.17777777779</v>
      </c>
      <c r="BV32" s="1542">
        <f>BT32*BU32*12/1000</f>
        <v>1648.136533333334</v>
      </c>
      <c r="BW32" s="1589">
        <f t="shared" si="18"/>
        <v>1.0953360676489954</v>
      </c>
      <c r="BX32" s="1368">
        <f t="shared" si="23"/>
        <v>1.1057361123535203</v>
      </c>
      <c r="BY32" s="4387"/>
      <c r="BZ32" s="4388"/>
      <c r="CA32" s="4388"/>
      <c r="CB32" s="4389"/>
    </row>
    <row r="33" spans="1:80" ht="24.95" customHeight="1" thickBot="1" x14ac:dyDescent="0.25">
      <c r="A33" s="1607" t="s">
        <v>204</v>
      </c>
      <c r="B33" s="1608" t="s">
        <v>89</v>
      </c>
      <c r="C33" s="1609"/>
      <c r="D33" s="1610"/>
      <c r="E33" s="1611"/>
      <c r="F33" s="1612"/>
      <c r="G33" s="1610"/>
      <c r="H33" s="1613"/>
      <c r="I33" s="1614"/>
      <c r="J33" s="1610"/>
      <c r="K33" s="1615"/>
      <c r="L33" s="1613"/>
      <c r="M33" s="1614">
        <v>19</v>
      </c>
      <c r="N33" s="1610">
        <f t="shared" si="3"/>
        <v>29728.508771929824</v>
      </c>
      <c r="O33" s="1616">
        <v>6778.1</v>
      </c>
      <c r="P33" s="1617">
        <f>N33/AM18</f>
        <v>1.3130421604372358</v>
      </c>
      <c r="Q33" s="1618"/>
      <c r="R33" s="4373"/>
      <c r="S33" s="1619">
        <v>15</v>
      </c>
      <c r="T33" s="1610">
        <f>AM18*1.056</f>
        <v>23908.832640000001</v>
      </c>
      <c r="U33" s="1616">
        <f>S33*T33*12/1000</f>
        <v>4303.5898752000003</v>
      </c>
      <c r="V33" s="1617">
        <f>T33/AM18</f>
        <v>1.056</v>
      </c>
      <c r="W33" s="1620"/>
      <c r="X33" s="1614">
        <v>17</v>
      </c>
      <c r="Y33" s="1610">
        <f t="shared" si="4"/>
        <v>22040.196078431374</v>
      </c>
      <c r="Z33" s="1616">
        <v>2248.1</v>
      </c>
      <c r="AA33" s="1617">
        <f>Y33/BB18</f>
        <v>0.8998158821645853</v>
      </c>
      <c r="AB33" s="1618"/>
      <c r="AC33" s="575"/>
      <c r="AD33" s="575"/>
      <c r="AE33" s="575"/>
      <c r="AF33" s="575"/>
      <c r="AG33" s="575"/>
      <c r="AH33" s="575"/>
      <c r="AI33" s="575"/>
      <c r="AJ33" s="575"/>
      <c r="AK33" s="575"/>
      <c r="AL33" s="1614">
        <v>16</v>
      </c>
      <c r="AM33" s="1610">
        <f t="shared" si="5"/>
        <v>24753.472222222223</v>
      </c>
      <c r="AN33" s="1616">
        <v>3564.5</v>
      </c>
      <c r="AO33" s="1617">
        <f>AM33/BB18</f>
        <v>1.0105884432703596</v>
      </c>
      <c r="AP33" s="1618"/>
      <c r="AQ33" s="1614">
        <v>16</v>
      </c>
      <c r="AR33" s="1610">
        <f t="shared" si="6"/>
        <v>24427.083333333332</v>
      </c>
      <c r="AS33" s="1616">
        <v>4690</v>
      </c>
      <c r="AT33" s="1617">
        <f t="shared" si="11"/>
        <v>1.0216761186602765</v>
      </c>
      <c r="AU33" s="1614">
        <v>19</v>
      </c>
      <c r="AV33" s="1610">
        <f t="shared" si="7"/>
        <v>29728.508771929824</v>
      </c>
      <c r="AW33" s="1616">
        <v>6778.1</v>
      </c>
      <c r="AX33" s="1617">
        <f t="shared" si="12"/>
        <v>1.2434111367776852</v>
      </c>
      <c r="AY33" s="1621">
        <f>AV33/BB18</f>
        <v>1.2136999258472789</v>
      </c>
      <c r="AZ33" s="1622">
        <f>BA18</f>
        <v>17</v>
      </c>
      <c r="BA33" s="1610">
        <f>AV33</f>
        <v>29728.508771929824</v>
      </c>
      <c r="BB33" s="1616">
        <f>AZ33*BA33*12/1000</f>
        <v>6064.6157894736843</v>
      </c>
      <c r="BC33" s="1617">
        <f t="shared" si="8"/>
        <v>1.2434111367776852</v>
      </c>
      <c r="BD33" s="1618"/>
      <c r="BE33" s="1614">
        <v>15</v>
      </c>
      <c r="BF33" s="1610">
        <f t="shared" si="9"/>
        <v>24044.444444444449</v>
      </c>
      <c r="BG33" s="1616">
        <v>2164</v>
      </c>
      <c r="BH33" s="1617">
        <f t="shared" si="13"/>
        <v>0.80880089307229674</v>
      </c>
      <c r="BI33" s="1614">
        <v>16</v>
      </c>
      <c r="BJ33" s="1610">
        <f t="shared" si="10"/>
        <v>23187.5</v>
      </c>
      <c r="BK33" s="1616">
        <v>3339</v>
      </c>
      <c r="BL33" s="1617">
        <f t="shared" si="14"/>
        <v>0.77997521429309102</v>
      </c>
      <c r="BM33" s="1587">
        <f t="shared" si="15"/>
        <v>15.5</v>
      </c>
      <c r="BN33" s="1598">
        <f t="shared" si="19"/>
        <v>25268.817204301075</v>
      </c>
      <c r="BO33" s="1514">
        <f t="shared" si="16"/>
        <v>1175</v>
      </c>
      <c r="BP33" s="1614">
        <v>19</v>
      </c>
      <c r="BQ33" s="1610">
        <f t="shared" si="20"/>
        <v>32701.359649122809</v>
      </c>
      <c r="BR33" s="1616">
        <f>BP33*BQ33*12/1000</f>
        <v>7455.91</v>
      </c>
      <c r="BS33" s="1617">
        <f t="shared" si="17"/>
        <v>1.1000000000000001</v>
      </c>
      <c r="BT33" s="1614">
        <f t="shared" si="24"/>
        <v>16</v>
      </c>
      <c r="BU33" s="1598">
        <f t="shared" si="25"/>
        <v>27138.709677419356</v>
      </c>
      <c r="BV33" s="1616">
        <f>BT33*BU33*12/1000</f>
        <v>5210.6322580645156</v>
      </c>
      <c r="BW33" s="1617">
        <f t="shared" si="18"/>
        <v>0.91288499822245361</v>
      </c>
      <c r="BX33" s="1368">
        <f t="shared" si="23"/>
        <v>1.1704025736892445</v>
      </c>
      <c r="BY33" s="4387"/>
      <c r="BZ33" s="4388"/>
      <c r="CA33" s="4388"/>
      <c r="CB33" s="4389"/>
    </row>
    <row r="34" spans="1:80" ht="19.5" thickBot="1" x14ac:dyDescent="0.25">
      <c r="A34" s="3846" t="s">
        <v>853</v>
      </c>
      <c r="B34" s="4393"/>
      <c r="C34" s="4393"/>
      <c r="D34" s="4393"/>
      <c r="E34" s="4393"/>
      <c r="F34" s="4393"/>
      <c r="G34" s="4393"/>
      <c r="H34" s="4393"/>
      <c r="I34" s="4393"/>
      <c r="J34" s="4393"/>
      <c r="K34" s="4393"/>
      <c r="L34" s="4393"/>
      <c r="M34" s="4393"/>
      <c r="N34" s="4393"/>
      <c r="O34" s="4393"/>
      <c r="P34" s="4393"/>
      <c r="Q34" s="4393"/>
      <c r="R34" s="4393"/>
      <c r="S34" s="4393"/>
      <c r="T34" s="4393"/>
      <c r="U34" s="4393"/>
      <c r="V34" s="4393"/>
      <c r="W34" s="4393"/>
      <c r="X34" s="4393"/>
      <c r="Y34" s="4393"/>
      <c r="Z34" s="4393"/>
      <c r="AA34" s="4393"/>
      <c r="AB34" s="4393"/>
      <c r="AC34" s="4393"/>
      <c r="AD34" s="4393"/>
      <c r="AE34" s="4393"/>
      <c r="AF34" s="4393"/>
      <c r="AG34" s="4393"/>
      <c r="AH34" s="4393"/>
      <c r="AI34" s="4393"/>
      <c r="AJ34" s="4393"/>
      <c r="AK34" s="4393"/>
      <c r="AL34" s="4393"/>
      <c r="AM34" s="4393"/>
      <c r="AN34" s="4393"/>
      <c r="AO34" s="4393"/>
      <c r="AP34" s="4393"/>
      <c r="AQ34" s="4393"/>
      <c r="AR34" s="4393"/>
      <c r="AS34" s="4393"/>
      <c r="AT34" s="4393"/>
      <c r="AU34" s="4393"/>
      <c r="AV34" s="4393"/>
      <c r="AW34" s="4393"/>
      <c r="AX34" s="4393"/>
      <c r="AY34" s="4393"/>
      <c r="AZ34" s="4393"/>
      <c r="BA34" s="4393"/>
      <c r="BB34" s="4393"/>
      <c r="BC34" s="4393"/>
      <c r="BD34" s="4393"/>
      <c r="BE34" s="4393"/>
      <c r="BF34" s="4393"/>
      <c r="BG34" s="4393"/>
      <c r="BH34" s="4393"/>
      <c r="BI34" s="4393"/>
      <c r="BJ34" s="4393"/>
      <c r="BK34" s="4393"/>
      <c r="BL34" s="4393"/>
      <c r="BM34" s="4393"/>
      <c r="BN34" s="4393"/>
      <c r="BO34" s="4393"/>
      <c r="BP34" s="4393"/>
      <c r="BQ34" s="4393"/>
      <c r="BR34" s="4393"/>
      <c r="BS34" s="4393"/>
      <c r="BT34" s="4393"/>
      <c r="BU34" s="4393"/>
      <c r="BV34" s="4393"/>
      <c r="BW34" s="4393"/>
      <c r="BX34" s="4394"/>
      <c r="BY34" s="4387"/>
      <c r="BZ34" s="4388"/>
      <c r="CA34" s="4388"/>
      <c r="CB34" s="4389"/>
    </row>
    <row r="35" spans="1:80" ht="37.5" customHeight="1" x14ac:dyDescent="0.2">
      <c r="A35" s="4395" t="s">
        <v>255</v>
      </c>
      <c r="B35" s="4396"/>
      <c r="C35" s="900"/>
      <c r="D35" s="577"/>
      <c r="E35" s="577"/>
      <c r="F35" s="577"/>
      <c r="G35" s="577"/>
      <c r="H35" s="577"/>
      <c r="I35" s="577"/>
      <c r="J35" s="577"/>
      <c r="K35" s="577"/>
      <c r="L35" s="901"/>
      <c r="M35" s="898"/>
      <c r="N35" s="578">
        <f>(O24+O29)/(M24+M29)/12*1000</f>
        <v>26931.3782051282</v>
      </c>
      <c r="O35" s="577"/>
      <c r="P35" s="576"/>
      <c r="Q35" s="900"/>
      <c r="R35" s="4397"/>
      <c r="S35" s="898"/>
      <c r="T35" s="578">
        <f>(U24+U29)/(S24+S29)/12*1000</f>
        <v>15736.30143528287</v>
      </c>
      <c r="U35" s="577"/>
      <c r="V35" s="577"/>
      <c r="W35" s="576"/>
      <c r="X35" s="923"/>
      <c r="Y35" s="578">
        <f>(Z24+Z29)/(X24+X29)/6*1000</f>
        <v>22071.124261976194</v>
      </c>
      <c r="Z35" s="579"/>
      <c r="AA35" s="576"/>
      <c r="AB35" s="900"/>
      <c r="AC35" s="577"/>
      <c r="AD35" s="577"/>
      <c r="AE35" s="577"/>
      <c r="AF35" s="577"/>
      <c r="AG35" s="577"/>
      <c r="AH35" s="577"/>
      <c r="AI35" s="577"/>
      <c r="AJ35" s="577"/>
      <c r="AK35" s="901"/>
      <c r="AL35" s="923"/>
      <c r="AM35" s="578">
        <f>(AN24+AN29)/(AL24+AL29)/9*1000</f>
        <v>23101.92837465565</v>
      </c>
      <c r="AN35" s="579"/>
      <c r="AO35" s="576"/>
      <c r="AP35" s="895"/>
      <c r="AQ35" s="923"/>
      <c r="AR35" s="578">
        <f>(AS24+AS29)/(AQ24+AQ29)/12*1000</f>
        <v>23276.997245179064</v>
      </c>
      <c r="AS35" s="579"/>
      <c r="AT35" s="897">
        <f t="shared" si="11"/>
        <v>1.4791911136748408</v>
      </c>
      <c r="AU35" s="898"/>
      <c r="AV35" s="578">
        <f>(AW24+AW29)/(AU24+AU29)/12*1000</f>
        <v>25563.717948717946</v>
      </c>
      <c r="AW35" s="577"/>
      <c r="AX35" s="577"/>
      <c r="AY35" s="576"/>
      <c r="AZ35" s="898"/>
      <c r="BA35" s="578">
        <f>(BB24+BB29)/(AZ24+AZ29)/12*1000</f>
        <v>25597.995857856873</v>
      </c>
      <c r="BB35" s="577"/>
      <c r="BC35" s="924">
        <f>BA35/T35</f>
        <v>1.6266843872514274</v>
      </c>
      <c r="BD35" s="896"/>
      <c r="BE35" s="923"/>
      <c r="BF35" s="578">
        <f>(BG24+BG29)/(BE24+BE29)/6*1000</f>
        <v>23259.453781512606</v>
      </c>
      <c r="BG35" s="579"/>
      <c r="BH35" s="897">
        <f t="shared" si="13"/>
        <v>0.90986193120156444</v>
      </c>
      <c r="BI35" s="923"/>
      <c r="BJ35" s="578">
        <f>(BK24+BK29)/(BI24+BI29)/9*1000</f>
        <v>23705.234159779615</v>
      </c>
      <c r="BK35" s="579"/>
      <c r="BL35" s="897">
        <f t="shared" si="14"/>
        <v>0.9260582075023539</v>
      </c>
      <c r="BM35" s="1623"/>
      <c r="BN35" s="578">
        <f>(BO24+BO29)/(BM24+BM29)/3*1000</f>
        <v>25577.083333333336</v>
      </c>
      <c r="BO35" s="1623"/>
      <c r="BP35" s="898"/>
      <c r="BQ35" s="578">
        <f>(BR24+BR29)/(BP24+BP29)/12*1000</f>
        <v>28120.089743589746</v>
      </c>
      <c r="BR35" s="577"/>
      <c r="BS35" s="897">
        <f t="shared" si="17"/>
        <v>1.0985270057756791</v>
      </c>
      <c r="BT35" s="898"/>
      <c r="BU35" s="578">
        <f>(BV24+BV29)/(BT24+BT29)/12*1000</f>
        <v>27456.077812229923</v>
      </c>
      <c r="BV35" s="577"/>
      <c r="BW35" s="897">
        <f t="shared" si="18"/>
        <v>1.0725870089475285</v>
      </c>
      <c r="BX35" s="1368">
        <f t="shared" si="23"/>
        <v>1.1582285003880839</v>
      </c>
      <c r="BY35" s="4387"/>
      <c r="BZ35" s="4388"/>
      <c r="CA35" s="4388"/>
      <c r="CB35" s="4389"/>
    </row>
    <row r="36" spans="1:80" ht="37.5" customHeight="1" x14ac:dyDescent="0.2">
      <c r="A36" s="4399" t="s">
        <v>253</v>
      </c>
      <c r="B36" s="4400"/>
      <c r="C36" s="1624"/>
      <c r="D36" s="1625"/>
      <c r="E36" s="1625"/>
      <c r="F36" s="1625"/>
      <c r="G36" s="1625"/>
      <c r="H36" s="1625"/>
      <c r="I36" s="1625"/>
      <c r="J36" s="1625"/>
      <c r="K36" s="1625"/>
      <c r="L36" s="1593"/>
      <c r="M36" s="1626"/>
      <c r="N36" s="1627">
        <f>N24</f>
        <v>25754.516129032254</v>
      </c>
      <c r="O36" s="1625"/>
      <c r="P36" s="1604">
        <f>N36/AM8</f>
        <v>2.7583455187985857</v>
      </c>
      <c r="Q36" s="1624"/>
      <c r="R36" s="4397"/>
      <c r="S36" s="1626"/>
      <c r="T36" s="1627">
        <f>T24</f>
        <v>9859.8122849032261</v>
      </c>
      <c r="U36" s="1625"/>
      <c r="V36" s="1421">
        <f>T36/AM8</f>
        <v>1.056</v>
      </c>
      <c r="W36" s="1580"/>
      <c r="X36" s="1628"/>
      <c r="Y36" s="1627">
        <f>Y24</f>
        <v>21580.822040944742</v>
      </c>
      <c r="Z36" s="1598"/>
      <c r="AA36" s="1594">
        <f>Y36/T36</f>
        <v>2.1887660147433077</v>
      </c>
      <c r="AB36" s="1624"/>
      <c r="AC36" s="1625"/>
      <c r="AD36" s="1625"/>
      <c r="AE36" s="1625"/>
      <c r="AF36" s="1625"/>
      <c r="AG36" s="1625"/>
      <c r="AH36" s="1625"/>
      <c r="AI36" s="1625"/>
      <c r="AJ36" s="1625"/>
      <c r="AK36" s="1593"/>
      <c r="AL36" s="1628"/>
      <c r="AM36" s="1627">
        <f>AM24</f>
        <v>22609.909909909911</v>
      </c>
      <c r="AN36" s="1598"/>
      <c r="AO36" s="1594">
        <f>AM36/T36</f>
        <v>2.2931379682074575</v>
      </c>
      <c r="AP36" s="1629"/>
      <c r="AQ36" s="1628"/>
      <c r="AR36" s="1627">
        <f>AR24</f>
        <v>22770.326576576579</v>
      </c>
      <c r="AS36" s="1598"/>
      <c r="AT36" s="1589">
        <f t="shared" si="11"/>
        <v>2.3094077167616249</v>
      </c>
      <c r="AU36" s="1626"/>
      <c r="AV36" s="1627">
        <f>AV24</f>
        <v>23460.37634408602</v>
      </c>
      <c r="AW36" s="1625"/>
      <c r="AX36" s="1421">
        <f>AV36/T36</f>
        <v>2.3793938125989671</v>
      </c>
      <c r="AY36" s="1580"/>
      <c r="AZ36" s="1626"/>
      <c r="BA36" s="1627">
        <f>BA24</f>
        <v>23530.113691896189</v>
      </c>
      <c r="BB36" s="1625"/>
      <c r="BC36" s="1604">
        <f>BA36/T36</f>
        <v>2.3864667005805109</v>
      </c>
      <c r="BD36" s="1630"/>
      <c r="BE36" s="1628"/>
      <c r="BF36" s="1627">
        <f>BF24</f>
        <v>22832.175925925923</v>
      </c>
      <c r="BG36" s="1598"/>
      <c r="BH36" s="1589">
        <f t="shared" si="13"/>
        <v>0.9732229181260148</v>
      </c>
      <c r="BI36" s="1628"/>
      <c r="BJ36" s="1627">
        <f>BJ24</f>
        <v>22988.888888888887</v>
      </c>
      <c r="BK36" s="1598"/>
      <c r="BL36" s="1589">
        <f t="shared" si="14"/>
        <v>0.9769986320468268</v>
      </c>
      <c r="BM36" s="1631"/>
      <c r="BN36" s="1627">
        <f>BN24</f>
        <v>24872.602739726019</v>
      </c>
      <c r="BO36" s="1631"/>
      <c r="BP36" s="1626"/>
      <c r="BQ36" s="1627">
        <f>BQ24</f>
        <v>25806.413978494627</v>
      </c>
      <c r="BR36" s="1625"/>
      <c r="BS36" s="1589">
        <f t="shared" si="17"/>
        <v>1.0967398762455789</v>
      </c>
      <c r="BT36" s="1626"/>
      <c r="BU36" s="1627">
        <f>BU24</f>
        <v>26725.298409525822</v>
      </c>
      <c r="BV36" s="1625"/>
      <c r="BW36" s="1589">
        <f t="shared" si="18"/>
        <v>1.1357912995860304</v>
      </c>
      <c r="BX36" s="1368">
        <f t="shared" si="23"/>
        <v>1.1625311052959517</v>
      </c>
      <c r="BY36" s="4387"/>
      <c r="BZ36" s="4388"/>
      <c r="CA36" s="4388"/>
      <c r="CB36" s="4389"/>
    </row>
    <row r="37" spans="1:80" ht="37.5" customHeight="1" thickBot="1" x14ac:dyDescent="0.25">
      <c r="A37" s="580" t="s">
        <v>254</v>
      </c>
      <c r="B37" s="581"/>
      <c r="C37" s="899"/>
      <c r="D37" s="1632"/>
      <c r="E37" s="1632"/>
      <c r="F37" s="1632"/>
      <c r="G37" s="1632"/>
      <c r="H37" s="1632"/>
      <c r="I37" s="1632"/>
      <c r="J37" s="1632"/>
      <c r="K37" s="1632"/>
      <c r="L37" s="1633"/>
      <c r="M37" s="580"/>
      <c r="N37" s="1634">
        <f>N29</f>
        <v>28668.650793650795</v>
      </c>
      <c r="O37" s="1632"/>
      <c r="P37" s="917">
        <f>N37/AM14</f>
        <v>1.2088032234986785</v>
      </c>
      <c r="Q37" s="899"/>
      <c r="R37" s="4398"/>
      <c r="S37" s="580"/>
      <c r="T37" s="1634">
        <f>T29</f>
        <v>25224.382875999996</v>
      </c>
      <c r="U37" s="1632"/>
      <c r="V37" s="1635">
        <f>T37/AM14</f>
        <v>1.0635769206839176</v>
      </c>
      <c r="W37" s="581"/>
      <c r="X37" s="918"/>
      <c r="Y37" s="1634">
        <f>Y29</f>
        <v>22836.666666666668</v>
      </c>
      <c r="Z37" s="1636"/>
      <c r="AA37" s="919">
        <f>Y37/T37</f>
        <v>0.90534094645363372</v>
      </c>
      <c r="AB37" s="899"/>
      <c r="AC37" s="1632"/>
      <c r="AD37" s="1632"/>
      <c r="AE37" s="1632"/>
      <c r="AF37" s="1632"/>
      <c r="AG37" s="1632"/>
      <c r="AH37" s="1632"/>
      <c r="AI37" s="1632"/>
      <c r="AJ37" s="1632"/>
      <c r="AK37" s="1633"/>
      <c r="AL37" s="918"/>
      <c r="AM37" s="1634">
        <f>AM29</f>
        <v>23876.59574468085</v>
      </c>
      <c r="AN37" s="1636"/>
      <c r="AO37" s="919">
        <f>AM37/T37</f>
        <v>0.94656808303518447</v>
      </c>
      <c r="AP37" s="893"/>
      <c r="AQ37" s="918"/>
      <c r="AR37" s="1634">
        <f>AR29</f>
        <v>24074.734042553187</v>
      </c>
      <c r="AS37" s="1636"/>
      <c r="AT37" s="1637">
        <f t="shared" si="11"/>
        <v>0.95442311357632248</v>
      </c>
      <c r="AU37" s="580"/>
      <c r="AV37" s="1634">
        <f>AV29</f>
        <v>28668.650793650795</v>
      </c>
      <c r="AW37" s="1632"/>
      <c r="AX37" s="1635">
        <f>AV37/T37</f>
        <v>1.1365451806921265</v>
      </c>
      <c r="AY37" s="581"/>
      <c r="AZ37" s="580"/>
      <c r="BA37" s="1634">
        <f>BA29</f>
        <v>28763.121622082414</v>
      </c>
      <c r="BB37" s="1632"/>
      <c r="BC37" s="917">
        <f>BA37/T37</f>
        <v>1.1402903993123807</v>
      </c>
      <c r="BD37" s="894"/>
      <c r="BE37" s="918"/>
      <c r="BF37" s="1634">
        <f>BF29</f>
        <v>23914.007092198586</v>
      </c>
      <c r="BG37" s="1636"/>
      <c r="BH37" s="1637">
        <f t="shared" si="13"/>
        <v>0.83415181496768542</v>
      </c>
      <c r="BI37" s="918"/>
      <c r="BJ37" s="1634">
        <f>BJ29</f>
        <v>24833.096926713952</v>
      </c>
      <c r="BK37" s="1636"/>
      <c r="BL37" s="1637">
        <f t="shared" si="14"/>
        <v>0.86336584926334103</v>
      </c>
      <c r="BM37" s="1638"/>
      <c r="BN37" s="1634">
        <f>BN29</f>
        <v>26671.27659574469</v>
      </c>
      <c r="BO37" s="1638"/>
      <c r="BP37" s="580"/>
      <c r="BQ37" s="1634">
        <f>BQ29</f>
        <v>31535.515873015873</v>
      </c>
      <c r="BR37" s="1632"/>
      <c r="BS37" s="1637">
        <f t="shared" si="17"/>
        <v>1.0963871128926772</v>
      </c>
      <c r="BT37" s="580"/>
      <c r="BU37" s="1634">
        <f>BU29</f>
        <v>28606.666659040642</v>
      </c>
      <c r="BV37" s="1632"/>
      <c r="BW37" s="1637">
        <f t="shared" si="18"/>
        <v>0.99456057082060056</v>
      </c>
      <c r="BX37" s="1368">
        <f t="shared" si="23"/>
        <v>1.1519572747395559</v>
      </c>
      <c r="BY37" s="4390"/>
      <c r="BZ37" s="4391"/>
      <c r="CA37" s="4391"/>
      <c r="CB37" s="4392"/>
    </row>
    <row r="40" spans="1:80" ht="50.25" customHeight="1" x14ac:dyDescent="0.3">
      <c r="A40" s="4358" t="s">
        <v>1037</v>
      </c>
      <c r="B40" s="4358"/>
      <c r="C40" s="4358"/>
      <c r="D40" s="4358"/>
      <c r="E40" s="4358"/>
      <c r="F40" s="4358"/>
      <c r="G40" s="4358"/>
      <c r="H40" s="4358"/>
      <c r="I40" s="4358"/>
      <c r="J40" s="4358"/>
      <c r="K40" s="4358"/>
      <c r="L40" s="4358"/>
      <c r="M40" s="4358"/>
      <c r="N40" s="4358"/>
      <c r="O40" s="4358"/>
      <c r="P40" s="4358"/>
      <c r="Q40" s="4358"/>
      <c r="R40" s="4358"/>
      <c r="S40" s="4358"/>
      <c r="T40" s="4358"/>
      <c r="U40" s="4358"/>
      <c r="V40" s="4358"/>
      <c r="W40" s="4358"/>
      <c r="X40" s="4358"/>
      <c r="Y40" s="4358"/>
      <c r="Z40" s="4358"/>
      <c r="AA40" s="4358"/>
      <c r="AB40" s="4358"/>
      <c r="AC40" s="4358"/>
      <c r="AD40" s="4358"/>
      <c r="AE40" s="4358"/>
      <c r="AF40" s="4358"/>
      <c r="AG40" s="4358"/>
      <c r="AH40" s="4358"/>
      <c r="AI40" s="4358"/>
      <c r="AJ40" s="4358"/>
      <c r="AK40" s="4358"/>
      <c r="AL40" s="4358"/>
      <c r="AM40" s="4358"/>
      <c r="AN40" s="4358"/>
      <c r="AO40" s="4358"/>
      <c r="AP40" s="4358"/>
      <c r="AQ40" s="4358"/>
      <c r="AR40" s="4358"/>
      <c r="AS40" s="4358"/>
      <c r="AT40" s="4358"/>
      <c r="AU40" s="4358"/>
      <c r="AV40" s="4358"/>
      <c r="AW40" s="4358"/>
      <c r="AX40" s="4358"/>
      <c r="AY40" s="4358"/>
      <c r="AZ40" s="4358"/>
      <c r="BA40" s="4358"/>
      <c r="BB40" s="4358"/>
      <c r="BC40" s="4358"/>
      <c r="BD40" s="4358"/>
      <c r="BE40" s="4358"/>
      <c r="BF40" s="4358"/>
      <c r="BG40" s="4358"/>
      <c r="BH40" s="4358"/>
      <c r="BI40" s="4358"/>
      <c r="BJ40" s="4358"/>
      <c r="BK40" s="4358"/>
      <c r="BL40" s="4358"/>
      <c r="BM40" s="4358"/>
      <c r="BN40" s="4358"/>
      <c r="BO40" s="4358"/>
      <c r="BP40" s="4358"/>
      <c r="BQ40" s="4358"/>
      <c r="BR40" s="4358"/>
      <c r="BS40" s="4358"/>
      <c r="BT40" s="4358"/>
      <c r="BU40" s="4358"/>
      <c r="BV40" s="4358"/>
      <c r="BW40" s="4358"/>
      <c r="BX40" s="4358"/>
      <c r="BY40" s="4358"/>
      <c r="BZ40" s="4358"/>
      <c r="CA40" s="4358"/>
      <c r="CB40" s="4358"/>
    </row>
    <row r="47" spans="1:80" x14ac:dyDescent="0.2">
      <c r="BJ47" s="1366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T60"/>
  <sheetViews>
    <sheetView zoomScaleNormal="100" workbookViewId="0">
      <selection activeCell="F53" sqref="F53"/>
    </sheetView>
  </sheetViews>
  <sheetFormatPr defaultRowHeight="15" x14ac:dyDescent="0.25"/>
  <cols>
    <col min="1" max="1" width="18" style="1337" customWidth="1"/>
    <col min="2" max="2" width="21.140625" style="1337" customWidth="1"/>
    <col min="3" max="3" width="8.5703125" style="1337" customWidth="1"/>
    <col min="4" max="4" width="12.85546875" style="1337" customWidth="1"/>
    <col min="5" max="5" width="10.140625" style="1337" customWidth="1"/>
    <col min="6" max="6" width="13.42578125" style="1337" customWidth="1"/>
    <col min="7" max="7" width="9.7109375" style="1337" customWidth="1"/>
    <col min="8" max="8" width="13.140625" style="1337" customWidth="1"/>
    <col min="9" max="9" width="8.7109375" style="1337" customWidth="1"/>
    <col min="10" max="10" width="14" style="1337" customWidth="1"/>
    <col min="11" max="11" width="10.7109375" style="1337" customWidth="1"/>
    <col min="12" max="12" width="13.140625" style="1337" customWidth="1"/>
    <col min="13" max="13" width="10.7109375" style="1337" customWidth="1"/>
    <col min="14" max="14" width="14.140625" style="1337" customWidth="1"/>
    <col min="15" max="15" width="10.7109375" style="1337" customWidth="1"/>
    <col min="16" max="16" width="15" style="1337" customWidth="1"/>
    <col min="17" max="17" width="9.42578125" style="1337" customWidth="1"/>
    <col min="18" max="18" width="14" style="1337" customWidth="1"/>
    <col min="19" max="19" width="8.85546875" style="1337" customWidth="1"/>
    <col min="20" max="20" width="13" style="1337" customWidth="1"/>
    <col min="21" max="248" width="9.140625" style="1337"/>
    <col min="249" max="249" width="18" style="1337" customWidth="1"/>
    <col min="250" max="250" width="21.140625" style="1337" customWidth="1"/>
    <col min="251" max="251" width="13" style="1337" customWidth="1"/>
    <col min="252" max="252" width="14.5703125" style="1337" customWidth="1"/>
    <col min="253" max="253" width="11.5703125" style="1337" customWidth="1"/>
    <col min="254" max="254" width="14.5703125" style="1337" customWidth="1"/>
    <col min="255" max="255" width="13.28515625" style="1337" customWidth="1"/>
    <col min="256" max="256" width="13.42578125" style="1337" customWidth="1"/>
    <col min="257" max="257" width="14.140625" style="1337" customWidth="1"/>
    <col min="258" max="258" width="17.5703125" style="1337" customWidth="1"/>
    <col min="259" max="259" width="16" style="1337" customWidth="1"/>
    <col min="260" max="260" width="19" style="1337" customWidth="1"/>
    <col min="261" max="261" width="14" style="1337" customWidth="1"/>
    <col min="262" max="265" width="19.140625" style="1337" customWidth="1"/>
    <col min="266" max="266" width="15" style="1337" customWidth="1"/>
    <col min="267" max="267" width="22" style="1337" customWidth="1"/>
    <col min="268" max="268" width="19.42578125" style="1337" customWidth="1"/>
    <col min="269" max="269" width="15" style="1337" customWidth="1"/>
    <col min="270" max="270" width="19.28515625" style="1337" customWidth="1"/>
    <col min="271" max="271" width="19.85546875" style="1337" customWidth="1"/>
    <col min="272" max="272" width="19.5703125" style="1337" customWidth="1"/>
    <col min="273" max="273" width="14" style="1337" customWidth="1"/>
    <col min="274" max="274" width="16.42578125" style="1337" customWidth="1"/>
    <col min="275" max="275" width="18.140625" style="1337" customWidth="1"/>
    <col min="276" max="276" width="15.85546875" style="1337" customWidth="1"/>
    <col min="277" max="504" width="9.140625" style="1337"/>
    <col min="505" max="505" width="18" style="1337" customWidth="1"/>
    <col min="506" max="506" width="21.140625" style="1337" customWidth="1"/>
    <col min="507" max="507" width="13" style="1337" customWidth="1"/>
    <col min="508" max="508" width="14.5703125" style="1337" customWidth="1"/>
    <col min="509" max="509" width="11.5703125" style="1337" customWidth="1"/>
    <col min="510" max="510" width="14.5703125" style="1337" customWidth="1"/>
    <col min="511" max="511" width="13.28515625" style="1337" customWidth="1"/>
    <col min="512" max="512" width="13.42578125" style="1337" customWidth="1"/>
    <col min="513" max="513" width="14.140625" style="1337" customWidth="1"/>
    <col min="514" max="514" width="17.5703125" style="1337" customWidth="1"/>
    <col min="515" max="515" width="16" style="1337" customWidth="1"/>
    <col min="516" max="516" width="19" style="1337" customWidth="1"/>
    <col min="517" max="517" width="14" style="1337" customWidth="1"/>
    <col min="518" max="521" width="19.140625" style="1337" customWidth="1"/>
    <col min="522" max="522" width="15" style="1337" customWidth="1"/>
    <col min="523" max="523" width="22" style="1337" customWidth="1"/>
    <col min="524" max="524" width="19.42578125" style="1337" customWidth="1"/>
    <col min="525" max="525" width="15" style="1337" customWidth="1"/>
    <col min="526" max="526" width="19.28515625" style="1337" customWidth="1"/>
    <col min="527" max="527" width="19.85546875" style="1337" customWidth="1"/>
    <col min="528" max="528" width="19.5703125" style="1337" customWidth="1"/>
    <col min="529" max="529" width="14" style="1337" customWidth="1"/>
    <col min="530" max="530" width="16.42578125" style="1337" customWidth="1"/>
    <col min="531" max="531" width="18.140625" style="1337" customWidth="1"/>
    <col min="532" max="532" width="15.85546875" style="1337" customWidth="1"/>
    <col min="533" max="760" width="9.140625" style="1337"/>
    <col min="761" max="761" width="18" style="1337" customWidth="1"/>
    <col min="762" max="762" width="21.140625" style="1337" customWidth="1"/>
    <col min="763" max="763" width="13" style="1337" customWidth="1"/>
    <col min="764" max="764" width="14.5703125" style="1337" customWidth="1"/>
    <col min="765" max="765" width="11.5703125" style="1337" customWidth="1"/>
    <col min="766" max="766" width="14.5703125" style="1337" customWidth="1"/>
    <col min="767" max="767" width="13.28515625" style="1337" customWidth="1"/>
    <col min="768" max="768" width="13.42578125" style="1337" customWidth="1"/>
    <col min="769" max="769" width="14.140625" style="1337" customWidth="1"/>
    <col min="770" max="770" width="17.5703125" style="1337" customWidth="1"/>
    <col min="771" max="771" width="16" style="1337" customWidth="1"/>
    <col min="772" max="772" width="19" style="1337" customWidth="1"/>
    <col min="773" max="773" width="14" style="1337" customWidth="1"/>
    <col min="774" max="777" width="19.140625" style="1337" customWidth="1"/>
    <col min="778" max="778" width="15" style="1337" customWidth="1"/>
    <col min="779" max="779" width="22" style="1337" customWidth="1"/>
    <col min="780" max="780" width="19.42578125" style="1337" customWidth="1"/>
    <col min="781" max="781" width="15" style="1337" customWidth="1"/>
    <col min="782" max="782" width="19.28515625" style="1337" customWidth="1"/>
    <col min="783" max="783" width="19.85546875" style="1337" customWidth="1"/>
    <col min="784" max="784" width="19.5703125" style="1337" customWidth="1"/>
    <col min="785" max="785" width="14" style="1337" customWidth="1"/>
    <col min="786" max="786" width="16.42578125" style="1337" customWidth="1"/>
    <col min="787" max="787" width="18.140625" style="1337" customWidth="1"/>
    <col min="788" max="788" width="15.85546875" style="1337" customWidth="1"/>
    <col min="789" max="1016" width="9.140625" style="1337"/>
    <col min="1017" max="1017" width="18" style="1337" customWidth="1"/>
    <col min="1018" max="1018" width="21.140625" style="1337" customWidth="1"/>
    <col min="1019" max="1019" width="13" style="1337" customWidth="1"/>
    <col min="1020" max="1020" width="14.5703125" style="1337" customWidth="1"/>
    <col min="1021" max="1021" width="11.5703125" style="1337" customWidth="1"/>
    <col min="1022" max="1022" width="14.5703125" style="1337" customWidth="1"/>
    <col min="1023" max="1023" width="13.28515625" style="1337" customWidth="1"/>
    <col min="1024" max="1024" width="13.42578125" style="1337" customWidth="1"/>
    <col min="1025" max="1025" width="14.140625" style="1337" customWidth="1"/>
    <col min="1026" max="1026" width="17.5703125" style="1337" customWidth="1"/>
    <col min="1027" max="1027" width="16" style="1337" customWidth="1"/>
    <col min="1028" max="1028" width="19" style="1337" customWidth="1"/>
    <col min="1029" max="1029" width="14" style="1337" customWidth="1"/>
    <col min="1030" max="1033" width="19.140625" style="1337" customWidth="1"/>
    <col min="1034" max="1034" width="15" style="1337" customWidth="1"/>
    <col min="1035" max="1035" width="22" style="1337" customWidth="1"/>
    <col min="1036" max="1036" width="19.42578125" style="1337" customWidth="1"/>
    <col min="1037" max="1037" width="15" style="1337" customWidth="1"/>
    <col min="1038" max="1038" width="19.28515625" style="1337" customWidth="1"/>
    <col min="1039" max="1039" width="19.85546875" style="1337" customWidth="1"/>
    <col min="1040" max="1040" width="19.5703125" style="1337" customWidth="1"/>
    <col min="1041" max="1041" width="14" style="1337" customWidth="1"/>
    <col min="1042" max="1042" width="16.42578125" style="1337" customWidth="1"/>
    <col min="1043" max="1043" width="18.140625" style="1337" customWidth="1"/>
    <col min="1044" max="1044" width="15.85546875" style="1337" customWidth="1"/>
    <col min="1045" max="1272" width="9.140625" style="1337"/>
    <col min="1273" max="1273" width="18" style="1337" customWidth="1"/>
    <col min="1274" max="1274" width="21.140625" style="1337" customWidth="1"/>
    <col min="1275" max="1275" width="13" style="1337" customWidth="1"/>
    <col min="1276" max="1276" width="14.5703125" style="1337" customWidth="1"/>
    <col min="1277" max="1277" width="11.5703125" style="1337" customWidth="1"/>
    <col min="1278" max="1278" width="14.5703125" style="1337" customWidth="1"/>
    <col min="1279" max="1279" width="13.28515625" style="1337" customWidth="1"/>
    <col min="1280" max="1280" width="13.42578125" style="1337" customWidth="1"/>
    <col min="1281" max="1281" width="14.140625" style="1337" customWidth="1"/>
    <col min="1282" max="1282" width="17.5703125" style="1337" customWidth="1"/>
    <col min="1283" max="1283" width="16" style="1337" customWidth="1"/>
    <col min="1284" max="1284" width="19" style="1337" customWidth="1"/>
    <col min="1285" max="1285" width="14" style="1337" customWidth="1"/>
    <col min="1286" max="1289" width="19.140625" style="1337" customWidth="1"/>
    <col min="1290" max="1290" width="15" style="1337" customWidth="1"/>
    <col min="1291" max="1291" width="22" style="1337" customWidth="1"/>
    <col min="1292" max="1292" width="19.42578125" style="1337" customWidth="1"/>
    <col min="1293" max="1293" width="15" style="1337" customWidth="1"/>
    <col min="1294" max="1294" width="19.28515625" style="1337" customWidth="1"/>
    <col min="1295" max="1295" width="19.85546875" style="1337" customWidth="1"/>
    <col min="1296" max="1296" width="19.5703125" style="1337" customWidth="1"/>
    <col min="1297" max="1297" width="14" style="1337" customWidth="1"/>
    <col min="1298" max="1298" width="16.42578125" style="1337" customWidth="1"/>
    <col min="1299" max="1299" width="18.140625" style="1337" customWidth="1"/>
    <col min="1300" max="1300" width="15.85546875" style="1337" customWidth="1"/>
    <col min="1301" max="1528" width="9.140625" style="1337"/>
    <col min="1529" max="1529" width="18" style="1337" customWidth="1"/>
    <col min="1530" max="1530" width="21.140625" style="1337" customWidth="1"/>
    <col min="1531" max="1531" width="13" style="1337" customWidth="1"/>
    <col min="1532" max="1532" width="14.5703125" style="1337" customWidth="1"/>
    <col min="1533" max="1533" width="11.5703125" style="1337" customWidth="1"/>
    <col min="1534" max="1534" width="14.5703125" style="1337" customWidth="1"/>
    <col min="1535" max="1535" width="13.28515625" style="1337" customWidth="1"/>
    <col min="1536" max="1536" width="13.42578125" style="1337" customWidth="1"/>
    <col min="1537" max="1537" width="14.140625" style="1337" customWidth="1"/>
    <col min="1538" max="1538" width="17.5703125" style="1337" customWidth="1"/>
    <col min="1539" max="1539" width="16" style="1337" customWidth="1"/>
    <col min="1540" max="1540" width="19" style="1337" customWidth="1"/>
    <col min="1541" max="1541" width="14" style="1337" customWidth="1"/>
    <col min="1542" max="1545" width="19.140625" style="1337" customWidth="1"/>
    <col min="1546" max="1546" width="15" style="1337" customWidth="1"/>
    <col min="1547" max="1547" width="22" style="1337" customWidth="1"/>
    <col min="1548" max="1548" width="19.42578125" style="1337" customWidth="1"/>
    <col min="1549" max="1549" width="15" style="1337" customWidth="1"/>
    <col min="1550" max="1550" width="19.28515625" style="1337" customWidth="1"/>
    <col min="1551" max="1551" width="19.85546875" style="1337" customWidth="1"/>
    <col min="1552" max="1552" width="19.5703125" style="1337" customWidth="1"/>
    <col min="1553" max="1553" width="14" style="1337" customWidth="1"/>
    <col min="1554" max="1554" width="16.42578125" style="1337" customWidth="1"/>
    <col min="1555" max="1555" width="18.140625" style="1337" customWidth="1"/>
    <col min="1556" max="1556" width="15.85546875" style="1337" customWidth="1"/>
    <col min="1557" max="1784" width="9.140625" style="1337"/>
    <col min="1785" max="1785" width="18" style="1337" customWidth="1"/>
    <col min="1786" max="1786" width="21.140625" style="1337" customWidth="1"/>
    <col min="1787" max="1787" width="13" style="1337" customWidth="1"/>
    <col min="1788" max="1788" width="14.5703125" style="1337" customWidth="1"/>
    <col min="1789" max="1789" width="11.5703125" style="1337" customWidth="1"/>
    <col min="1790" max="1790" width="14.5703125" style="1337" customWidth="1"/>
    <col min="1791" max="1791" width="13.28515625" style="1337" customWidth="1"/>
    <col min="1792" max="1792" width="13.42578125" style="1337" customWidth="1"/>
    <col min="1793" max="1793" width="14.140625" style="1337" customWidth="1"/>
    <col min="1794" max="1794" width="17.5703125" style="1337" customWidth="1"/>
    <col min="1795" max="1795" width="16" style="1337" customWidth="1"/>
    <col min="1796" max="1796" width="19" style="1337" customWidth="1"/>
    <col min="1797" max="1797" width="14" style="1337" customWidth="1"/>
    <col min="1798" max="1801" width="19.140625" style="1337" customWidth="1"/>
    <col min="1802" max="1802" width="15" style="1337" customWidth="1"/>
    <col min="1803" max="1803" width="22" style="1337" customWidth="1"/>
    <col min="1804" max="1804" width="19.42578125" style="1337" customWidth="1"/>
    <col min="1805" max="1805" width="15" style="1337" customWidth="1"/>
    <col min="1806" max="1806" width="19.28515625" style="1337" customWidth="1"/>
    <col min="1807" max="1807" width="19.85546875" style="1337" customWidth="1"/>
    <col min="1808" max="1808" width="19.5703125" style="1337" customWidth="1"/>
    <col min="1809" max="1809" width="14" style="1337" customWidth="1"/>
    <col min="1810" max="1810" width="16.42578125" style="1337" customWidth="1"/>
    <col min="1811" max="1811" width="18.140625" style="1337" customWidth="1"/>
    <col min="1812" max="1812" width="15.85546875" style="1337" customWidth="1"/>
    <col min="1813" max="2040" width="9.140625" style="1337"/>
    <col min="2041" max="2041" width="18" style="1337" customWidth="1"/>
    <col min="2042" max="2042" width="21.140625" style="1337" customWidth="1"/>
    <col min="2043" max="2043" width="13" style="1337" customWidth="1"/>
    <col min="2044" max="2044" width="14.5703125" style="1337" customWidth="1"/>
    <col min="2045" max="2045" width="11.5703125" style="1337" customWidth="1"/>
    <col min="2046" max="2046" width="14.5703125" style="1337" customWidth="1"/>
    <col min="2047" max="2047" width="13.28515625" style="1337" customWidth="1"/>
    <col min="2048" max="2048" width="13.42578125" style="1337" customWidth="1"/>
    <col min="2049" max="2049" width="14.140625" style="1337" customWidth="1"/>
    <col min="2050" max="2050" width="17.5703125" style="1337" customWidth="1"/>
    <col min="2051" max="2051" width="16" style="1337" customWidth="1"/>
    <col min="2052" max="2052" width="19" style="1337" customWidth="1"/>
    <col min="2053" max="2053" width="14" style="1337" customWidth="1"/>
    <col min="2054" max="2057" width="19.140625" style="1337" customWidth="1"/>
    <col min="2058" max="2058" width="15" style="1337" customWidth="1"/>
    <col min="2059" max="2059" width="22" style="1337" customWidth="1"/>
    <col min="2060" max="2060" width="19.42578125" style="1337" customWidth="1"/>
    <col min="2061" max="2061" width="15" style="1337" customWidth="1"/>
    <col min="2062" max="2062" width="19.28515625" style="1337" customWidth="1"/>
    <col min="2063" max="2063" width="19.85546875" style="1337" customWidth="1"/>
    <col min="2064" max="2064" width="19.5703125" style="1337" customWidth="1"/>
    <col min="2065" max="2065" width="14" style="1337" customWidth="1"/>
    <col min="2066" max="2066" width="16.42578125" style="1337" customWidth="1"/>
    <col min="2067" max="2067" width="18.140625" style="1337" customWidth="1"/>
    <col min="2068" max="2068" width="15.85546875" style="1337" customWidth="1"/>
    <col min="2069" max="2296" width="9.140625" style="1337"/>
    <col min="2297" max="2297" width="18" style="1337" customWidth="1"/>
    <col min="2298" max="2298" width="21.140625" style="1337" customWidth="1"/>
    <col min="2299" max="2299" width="13" style="1337" customWidth="1"/>
    <col min="2300" max="2300" width="14.5703125" style="1337" customWidth="1"/>
    <col min="2301" max="2301" width="11.5703125" style="1337" customWidth="1"/>
    <col min="2302" max="2302" width="14.5703125" style="1337" customWidth="1"/>
    <col min="2303" max="2303" width="13.28515625" style="1337" customWidth="1"/>
    <col min="2304" max="2304" width="13.42578125" style="1337" customWidth="1"/>
    <col min="2305" max="2305" width="14.140625" style="1337" customWidth="1"/>
    <col min="2306" max="2306" width="17.5703125" style="1337" customWidth="1"/>
    <col min="2307" max="2307" width="16" style="1337" customWidth="1"/>
    <col min="2308" max="2308" width="19" style="1337" customWidth="1"/>
    <col min="2309" max="2309" width="14" style="1337" customWidth="1"/>
    <col min="2310" max="2313" width="19.140625" style="1337" customWidth="1"/>
    <col min="2314" max="2314" width="15" style="1337" customWidth="1"/>
    <col min="2315" max="2315" width="22" style="1337" customWidth="1"/>
    <col min="2316" max="2316" width="19.42578125" style="1337" customWidth="1"/>
    <col min="2317" max="2317" width="15" style="1337" customWidth="1"/>
    <col min="2318" max="2318" width="19.28515625" style="1337" customWidth="1"/>
    <col min="2319" max="2319" width="19.85546875" style="1337" customWidth="1"/>
    <col min="2320" max="2320" width="19.5703125" style="1337" customWidth="1"/>
    <col min="2321" max="2321" width="14" style="1337" customWidth="1"/>
    <col min="2322" max="2322" width="16.42578125" style="1337" customWidth="1"/>
    <col min="2323" max="2323" width="18.140625" style="1337" customWidth="1"/>
    <col min="2324" max="2324" width="15.85546875" style="1337" customWidth="1"/>
    <col min="2325" max="2552" width="9.140625" style="1337"/>
    <col min="2553" max="2553" width="18" style="1337" customWidth="1"/>
    <col min="2554" max="2554" width="21.140625" style="1337" customWidth="1"/>
    <col min="2555" max="2555" width="13" style="1337" customWidth="1"/>
    <col min="2556" max="2556" width="14.5703125" style="1337" customWidth="1"/>
    <col min="2557" max="2557" width="11.5703125" style="1337" customWidth="1"/>
    <col min="2558" max="2558" width="14.5703125" style="1337" customWidth="1"/>
    <col min="2559" max="2559" width="13.28515625" style="1337" customWidth="1"/>
    <col min="2560" max="2560" width="13.42578125" style="1337" customWidth="1"/>
    <col min="2561" max="2561" width="14.140625" style="1337" customWidth="1"/>
    <col min="2562" max="2562" width="17.5703125" style="1337" customWidth="1"/>
    <col min="2563" max="2563" width="16" style="1337" customWidth="1"/>
    <col min="2564" max="2564" width="19" style="1337" customWidth="1"/>
    <col min="2565" max="2565" width="14" style="1337" customWidth="1"/>
    <col min="2566" max="2569" width="19.140625" style="1337" customWidth="1"/>
    <col min="2570" max="2570" width="15" style="1337" customWidth="1"/>
    <col min="2571" max="2571" width="22" style="1337" customWidth="1"/>
    <col min="2572" max="2572" width="19.42578125" style="1337" customWidth="1"/>
    <col min="2573" max="2573" width="15" style="1337" customWidth="1"/>
    <col min="2574" max="2574" width="19.28515625" style="1337" customWidth="1"/>
    <col min="2575" max="2575" width="19.85546875" style="1337" customWidth="1"/>
    <col min="2576" max="2576" width="19.5703125" style="1337" customWidth="1"/>
    <col min="2577" max="2577" width="14" style="1337" customWidth="1"/>
    <col min="2578" max="2578" width="16.42578125" style="1337" customWidth="1"/>
    <col min="2579" max="2579" width="18.140625" style="1337" customWidth="1"/>
    <col min="2580" max="2580" width="15.85546875" style="1337" customWidth="1"/>
    <col min="2581" max="2808" width="9.140625" style="1337"/>
    <col min="2809" max="2809" width="18" style="1337" customWidth="1"/>
    <col min="2810" max="2810" width="21.140625" style="1337" customWidth="1"/>
    <col min="2811" max="2811" width="13" style="1337" customWidth="1"/>
    <col min="2812" max="2812" width="14.5703125" style="1337" customWidth="1"/>
    <col min="2813" max="2813" width="11.5703125" style="1337" customWidth="1"/>
    <col min="2814" max="2814" width="14.5703125" style="1337" customWidth="1"/>
    <col min="2815" max="2815" width="13.28515625" style="1337" customWidth="1"/>
    <col min="2816" max="2816" width="13.42578125" style="1337" customWidth="1"/>
    <col min="2817" max="2817" width="14.140625" style="1337" customWidth="1"/>
    <col min="2818" max="2818" width="17.5703125" style="1337" customWidth="1"/>
    <col min="2819" max="2819" width="16" style="1337" customWidth="1"/>
    <col min="2820" max="2820" width="19" style="1337" customWidth="1"/>
    <col min="2821" max="2821" width="14" style="1337" customWidth="1"/>
    <col min="2822" max="2825" width="19.140625" style="1337" customWidth="1"/>
    <col min="2826" max="2826" width="15" style="1337" customWidth="1"/>
    <col min="2827" max="2827" width="22" style="1337" customWidth="1"/>
    <col min="2828" max="2828" width="19.42578125" style="1337" customWidth="1"/>
    <col min="2829" max="2829" width="15" style="1337" customWidth="1"/>
    <col min="2830" max="2830" width="19.28515625" style="1337" customWidth="1"/>
    <col min="2831" max="2831" width="19.85546875" style="1337" customWidth="1"/>
    <col min="2832" max="2832" width="19.5703125" style="1337" customWidth="1"/>
    <col min="2833" max="2833" width="14" style="1337" customWidth="1"/>
    <col min="2834" max="2834" width="16.42578125" style="1337" customWidth="1"/>
    <col min="2835" max="2835" width="18.140625" style="1337" customWidth="1"/>
    <col min="2836" max="2836" width="15.85546875" style="1337" customWidth="1"/>
    <col min="2837" max="3064" width="9.140625" style="1337"/>
    <col min="3065" max="3065" width="18" style="1337" customWidth="1"/>
    <col min="3066" max="3066" width="21.140625" style="1337" customWidth="1"/>
    <col min="3067" max="3067" width="13" style="1337" customWidth="1"/>
    <col min="3068" max="3068" width="14.5703125" style="1337" customWidth="1"/>
    <col min="3069" max="3069" width="11.5703125" style="1337" customWidth="1"/>
    <col min="3070" max="3070" width="14.5703125" style="1337" customWidth="1"/>
    <col min="3071" max="3071" width="13.28515625" style="1337" customWidth="1"/>
    <col min="3072" max="3072" width="13.42578125" style="1337" customWidth="1"/>
    <col min="3073" max="3073" width="14.140625" style="1337" customWidth="1"/>
    <col min="3074" max="3074" width="17.5703125" style="1337" customWidth="1"/>
    <col min="3075" max="3075" width="16" style="1337" customWidth="1"/>
    <col min="3076" max="3076" width="19" style="1337" customWidth="1"/>
    <col min="3077" max="3077" width="14" style="1337" customWidth="1"/>
    <col min="3078" max="3081" width="19.140625" style="1337" customWidth="1"/>
    <col min="3082" max="3082" width="15" style="1337" customWidth="1"/>
    <col min="3083" max="3083" width="22" style="1337" customWidth="1"/>
    <col min="3084" max="3084" width="19.42578125" style="1337" customWidth="1"/>
    <col min="3085" max="3085" width="15" style="1337" customWidth="1"/>
    <col min="3086" max="3086" width="19.28515625" style="1337" customWidth="1"/>
    <col min="3087" max="3087" width="19.85546875" style="1337" customWidth="1"/>
    <col min="3088" max="3088" width="19.5703125" style="1337" customWidth="1"/>
    <col min="3089" max="3089" width="14" style="1337" customWidth="1"/>
    <col min="3090" max="3090" width="16.42578125" style="1337" customWidth="1"/>
    <col min="3091" max="3091" width="18.140625" style="1337" customWidth="1"/>
    <col min="3092" max="3092" width="15.85546875" style="1337" customWidth="1"/>
    <col min="3093" max="3320" width="9.140625" style="1337"/>
    <col min="3321" max="3321" width="18" style="1337" customWidth="1"/>
    <col min="3322" max="3322" width="21.140625" style="1337" customWidth="1"/>
    <col min="3323" max="3323" width="13" style="1337" customWidth="1"/>
    <col min="3324" max="3324" width="14.5703125" style="1337" customWidth="1"/>
    <col min="3325" max="3325" width="11.5703125" style="1337" customWidth="1"/>
    <col min="3326" max="3326" width="14.5703125" style="1337" customWidth="1"/>
    <col min="3327" max="3327" width="13.28515625" style="1337" customWidth="1"/>
    <col min="3328" max="3328" width="13.42578125" style="1337" customWidth="1"/>
    <col min="3329" max="3329" width="14.140625" style="1337" customWidth="1"/>
    <col min="3330" max="3330" width="17.5703125" style="1337" customWidth="1"/>
    <col min="3331" max="3331" width="16" style="1337" customWidth="1"/>
    <col min="3332" max="3332" width="19" style="1337" customWidth="1"/>
    <col min="3333" max="3333" width="14" style="1337" customWidth="1"/>
    <col min="3334" max="3337" width="19.140625" style="1337" customWidth="1"/>
    <col min="3338" max="3338" width="15" style="1337" customWidth="1"/>
    <col min="3339" max="3339" width="22" style="1337" customWidth="1"/>
    <col min="3340" max="3340" width="19.42578125" style="1337" customWidth="1"/>
    <col min="3341" max="3341" width="15" style="1337" customWidth="1"/>
    <col min="3342" max="3342" width="19.28515625" style="1337" customWidth="1"/>
    <col min="3343" max="3343" width="19.85546875" style="1337" customWidth="1"/>
    <col min="3344" max="3344" width="19.5703125" style="1337" customWidth="1"/>
    <col min="3345" max="3345" width="14" style="1337" customWidth="1"/>
    <col min="3346" max="3346" width="16.42578125" style="1337" customWidth="1"/>
    <col min="3347" max="3347" width="18.140625" style="1337" customWidth="1"/>
    <col min="3348" max="3348" width="15.85546875" style="1337" customWidth="1"/>
    <col min="3349" max="3576" width="9.140625" style="1337"/>
    <col min="3577" max="3577" width="18" style="1337" customWidth="1"/>
    <col min="3578" max="3578" width="21.140625" style="1337" customWidth="1"/>
    <col min="3579" max="3579" width="13" style="1337" customWidth="1"/>
    <col min="3580" max="3580" width="14.5703125" style="1337" customWidth="1"/>
    <col min="3581" max="3581" width="11.5703125" style="1337" customWidth="1"/>
    <col min="3582" max="3582" width="14.5703125" style="1337" customWidth="1"/>
    <col min="3583" max="3583" width="13.28515625" style="1337" customWidth="1"/>
    <col min="3584" max="3584" width="13.42578125" style="1337" customWidth="1"/>
    <col min="3585" max="3585" width="14.140625" style="1337" customWidth="1"/>
    <col min="3586" max="3586" width="17.5703125" style="1337" customWidth="1"/>
    <col min="3587" max="3587" width="16" style="1337" customWidth="1"/>
    <col min="3588" max="3588" width="19" style="1337" customWidth="1"/>
    <col min="3589" max="3589" width="14" style="1337" customWidth="1"/>
    <col min="3590" max="3593" width="19.140625" style="1337" customWidth="1"/>
    <col min="3594" max="3594" width="15" style="1337" customWidth="1"/>
    <col min="3595" max="3595" width="22" style="1337" customWidth="1"/>
    <col min="3596" max="3596" width="19.42578125" style="1337" customWidth="1"/>
    <col min="3597" max="3597" width="15" style="1337" customWidth="1"/>
    <col min="3598" max="3598" width="19.28515625" style="1337" customWidth="1"/>
    <col min="3599" max="3599" width="19.85546875" style="1337" customWidth="1"/>
    <col min="3600" max="3600" width="19.5703125" style="1337" customWidth="1"/>
    <col min="3601" max="3601" width="14" style="1337" customWidth="1"/>
    <col min="3602" max="3602" width="16.42578125" style="1337" customWidth="1"/>
    <col min="3603" max="3603" width="18.140625" style="1337" customWidth="1"/>
    <col min="3604" max="3604" width="15.85546875" style="1337" customWidth="1"/>
    <col min="3605" max="3832" width="9.140625" style="1337"/>
    <col min="3833" max="3833" width="18" style="1337" customWidth="1"/>
    <col min="3834" max="3834" width="21.140625" style="1337" customWidth="1"/>
    <col min="3835" max="3835" width="13" style="1337" customWidth="1"/>
    <col min="3836" max="3836" width="14.5703125" style="1337" customWidth="1"/>
    <col min="3837" max="3837" width="11.5703125" style="1337" customWidth="1"/>
    <col min="3838" max="3838" width="14.5703125" style="1337" customWidth="1"/>
    <col min="3839" max="3839" width="13.28515625" style="1337" customWidth="1"/>
    <col min="3840" max="3840" width="13.42578125" style="1337" customWidth="1"/>
    <col min="3841" max="3841" width="14.140625" style="1337" customWidth="1"/>
    <col min="3842" max="3842" width="17.5703125" style="1337" customWidth="1"/>
    <col min="3843" max="3843" width="16" style="1337" customWidth="1"/>
    <col min="3844" max="3844" width="19" style="1337" customWidth="1"/>
    <col min="3845" max="3845" width="14" style="1337" customWidth="1"/>
    <col min="3846" max="3849" width="19.140625" style="1337" customWidth="1"/>
    <col min="3850" max="3850" width="15" style="1337" customWidth="1"/>
    <col min="3851" max="3851" width="22" style="1337" customWidth="1"/>
    <col min="3852" max="3852" width="19.42578125" style="1337" customWidth="1"/>
    <col min="3853" max="3853" width="15" style="1337" customWidth="1"/>
    <col min="3854" max="3854" width="19.28515625" style="1337" customWidth="1"/>
    <col min="3855" max="3855" width="19.85546875" style="1337" customWidth="1"/>
    <col min="3856" max="3856" width="19.5703125" style="1337" customWidth="1"/>
    <col min="3857" max="3857" width="14" style="1337" customWidth="1"/>
    <col min="3858" max="3858" width="16.42578125" style="1337" customWidth="1"/>
    <col min="3859" max="3859" width="18.140625" style="1337" customWidth="1"/>
    <col min="3860" max="3860" width="15.85546875" style="1337" customWidth="1"/>
    <col min="3861" max="4088" width="9.140625" style="1337"/>
    <col min="4089" max="4089" width="18" style="1337" customWidth="1"/>
    <col min="4090" max="4090" width="21.140625" style="1337" customWidth="1"/>
    <col min="4091" max="4091" width="13" style="1337" customWidth="1"/>
    <col min="4092" max="4092" width="14.5703125" style="1337" customWidth="1"/>
    <col min="4093" max="4093" width="11.5703125" style="1337" customWidth="1"/>
    <col min="4094" max="4094" width="14.5703125" style="1337" customWidth="1"/>
    <col min="4095" max="4095" width="13.28515625" style="1337" customWidth="1"/>
    <col min="4096" max="4096" width="13.42578125" style="1337" customWidth="1"/>
    <col min="4097" max="4097" width="14.140625" style="1337" customWidth="1"/>
    <col min="4098" max="4098" width="17.5703125" style="1337" customWidth="1"/>
    <col min="4099" max="4099" width="16" style="1337" customWidth="1"/>
    <col min="4100" max="4100" width="19" style="1337" customWidth="1"/>
    <col min="4101" max="4101" width="14" style="1337" customWidth="1"/>
    <col min="4102" max="4105" width="19.140625" style="1337" customWidth="1"/>
    <col min="4106" max="4106" width="15" style="1337" customWidth="1"/>
    <col min="4107" max="4107" width="22" style="1337" customWidth="1"/>
    <col min="4108" max="4108" width="19.42578125" style="1337" customWidth="1"/>
    <col min="4109" max="4109" width="15" style="1337" customWidth="1"/>
    <col min="4110" max="4110" width="19.28515625" style="1337" customWidth="1"/>
    <col min="4111" max="4111" width="19.85546875" style="1337" customWidth="1"/>
    <col min="4112" max="4112" width="19.5703125" style="1337" customWidth="1"/>
    <col min="4113" max="4113" width="14" style="1337" customWidth="1"/>
    <col min="4114" max="4114" width="16.42578125" style="1337" customWidth="1"/>
    <col min="4115" max="4115" width="18.140625" style="1337" customWidth="1"/>
    <col min="4116" max="4116" width="15.85546875" style="1337" customWidth="1"/>
    <col min="4117" max="4344" width="9.140625" style="1337"/>
    <col min="4345" max="4345" width="18" style="1337" customWidth="1"/>
    <col min="4346" max="4346" width="21.140625" style="1337" customWidth="1"/>
    <col min="4347" max="4347" width="13" style="1337" customWidth="1"/>
    <col min="4348" max="4348" width="14.5703125" style="1337" customWidth="1"/>
    <col min="4349" max="4349" width="11.5703125" style="1337" customWidth="1"/>
    <col min="4350" max="4350" width="14.5703125" style="1337" customWidth="1"/>
    <col min="4351" max="4351" width="13.28515625" style="1337" customWidth="1"/>
    <col min="4352" max="4352" width="13.42578125" style="1337" customWidth="1"/>
    <col min="4353" max="4353" width="14.140625" style="1337" customWidth="1"/>
    <col min="4354" max="4354" width="17.5703125" style="1337" customWidth="1"/>
    <col min="4355" max="4355" width="16" style="1337" customWidth="1"/>
    <col min="4356" max="4356" width="19" style="1337" customWidth="1"/>
    <col min="4357" max="4357" width="14" style="1337" customWidth="1"/>
    <col min="4358" max="4361" width="19.140625" style="1337" customWidth="1"/>
    <col min="4362" max="4362" width="15" style="1337" customWidth="1"/>
    <col min="4363" max="4363" width="22" style="1337" customWidth="1"/>
    <col min="4364" max="4364" width="19.42578125" style="1337" customWidth="1"/>
    <col min="4365" max="4365" width="15" style="1337" customWidth="1"/>
    <col min="4366" max="4366" width="19.28515625" style="1337" customWidth="1"/>
    <col min="4367" max="4367" width="19.85546875" style="1337" customWidth="1"/>
    <col min="4368" max="4368" width="19.5703125" style="1337" customWidth="1"/>
    <col min="4369" max="4369" width="14" style="1337" customWidth="1"/>
    <col min="4370" max="4370" width="16.42578125" style="1337" customWidth="1"/>
    <col min="4371" max="4371" width="18.140625" style="1337" customWidth="1"/>
    <col min="4372" max="4372" width="15.85546875" style="1337" customWidth="1"/>
    <col min="4373" max="4600" width="9.140625" style="1337"/>
    <col min="4601" max="4601" width="18" style="1337" customWidth="1"/>
    <col min="4602" max="4602" width="21.140625" style="1337" customWidth="1"/>
    <col min="4603" max="4603" width="13" style="1337" customWidth="1"/>
    <col min="4604" max="4604" width="14.5703125" style="1337" customWidth="1"/>
    <col min="4605" max="4605" width="11.5703125" style="1337" customWidth="1"/>
    <col min="4606" max="4606" width="14.5703125" style="1337" customWidth="1"/>
    <col min="4607" max="4607" width="13.28515625" style="1337" customWidth="1"/>
    <col min="4608" max="4608" width="13.42578125" style="1337" customWidth="1"/>
    <col min="4609" max="4609" width="14.140625" style="1337" customWidth="1"/>
    <col min="4610" max="4610" width="17.5703125" style="1337" customWidth="1"/>
    <col min="4611" max="4611" width="16" style="1337" customWidth="1"/>
    <col min="4612" max="4612" width="19" style="1337" customWidth="1"/>
    <col min="4613" max="4613" width="14" style="1337" customWidth="1"/>
    <col min="4614" max="4617" width="19.140625" style="1337" customWidth="1"/>
    <col min="4618" max="4618" width="15" style="1337" customWidth="1"/>
    <col min="4619" max="4619" width="22" style="1337" customWidth="1"/>
    <col min="4620" max="4620" width="19.42578125" style="1337" customWidth="1"/>
    <col min="4621" max="4621" width="15" style="1337" customWidth="1"/>
    <col min="4622" max="4622" width="19.28515625" style="1337" customWidth="1"/>
    <col min="4623" max="4623" width="19.85546875" style="1337" customWidth="1"/>
    <col min="4624" max="4624" width="19.5703125" style="1337" customWidth="1"/>
    <col min="4625" max="4625" width="14" style="1337" customWidth="1"/>
    <col min="4626" max="4626" width="16.42578125" style="1337" customWidth="1"/>
    <col min="4627" max="4627" width="18.140625" style="1337" customWidth="1"/>
    <col min="4628" max="4628" width="15.85546875" style="1337" customWidth="1"/>
    <col min="4629" max="4856" width="9.140625" style="1337"/>
    <col min="4857" max="4857" width="18" style="1337" customWidth="1"/>
    <col min="4858" max="4858" width="21.140625" style="1337" customWidth="1"/>
    <col min="4859" max="4859" width="13" style="1337" customWidth="1"/>
    <col min="4860" max="4860" width="14.5703125" style="1337" customWidth="1"/>
    <col min="4861" max="4861" width="11.5703125" style="1337" customWidth="1"/>
    <col min="4862" max="4862" width="14.5703125" style="1337" customWidth="1"/>
    <col min="4863" max="4863" width="13.28515625" style="1337" customWidth="1"/>
    <col min="4864" max="4864" width="13.42578125" style="1337" customWidth="1"/>
    <col min="4865" max="4865" width="14.140625" style="1337" customWidth="1"/>
    <col min="4866" max="4866" width="17.5703125" style="1337" customWidth="1"/>
    <col min="4867" max="4867" width="16" style="1337" customWidth="1"/>
    <col min="4868" max="4868" width="19" style="1337" customWidth="1"/>
    <col min="4869" max="4869" width="14" style="1337" customWidth="1"/>
    <col min="4870" max="4873" width="19.140625" style="1337" customWidth="1"/>
    <col min="4874" max="4874" width="15" style="1337" customWidth="1"/>
    <col min="4875" max="4875" width="22" style="1337" customWidth="1"/>
    <col min="4876" max="4876" width="19.42578125" style="1337" customWidth="1"/>
    <col min="4877" max="4877" width="15" style="1337" customWidth="1"/>
    <col min="4878" max="4878" width="19.28515625" style="1337" customWidth="1"/>
    <col min="4879" max="4879" width="19.85546875" style="1337" customWidth="1"/>
    <col min="4880" max="4880" width="19.5703125" style="1337" customWidth="1"/>
    <col min="4881" max="4881" width="14" style="1337" customWidth="1"/>
    <col min="4882" max="4882" width="16.42578125" style="1337" customWidth="1"/>
    <col min="4883" max="4883" width="18.140625" style="1337" customWidth="1"/>
    <col min="4884" max="4884" width="15.85546875" style="1337" customWidth="1"/>
    <col min="4885" max="5112" width="9.140625" style="1337"/>
    <col min="5113" max="5113" width="18" style="1337" customWidth="1"/>
    <col min="5114" max="5114" width="21.140625" style="1337" customWidth="1"/>
    <col min="5115" max="5115" width="13" style="1337" customWidth="1"/>
    <col min="5116" max="5116" width="14.5703125" style="1337" customWidth="1"/>
    <col min="5117" max="5117" width="11.5703125" style="1337" customWidth="1"/>
    <col min="5118" max="5118" width="14.5703125" style="1337" customWidth="1"/>
    <col min="5119" max="5119" width="13.28515625" style="1337" customWidth="1"/>
    <col min="5120" max="5120" width="13.42578125" style="1337" customWidth="1"/>
    <col min="5121" max="5121" width="14.140625" style="1337" customWidth="1"/>
    <col min="5122" max="5122" width="17.5703125" style="1337" customWidth="1"/>
    <col min="5123" max="5123" width="16" style="1337" customWidth="1"/>
    <col min="5124" max="5124" width="19" style="1337" customWidth="1"/>
    <col min="5125" max="5125" width="14" style="1337" customWidth="1"/>
    <col min="5126" max="5129" width="19.140625" style="1337" customWidth="1"/>
    <col min="5130" max="5130" width="15" style="1337" customWidth="1"/>
    <col min="5131" max="5131" width="22" style="1337" customWidth="1"/>
    <col min="5132" max="5132" width="19.42578125" style="1337" customWidth="1"/>
    <col min="5133" max="5133" width="15" style="1337" customWidth="1"/>
    <col min="5134" max="5134" width="19.28515625" style="1337" customWidth="1"/>
    <col min="5135" max="5135" width="19.85546875" style="1337" customWidth="1"/>
    <col min="5136" max="5136" width="19.5703125" style="1337" customWidth="1"/>
    <col min="5137" max="5137" width="14" style="1337" customWidth="1"/>
    <col min="5138" max="5138" width="16.42578125" style="1337" customWidth="1"/>
    <col min="5139" max="5139" width="18.140625" style="1337" customWidth="1"/>
    <col min="5140" max="5140" width="15.85546875" style="1337" customWidth="1"/>
    <col min="5141" max="5368" width="9.140625" style="1337"/>
    <col min="5369" max="5369" width="18" style="1337" customWidth="1"/>
    <col min="5370" max="5370" width="21.140625" style="1337" customWidth="1"/>
    <col min="5371" max="5371" width="13" style="1337" customWidth="1"/>
    <col min="5372" max="5372" width="14.5703125" style="1337" customWidth="1"/>
    <col min="5373" max="5373" width="11.5703125" style="1337" customWidth="1"/>
    <col min="5374" max="5374" width="14.5703125" style="1337" customWidth="1"/>
    <col min="5375" max="5375" width="13.28515625" style="1337" customWidth="1"/>
    <col min="5376" max="5376" width="13.42578125" style="1337" customWidth="1"/>
    <col min="5377" max="5377" width="14.140625" style="1337" customWidth="1"/>
    <col min="5378" max="5378" width="17.5703125" style="1337" customWidth="1"/>
    <col min="5379" max="5379" width="16" style="1337" customWidth="1"/>
    <col min="5380" max="5380" width="19" style="1337" customWidth="1"/>
    <col min="5381" max="5381" width="14" style="1337" customWidth="1"/>
    <col min="5382" max="5385" width="19.140625" style="1337" customWidth="1"/>
    <col min="5386" max="5386" width="15" style="1337" customWidth="1"/>
    <col min="5387" max="5387" width="22" style="1337" customWidth="1"/>
    <col min="5388" max="5388" width="19.42578125" style="1337" customWidth="1"/>
    <col min="5389" max="5389" width="15" style="1337" customWidth="1"/>
    <col min="5390" max="5390" width="19.28515625" style="1337" customWidth="1"/>
    <col min="5391" max="5391" width="19.85546875" style="1337" customWidth="1"/>
    <col min="5392" max="5392" width="19.5703125" style="1337" customWidth="1"/>
    <col min="5393" max="5393" width="14" style="1337" customWidth="1"/>
    <col min="5394" max="5394" width="16.42578125" style="1337" customWidth="1"/>
    <col min="5395" max="5395" width="18.140625" style="1337" customWidth="1"/>
    <col min="5396" max="5396" width="15.85546875" style="1337" customWidth="1"/>
    <col min="5397" max="5624" width="9.140625" style="1337"/>
    <col min="5625" max="5625" width="18" style="1337" customWidth="1"/>
    <col min="5626" max="5626" width="21.140625" style="1337" customWidth="1"/>
    <col min="5627" max="5627" width="13" style="1337" customWidth="1"/>
    <col min="5628" max="5628" width="14.5703125" style="1337" customWidth="1"/>
    <col min="5629" max="5629" width="11.5703125" style="1337" customWidth="1"/>
    <col min="5630" max="5630" width="14.5703125" style="1337" customWidth="1"/>
    <col min="5631" max="5631" width="13.28515625" style="1337" customWidth="1"/>
    <col min="5632" max="5632" width="13.42578125" style="1337" customWidth="1"/>
    <col min="5633" max="5633" width="14.140625" style="1337" customWidth="1"/>
    <col min="5634" max="5634" width="17.5703125" style="1337" customWidth="1"/>
    <col min="5635" max="5635" width="16" style="1337" customWidth="1"/>
    <col min="5636" max="5636" width="19" style="1337" customWidth="1"/>
    <col min="5637" max="5637" width="14" style="1337" customWidth="1"/>
    <col min="5638" max="5641" width="19.140625" style="1337" customWidth="1"/>
    <col min="5642" max="5642" width="15" style="1337" customWidth="1"/>
    <col min="5643" max="5643" width="22" style="1337" customWidth="1"/>
    <col min="5644" max="5644" width="19.42578125" style="1337" customWidth="1"/>
    <col min="5645" max="5645" width="15" style="1337" customWidth="1"/>
    <col min="5646" max="5646" width="19.28515625" style="1337" customWidth="1"/>
    <col min="5647" max="5647" width="19.85546875" style="1337" customWidth="1"/>
    <col min="5648" max="5648" width="19.5703125" style="1337" customWidth="1"/>
    <col min="5649" max="5649" width="14" style="1337" customWidth="1"/>
    <col min="5650" max="5650" width="16.42578125" style="1337" customWidth="1"/>
    <col min="5651" max="5651" width="18.140625" style="1337" customWidth="1"/>
    <col min="5652" max="5652" width="15.85546875" style="1337" customWidth="1"/>
    <col min="5653" max="5880" width="9.140625" style="1337"/>
    <col min="5881" max="5881" width="18" style="1337" customWidth="1"/>
    <col min="5882" max="5882" width="21.140625" style="1337" customWidth="1"/>
    <col min="5883" max="5883" width="13" style="1337" customWidth="1"/>
    <col min="5884" max="5884" width="14.5703125" style="1337" customWidth="1"/>
    <col min="5885" max="5885" width="11.5703125" style="1337" customWidth="1"/>
    <col min="5886" max="5886" width="14.5703125" style="1337" customWidth="1"/>
    <col min="5887" max="5887" width="13.28515625" style="1337" customWidth="1"/>
    <col min="5888" max="5888" width="13.42578125" style="1337" customWidth="1"/>
    <col min="5889" max="5889" width="14.140625" style="1337" customWidth="1"/>
    <col min="5890" max="5890" width="17.5703125" style="1337" customWidth="1"/>
    <col min="5891" max="5891" width="16" style="1337" customWidth="1"/>
    <col min="5892" max="5892" width="19" style="1337" customWidth="1"/>
    <col min="5893" max="5893" width="14" style="1337" customWidth="1"/>
    <col min="5894" max="5897" width="19.140625" style="1337" customWidth="1"/>
    <col min="5898" max="5898" width="15" style="1337" customWidth="1"/>
    <col min="5899" max="5899" width="22" style="1337" customWidth="1"/>
    <col min="5900" max="5900" width="19.42578125" style="1337" customWidth="1"/>
    <col min="5901" max="5901" width="15" style="1337" customWidth="1"/>
    <col min="5902" max="5902" width="19.28515625" style="1337" customWidth="1"/>
    <col min="5903" max="5903" width="19.85546875" style="1337" customWidth="1"/>
    <col min="5904" max="5904" width="19.5703125" style="1337" customWidth="1"/>
    <col min="5905" max="5905" width="14" style="1337" customWidth="1"/>
    <col min="5906" max="5906" width="16.42578125" style="1337" customWidth="1"/>
    <col min="5907" max="5907" width="18.140625" style="1337" customWidth="1"/>
    <col min="5908" max="5908" width="15.85546875" style="1337" customWidth="1"/>
    <col min="5909" max="6136" width="9.140625" style="1337"/>
    <col min="6137" max="6137" width="18" style="1337" customWidth="1"/>
    <col min="6138" max="6138" width="21.140625" style="1337" customWidth="1"/>
    <col min="6139" max="6139" width="13" style="1337" customWidth="1"/>
    <col min="6140" max="6140" width="14.5703125" style="1337" customWidth="1"/>
    <col min="6141" max="6141" width="11.5703125" style="1337" customWidth="1"/>
    <col min="6142" max="6142" width="14.5703125" style="1337" customWidth="1"/>
    <col min="6143" max="6143" width="13.28515625" style="1337" customWidth="1"/>
    <col min="6144" max="6144" width="13.42578125" style="1337" customWidth="1"/>
    <col min="6145" max="6145" width="14.140625" style="1337" customWidth="1"/>
    <col min="6146" max="6146" width="17.5703125" style="1337" customWidth="1"/>
    <col min="6147" max="6147" width="16" style="1337" customWidth="1"/>
    <col min="6148" max="6148" width="19" style="1337" customWidth="1"/>
    <col min="6149" max="6149" width="14" style="1337" customWidth="1"/>
    <col min="6150" max="6153" width="19.140625" style="1337" customWidth="1"/>
    <col min="6154" max="6154" width="15" style="1337" customWidth="1"/>
    <col min="6155" max="6155" width="22" style="1337" customWidth="1"/>
    <col min="6156" max="6156" width="19.42578125" style="1337" customWidth="1"/>
    <col min="6157" max="6157" width="15" style="1337" customWidth="1"/>
    <col min="6158" max="6158" width="19.28515625" style="1337" customWidth="1"/>
    <col min="6159" max="6159" width="19.85546875" style="1337" customWidth="1"/>
    <col min="6160" max="6160" width="19.5703125" style="1337" customWidth="1"/>
    <col min="6161" max="6161" width="14" style="1337" customWidth="1"/>
    <col min="6162" max="6162" width="16.42578125" style="1337" customWidth="1"/>
    <col min="6163" max="6163" width="18.140625" style="1337" customWidth="1"/>
    <col min="6164" max="6164" width="15.85546875" style="1337" customWidth="1"/>
    <col min="6165" max="6392" width="9.140625" style="1337"/>
    <col min="6393" max="6393" width="18" style="1337" customWidth="1"/>
    <col min="6394" max="6394" width="21.140625" style="1337" customWidth="1"/>
    <col min="6395" max="6395" width="13" style="1337" customWidth="1"/>
    <col min="6396" max="6396" width="14.5703125" style="1337" customWidth="1"/>
    <col min="6397" max="6397" width="11.5703125" style="1337" customWidth="1"/>
    <col min="6398" max="6398" width="14.5703125" style="1337" customWidth="1"/>
    <col min="6399" max="6399" width="13.28515625" style="1337" customWidth="1"/>
    <col min="6400" max="6400" width="13.42578125" style="1337" customWidth="1"/>
    <col min="6401" max="6401" width="14.140625" style="1337" customWidth="1"/>
    <col min="6402" max="6402" width="17.5703125" style="1337" customWidth="1"/>
    <col min="6403" max="6403" width="16" style="1337" customWidth="1"/>
    <col min="6404" max="6404" width="19" style="1337" customWidth="1"/>
    <col min="6405" max="6405" width="14" style="1337" customWidth="1"/>
    <col min="6406" max="6409" width="19.140625" style="1337" customWidth="1"/>
    <col min="6410" max="6410" width="15" style="1337" customWidth="1"/>
    <col min="6411" max="6411" width="22" style="1337" customWidth="1"/>
    <col min="6412" max="6412" width="19.42578125" style="1337" customWidth="1"/>
    <col min="6413" max="6413" width="15" style="1337" customWidth="1"/>
    <col min="6414" max="6414" width="19.28515625" style="1337" customWidth="1"/>
    <col min="6415" max="6415" width="19.85546875" style="1337" customWidth="1"/>
    <col min="6416" max="6416" width="19.5703125" style="1337" customWidth="1"/>
    <col min="6417" max="6417" width="14" style="1337" customWidth="1"/>
    <col min="6418" max="6418" width="16.42578125" style="1337" customWidth="1"/>
    <col min="6419" max="6419" width="18.140625" style="1337" customWidth="1"/>
    <col min="6420" max="6420" width="15.85546875" style="1337" customWidth="1"/>
    <col min="6421" max="6648" width="9.140625" style="1337"/>
    <col min="6649" max="6649" width="18" style="1337" customWidth="1"/>
    <col min="6650" max="6650" width="21.140625" style="1337" customWidth="1"/>
    <col min="6651" max="6651" width="13" style="1337" customWidth="1"/>
    <col min="6652" max="6652" width="14.5703125" style="1337" customWidth="1"/>
    <col min="6653" max="6653" width="11.5703125" style="1337" customWidth="1"/>
    <col min="6654" max="6654" width="14.5703125" style="1337" customWidth="1"/>
    <col min="6655" max="6655" width="13.28515625" style="1337" customWidth="1"/>
    <col min="6656" max="6656" width="13.42578125" style="1337" customWidth="1"/>
    <col min="6657" max="6657" width="14.140625" style="1337" customWidth="1"/>
    <col min="6658" max="6658" width="17.5703125" style="1337" customWidth="1"/>
    <col min="6659" max="6659" width="16" style="1337" customWidth="1"/>
    <col min="6660" max="6660" width="19" style="1337" customWidth="1"/>
    <col min="6661" max="6661" width="14" style="1337" customWidth="1"/>
    <col min="6662" max="6665" width="19.140625" style="1337" customWidth="1"/>
    <col min="6666" max="6666" width="15" style="1337" customWidth="1"/>
    <col min="6667" max="6667" width="22" style="1337" customWidth="1"/>
    <col min="6668" max="6668" width="19.42578125" style="1337" customWidth="1"/>
    <col min="6669" max="6669" width="15" style="1337" customWidth="1"/>
    <col min="6670" max="6670" width="19.28515625" style="1337" customWidth="1"/>
    <col min="6671" max="6671" width="19.85546875" style="1337" customWidth="1"/>
    <col min="6672" max="6672" width="19.5703125" style="1337" customWidth="1"/>
    <col min="6673" max="6673" width="14" style="1337" customWidth="1"/>
    <col min="6674" max="6674" width="16.42578125" style="1337" customWidth="1"/>
    <col min="6675" max="6675" width="18.140625" style="1337" customWidth="1"/>
    <col min="6676" max="6676" width="15.85546875" style="1337" customWidth="1"/>
    <col min="6677" max="6904" width="9.140625" style="1337"/>
    <col min="6905" max="6905" width="18" style="1337" customWidth="1"/>
    <col min="6906" max="6906" width="21.140625" style="1337" customWidth="1"/>
    <col min="6907" max="6907" width="13" style="1337" customWidth="1"/>
    <col min="6908" max="6908" width="14.5703125" style="1337" customWidth="1"/>
    <col min="6909" max="6909" width="11.5703125" style="1337" customWidth="1"/>
    <col min="6910" max="6910" width="14.5703125" style="1337" customWidth="1"/>
    <col min="6911" max="6911" width="13.28515625" style="1337" customWidth="1"/>
    <col min="6912" max="6912" width="13.42578125" style="1337" customWidth="1"/>
    <col min="6913" max="6913" width="14.140625" style="1337" customWidth="1"/>
    <col min="6914" max="6914" width="17.5703125" style="1337" customWidth="1"/>
    <col min="6915" max="6915" width="16" style="1337" customWidth="1"/>
    <col min="6916" max="6916" width="19" style="1337" customWidth="1"/>
    <col min="6917" max="6917" width="14" style="1337" customWidth="1"/>
    <col min="6918" max="6921" width="19.140625" style="1337" customWidth="1"/>
    <col min="6922" max="6922" width="15" style="1337" customWidth="1"/>
    <col min="6923" max="6923" width="22" style="1337" customWidth="1"/>
    <col min="6924" max="6924" width="19.42578125" style="1337" customWidth="1"/>
    <col min="6925" max="6925" width="15" style="1337" customWidth="1"/>
    <col min="6926" max="6926" width="19.28515625" style="1337" customWidth="1"/>
    <col min="6927" max="6927" width="19.85546875" style="1337" customWidth="1"/>
    <col min="6928" max="6928" width="19.5703125" style="1337" customWidth="1"/>
    <col min="6929" max="6929" width="14" style="1337" customWidth="1"/>
    <col min="6930" max="6930" width="16.42578125" style="1337" customWidth="1"/>
    <col min="6931" max="6931" width="18.140625" style="1337" customWidth="1"/>
    <col min="6932" max="6932" width="15.85546875" style="1337" customWidth="1"/>
    <col min="6933" max="7160" width="9.140625" style="1337"/>
    <col min="7161" max="7161" width="18" style="1337" customWidth="1"/>
    <col min="7162" max="7162" width="21.140625" style="1337" customWidth="1"/>
    <col min="7163" max="7163" width="13" style="1337" customWidth="1"/>
    <col min="7164" max="7164" width="14.5703125" style="1337" customWidth="1"/>
    <col min="7165" max="7165" width="11.5703125" style="1337" customWidth="1"/>
    <col min="7166" max="7166" width="14.5703125" style="1337" customWidth="1"/>
    <col min="7167" max="7167" width="13.28515625" style="1337" customWidth="1"/>
    <col min="7168" max="7168" width="13.42578125" style="1337" customWidth="1"/>
    <col min="7169" max="7169" width="14.140625" style="1337" customWidth="1"/>
    <col min="7170" max="7170" width="17.5703125" style="1337" customWidth="1"/>
    <col min="7171" max="7171" width="16" style="1337" customWidth="1"/>
    <col min="7172" max="7172" width="19" style="1337" customWidth="1"/>
    <col min="7173" max="7173" width="14" style="1337" customWidth="1"/>
    <col min="7174" max="7177" width="19.140625" style="1337" customWidth="1"/>
    <col min="7178" max="7178" width="15" style="1337" customWidth="1"/>
    <col min="7179" max="7179" width="22" style="1337" customWidth="1"/>
    <col min="7180" max="7180" width="19.42578125" style="1337" customWidth="1"/>
    <col min="7181" max="7181" width="15" style="1337" customWidth="1"/>
    <col min="7182" max="7182" width="19.28515625" style="1337" customWidth="1"/>
    <col min="7183" max="7183" width="19.85546875" style="1337" customWidth="1"/>
    <col min="7184" max="7184" width="19.5703125" style="1337" customWidth="1"/>
    <col min="7185" max="7185" width="14" style="1337" customWidth="1"/>
    <col min="7186" max="7186" width="16.42578125" style="1337" customWidth="1"/>
    <col min="7187" max="7187" width="18.140625" style="1337" customWidth="1"/>
    <col min="7188" max="7188" width="15.85546875" style="1337" customWidth="1"/>
    <col min="7189" max="7416" width="9.140625" style="1337"/>
    <col min="7417" max="7417" width="18" style="1337" customWidth="1"/>
    <col min="7418" max="7418" width="21.140625" style="1337" customWidth="1"/>
    <col min="7419" max="7419" width="13" style="1337" customWidth="1"/>
    <col min="7420" max="7420" width="14.5703125" style="1337" customWidth="1"/>
    <col min="7421" max="7421" width="11.5703125" style="1337" customWidth="1"/>
    <col min="7422" max="7422" width="14.5703125" style="1337" customWidth="1"/>
    <col min="7423" max="7423" width="13.28515625" style="1337" customWidth="1"/>
    <col min="7424" max="7424" width="13.42578125" style="1337" customWidth="1"/>
    <col min="7425" max="7425" width="14.140625" style="1337" customWidth="1"/>
    <col min="7426" max="7426" width="17.5703125" style="1337" customWidth="1"/>
    <col min="7427" max="7427" width="16" style="1337" customWidth="1"/>
    <col min="7428" max="7428" width="19" style="1337" customWidth="1"/>
    <col min="7429" max="7429" width="14" style="1337" customWidth="1"/>
    <col min="7430" max="7433" width="19.140625" style="1337" customWidth="1"/>
    <col min="7434" max="7434" width="15" style="1337" customWidth="1"/>
    <col min="7435" max="7435" width="22" style="1337" customWidth="1"/>
    <col min="7436" max="7436" width="19.42578125" style="1337" customWidth="1"/>
    <col min="7437" max="7437" width="15" style="1337" customWidth="1"/>
    <col min="7438" max="7438" width="19.28515625" style="1337" customWidth="1"/>
    <col min="7439" max="7439" width="19.85546875" style="1337" customWidth="1"/>
    <col min="7440" max="7440" width="19.5703125" style="1337" customWidth="1"/>
    <col min="7441" max="7441" width="14" style="1337" customWidth="1"/>
    <col min="7442" max="7442" width="16.42578125" style="1337" customWidth="1"/>
    <col min="7443" max="7443" width="18.140625" style="1337" customWidth="1"/>
    <col min="7444" max="7444" width="15.85546875" style="1337" customWidth="1"/>
    <col min="7445" max="7672" width="9.140625" style="1337"/>
    <col min="7673" max="7673" width="18" style="1337" customWidth="1"/>
    <col min="7674" max="7674" width="21.140625" style="1337" customWidth="1"/>
    <col min="7675" max="7675" width="13" style="1337" customWidth="1"/>
    <col min="7676" max="7676" width="14.5703125" style="1337" customWidth="1"/>
    <col min="7677" max="7677" width="11.5703125" style="1337" customWidth="1"/>
    <col min="7678" max="7678" width="14.5703125" style="1337" customWidth="1"/>
    <col min="7679" max="7679" width="13.28515625" style="1337" customWidth="1"/>
    <col min="7680" max="7680" width="13.42578125" style="1337" customWidth="1"/>
    <col min="7681" max="7681" width="14.140625" style="1337" customWidth="1"/>
    <col min="7682" max="7682" width="17.5703125" style="1337" customWidth="1"/>
    <col min="7683" max="7683" width="16" style="1337" customWidth="1"/>
    <col min="7684" max="7684" width="19" style="1337" customWidth="1"/>
    <col min="7685" max="7685" width="14" style="1337" customWidth="1"/>
    <col min="7686" max="7689" width="19.140625" style="1337" customWidth="1"/>
    <col min="7690" max="7690" width="15" style="1337" customWidth="1"/>
    <col min="7691" max="7691" width="22" style="1337" customWidth="1"/>
    <col min="7692" max="7692" width="19.42578125" style="1337" customWidth="1"/>
    <col min="7693" max="7693" width="15" style="1337" customWidth="1"/>
    <col min="7694" max="7694" width="19.28515625" style="1337" customWidth="1"/>
    <col min="7695" max="7695" width="19.85546875" style="1337" customWidth="1"/>
    <col min="7696" max="7696" width="19.5703125" style="1337" customWidth="1"/>
    <col min="7697" max="7697" width="14" style="1337" customWidth="1"/>
    <col min="7698" max="7698" width="16.42578125" style="1337" customWidth="1"/>
    <col min="7699" max="7699" width="18.140625" style="1337" customWidth="1"/>
    <col min="7700" max="7700" width="15.85546875" style="1337" customWidth="1"/>
    <col min="7701" max="7928" width="9.140625" style="1337"/>
    <col min="7929" max="7929" width="18" style="1337" customWidth="1"/>
    <col min="7930" max="7930" width="21.140625" style="1337" customWidth="1"/>
    <col min="7931" max="7931" width="13" style="1337" customWidth="1"/>
    <col min="7932" max="7932" width="14.5703125" style="1337" customWidth="1"/>
    <col min="7933" max="7933" width="11.5703125" style="1337" customWidth="1"/>
    <col min="7934" max="7934" width="14.5703125" style="1337" customWidth="1"/>
    <col min="7935" max="7935" width="13.28515625" style="1337" customWidth="1"/>
    <col min="7936" max="7936" width="13.42578125" style="1337" customWidth="1"/>
    <col min="7937" max="7937" width="14.140625" style="1337" customWidth="1"/>
    <col min="7938" max="7938" width="17.5703125" style="1337" customWidth="1"/>
    <col min="7939" max="7939" width="16" style="1337" customWidth="1"/>
    <col min="7940" max="7940" width="19" style="1337" customWidth="1"/>
    <col min="7941" max="7941" width="14" style="1337" customWidth="1"/>
    <col min="7942" max="7945" width="19.140625" style="1337" customWidth="1"/>
    <col min="7946" max="7946" width="15" style="1337" customWidth="1"/>
    <col min="7947" max="7947" width="22" style="1337" customWidth="1"/>
    <col min="7948" max="7948" width="19.42578125" style="1337" customWidth="1"/>
    <col min="7949" max="7949" width="15" style="1337" customWidth="1"/>
    <col min="7950" max="7950" width="19.28515625" style="1337" customWidth="1"/>
    <col min="7951" max="7951" width="19.85546875" style="1337" customWidth="1"/>
    <col min="7952" max="7952" width="19.5703125" style="1337" customWidth="1"/>
    <col min="7953" max="7953" width="14" style="1337" customWidth="1"/>
    <col min="7954" max="7954" width="16.42578125" style="1337" customWidth="1"/>
    <col min="7955" max="7955" width="18.140625" style="1337" customWidth="1"/>
    <col min="7956" max="7956" width="15.85546875" style="1337" customWidth="1"/>
    <col min="7957" max="8184" width="9.140625" style="1337"/>
    <col min="8185" max="8185" width="18" style="1337" customWidth="1"/>
    <col min="8186" max="8186" width="21.140625" style="1337" customWidth="1"/>
    <col min="8187" max="8187" width="13" style="1337" customWidth="1"/>
    <col min="8188" max="8188" width="14.5703125" style="1337" customWidth="1"/>
    <col min="8189" max="8189" width="11.5703125" style="1337" customWidth="1"/>
    <col min="8190" max="8190" width="14.5703125" style="1337" customWidth="1"/>
    <col min="8191" max="8191" width="13.28515625" style="1337" customWidth="1"/>
    <col min="8192" max="8192" width="13.42578125" style="1337" customWidth="1"/>
    <col min="8193" max="8193" width="14.140625" style="1337" customWidth="1"/>
    <col min="8194" max="8194" width="17.5703125" style="1337" customWidth="1"/>
    <col min="8195" max="8195" width="16" style="1337" customWidth="1"/>
    <col min="8196" max="8196" width="19" style="1337" customWidth="1"/>
    <col min="8197" max="8197" width="14" style="1337" customWidth="1"/>
    <col min="8198" max="8201" width="19.140625" style="1337" customWidth="1"/>
    <col min="8202" max="8202" width="15" style="1337" customWidth="1"/>
    <col min="8203" max="8203" width="22" style="1337" customWidth="1"/>
    <col min="8204" max="8204" width="19.42578125" style="1337" customWidth="1"/>
    <col min="8205" max="8205" width="15" style="1337" customWidth="1"/>
    <col min="8206" max="8206" width="19.28515625" style="1337" customWidth="1"/>
    <col min="8207" max="8207" width="19.85546875" style="1337" customWidth="1"/>
    <col min="8208" max="8208" width="19.5703125" style="1337" customWidth="1"/>
    <col min="8209" max="8209" width="14" style="1337" customWidth="1"/>
    <col min="8210" max="8210" width="16.42578125" style="1337" customWidth="1"/>
    <col min="8211" max="8211" width="18.140625" style="1337" customWidth="1"/>
    <col min="8212" max="8212" width="15.85546875" style="1337" customWidth="1"/>
    <col min="8213" max="8440" width="9.140625" style="1337"/>
    <col min="8441" max="8441" width="18" style="1337" customWidth="1"/>
    <col min="8442" max="8442" width="21.140625" style="1337" customWidth="1"/>
    <col min="8443" max="8443" width="13" style="1337" customWidth="1"/>
    <col min="8444" max="8444" width="14.5703125" style="1337" customWidth="1"/>
    <col min="8445" max="8445" width="11.5703125" style="1337" customWidth="1"/>
    <col min="8446" max="8446" width="14.5703125" style="1337" customWidth="1"/>
    <col min="8447" max="8447" width="13.28515625" style="1337" customWidth="1"/>
    <col min="8448" max="8448" width="13.42578125" style="1337" customWidth="1"/>
    <col min="8449" max="8449" width="14.140625" style="1337" customWidth="1"/>
    <col min="8450" max="8450" width="17.5703125" style="1337" customWidth="1"/>
    <col min="8451" max="8451" width="16" style="1337" customWidth="1"/>
    <col min="8452" max="8452" width="19" style="1337" customWidth="1"/>
    <col min="8453" max="8453" width="14" style="1337" customWidth="1"/>
    <col min="8454" max="8457" width="19.140625" style="1337" customWidth="1"/>
    <col min="8458" max="8458" width="15" style="1337" customWidth="1"/>
    <col min="8459" max="8459" width="22" style="1337" customWidth="1"/>
    <col min="8460" max="8460" width="19.42578125" style="1337" customWidth="1"/>
    <col min="8461" max="8461" width="15" style="1337" customWidth="1"/>
    <col min="8462" max="8462" width="19.28515625" style="1337" customWidth="1"/>
    <col min="8463" max="8463" width="19.85546875" style="1337" customWidth="1"/>
    <col min="8464" max="8464" width="19.5703125" style="1337" customWidth="1"/>
    <col min="8465" max="8465" width="14" style="1337" customWidth="1"/>
    <col min="8466" max="8466" width="16.42578125" style="1337" customWidth="1"/>
    <col min="8467" max="8467" width="18.140625" style="1337" customWidth="1"/>
    <col min="8468" max="8468" width="15.85546875" style="1337" customWidth="1"/>
    <col min="8469" max="8696" width="9.140625" style="1337"/>
    <col min="8697" max="8697" width="18" style="1337" customWidth="1"/>
    <col min="8698" max="8698" width="21.140625" style="1337" customWidth="1"/>
    <col min="8699" max="8699" width="13" style="1337" customWidth="1"/>
    <col min="8700" max="8700" width="14.5703125" style="1337" customWidth="1"/>
    <col min="8701" max="8701" width="11.5703125" style="1337" customWidth="1"/>
    <col min="8702" max="8702" width="14.5703125" style="1337" customWidth="1"/>
    <col min="8703" max="8703" width="13.28515625" style="1337" customWidth="1"/>
    <col min="8704" max="8704" width="13.42578125" style="1337" customWidth="1"/>
    <col min="8705" max="8705" width="14.140625" style="1337" customWidth="1"/>
    <col min="8706" max="8706" width="17.5703125" style="1337" customWidth="1"/>
    <col min="8707" max="8707" width="16" style="1337" customWidth="1"/>
    <col min="8708" max="8708" width="19" style="1337" customWidth="1"/>
    <col min="8709" max="8709" width="14" style="1337" customWidth="1"/>
    <col min="8710" max="8713" width="19.140625" style="1337" customWidth="1"/>
    <col min="8714" max="8714" width="15" style="1337" customWidth="1"/>
    <col min="8715" max="8715" width="22" style="1337" customWidth="1"/>
    <col min="8716" max="8716" width="19.42578125" style="1337" customWidth="1"/>
    <col min="8717" max="8717" width="15" style="1337" customWidth="1"/>
    <col min="8718" max="8718" width="19.28515625" style="1337" customWidth="1"/>
    <col min="8719" max="8719" width="19.85546875" style="1337" customWidth="1"/>
    <col min="8720" max="8720" width="19.5703125" style="1337" customWidth="1"/>
    <col min="8721" max="8721" width="14" style="1337" customWidth="1"/>
    <col min="8722" max="8722" width="16.42578125" style="1337" customWidth="1"/>
    <col min="8723" max="8723" width="18.140625" style="1337" customWidth="1"/>
    <col min="8724" max="8724" width="15.85546875" style="1337" customWidth="1"/>
    <col min="8725" max="8952" width="9.140625" style="1337"/>
    <col min="8953" max="8953" width="18" style="1337" customWidth="1"/>
    <col min="8954" max="8954" width="21.140625" style="1337" customWidth="1"/>
    <col min="8955" max="8955" width="13" style="1337" customWidth="1"/>
    <col min="8956" max="8956" width="14.5703125" style="1337" customWidth="1"/>
    <col min="8957" max="8957" width="11.5703125" style="1337" customWidth="1"/>
    <col min="8958" max="8958" width="14.5703125" style="1337" customWidth="1"/>
    <col min="8959" max="8959" width="13.28515625" style="1337" customWidth="1"/>
    <col min="8960" max="8960" width="13.42578125" style="1337" customWidth="1"/>
    <col min="8961" max="8961" width="14.140625" style="1337" customWidth="1"/>
    <col min="8962" max="8962" width="17.5703125" style="1337" customWidth="1"/>
    <col min="8963" max="8963" width="16" style="1337" customWidth="1"/>
    <col min="8964" max="8964" width="19" style="1337" customWidth="1"/>
    <col min="8965" max="8965" width="14" style="1337" customWidth="1"/>
    <col min="8966" max="8969" width="19.140625" style="1337" customWidth="1"/>
    <col min="8970" max="8970" width="15" style="1337" customWidth="1"/>
    <col min="8971" max="8971" width="22" style="1337" customWidth="1"/>
    <col min="8972" max="8972" width="19.42578125" style="1337" customWidth="1"/>
    <col min="8973" max="8973" width="15" style="1337" customWidth="1"/>
    <col min="8974" max="8974" width="19.28515625" style="1337" customWidth="1"/>
    <col min="8975" max="8975" width="19.85546875" style="1337" customWidth="1"/>
    <col min="8976" max="8976" width="19.5703125" style="1337" customWidth="1"/>
    <col min="8977" max="8977" width="14" style="1337" customWidth="1"/>
    <col min="8978" max="8978" width="16.42578125" style="1337" customWidth="1"/>
    <col min="8979" max="8979" width="18.140625" style="1337" customWidth="1"/>
    <col min="8980" max="8980" width="15.85546875" style="1337" customWidth="1"/>
    <col min="8981" max="9208" width="9.140625" style="1337"/>
    <col min="9209" max="9209" width="18" style="1337" customWidth="1"/>
    <col min="9210" max="9210" width="21.140625" style="1337" customWidth="1"/>
    <col min="9211" max="9211" width="13" style="1337" customWidth="1"/>
    <col min="9212" max="9212" width="14.5703125" style="1337" customWidth="1"/>
    <col min="9213" max="9213" width="11.5703125" style="1337" customWidth="1"/>
    <col min="9214" max="9214" width="14.5703125" style="1337" customWidth="1"/>
    <col min="9215" max="9215" width="13.28515625" style="1337" customWidth="1"/>
    <col min="9216" max="9216" width="13.42578125" style="1337" customWidth="1"/>
    <col min="9217" max="9217" width="14.140625" style="1337" customWidth="1"/>
    <col min="9218" max="9218" width="17.5703125" style="1337" customWidth="1"/>
    <col min="9219" max="9219" width="16" style="1337" customWidth="1"/>
    <col min="9220" max="9220" width="19" style="1337" customWidth="1"/>
    <col min="9221" max="9221" width="14" style="1337" customWidth="1"/>
    <col min="9222" max="9225" width="19.140625" style="1337" customWidth="1"/>
    <col min="9226" max="9226" width="15" style="1337" customWidth="1"/>
    <col min="9227" max="9227" width="22" style="1337" customWidth="1"/>
    <col min="9228" max="9228" width="19.42578125" style="1337" customWidth="1"/>
    <col min="9229" max="9229" width="15" style="1337" customWidth="1"/>
    <col min="9230" max="9230" width="19.28515625" style="1337" customWidth="1"/>
    <col min="9231" max="9231" width="19.85546875" style="1337" customWidth="1"/>
    <col min="9232" max="9232" width="19.5703125" style="1337" customWidth="1"/>
    <col min="9233" max="9233" width="14" style="1337" customWidth="1"/>
    <col min="9234" max="9234" width="16.42578125" style="1337" customWidth="1"/>
    <col min="9235" max="9235" width="18.140625" style="1337" customWidth="1"/>
    <col min="9236" max="9236" width="15.85546875" style="1337" customWidth="1"/>
    <col min="9237" max="9464" width="9.140625" style="1337"/>
    <col min="9465" max="9465" width="18" style="1337" customWidth="1"/>
    <col min="9466" max="9466" width="21.140625" style="1337" customWidth="1"/>
    <col min="9467" max="9467" width="13" style="1337" customWidth="1"/>
    <col min="9468" max="9468" width="14.5703125" style="1337" customWidth="1"/>
    <col min="9469" max="9469" width="11.5703125" style="1337" customWidth="1"/>
    <col min="9470" max="9470" width="14.5703125" style="1337" customWidth="1"/>
    <col min="9471" max="9471" width="13.28515625" style="1337" customWidth="1"/>
    <col min="9472" max="9472" width="13.42578125" style="1337" customWidth="1"/>
    <col min="9473" max="9473" width="14.140625" style="1337" customWidth="1"/>
    <col min="9474" max="9474" width="17.5703125" style="1337" customWidth="1"/>
    <col min="9475" max="9475" width="16" style="1337" customWidth="1"/>
    <col min="9476" max="9476" width="19" style="1337" customWidth="1"/>
    <col min="9477" max="9477" width="14" style="1337" customWidth="1"/>
    <col min="9478" max="9481" width="19.140625" style="1337" customWidth="1"/>
    <col min="9482" max="9482" width="15" style="1337" customWidth="1"/>
    <col min="9483" max="9483" width="22" style="1337" customWidth="1"/>
    <col min="9484" max="9484" width="19.42578125" style="1337" customWidth="1"/>
    <col min="9485" max="9485" width="15" style="1337" customWidth="1"/>
    <col min="9486" max="9486" width="19.28515625" style="1337" customWidth="1"/>
    <col min="9487" max="9487" width="19.85546875" style="1337" customWidth="1"/>
    <col min="9488" max="9488" width="19.5703125" style="1337" customWidth="1"/>
    <col min="9489" max="9489" width="14" style="1337" customWidth="1"/>
    <col min="9490" max="9490" width="16.42578125" style="1337" customWidth="1"/>
    <col min="9491" max="9491" width="18.140625" style="1337" customWidth="1"/>
    <col min="9492" max="9492" width="15.85546875" style="1337" customWidth="1"/>
    <col min="9493" max="9720" width="9.140625" style="1337"/>
    <col min="9721" max="9721" width="18" style="1337" customWidth="1"/>
    <col min="9722" max="9722" width="21.140625" style="1337" customWidth="1"/>
    <col min="9723" max="9723" width="13" style="1337" customWidth="1"/>
    <col min="9724" max="9724" width="14.5703125" style="1337" customWidth="1"/>
    <col min="9725" max="9725" width="11.5703125" style="1337" customWidth="1"/>
    <col min="9726" max="9726" width="14.5703125" style="1337" customWidth="1"/>
    <col min="9727" max="9727" width="13.28515625" style="1337" customWidth="1"/>
    <col min="9728" max="9728" width="13.42578125" style="1337" customWidth="1"/>
    <col min="9729" max="9729" width="14.140625" style="1337" customWidth="1"/>
    <col min="9730" max="9730" width="17.5703125" style="1337" customWidth="1"/>
    <col min="9731" max="9731" width="16" style="1337" customWidth="1"/>
    <col min="9732" max="9732" width="19" style="1337" customWidth="1"/>
    <col min="9733" max="9733" width="14" style="1337" customWidth="1"/>
    <col min="9734" max="9737" width="19.140625" style="1337" customWidth="1"/>
    <col min="9738" max="9738" width="15" style="1337" customWidth="1"/>
    <col min="9739" max="9739" width="22" style="1337" customWidth="1"/>
    <col min="9740" max="9740" width="19.42578125" style="1337" customWidth="1"/>
    <col min="9741" max="9741" width="15" style="1337" customWidth="1"/>
    <col min="9742" max="9742" width="19.28515625" style="1337" customWidth="1"/>
    <col min="9743" max="9743" width="19.85546875" style="1337" customWidth="1"/>
    <col min="9744" max="9744" width="19.5703125" style="1337" customWidth="1"/>
    <col min="9745" max="9745" width="14" style="1337" customWidth="1"/>
    <col min="9746" max="9746" width="16.42578125" style="1337" customWidth="1"/>
    <col min="9747" max="9747" width="18.140625" style="1337" customWidth="1"/>
    <col min="9748" max="9748" width="15.85546875" style="1337" customWidth="1"/>
    <col min="9749" max="9976" width="9.140625" style="1337"/>
    <col min="9977" max="9977" width="18" style="1337" customWidth="1"/>
    <col min="9978" max="9978" width="21.140625" style="1337" customWidth="1"/>
    <col min="9979" max="9979" width="13" style="1337" customWidth="1"/>
    <col min="9980" max="9980" width="14.5703125" style="1337" customWidth="1"/>
    <col min="9981" max="9981" width="11.5703125" style="1337" customWidth="1"/>
    <col min="9982" max="9982" width="14.5703125" style="1337" customWidth="1"/>
    <col min="9983" max="9983" width="13.28515625" style="1337" customWidth="1"/>
    <col min="9984" max="9984" width="13.42578125" style="1337" customWidth="1"/>
    <col min="9985" max="9985" width="14.140625" style="1337" customWidth="1"/>
    <col min="9986" max="9986" width="17.5703125" style="1337" customWidth="1"/>
    <col min="9987" max="9987" width="16" style="1337" customWidth="1"/>
    <col min="9988" max="9988" width="19" style="1337" customWidth="1"/>
    <col min="9989" max="9989" width="14" style="1337" customWidth="1"/>
    <col min="9990" max="9993" width="19.140625" style="1337" customWidth="1"/>
    <col min="9994" max="9994" width="15" style="1337" customWidth="1"/>
    <col min="9995" max="9995" width="22" style="1337" customWidth="1"/>
    <col min="9996" max="9996" width="19.42578125" style="1337" customWidth="1"/>
    <col min="9997" max="9997" width="15" style="1337" customWidth="1"/>
    <col min="9998" max="9998" width="19.28515625" style="1337" customWidth="1"/>
    <col min="9999" max="9999" width="19.85546875" style="1337" customWidth="1"/>
    <col min="10000" max="10000" width="19.5703125" style="1337" customWidth="1"/>
    <col min="10001" max="10001" width="14" style="1337" customWidth="1"/>
    <col min="10002" max="10002" width="16.42578125" style="1337" customWidth="1"/>
    <col min="10003" max="10003" width="18.140625" style="1337" customWidth="1"/>
    <col min="10004" max="10004" width="15.85546875" style="1337" customWidth="1"/>
    <col min="10005" max="10232" width="9.140625" style="1337"/>
    <col min="10233" max="10233" width="18" style="1337" customWidth="1"/>
    <col min="10234" max="10234" width="21.140625" style="1337" customWidth="1"/>
    <col min="10235" max="10235" width="13" style="1337" customWidth="1"/>
    <col min="10236" max="10236" width="14.5703125" style="1337" customWidth="1"/>
    <col min="10237" max="10237" width="11.5703125" style="1337" customWidth="1"/>
    <col min="10238" max="10238" width="14.5703125" style="1337" customWidth="1"/>
    <col min="10239" max="10239" width="13.28515625" style="1337" customWidth="1"/>
    <col min="10240" max="10240" width="13.42578125" style="1337" customWidth="1"/>
    <col min="10241" max="10241" width="14.140625" style="1337" customWidth="1"/>
    <col min="10242" max="10242" width="17.5703125" style="1337" customWidth="1"/>
    <col min="10243" max="10243" width="16" style="1337" customWidth="1"/>
    <col min="10244" max="10244" width="19" style="1337" customWidth="1"/>
    <col min="10245" max="10245" width="14" style="1337" customWidth="1"/>
    <col min="10246" max="10249" width="19.140625" style="1337" customWidth="1"/>
    <col min="10250" max="10250" width="15" style="1337" customWidth="1"/>
    <col min="10251" max="10251" width="22" style="1337" customWidth="1"/>
    <col min="10252" max="10252" width="19.42578125" style="1337" customWidth="1"/>
    <col min="10253" max="10253" width="15" style="1337" customWidth="1"/>
    <col min="10254" max="10254" width="19.28515625" style="1337" customWidth="1"/>
    <col min="10255" max="10255" width="19.85546875" style="1337" customWidth="1"/>
    <col min="10256" max="10256" width="19.5703125" style="1337" customWidth="1"/>
    <col min="10257" max="10257" width="14" style="1337" customWidth="1"/>
    <col min="10258" max="10258" width="16.42578125" style="1337" customWidth="1"/>
    <col min="10259" max="10259" width="18.140625" style="1337" customWidth="1"/>
    <col min="10260" max="10260" width="15.85546875" style="1337" customWidth="1"/>
    <col min="10261" max="10488" width="9.140625" style="1337"/>
    <col min="10489" max="10489" width="18" style="1337" customWidth="1"/>
    <col min="10490" max="10490" width="21.140625" style="1337" customWidth="1"/>
    <col min="10491" max="10491" width="13" style="1337" customWidth="1"/>
    <col min="10492" max="10492" width="14.5703125" style="1337" customWidth="1"/>
    <col min="10493" max="10493" width="11.5703125" style="1337" customWidth="1"/>
    <col min="10494" max="10494" width="14.5703125" style="1337" customWidth="1"/>
    <col min="10495" max="10495" width="13.28515625" style="1337" customWidth="1"/>
    <col min="10496" max="10496" width="13.42578125" style="1337" customWidth="1"/>
    <col min="10497" max="10497" width="14.140625" style="1337" customWidth="1"/>
    <col min="10498" max="10498" width="17.5703125" style="1337" customWidth="1"/>
    <col min="10499" max="10499" width="16" style="1337" customWidth="1"/>
    <col min="10500" max="10500" width="19" style="1337" customWidth="1"/>
    <col min="10501" max="10501" width="14" style="1337" customWidth="1"/>
    <col min="10502" max="10505" width="19.140625" style="1337" customWidth="1"/>
    <col min="10506" max="10506" width="15" style="1337" customWidth="1"/>
    <col min="10507" max="10507" width="22" style="1337" customWidth="1"/>
    <col min="10508" max="10508" width="19.42578125" style="1337" customWidth="1"/>
    <col min="10509" max="10509" width="15" style="1337" customWidth="1"/>
    <col min="10510" max="10510" width="19.28515625" style="1337" customWidth="1"/>
    <col min="10511" max="10511" width="19.85546875" style="1337" customWidth="1"/>
    <col min="10512" max="10512" width="19.5703125" style="1337" customWidth="1"/>
    <col min="10513" max="10513" width="14" style="1337" customWidth="1"/>
    <col min="10514" max="10514" width="16.42578125" style="1337" customWidth="1"/>
    <col min="10515" max="10515" width="18.140625" style="1337" customWidth="1"/>
    <col min="10516" max="10516" width="15.85546875" style="1337" customWidth="1"/>
    <col min="10517" max="10744" width="9.140625" style="1337"/>
    <col min="10745" max="10745" width="18" style="1337" customWidth="1"/>
    <col min="10746" max="10746" width="21.140625" style="1337" customWidth="1"/>
    <col min="10747" max="10747" width="13" style="1337" customWidth="1"/>
    <col min="10748" max="10748" width="14.5703125" style="1337" customWidth="1"/>
    <col min="10749" max="10749" width="11.5703125" style="1337" customWidth="1"/>
    <col min="10750" max="10750" width="14.5703125" style="1337" customWidth="1"/>
    <col min="10751" max="10751" width="13.28515625" style="1337" customWidth="1"/>
    <col min="10752" max="10752" width="13.42578125" style="1337" customWidth="1"/>
    <col min="10753" max="10753" width="14.140625" style="1337" customWidth="1"/>
    <col min="10754" max="10754" width="17.5703125" style="1337" customWidth="1"/>
    <col min="10755" max="10755" width="16" style="1337" customWidth="1"/>
    <col min="10756" max="10756" width="19" style="1337" customWidth="1"/>
    <col min="10757" max="10757" width="14" style="1337" customWidth="1"/>
    <col min="10758" max="10761" width="19.140625" style="1337" customWidth="1"/>
    <col min="10762" max="10762" width="15" style="1337" customWidth="1"/>
    <col min="10763" max="10763" width="22" style="1337" customWidth="1"/>
    <col min="10764" max="10764" width="19.42578125" style="1337" customWidth="1"/>
    <col min="10765" max="10765" width="15" style="1337" customWidth="1"/>
    <col min="10766" max="10766" width="19.28515625" style="1337" customWidth="1"/>
    <col min="10767" max="10767" width="19.85546875" style="1337" customWidth="1"/>
    <col min="10768" max="10768" width="19.5703125" style="1337" customWidth="1"/>
    <col min="10769" max="10769" width="14" style="1337" customWidth="1"/>
    <col min="10770" max="10770" width="16.42578125" style="1337" customWidth="1"/>
    <col min="10771" max="10771" width="18.140625" style="1337" customWidth="1"/>
    <col min="10772" max="10772" width="15.85546875" style="1337" customWidth="1"/>
    <col min="10773" max="11000" width="9.140625" style="1337"/>
    <col min="11001" max="11001" width="18" style="1337" customWidth="1"/>
    <col min="11002" max="11002" width="21.140625" style="1337" customWidth="1"/>
    <col min="11003" max="11003" width="13" style="1337" customWidth="1"/>
    <col min="11004" max="11004" width="14.5703125" style="1337" customWidth="1"/>
    <col min="11005" max="11005" width="11.5703125" style="1337" customWidth="1"/>
    <col min="11006" max="11006" width="14.5703125" style="1337" customWidth="1"/>
    <col min="11007" max="11007" width="13.28515625" style="1337" customWidth="1"/>
    <col min="11008" max="11008" width="13.42578125" style="1337" customWidth="1"/>
    <col min="11009" max="11009" width="14.140625" style="1337" customWidth="1"/>
    <col min="11010" max="11010" width="17.5703125" style="1337" customWidth="1"/>
    <col min="11011" max="11011" width="16" style="1337" customWidth="1"/>
    <col min="11012" max="11012" width="19" style="1337" customWidth="1"/>
    <col min="11013" max="11013" width="14" style="1337" customWidth="1"/>
    <col min="11014" max="11017" width="19.140625" style="1337" customWidth="1"/>
    <col min="11018" max="11018" width="15" style="1337" customWidth="1"/>
    <col min="11019" max="11019" width="22" style="1337" customWidth="1"/>
    <col min="11020" max="11020" width="19.42578125" style="1337" customWidth="1"/>
    <col min="11021" max="11021" width="15" style="1337" customWidth="1"/>
    <col min="11022" max="11022" width="19.28515625" style="1337" customWidth="1"/>
    <col min="11023" max="11023" width="19.85546875" style="1337" customWidth="1"/>
    <col min="11024" max="11024" width="19.5703125" style="1337" customWidth="1"/>
    <col min="11025" max="11025" width="14" style="1337" customWidth="1"/>
    <col min="11026" max="11026" width="16.42578125" style="1337" customWidth="1"/>
    <col min="11027" max="11027" width="18.140625" style="1337" customWidth="1"/>
    <col min="11028" max="11028" width="15.85546875" style="1337" customWidth="1"/>
    <col min="11029" max="11256" width="9.140625" style="1337"/>
    <col min="11257" max="11257" width="18" style="1337" customWidth="1"/>
    <col min="11258" max="11258" width="21.140625" style="1337" customWidth="1"/>
    <col min="11259" max="11259" width="13" style="1337" customWidth="1"/>
    <col min="11260" max="11260" width="14.5703125" style="1337" customWidth="1"/>
    <col min="11261" max="11261" width="11.5703125" style="1337" customWidth="1"/>
    <col min="11262" max="11262" width="14.5703125" style="1337" customWidth="1"/>
    <col min="11263" max="11263" width="13.28515625" style="1337" customWidth="1"/>
    <col min="11264" max="11264" width="13.42578125" style="1337" customWidth="1"/>
    <col min="11265" max="11265" width="14.140625" style="1337" customWidth="1"/>
    <col min="11266" max="11266" width="17.5703125" style="1337" customWidth="1"/>
    <col min="11267" max="11267" width="16" style="1337" customWidth="1"/>
    <col min="11268" max="11268" width="19" style="1337" customWidth="1"/>
    <col min="11269" max="11269" width="14" style="1337" customWidth="1"/>
    <col min="11270" max="11273" width="19.140625" style="1337" customWidth="1"/>
    <col min="11274" max="11274" width="15" style="1337" customWidth="1"/>
    <col min="11275" max="11275" width="22" style="1337" customWidth="1"/>
    <col min="11276" max="11276" width="19.42578125" style="1337" customWidth="1"/>
    <col min="11277" max="11277" width="15" style="1337" customWidth="1"/>
    <col min="11278" max="11278" width="19.28515625" style="1337" customWidth="1"/>
    <col min="11279" max="11279" width="19.85546875" style="1337" customWidth="1"/>
    <col min="11280" max="11280" width="19.5703125" style="1337" customWidth="1"/>
    <col min="11281" max="11281" width="14" style="1337" customWidth="1"/>
    <col min="11282" max="11282" width="16.42578125" style="1337" customWidth="1"/>
    <col min="11283" max="11283" width="18.140625" style="1337" customWidth="1"/>
    <col min="11284" max="11284" width="15.85546875" style="1337" customWidth="1"/>
    <col min="11285" max="11512" width="9.140625" style="1337"/>
    <col min="11513" max="11513" width="18" style="1337" customWidth="1"/>
    <col min="11514" max="11514" width="21.140625" style="1337" customWidth="1"/>
    <col min="11515" max="11515" width="13" style="1337" customWidth="1"/>
    <col min="11516" max="11516" width="14.5703125" style="1337" customWidth="1"/>
    <col min="11517" max="11517" width="11.5703125" style="1337" customWidth="1"/>
    <col min="11518" max="11518" width="14.5703125" style="1337" customWidth="1"/>
    <col min="11519" max="11519" width="13.28515625" style="1337" customWidth="1"/>
    <col min="11520" max="11520" width="13.42578125" style="1337" customWidth="1"/>
    <col min="11521" max="11521" width="14.140625" style="1337" customWidth="1"/>
    <col min="11522" max="11522" width="17.5703125" style="1337" customWidth="1"/>
    <col min="11523" max="11523" width="16" style="1337" customWidth="1"/>
    <col min="11524" max="11524" width="19" style="1337" customWidth="1"/>
    <col min="11525" max="11525" width="14" style="1337" customWidth="1"/>
    <col min="11526" max="11529" width="19.140625" style="1337" customWidth="1"/>
    <col min="11530" max="11530" width="15" style="1337" customWidth="1"/>
    <col min="11531" max="11531" width="22" style="1337" customWidth="1"/>
    <col min="11532" max="11532" width="19.42578125" style="1337" customWidth="1"/>
    <col min="11533" max="11533" width="15" style="1337" customWidth="1"/>
    <col min="11534" max="11534" width="19.28515625" style="1337" customWidth="1"/>
    <col min="11535" max="11535" width="19.85546875" style="1337" customWidth="1"/>
    <col min="11536" max="11536" width="19.5703125" style="1337" customWidth="1"/>
    <col min="11537" max="11537" width="14" style="1337" customWidth="1"/>
    <col min="11538" max="11538" width="16.42578125" style="1337" customWidth="1"/>
    <col min="11539" max="11539" width="18.140625" style="1337" customWidth="1"/>
    <col min="11540" max="11540" width="15.85546875" style="1337" customWidth="1"/>
    <col min="11541" max="11768" width="9.140625" style="1337"/>
    <col min="11769" max="11769" width="18" style="1337" customWidth="1"/>
    <col min="11770" max="11770" width="21.140625" style="1337" customWidth="1"/>
    <col min="11771" max="11771" width="13" style="1337" customWidth="1"/>
    <col min="11772" max="11772" width="14.5703125" style="1337" customWidth="1"/>
    <col min="11773" max="11773" width="11.5703125" style="1337" customWidth="1"/>
    <col min="11774" max="11774" width="14.5703125" style="1337" customWidth="1"/>
    <col min="11775" max="11775" width="13.28515625" style="1337" customWidth="1"/>
    <col min="11776" max="11776" width="13.42578125" style="1337" customWidth="1"/>
    <col min="11777" max="11777" width="14.140625" style="1337" customWidth="1"/>
    <col min="11778" max="11778" width="17.5703125" style="1337" customWidth="1"/>
    <col min="11779" max="11779" width="16" style="1337" customWidth="1"/>
    <col min="11780" max="11780" width="19" style="1337" customWidth="1"/>
    <col min="11781" max="11781" width="14" style="1337" customWidth="1"/>
    <col min="11782" max="11785" width="19.140625" style="1337" customWidth="1"/>
    <col min="11786" max="11786" width="15" style="1337" customWidth="1"/>
    <col min="11787" max="11787" width="22" style="1337" customWidth="1"/>
    <col min="11788" max="11788" width="19.42578125" style="1337" customWidth="1"/>
    <col min="11789" max="11789" width="15" style="1337" customWidth="1"/>
    <col min="11790" max="11790" width="19.28515625" style="1337" customWidth="1"/>
    <col min="11791" max="11791" width="19.85546875" style="1337" customWidth="1"/>
    <col min="11792" max="11792" width="19.5703125" style="1337" customWidth="1"/>
    <col min="11793" max="11793" width="14" style="1337" customWidth="1"/>
    <col min="11794" max="11794" width="16.42578125" style="1337" customWidth="1"/>
    <col min="11795" max="11795" width="18.140625" style="1337" customWidth="1"/>
    <col min="11796" max="11796" width="15.85546875" style="1337" customWidth="1"/>
    <col min="11797" max="12024" width="9.140625" style="1337"/>
    <col min="12025" max="12025" width="18" style="1337" customWidth="1"/>
    <col min="12026" max="12026" width="21.140625" style="1337" customWidth="1"/>
    <col min="12027" max="12027" width="13" style="1337" customWidth="1"/>
    <col min="12028" max="12028" width="14.5703125" style="1337" customWidth="1"/>
    <col min="12029" max="12029" width="11.5703125" style="1337" customWidth="1"/>
    <col min="12030" max="12030" width="14.5703125" style="1337" customWidth="1"/>
    <col min="12031" max="12031" width="13.28515625" style="1337" customWidth="1"/>
    <col min="12032" max="12032" width="13.42578125" style="1337" customWidth="1"/>
    <col min="12033" max="12033" width="14.140625" style="1337" customWidth="1"/>
    <col min="12034" max="12034" width="17.5703125" style="1337" customWidth="1"/>
    <col min="12035" max="12035" width="16" style="1337" customWidth="1"/>
    <col min="12036" max="12036" width="19" style="1337" customWidth="1"/>
    <col min="12037" max="12037" width="14" style="1337" customWidth="1"/>
    <col min="12038" max="12041" width="19.140625" style="1337" customWidth="1"/>
    <col min="12042" max="12042" width="15" style="1337" customWidth="1"/>
    <col min="12043" max="12043" width="22" style="1337" customWidth="1"/>
    <col min="12044" max="12044" width="19.42578125" style="1337" customWidth="1"/>
    <col min="12045" max="12045" width="15" style="1337" customWidth="1"/>
    <col min="12046" max="12046" width="19.28515625" style="1337" customWidth="1"/>
    <col min="12047" max="12047" width="19.85546875" style="1337" customWidth="1"/>
    <col min="12048" max="12048" width="19.5703125" style="1337" customWidth="1"/>
    <col min="12049" max="12049" width="14" style="1337" customWidth="1"/>
    <col min="12050" max="12050" width="16.42578125" style="1337" customWidth="1"/>
    <col min="12051" max="12051" width="18.140625" style="1337" customWidth="1"/>
    <col min="12052" max="12052" width="15.85546875" style="1337" customWidth="1"/>
    <col min="12053" max="12280" width="9.140625" style="1337"/>
    <col min="12281" max="12281" width="18" style="1337" customWidth="1"/>
    <col min="12282" max="12282" width="21.140625" style="1337" customWidth="1"/>
    <col min="12283" max="12283" width="13" style="1337" customWidth="1"/>
    <col min="12284" max="12284" width="14.5703125" style="1337" customWidth="1"/>
    <col min="12285" max="12285" width="11.5703125" style="1337" customWidth="1"/>
    <col min="12286" max="12286" width="14.5703125" style="1337" customWidth="1"/>
    <col min="12287" max="12287" width="13.28515625" style="1337" customWidth="1"/>
    <col min="12288" max="12288" width="13.42578125" style="1337" customWidth="1"/>
    <col min="12289" max="12289" width="14.140625" style="1337" customWidth="1"/>
    <col min="12290" max="12290" width="17.5703125" style="1337" customWidth="1"/>
    <col min="12291" max="12291" width="16" style="1337" customWidth="1"/>
    <col min="12292" max="12292" width="19" style="1337" customWidth="1"/>
    <col min="12293" max="12293" width="14" style="1337" customWidth="1"/>
    <col min="12294" max="12297" width="19.140625" style="1337" customWidth="1"/>
    <col min="12298" max="12298" width="15" style="1337" customWidth="1"/>
    <col min="12299" max="12299" width="22" style="1337" customWidth="1"/>
    <col min="12300" max="12300" width="19.42578125" style="1337" customWidth="1"/>
    <col min="12301" max="12301" width="15" style="1337" customWidth="1"/>
    <col min="12302" max="12302" width="19.28515625" style="1337" customWidth="1"/>
    <col min="12303" max="12303" width="19.85546875" style="1337" customWidth="1"/>
    <col min="12304" max="12304" width="19.5703125" style="1337" customWidth="1"/>
    <col min="12305" max="12305" width="14" style="1337" customWidth="1"/>
    <col min="12306" max="12306" width="16.42578125" style="1337" customWidth="1"/>
    <col min="12307" max="12307" width="18.140625" style="1337" customWidth="1"/>
    <col min="12308" max="12308" width="15.85546875" style="1337" customWidth="1"/>
    <col min="12309" max="12536" width="9.140625" style="1337"/>
    <col min="12537" max="12537" width="18" style="1337" customWidth="1"/>
    <col min="12538" max="12538" width="21.140625" style="1337" customWidth="1"/>
    <col min="12539" max="12539" width="13" style="1337" customWidth="1"/>
    <col min="12540" max="12540" width="14.5703125" style="1337" customWidth="1"/>
    <col min="12541" max="12541" width="11.5703125" style="1337" customWidth="1"/>
    <col min="12542" max="12542" width="14.5703125" style="1337" customWidth="1"/>
    <col min="12543" max="12543" width="13.28515625" style="1337" customWidth="1"/>
    <col min="12544" max="12544" width="13.42578125" style="1337" customWidth="1"/>
    <col min="12545" max="12545" width="14.140625" style="1337" customWidth="1"/>
    <col min="12546" max="12546" width="17.5703125" style="1337" customWidth="1"/>
    <col min="12547" max="12547" width="16" style="1337" customWidth="1"/>
    <col min="12548" max="12548" width="19" style="1337" customWidth="1"/>
    <col min="12549" max="12549" width="14" style="1337" customWidth="1"/>
    <col min="12550" max="12553" width="19.140625" style="1337" customWidth="1"/>
    <col min="12554" max="12554" width="15" style="1337" customWidth="1"/>
    <col min="12555" max="12555" width="22" style="1337" customWidth="1"/>
    <col min="12556" max="12556" width="19.42578125" style="1337" customWidth="1"/>
    <col min="12557" max="12557" width="15" style="1337" customWidth="1"/>
    <col min="12558" max="12558" width="19.28515625" style="1337" customWidth="1"/>
    <col min="12559" max="12559" width="19.85546875" style="1337" customWidth="1"/>
    <col min="12560" max="12560" width="19.5703125" style="1337" customWidth="1"/>
    <col min="12561" max="12561" width="14" style="1337" customWidth="1"/>
    <col min="12562" max="12562" width="16.42578125" style="1337" customWidth="1"/>
    <col min="12563" max="12563" width="18.140625" style="1337" customWidth="1"/>
    <col min="12564" max="12564" width="15.85546875" style="1337" customWidth="1"/>
    <col min="12565" max="12792" width="9.140625" style="1337"/>
    <col min="12793" max="12793" width="18" style="1337" customWidth="1"/>
    <col min="12794" max="12794" width="21.140625" style="1337" customWidth="1"/>
    <col min="12795" max="12795" width="13" style="1337" customWidth="1"/>
    <col min="12796" max="12796" width="14.5703125" style="1337" customWidth="1"/>
    <col min="12797" max="12797" width="11.5703125" style="1337" customWidth="1"/>
    <col min="12798" max="12798" width="14.5703125" style="1337" customWidth="1"/>
    <col min="12799" max="12799" width="13.28515625" style="1337" customWidth="1"/>
    <col min="12800" max="12800" width="13.42578125" style="1337" customWidth="1"/>
    <col min="12801" max="12801" width="14.140625" style="1337" customWidth="1"/>
    <col min="12802" max="12802" width="17.5703125" style="1337" customWidth="1"/>
    <col min="12803" max="12803" width="16" style="1337" customWidth="1"/>
    <col min="12804" max="12804" width="19" style="1337" customWidth="1"/>
    <col min="12805" max="12805" width="14" style="1337" customWidth="1"/>
    <col min="12806" max="12809" width="19.140625" style="1337" customWidth="1"/>
    <col min="12810" max="12810" width="15" style="1337" customWidth="1"/>
    <col min="12811" max="12811" width="22" style="1337" customWidth="1"/>
    <col min="12812" max="12812" width="19.42578125" style="1337" customWidth="1"/>
    <col min="12813" max="12813" width="15" style="1337" customWidth="1"/>
    <col min="12814" max="12814" width="19.28515625" style="1337" customWidth="1"/>
    <col min="12815" max="12815" width="19.85546875" style="1337" customWidth="1"/>
    <col min="12816" max="12816" width="19.5703125" style="1337" customWidth="1"/>
    <col min="12817" max="12817" width="14" style="1337" customWidth="1"/>
    <col min="12818" max="12818" width="16.42578125" style="1337" customWidth="1"/>
    <col min="12819" max="12819" width="18.140625" style="1337" customWidth="1"/>
    <col min="12820" max="12820" width="15.85546875" style="1337" customWidth="1"/>
    <col min="12821" max="13048" width="9.140625" style="1337"/>
    <col min="13049" max="13049" width="18" style="1337" customWidth="1"/>
    <col min="13050" max="13050" width="21.140625" style="1337" customWidth="1"/>
    <col min="13051" max="13051" width="13" style="1337" customWidth="1"/>
    <col min="13052" max="13052" width="14.5703125" style="1337" customWidth="1"/>
    <col min="13053" max="13053" width="11.5703125" style="1337" customWidth="1"/>
    <col min="13054" max="13054" width="14.5703125" style="1337" customWidth="1"/>
    <col min="13055" max="13055" width="13.28515625" style="1337" customWidth="1"/>
    <col min="13056" max="13056" width="13.42578125" style="1337" customWidth="1"/>
    <col min="13057" max="13057" width="14.140625" style="1337" customWidth="1"/>
    <col min="13058" max="13058" width="17.5703125" style="1337" customWidth="1"/>
    <col min="13059" max="13059" width="16" style="1337" customWidth="1"/>
    <col min="13060" max="13060" width="19" style="1337" customWidth="1"/>
    <col min="13061" max="13061" width="14" style="1337" customWidth="1"/>
    <col min="13062" max="13065" width="19.140625" style="1337" customWidth="1"/>
    <col min="13066" max="13066" width="15" style="1337" customWidth="1"/>
    <col min="13067" max="13067" width="22" style="1337" customWidth="1"/>
    <col min="13068" max="13068" width="19.42578125" style="1337" customWidth="1"/>
    <col min="13069" max="13069" width="15" style="1337" customWidth="1"/>
    <col min="13070" max="13070" width="19.28515625" style="1337" customWidth="1"/>
    <col min="13071" max="13071" width="19.85546875" style="1337" customWidth="1"/>
    <col min="13072" max="13072" width="19.5703125" style="1337" customWidth="1"/>
    <col min="13073" max="13073" width="14" style="1337" customWidth="1"/>
    <col min="13074" max="13074" width="16.42578125" style="1337" customWidth="1"/>
    <col min="13075" max="13075" width="18.140625" style="1337" customWidth="1"/>
    <col min="13076" max="13076" width="15.85546875" style="1337" customWidth="1"/>
    <col min="13077" max="13304" width="9.140625" style="1337"/>
    <col min="13305" max="13305" width="18" style="1337" customWidth="1"/>
    <col min="13306" max="13306" width="21.140625" style="1337" customWidth="1"/>
    <col min="13307" max="13307" width="13" style="1337" customWidth="1"/>
    <col min="13308" max="13308" width="14.5703125" style="1337" customWidth="1"/>
    <col min="13309" max="13309" width="11.5703125" style="1337" customWidth="1"/>
    <col min="13310" max="13310" width="14.5703125" style="1337" customWidth="1"/>
    <col min="13311" max="13311" width="13.28515625" style="1337" customWidth="1"/>
    <col min="13312" max="13312" width="13.42578125" style="1337" customWidth="1"/>
    <col min="13313" max="13313" width="14.140625" style="1337" customWidth="1"/>
    <col min="13314" max="13314" width="17.5703125" style="1337" customWidth="1"/>
    <col min="13315" max="13315" width="16" style="1337" customWidth="1"/>
    <col min="13316" max="13316" width="19" style="1337" customWidth="1"/>
    <col min="13317" max="13317" width="14" style="1337" customWidth="1"/>
    <col min="13318" max="13321" width="19.140625" style="1337" customWidth="1"/>
    <col min="13322" max="13322" width="15" style="1337" customWidth="1"/>
    <col min="13323" max="13323" width="22" style="1337" customWidth="1"/>
    <col min="13324" max="13324" width="19.42578125" style="1337" customWidth="1"/>
    <col min="13325" max="13325" width="15" style="1337" customWidth="1"/>
    <col min="13326" max="13326" width="19.28515625" style="1337" customWidth="1"/>
    <col min="13327" max="13327" width="19.85546875" style="1337" customWidth="1"/>
    <col min="13328" max="13328" width="19.5703125" style="1337" customWidth="1"/>
    <col min="13329" max="13329" width="14" style="1337" customWidth="1"/>
    <col min="13330" max="13330" width="16.42578125" style="1337" customWidth="1"/>
    <col min="13331" max="13331" width="18.140625" style="1337" customWidth="1"/>
    <col min="13332" max="13332" width="15.85546875" style="1337" customWidth="1"/>
    <col min="13333" max="13560" width="9.140625" style="1337"/>
    <col min="13561" max="13561" width="18" style="1337" customWidth="1"/>
    <col min="13562" max="13562" width="21.140625" style="1337" customWidth="1"/>
    <col min="13563" max="13563" width="13" style="1337" customWidth="1"/>
    <col min="13564" max="13564" width="14.5703125" style="1337" customWidth="1"/>
    <col min="13565" max="13565" width="11.5703125" style="1337" customWidth="1"/>
    <col min="13566" max="13566" width="14.5703125" style="1337" customWidth="1"/>
    <col min="13567" max="13567" width="13.28515625" style="1337" customWidth="1"/>
    <col min="13568" max="13568" width="13.42578125" style="1337" customWidth="1"/>
    <col min="13569" max="13569" width="14.140625" style="1337" customWidth="1"/>
    <col min="13570" max="13570" width="17.5703125" style="1337" customWidth="1"/>
    <col min="13571" max="13571" width="16" style="1337" customWidth="1"/>
    <col min="13572" max="13572" width="19" style="1337" customWidth="1"/>
    <col min="13573" max="13573" width="14" style="1337" customWidth="1"/>
    <col min="13574" max="13577" width="19.140625" style="1337" customWidth="1"/>
    <col min="13578" max="13578" width="15" style="1337" customWidth="1"/>
    <col min="13579" max="13579" width="22" style="1337" customWidth="1"/>
    <col min="13580" max="13580" width="19.42578125" style="1337" customWidth="1"/>
    <col min="13581" max="13581" width="15" style="1337" customWidth="1"/>
    <col min="13582" max="13582" width="19.28515625" style="1337" customWidth="1"/>
    <col min="13583" max="13583" width="19.85546875" style="1337" customWidth="1"/>
    <col min="13584" max="13584" width="19.5703125" style="1337" customWidth="1"/>
    <col min="13585" max="13585" width="14" style="1337" customWidth="1"/>
    <col min="13586" max="13586" width="16.42578125" style="1337" customWidth="1"/>
    <col min="13587" max="13587" width="18.140625" style="1337" customWidth="1"/>
    <col min="13588" max="13588" width="15.85546875" style="1337" customWidth="1"/>
    <col min="13589" max="13816" width="9.140625" style="1337"/>
    <col min="13817" max="13817" width="18" style="1337" customWidth="1"/>
    <col min="13818" max="13818" width="21.140625" style="1337" customWidth="1"/>
    <col min="13819" max="13819" width="13" style="1337" customWidth="1"/>
    <col min="13820" max="13820" width="14.5703125" style="1337" customWidth="1"/>
    <col min="13821" max="13821" width="11.5703125" style="1337" customWidth="1"/>
    <col min="13822" max="13822" width="14.5703125" style="1337" customWidth="1"/>
    <col min="13823" max="13823" width="13.28515625" style="1337" customWidth="1"/>
    <col min="13824" max="13824" width="13.42578125" style="1337" customWidth="1"/>
    <col min="13825" max="13825" width="14.140625" style="1337" customWidth="1"/>
    <col min="13826" max="13826" width="17.5703125" style="1337" customWidth="1"/>
    <col min="13827" max="13827" width="16" style="1337" customWidth="1"/>
    <col min="13828" max="13828" width="19" style="1337" customWidth="1"/>
    <col min="13829" max="13829" width="14" style="1337" customWidth="1"/>
    <col min="13830" max="13833" width="19.140625" style="1337" customWidth="1"/>
    <col min="13834" max="13834" width="15" style="1337" customWidth="1"/>
    <col min="13835" max="13835" width="22" style="1337" customWidth="1"/>
    <col min="13836" max="13836" width="19.42578125" style="1337" customWidth="1"/>
    <col min="13837" max="13837" width="15" style="1337" customWidth="1"/>
    <col min="13838" max="13838" width="19.28515625" style="1337" customWidth="1"/>
    <col min="13839" max="13839" width="19.85546875" style="1337" customWidth="1"/>
    <col min="13840" max="13840" width="19.5703125" style="1337" customWidth="1"/>
    <col min="13841" max="13841" width="14" style="1337" customWidth="1"/>
    <col min="13842" max="13842" width="16.42578125" style="1337" customWidth="1"/>
    <col min="13843" max="13843" width="18.140625" style="1337" customWidth="1"/>
    <col min="13844" max="13844" width="15.85546875" style="1337" customWidth="1"/>
    <col min="13845" max="14072" width="9.140625" style="1337"/>
    <col min="14073" max="14073" width="18" style="1337" customWidth="1"/>
    <col min="14074" max="14074" width="21.140625" style="1337" customWidth="1"/>
    <col min="14075" max="14075" width="13" style="1337" customWidth="1"/>
    <col min="14076" max="14076" width="14.5703125" style="1337" customWidth="1"/>
    <col min="14077" max="14077" width="11.5703125" style="1337" customWidth="1"/>
    <col min="14078" max="14078" width="14.5703125" style="1337" customWidth="1"/>
    <col min="14079" max="14079" width="13.28515625" style="1337" customWidth="1"/>
    <col min="14080" max="14080" width="13.42578125" style="1337" customWidth="1"/>
    <col min="14081" max="14081" width="14.140625" style="1337" customWidth="1"/>
    <col min="14082" max="14082" width="17.5703125" style="1337" customWidth="1"/>
    <col min="14083" max="14083" width="16" style="1337" customWidth="1"/>
    <col min="14084" max="14084" width="19" style="1337" customWidth="1"/>
    <col min="14085" max="14085" width="14" style="1337" customWidth="1"/>
    <col min="14086" max="14089" width="19.140625" style="1337" customWidth="1"/>
    <col min="14090" max="14090" width="15" style="1337" customWidth="1"/>
    <col min="14091" max="14091" width="22" style="1337" customWidth="1"/>
    <col min="14092" max="14092" width="19.42578125" style="1337" customWidth="1"/>
    <col min="14093" max="14093" width="15" style="1337" customWidth="1"/>
    <col min="14094" max="14094" width="19.28515625" style="1337" customWidth="1"/>
    <col min="14095" max="14095" width="19.85546875" style="1337" customWidth="1"/>
    <col min="14096" max="14096" width="19.5703125" style="1337" customWidth="1"/>
    <col min="14097" max="14097" width="14" style="1337" customWidth="1"/>
    <col min="14098" max="14098" width="16.42578125" style="1337" customWidth="1"/>
    <col min="14099" max="14099" width="18.140625" style="1337" customWidth="1"/>
    <col min="14100" max="14100" width="15.85546875" style="1337" customWidth="1"/>
    <col min="14101" max="14328" width="9.140625" style="1337"/>
    <col min="14329" max="14329" width="18" style="1337" customWidth="1"/>
    <col min="14330" max="14330" width="21.140625" style="1337" customWidth="1"/>
    <col min="14331" max="14331" width="13" style="1337" customWidth="1"/>
    <col min="14332" max="14332" width="14.5703125" style="1337" customWidth="1"/>
    <col min="14333" max="14333" width="11.5703125" style="1337" customWidth="1"/>
    <col min="14334" max="14334" width="14.5703125" style="1337" customWidth="1"/>
    <col min="14335" max="14335" width="13.28515625" style="1337" customWidth="1"/>
    <col min="14336" max="14336" width="13.42578125" style="1337" customWidth="1"/>
    <col min="14337" max="14337" width="14.140625" style="1337" customWidth="1"/>
    <col min="14338" max="14338" width="17.5703125" style="1337" customWidth="1"/>
    <col min="14339" max="14339" width="16" style="1337" customWidth="1"/>
    <col min="14340" max="14340" width="19" style="1337" customWidth="1"/>
    <col min="14341" max="14341" width="14" style="1337" customWidth="1"/>
    <col min="14342" max="14345" width="19.140625" style="1337" customWidth="1"/>
    <col min="14346" max="14346" width="15" style="1337" customWidth="1"/>
    <col min="14347" max="14347" width="22" style="1337" customWidth="1"/>
    <col min="14348" max="14348" width="19.42578125" style="1337" customWidth="1"/>
    <col min="14349" max="14349" width="15" style="1337" customWidth="1"/>
    <col min="14350" max="14350" width="19.28515625" style="1337" customWidth="1"/>
    <col min="14351" max="14351" width="19.85546875" style="1337" customWidth="1"/>
    <col min="14352" max="14352" width="19.5703125" style="1337" customWidth="1"/>
    <col min="14353" max="14353" width="14" style="1337" customWidth="1"/>
    <col min="14354" max="14354" width="16.42578125" style="1337" customWidth="1"/>
    <col min="14355" max="14355" width="18.140625" style="1337" customWidth="1"/>
    <col min="14356" max="14356" width="15.85546875" style="1337" customWidth="1"/>
    <col min="14357" max="14584" width="9.140625" style="1337"/>
    <col min="14585" max="14585" width="18" style="1337" customWidth="1"/>
    <col min="14586" max="14586" width="21.140625" style="1337" customWidth="1"/>
    <col min="14587" max="14587" width="13" style="1337" customWidth="1"/>
    <col min="14588" max="14588" width="14.5703125" style="1337" customWidth="1"/>
    <col min="14589" max="14589" width="11.5703125" style="1337" customWidth="1"/>
    <col min="14590" max="14590" width="14.5703125" style="1337" customWidth="1"/>
    <col min="14591" max="14591" width="13.28515625" style="1337" customWidth="1"/>
    <col min="14592" max="14592" width="13.42578125" style="1337" customWidth="1"/>
    <col min="14593" max="14593" width="14.140625" style="1337" customWidth="1"/>
    <col min="14594" max="14594" width="17.5703125" style="1337" customWidth="1"/>
    <col min="14595" max="14595" width="16" style="1337" customWidth="1"/>
    <col min="14596" max="14596" width="19" style="1337" customWidth="1"/>
    <col min="14597" max="14597" width="14" style="1337" customWidth="1"/>
    <col min="14598" max="14601" width="19.140625" style="1337" customWidth="1"/>
    <col min="14602" max="14602" width="15" style="1337" customWidth="1"/>
    <col min="14603" max="14603" width="22" style="1337" customWidth="1"/>
    <col min="14604" max="14604" width="19.42578125" style="1337" customWidth="1"/>
    <col min="14605" max="14605" width="15" style="1337" customWidth="1"/>
    <col min="14606" max="14606" width="19.28515625" style="1337" customWidth="1"/>
    <col min="14607" max="14607" width="19.85546875" style="1337" customWidth="1"/>
    <col min="14608" max="14608" width="19.5703125" style="1337" customWidth="1"/>
    <col min="14609" max="14609" width="14" style="1337" customWidth="1"/>
    <col min="14610" max="14610" width="16.42578125" style="1337" customWidth="1"/>
    <col min="14611" max="14611" width="18.140625" style="1337" customWidth="1"/>
    <col min="14612" max="14612" width="15.85546875" style="1337" customWidth="1"/>
    <col min="14613" max="14840" width="9.140625" style="1337"/>
    <col min="14841" max="14841" width="18" style="1337" customWidth="1"/>
    <col min="14842" max="14842" width="21.140625" style="1337" customWidth="1"/>
    <col min="14843" max="14843" width="13" style="1337" customWidth="1"/>
    <col min="14844" max="14844" width="14.5703125" style="1337" customWidth="1"/>
    <col min="14845" max="14845" width="11.5703125" style="1337" customWidth="1"/>
    <col min="14846" max="14846" width="14.5703125" style="1337" customWidth="1"/>
    <col min="14847" max="14847" width="13.28515625" style="1337" customWidth="1"/>
    <col min="14848" max="14848" width="13.42578125" style="1337" customWidth="1"/>
    <col min="14849" max="14849" width="14.140625" style="1337" customWidth="1"/>
    <col min="14850" max="14850" width="17.5703125" style="1337" customWidth="1"/>
    <col min="14851" max="14851" width="16" style="1337" customWidth="1"/>
    <col min="14852" max="14852" width="19" style="1337" customWidth="1"/>
    <col min="14853" max="14853" width="14" style="1337" customWidth="1"/>
    <col min="14854" max="14857" width="19.140625" style="1337" customWidth="1"/>
    <col min="14858" max="14858" width="15" style="1337" customWidth="1"/>
    <col min="14859" max="14859" width="22" style="1337" customWidth="1"/>
    <col min="14860" max="14860" width="19.42578125" style="1337" customWidth="1"/>
    <col min="14861" max="14861" width="15" style="1337" customWidth="1"/>
    <col min="14862" max="14862" width="19.28515625" style="1337" customWidth="1"/>
    <col min="14863" max="14863" width="19.85546875" style="1337" customWidth="1"/>
    <col min="14864" max="14864" width="19.5703125" style="1337" customWidth="1"/>
    <col min="14865" max="14865" width="14" style="1337" customWidth="1"/>
    <col min="14866" max="14866" width="16.42578125" style="1337" customWidth="1"/>
    <col min="14867" max="14867" width="18.140625" style="1337" customWidth="1"/>
    <col min="14868" max="14868" width="15.85546875" style="1337" customWidth="1"/>
    <col min="14869" max="15096" width="9.140625" style="1337"/>
    <col min="15097" max="15097" width="18" style="1337" customWidth="1"/>
    <col min="15098" max="15098" width="21.140625" style="1337" customWidth="1"/>
    <col min="15099" max="15099" width="13" style="1337" customWidth="1"/>
    <col min="15100" max="15100" width="14.5703125" style="1337" customWidth="1"/>
    <col min="15101" max="15101" width="11.5703125" style="1337" customWidth="1"/>
    <col min="15102" max="15102" width="14.5703125" style="1337" customWidth="1"/>
    <col min="15103" max="15103" width="13.28515625" style="1337" customWidth="1"/>
    <col min="15104" max="15104" width="13.42578125" style="1337" customWidth="1"/>
    <col min="15105" max="15105" width="14.140625" style="1337" customWidth="1"/>
    <col min="15106" max="15106" width="17.5703125" style="1337" customWidth="1"/>
    <col min="15107" max="15107" width="16" style="1337" customWidth="1"/>
    <col min="15108" max="15108" width="19" style="1337" customWidth="1"/>
    <col min="15109" max="15109" width="14" style="1337" customWidth="1"/>
    <col min="15110" max="15113" width="19.140625" style="1337" customWidth="1"/>
    <col min="15114" max="15114" width="15" style="1337" customWidth="1"/>
    <col min="15115" max="15115" width="22" style="1337" customWidth="1"/>
    <col min="15116" max="15116" width="19.42578125" style="1337" customWidth="1"/>
    <col min="15117" max="15117" width="15" style="1337" customWidth="1"/>
    <col min="15118" max="15118" width="19.28515625" style="1337" customWidth="1"/>
    <col min="15119" max="15119" width="19.85546875" style="1337" customWidth="1"/>
    <col min="15120" max="15120" width="19.5703125" style="1337" customWidth="1"/>
    <col min="15121" max="15121" width="14" style="1337" customWidth="1"/>
    <col min="15122" max="15122" width="16.42578125" style="1337" customWidth="1"/>
    <col min="15123" max="15123" width="18.140625" style="1337" customWidth="1"/>
    <col min="15124" max="15124" width="15.85546875" style="1337" customWidth="1"/>
    <col min="15125" max="15352" width="9.140625" style="1337"/>
    <col min="15353" max="15353" width="18" style="1337" customWidth="1"/>
    <col min="15354" max="15354" width="21.140625" style="1337" customWidth="1"/>
    <col min="15355" max="15355" width="13" style="1337" customWidth="1"/>
    <col min="15356" max="15356" width="14.5703125" style="1337" customWidth="1"/>
    <col min="15357" max="15357" width="11.5703125" style="1337" customWidth="1"/>
    <col min="15358" max="15358" width="14.5703125" style="1337" customWidth="1"/>
    <col min="15359" max="15359" width="13.28515625" style="1337" customWidth="1"/>
    <col min="15360" max="15360" width="13.42578125" style="1337" customWidth="1"/>
    <col min="15361" max="15361" width="14.140625" style="1337" customWidth="1"/>
    <col min="15362" max="15362" width="17.5703125" style="1337" customWidth="1"/>
    <col min="15363" max="15363" width="16" style="1337" customWidth="1"/>
    <col min="15364" max="15364" width="19" style="1337" customWidth="1"/>
    <col min="15365" max="15365" width="14" style="1337" customWidth="1"/>
    <col min="15366" max="15369" width="19.140625" style="1337" customWidth="1"/>
    <col min="15370" max="15370" width="15" style="1337" customWidth="1"/>
    <col min="15371" max="15371" width="22" style="1337" customWidth="1"/>
    <col min="15372" max="15372" width="19.42578125" style="1337" customWidth="1"/>
    <col min="15373" max="15373" width="15" style="1337" customWidth="1"/>
    <col min="15374" max="15374" width="19.28515625" style="1337" customWidth="1"/>
    <col min="15375" max="15375" width="19.85546875" style="1337" customWidth="1"/>
    <col min="15376" max="15376" width="19.5703125" style="1337" customWidth="1"/>
    <col min="15377" max="15377" width="14" style="1337" customWidth="1"/>
    <col min="15378" max="15378" width="16.42578125" style="1337" customWidth="1"/>
    <col min="15379" max="15379" width="18.140625" style="1337" customWidth="1"/>
    <col min="15380" max="15380" width="15.85546875" style="1337" customWidth="1"/>
    <col min="15381" max="15608" width="9.140625" style="1337"/>
    <col min="15609" max="15609" width="18" style="1337" customWidth="1"/>
    <col min="15610" max="15610" width="21.140625" style="1337" customWidth="1"/>
    <col min="15611" max="15611" width="13" style="1337" customWidth="1"/>
    <col min="15612" max="15612" width="14.5703125" style="1337" customWidth="1"/>
    <col min="15613" max="15613" width="11.5703125" style="1337" customWidth="1"/>
    <col min="15614" max="15614" width="14.5703125" style="1337" customWidth="1"/>
    <col min="15615" max="15615" width="13.28515625" style="1337" customWidth="1"/>
    <col min="15616" max="15616" width="13.42578125" style="1337" customWidth="1"/>
    <col min="15617" max="15617" width="14.140625" style="1337" customWidth="1"/>
    <col min="15618" max="15618" width="17.5703125" style="1337" customWidth="1"/>
    <col min="15619" max="15619" width="16" style="1337" customWidth="1"/>
    <col min="15620" max="15620" width="19" style="1337" customWidth="1"/>
    <col min="15621" max="15621" width="14" style="1337" customWidth="1"/>
    <col min="15622" max="15625" width="19.140625" style="1337" customWidth="1"/>
    <col min="15626" max="15626" width="15" style="1337" customWidth="1"/>
    <col min="15627" max="15627" width="22" style="1337" customWidth="1"/>
    <col min="15628" max="15628" width="19.42578125" style="1337" customWidth="1"/>
    <col min="15629" max="15629" width="15" style="1337" customWidth="1"/>
    <col min="15630" max="15630" width="19.28515625" style="1337" customWidth="1"/>
    <col min="15631" max="15631" width="19.85546875" style="1337" customWidth="1"/>
    <col min="15632" max="15632" width="19.5703125" style="1337" customWidth="1"/>
    <col min="15633" max="15633" width="14" style="1337" customWidth="1"/>
    <col min="15634" max="15634" width="16.42578125" style="1337" customWidth="1"/>
    <col min="15635" max="15635" width="18.140625" style="1337" customWidth="1"/>
    <col min="15636" max="15636" width="15.85546875" style="1337" customWidth="1"/>
    <col min="15637" max="15864" width="9.140625" style="1337"/>
    <col min="15865" max="15865" width="18" style="1337" customWidth="1"/>
    <col min="15866" max="15866" width="21.140625" style="1337" customWidth="1"/>
    <col min="15867" max="15867" width="13" style="1337" customWidth="1"/>
    <col min="15868" max="15868" width="14.5703125" style="1337" customWidth="1"/>
    <col min="15869" max="15869" width="11.5703125" style="1337" customWidth="1"/>
    <col min="15870" max="15870" width="14.5703125" style="1337" customWidth="1"/>
    <col min="15871" max="15871" width="13.28515625" style="1337" customWidth="1"/>
    <col min="15872" max="15872" width="13.42578125" style="1337" customWidth="1"/>
    <col min="15873" max="15873" width="14.140625" style="1337" customWidth="1"/>
    <col min="15874" max="15874" width="17.5703125" style="1337" customWidth="1"/>
    <col min="15875" max="15875" width="16" style="1337" customWidth="1"/>
    <col min="15876" max="15876" width="19" style="1337" customWidth="1"/>
    <col min="15877" max="15877" width="14" style="1337" customWidth="1"/>
    <col min="15878" max="15881" width="19.140625" style="1337" customWidth="1"/>
    <col min="15882" max="15882" width="15" style="1337" customWidth="1"/>
    <col min="15883" max="15883" width="22" style="1337" customWidth="1"/>
    <col min="15884" max="15884" width="19.42578125" style="1337" customWidth="1"/>
    <col min="15885" max="15885" width="15" style="1337" customWidth="1"/>
    <col min="15886" max="15886" width="19.28515625" style="1337" customWidth="1"/>
    <col min="15887" max="15887" width="19.85546875" style="1337" customWidth="1"/>
    <col min="15888" max="15888" width="19.5703125" style="1337" customWidth="1"/>
    <col min="15889" max="15889" width="14" style="1337" customWidth="1"/>
    <col min="15890" max="15890" width="16.42578125" style="1337" customWidth="1"/>
    <col min="15891" max="15891" width="18.140625" style="1337" customWidth="1"/>
    <col min="15892" max="15892" width="15.85546875" style="1337" customWidth="1"/>
    <col min="15893" max="16120" width="9.140625" style="1337"/>
    <col min="16121" max="16121" width="18" style="1337" customWidth="1"/>
    <col min="16122" max="16122" width="21.140625" style="1337" customWidth="1"/>
    <col min="16123" max="16123" width="13" style="1337" customWidth="1"/>
    <col min="16124" max="16124" width="14.5703125" style="1337" customWidth="1"/>
    <col min="16125" max="16125" width="11.5703125" style="1337" customWidth="1"/>
    <col min="16126" max="16126" width="14.5703125" style="1337" customWidth="1"/>
    <col min="16127" max="16127" width="13.28515625" style="1337" customWidth="1"/>
    <col min="16128" max="16128" width="13.42578125" style="1337" customWidth="1"/>
    <col min="16129" max="16129" width="14.140625" style="1337" customWidth="1"/>
    <col min="16130" max="16130" width="17.5703125" style="1337" customWidth="1"/>
    <col min="16131" max="16131" width="16" style="1337" customWidth="1"/>
    <col min="16132" max="16132" width="19" style="1337" customWidth="1"/>
    <col min="16133" max="16133" width="14" style="1337" customWidth="1"/>
    <col min="16134" max="16137" width="19.140625" style="1337" customWidth="1"/>
    <col min="16138" max="16138" width="15" style="1337" customWidth="1"/>
    <col min="16139" max="16139" width="22" style="1337" customWidth="1"/>
    <col min="16140" max="16140" width="19.42578125" style="1337" customWidth="1"/>
    <col min="16141" max="16141" width="15" style="1337" customWidth="1"/>
    <col min="16142" max="16142" width="19.28515625" style="1337" customWidth="1"/>
    <col min="16143" max="16143" width="19.85546875" style="1337" customWidth="1"/>
    <col min="16144" max="16144" width="19.5703125" style="1337" customWidth="1"/>
    <col min="16145" max="16145" width="14" style="1337" customWidth="1"/>
    <col min="16146" max="16146" width="16.42578125" style="1337" customWidth="1"/>
    <col min="16147" max="16147" width="18.140625" style="1337" customWidth="1"/>
    <col min="16148" max="16148" width="15.85546875" style="1337" customWidth="1"/>
    <col min="16149" max="16384" width="9.140625" style="1337"/>
  </cols>
  <sheetData>
    <row r="1" spans="1:20" x14ac:dyDescent="0.25">
      <c r="Q1" s="1470" t="s">
        <v>889</v>
      </c>
    </row>
    <row r="2" spans="1:20" ht="36.75" customHeight="1" x14ac:dyDescent="0.25">
      <c r="A2" s="4403" t="s">
        <v>3556</v>
      </c>
      <c r="B2" s="4403"/>
      <c r="C2" s="4403"/>
      <c r="D2" s="4403"/>
      <c r="E2" s="4403"/>
      <c r="F2" s="4403"/>
      <c r="G2" s="4403"/>
      <c r="H2" s="4403"/>
      <c r="I2" s="4403"/>
      <c r="J2" s="4403"/>
      <c r="K2" s="4403"/>
      <c r="L2" s="4403"/>
      <c r="M2" s="4403"/>
      <c r="N2" s="4403"/>
      <c r="O2" s="4403"/>
      <c r="P2" s="4403"/>
      <c r="Q2" s="4403"/>
      <c r="R2" s="4403"/>
      <c r="S2" s="4403"/>
      <c r="T2" s="4403"/>
    </row>
    <row r="3" spans="1:20" ht="22.5" hidden="1" customHeight="1" thickBot="1" x14ac:dyDescent="0.35">
      <c r="A3" s="4404" t="s">
        <v>1011</v>
      </c>
      <c r="B3" s="4404"/>
      <c r="C3" s="4404"/>
      <c r="D3" s="4404"/>
      <c r="E3" s="4404"/>
      <c r="F3" s="4404"/>
      <c r="G3" s="4404"/>
      <c r="H3" s="4404"/>
      <c r="I3" s="4404"/>
      <c r="J3" s="4404"/>
      <c r="K3" s="4404"/>
      <c r="L3" s="4404"/>
      <c r="M3" s="4404"/>
      <c r="N3" s="4404"/>
      <c r="O3" s="4404"/>
      <c r="P3" s="4404"/>
      <c r="Q3" s="4404"/>
      <c r="R3" s="4404"/>
      <c r="S3" s="4404"/>
      <c r="T3" s="4404"/>
    </row>
    <row r="4" spans="1:20" ht="15.75" hidden="1" customHeight="1" thickBot="1" x14ac:dyDescent="0.3">
      <c r="A4" s="4405"/>
      <c r="B4" s="4406"/>
      <c r="C4" s="4409" t="s">
        <v>1012</v>
      </c>
      <c r="D4" s="4410"/>
      <c r="E4" s="4409" t="s">
        <v>1013</v>
      </c>
      <c r="F4" s="4410"/>
      <c r="G4" s="4409" t="s">
        <v>1014</v>
      </c>
      <c r="H4" s="4410"/>
      <c r="I4" s="4409" t="s">
        <v>1015</v>
      </c>
      <c r="J4" s="4410"/>
      <c r="K4" s="4409" t="s">
        <v>1016</v>
      </c>
      <c r="L4" s="4410"/>
      <c r="M4" s="4409" t="s">
        <v>1017</v>
      </c>
      <c r="N4" s="4410"/>
      <c r="O4" s="4409" t="s">
        <v>1018</v>
      </c>
      <c r="P4" s="4410"/>
      <c r="Q4" s="4409" t="s">
        <v>1019</v>
      </c>
      <c r="R4" s="4410"/>
      <c r="S4" s="4409" t="s">
        <v>1020</v>
      </c>
      <c r="T4" s="4410"/>
    </row>
    <row r="5" spans="1:20" ht="15.75" hidden="1" thickBot="1" x14ac:dyDescent="0.3">
      <c r="A5" s="4407"/>
      <c r="B5" s="4408"/>
      <c r="C5" s="1341" t="s">
        <v>44</v>
      </c>
      <c r="D5" s="1342" t="s">
        <v>1021</v>
      </c>
      <c r="E5" s="1343" t="s">
        <v>44</v>
      </c>
      <c r="F5" s="1342" t="s">
        <v>1021</v>
      </c>
      <c r="G5" s="1341" t="s">
        <v>44</v>
      </c>
      <c r="H5" s="1342" t="s">
        <v>1021</v>
      </c>
      <c r="I5" s="1341" t="s">
        <v>44</v>
      </c>
      <c r="J5" s="1342" t="s">
        <v>1021</v>
      </c>
      <c r="K5" s="1341" t="s">
        <v>44</v>
      </c>
      <c r="L5" s="1342" t="s">
        <v>1021</v>
      </c>
      <c r="M5" s="1341" t="s">
        <v>44</v>
      </c>
      <c r="N5" s="1342" t="s">
        <v>1021</v>
      </c>
      <c r="O5" s="1343" t="s">
        <v>44</v>
      </c>
      <c r="P5" s="1342" t="s">
        <v>1021</v>
      </c>
      <c r="Q5" s="1341" t="s">
        <v>44</v>
      </c>
      <c r="R5" s="1342" t="s">
        <v>1021</v>
      </c>
      <c r="S5" s="1343" t="s">
        <v>44</v>
      </c>
      <c r="T5" s="1342" t="s">
        <v>1021</v>
      </c>
    </row>
    <row r="6" spans="1:20" hidden="1" x14ac:dyDescent="0.25">
      <c r="A6" s="4411" t="s">
        <v>1022</v>
      </c>
      <c r="B6" s="4412"/>
      <c r="C6" s="1344"/>
      <c r="D6" s="1345">
        <v>7500</v>
      </c>
      <c r="E6" s="1346"/>
      <c r="F6" s="1347">
        <f>D6</f>
        <v>7500</v>
      </c>
      <c r="G6" s="1348"/>
      <c r="H6" s="1347">
        <f>F6</f>
        <v>7500</v>
      </c>
      <c r="I6" s="1346"/>
      <c r="J6" s="1347">
        <f>H6</f>
        <v>7500</v>
      </c>
      <c r="K6" s="1346"/>
      <c r="L6" s="1347">
        <f>J6</f>
        <v>7500</v>
      </c>
      <c r="M6" s="1346"/>
      <c r="N6" s="1347">
        <f>L6</f>
        <v>7500</v>
      </c>
      <c r="O6" s="1346"/>
      <c r="P6" s="1347">
        <f>N6</f>
        <v>7500</v>
      </c>
      <c r="Q6" s="1346"/>
      <c r="R6" s="1347">
        <f>P6</f>
        <v>7500</v>
      </c>
      <c r="S6" s="1344"/>
      <c r="T6" s="1347">
        <f>R6</f>
        <v>7500</v>
      </c>
    </row>
    <row r="7" spans="1:20" hidden="1" x14ac:dyDescent="0.25">
      <c r="A7" s="4413" t="s">
        <v>1023</v>
      </c>
      <c r="B7" s="4414"/>
      <c r="C7" s="1344"/>
      <c r="D7" s="1345">
        <v>107.4</v>
      </c>
      <c r="E7" s="1346"/>
      <c r="F7" s="1345">
        <v>107.4</v>
      </c>
      <c r="G7" s="1348"/>
      <c r="H7" s="1345">
        <v>107.4</v>
      </c>
      <c r="I7" s="1346"/>
      <c r="J7" s="1345">
        <v>107.4</v>
      </c>
      <c r="K7" s="1346"/>
      <c r="L7" s="1345">
        <v>107.4</v>
      </c>
      <c r="M7" s="1346"/>
      <c r="N7" s="1345">
        <v>107.4</v>
      </c>
      <c r="O7" s="1346"/>
      <c r="P7" s="1345">
        <v>107.4</v>
      </c>
      <c r="Q7" s="1346"/>
      <c r="R7" s="1345">
        <v>107.4</v>
      </c>
      <c r="S7" s="1344"/>
      <c r="T7" s="1347">
        <v>107.4</v>
      </c>
    </row>
    <row r="8" spans="1:20" hidden="1" x14ac:dyDescent="0.25">
      <c r="A8" s="4401" t="s">
        <v>1024</v>
      </c>
      <c r="B8" s="4402"/>
      <c r="C8" s="1349"/>
      <c r="D8" s="1350">
        <v>1</v>
      </c>
      <c r="E8" s="1351"/>
      <c r="F8" s="1352">
        <f>B23</f>
        <v>1.1299999999999999</v>
      </c>
      <c r="G8" s="1353"/>
      <c r="H8" s="1352">
        <f>B24</f>
        <v>1.28</v>
      </c>
      <c r="I8" s="1351"/>
      <c r="J8" s="1352">
        <v>1.44</v>
      </c>
      <c r="K8" s="1351"/>
      <c r="L8" s="1352">
        <v>1.63</v>
      </c>
      <c r="M8" s="1351"/>
      <c r="N8" s="1352">
        <f>1.84</f>
        <v>1.84</v>
      </c>
      <c r="O8" s="1351"/>
      <c r="P8" s="1352">
        <v>2.08</v>
      </c>
      <c r="Q8" s="1351"/>
      <c r="R8" s="1352">
        <v>2.35</v>
      </c>
      <c r="S8" s="1349"/>
      <c r="T8" s="1352">
        <v>2.66</v>
      </c>
    </row>
    <row r="9" spans="1:20" hidden="1" x14ac:dyDescent="0.25">
      <c r="A9" s="4401" t="s">
        <v>1025</v>
      </c>
      <c r="B9" s="4402"/>
      <c r="C9" s="1354"/>
      <c r="D9" s="1355">
        <f>D6*D7*D8/100</f>
        <v>8055</v>
      </c>
      <c r="E9" s="1354"/>
      <c r="F9" s="1355">
        <f>F6*F7*F8/100</f>
        <v>9102.15</v>
      </c>
      <c r="G9" s="1349"/>
      <c r="H9" s="1355">
        <f>H6*H7*H8/100</f>
        <v>10310.4</v>
      </c>
      <c r="I9" s="1354"/>
      <c r="J9" s="1355">
        <f>J6*J7*J8/100</f>
        <v>11599.2</v>
      </c>
      <c r="K9" s="1354"/>
      <c r="L9" s="1355">
        <f>L6*L7*L8/100</f>
        <v>13129.65</v>
      </c>
      <c r="M9" s="1354"/>
      <c r="N9" s="1355">
        <f>N6*N7*N8/100</f>
        <v>14821.2</v>
      </c>
      <c r="O9" s="1354"/>
      <c r="P9" s="1355">
        <f>P6*P7*P8/100</f>
        <v>16754.400000000001</v>
      </c>
      <c r="Q9" s="1354"/>
      <c r="R9" s="1355">
        <f>R6*R7*R8/100</f>
        <v>18929.25</v>
      </c>
      <c r="S9" s="1354"/>
      <c r="T9" s="1356">
        <f>T6*T7*T8/100</f>
        <v>21426.3</v>
      </c>
    </row>
    <row r="10" spans="1:20" ht="60.75" hidden="1" customHeight="1" x14ac:dyDescent="0.25">
      <c r="A10" s="4418" t="s">
        <v>1026</v>
      </c>
      <c r="B10" s="4419"/>
      <c r="C10" s="1357">
        <v>0.125</v>
      </c>
      <c r="D10" s="1358">
        <f>D9*C10</f>
        <v>1006.875</v>
      </c>
      <c r="E10" s="1357">
        <v>0.125</v>
      </c>
      <c r="F10" s="1358">
        <f>F9*E10</f>
        <v>1137.76875</v>
      </c>
      <c r="G10" s="1357">
        <v>0.125</v>
      </c>
      <c r="H10" s="1358">
        <f>H9*G10</f>
        <v>1288.8</v>
      </c>
      <c r="I10" s="1357">
        <v>0.125</v>
      </c>
      <c r="J10" s="1358">
        <f>J9*I10</f>
        <v>1449.9</v>
      </c>
      <c r="K10" s="1357">
        <v>0.125</v>
      </c>
      <c r="L10" s="1358">
        <f>L9*K10</f>
        <v>1641.20625</v>
      </c>
      <c r="M10" s="1357">
        <v>0.125</v>
      </c>
      <c r="N10" s="1358">
        <f>N9*M10</f>
        <v>1852.65</v>
      </c>
      <c r="O10" s="1357">
        <v>0.125</v>
      </c>
      <c r="P10" s="1358">
        <f>P9*O10</f>
        <v>2094.3000000000002</v>
      </c>
      <c r="Q10" s="1357">
        <v>0.125</v>
      </c>
      <c r="R10" s="1358">
        <f>R9*Q10</f>
        <v>2366.15625</v>
      </c>
      <c r="S10" s="1357">
        <v>0.125</v>
      </c>
      <c r="T10" s="1358">
        <f>T9*S10</f>
        <v>2678.2874999999999</v>
      </c>
    </row>
    <row r="11" spans="1:20" hidden="1" x14ac:dyDescent="0.25">
      <c r="A11" s="4420" t="s">
        <v>1027</v>
      </c>
      <c r="B11" s="4421"/>
      <c r="C11" s="1359">
        <v>0.1</v>
      </c>
      <c r="D11" s="1356">
        <f>D9*C11</f>
        <v>805.5</v>
      </c>
      <c r="E11" s="1359">
        <v>0.1</v>
      </c>
      <c r="F11" s="1356">
        <f>F9*E11</f>
        <v>910.21500000000003</v>
      </c>
      <c r="G11" s="1359">
        <v>0.1</v>
      </c>
      <c r="H11" s="1356">
        <f>H9*G11</f>
        <v>1031.04</v>
      </c>
      <c r="I11" s="1359">
        <v>0.1</v>
      </c>
      <c r="J11" s="1356">
        <f>J9*I11</f>
        <v>1159.92</v>
      </c>
      <c r="K11" s="1359">
        <v>0.1</v>
      </c>
      <c r="L11" s="1356">
        <f>L9*K11</f>
        <v>1312.9650000000001</v>
      </c>
      <c r="M11" s="1359">
        <v>0.1</v>
      </c>
      <c r="N11" s="1356">
        <f>N9*M11</f>
        <v>1482.1200000000001</v>
      </c>
      <c r="O11" s="1359">
        <v>0.1</v>
      </c>
      <c r="P11" s="1356">
        <f>P9*O11</f>
        <v>1675.4400000000003</v>
      </c>
      <c r="Q11" s="1359">
        <v>0.1</v>
      </c>
      <c r="R11" s="1356">
        <f>R9*Q11</f>
        <v>1892.9250000000002</v>
      </c>
      <c r="S11" s="1359">
        <v>0.1</v>
      </c>
      <c r="T11" s="1356">
        <f>T9*S11</f>
        <v>2142.63</v>
      </c>
    </row>
    <row r="12" spans="1:20" hidden="1" x14ac:dyDescent="0.25">
      <c r="A12" s="4420" t="s">
        <v>1028</v>
      </c>
      <c r="B12" s="4421"/>
      <c r="C12" s="1359">
        <v>0</v>
      </c>
      <c r="D12" s="1356">
        <f>D9*C12</f>
        <v>0</v>
      </c>
      <c r="E12" s="1359">
        <v>0</v>
      </c>
      <c r="F12" s="1356">
        <f>F9*E12</f>
        <v>0</v>
      </c>
      <c r="G12" s="1359">
        <v>0</v>
      </c>
      <c r="H12" s="1356">
        <f>H9*G12</f>
        <v>0</v>
      </c>
      <c r="I12" s="1359">
        <v>0</v>
      </c>
      <c r="J12" s="1356">
        <f>J9*I12</f>
        <v>0</v>
      </c>
      <c r="K12" s="1359">
        <v>0</v>
      </c>
      <c r="L12" s="1356">
        <f>L9*K12</f>
        <v>0</v>
      </c>
      <c r="M12" s="1359">
        <v>0</v>
      </c>
      <c r="N12" s="1356">
        <f>N9*M12</f>
        <v>0</v>
      </c>
      <c r="O12" s="1359">
        <v>0</v>
      </c>
      <c r="P12" s="1356">
        <f>P9*O12</f>
        <v>0</v>
      </c>
      <c r="Q12" s="1359">
        <v>0</v>
      </c>
      <c r="R12" s="1356">
        <f>R9*Q12</f>
        <v>0</v>
      </c>
      <c r="S12" s="1359">
        <v>0</v>
      </c>
      <c r="T12" s="1356">
        <f>T9*S12</f>
        <v>0</v>
      </c>
    </row>
    <row r="13" spans="1:20" hidden="1" x14ac:dyDescent="0.25">
      <c r="A13" s="4420" t="s">
        <v>1029</v>
      </c>
      <c r="B13" s="4421"/>
      <c r="C13" s="1359">
        <v>0.15</v>
      </c>
      <c r="D13" s="1356">
        <f>D9*C13</f>
        <v>1208.25</v>
      </c>
      <c r="E13" s="1359">
        <v>0.15</v>
      </c>
      <c r="F13" s="1356">
        <f>F9*E13</f>
        <v>1365.3225</v>
      </c>
      <c r="G13" s="1359">
        <v>0.15</v>
      </c>
      <c r="H13" s="1356">
        <f>H9*G13</f>
        <v>1546.56</v>
      </c>
      <c r="I13" s="1359">
        <v>0.15</v>
      </c>
      <c r="J13" s="1356">
        <f>J9*I13</f>
        <v>1739.88</v>
      </c>
      <c r="K13" s="1359">
        <v>0.15</v>
      </c>
      <c r="L13" s="1356">
        <f>L9*K13</f>
        <v>1969.4474999999998</v>
      </c>
      <c r="M13" s="1359">
        <v>0.15</v>
      </c>
      <c r="N13" s="1356">
        <f>N9*M13</f>
        <v>2223.1799999999998</v>
      </c>
      <c r="O13" s="1359">
        <v>0.15</v>
      </c>
      <c r="P13" s="1356">
        <f>P9*O13</f>
        <v>2513.1600000000003</v>
      </c>
      <c r="Q13" s="1359">
        <v>0.15</v>
      </c>
      <c r="R13" s="1356">
        <f>R9*Q13</f>
        <v>2839.3874999999998</v>
      </c>
      <c r="S13" s="1359">
        <v>0.15</v>
      </c>
      <c r="T13" s="1356">
        <f>T9*S13</f>
        <v>3213.9449999999997</v>
      </c>
    </row>
    <row r="14" spans="1:20" hidden="1" x14ac:dyDescent="0.25">
      <c r="A14" s="4401" t="s">
        <v>1030</v>
      </c>
      <c r="B14" s="4402"/>
      <c r="C14" s="1359">
        <v>0.2</v>
      </c>
      <c r="D14" s="1356">
        <f>(D9+D10+D11+D12+D13)*0.2</f>
        <v>2215.125</v>
      </c>
      <c r="E14" s="1359">
        <v>0.2</v>
      </c>
      <c r="F14" s="1356">
        <f>(F9+F10+F11+F12+F13)*0.2</f>
        <v>2503.0912499999999</v>
      </c>
      <c r="G14" s="1359">
        <v>0.2</v>
      </c>
      <c r="H14" s="1356">
        <f>(H9+H10+H11+H12+H13)*0.2</f>
        <v>2835.3599999999997</v>
      </c>
      <c r="I14" s="1359">
        <v>0.2</v>
      </c>
      <c r="J14" s="1356">
        <f>(J9+J10+J11+J12+J13)*0.2</f>
        <v>3189.7800000000007</v>
      </c>
      <c r="K14" s="1359">
        <v>0.2</v>
      </c>
      <c r="L14" s="1356">
        <f>(L9+L10+L11+L12+L13)*0.2</f>
        <v>3610.6537499999999</v>
      </c>
      <c r="M14" s="1359">
        <v>0.2</v>
      </c>
      <c r="N14" s="1356">
        <f>(N9+N10+N11+N12+N13)*0.2</f>
        <v>4075.8300000000004</v>
      </c>
      <c r="O14" s="1359">
        <v>0.2</v>
      </c>
      <c r="P14" s="1356">
        <f>(P9+P10+P11+P12+P13)*0.2</f>
        <v>4607.46</v>
      </c>
      <c r="Q14" s="1359">
        <v>0.2</v>
      </c>
      <c r="R14" s="1356">
        <f>(R9+R10+R11+R12+R13)*0.2</f>
        <v>5205.5437500000007</v>
      </c>
      <c r="S14" s="1359">
        <v>0.2</v>
      </c>
      <c r="T14" s="1356">
        <f>(T9+T10+T11+T12+T13)*0.2</f>
        <v>5892.2325000000001</v>
      </c>
    </row>
    <row r="15" spans="1:20" ht="15.75" hidden="1" thickBot="1" x14ac:dyDescent="0.3">
      <c r="A15" s="4422" t="s">
        <v>1031</v>
      </c>
      <c r="B15" s="4423"/>
      <c r="C15" s="1360">
        <v>0.5</v>
      </c>
      <c r="D15" s="1358">
        <f>(D9+D10+D11+D12+D13)*0.5</f>
        <v>5537.8125</v>
      </c>
      <c r="E15" s="1360">
        <v>0.5</v>
      </c>
      <c r="F15" s="1358">
        <f>(F9+F10+F11+F12+F13)*0.5</f>
        <v>6257.7281249999996</v>
      </c>
      <c r="G15" s="1360">
        <v>0.5</v>
      </c>
      <c r="H15" s="1358">
        <f>(H9+H10+H11+H12+H13)*0.5</f>
        <v>7088.3999999999987</v>
      </c>
      <c r="I15" s="1360">
        <v>0.5</v>
      </c>
      <c r="J15" s="1358">
        <f>(J9+J10+J11+J12+J13)*0.5</f>
        <v>7974.4500000000007</v>
      </c>
      <c r="K15" s="1360">
        <v>0.5</v>
      </c>
      <c r="L15" s="1358">
        <f>(L9+L10+L11+L12+L13)*0.5</f>
        <v>9026.6343749999996</v>
      </c>
      <c r="M15" s="1360">
        <v>0.5</v>
      </c>
      <c r="N15" s="1358">
        <f>(N9+N10+N11+N12+N13)*0.5</f>
        <v>10189.575000000001</v>
      </c>
      <c r="O15" s="1360">
        <v>0.5</v>
      </c>
      <c r="P15" s="1358">
        <f>(P9+P10+P11+P12+P13)*0.5</f>
        <v>11518.65</v>
      </c>
      <c r="Q15" s="1360">
        <v>0.5</v>
      </c>
      <c r="R15" s="1358">
        <f>(R9+R10+R11+R12+R13)*0.5</f>
        <v>13013.859375</v>
      </c>
      <c r="S15" s="1360">
        <v>0.5</v>
      </c>
      <c r="T15" s="1358">
        <f>(T9+T10+T11+T12+T13)*0.5</f>
        <v>14730.581249999999</v>
      </c>
    </row>
    <row r="16" spans="1:20" ht="28.5" hidden="1" customHeight="1" thickBot="1" x14ac:dyDescent="0.3">
      <c r="A16" s="4415" t="s">
        <v>1032</v>
      </c>
      <c r="B16" s="4416"/>
      <c r="C16" s="1361"/>
      <c r="D16" s="1362">
        <f>D9+D10+D11+D12+D13+D14+D15</f>
        <v>18828.5625</v>
      </c>
      <c r="E16" s="1361"/>
      <c r="F16" s="1362">
        <f>F9+F10+F11+F12+F13+F14+F15</f>
        <v>21276.275624999998</v>
      </c>
      <c r="G16" s="1361"/>
      <c r="H16" s="1362">
        <f>H9+H10+H11+H12+H13+H14+H15</f>
        <v>24100.559999999994</v>
      </c>
      <c r="I16" s="1361"/>
      <c r="J16" s="1362">
        <f>J9+J10+J11+J12+J13+J14+J15</f>
        <v>27113.13</v>
      </c>
      <c r="K16" s="1361"/>
      <c r="L16" s="1362">
        <f>L9+L10+L11+L12+L13+L14+L15</f>
        <v>30690.556875000002</v>
      </c>
      <c r="M16" s="1361"/>
      <c r="N16" s="1362">
        <f>N9+N10+N11+N12+N13+N14+N15</f>
        <v>34644.555000000008</v>
      </c>
      <c r="O16" s="1361"/>
      <c r="P16" s="1362">
        <f>P9+P10+P11+P12+P13+P14+P15</f>
        <v>39163.409999999996</v>
      </c>
      <c r="Q16" s="1361"/>
      <c r="R16" s="1362">
        <f>R9+R10+R11+R12+R13+R14+R15</f>
        <v>44247.121874999997</v>
      </c>
      <c r="S16" s="1361"/>
      <c r="T16" s="1362">
        <f>T9+T10+T11+T12+T13+T14+T15</f>
        <v>50083.976249999992</v>
      </c>
    </row>
    <row r="17" spans="1:8" hidden="1" x14ac:dyDescent="0.25"/>
    <row r="18" spans="1:8" hidden="1" x14ac:dyDescent="0.25"/>
    <row r="19" spans="1:8" hidden="1" x14ac:dyDescent="0.25"/>
    <row r="20" spans="1:8" ht="15.75" hidden="1" x14ac:dyDescent="0.25">
      <c r="A20" s="4417" t="s">
        <v>1033</v>
      </c>
      <c r="B20" s="4417"/>
      <c r="C20" s="1363"/>
      <c r="D20" s="1363"/>
      <c r="E20" s="1363"/>
      <c r="F20" s="1363"/>
      <c r="G20" s="1363"/>
      <c r="H20" s="1363"/>
    </row>
    <row r="21" spans="1:8" hidden="1" x14ac:dyDescent="0.25">
      <c r="A21" s="1364" t="s">
        <v>1034</v>
      </c>
      <c r="B21" s="1364" t="s">
        <v>1035</v>
      </c>
      <c r="C21" s="1363"/>
      <c r="D21" s="1363"/>
      <c r="E21" s="1363"/>
      <c r="F21" s="1363"/>
      <c r="G21" s="1363"/>
      <c r="H21" s="1363"/>
    </row>
    <row r="22" spans="1:8" hidden="1" x14ac:dyDescent="0.25">
      <c r="A22" s="1364">
        <v>1</v>
      </c>
      <c r="B22" s="1364">
        <v>1</v>
      </c>
      <c r="C22" s="1363"/>
      <c r="D22" s="1363"/>
      <c r="E22" s="1363"/>
      <c r="F22" s="1363"/>
      <c r="G22" s="1363"/>
      <c r="H22" s="1363"/>
    </row>
    <row r="23" spans="1:8" hidden="1" x14ac:dyDescent="0.25">
      <c r="A23" s="1364">
        <v>2</v>
      </c>
      <c r="B23" s="1364">
        <v>1.1299999999999999</v>
      </c>
      <c r="C23" s="1363"/>
      <c r="D23" s="1363"/>
      <c r="E23" s="1363"/>
      <c r="F23" s="1363"/>
      <c r="G23" s="1363"/>
      <c r="H23" s="1363"/>
    </row>
    <row r="24" spans="1:8" hidden="1" x14ac:dyDescent="0.25">
      <c r="A24" s="1364">
        <v>3</v>
      </c>
      <c r="B24" s="1364">
        <v>1.28</v>
      </c>
      <c r="C24" s="1363"/>
      <c r="D24" s="1363"/>
      <c r="E24" s="1363"/>
      <c r="F24" s="1363"/>
      <c r="G24" s="1363"/>
      <c r="H24" s="1363"/>
    </row>
    <row r="25" spans="1:8" hidden="1" x14ac:dyDescent="0.25">
      <c r="A25" s="1364">
        <v>4</v>
      </c>
      <c r="B25" s="1364">
        <v>1.44</v>
      </c>
      <c r="C25" s="1363"/>
      <c r="D25" s="1363"/>
      <c r="E25" s="1363"/>
      <c r="F25" s="1363"/>
      <c r="G25" s="1363"/>
      <c r="H25" s="1363"/>
    </row>
    <row r="26" spans="1:8" hidden="1" x14ac:dyDescent="0.25">
      <c r="A26" s="1364">
        <v>5</v>
      </c>
      <c r="B26" s="1364">
        <v>1.63</v>
      </c>
      <c r="C26" s="1363"/>
      <c r="D26" s="1363"/>
      <c r="E26" s="1363"/>
      <c r="F26" s="1363"/>
      <c r="G26" s="1363"/>
      <c r="H26" s="1363"/>
    </row>
    <row r="27" spans="1:8" hidden="1" x14ac:dyDescent="0.25">
      <c r="A27" s="1364">
        <v>6</v>
      </c>
      <c r="B27" s="1365">
        <v>1.84</v>
      </c>
      <c r="C27" s="1363"/>
      <c r="D27" s="1363"/>
      <c r="E27" s="1363"/>
      <c r="F27" s="1363"/>
      <c r="G27" s="1363"/>
      <c r="H27" s="1363"/>
    </row>
    <row r="28" spans="1:8" hidden="1" x14ac:dyDescent="0.25">
      <c r="A28" s="1364">
        <v>7</v>
      </c>
      <c r="B28" s="1365">
        <v>2.08</v>
      </c>
      <c r="C28" s="1363"/>
      <c r="D28" s="1363"/>
      <c r="E28" s="1363"/>
      <c r="F28" s="1363"/>
      <c r="G28" s="1363"/>
      <c r="H28" s="1363"/>
    </row>
    <row r="29" spans="1:8" hidden="1" x14ac:dyDescent="0.25">
      <c r="A29" s="1364">
        <v>8</v>
      </c>
      <c r="B29" s="1365">
        <v>2.35</v>
      </c>
      <c r="C29" s="1363"/>
      <c r="D29" s="1363"/>
      <c r="E29" s="1363"/>
      <c r="F29" s="1363"/>
      <c r="G29" s="1363"/>
      <c r="H29" s="1363"/>
    </row>
    <row r="30" spans="1:8" hidden="1" x14ac:dyDescent="0.25">
      <c r="A30" s="1364">
        <v>9</v>
      </c>
      <c r="B30" s="1365">
        <v>2.66</v>
      </c>
      <c r="C30" s="1363"/>
      <c r="D30" s="1363"/>
      <c r="E30" s="1363"/>
      <c r="F30" s="1363"/>
      <c r="G30" s="1363"/>
      <c r="H30" s="1363"/>
    </row>
    <row r="31" spans="1:8" hidden="1" x14ac:dyDescent="0.25">
      <c r="A31" s="1364">
        <v>10</v>
      </c>
      <c r="B31" s="1365">
        <v>2.78</v>
      </c>
      <c r="C31" s="1363"/>
      <c r="D31" s="1363"/>
      <c r="E31" s="1363"/>
      <c r="F31" s="1363"/>
      <c r="G31" s="1363"/>
      <c r="H31" s="1363"/>
    </row>
    <row r="32" spans="1:8" hidden="1" x14ac:dyDescent="0.25">
      <c r="A32" s="1364">
        <v>11</v>
      </c>
      <c r="B32" s="1365">
        <v>3.11</v>
      </c>
      <c r="C32" s="1363"/>
      <c r="D32" s="1363"/>
      <c r="E32" s="1363"/>
      <c r="F32" s="1363"/>
      <c r="G32" s="1363"/>
      <c r="H32" s="1363"/>
    </row>
    <row r="33" spans="1:20" hidden="1" x14ac:dyDescent="0.25">
      <c r="A33" s="1364">
        <v>12</v>
      </c>
      <c r="B33" s="1365">
        <v>3.48</v>
      </c>
      <c r="C33" s="1363"/>
      <c r="D33" s="1363"/>
      <c r="E33" s="1363"/>
      <c r="F33" s="1363"/>
      <c r="G33" s="1363"/>
      <c r="H33" s="1363"/>
    </row>
    <row r="34" spans="1:20" hidden="1" x14ac:dyDescent="0.25">
      <c r="A34" s="1364">
        <v>13</v>
      </c>
      <c r="B34" s="1365">
        <v>3.9</v>
      </c>
      <c r="C34" s="1363"/>
      <c r="D34" s="1363"/>
      <c r="E34" s="1363"/>
      <c r="F34" s="1363"/>
      <c r="G34" s="1363"/>
      <c r="H34" s="1363"/>
    </row>
    <row r="35" spans="1:20" hidden="1" x14ac:dyDescent="0.25">
      <c r="A35" s="1364">
        <v>14</v>
      </c>
      <c r="B35" s="1365">
        <v>4.37</v>
      </c>
      <c r="C35" s="1363"/>
      <c r="D35" s="1363"/>
      <c r="E35" s="1363"/>
      <c r="F35" s="1363"/>
      <c r="G35" s="1363"/>
      <c r="H35" s="1363"/>
    </row>
    <row r="36" spans="1:20" hidden="1" x14ac:dyDescent="0.25">
      <c r="A36" s="1364">
        <v>15</v>
      </c>
      <c r="B36" s="1365">
        <v>4.8899999999999997</v>
      </c>
      <c r="C36" s="1363"/>
      <c r="D36" s="1363"/>
      <c r="E36" s="1363"/>
      <c r="F36" s="1363"/>
      <c r="G36" s="1363"/>
      <c r="H36" s="1363"/>
    </row>
    <row r="37" spans="1:20" hidden="1" x14ac:dyDescent="0.25">
      <c r="A37" s="1364">
        <v>16</v>
      </c>
      <c r="B37" s="1365">
        <v>5.47</v>
      </c>
      <c r="C37" s="1363"/>
      <c r="D37" s="1363"/>
      <c r="E37" s="1363"/>
      <c r="F37" s="1363"/>
      <c r="G37" s="1363"/>
      <c r="H37" s="1363"/>
    </row>
    <row r="38" spans="1:20" hidden="1" x14ac:dyDescent="0.25">
      <c r="A38" s="1363"/>
      <c r="B38" s="1363"/>
      <c r="C38" s="1363"/>
      <c r="D38" s="1363"/>
      <c r="E38" s="1363"/>
      <c r="F38" s="1363"/>
      <c r="G38" s="1363"/>
      <c r="H38" s="1363"/>
    </row>
    <row r="39" spans="1:20" hidden="1" x14ac:dyDescent="0.25">
      <c r="A39" s="1363"/>
      <c r="B39" s="1363"/>
      <c r="C39" s="1363"/>
      <c r="D39" s="1363"/>
      <c r="E39" s="1363"/>
      <c r="F39" s="1363"/>
      <c r="G39" s="1363"/>
      <c r="H39" s="1363"/>
    </row>
    <row r="40" spans="1:20" x14ac:dyDescent="0.25">
      <c r="A40" s="1363"/>
      <c r="B40" s="1363"/>
      <c r="C40" s="1363"/>
      <c r="D40" s="1363"/>
      <c r="E40" s="1363"/>
      <c r="F40" s="1363"/>
      <c r="G40" s="1363"/>
      <c r="H40" s="1363"/>
    </row>
    <row r="41" spans="1:20" ht="18.75" x14ac:dyDescent="0.3">
      <c r="A41" s="4426" t="s">
        <v>1011</v>
      </c>
      <c r="B41" s="4426"/>
      <c r="C41" s="4426"/>
      <c r="D41" s="4426"/>
      <c r="E41" s="4426"/>
      <c r="F41" s="4426"/>
      <c r="G41" s="4426"/>
      <c r="H41" s="4426"/>
      <c r="I41" s="4426"/>
      <c r="J41" s="4426"/>
      <c r="K41" s="4426"/>
      <c r="L41" s="4426"/>
      <c r="M41" s="4426"/>
      <c r="N41" s="4426"/>
      <c r="O41" s="4426"/>
      <c r="P41" s="4426"/>
      <c r="Q41" s="4426"/>
      <c r="R41" s="4426"/>
      <c r="S41" s="4426"/>
      <c r="T41" s="4426"/>
    </row>
    <row r="42" spans="1:20" x14ac:dyDescent="0.25">
      <c r="A42" s="4427"/>
      <c r="B42" s="4427"/>
      <c r="C42" s="4427" t="s">
        <v>1012</v>
      </c>
      <c r="D42" s="4427"/>
      <c r="E42" s="4427" t="s">
        <v>1013</v>
      </c>
      <c r="F42" s="4427"/>
      <c r="G42" s="4427" t="s">
        <v>1014</v>
      </c>
      <c r="H42" s="4427"/>
      <c r="I42" s="4427" t="s">
        <v>1015</v>
      </c>
      <c r="J42" s="4427"/>
      <c r="K42" s="4427" t="s">
        <v>1016</v>
      </c>
      <c r="L42" s="4427"/>
      <c r="M42" s="4427" t="s">
        <v>1017</v>
      </c>
      <c r="N42" s="4427"/>
      <c r="O42" s="4427" t="s">
        <v>1018</v>
      </c>
      <c r="P42" s="4427"/>
      <c r="Q42" s="4427" t="s">
        <v>1019</v>
      </c>
      <c r="R42" s="4427"/>
      <c r="S42" s="4427" t="s">
        <v>1020</v>
      </c>
      <c r="T42" s="4427"/>
    </row>
    <row r="43" spans="1:20" x14ac:dyDescent="0.25">
      <c r="A43" s="4427"/>
      <c r="B43" s="4427"/>
      <c r="C43" s="3014" t="s">
        <v>44</v>
      </c>
      <c r="D43" s="3014" t="s">
        <v>1021</v>
      </c>
      <c r="E43" s="3014" t="s">
        <v>44</v>
      </c>
      <c r="F43" s="3014" t="s">
        <v>1021</v>
      </c>
      <c r="G43" s="3014" t="s">
        <v>44</v>
      </c>
      <c r="H43" s="3014" t="s">
        <v>1021</v>
      </c>
      <c r="I43" s="3014" t="s">
        <v>44</v>
      </c>
      <c r="J43" s="3014" t="s">
        <v>1021</v>
      </c>
      <c r="K43" s="3014" t="s">
        <v>44</v>
      </c>
      <c r="L43" s="3014" t="s">
        <v>1021</v>
      </c>
      <c r="M43" s="3014" t="s">
        <v>44</v>
      </c>
      <c r="N43" s="3014" t="s">
        <v>1021</v>
      </c>
      <c r="O43" s="3014" t="s">
        <v>44</v>
      </c>
      <c r="P43" s="3014" t="s">
        <v>1021</v>
      </c>
      <c r="Q43" s="3014" t="s">
        <v>44</v>
      </c>
      <c r="R43" s="3014" t="s">
        <v>1021</v>
      </c>
      <c r="S43" s="3014" t="s">
        <v>44</v>
      </c>
      <c r="T43" s="3014" t="s">
        <v>1021</v>
      </c>
    </row>
    <row r="44" spans="1:20" ht="41.25" customHeight="1" x14ac:dyDescent="0.25">
      <c r="A44" s="4424" t="s">
        <v>1865</v>
      </c>
      <c r="B44" s="4424"/>
      <c r="C44" s="3017"/>
      <c r="D44" s="3022">
        <v>10303</v>
      </c>
      <c r="E44" s="3017"/>
      <c r="F44" s="3022">
        <f>D44</f>
        <v>10303</v>
      </c>
      <c r="G44" s="3018"/>
      <c r="H44" s="3022">
        <f>F44</f>
        <v>10303</v>
      </c>
      <c r="I44" s="3017"/>
      <c r="J44" s="3022">
        <f>H44</f>
        <v>10303</v>
      </c>
      <c r="K44" s="3017"/>
      <c r="L44" s="3022">
        <f>J44</f>
        <v>10303</v>
      </c>
      <c r="M44" s="3017"/>
      <c r="N44" s="3022">
        <f>L44</f>
        <v>10303</v>
      </c>
      <c r="O44" s="3017"/>
      <c r="P44" s="3022">
        <f>N44</f>
        <v>10303</v>
      </c>
      <c r="Q44" s="3017"/>
      <c r="R44" s="3022">
        <f>P44</f>
        <v>10303</v>
      </c>
      <c r="S44" s="3017"/>
      <c r="T44" s="3022">
        <f>R44</f>
        <v>10303</v>
      </c>
    </row>
    <row r="45" spans="1:20" x14ac:dyDescent="0.25">
      <c r="A45" s="4425" t="s">
        <v>1024</v>
      </c>
      <c r="B45" s="4425"/>
      <c r="C45" s="3018"/>
      <c r="D45" s="3022">
        <v>1</v>
      </c>
      <c r="E45" s="3021"/>
      <c r="F45" s="3022">
        <f>B23</f>
        <v>1.1299999999999999</v>
      </c>
      <c r="G45" s="3018"/>
      <c r="H45" s="3022">
        <f>B24</f>
        <v>1.28</v>
      </c>
      <c r="I45" s="3021"/>
      <c r="J45" s="3022">
        <v>1.44</v>
      </c>
      <c r="K45" s="3021"/>
      <c r="L45" s="3022">
        <v>1.63</v>
      </c>
      <c r="M45" s="3021"/>
      <c r="N45" s="3022">
        <f>1.84</f>
        <v>1.84</v>
      </c>
      <c r="O45" s="3021"/>
      <c r="P45" s="3022">
        <v>2.08</v>
      </c>
      <c r="Q45" s="3021"/>
      <c r="R45" s="3022">
        <v>2.35</v>
      </c>
      <c r="S45" s="3018"/>
      <c r="T45" s="3022">
        <v>2.66</v>
      </c>
    </row>
    <row r="46" spans="1:20" x14ac:dyDescent="0.25">
      <c r="A46" s="4425" t="s">
        <v>1025</v>
      </c>
      <c r="B46" s="4425"/>
      <c r="C46" s="3017"/>
      <c r="D46" s="3022">
        <f>D44*D45</f>
        <v>10303</v>
      </c>
      <c r="E46" s="3017"/>
      <c r="F46" s="3022">
        <f>F44*F45</f>
        <v>11642.39</v>
      </c>
      <c r="G46" s="3018"/>
      <c r="H46" s="3022">
        <f>H44*H45</f>
        <v>13187.84</v>
      </c>
      <c r="I46" s="3017"/>
      <c r="J46" s="3022">
        <f>J44*J45</f>
        <v>14836.32</v>
      </c>
      <c r="K46" s="3017"/>
      <c r="L46" s="3022">
        <f>L44*L45</f>
        <v>16793.89</v>
      </c>
      <c r="M46" s="3017"/>
      <c r="N46" s="3022">
        <f>N44*N45</f>
        <v>18957.52</v>
      </c>
      <c r="O46" s="3017"/>
      <c r="P46" s="3022">
        <f>P44*P45</f>
        <v>21430.240000000002</v>
      </c>
      <c r="Q46" s="3017"/>
      <c r="R46" s="3022">
        <f>R44*R45</f>
        <v>24212.05</v>
      </c>
      <c r="S46" s="3017"/>
      <c r="T46" s="3022">
        <f>T44*T45</f>
        <v>27405.980000000003</v>
      </c>
    </row>
    <row r="47" spans="1:20" x14ac:dyDescent="0.25">
      <c r="A47" s="4425" t="s">
        <v>1026</v>
      </c>
      <c r="B47" s="4425"/>
      <c r="C47" s="3019">
        <v>0.125</v>
      </c>
      <c r="D47" s="3022">
        <f>D46*C47</f>
        <v>1287.875</v>
      </c>
      <c r="E47" s="3019">
        <v>0.125</v>
      </c>
      <c r="F47" s="3022">
        <f>F46*E47</f>
        <v>1455.2987499999999</v>
      </c>
      <c r="G47" s="3019">
        <v>0.125</v>
      </c>
      <c r="H47" s="3022">
        <f>H46*G47</f>
        <v>1648.48</v>
      </c>
      <c r="I47" s="3019">
        <v>0.125</v>
      </c>
      <c r="J47" s="3022">
        <f>J46*I47</f>
        <v>1854.54</v>
      </c>
      <c r="K47" s="3019">
        <v>0.125</v>
      </c>
      <c r="L47" s="3022">
        <f>L46*K47</f>
        <v>2099.2362499999999</v>
      </c>
      <c r="M47" s="3019">
        <v>0.125</v>
      </c>
      <c r="N47" s="3022">
        <f>N46*M47</f>
        <v>2369.69</v>
      </c>
      <c r="O47" s="3019">
        <v>0.125</v>
      </c>
      <c r="P47" s="3022">
        <f>P46*O47</f>
        <v>2678.78</v>
      </c>
      <c r="Q47" s="3019">
        <v>0.125</v>
      </c>
      <c r="R47" s="3022">
        <f>R46*Q47</f>
        <v>3026.5062499999999</v>
      </c>
      <c r="S47" s="3019">
        <v>0.125</v>
      </c>
      <c r="T47" s="3022">
        <f>T46*S47</f>
        <v>3425.7475000000004</v>
      </c>
    </row>
    <row r="48" spans="1:20" x14ac:dyDescent="0.25">
      <c r="A48" s="4425" t="s">
        <v>1027</v>
      </c>
      <c r="B48" s="4425"/>
      <c r="C48" s="3020">
        <v>0</v>
      </c>
      <c r="D48" s="3022">
        <f>D46*C48</f>
        <v>0</v>
      </c>
      <c r="E48" s="3020">
        <v>0.1</v>
      </c>
      <c r="F48" s="3022">
        <f>F46*E48</f>
        <v>1164.239</v>
      </c>
      <c r="G48" s="3020">
        <v>0.1</v>
      </c>
      <c r="H48" s="3022">
        <f>H46*G48</f>
        <v>1318.7840000000001</v>
      </c>
      <c r="I48" s="3020">
        <v>0.1</v>
      </c>
      <c r="J48" s="3022">
        <f>J46*I48</f>
        <v>1483.6320000000001</v>
      </c>
      <c r="K48" s="3020">
        <v>0.1</v>
      </c>
      <c r="L48" s="3022">
        <f>L46*K48</f>
        <v>1679.3890000000001</v>
      </c>
      <c r="M48" s="3020">
        <v>0.1</v>
      </c>
      <c r="N48" s="3022">
        <f>N46*M48</f>
        <v>1895.7520000000002</v>
      </c>
      <c r="O48" s="3020">
        <v>0.1</v>
      </c>
      <c r="P48" s="3022">
        <f>P46*O48</f>
        <v>2143.0240000000003</v>
      </c>
      <c r="Q48" s="3020">
        <v>0.1</v>
      </c>
      <c r="R48" s="3022">
        <f>R46*Q48</f>
        <v>2421.2049999999999</v>
      </c>
      <c r="S48" s="3020">
        <v>0.1</v>
      </c>
      <c r="T48" s="3022">
        <f>T46*S48</f>
        <v>2740.5980000000004</v>
      </c>
    </row>
    <row r="49" spans="1:20" x14ac:dyDescent="0.25">
      <c r="A49" s="4425" t="s">
        <v>1028</v>
      </c>
      <c r="B49" s="4425"/>
      <c r="C49" s="3020">
        <v>0</v>
      </c>
      <c r="D49" s="3022">
        <f>D46*C49</f>
        <v>0</v>
      </c>
      <c r="E49" s="3020">
        <v>0</v>
      </c>
      <c r="F49" s="3022">
        <f>F46*E49</f>
        <v>0</v>
      </c>
      <c r="G49" s="3020">
        <v>0</v>
      </c>
      <c r="H49" s="3022">
        <f>H46*G49</f>
        <v>0</v>
      </c>
      <c r="I49" s="3020">
        <v>0</v>
      </c>
      <c r="J49" s="3022">
        <f>J46*I49</f>
        <v>0</v>
      </c>
      <c r="K49" s="3020">
        <v>0</v>
      </c>
      <c r="L49" s="3022">
        <f>L46*K49</f>
        <v>0</v>
      </c>
      <c r="M49" s="3020">
        <v>0</v>
      </c>
      <c r="N49" s="3022">
        <f>N46*M49</f>
        <v>0</v>
      </c>
      <c r="O49" s="3020">
        <v>0</v>
      </c>
      <c r="P49" s="3022">
        <f>P46*O49</f>
        <v>0</v>
      </c>
      <c r="Q49" s="3020">
        <v>0</v>
      </c>
      <c r="R49" s="3022">
        <f>R46*Q49</f>
        <v>0</v>
      </c>
      <c r="S49" s="3020">
        <v>0</v>
      </c>
      <c r="T49" s="3022">
        <f>T46*S49</f>
        <v>0</v>
      </c>
    </row>
    <row r="50" spans="1:20" x14ac:dyDescent="0.25">
      <c r="A50" s="4425" t="s">
        <v>1029</v>
      </c>
      <c r="B50" s="4425"/>
      <c r="C50" s="3020">
        <v>0.15</v>
      </c>
      <c r="D50" s="3022">
        <f>D46*C50</f>
        <v>1545.45</v>
      </c>
      <c r="E50" s="3020">
        <v>0.15</v>
      </c>
      <c r="F50" s="3022">
        <f>F46*E50</f>
        <v>1746.3584999999998</v>
      </c>
      <c r="G50" s="3020">
        <v>0.15</v>
      </c>
      <c r="H50" s="3022">
        <f>H46*G50</f>
        <v>1978.1759999999999</v>
      </c>
      <c r="I50" s="3020">
        <v>0.15</v>
      </c>
      <c r="J50" s="3022">
        <f>J46*I50</f>
        <v>2225.4479999999999</v>
      </c>
      <c r="K50" s="3020">
        <v>0.15</v>
      </c>
      <c r="L50" s="3022">
        <f>L46*K50</f>
        <v>2519.0834999999997</v>
      </c>
      <c r="M50" s="3020">
        <v>0.15</v>
      </c>
      <c r="N50" s="3022">
        <f>N46*M50</f>
        <v>2843.6280000000002</v>
      </c>
      <c r="O50" s="3020">
        <v>0.15</v>
      </c>
      <c r="P50" s="3022">
        <f>P46*O50</f>
        <v>3214.5360000000001</v>
      </c>
      <c r="Q50" s="3020">
        <v>0.15</v>
      </c>
      <c r="R50" s="3022">
        <f>R46*Q50</f>
        <v>3631.8074999999999</v>
      </c>
      <c r="S50" s="3020">
        <v>0.15</v>
      </c>
      <c r="T50" s="3022">
        <f>T46*S50</f>
        <v>4110.8969999999999</v>
      </c>
    </row>
    <row r="51" spans="1:20" x14ac:dyDescent="0.25">
      <c r="A51" s="4425" t="s">
        <v>1030</v>
      </c>
      <c r="B51" s="4425"/>
      <c r="C51" s="3020">
        <v>0.2</v>
      </c>
      <c r="D51" s="3022">
        <f>(D46+D47+D48+D49+D50)*0.2</f>
        <v>2627.2650000000003</v>
      </c>
      <c r="E51" s="3020">
        <v>0.2</v>
      </c>
      <c r="F51" s="3022">
        <f>(F46+F47+F48+F49+F50)*0.2</f>
        <v>3201.6572500000002</v>
      </c>
      <c r="G51" s="3020">
        <v>0.2</v>
      </c>
      <c r="H51" s="3022">
        <f>(H46+H47+H48+H49+H50)*0.2</f>
        <v>3626.6559999999999</v>
      </c>
      <c r="I51" s="3020">
        <v>0.2</v>
      </c>
      <c r="J51" s="3022">
        <f>(J46+J47+J48+J49+J50)*0.2</f>
        <v>4079.9880000000007</v>
      </c>
      <c r="K51" s="3020">
        <v>0.2</v>
      </c>
      <c r="L51" s="3022">
        <f>(L46+L47+L48+L49+L50)*0.2</f>
        <v>4618.3197500000006</v>
      </c>
      <c r="M51" s="3020">
        <v>0.2</v>
      </c>
      <c r="N51" s="3022">
        <f>(N46+N47+N48+N49+N50)*0.2</f>
        <v>5213.3180000000002</v>
      </c>
      <c r="O51" s="3020">
        <v>0.2</v>
      </c>
      <c r="P51" s="3022">
        <f>(P46+P47+P48+P49+P50)*0.2</f>
        <v>5893.3160000000007</v>
      </c>
      <c r="Q51" s="3020">
        <v>0.2</v>
      </c>
      <c r="R51" s="3022">
        <f>(R46+R47+R48+R49+R50)*0.2</f>
        <v>6658.3137500000003</v>
      </c>
      <c r="S51" s="3020">
        <v>0.2</v>
      </c>
      <c r="T51" s="3022">
        <f>(T46+T47+T48+T49+T50)*0.2</f>
        <v>7536.6445000000012</v>
      </c>
    </row>
    <row r="52" spans="1:20" x14ac:dyDescent="0.25">
      <c r="A52" s="4425" t="s">
        <v>1031</v>
      </c>
      <c r="B52" s="4425"/>
      <c r="C52" s="3020">
        <v>0.5</v>
      </c>
      <c r="D52" s="3022">
        <f>(D46+D47+D48+D49+D50)*0.5</f>
        <v>6568.1625000000004</v>
      </c>
      <c r="E52" s="3020">
        <v>0.5</v>
      </c>
      <c r="F52" s="3022">
        <f>(F46+F47+F48+F49+F50)*0.5</f>
        <v>8004.1431249999996</v>
      </c>
      <c r="G52" s="3020">
        <v>0.5</v>
      </c>
      <c r="H52" s="3022">
        <f>(H46+H47+H48+H49+H50)*0.5</f>
        <v>9066.64</v>
      </c>
      <c r="I52" s="3020">
        <v>0.5</v>
      </c>
      <c r="J52" s="3022">
        <f>(J46+J47+J48+J49+J50)*0.5</f>
        <v>10199.970000000001</v>
      </c>
      <c r="K52" s="3020">
        <v>0.5</v>
      </c>
      <c r="L52" s="3022">
        <f>(L46+L47+L48+L49+L50)*0.5</f>
        <v>11545.799375000001</v>
      </c>
      <c r="M52" s="3020">
        <v>0.5</v>
      </c>
      <c r="N52" s="3022">
        <f>(N46+N47+N48+N49+N50)*0.5</f>
        <v>13033.295</v>
      </c>
      <c r="O52" s="3020">
        <v>0.5</v>
      </c>
      <c r="P52" s="3022">
        <f>(P46+P47+P48+P49+P50)*0.5</f>
        <v>14733.29</v>
      </c>
      <c r="Q52" s="3020">
        <v>0.5</v>
      </c>
      <c r="R52" s="3022">
        <f>(R46+R47+R48+R49+R50)*0.5</f>
        <v>16645.784374999999</v>
      </c>
      <c r="S52" s="3020">
        <v>0.5</v>
      </c>
      <c r="T52" s="3022">
        <f>(T46+T47+T48+T49+T50)*0.5</f>
        <v>18841.611250000002</v>
      </c>
    </row>
    <row r="53" spans="1:20" x14ac:dyDescent="0.25">
      <c r="A53" s="4429" t="s">
        <v>1032</v>
      </c>
      <c r="B53" s="4429"/>
      <c r="C53" s="3015"/>
      <c r="D53" s="3016">
        <f>D46+D47+D48+D49+D50+D51+D52</f>
        <v>22331.752500000002</v>
      </c>
      <c r="E53" s="3015"/>
      <c r="F53" s="3016">
        <f>F46+F47+F48+F49+F50+F51+F52</f>
        <v>27214.086625</v>
      </c>
      <c r="G53" s="3015"/>
      <c r="H53" s="3016">
        <f>H46+H47+H48+H49+H50+H51+H52</f>
        <v>30826.575999999997</v>
      </c>
      <c r="I53" s="3015"/>
      <c r="J53" s="3016">
        <f>J46+J47+J48+J49+J50+J51+J52</f>
        <v>34679.898000000001</v>
      </c>
      <c r="K53" s="3015"/>
      <c r="L53" s="3016">
        <f>L46+L47+L48+L49+L50+L51+L52</f>
        <v>39255.717875000002</v>
      </c>
      <c r="M53" s="3015"/>
      <c r="N53" s="3016">
        <f>N46+N47+N48+N49+N50+N51+N52</f>
        <v>44313.203000000001</v>
      </c>
      <c r="O53" s="3015"/>
      <c r="P53" s="3016">
        <f>P46+P47+P48+P49+P50+P51+P52</f>
        <v>50093.186000000002</v>
      </c>
      <c r="Q53" s="3015"/>
      <c r="R53" s="3016">
        <f>R46+R47+R48+R49+R50+R51+R52</f>
        <v>56595.666874999995</v>
      </c>
      <c r="S53" s="3015"/>
      <c r="T53" s="3016">
        <f>T46+T47+T48+T49+T50+T51+T52</f>
        <v>64061.478250000007</v>
      </c>
    </row>
    <row r="55" spans="1:20" x14ac:dyDescent="0.25">
      <c r="A55" s="4428"/>
      <c r="B55" s="4428"/>
    </row>
    <row r="56" spans="1:20" hidden="1" x14ac:dyDescent="0.25">
      <c r="A56" s="3012" t="s">
        <v>85</v>
      </c>
      <c r="B56" s="1337">
        <f>'ср. разряд'!E15</f>
        <v>3.0952380952380953</v>
      </c>
    </row>
    <row r="57" spans="1:20" hidden="1" x14ac:dyDescent="0.25">
      <c r="A57" s="3012" t="s">
        <v>87</v>
      </c>
      <c r="B57" s="1337">
        <f>'ср. разряд'!E20</f>
        <v>3.1063829787234041</v>
      </c>
    </row>
    <row r="58" spans="1:20" ht="25.5" hidden="1" x14ac:dyDescent="0.25">
      <c r="A58" s="3012" t="s">
        <v>88</v>
      </c>
    </row>
    <row r="59" spans="1:20" hidden="1" x14ac:dyDescent="0.25">
      <c r="A59" s="3012" t="s">
        <v>89</v>
      </c>
    </row>
    <row r="60" spans="1:20" hidden="1" x14ac:dyDescent="0.25">
      <c r="A60" s="3012" t="s">
        <v>1994</v>
      </c>
    </row>
  </sheetData>
  <mergeCells count="46">
    <mergeCell ref="A55:B55"/>
    <mergeCell ref="A53:B53"/>
    <mergeCell ref="A48:B48"/>
    <mergeCell ref="A49:B49"/>
    <mergeCell ref="A50:B50"/>
    <mergeCell ref="A51:B51"/>
    <mergeCell ref="A52:B52"/>
    <mergeCell ref="A44:B44"/>
    <mergeCell ref="A45:B45"/>
    <mergeCell ref="A46:B46"/>
    <mergeCell ref="A47:B47"/>
    <mergeCell ref="A41:T41"/>
    <mergeCell ref="A42:B43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A16:B16"/>
    <mergeCell ref="A20:B20"/>
    <mergeCell ref="A10:B10"/>
    <mergeCell ref="A11:B11"/>
    <mergeCell ref="A12:B12"/>
    <mergeCell ref="A13:B13"/>
    <mergeCell ref="A14:B14"/>
    <mergeCell ref="A15:B15"/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</mergeCells>
  <pageMargins left="0.7" right="0.7" top="0.75" bottom="0.75" header="0.3" footer="0.3"/>
  <pageSetup paperSize="9" scale="5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345</v>
      </c>
    </row>
    <row r="6" spans="1:5" x14ac:dyDescent="0.2">
      <c r="A6" s="5" t="s">
        <v>623</v>
      </c>
    </row>
    <row r="7" spans="1:5" x14ac:dyDescent="0.2">
      <c r="A7" s="5" t="s">
        <v>3557</v>
      </c>
    </row>
    <row r="8" spans="1:5" x14ac:dyDescent="0.2">
      <c r="A8" s="5" t="s">
        <v>3558</v>
      </c>
    </row>
    <row r="11" spans="1:5" x14ac:dyDescent="0.2">
      <c r="B11" s="3958" t="s">
        <v>1870</v>
      </c>
      <c r="C11" s="3958"/>
      <c r="D11" s="3958"/>
      <c r="E11" s="3958"/>
    </row>
    <row r="12" spans="1:5" x14ac:dyDescent="0.2">
      <c r="B12" s="3958" t="s">
        <v>1871</v>
      </c>
      <c r="C12" s="3958"/>
      <c r="D12" s="3958" t="s">
        <v>1872</v>
      </c>
      <c r="E12" s="3958"/>
    </row>
    <row r="13" spans="1:5" x14ac:dyDescent="0.2">
      <c r="B13" s="3010" t="s">
        <v>370</v>
      </c>
      <c r="C13" s="3010" t="s">
        <v>1034</v>
      </c>
      <c r="D13" s="3010" t="s">
        <v>370</v>
      </c>
      <c r="E13" s="3010" t="s">
        <v>1034</v>
      </c>
    </row>
    <row r="14" spans="1:5" x14ac:dyDescent="0.2">
      <c r="A14" s="5" t="s">
        <v>355</v>
      </c>
    </row>
    <row r="15" spans="1:5" x14ac:dyDescent="0.2">
      <c r="A15" s="5" t="s">
        <v>154</v>
      </c>
      <c r="B15" s="5">
        <f>SUM(B16:B19)</f>
        <v>21</v>
      </c>
      <c r="C15" s="3023">
        <f>(B16*C16+B17*C17+B18*C18+B19*C19)/B15</f>
        <v>3.3333333333333335</v>
      </c>
      <c r="D15" s="5">
        <f>SUM(D16:D19)</f>
        <v>21</v>
      </c>
      <c r="E15" s="3023">
        <f>(D16*E16+D17*E17+D18*E18+D19*E19)/D15</f>
        <v>3.0952380952380953</v>
      </c>
    </row>
    <row r="16" spans="1:5" x14ac:dyDescent="0.2">
      <c r="A16" s="5" t="s">
        <v>3559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3559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3559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1996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3560</v>
      </c>
      <c r="B20" s="5">
        <f>SUM(B21:B33)</f>
        <v>47</v>
      </c>
      <c r="C20" s="3023">
        <f>(B21*C21+B22*C22+B23*C23+B24*C24+B25*C25+B26*C26+B27*C27+B28*C28+B29*C29+B30*C30+B31*C31+B32*C32+B33*C33)/B20</f>
        <v>3.2765957446808511</v>
      </c>
      <c r="D20" s="5">
        <f>SUM(D21:D33)</f>
        <v>47</v>
      </c>
      <c r="E20" s="3023">
        <f>(D21*E21+D22*E22+D23*E23+D24*E24+D25*E25+D26*E26+D27*E27+D28*E28+D29*E29+D30*E30+D31*E31+D32*E32+D33*E33)/D20</f>
        <v>3.1063829787234041</v>
      </c>
    </row>
    <row r="21" spans="1:5" x14ac:dyDescent="0.2">
      <c r="A21" s="5" t="s">
        <v>3561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3562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3563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3563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1996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1996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3561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3564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3565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3566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3566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3567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3568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3569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1"/>
  <sheetViews>
    <sheetView workbookViewId="0">
      <selection activeCell="C31" sqref="C31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2093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278</v>
      </c>
    </row>
    <row r="4" spans="1:10" s="2093" customFormat="1" ht="25.5" x14ac:dyDescent="0.2">
      <c r="A4" s="2726"/>
      <c r="B4" s="2726" t="s">
        <v>1999</v>
      </c>
      <c r="C4" s="2726" t="s">
        <v>1034</v>
      </c>
      <c r="D4" s="2725" t="s">
        <v>2000</v>
      </c>
      <c r="E4" s="2725" t="s">
        <v>2001</v>
      </c>
      <c r="F4" s="2726" t="s">
        <v>2002</v>
      </c>
    </row>
    <row r="5" spans="1:10" x14ac:dyDescent="0.2">
      <c r="A5" s="1972" t="s">
        <v>1995</v>
      </c>
      <c r="B5" s="2726">
        <v>5</v>
      </c>
      <c r="C5" s="2726">
        <v>4</v>
      </c>
      <c r="D5" s="1977">
        <v>36990.29</v>
      </c>
      <c r="E5" s="1977">
        <f>B5*D5</f>
        <v>184951.45</v>
      </c>
      <c r="F5" s="1977">
        <f>E5*12</f>
        <v>2219417.4000000004</v>
      </c>
    </row>
    <row r="6" spans="1:10" x14ac:dyDescent="0.2">
      <c r="A6" s="1972" t="s">
        <v>1996</v>
      </c>
      <c r="B6" s="2726">
        <v>1</v>
      </c>
      <c r="C6" s="2726">
        <v>5</v>
      </c>
      <c r="D6" s="1977">
        <v>35898.44</v>
      </c>
      <c r="E6" s="1977">
        <f t="shared" ref="E6:E8" si="0">B6*D6</f>
        <v>35898.44</v>
      </c>
      <c r="F6" s="1977">
        <f t="shared" ref="F6:F8" si="1">E6*12</f>
        <v>430781.28</v>
      </c>
    </row>
    <row r="7" spans="1:10" x14ac:dyDescent="0.2">
      <c r="A7" s="1972" t="s">
        <v>1997</v>
      </c>
      <c r="B7" s="2726">
        <v>1</v>
      </c>
      <c r="C7" s="2726">
        <v>5</v>
      </c>
      <c r="D7" s="1977">
        <v>35898.44</v>
      </c>
      <c r="E7" s="1977">
        <f t="shared" si="0"/>
        <v>35898.44</v>
      </c>
      <c r="F7" s="1977">
        <f t="shared" si="1"/>
        <v>430781.28</v>
      </c>
    </row>
    <row r="8" spans="1:10" x14ac:dyDescent="0.2">
      <c r="A8" s="1972" t="s">
        <v>1998</v>
      </c>
      <c r="B8" s="2726">
        <v>1</v>
      </c>
      <c r="C8" s="2726">
        <v>2</v>
      </c>
      <c r="D8" s="1977">
        <v>23959.8</v>
      </c>
      <c r="E8" s="1977">
        <f t="shared" si="0"/>
        <v>23959.8</v>
      </c>
      <c r="F8" s="1977">
        <f t="shared" si="1"/>
        <v>287517.59999999998</v>
      </c>
    </row>
    <row r="9" spans="1:10" x14ac:dyDescent="0.2">
      <c r="A9" s="1972"/>
      <c r="B9" s="2726">
        <f>SUM(B5:B8)</f>
        <v>8</v>
      </c>
      <c r="C9" s="2726">
        <f>(B5*C5+B6*C6+B7*C7+B8*C8)/B9</f>
        <v>4</v>
      </c>
      <c r="D9" s="1973">
        <f>E9/B9</f>
        <v>35088.516250000001</v>
      </c>
      <c r="E9" s="1973">
        <f>SUM(E5:E8)</f>
        <v>280708.13</v>
      </c>
      <c r="F9" s="1973">
        <f>SUM(F5:F8)</f>
        <v>3368497.560000001</v>
      </c>
    </row>
    <row r="11" spans="1:10" x14ac:dyDescent="0.2">
      <c r="A11" s="5" t="s">
        <v>2003</v>
      </c>
    </row>
    <row r="12" spans="1:10" x14ac:dyDescent="0.2">
      <c r="A12" s="5" t="s">
        <v>2004</v>
      </c>
    </row>
    <row r="13" spans="1:10" s="2749" customFormat="1" ht="25.5" x14ac:dyDescent="0.2">
      <c r="A13" s="2529" t="s">
        <v>2005</v>
      </c>
      <c r="B13" s="2640" t="s">
        <v>2006</v>
      </c>
      <c r="C13" s="2642" t="s">
        <v>2007</v>
      </c>
      <c r="D13" s="3971" t="s">
        <v>2015</v>
      </c>
      <c r="E13" s="3971"/>
      <c r="F13" s="3971"/>
      <c r="G13" s="3971" t="s">
        <v>2016</v>
      </c>
      <c r="H13" s="3971"/>
      <c r="I13" s="3971"/>
      <c r="J13" s="3971"/>
    </row>
    <row r="14" spans="1:10" x14ac:dyDescent="0.2">
      <c r="A14" s="1972" t="s">
        <v>2008</v>
      </c>
      <c r="B14" s="2641"/>
      <c r="C14" s="2642"/>
      <c r="D14" s="4430" t="s">
        <v>2014</v>
      </c>
      <c r="E14" s="4431"/>
      <c r="F14" s="4432"/>
      <c r="G14" s="4439" t="s">
        <v>2017</v>
      </c>
      <c r="H14" s="4440"/>
      <c r="I14" s="4440"/>
      <c r="J14" s="4441"/>
    </row>
    <row r="15" spans="1:10" x14ac:dyDescent="0.2">
      <c r="A15" s="1972" t="s">
        <v>2009</v>
      </c>
      <c r="B15" s="2204">
        <f>'ЭЭ вода'!S24</f>
        <v>1900</v>
      </c>
      <c r="C15" s="2642"/>
      <c r="D15" s="4433"/>
      <c r="E15" s="4434"/>
      <c r="F15" s="4435"/>
      <c r="G15" s="4442"/>
      <c r="H15" s="4443"/>
      <c r="I15" s="4443"/>
      <c r="J15" s="4444"/>
    </row>
    <row r="16" spans="1:10" x14ac:dyDescent="0.2">
      <c r="A16" s="1972" t="s">
        <v>2010</v>
      </c>
      <c r="B16" s="2755">
        <f>B15/365</f>
        <v>5.2054794520547949</v>
      </c>
      <c r="C16" s="2642"/>
      <c r="D16" s="4433"/>
      <c r="E16" s="4434"/>
      <c r="F16" s="4435"/>
      <c r="G16" s="4442"/>
      <c r="H16" s="4443"/>
      <c r="I16" s="4443"/>
      <c r="J16" s="4444"/>
    </row>
    <row r="17" spans="1:10" ht="25.5" x14ac:dyDescent="0.2">
      <c r="A17" s="2491" t="s">
        <v>2011</v>
      </c>
      <c r="B17" s="2755">
        <f>5+((6-5)/15)*B16</f>
        <v>5.3470319634703198</v>
      </c>
      <c r="C17" s="2642"/>
      <c r="D17" s="4433"/>
      <c r="E17" s="4434"/>
      <c r="F17" s="4435"/>
      <c r="G17" s="4442"/>
      <c r="H17" s="4443"/>
      <c r="I17" s="4443"/>
      <c r="J17" s="4444"/>
    </row>
    <row r="18" spans="1:10" x14ac:dyDescent="0.2">
      <c r="A18" s="1972" t="s">
        <v>2012</v>
      </c>
      <c r="B18" s="2755">
        <v>1.1599999999999999</v>
      </c>
      <c r="C18" s="2642"/>
      <c r="D18" s="4433"/>
      <c r="E18" s="4434"/>
      <c r="F18" s="4435"/>
      <c r="G18" s="4442"/>
      <c r="H18" s="4443"/>
      <c r="I18" s="4443"/>
      <c r="J18" s="4444"/>
    </row>
    <row r="19" spans="1:10" ht="37.5" customHeight="1" x14ac:dyDescent="0.2">
      <c r="A19" s="2491" t="s">
        <v>2013</v>
      </c>
      <c r="B19" s="2756">
        <f>B17*B18</f>
        <v>6.2025570776255705</v>
      </c>
      <c r="C19" s="2642"/>
      <c r="D19" s="4436"/>
      <c r="E19" s="4437"/>
      <c r="F19" s="4438"/>
      <c r="G19" s="4445"/>
      <c r="H19" s="4446"/>
      <c r="I19" s="4446"/>
      <c r="J19" s="4447"/>
    </row>
    <row r="22" spans="1:10" x14ac:dyDescent="0.2">
      <c r="A22" s="2151" t="s">
        <v>2027</v>
      </c>
    </row>
    <row r="23" spans="1:10" x14ac:dyDescent="0.2">
      <c r="A23" s="5" t="s">
        <v>1966</v>
      </c>
    </row>
    <row r="24" spans="1:10" x14ac:dyDescent="0.2">
      <c r="A24" s="5" t="s">
        <v>2028</v>
      </c>
    </row>
    <row r="26" spans="1:10" x14ac:dyDescent="0.2">
      <c r="A26" s="3011"/>
      <c r="B26" s="3011" t="s">
        <v>1999</v>
      </c>
      <c r="C26" s="3011" t="s">
        <v>1034</v>
      </c>
    </row>
    <row r="27" spans="1:10" x14ac:dyDescent="0.2">
      <c r="A27" s="1972" t="s">
        <v>1995</v>
      </c>
      <c r="B27" s="3011">
        <v>4</v>
      </c>
      <c r="C27" s="3011">
        <v>3</v>
      </c>
    </row>
    <row r="28" spans="1:10" x14ac:dyDescent="0.2">
      <c r="A28" s="1972" t="s">
        <v>1996</v>
      </c>
      <c r="B28" s="3011">
        <v>0.9</v>
      </c>
      <c r="C28" s="3011">
        <v>5</v>
      </c>
    </row>
    <row r="29" spans="1:10" x14ac:dyDescent="0.2">
      <c r="A29" s="1972" t="s">
        <v>1997</v>
      </c>
      <c r="B29" s="3011">
        <v>0.9</v>
      </c>
      <c r="C29" s="3011">
        <v>5</v>
      </c>
    </row>
    <row r="30" spans="1:10" x14ac:dyDescent="0.2">
      <c r="A30" s="1972" t="s">
        <v>1998</v>
      </c>
      <c r="B30" s="3011">
        <v>0.4</v>
      </c>
      <c r="C30" s="3011">
        <v>1</v>
      </c>
    </row>
    <row r="31" spans="1:10" x14ac:dyDescent="0.2">
      <c r="A31" s="1972"/>
      <c r="B31" s="3011">
        <f>SUM(B27:B30)</f>
        <v>6.2000000000000011</v>
      </c>
      <c r="C31" s="3024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44"/>
  <sheetViews>
    <sheetView topLeftCell="A4" zoomScale="110" zoomScaleNormal="110" workbookViewId="0">
      <selection activeCell="C10" sqref="C10"/>
    </sheetView>
  </sheetViews>
  <sheetFormatPr defaultRowHeight="15" x14ac:dyDescent="0.25"/>
  <cols>
    <col min="1" max="1" width="45.28515625" style="3338" customWidth="1"/>
    <col min="2" max="4" width="9.7109375" style="3338" customWidth="1"/>
    <col min="5" max="5" width="10.140625" style="3338" customWidth="1"/>
    <col min="6" max="8" width="9.7109375" style="3338" customWidth="1"/>
    <col min="9" max="10" width="10.140625" style="3338" customWidth="1"/>
    <col min="11" max="13" width="9.7109375" style="3338" customWidth="1"/>
    <col min="14" max="14" width="10.140625" style="3338" customWidth="1"/>
    <col min="15" max="15" width="10.5703125" style="3338" customWidth="1"/>
    <col min="16" max="18" width="9.7109375" style="3338" customWidth="1"/>
    <col min="19" max="19" width="9.5703125" style="3338" customWidth="1"/>
    <col min="20" max="20" width="10.28515625" style="3338" customWidth="1"/>
    <col min="21" max="16384" width="9.140625" style="3338"/>
  </cols>
  <sheetData>
    <row r="1" spans="1:20" x14ac:dyDescent="0.25">
      <c r="Q1" s="3339" t="s">
        <v>3684</v>
      </c>
      <c r="R1" s="3339"/>
    </row>
    <row r="2" spans="1:20" x14ac:dyDescent="0.25">
      <c r="Q2" s="3339" t="s">
        <v>3651</v>
      </c>
      <c r="R2" s="3339"/>
    </row>
    <row r="3" spans="1:20" ht="30" customHeight="1" x14ac:dyDescent="0.25">
      <c r="Q3" s="3339" t="s">
        <v>3718</v>
      </c>
      <c r="R3" s="3339"/>
    </row>
    <row r="5" spans="1:20" ht="20.25" x14ac:dyDescent="0.3">
      <c r="A5" s="3573" t="s">
        <v>3740</v>
      </c>
      <c r="B5" s="3574"/>
      <c r="C5" s="3574"/>
      <c r="D5" s="3574"/>
      <c r="E5" s="3574"/>
      <c r="F5" s="3574"/>
      <c r="G5" s="3574"/>
      <c r="H5" s="3574"/>
      <c r="I5" s="3574"/>
      <c r="J5" s="3574"/>
      <c r="K5" s="3574"/>
      <c r="L5" s="3574"/>
      <c r="M5" s="3574"/>
      <c r="N5" s="3574"/>
      <c r="O5" s="3574"/>
      <c r="P5" s="3574"/>
      <c r="Q5" s="3574"/>
      <c r="R5" s="3574"/>
      <c r="S5" s="3574"/>
      <c r="T5" s="3574"/>
    </row>
    <row r="6" spans="1:20" ht="15.75" thickBot="1" x14ac:dyDescent="0.3">
      <c r="A6" s="3339"/>
      <c r="B6" s="3339"/>
      <c r="C6" s="3339"/>
      <c r="D6" s="3339"/>
      <c r="E6" s="3339"/>
      <c r="F6" s="3339"/>
      <c r="G6" s="3339"/>
      <c r="H6" s="3339"/>
      <c r="I6" s="3339"/>
      <c r="J6" s="3339"/>
      <c r="K6" s="3339"/>
      <c r="L6" s="3339"/>
      <c r="M6" s="3339"/>
      <c r="N6" s="3339"/>
      <c r="O6" s="3339"/>
      <c r="P6" s="3339"/>
      <c r="Q6" s="3339"/>
      <c r="R6" s="3339"/>
      <c r="S6" s="3339"/>
      <c r="T6" s="3339"/>
    </row>
    <row r="7" spans="1:20" ht="19.7" customHeight="1" x14ac:dyDescent="0.25">
      <c r="A7" s="3340" t="s">
        <v>1040</v>
      </c>
      <c r="B7" s="3341" t="s">
        <v>264</v>
      </c>
      <c r="C7" s="3341" t="s">
        <v>265</v>
      </c>
      <c r="D7" s="3341" t="s">
        <v>266</v>
      </c>
      <c r="E7" s="3342" t="s">
        <v>1576</v>
      </c>
      <c r="F7" s="3341" t="s">
        <v>267</v>
      </c>
      <c r="G7" s="3341" t="s">
        <v>268</v>
      </c>
      <c r="H7" s="3341" t="s">
        <v>269</v>
      </c>
      <c r="I7" s="3342" t="s">
        <v>1577</v>
      </c>
      <c r="J7" s="3342" t="s">
        <v>1992</v>
      </c>
      <c r="K7" s="3341" t="s">
        <v>1223</v>
      </c>
      <c r="L7" s="3341" t="s">
        <v>270</v>
      </c>
      <c r="M7" s="3341" t="s">
        <v>1241</v>
      </c>
      <c r="N7" s="3342" t="s">
        <v>1578</v>
      </c>
      <c r="O7" s="3342" t="s">
        <v>226</v>
      </c>
      <c r="P7" s="3341" t="s">
        <v>271</v>
      </c>
      <c r="Q7" s="3341" t="s">
        <v>272</v>
      </c>
      <c r="R7" s="3341" t="s">
        <v>1332</v>
      </c>
      <c r="S7" s="3342" t="s">
        <v>131</v>
      </c>
      <c r="T7" s="3343" t="s">
        <v>249</v>
      </c>
    </row>
    <row r="8" spans="1:20" ht="19.7" customHeight="1" x14ac:dyDescent="0.25">
      <c r="A8" s="3433" t="s">
        <v>3719</v>
      </c>
      <c r="B8" s="3434">
        <f>SUM(B9+B12+B15)</f>
        <v>19670.489127943463</v>
      </c>
      <c r="C8" s="3434">
        <f t="shared" ref="C8:D8" si="0">SUM(C9+C12+C15)</f>
        <v>19670.489127943463</v>
      </c>
      <c r="D8" s="3434">
        <f t="shared" si="0"/>
        <v>19670.489127943463</v>
      </c>
      <c r="E8" s="3435">
        <f>SUM(B8:D8)</f>
        <v>59011.467383830386</v>
      </c>
      <c r="F8" s="3434">
        <f>SUM(F9+F12+F15)</f>
        <v>19670.489127943463</v>
      </c>
      <c r="G8" s="3434">
        <f t="shared" ref="G8" si="1">SUM(G9+G12+G15)</f>
        <v>19670.489127943463</v>
      </c>
      <c r="H8" s="3434">
        <f t="shared" ref="H8" si="2">SUM(H9+H12+H15)</f>
        <v>19670.489127943463</v>
      </c>
      <c r="I8" s="3435">
        <f>SUM(F8:H8)</f>
        <v>59011.467383830386</v>
      </c>
      <c r="J8" s="3435">
        <f>E8+I8</f>
        <v>118022.93476766077</v>
      </c>
      <c r="K8" s="3434">
        <f>SUM(K9+K12+K15)</f>
        <v>20055.585483485484</v>
      </c>
      <c r="L8" s="3434">
        <f t="shared" ref="L8" si="3">SUM(L9+L12+L15)</f>
        <v>20055.585483485484</v>
      </c>
      <c r="M8" s="3434">
        <f t="shared" ref="M8" si="4">SUM(M9+M12+M15)</f>
        <v>20055.585483485484</v>
      </c>
      <c r="N8" s="3435">
        <f t="shared" ref="N8:N9" si="5">SUM(K8:M8)</f>
        <v>60166.756450456451</v>
      </c>
      <c r="O8" s="3435">
        <f>J8+N8</f>
        <v>178189.69121811722</v>
      </c>
      <c r="P8" s="3434">
        <f>SUM(P9+P12+P15)</f>
        <v>20055.585483485484</v>
      </c>
      <c r="Q8" s="3434">
        <f t="shared" ref="Q8" si="6">SUM(Q9+Q12+Q15)</f>
        <v>20055.585483485484</v>
      </c>
      <c r="R8" s="3434">
        <f t="shared" ref="R8" si="7">SUM(R9+R12+R15)</f>
        <v>20055.585483485484</v>
      </c>
      <c r="S8" s="3435">
        <f t="shared" ref="S8:S9" si="8">SUM(P8:R8)</f>
        <v>60166.756450456451</v>
      </c>
      <c r="T8" s="3436">
        <f>O8+S8</f>
        <v>238356.44766857367</v>
      </c>
    </row>
    <row r="9" spans="1:20" ht="19.7" customHeight="1" x14ac:dyDescent="0.25">
      <c r="A9" s="3424" t="s">
        <v>3741</v>
      </c>
      <c r="B9" s="3437">
        <f>SUM(B10:B11)</f>
        <v>11244.159296919514</v>
      </c>
      <c r="C9" s="3437">
        <f t="shared" ref="C9:D9" si="9">SUM(C10:C11)</f>
        <v>11244.159296919514</v>
      </c>
      <c r="D9" s="3437">
        <f t="shared" si="9"/>
        <v>11244.159296919514</v>
      </c>
      <c r="E9" s="3426">
        <f t="shared" ref="E9:E10" si="10">SUM(B9:D9)</f>
        <v>33732.477890758542</v>
      </c>
      <c r="F9" s="3437">
        <f>SUM(F10:F11)</f>
        <v>11244.159296919514</v>
      </c>
      <c r="G9" s="3437">
        <f t="shared" ref="G9" si="11">SUM(G10:G11)</f>
        <v>11244.159296919514</v>
      </c>
      <c r="H9" s="3437">
        <f t="shared" ref="H9" si="12">SUM(H10:H11)</f>
        <v>11244.159296919514</v>
      </c>
      <c r="I9" s="3426">
        <f t="shared" ref="I9" si="13">SUM(F9:H9)</f>
        <v>33732.477890758542</v>
      </c>
      <c r="J9" s="3426">
        <f t="shared" ref="J9" si="14">E9+I9</f>
        <v>67464.955781517085</v>
      </c>
      <c r="K9" s="3437">
        <f>SUM(K10:K11)</f>
        <v>11628.792039931101</v>
      </c>
      <c r="L9" s="3437">
        <f t="shared" ref="L9" si="15">SUM(L10:L11)</f>
        <v>11628.792039931101</v>
      </c>
      <c r="M9" s="3437">
        <f t="shared" ref="M9" si="16">SUM(M10:M11)</f>
        <v>11628.792039931101</v>
      </c>
      <c r="N9" s="3426">
        <f t="shared" si="5"/>
        <v>34886.376119793305</v>
      </c>
      <c r="O9" s="3426">
        <f t="shared" ref="O9" si="17">J9+N9</f>
        <v>102351.33190131039</v>
      </c>
      <c r="P9" s="3437">
        <f>SUM(P10:P11)</f>
        <v>11628.792039931101</v>
      </c>
      <c r="Q9" s="3437">
        <f t="shared" ref="Q9" si="18">SUM(Q10:Q11)</f>
        <v>11628.792039931101</v>
      </c>
      <c r="R9" s="3437">
        <f t="shared" ref="R9" si="19">SUM(R10:R11)</f>
        <v>11628.792039931101</v>
      </c>
      <c r="S9" s="3426">
        <f t="shared" si="8"/>
        <v>34886.376119793305</v>
      </c>
      <c r="T9" s="3427">
        <f t="shared" ref="T9" si="20">O9+S9</f>
        <v>137237.7080211037</v>
      </c>
    </row>
    <row r="10" spans="1:20" ht="19.7" customHeight="1" x14ac:dyDescent="0.25">
      <c r="A10" s="3403" t="s">
        <v>3731</v>
      </c>
      <c r="B10" s="3425">
        <f>SUM('Прил. 1 План ФХД табл 1'!C21/3)</f>
        <v>11241.591693380889</v>
      </c>
      <c r="C10" s="3425">
        <f>SUM(B10)</f>
        <v>11241.591693380889</v>
      </c>
      <c r="D10" s="3425">
        <f>SUM(B10)</f>
        <v>11241.591693380889</v>
      </c>
      <c r="E10" s="3426">
        <f t="shared" si="10"/>
        <v>33724.775080142666</v>
      </c>
      <c r="F10" s="3425">
        <f>SUM(B10)</f>
        <v>11241.591693380889</v>
      </c>
      <c r="G10" s="3425">
        <f>SUM(B10)</f>
        <v>11241.591693380889</v>
      </c>
      <c r="H10" s="3425">
        <f>SUM(B10)</f>
        <v>11241.591693380889</v>
      </c>
      <c r="I10" s="3426">
        <f t="shared" ref="I10" si="21">SUM(F10:H10)</f>
        <v>33724.775080142666</v>
      </c>
      <c r="J10" s="3426">
        <f t="shared" ref="J10" si="22">E10+I10</f>
        <v>67449.550160285333</v>
      </c>
      <c r="K10" s="3425">
        <f>SUM('Прил. 1 План ФХД табл 1'!F21/3)</f>
        <v>11626.224436392476</v>
      </c>
      <c r="L10" s="3425">
        <f>SUM(K10)</f>
        <v>11626.224436392476</v>
      </c>
      <c r="M10" s="3425">
        <f>SUM(K10)</f>
        <v>11626.224436392476</v>
      </c>
      <c r="N10" s="3426">
        <f t="shared" ref="N10" si="23">SUM(K10:M10)</f>
        <v>34878.673309177429</v>
      </c>
      <c r="O10" s="3426">
        <f t="shared" ref="O10" si="24">J10+N10</f>
        <v>102328.22346946277</v>
      </c>
      <c r="P10" s="3425">
        <f>SUM(K10)</f>
        <v>11626.224436392476</v>
      </c>
      <c r="Q10" s="3425">
        <f>SUM(K10)</f>
        <v>11626.224436392476</v>
      </c>
      <c r="R10" s="3425">
        <f>SUM(K10)</f>
        <v>11626.224436392476</v>
      </c>
      <c r="S10" s="3426">
        <f t="shared" ref="S10" si="25">SUM(P10:R10)</f>
        <v>34878.673309177429</v>
      </c>
      <c r="T10" s="3427">
        <f t="shared" ref="T10" si="26">O10+S10</f>
        <v>137206.89677864019</v>
      </c>
    </row>
    <row r="11" spans="1:20" ht="19.7" customHeight="1" x14ac:dyDescent="0.25">
      <c r="A11" s="3403" t="s">
        <v>1711</v>
      </c>
      <c r="B11" s="3425">
        <f>SUM('Прил. 1 План ФХД табл 1'!C23/3)</f>
        <v>2.5676035386232714</v>
      </c>
      <c r="C11" s="3425">
        <f>SUM(B11)</f>
        <v>2.5676035386232714</v>
      </c>
      <c r="D11" s="3425">
        <f>SUM(B11)</f>
        <v>2.5676035386232714</v>
      </c>
      <c r="E11" s="3426">
        <f t="shared" ref="E11:E14" si="27">SUM(B11:D11)</f>
        <v>7.7028106158698142</v>
      </c>
      <c r="F11" s="3425">
        <f>SUM(B11)</f>
        <v>2.5676035386232714</v>
      </c>
      <c r="G11" s="3425">
        <f>SUM(B11)</f>
        <v>2.5676035386232714</v>
      </c>
      <c r="H11" s="3425">
        <f>SUM(B11)</f>
        <v>2.5676035386232714</v>
      </c>
      <c r="I11" s="3426">
        <f t="shared" ref="I11:I13" si="28">SUM(F11:H11)</f>
        <v>7.7028106158698142</v>
      </c>
      <c r="J11" s="3426">
        <f t="shared" ref="J11:J13" si="29">E11+I11</f>
        <v>15.405621231739628</v>
      </c>
      <c r="K11" s="3425">
        <f>SUM(B11)</f>
        <v>2.5676035386232714</v>
      </c>
      <c r="L11" s="3425">
        <f>SUM(B11)</f>
        <v>2.5676035386232714</v>
      </c>
      <c r="M11" s="3425">
        <f>SUM(B11)</f>
        <v>2.5676035386232714</v>
      </c>
      <c r="N11" s="3426">
        <f t="shared" ref="N11:N13" si="30">SUM(K11:M11)</f>
        <v>7.7028106158698142</v>
      </c>
      <c r="O11" s="3426">
        <f t="shared" ref="O11:O13" si="31">J11+N11</f>
        <v>23.108431847609442</v>
      </c>
      <c r="P11" s="3425">
        <f>SUM(B11)</f>
        <v>2.5676035386232714</v>
      </c>
      <c r="Q11" s="3425">
        <f>SUM(B11)</f>
        <v>2.5676035386232714</v>
      </c>
      <c r="R11" s="3425">
        <f>SUM(B11)</f>
        <v>2.5676035386232714</v>
      </c>
      <c r="S11" s="3426">
        <f t="shared" ref="S11:S13" si="32">SUM(P11:R11)</f>
        <v>7.7028106158698142</v>
      </c>
      <c r="T11" s="3427">
        <f t="shared" ref="T11:T13" si="33">O11+S11</f>
        <v>30.811242463479257</v>
      </c>
    </row>
    <row r="12" spans="1:20" ht="19.7" customHeight="1" x14ac:dyDescent="0.25">
      <c r="A12" s="3428" t="s">
        <v>3733</v>
      </c>
      <c r="B12" s="3437">
        <f>SUM(B13:B14)</f>
        <v>8042.9964976906185</v>
      </c>
      <c r="C12" s="3437">
        <f t="shared" ref="C12" si="34">SUM(C13:C14)</f>
        <v>8042.9964976906185</v>
      </c>
      <c r="D12" s="3437">
        <f t="shared" ref="D12" si="35">SUM(D13:D14)</f>
        <v>8042.9964976906185</v>
      </c>
      <c r="E12" s="3426">
        <f t="shared" si="27"/>
        <v>24128.989493071855</v>
      </c>
      <c r="F12" s="3437">
        <f>SUM(F13:F14)</f>
        <v>8042.9964976906185</v>
      </c>
      <c r="G12" s="3437">
        <f t="shared" ref="G12" si="36">SUM(G13:G14)</f>
        <v>8042.9964976906185</v>
      </c>
      <c r="H12" s="3437">
        <f t="shared" ref="H12" si="37">SUM(H13:H14)</f>
        <v>8042.9964976906185</v>
      </c>
      <c r="I12" s="3426">
        <f t="shared" si="28"/>
        <v>24128.989493071855</v>
      </c>
      <c r="J12" s="3426">
        <f t="shared" si="29"/>
        <v>48257.978986143709</v>
      </c>
      <c r="K12" s="3437">
        <f>SUM(K13:K14)</f>
        <v>8043.4601102210518</v>
      </c>
      <c r="L12" s="3437">
        <f t="shared" ref="L12" si="38">SUM(L13:L14)</f>
        <v>8043.4601102210518</v>
      </c>
      <c r="M12" s="3437">
        <f t="shared" ref="M12" si="39">SUM(M13:M14)</f>
        <v>8043.4601102210518</v>
      </c>
      <c r="N12" s="3426">
        <f t="shared" si="30"/>
        <v>24130.380330663156</v>
      </c>
      <c r="O12" s="3426">
        <f t="shared" si="31"/>
        <v>72388.359316806862</v>
      </c>
      <c r="P12" s="3437">
        <f>SUM(P13:P14)</f>
        <v>8043.4601102210518</v>
      </c>
      <c r="Q12" s="3437">
        <f t="shared" ref="Q12" si="40">SUM(Q13:Q14)</f>
        <v>8043.4601102210518</v>
      </c>
      <c r="R12" s="3437">
        <f t="shared" ref="R12" si="41">SUM(R13:R14)</f>
        <v>8043.4601102210518</v>
      </c>
      <c r="S12" s="3426">
        <f t="shared" si="32"/>
        <v>24130.380330663156</v>
      </c>
      <c r="T12" s="3427">
        <f t="shared" si="33"/>
        <v>96518.739647470022</v>
      </c>
    </row>
    <row r="13" spans="1:20" ht="19.7" customHeight="1" x14ac:dyDescent="0.25">
      <c r="A13" s="3404" t="s">
        <v>345</v>
      </c>
      <c r="B13" s="3425">
        <f>SUM('Прил. 1 План ФХД табл 1'!C25/3)</f>
        <v>8022.0285556993913</v>
      </c>
      <c r="C13" s="3425">
        <f>SUM(B13)</f>
        <v>8022.0285556993913</v>
      </c>
      <c r="D13" s="3425">
        <f>SUM(B13)</f>
        <v>8022.0285556993913</v>
      </c>
      <c r="E13" s="3426">
        <f t="shared" si="27"/>
        <v>24066.085667098174</v>
      </c>
      <c r="F13" s="3425">
        <f>SUM(B13)</f>
        <v>8022.0285556993913</v>
      </c>
      <c r="G13" s="3425">
        <f>SUM(B13)</f>
        <v>8022.0285556993913</v>
      </c>
      <c r="H13" s="3425">
        <f>SUM(B13)</f>
        <v>8022.0285556993913</v>
      </c>
      <c r="I13" s="3426">
        <f t="shared" si="28"/>
        <v>24066.085667098174</v>
      </c>
      <c r="J13" s="3426">
        <f t="shared" si="29"/>
        <v>48132.171334196348</v>
      </c>
      <c r="K13" s="3425">
        <f>SUM('Прил. 1 План ФХД табл 1'!F25/3)</f>
        <v>8022.0285556993913</v>
      </c>
      <c r="L13" s="3425">
        <f>SUM(K13)</f>
        <v>8022.0285556993913</v>
      </c>
      <c r="M13" s="3425">
        <f>SUM(K13)</f>
        <v>8022.0285556993913</v>
      </c>
      <c r="N13" s="3426">
        <f t="shared" si="30"/>
        <v>24066.085667098174</v>
      </c>
      <c r="O13" s="3426">
        <f t="shared" si="31"/>
        <v>72198.257001294522</v>
      </c>
      <c r="P13" s="3425">
        <f>SUM(K13)</f>
        <v>8022.0285556993913</v>
      </c>
      <c r="Q13" s="3425">
        <f>SUM(K13)</f>
        <v>8022.0285556993913</v>
      </c>
      <c r="R13" s="3425">
        <f>SUM(K13)</f>
        <v>8022.0285556993913</v>
      </c>
      <c r="S13" s="3426">
        <f t="shared" si="32"/>
        <v>24066.085667098174</v>
      </c>
      <c r="T13" s="3427">
        <f t="shared" si="33"/>
        <v>96264.342668392695</v>
      </c>
    </row>
    <row r="14" spans="1:20" ht="19.7" customHeight="1" x14ac:dyDescent="0.25">
      <c r="A14" s="3404" t="s">
        <v>3732</v>
      </c>
      <c r="B14" s="3425">
        <f>SUM('Прил. 1 План ФХД табл 1'!C27/3)</f>
        <v>20.967941991226851</v>
      </c>
      <c r="C14" s="3425">
        <f>SUM(B14)</f>
        <v>20.967941991226851</v>
      </c>
      <c r="D14" s="3425">
        <f>SUM(B14)</f>
        <v>20.967941991226851</v>
      </c>
      <c r="E14" s="3426">
        <f t="shared" si="27"/>
        <v>62.903825973680554</v>
      </c>
      <c r="F14" s="3425">
        <f>SUM(B14)</f>
        <v>20.967941991226851</v>
      </c>
      <c r="G14" s="3425">
        <f>SUM(B14)</f>
        <v>20.967941991226851</v>
      </c>
      <c r="H14" s="3425">
        <f>SUM(B14)</f>
        <v>20.967941991226851</v>
      </c>
      <c r="I14" s="3426">
        <f t="shared" ref="I14:I16" si="42">SUM(F14:H14)</f>
        <v>62.903825973680554</v>
      </c>
      <c r="J14" s="3426">
        <f t="shared" ref="J14:J16" si="43">E14+I14</f>
        <v>125.80765194736111</v>
      </c>
      <c r="K14" s="3425">
        <f>SUM('Прил. 1 План ФХД табл 1'!F27/3)</f>
        <v>21.431554521660093</v>
      </c>
      <c r="L14" s="3425">
        <f>SUM(K14)</f>
        <v>21.431554521660093</v>
      </c>
      <c r="M14" s="3425">
        <f>SUM(K14)</f>
        <v>21.431554521660093</v>
      </c>
      <c r="N14" s="3426">
        <f t="shared" ref="N14:N16" si="44">SUM(K14:M14)</f>
        <v>64.294663564980283</v>
      </c>
      <c r="O14" s="3426">
        <f t="shared" ref="O14:O16" si="45">J14+N14</f>
        <v>190.10231551234139</v>
      </c>
      <c r="P14" s="3425">
        <f>SUM(K14)</f>
        <v>21.431554521660093</v>
      </c>
      <c r="Q14" s="3425">
        <f>SUM(K14)</f>
        <v>21.431554521660093</v>
      </c>
      <c r="R14" s="3425">
        <f>SUM(K14)</f>
        <v>21.431554521660093</v>
      </c>
      <c r="S14" s="3426">
        <f t="shared" ref="S14:S16" si="46">SUM(P14:R14)</f>
        <v>64.294663564980283</v>
      </c>
      <c r="T14" s="3427">
        <f t="shared" ref="T14:T16" si="47">O14+S14</f>
        <v>254.39697907732167</v>
      </c>
    </row>
    <row r="15" spans="1:20" ht="19.7" customHeight="1" x14ac:dyDescent="0.25">
      <c r="A15" s="3428" t="s">
        <v>3742</v>
      </c>
      <c r="B15" s="3437">
        <f>SUM(B16:B17)</f>
        <v>383.33333333333331</v>
      </c>
      <c r="C15" s="3437">
        <f t="shared" ref="C15" si="48">SUM(C16:C17)</f>
        <v>383.33333333333331</v>
      </c>
      <c r="D15" s="3437">
        <f t="shared" ref="D15" si="49">SUM(D16:D17)</f>
        <v>383.33333333333331</v>
      </c>
      <c r="E15" s="3426">
        <f t="shared" ref="E15:E16" si="50">SUM(B15:D15)</f>
        <v>1150</v>
      </c>
      <c r="F15" s="3437">
        <f>SUM(F16:F17)</f>
        <v>383.33333333333331</v>
      </c>
      <c r="G15" s="3437">
        <f t="shared" ref="G15" si="51">SUM(G16:G17)</f>
        <v>383.33333333333331</v>
      </c>
      <c r="H15" s="3437">
        <f t="shared" ref="H15" si="52">SUM(H16:H17)</f>
        <v>383.33333333333331</v>
      </c>
      <c r="I15" s="3426">
        <f t="shared" si="42"/>
        <v>1150</v>
      </c>
      <c r="J15" s="3426">
        <f t="shared" si="43"/>
        <v>2300</v>
      </c>
      <c r="K15" s="3437">
        <f>SUM(K16:K17)</f>
        <v>383.33333333333331</v>
      </c>
      <c r="L15" s="3437">
        <f t="shared" ref="L15" si="53">SUM(L16:L17)</f>
        <v>383.33333333333331</v>
      </c>
      <c r="M15" s="3437">
        <f t="shared" ref="M15" si="54">SUM(M16:M17)</f>
        <v>383.33333333333331</v>
      </c>
      <c r="N15" s="3426">
        <f t="shared" si="44"/>
        <v>1150</v>
      </c>
      <c r="O15" s="3426">
        <f t="shared" si="45"/>
        <v>3450</v>
      </c>
      <c r="P15" s="3437">
        <f>SUM(P16:P17)</f>
        <v>383.33333333333331</v>
      </c>
      <c r="Q15" s="3437">
        <f t="shared" ref="Q15" si="55">SUM(Q16:Q17)</f>
        <v>383.33333333333331</v>
      </c>
      <c r="R15" s="3437">
        <f t="shared" ref="R15" si="56">SUM(R16:R17)</f>
        <v>383.33333333333331</v>
      </c>
      <c r="S15" s="3426">
        <f t="shared" si="46"/>
        <v>1150</v>
      </c>
      <c r="T15" s="3427">
        <f t="shared" si="47"/>
        <v>4600</v>
      </c>
    </row>
    <row r="16" spans="1:20" ht="19.7" customHeight="1" x14ac:dyDescent="0.25">
      <c r="A16" s="3421" t="s">
        <v>3736</v>
      </c>
      <c r="B16" s="3425">
        <f>SUM('Прил. 1 План ФХД табл 1'!C29/3)</f>
        <v>83.333333333333329</v>
      </c>
      <c r="C16" s="3425">
        <f>SUM(B16)</f>
        <v>83.333333333333329</v>
      </c>
      <c r="D16" s="3425">
        <f>SUM(B16)</f>
        <v>83.333333333333329</v>
      </c>
      <c r="E16" s="3426">
        <f t="shared" si="50"/>
        <v>250</v>
      </c>
      <c r="F16" s="3425">
        <f>SUM(B16)</f>
        <v>83.333333333333329</v>
      </c>
      <c r="G16" s="3425">
        <f>SUM(B16)</f>
        <v>83.333333333333329</v>
      </c>
      <c r="H16" s="3425">
        <f>SUM(B16)</f>
        <v>83.333333333333329</v>
      </c>
      <c r="I16" s="3426">
        <f t="shared" si="42"/>
        <v>250</v>
      </c>
      <c r="J16" s="3426">
        <f t="shared" si="43"/>
        <v>500</v>
      </c>
      <c r="K16" s="3425">
        <f>SUM(B16)</f>
        <v>83.333333333333329</v>
      </c>
      <c r="L16" s="3425">
        <f>SUM(B16)</f>
        <v>83.333333333333329</v>
      </c>
      <c r="M16" s="3425">
        <f>SUM(B16)</f>
        <v>83.333333333333329</v>
      </c>
      <c r="N16" s="3426">
        <f t="shared" si="44"/>
        <v>250</v>
      </c>
      <c r="O16" s="3426">
        <f t="shared" si="45"/>
        <v>750</v>
      </c>
      <c r="P16" s="3425">
        <f>SUM(B16)</f>
        <v>83.333333333333329</v>
      </c>
      <c r="Q16" s="3425">
        <f>SUM(B16)</f>
        <v>83.333333333333329</v>
      </c>
      <c r="R16" s="3425">
        <f>SUM(B16)</f>
        <v>83.333333333333329</v>
      </c>
      <c r="S16" s="3426">
        <f t="shared" si="46"/>
        <v>250</v>
      </c>
      <c r="T16" s="3427">
        <f t="shared" si="47"/>
        <v>1000</v>
      </c>
    </row>
    <row r="17" spans="1:20" ht="19.7" customHeight="1" x14ac:dyDescent="0.25">
      <c r="A17" s="3421" t="s">
        <v>3612</v>
      </c>
      <c r="B17" s="3425">
        <f>SUM('Прил. 1 План ФХД табл 1'!C30/3)</f>
        <v>300</v>
      </c>
      <c r="C17" s="3425">
        <f>SUM(B17)</f>
        <v>300</v>
      </c>
      <c r="D17" s="3425">
        <f>SUM(B17)</f>
        <v>300</v>
      </c>
      <c r="E17" s="3426">
        <f t="shared" ref="E17:E21" si="57">SUM(B17:D17)</f>
        <v>900</v>
      </c>
      <c r="F17" s="3425">
        <f>SUM(B17)</f>
        <v>300</v>
      </c>
      <c r="G17" s="3425">
        <f>SUM(B17)</f>
        <v>300</v>
      </c>
      <c r="H17" s="3425">
        <f>SUM(B17)</f>
        <v>300</v>
      </c>
      <c r="I17" s="3426">
        <f t="shared" ref="I17:I21" si="58">SUM(F17:H17)</f>
        <v>900</v>
      </c>
      <c r="J17" s="3426">
        <f t="shared" ref="J17:J21" si="59">E17+I17</f>
        <v>1800</v>
      </c>
      <c r="K17" s="3425">
        <f>SUM(B17)</f>
        <v>300</v>
      </c>
      <c r="L17" s="3425">
        <f>SUM(B17)</f>
        <v>300</v>
      </c>
      <c r="M17" s="3425">
        <f>SUM(B17)</f>
        <v>300</v>
      </c>
      <c r="N17" s="3426">
        <f t="shared" ref="N17:N21" si="60">SUM(K17:M17)</f>
        <v>900</v>
      </c>
      <c r="O17" s="3426">
        <f t="shared" ref="O17:O21" si="61">J17+N17</f>
        <v>2700</v>
      </c>
      <c r="P17" s="3425">
        <f>SUM(B17)</f>
        <v>300</v>
      </c>
      <c r="Q17" s="3425">
        <f>SUM(B17)</f>
        <v>300</v>
      </c>
      <c r="R17" s="3425">
        <f>SUM(B17)</f>
        <v>300</v>
      </c>
      <c r="S17" s="3426">
        <f t="shared" ref="S17:S21" si="62">SUM(P17:R17)</f>
        <v>900</v>
      </c>
      <c r="T17" s="3427">
        <f t="shared" ref="T17:T21" si="63">O17+S17</f>
        <v>3600</v>
      </c>
    </row>
    <row r="18" spans="1:20" ht="19.7" customHeight="1" x14ac:dyDescent="0.25">
      <c r="A18" s="3417" t="s">
        <v>3706</v>
      </c>
      <c r="B18" s="3437">
        <f>SUM(B19+B22+B25)</f>
        <v>19668.023138749402</v>
      </c>
      <c r="C18" s="3437">
        <f t="shared" ref="C18:D18" si="64">SUM(C19+C22+C25)</f>
        <v>19668.023138749402</v>
      </c>
      <c r="D18" s="3437">
        <f t="shared" si="64"/>
        <v>19668.023138749402</v>
      </c>
      <c r="E18" s="3426">
        <f t="shared" si="57"/>
        <v>59004.06941624821</v>
      </c>
      <c r="F18" s="3437">
        <f>SUM(F19+F22+F25)</f>
        <v>19668.023138749402</v>
      </c>
      <c r="G18" s="3437">
        <f t="shared" ref="G18" si="65">SUM(G19+G22+G25)</f>
        <v>19668.023138749402</v>
      </c>
      <c r="H18" s="3437">
        <f t="shared" ref="H18" si="66">SUM(H19+H22+H25)</f>
        <v>19668.023138749402</v>
      </c>
      <c r="I18" s="3426">
        <f t="shared" si="58"/>
        <v>59004.06941624821</v>
      </c>
      <c r="J18" s="3426">
        <f t="shared" si="59"/>
        <v>118008.13883249642</v>
      </c>
      <c r="K18" s="3437">
        <f>SUM(K19+K22+K25)</f>
        <v>19768.051419362386</v>
      </c>
      <c r="L18" s="3437">
        <f t="shared" ref="L18" si="67">SUM(L19+L22+L25)</f>
        <v>19768.051419362386</v>
      </c>
      <c r="M18" s="3437">
        <f t="shared" ref="M18" si="68">SUM(M19+M22+M25)</f>
        <v>19768.051419362386</v>
      </c>
      <c r="N18" s="3426">
        <f t="shared" si="60"/>
        <v>59304.154258087161</v>
      </c>
      <c r="O18" s="3426">
        <f t="shared" si="61"/>
        <v>177312.29309058358</v>
      </c>
      <c r="P18" s="3437">
        <f>SUM(P19+P22+P25)</f>
        <v>19768.051419362386</v>
      </c>
      <c r="Q18" s="3437">
        <f t="shared" ref="Q18" si="69">SUM(Q19+Q22+Q25)</f>
        <v>19768.051419362386</v>
      </c>
      <c r="R18" s="3437">
        <f t="shared" ref="R18" si="70">SUM(R19+R22+R25)</f>
        <v>19768.051419362386</v>
      </c>
      <c r="S18" s="3426">
        <f t="shared" si="62"/>
        <v>59304.154258087161</v>
      </c>
      <c r="T18" s="3427">
        <f t="shared" si="63"/>
        <v>236616.44734867074</v>
      </c>
    </row>
    <row r="19" spans="1:20" ht="19.7" customHeight="1" x14ac:dyDescent="0.25">
      <c r="A19" s="3428" t="s">
        <v>3704</v>
      </c>
      <c r="B19" s="3437">
        <f>SUM(B20:B21)</f>
        <v>11407.771676261298</v>
      </c>
      <c r="C19" s="3437">
        <f t="shared" ref="C19" si="71">SUM(C20:C21)</f>
        <v>11407.771676261298</v>
      </c>
      <c r="D19" s="3437">
        <f t="shared" ref="D19" si="72">SUM(D20:D21)</f>
        <v>11407.771676261298</v>
      </c>
      <c r="E19" s="3426">
        <f t="shared" si="57"/>
        <v>34223.315028783894</v>
      </c>
      <c r="F19" s="3437">
        <f>SUM(F20:F21)</f>
        <v>11407.771676261298</v>
      </c>
      <c r="G19" s="3437">
        <f t="shared" ref="G19" si="73">SUM(G20:G21)</f>
        <v>11407.771676261298</v>
      </c>
      <c r="H19" s="3437">
        <f t="shared" ref="H19" si="74">SUM(H20:H21)</f>
        <v>11407.771676261298</v>
      </c>
      <c r="I19" s="3426">
        <f t="shared" si="58"/>
        <v>34223.315028783894</v>
      </c>
      <c r="J19" s="3426">
        <f t="shared" si="59"/>
        <v>68446.630057567789</v>
      </c>
      <c r="K19" s="3437">
        <f>SUM(K20:K21)</f>
        <v>11465.179597621578</v>
      </c>
      <c r="L19" s="3437">
        <f t="shared" ref="L19" si="75">SUM(L20:L21)</f>
        <v>11465.179597621578</v>
      </c>
      <c r="M19" s="3437">
        <f t="shared" ref="M19" si="76">SUM(M20:M21)</f>
        <v>11465.179597621578</v>
      </c>
      <c r="N19" s="3426">
        <f t="shared" si="60"/>
        <v>34395.538792864732</v>
      </c>
      <c r="O19" s="3426">
        <f t="shared" si="61"/>
        <v>102842.16885043253</v>
      </c>
      <c r="P19" s="3437">
        <f>SUM(P20:P21)</f>
        <v>11465.179597621578</v>
      </c>
      <c r="Q19" s="3437">
        <f t="shared" ref="Q19" si="77">SUM(Q20:Q21)</f>
        <v>11465.179597621578</v>
      </c>
      <c r="R19" s="3437">
        <f t="shared" ref="R19" si="78">SUM(R20:R21)</f>
        <v>11465.179597621578</v>
      </c>
      <c r="S19" s="3426">
        <f t="shared" si="62"/>
        <v>34395.538792864732</v>
      </c>
      <c r="T19" s="3427">
        <f t="shared" si="63"/>
        <v>137237.70764329727</v>
      </c>
    </row>
    <row r="20" spans="1:20" ht="19.7" customHeight="1" x14ac:dyDescent="0.25">
      <c r="A20" s="3403" t="s">
        <v>3731</v>
      </c>
      <c r="B20" s="3425">
        <f>SUM('Прил. 1 План ФХД табл 1'!C33/3)</f>
        <v>11405.2069820948</v>
      </c>
      <c r="C20" s="3425">
        <f>SUM(B20)</f>
        <v>11405.2069820948</v>
      </c>
      <c r="D20" s="3425">
        <f>SUM(B20)</f>
        <v>11405.2069820948</v>
      </c>
      <c r="E20" s="3426">
        <f t="shared" si="57"/>
        <v>34215.620946284398</v>
      </c>
      <c r="F20" s="3425">
        <f>SUM(B20)</f>
        <v>11405.2069820948</v>
      </c>
      <c r="G20" s="3425">
        <f>SUM(B20)</f>
        <v>11405.2069820948</v>
      </c>
      <c r="H20" s="3425">
        <f>SUM(B20)</f>
        <v>11405.2069820948</v>
      </c>
      <c r="I20" s="3426">
        <f t="shared" si="58"/>
        <v>34215.620946284398</v>
      </c>
      <c r="J20" s="3426">
        <f t="shared" si="59"/>
        <v>68431.241892568796</v>
      </c>
      <c r="K20" s="3425">
        <f>SUM('Прил. 1 План ФХД табл 1'!F33/3)</f>
        <v>11462.609084741263</v>
      </c>
      <c r="L20" s="3425">
        <f>SUM(K20)</f>
        <v>11462.609084741263</v>
      </c>
      <c r="M20" s="3425">
        <f>SUM(K20)</f>
        <v>11462.609084741263</v>
      </c>
      <c r="N20" s="3426">
        <f t="shared" si="60"/>
        <v>34387.82725422379</v>
      </c>
      <c r="O20" s="3426">
        <f t="shared" si="61"/>
        <v>102819.06914679258</v>
      </c>
      <c r="P20" s="3425">
        <f>SUM(K20)</f>
        <v>11462.609084741263</v>
      </c>
      <c r="Q20" s="3425">
        <f>SUM(K20)</f>
        <v>11462.609084741263</v>
      </c>
      <c r="R20" s="3425">
        <f>SUM(K20)</f>
        <v>11462.609084741263</v>
      </c>
      <c r="S20" s="3426">
        <f t="shared" si="62"/>
        <v>34387.82725422379</v>
      </c>
      <c r="T20" s="3427">
        <f t="shared" si="63"/>
        <v>137206.89640101636</v>
      </c>
    </row>
    <row r="21" spans="1:20" ht="19.7" customHeight="1" x14ac:dyDescent="0.25">
      <c r="A21" s="3404" t="s">
        <v>1711</v>
      </c>
      <c r="B21" s="3425">
        <f>SUM('Прил. 1 План ФХД табл 1'!C34/3)</f>
        <v>2.5646941664975782</v>
      </c>
      <c r="C21" s="3425">
        <f>SUM(B21)</f>
        <v>2.5646941664975782</v>
      </c>
      <c r="D21" s="3425">
        <f>SUM(B21)</f>
        <v>2.5646941664975782</v>
      </c>
      <c r="E21" s="3426">
        <f t="shared" si="57"/>
        <v>7.694082499492735</v>
      </c>
      <c r="F21" s="3425">
        <f>SUM(B21)</f>
        <v>2.5646941664975782</v>
      </c>
      <c r="G21" s="3425">
        <f>SUM(B21)</f>
        <v>2.5646941664975782</v>
      </c>
      <c r="H21" s="3425">
        <f>SUM(B21)</f>
        <v>2.5646941664975782</v>
      </c>
      <c r="I21" s="3426">
        <f t="shared" si="58"/>
        <v>7.694082499492735</v>
      </c>
      <c r="J21" s="3426">
        <f t="shared" si="59"/>
        <v>15.38816499898547</v>
      </c>
      <c r="K21" s="3425">
        <f>SUM('Прил. 1 План ФХД табл 1'!F34/3)</f>
        <v>2.5705128803149653</v>
      </c>
      <c r="L21" s="3425">
        <f>SUM(K21)</f>
        <v>2.5705128803149653</v>
      </c>
      <c r="M21" s="3425">
        <f>SUM(K21)</f>
        <v>2.5705128803149653</v>
      </c>
      <c r="N21" s="3426">
        <f t="shared" si="60"/>
        <v>7.7115386409448963</v>
      </c>
      <c r="O21" s="3426">
        <f t="shared" si="61"/>
        <v>23.099703639930368</v>
      </c>
      <c r="P21" s="3425">
        <f>SUM(K21)</f>
        <v>2.5705128803149653</v>
      </c>
      <c r="Q21" s="3425">
        <f>SUM(K21)</f>
        <v>2.5705128803149653</v>
      </c>
      <c r="R21" s="3425">
        <f>SUM(K21)</f>
        <v>2.5705128803149653</v>
      </c>
      <c r="S21" s="3426">
        <f t="shared" si="62"/>
        <v>7.7115386409448963</v>
      </c>
      <c r="T21" s="3427">
        <f t="shared" si="63"/>
        <v>30.811242280875263</v>
      </c>
    </row>
    <row r="22" spans="1:20" ht="19.7" customHeight="1" x14ac:dyDescent="0.25">
      <c r="A22" s="3428" t="s">
        <v>3733</v>
      </c>
      <c r="B22" s="3437">
        <f>SUM(B23:B24)</f>
        <v>8021.918129154772</v>
      </c>
      <c r="C22" s="3437">
        <f t="shared" ref="C22" si="79">SUM(C23:C24)</f>
        <v>8021.918129154772</v>
      </c>
      <c r="D22" s="3437">
        <f t="shared" ref="D22" si="80">SUM(D23:D24)</f>
        <v>8021.918129154772</v>
      </c>
      <c r="E22" s="3426">
        <f t="shared" ref="E22:E28" si="81">SUM(B22:D22)</f>
        <v>24065.754387464316</v>
      </c>
      <c r="F22" s="3437">
        <f>SUM(F23:F24)</f>
        <v>8021.918129154772</v>
      </c>
      <c r="G22" s="3437">
        <f t="shared" ref="G22" si="82">SUM(G23:G24)</f>
        <v>8021.918129154772</v>
      </c>
      <c r="H22" s="3437">
        <f t="shared" ref="H22" si="83">SUM(H23:H24)</f>
        <v>8021.918129154772</v>
      </c>
      <c r="I22" s="3426">
        <f t="shared" ref="I22:I27" si="84">SUM(F22:H22)</f>
        <v>24065.754387464316</v>
      </c>
      <c r="J22" s="3426">
        <f t="shared" ref="J22:J27" si="85">E22+I22</f>
        <v>48131.508774928632</v>
      </c>
      <c r="K22" s="3437">
        <f>SUM(K23:K24)</f>
        <v>8064.5384884074738</v>
      </c>
      <c r="L22" s="3437">
        <f t="shared" ref="L22" si="86">SUM(L23:L24)</f>
        <v>8064.5384884074738</v>
      </c>
      <c r="M22" s="3437">
        <f t="shared" ref="M22" si="87">SUM(M23:M24)</f>
        <v>8064.5384884074738</v>
      </c>
      <c r="N22" s="3426">
        <f t="shared" ref="N22:N27" si="88">SUM(K22:M22)</f>
        <v>24193.615465222421</v>
      </c>
      <c r="O22" s="3426">
        <f t="shared" ref="O22:O27" si="89">J22+N22</f>
        <v>72325.124240151054</v>
      </c>
      <c r="P22" s="3437">
        <f>SUM(P23:P24)</f>
        <v>8064.5384884074738</v>
      </c>
      <c r="Q22" s="3437">
        <f t="shared" ref="Q22" si="90">SUM(Q23:Q24)</f>
        <v>8064.5384884074738</v>
      </c>
      <c r="R22" s="3437">
        <f t="shared" ref="R22" si="91">SUM(R23:R24)</f>
        <v>8064.5384884074738</v>
      </c>
      <c r="S22" s="3426">
        <f t="shared" ref="S22:S27" si="92">SUM(P22:R22)</f>
        <v>24193.615465222421</v>
      </c>
      <c r="T22" s="3427">
        <f t="shared" ref="T22:T27" si="93">O22+S22</f>
        <v>96518.739705373475</v>
      </c>
    </row>
    <row r="23" spans="1:20" ht="19.7" customHeight="1" x14ac:dyDescent="0.25">
      <c r="A23" s="3404" t="s">
        <v>345</v>
      </c>
      <c r="B23" s="3425">
        <f>SUM('Прил. 1 План ФХД табл 1'!C36/3)</f>
        <v>8000.8191347896172</v>
      </c>
      <c r="C23" s="3425">
        <f>SUM(B23)</f>
        <v>8000.8191347896172</v>
      </c>
      <c r="D23" s="3425">
        <f>SUM(B23)</f>
        <v>8000.8191347896172</v>
      </c>
      <c r="E23" s="3426">
        <f t="shared" si="81"/>
        <v>24002.457404368852</v>
      </c>
      <c r="F23" s="3425">
        <f>SUM(B23)</f>
        <v>8000.8191347896172</v>
      </c>
      <c r="G23" s="3425">
        <f>SUM(B23)</f>
        <v>8000.8191347896172</v>
      </c>
      <c r="H23" s="3425">
        <f>SUM(B23)</f>
        <v>8000.8191347896172</v>
      </c>
      <c r="I23" s="3426">
        <f t="shared" si="84"/>
        <v>24002.457404368852</v>
      </c>
      <c r="J23" s="3426">
        <f t="shared" si="85"/>
        <v>48004.914808737703</v>
      </c>
      <c r="K23" s="3425">
        <f>SUM('Прил. 1 План ФХД табл 1'!F36/3)</f>
        <v>8043.2379862600101</v>
      </c>
      <c r="L23" s="3425">
        <f>SUM(K23)</f>
        <v>8043.2379862600101</v>
      </c>
      <c r="M23" s="3425">
        <f>SUM(K23)</f>
        <v>8043.2379862600101</v>
      </c>
      <c r="N23" s="3426">
        <f t="shared" si="88"/>
        <v>24129.71395878003</v>
      </c>
      <c r="O23" s="3426">
        <f t="shared" si="89"/>
        <v>72134.62876751773</v>
      </c>
      <c r="P23" s="3425">
        <f>SUM(K23)</f>
        <v>8043.2379862600101</v>
      </c>
      <c r="Q23" s="3425">
        <f>SUM(K23)</f>
        <v>8043.2379862600101</v>
      </c>
      <c r="R23" s="3425">
        <f>SUM(K23)</f>
        <v>8043.2379862600101</v>
      </c>
      <c r="S23" s="3426">
        <f t="shared" si="92"/>
        <v>24129.71395878003</v>
      </c>
      <c r="T23" s="3427">
        <f t="shared" si="93"/>
        <v>96264.342726297764</v>
      </c>
    </row>
    <row r="24" spans="1:20" ht="19.7" customHeight="1" x14ac:dyDescent="0.25">
      <c r="A24" s="3404" t="s">
        <v>3732</v>
      </c>
      <c r="B24" s="3425">
        <f>SUM('Прил. 1 План ФХД табл 1'!C37/3)</f>
        <v>21.098994365155001</v>
      </c>
      <c r="C24" s="3425">
        <f>SUM(B24)</f>
        <v>21.098994365155001</v>
      </c>
      <c r="D24" s="3425">
        <f>SUM(B24)</f>
        <v>21.098994365155001</v>
      </c>
      <c r="E24" s="3426">
        <f t="shared" si="81"/>
        <v>63.296983095465002</v>
      </c>
      <c r="F24" s="3425">
        <f>SUM(B24)</f>
        <v>21.098994365155001</v>
      </c>
      <c r="G24" s="3425">
        <f>SUM(B24)</f>
        <v>21.098994365155001</v>
      </c>
      <c r="H24" s="3425">
        <f>SUM(B24)</f>
        <v>21.098994365155001</v>
      </c>
      <c r="I24" s="3426">
        <f t="shared" si="84"/>
        <v>63.296983095465002</v>
      </c>
      <c r="J24" s="3426">
        <f t="shared" si="85"/>
        <v>126.59396619093</v>
      </c>
      <c r="K24" s="3425">
        <f>SUM('Прил. 1 План ФХД табл 1'!F37/3)</f>
        <v>21.300502147463419</v>
      </c>
      <c r="L24" s="3425">
        <f>SUM(K24)</f>
        <v>21.300502147463419</v>
      </c>
      <c r="M24" s="3425">
        <f>SUM(K24)</f>
        <v>21.300502147463419</v>
      </c>
      <c r="N24" s="3426">
        <f t="shared" si="88"/>
        <v>63.901506442390257</v>
      </c>
      <c r="O24" s="3426">
        <f t="shared" si="89"/>
        <v>190.49547263332028</v>
      </c>
      <c r="P24" s="3425">
        <f>SUM(K24)</f>
        <v>21.300502147463419</v>
      </c>
      <c r="Q24" s="3425">
        <f>SUM(K24)</f>
        <v>21.300502147463419</v>
      </c>
      <c r="R24" s="3425">
        <f>SUM(K24)</f>
        <v>21.300502147463419</v>
      </c>
      <c r="S24" s="3426">
        <f t="shared" si="92"/>
        <v>63.901506442390257</v>
      </c>
      <c r="T24" s="3427">
        <f t="shared" si="93"/>
        <v>254.39697907571053</v>
      </c>
    </row>
    <row r="25" spans="1:20" ht="19.7" customHeight="1" x14ac:dyDescent="0.25">
      <c r="A25" s="3428" t="s">
        <v>3737</v>
      </c>
      <c r="B25" s="3437">
        <f>SUM(B26:B27)</f>
        <v>238.33333333333334</v>
      </c>
      <c r="C25" s="3437">
        <f t="shared" ref="C25" si="94">SUM(C26:C27)</f>
        <v>238.33333333333334</v>
      </c>
      <c r="D25" s="3437">
        <f t="shared" ref="D25" si="95">SUM(D26:D27)</f>
        <v>238.33333333333334</v>
      </c>
      <c r="E25" s="3426">
        <f t="shared" si="81"/>
        <v>715</v>
      </c>
      <c r="F25" s="3437">
        <f>SUM(F26:F27)</f>
        <v>238.33333333333334</v>
      </c>
      <c r="G25" s="3437">
        <f t="shared" ref="G25" si="96">SUM(G26:G27)</f>
        <v>238.33333333333334</v>
      </c>
      <c r="H25" s="3437">
        <f t="shared" ref="H25" si="97">SUM(H26:H27)</f>
        <v>238.33333333333334</v>
      </c>
      <c r="I25" s="3426">
        <f t="shared" si="84"/>
        <v>715</v>
      </c>
      <c r="J25" s="3426">
        <f t="shared" si="85"/>
        <v>1430</v>
      </c>
      <c r="K25" s="3437">
        <f>SUM(K26:K27)</f>
        <v>238.33333333333334</v>
      </c>
      <c r="L25" s="3437">
        <f t="shared" ref="L25" si="98">SUM(L26:L27)</f>
        <v>238.33333333333334</v>
      </c>
      <c r="M25" s="3437">
        <f t="shared" ref="M25" si="99">SUM(M26:M27)</f>
        <v>238.33333333333334</v>
      </c>
      <c r="N25" s="3426">
        <f t="shared" si="88"/>
        <v>715</v>
      </c>
      <c r="O25" s="3426">
        <f t="shared" si="89"/>
        <v>2145</v>
      </c>
      <c r="P25" s="3437">
        <f>SUM(P26:P27)</f>
        <v>238.33333333333334</v>
      </c>
      <c r="Q25" s="3437">
        <f t="shared" ref="Q25" si="100">SUM(Q26:Q27)</f>
        <v>238.33333333333334</v>
      </c>
      <c r="R25" s="3437">
        <f t="shared" ref="R25" si="101">SUM(R26:R27)</f>
        <v>238.33333333333334</v>
      </c>
      <c r="S25" s="3426">
        <f t="shared" si="92"/>
        <v>715</v>
      </c>
      <c r="T25" s="3427">
        <f t="shared" si="93"/>
        <v>2860</v>
      </c>
    </row>
    <row r="26" spans="1:20" ht="19.7" customHeight="1" x14ac:dyDescent="0.25">
      <c r="A26" s="3432" t="s">
        <v>3736</v>
      </c>
      <c r="B26" s="3425">
        <f>SUM('Прил. 1 План ФХД табл 1'!C39/3)</f>
        <v>58.333333333333336</v>
      </c>
      <c r="C26" s="3425">
        <f>SUM(B26)</f>
        <v>58.333333333333336</v>
      </c>
      <c r="D26" s="3425">
        <f>SUM(B26)</f>
        <v>58.333333333333336</v>
      </c>
      <c r="E26" s="3426">
        <f t="shared" si="81"/>
        <v>175</v>
      </c>
      <c r="F26" s="3425">
        <f>SUM(B26)</f>
        <v>58.333333333333336</v>
      </c>
      <c r="G26" s="3425">
        <f>SUM(B26)</f>
        <v>58.333333333333336</v>
      </c>
      <c r="H26" s="3425">
        <f>SUM(B26)</f>
        <v>58.333333333333336</v>
      </c>
      <c r="I26" s="3426">
        <f t="shared" si="84"/>
        <v>175</v>
      </c>
      <c r="J26" s="3426">
        <f t="shared" si="85"/>
        <v>350</v>
      </c>
      <c r="K26" s="3425">
        <f>SUM(B26)</f>
        <v>58.333333333333336</v>
      </c>
      <c r="L26" s="3425">
        <f>SUM(B26)</f>
        <v>58.333333333333336</v>
      </c>
      <c r="M26" s="3425">
        <f>SUM(B26)</f>
        <v>58.333333333333336</v>
      </c>
      <c r="N26" s="3426">
        <f t="shared" si="88"/>
        <v>175</v>
      </c>
      <c r="O26" s="3426">
        <f t="shared" si="89"/>
        <v>525</v>
      </c>
      <c r="P26" s="3425">
        <f>SUM(B26)</f>
        <v>58.333333333333336</v>
      </c>
      <c r="Q26" s="3425">
        <f>SUM(B26)</f>
        <v>58.333333333333336</v>
      </c>
      <c r="R26" s="3425">
        <f>SUM(B26)</f>
        <v>58.333333333333336</v>
      </c>
      <c r="S26" s="3426">
        <f t="shared" si="92"/>
        <v>175</v>
      </c>
      <c r="T26" s="3427">
        <f t="shared" si="93"/>
        <v>700</v>
      </c>
    </row>
    <row r="27" spans="1:20" ht="19.7" customHeight="1" x14ac:dyDescent="0.25">
      <c r="A27" s="3432" t="s">
        <v>3612</v>
      </c>
      <c r="B27" s="3425">
        <f>SUM('Прил. 1 План ФХД табл 1'!C40/3)</f>
        <v>180</v>
      </c>
      <c r="C27" s="3425">
        <f>SUM(B27)</f>
        <v>180</v>
      </c>
      <c r="D27" s="3425">
        <f>SUM(B27)</f>
        <v>180</v>
      </c>
      <c r="E27" s="3426">
        <f t="shared" si="81"/>
        <v>540</v>
      </c>
      <c r="F27" s="3425">
        <f>SUM(B27)</f>
        <v>180</v>
      </c>
      <c r="G27" s="3425">
        <f>SUM(B27)</f>
        <v>180</v>
      </c>
      <c r="H27" s="3425">
        <f>SUM(B27)</f>
        <v>180</v>
      </c>
      <c r="I27" s="3426">
        <f t="shared" si="84"/>
        <v>540</v>
      </c>
      <c r="J27" s="3426">
        <f t="shared" si="85"/>
        <v>1080</v>
      </c>
      <c r="K27" s="3425">
        <f>SUM(B27)</f>
        <v>180</v>
      </c>
      <c r="L27" s="3425">
        <f>SUM(B27)</f>
        <v>180</v>
      </c>
      <c r="M27" s="3425">
        <f>SUM(B27)</f>
        <v>180</v>
      </c>
      <c r="N27" s="3426">
        <f t="shared" si="88"/>
        <v>540</v>
      </c>
      <c r="O27" s="3426">
        <f t="shared" si="89"/>
        <v>1620</v>
      </c>
      <c r="P27" s="3425">
        <f>SUM(B27)</f>
        <v>180</v>
      </c>
      <c r="Q27" s="3425">
        <f>SUM(B27)</f>
        <v>180</v>
      </c>
      <c r="R27" s="3425">
        <f>SUM(B27)</f>
        <v>180</v>
      </c>
      <c r="S27" s="3426">
        <f t="shared" si="92"/>
        <v>540</v>
      </c>
      <c r="T27" s="3427">
        <f t="shared" si="93"/>
        <v>2160</v>
      </c>
    </row>
    <row r="28" spans="1:20" ht="19.7" customHeight="1" x14ac:dyDescent="0.25">
      <c r="A28" s="3419" t="s">
        <v>3707</v>
      </c>
      <c r="B28" s="3434">
        <f>SUM(B29:B31)</f>
        <v>2.4659891940618479</v>
      </c>
      <c r="C28" s="3434">
        <f t="shared" ref="C28:D28" si="102">SUM(C29:C31)</f>
        <v>2.4659891940618479</v>
      </c>
      <c r="D28" s="3434">
        <f t="shared" si="102"/>
        <v>2.4659891940618479</v>
      </c>
      <c r="E28" s="3435">
        <f t="shared" si="81"/>
        <v>7.3979675821855437</v>
      </c>
      <c r="F28" s="3434">
        <f>SUM(F29:F31)</f>
        <v>2.4659891940618479</v>
      </c>
      <c r="G28" s="3434">
        <f t="shared" ref="G28" si="103">SUM(G29:G31)</f>
        <v>2.4659891940618479</v>
      </c>
      <c r="H28" s="3434">
        <f t="shared" ref="H28" si="104">SUM(H29:H31)</f>
        <v>2.4659891940618479</v>
      </c>
      <c r="I28" s="3435">
        <f t="shared" ref="I28" si="105">SUM(F28:H28)</f>
        <v>7.3979675821855437</v>
      </c>
      <c r="J28" s="3435">
        <f t="shared" ref="J28" si="106">E28+I28</f>
        <v>14.795935164371087</v>
      </c>
      <c r="K28" s="3434">
        <f>SUM(K29:K31)</f>
        <v>287.53406412310051</v>
      </c>
      <c r="L28" s="3434">
        <f t="shared" ref="L28" si="107">SUM(L29:L31)</f>
        <v>287.53406412310051</v>
      </c>
      <c r="M28" s="3434">
        <f t="shared" ref="M28" si="108">SUM(M29:M31)</f>
        <v>287.53406412310051</v>
      </c>
      <c r="N28" s="3435">
        <f t="shared" ref="N28" si="109">SUM(K28:M28)</f>
        <v>862.60219236930152</v>
      </c>
      <c r="O28" s="3435">
        <f t="shared" ref="O28" si="110">J28+N28</f>
        <v>877.39812753367255</v>
      </c>
      <c r="P28" s="3434">
        <f>SUM(P29:P31)</f>
        <v>287.53406412310051</v>
      </c>
      <c r="Q28" s="3434">
        <f t="shared" ref="Q28" si="111">SUM(Q29:Q31)</f>
        <v>287.53406412310051</v>
      </c>
      <c r="R28" s="3434">
        <f t="shared" ref="R28" si="112">SUM(R29:R31)</f>
        <v>287.53406412310051</v>
      </c>
      <c r="S28" s="3435">
        <f t="shared" ref="S28" si="113">SUM(P28:R28)</f>
        <v>862.60219236930152</v>
      </c>
      <c r="T28" s="3436">
        <f t="shared" ref="T28" si="114">O28+S28</f>
        <v>1740.0003199029741</v>
      </c>
    </row>
    <row r="29" spans="1:20" ht="19.7" customHeight="1" x14ac:dyDescent="0.25">
      <c r="A29" s="3404" t="s">
        <v>355</v>
      </c>
      <c r="B29" s="3425">
        <f>SUM(B9-B19)</f>
        <v>-163.61237934178462</v>
      </c>
      <c r="C29" s="3425">
        <f t="shared" ref="C29:D29" si="115">SUM(C9-C19)</f>
        <v>-163.61237934178462</v>
      </c>
      <c r="D29" s="3425">
        <f t="shared" si="115"/>
        <v>-163.61237934178462</v>
      </c>
      <c r="E29" s="3426">
        <f t="shared" ref="E29:E33" si="116">SUM(B29:D29)</f>
        <v>-490.83713802535385</v>
      </c>
      <c r="F29" s="3425">
        <f>SUM(F9-F19)</f>
        <v>-163.61237934178462</v>
      </c>
      <c r="G29" s="3425">
        <f t="shared" ref="G29:H29" si="117">SUM(G9-G19)</f>
        <v>-163.61237934178462</v>
      </c>
      <c r="H29" s="3425">
        <f t="shared" si="117"/>
        <v>-163.61237934178462</v>
      </c>
      <c r="I29" s="3426">
        <f t="shared" ref="I29:I33" si="118">SUM(F29:H29)</f>
        <v>-490.83713802535385</v>
      </c>
      <c r="J29" s="3426">
        <f t="shared" ref="J29:J33" si="119">E29+I29</f>
        <v>-981.6742760507077</v>
      </c>
      <c r="K29" s="3425">
        <f>SUM(K9-K19)</f>
        <v>163.61244230952252</v>
      </c>
      <c r="L29" s="3425">
        <f t="shared" ref="L29:M29" si="120">SUM(L9-L19)</f>
        <v>163.61244230952252</v>
      </c>
      <c r="M29" s="3425">
        <f t="shared" si="120"/>
        <v>163.61244230952252</v>
      </c>
      <c r="N29" s="3426">
        <f t="shared" ref="N29:N33" si="121">SUM(K29:M29)</f>
        <v>490.83732692856756</v>
      </c>
      <c r="O29" s="3426">
        <f t="shared" ref="O29:O33" si="122">J29+N29</f>
        <v>-490.83694912214014</v>
      </c>
      <c r="P29" s="3425">
        <f>SUM(P9-P19)</f>
        <v>163.61244230952252</v>
      </c>
      <c r="Q29" s="3425">
        <f t="shared" ref="Q29:R29" si="123">SUM(Q9-Q19)</f>
        <v>163.61244230952252</v>
      </c>
      <c r="R29" s="3425">
        <f t="shared" si="123"/>
        <v>163.61244230952252</v>
      </c>
      <c r="S29" s="3426">
        <f t="shared" ref="S29:S33" si="124">SUM(P29:R29)</f>
        <v>490.83732692856756</v>
      </c>
      <c r="T29" s="3427">
        <f t="shared" ref="T29:T33" si="125">O29+S29</f>
        <v>3.7780642742291093E-4</v>
      </c>
    </row>
    <row r="30" spans="1:20" ht="19.7" customHeight="1" x14ac:dyDescent="0.25">
      <c r="A30" s="3404" t="s">
        <v>345</v>
      </c>
      <c r="B30" s="3425">
        <f>SUM(B12-B22)</f>
        <v>21.078368535846494</v>
      </c>
      <c r="C30" s="3425">
        <f t="shared" ref="C30:D30" si="126">SUM(C12-C22)</f>
        <v>21.078368535846494</v>
      </c>
      <c r="D30" s="3425">
        <f t="shared" si="126"/>
        <v>21.078368535846494</v>
      </c>
      <c r="E30" s="3426">
        <f t="shared" si="116"/>
        <v>63.235105607539481</v>
      </c>
      <c r="F30" s="3425">
        <f>SUM(F12-F22)</f>
        <v>21.078368535846494</v>
      </c>
      <c r="G30" s="3425">
        <f t="shared" ref="G30:H30" si="127">SUM(G12-G22)</f>
        <v>21.078368535846494</v>
      </c>
      <c r="H30" s="3425">
        <f t="shared" si="127"/>
        <v>21.078368535846494</v>
      </c>
      <c r="I30" s="3426">
        <f t="shared" si="118"/>
        <v>63.235105607539481</v>
      </c>
      <c r="J30" s="3426">
        <f t="shared" si="119"/>
        <v>126.47021121507896</v>
      </c>
      <c r="K30" s="3425">
        <f>SUM(K12-K22)</f>
        <v>-21.078378186422015</v>
      </c>
      <c r="L30" s="3425">
        <f t="shared" ref="L30:M30" si="128">SUM(L12-L22)</f>
        <v>-21.078378186422015</v>
      </c>
      <c r="M30" s="3425">
        <f t="shared" si="128"/>
        <v>-21.078378186422015</v>
      </c>
      <c r="N30" s="3426">
        <f t="shared" si="121"/>
        <v>-63.235134559266044</v>
      </c>
      <c r="O30" s="3426">
        <f t="shared" si="122"/>
        <v>63.235076655812918</v>
      </c>
      <c r="P30" s="3425">
        <f>SUM(P12-P22)</f>
        <v>-21.078378186422015</v>
      </c>
      <c r="Q30" s="3425">
        <f t="shared" ref="Q30:R30" si="129">SUM(Q12-Q22)</f>
        <v>-21.078378186422015</v>
      </c>
      <c r="R30" s="3425">
        <f t="shared" si="129"/>
        <v>-21.078378186422015</v>
      </c>
      <c r="S30" s="3426">
        <f t="shared" si="124"/>
        <v>-63.235134559266044</v>
      </c>
      <c r="T30" s="3427">
        <f t="shared" si="125"/>
        <v>-5.7903453125618398E-5</v>
      </c>
    </row>
    <row r="31" spans="1:20" ht="19.7" customHeight="1" x14ac:dyDescent="0.25">
      <c r="A31" s="3404" t="s">
        <v>3705</v>
      </c>
      <c r="B31" s="3425">
        <f>SUM(B15-B25)</f>
        <v>144.99999999999997</v>
      </c>
      <c r="C31" s="3425">
        <f t="shared" ref="C31:D31" si="130">SUM(C15-C25)</f>
        <v>144.99999999999997</v>
      </c>
      <c r="D31" s="3425">
        <f t="shared" si="130"/>
        <v>144.99999999999997</v>
      </c>
      <c r="E31" s="3426">
        <f t="shared" si="116"/>
        <v>434.99999999999989</v>
      </c>
      <c r="F31" s="3425">
        <f>SUM(F15-F25)</f>
        <v>144.99999999999997</v>
      </c>
      <c r="G31" s="3425">
        <f t="shared" ref="G31:H31" si="131">SUM(G15-G25)</f>
        <v>144.99999999999997</v>
      </c>
      <c r="H31" s="3425">
        <f t="shared" si="131"/>
        <v>144.99999999999997</v>
      </c>
      <c r="I31" s="3426">
        <f t="shared" si="118"/>
        <v>434.99999999999989</v>
      </c>
      <c r="J31" s="3426">
        <f t="shared" si="119"/>
        <v>869.99999999999977</v>
      </c>
      <c r="K31" s="3425">
        <f>SUM(K15-K25)</f>
        <v>144.99999999999997</v>
      </c>
      <c r="L31" s="3425">
        <f t="shared" ref="L31:M31" si="132">SUM(L15-L25)</f>
        <v>144.99999999999997</v>
      </c>
      <c r="M31" s="3425">
        <f t="shared" si="132"/>
        <v>144.99999999999997</v>
      </c>
      <c r="N31" s="3426">
        <f t="shared" si="121"/>
        <v>434.99999999999989</v>
      </c>
      <c r="O31" s="3426">
        <f t="shared" si="122"/>
        <v>1304.9999999999995</v>
      </c>
      <c r="P31" s="3425">
        <f>SUM(P15-P25)</f>
        <v>144.99999999999997</v>
      </c>
      <c r="Q31" s="3425">
        <f t="shared" ref="Q31:R31" si="133">SUM(Q15-Q25)</f>
        <v>144.99999999999997</v>
      </c>
      <c r="R31" s="3425">
        <f t="shared" si="133"/>
        <v>144.99999999999997</v>
      </c>
      <c r="S31" s="3426">
        <f t="shared" si="124"/>
        <v>434.99999999999989</v>
      </c>
      <c r="T31" s="3427">
        <f t="shared" si="125"/>
        <v>1739.9999999999995</v>
      </c>
    </row>
    <row r="32" spans="1:20" ht="19.7" customHeight="1" x14ac:dyDescent="0.25">
      <c r="A32" s="3419" t="s">
        <v>3739</v>
      </c>
      <c r="B32" s="3434">
        <f>SUM('Прил. 1 План ФХД табл 1'!C45/3)</f>
        <v>155</v>
      </c>
      <c r="C32" s="3434">
        <f>SUM(B32)</f>
        <v>155</v>
      </c>
      <c r="D32" s="3434">
        <f>SUM(B32)</f>
        <v>155</v>
      </c>
      <c r="E32" s="3435">
        <f t="shared" si="116"/>
        <v>465</v>
      </c>
      <c r="F32" s="3434">
        <f>SUM(B32)</f>
        <v>155</v>
      </c>
      <c r="G32" s="3434">
        <f>SUM(B32)</f>
        <v>155</v>
      </c>
      <c r="H32" s="3434">
        <f>SUM(B32)</f>
        <v>155</v>
      </c>
      <c r="I32" s="3435">
        <f t="shared" si="118"/>
        <v>465</v>
      </c>
      <c r="J32" s="3435">
        <f t="shared" si="119"/>
        <v>930</v>
      </c>
      <c r="K32" s="3434">
        <f>SUM('Прил. 1 План ФХД табл 1'!F45/3)</f>
        <v>155</v>
      </c>
      <c r="L32" s="3434">
        <f>SUM(K32)</f>
        <v>155</v>
      </c>
      <c r="M32" s="3434">
        <f>SUM(K32)</f>
        <v>155</v>
      </c>
      <c r="N32" s="3435">
        <f t="shared" si="121"/>
        <v>465</v>
      </c>
      <c r="O32" s="3435">
        <f t="shared" si="122"/>
        <v>1395</v>
      </c>
      <c r="P32" s="3434">
        <f>SUM(K32)</f>
        <v>155</v>
      </c>
      <c r="Q32" s="3434">
        <f>SUM(K32)</f>
        <v>155</v>
      </c>
      <c r="R32" s="3434">
        <f>SUM(K32)</f>
        <v>155</v>
      </c>
      <c r="S32" s="3435">
        <f t="shared" si="124"/>
        <v>465</v>
      </c>
      <c r="T32" s="3436">
        <f t="shared" si="125"/>
        <v>1860</v>
      </c>
    </row>
    <row r="33" spans="1:20" ht="19.7" customHeight="1" x14ac:dyDescent="0.25">
      <c r="A33" s="3419" t="s">
        <v>3708</v>
      </c>
      <c r="B33" s="3434">
        <f>SUM(B34:B36)</f>
        <v>300</v>
      </c>
      <c r="C33" s="3434">
        <f t="shared" ref="C33" si="134">SUM(C34:C36)</f>
        <v>300</v>
      </c>
      <c r="D33" s="3434">
        <f t="shared" ref="D33" si="135">SUM(D34:D36)</f>
        <v>300</v>
      </c>
      <c r="E33" s="3435">
        <f t="shared" si="116"/>
        <v>900</v>
      </c>
      <c r="F33" s="3434">
        <f>SUM(F34:F36)</f>
        <v>300</v>
      </c>
      <c r="G33" s="3434">
        <f t="shared" ref="G33" si="136">SUM(G34:G36)</f>
        <v>300</v>
      </c>
      <c r="H33" s="3434">
        <f t="shared" ref="H33" si="137">SUM(H34:H36)</f>
        <v>300</v>
      </c>
      <c r="I33" s="3435">
        <f t="shared" si="118"/>
        <v>900</v>
      </c>
      <c r="J33" s="3435">
        <f t="shared" si="119"/>
        <v>1800</v>
      </c>
      <c r="K33" s="3434">
        <f>SUM(K34:K36)</f>
        <v>300</v>
      </c>
      <c r="L33" s="3434">
        <f t="shared" ref="L33" si="138">SUM(L34:L36)</f>
        <v>300</v>
      </c>
      <c r="M33" s="3434">
        <f t="shared" ref="M33" si="139">SUM(M34:M36)</f>
        <v>300</v>
      </c>
      <c r="N33" s="3435">
        <f t="shared" si="121"/>
        <v>900</v>
      </c>
      <c r="O33" s="3435">
        <f t="shared" si="122"/>
        <v>2700</v>
      </c>
      <c r="P33" s="3434">
        <f>SUM(P34:P36)</f>
        <v>300</v>
      </c>
      <c r="Q33" s="3434">
        <f t="shared" ref="Q33" si="140">SUM(Q34:Q36)</f>
        <v>300</v>
      </c>
      <c r="R33" s="3434">
        <f t="shared" ref="R33" si="141">SUM(R34:R36)</f>
        <v>300</v>
      </c>
      <c r="S33" s="3435">
        <f t="shared" si="124"/>
        <v>900</v>
      </c>
      <c r="T33" s="3436">
        <f t="shared" si="125"/>
        <v>3600</v>
      </c>
    </row>
    <row r="34" spans="1:20" ht="19.7" customHeight="1" x14ac:dyDescent="0.25">
      <c r="A34" s="3404" t="s">
        <v>3738</v>
      </c>
      <c r="B34" s="3425">
        <f>SUM('Прил. 1 План ФХД табл 1'!C47/3)</f>
        <v>187.5</v>
      </c>
      <c r="C34" s="3425">
        <f t="shared" ref="C34:C36" si="142">SUM(B34)</f>
        <v>187.5</v>
      </c>
      <c r="D34" s="3425">
        <f t="shared" ref="D34:D36" si="143">SUM(B34)</f>
        <v>187.5</v>
      </c>
      <c r="E34" s="3438">
        <f t="shared" ref="E34:E36" si="144">SUM(B34:D34)</f>
        <v>562.5</v>
      </c>
      <c r="F34" s="3425">
        <f t="shared" ref="F34:F36" si="145">SUM(B34)</f>
        <v>187.5</v>
      </c>
      <c r="G34" s="3425">
        <f t="shared" ref="G34:G36" si="146">SUM(B34)</f>
        <v>187.5</v>
      </c>
      <c r="H34" s="3425">
        <f t="shared" ref="H34:H36" si="147">SUM(B34)</f>
        <v>187.5</v>
      </c>
      <c r="I34" s="3438">
        <f t="shared" ref="I34:I36" si="148">SUM(F34:H34)</f>
        <v>562.5</v>
      </c>
      <c r="J34" s="3438">
        <f t="shared" ref="J34:J36" si="149">E34+I34</f>
        <v>1125</v>
      </c>
      <c r="K34" s="3425">
        <f>SUM('Прил. 1 План ФХД табл 1'!F47/3)</f>
        <v>187.5</v>
      </c>
      <c r="L34" s="3425">
        <f t="shared" ref="L34:L36" si="150">SUM(K34)</f>
        <v>187.5</v>
      </c>
      <c r="M34" s="3425">
        <f t="shared" ref="M34:M36" si="151">SUM(K34)</f>
        <v>187.5</v>
      </c>
      <c r="N34" s="3438">
        <f t="shared" ref="N34:N36" si="152">SUM(K34:M34)</f>
        <v>562.5</v>
      </c>
      <c r="O34" s="3438">
        <f t="shared" ref="O34:O36" si="153">J34+N34</f>
        <v>1687.5</v>
      </c>
      <c r="P34" s="3425">
        <f t="shared" ref="P34:P36" si="154">SUM(K34)</f>
        <v>187.5</v>
      </c>
      <c r="Q34" s="3425">
        <f t="shared" ref="Q34:Q36" si="155">SUM(K34)</f>
        <v>187.5</v>
      </c>
      <c r="R34" s="3425">
        <f t="shared" ref="R34:R36" si="156">SUM(K34)</f>
        <v>187.5</v>
      </c>
      <c r="S34" s="3438">
        <f t="shared" ref="S34:S36" si="157">SUM(P34:R34)</f>
        <v>562.5</v>
      </c>
      <c r="T34" s="3439">
        <f t="shared" ref="T34:T36" si="158">O34+S34</f>
        <v>2250</v>
      </c>
    </row>
    <row r="35" spans="1:20" ht="19.7" customHeight="1" x14ac:dyDescent="0.25">
      <c r="A35" s="3404" t="s">
        <v>3709</v>
      </c>
      <c r="B35" s="3425">
        <f>SUM('Прил. 1 План ФХД табл 1'!C48/3)</f>
        <v>95.833333333333329</v>
      </c>
      <c r="C35" s="3425">
        <f t="shared" si="142"/>
        <v>95.833333333333329</v>
      </c>
      <c r="D35" s="3425">
        <f t="shared" si="143"/>
        <v>95.833333333333329</v>
      </c>
      <c r="E35" s="3438">
        <f t="shared" si="144"/>
        <v>287.5</v>
      </c>
      <c r="F35" s="3425">
        <f t="shared" si="145"/>
        <v>95.833333333333329</v>
      </c>
      <c r="G35" s="3425">
        <f t="shared" si="146"/>
        <v>95.833333333333329</v>
      </c>
      <c r="H35" s="3425">
        <f t="shared" si="147"/>
        <v>95.833333333333329</v>
      </c>
      <c r="I35" s="3438">
        <f t="shared" si="148"/>
        <v>287.5</v>
      </c>
      <c r="J35" s="3438">
        <f t="shared" si="149"/>
        <v>575</v>
      </c>
      <c r="K35" s="3425">
        <f>SUM('Прил. 1 План ФХД табл 1'!F48/3)</f>
        <v>95.833333333333329</v>
      </c>
      <c r="L35" s="3425">
        <f t="shared" si="150"/>
        <v>95.833333333333329</v>
      </c>
      <c r="M35" s="3425">
        <f t="shared" si="151"/>
        <v>95.833333333333329</v>
      </c>
      <c r="N35" s="3438">
        <f t="shared" si="152"/>
        <v>287.5</v>
      </c>
      <c r="O35" s="3438">
        <f t="shared" si="153"/>
        <v>862.5</v>
      </c>
      <c r="P35" s="3425">
        <f t="shared" si="154"/>
        <v>95.833333333333329</v>
      </c>
      <c r="Q35" s="3425">
        <f t="shared" si="155"/>
        <v>95.833333333333329</v>
      </c>
      <c r="R35" s="3425">
        <f t="shared" si="156"/>
        <v>95.833333333333329</v>
      </c>
      <c r="S35" s="3438">
        <f t="shared" si="157"/>
        <v>287.5</v>
      </c>
      <c r="T35" s="3439">
        <f t="shared" si="158"/>
        <v>1150</v>
      </c>
    </row>
    <row r="36" spans="1:20" ht="19.7" customHeight="1" x14ac:dyDescent="0.25">
      <c r="A36" s="3404" t="s">
        <v>3710</v>
      </c>
      <c r="B36" s="3425">
        <f>SUM('Прил. 1 План ФХД табл 1'!C49/3)</f>
        <v>16.666666666666668</v>
      </c>
      <c r="C36" s="3425">
        <f t="shared" si="142"/>
        <v>16.666666666666668</v>
      </c>
      <c r="D36" s="3425">
        <f t="shared" si="143"/>
        <v>16.666666666666668</v>
      </c>
      <c r="E36" s="3438">
        <f t="shared" si="144"/>
        <v>50</v>
      </c>
      <c r="F36" s="3425">
        <f t="shared" si="145"/>
        <v>16.666666666666668</v>
      </c>
      <c r="G36" s="3425">
        <f t="shared" si="146"/>
        <v>16.666666666666668</v>
      </c>
      <c r="H36" s="3425">
        <f t="shared" si="147"/>
        <v>16.666666666666668</v>
      </c>
      <c r="I36" s="3438">
        <f t="shared" si="148"/>
        <v>50</v>
      </c>
      <c r="J36" s="3438">
        <f t="shared" si="149"/>
        <v>100</v>
      </c>
      <c r="K36" s="3425">
        <f>SUM('Прил. 1 План ФХД табл 1'!F49/3)</f>
        <v>16.666666666666668</v>
      </c>
      <c r="L36" s="3425">
        <f t="shared" si="150"/>
        <v>16.666666666666668</v>
      </c>
      <c r="M36" s="3425">
        <f t="shared" si="151"/>
        <v>16.666666666666668</v>
      </c>
      <c r="N36" s="3438">
        <f t="shared" si="152"/>
        <v>50</v>
      </c>
      <c r="O36" s="3438">
        <f t="shared" si="153"/>
        <v>150</v>
      </c>
      <c r="P36" s="3425">
        <f t="shared" si="154"/>
        <v>16.666666666666668</v>
      </c>
      <c r="Q36" s="3425">
        <f t="shared" si="155"/>
        <v>16.666666666666668</v>
      </c>
      <c r="R36" s="3425">
        <f t="shared" si="156"/>
        <v>16.666666666666668</v>
      </c>
      <c r="S36" s="3438">
        <f t="shared" si="157"/>
        <v>50</v>
      </c>
      <c r="T36" s="3439">
        <f t="shared" si="158"/>
        <v>200</v>
      </c>
    </row>
    <row r="37" spans="1:20" ht="19.7" customHeight="1" x14ac:dyDescent="0.25">
      <c r="A37" s="3419" t="s">
        <v>3711</v>
      </c>
      <c r="B37" s="3434">
        <f>SUM(B28+B32-B33)</f>
        <v>-142.53401080593815</v>
      </c>
      <c r="C37" s="3434">
        <f t="shared" ref="C37:D37" si="159">SUM(C28+C32-C33)</f>
        <v>-142.53401080593815</v>
      </c>
      <c r="D37" s="3434">
        <f t="shared" si="159"/>
        <v>-142.53401080593815</v>
      </c>
      <c r="E37" s="3435">
        <f t="shared" ref="E37" si="160">SUM(B37:D37)</f>
        <v>-427.60203241781448</v>
      </c>
      <c r="F37" s="3434">
        <f>SUM(F28+F32-F33)</f>
        <v>-142.53401080593815</v>
      </c>
      <c r="G37" s="3434">
        <f t="shared" ref="G37:H37" si="161">SUM(G28+G32-G33)</f>
        <v>-142.53401080593815</v>
      </c>
      <c r="H37" s="3434">
        <f t="shared" si="161"/>
        <v>-142.53401080593815</v>
      </c>
      <c r="I37" s="3435">
        <f t="shared" ref="I37" si="162">SUM(F37:H37)</f>
        <v>-427.60203241781448</v>
      </c>
      <c r="J37" s="3435">
        <f t="shared" ref="J37" si="163">E37+I37</f>
        <v>-855.20406483562897</v>
      </c>
      <c r="K37" s="3434">
        <f>SUM(K28+K32-K33)</f>
        <v>142.53406412310051</v>
      </c>
      <c r="L37" s="3434">
        <f t="shared" ref="L37:M37" si="164">SUM(L28+L32-L33)</f>
        <v>142.53406412310051</v>
      </c>
      <c r="M37" s="3434">
        <f t="shared" si="164"/>
        <v>142.53406412310051</v>
      </c>
      <c r="N37" s="3435">
        <f t="shared" ref="N37" si="165">SUM(K37:M37)</f>
        <v>427.60219236930152</v>
      </c>
      <c r="O37" s="3435">
        <f t="shared" ref="O37" si="166">J37+N37</f>
        <v>-427.60187246632745</v>
      </c>
      <c r="P37" s="3434">
        <f>SUM(P28+P32-P33)</f>
        <v>142.53406412310051</v>
      </c>
      <c r="Q37" s="3434">
        <f t="shared" ref="Q37:R37" si="167">SUM(Q28+Q32-Q33)</f>
        <v>142.53406412310051</v>
      </c>
      <c r="R37" s="3434">
        <f t="shared" si="167"/>
        <v>142.53406412310051</v>
      </c>
      <c r="S37" s="3435">
        <f t="shared" ref="S37" si="168">SUM(P37:R37)</f>
        <v>427.60219236930152</v>
      </c>
      <c r="T37" s="3436">
        <f t="shared" ref="T37" si="169">O37+S37</f>
        <v>3.1990297406991886E-4</v>
      </c>
    </row>
    <row r="38" spans="1:20" ht="19.7" customHeight="1" x14ac:dyDescent="0.25">
      <c r="A38" s="3419" t="s">
        <v>3712</v>
      </c>
      <c r="B38" s="3413">
        <f>SUM(B37-(B37*20%))</f>
        <v>-114.02720864475052</v>
      </c>
      <c r="C38" s="3413">
        <f t="shared" ref="C38:D38" si="170">SUM(C37-(C37*20%))</f>
        <v>-114.02720864475052</v>
      </c>
      <c r="D38" s="3413">
        <f t="shared" si="170"/>
        <v>-114.02720864475052</v>
      </c>
      <c r="E38" s="3435">
        <f t="shared" ref="E38:E40" si="171">SUM(B38:D38)</f>
        <v>-342.08162593425152</v>
      </c>
      <c r="F38" s="3413">
        <f>SUM(F37-(F37*20%))</f>
        <v>-114.02720864475052</v>
      </c>
      <c r="G38" s="3413">
        <f t="shared" ref="G38" si="172">SUM(G37-(G37*20%))</f>
        <v>-114.02720864475052</v>
      </c>
      <c r="H38" s="3413">
        <f t="shared" ref="H38" si="173">SUM(H37-(H37*20%))</f>
        <v>-114.02720864475052</v>
      </c>
      <c r="I38" s="3435">
        <f t="shared" ref="I38:I40" si="174">SUM(F38:H38)</f>
        <v>-342.08162593425152</v>
      </c>
      <c r="J38" s="3435">
        <f t="shared" ref="J38:J40" si="175">E38+I38</f>
        <v>-684.16325186850304</v>
      </c>
      <c r="K38" s="3413">
        <f>SUM(K37-(K37*20%))</f>
        <v>114.02725129848041</v>
      </c>
      <c r="L38" s="3413">
        <f t="shared" ref="L38" si="176">SUM(L37-(L37*20%))</f>
        <v>114.02725129848041</v>
      </c>
      <c r="M38" s="3413">
        <f t="shared" ref="M38" si="177">SUM(M37-(M37*20%))</f>
        <v>114.02725129848041</v>
      </c>
      <c r="N38" s="3435">
        <f t="shared" ref="N38:N40" si="178">SUM(K38:M38)</f>
        <v>342.08175389544124</v>
      </c>
      <c r="O38" s="3435">
        <f t="shared" ref="O38:O40" si="179">J38+N38</f>
        <v>-342.0814979730618</v>
      </c>
      <c r="P38" s="3413">
        <f>SUM(P37-(P37*20%))</f>
        <v>114.02725129848041</v>
      </c>
      <c r="Q38" s="3413">
        <f t="shared" ref="Q38" si="180">SUM(Q37-(Q37*20%))</f>
        <v>114.02725129848041</v>
      </c>
      <c r="R38" s="3413">
        <f t="shared" ref="R38" si="181">SUM(R37-(R37*20%))</f>
        <v>114.02725129848041</v>
      </c>
      <c r="S38" s="3435">
        <f t="shared" ref="S38:S40" si="182">SUM(P38:R38)</f>
        <v>342.08175389544124</v>
      </c>
      <c r="T38" s="3436">
        <f t="shared" ref="T38:T40" si="183">O38+S38</f>
        <v>2.5592237943783402E-4</v>
      </c>
    </row>
    <row r="39" spans="1:20" ht="19.7" customHeight="1" x14ac:dyDescent="0.25">
      <c r="A39" s="3402" t="s">
        <v>3713</v>
      </c>
      <c r="B39" s="3409">
        <f t="shared" ref="B39" si="184">B38/B18*100</f>
        <v>-0.57975937815579048</v>
      </c>
      <c r="C39" s="3409">
        <f t="shared" ref="C39" si="185">C38/C18*100</f>
        <v>-0.57975937815579048</v>
      </c>
      <c r="D39" s="3409">
        <f t="shared" ref="D39" si="186">D38/D18*100</f>
        <v>-0.57975937815579048</v>
      </c>
      <c r="E39" s="3435">
        <f t="shared" si="171"/>
        <v>-1.7392781344673716</v>
      </c>
      <c r="F39" s="3409">
        <f t="shared" ref="F39" si="187">F38/F18*100</f>
        <v>-0.57975937815579048</v>
      </c>
      <c r="G39" s="3409">
        <f t="shared" ref="G39" si="188">G38/G18*100</f>
        <v>-0.57975937815579048</v>
      </c>
      <c r="H39" s="3409">
        <f t="shared" ref="H39" si="189">H38/H18*100</f>
        <v>-0.57975937815579048</v>
      </c>
      <c r="I39" s="3435">
        <f t="shared" si="174"/>
        <v>-1.7392781344673716</v>
      </c>
      <c r="J39" s="3435">
        <f t="shared" si="175"/>
        <v>-3.4785562689347431</v>
      </c>
      <c r="K39" s="3409">
        <f t="shared" ref="K39" si="190">K38/K18*100</f>
        <v>0.57682595456420727</v>
      </c>
      <c r="L39" s="3409">
        <f t="shared" ref="L39" si="191">L38/L18*100</f>
        <v>0.57682595456420727</v>
      </c>
      <c r="M39" s="3409">
        <f t="shared" ref="M39" si="192">M38/M18*100</f>
        <v>0.57682595456420727</v>
      </c>
      <c r="N39" s="3435">
        <f t="shared" si="178"/>
        <v>1.7304778636926219</v>
      </c>
      <c r="O39" s="3435">
        <f t="shared" si="179"/>
        <v>-1.7480784052421212</v>
      </c>
      <c r="P39" s="3409">
        <f t="shared" ref="P39" si="193">P38/P18*100</f>
        <v>0.57682595456420727</v>
      </c>
      <c r="Q39" s="3409">
        <f t="shared" ref="Q39" si="194">Q38/Q18*100</f>
        <v>0.57682595456420727</v>
      </c>
      <c r="R39" s="3409">
        <f t="shared" ref="R39" si="195">R38/R18*100</f>
        <v>0.57682595456420727</v>
      </c>
      <c r="S39" s="3435">
        <f t="shared" si="182"/>
        <v>1.7304778636926219</v>
      </c>
      <c r="T39" s="3436">
        <f t="shared" si="183"/>
        <v>-1.7600541549499304E-2</v>
      </c>
    </row>
    <row r="40" spans="1:20" ht="19.7" customHeight="1" thickBot="1" x14ac:dyDescent="0.3">
      <c r="A40" s="3329" t="s">
        <v>3714</v>
      </c>
      <c r="B40" s="3423">
        <f>SUM(B38)</f>
        <v>-114.02720864475052</v>
      </c>
      <c r="C40" s="3423">
        <f t="shared" ref="C40:D40" si="196">SUM(C38)</f>
        <v>-114.02720864475052</v>
      </c>
      <c r="D40" s="3423">
        <f t="shared" si="196"/>
        <v>-114.02720864475052</v>
      </c>
      <c r="E40" s="3440">
        <f t="shared" si="171"/>
        <v>-342.08162593425152</v>
      </c>
      <c r="F40" s="3423">
        <f>SUM(F38)</f>
        <v>-114.02720864475052</v>
      </c>
      <c r="G40" s="3423">
        <f t="shared" ref="G40:H40" si="197">SUM(G38)</f>
        <v>-114.02720864475052</v>
      </c>
      <c r="H40" s="3423">
        <f t="shared" si="197"/>
        <v>-114.02720864475052</v>
      </c>
      <c r="I40" s="3440">
        <f t="shared" si="174"/>
        <v>-342.08162593425152</v>
      </c>
      <c r="J40" s="3440">
        <f t="shared" si="175"/>
        <v>-684.16325186850304</v>
      </c>
      <c r="K40" s="3423">
        <f>SUM(K38)</f>
        <v>114.02725129848041</v>
      </c>
      <c r="L40" s="3423">
        <f t="shared" ref="L40:M40" si="198">SUM(L38)</f>
        <v>114.02725129848041</v>
      </c>
      <c r="M40" s="3423">
        <f t="shared" si="198"/>
        <v>114.02725129848041</v>
      </c>
      <c r="N40" s="3440">
        <f t="shared" si="178"/>
        <v>342.08175389544124</v>
      </c>
      <c r="O40" s="3440">
        <f t="shared" si="179"/>
        <v>-342.0814979730618</v>
      </c>
      <c r="P40" s="3423">
        <f>SUM(P38)</f>
        <v>114.02725129848041</v>
      </c>
      <c r="Q40" s="3423">
        <f t="shared" ref="Q40:R40" si="199">SUM(Q38)</f>
        <v>114.02725129848041</v>
      </c>
      <c r="R40" s="3423">
        <f t="shared" si="199"/>
        <v>114.02725129848041</v>
      </c>
      <c r="S40" s="3440">
        <f t="shared" si="182"/>
        <v>342.08175389544124</v>
      </c>
      <c r="T40" s="3344">
        <f t="shared" si="183"/>
        <v>2.5592237943783402E-4</v>
      </c>
    </row>
    <row r="41" spans="1:20" x14ac:dyDescent="0.25">
      <c r="A41" s="3441"/>
      <c r="B41" s="3442"/>
      <c r="C41" s="3442"/>
      <c r="D41" s="3442"/>
      <c r="E41" s="3442"/>
      <c r="F41" s="3442"/>
      <c r="G41" s="3442"/>
      <c r="H41" s="3442"/>
      <c r="I41" s="3442"/>
      <c r="J41" s="3442"/>
      <c r="K41" s="3442"/>
      <c r="L41" s="3442"/>
      <c r="M41" s="3442"/>
      <c r="N41" s="3442"/>
      <c r="O41" s="3442"/>
      <c r="P41" s="3442"/>
      <c r="Q41" s="3442"/>
      <c r="R41" s="3442"/>
      <c r="S41" s="3442"/>
      <c r="T41" s="3442"/>
    </row>
    <row r="42" spans="1:20" x14ac:dyDescent="0.25">
      <c r="A42" s="3441"/>
      <c r="B42" s="3442"/>
      <c r="C42" s="3442"/>
      <c r="D42" s="3442"/>
      <c r="E42" s="3442"/>
      <c r="F42" s="3442"/>
      <c r="G42" s="3442"/>
      <c r="H42" s="3442"/>
      <c r="I42" s="3442"/>
      <c r="J42" s="3442"/>
      <c r="K42" s="3442"/>
      <c r="L42" s="3442"/>
      <c r="M42" s="3442"/>
      <c r="N42" s="3442"/>
      <c r="O42" s="3442"/>
      <c r="P42" s="3442"/>
      <c r="Q42" s="3442"/>
      <c r="R42" s="3442"/>
      <c r="S42" s="3442"/>
      <c r="T42" s="3442"/>
    </row>
    <row r="43" spans="1:20" x14ac:dyDescent="0.25">
      <c r="A43" s="3575" t="s">
        <v>3720</v>
      </c>
      <c r="B43" s="3576"/>
      <c r="C43" s="3576"/>
      <c r="D43" s="3576"/>
      <c r="E43" s="3576"/>
      <c r="F43" s="3576"/>
      <c r="G43" s="3576"/>
      <c r="H43" s="3576"/>
      <c r="I43" s="3576"/>
      <c r="J43" s="3576"/>
      <c r="K43" s="3576"/>
      <c r="L43" s="3576"/>
      <c r="M43" s="3576"/>
      <c r="N43" s="3576"/>
      <c r="O43" s="3576"/>
      <c r="P43" s="3576"/>
      <c r="Q43" s="3576"/>
      <c r="R43" s="3576"/>
      <c r="S43" s="3576"/>
      <c r="T43" s="3576"/>
    </row>
    <row r="44" spans="1:20" x14ac:dyDescent="0.25">
      <c r="B44" s="3345"/>
      <c r="C44" s="3345"/>
      <c r="D44" s="3345"/>
      <c r="E44" s="3345"/>
      <c r="F44" s="3345"/>
      <c r="G44" s="3345"/>
      <c r="H44" s="3345"/>
      <c r="I44" s="3345"/>
      <c r="J44" s="3345"/>
      <c r="K44" s="3345"/>
      <c r="L44" s="3345"/>
      <c r="M44" s="3345"/>
      <c r="N44" s="3345"/>
      <c r="O44" s="3345"/>
      <c r="P44" s="3345"/>
      <c r="Q44" s="3345"/>
      <c r="R44" s="3345"/>
      <c r="S44" s="3345"/>
      <c r="T44" s="3345"/>
    </row>
  </sheetData>
  <mergeCells count="2">
    <mergeCell ref="A5:T5"/>
    <mergeCell ref="A43:T43"/>
  </mergeCells>
  <printOptions horizontalCentered="1" verticalCentered="1"/>
  <pageMargins left="0" right="0" top="0" bottom="0" header="0.31496062992125984" footer="0.31496062992125984"/>
  <pageSetup paperSize="9" scale="63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89"/>
  <sheetViews>
    <sheetView workbookViewId="0">
      <selection activeCell="G8" sqref="G8"/>
    </sheetView>
  </sheetViews>
  <sheetFormatPr defaultColWidth="11.28515625" defaultRowHeight="12.75" x14ac:dyDescent="0.2"/>
  <cols>
    <col min="1" max="1" width="33.5703125" style="5" customWidth="1"/>
    <col min="2" max="2" width="16.42578125" style="5" customWidth="1"/>
    <col min="3" max="3" width="12.85546875" style="5" customWidth="1"/>
    <col min="4" max="4" width="16.28515625" style="5" customWidth="1"/>
    <col min="5" max="5" width="17.42578125" style="5" customWidth="1"/>
    <col min="6" max="6" width="16.28515625" style="5" customWidth="1"/>
    <col min="7" max="7" width="17.42578125" style="5" customWidth="1"/>
    <col min="8" max="8" width="42.7109375" style="5" customWidth="1"/>
    <col min="9" max="16384" width="11.28515625" style="5"/>
  </cols>
  <sheetData>
    <row r="2" spans="1:8" ht="14.25" x14ac:dyDescent="0.2">
      <c r="A2" s="4449" t="s">
        <v>2115</v>
      </c>
      <c r="B2" s="4449"/>
      <c r="C2" s="4449"/>
      <c r="D2" s="4449"/>
      <c r="E2" s="4449"/>
      <c r="F2" s="4449"/>
      <c r="G2" s="4449"/>
      <c r="H2" s="4449"/>
    </row>
    <row r="4" spans="1:8" x14ac:dyDescent="0.2">
      <c r="A4" s="3966" t="s">
        <v>1866</v>
      </c>
      <c r="B4" s="2545" t="s">
        <v>373</v>
      </c>
      <c r="C4" s="3970" t="s">
        <v>829</v>
      </c>
      <c r="D4" s="3970"/>
      <c r="E4" s="2429" t="s">
        <v>908</v>
      </c>
      <c r="F4" s="3970" t="s">
        <v>1870</v>
      </c>
      <c r="G4" s="4232"/>
      <c r="H4" s="3966" t="s">
        <v>1925</v>
      </c>
    </row>
    <row r="5" spans="1:8" s="375" customFormat="1" x14ac:dyDescent="0.2">
      <c r="A5" s="4448"/>
      <c r="B5" s="3971" t="s">
        <v>61</v>
      </c>
      <c r="C5" s="3971" t="s">
        <v>1602</v>
      </c>
      <c r="D5" s="3971" t="s">
        <v>61</v>
      </c>
      <c r="E5" s="3971" t="s">
        <v>61</v>
      </c>
      <c r="F5" s="3971" t="s">
        <v>1871</v>
      </c>
      <c r="G5" s="4226" t="s">
        <v>1872</v>
      </c>
      <c r="H5" s="4448"/>
    </row>
    <row r="6" spans="1:8" s="375" customFormat="1" x14ac:dyDescent="0.2">
      <c r="A6" s="3967"/>
      <c r="B6" s="3971"/>
      <c r="C6" s="3971"/>
      <c r="D6" s="3971"/>
      <c r="E6" s="3971"/>
      <c r="F6" s="3971"/>
      <c r="G6" s="4226"/>
      <c r="H6" s="3967"/>
    </row>
    <row r="7" spans="1:8" s="2651" customFormat="1" x14ac:dyDescent="0.2">
      <c r="A7" s="2549" t="s">
        <v>1873</v>
      </c>
      <c r="B7" s="1958">
        <v>6697.91</v>
      </c>
      <c r="C7" s="1958">
        <f>[27]объемы!$Y$38</f>
        <v>5538.9802784767589</v>
      </c>
      <c r="D7" s="1958">
        <f>объемы!W38</f>
        <v>6329.630000000001</v>
      </c>
      <c r="E7" s="1958">
        <f>объемы!AN38</f>
        <v>6766</v>
      </c>
      <c r="F7" s="2072">
        <f>объемы!AV38</f>
        <v>6145</v>
      </c>
      <c r="G7" s="2652">
        <f>объемы!AX38</f>
        <v>6253.3816796622659</v>
      </c>
      <c r="H7" s="1867"/>
    </row>
    <row r="8" spans="1:8" x14ac:dyDescent="0.2">
      <c r="A8" s="1972" t="s">
        <v>103</v>
      </c>
      <c r="B8" s="1972"/>
      <c r="C8" s="1972"/>
      <c r="D8" s="1972"/>
      <c r="E8" s="1972"/>
      <c r="F8" s="1972"/>
      <c r="G8" s="2283"/>
      <c r="H8" s="1972"/>
    </row>
    <row r="9" spans="1:8" x14ac:dyDescent="0.2">
      <c r="A9" s="2092" t="s">
        <v>1867</v>
      </c>
      <c r="B9" s="1975">
        <v>2.1</v>
      </c>
      <c r="C9" s="1975">
        <v>2.4700000000000002</v>
      </c>
      <c r="D9" s="1975">
        <v>9.81</v>
      </c>
      <c r="E9" s="1975">
        <v>8.15</v>
      </c>
      <c r="F9" s="1975">
        <v>7.4</v>
      </c>
      <c r="G9" s="2653">
        <f>$G$7*G10/1000</f>
        <v>7.530516587388246</v>
      </c>
      <c r="H9" s="1975"/>
    </row>
    <row r="10" spans="1:8" x14ac:dyDescent="0.2">
      <c r="A10" s="2092" t="s">
        <v>1868</v>
      </c>
      <c r="B10" s="1978">
        <f>B9/B7*1000</f>
        <v>0.31353063866191094</v>
      </c>
      <c r="C10" s="2647">
        <v>0.43730000000000002</v>
      </c>
      <c r="D10" s="1978">
        <f>D9/D7*1000</f>
        <v>1.5498536249354224</v>
      </c>
      <c r="E10" s="1978">
        <f t="shared" ref="E10:F10" si="0">E9/E7*1000</f>
        <v>1.2045521726278452</v>
      </c>
      <c r="F10" s="1978">
        <f t="shared" si="0"/>
        <v>1.2042310821806348</v>
      </c>
      <c r="G10" s="2654">
        <f>F10</f>
        <v>1.2042310821806348</v>
      </c>
      <c r="H10" s="1975" t="s">
        <v>1916</v>
      </c>
    </row>
    <row r="11" spans="1:8" x14ac:dyDescent="0.2">
      <c r="A11" s="2092" t="s">
        <v>132</v>
      </c>
      <c r="B11" s="1975">
        <v>730000</v>
      </c>
      <c r="C11" s="1975">
        <v>79862</v>
      </c>
      <c r="D11" s="1975">
        <v>30814.48</v>
      </c>
      <c r="E11" s="1975">
        <v>26512.880000000001</v>
      </c>
      <c r="F11" s="1975">
        <v>28369</v>
      </c>
      <c r="G11" s="2653">
        <f>43000/1.2</f>
        <v>35833.333333333336</v>
      </c>
      <c r="H11" s="2660" t="s">
        <v>2093</v>
      </c>
    </row>
    <row r="12" spans="1:8" x14ac:dyDescent="0.2">
      <c r="A12" s="2092" t="s">
        <v>1869</v>
      </c>
      <c r="B12" s="1975">
        <v>152.94</v>
      </c>
      <c r="C12" s="1975">
        <v>197.49</v>
      </c>
      <c r="D12" s="1975">
        <v>302.29000000000002</v>
      </c>
      <c r="E12" s="1975">
        <v>216.08</v>
      </c>
      <c r="F12" s="1975">
        <v>209.98</v>
      </c>
      <c r="G12" s="2653">
        <f>G9*G11/1000</f>
        <v>269.84351104807882</v>
      </c>
      <c r="H12" s="1975"/>
    </row>
    <row r="13" spans="1:8" x14ac:dyDescent="0.2">
      <c r="A13" s="1972" t="s">
        <v>104</v>
      </c>
      <c r="B13" s="1972"/>
      <c r="C13" s="1972"/>
      <c r="D13" s="1972"/>
      <c r="E13" s="1972"/>
      <c r="F13" s="1972"/>
      <c r="G13" s="2283"/>
      <c r="H13" s="1972"/>
    </row>
    <row r="14" spans="1:8" x14ac:dyDescent="0.2">
      <c r="A14" s="2092" t="s">
        <v>1867</v>
      </c>
      <c r="B14" s="1975">
        <v>38.28</v>
      </c>
      <c r="C14" s="1975">
        <v>29.65</v>
      </c>
      <c r="D14" s="1975">
        <v>39.58</v>
      </c>
      <c r="E14" s="1975">
        <v>51.7</v>
      </c>
      <c r="F14" s="1975">
        <v>46.95</v>
      </c>
      <c r="G14" s="2653">
        <f>$G$7*G15/1000</f>
        <v>39.103209331514236</v>
      </c>
      <c r="H14" s="1975"/>
    </row>
    <row r="15" spans="1:8" x14ac:dyDescent="0.2">
      <c r="A15" s="2092" t="s">
        <v>1868</v>
      </c>
      <c r="B15" s="1978">
        <f>B14/B7*1000</f>
        <v>5.7152156418942628</v>
      </c>
      <c r="C15" s="1978">
        <v>5.2439</v>
      </c>
      <c r="D15" s="1978">
        <f>D14/D7*1000</f>
        <v>6.2531301197700326</v>
      </c>
      <c r="E15" s="1979">
        <f t="shared" ref="E15:F15" si="1">E14/E7*1000</f>
        <v>7.6411469110257171</v>
      </c>
      <c r="F15" s="1979">
        <f t="shared" si="1"/>
        <v>7.6403580146460541</v>
      </c>
      <c r="G15" s="2654">
        <f>D15</f>
        <v>6.2531301197700326</v>
      </c>
      <c r="H15" s="1975" t="s">
        <v>1928</v>
      </c>
    </row>
    <row r="16" spans="1:8" x14ac:dyDescent="0.2">
      <c r="A16" s="2092" t="s">
        <v>132</v>
      </c>
      <c r="B16" s="1975">
        <v>52680</v>
      </c>
      <c r="C16" s="1975">
        <v>43766.39</v>
      </c>
      <c r="D16" s="1975">
        <v>64136.69</v>
      </c>
      <c r="E16" s="1975">
        <v>73909.279999999999</v>
      </c>
      <c r="F16" s="1975">
        <v>79083</v>
      </c>
      <c r="G16" s="2653">
        <f>124410/1.2</f>
        <v>103675</v>
      </c>
      <c r="H16" s="1975" t="s">
        <v>2093</v>
      </c>
    </row>
    <row r="17" spans="1:8" x14ac:dyDescent="0.2">
      <c r="A17" s="2092" t="s">
        <v>1869</v>
      </c>
      <c r="B17" s="1975">
        <v>2016.39</v>
      </c>
      <c r="C17" s="1975">
        <v>1297.69</v>
      </c>
      <c r="D17" s="1975">
        <v>2538.5300000000002</v>
      </c>
      <c r="E17" s="1975">
        <v>3821.11</v>
      </c>
      <c r="F17" s="1975">
        <v>3713.33</v>
      </c>
      <c r="G17" s="2653">
        <f>G14*G16/1000</f>
        <v>4054.0252274447384</v>
      </c>
      <c r="H17" s="1975"/>
    </row>
    <row r="18" spans="1:8" x14ac:dyDescent="0.2">
      <c r="A18" s="1972" t="s">
        <v>109</v>
      </c>
      <c r="B18" s="1972"/>
      <c r="C18" s="1972"/>
      <c r="D18" s="1972"/>
      <c r="E18" s="1972"/>
      <c r="F18" s="1972"/>
      <c r="G18" s="2283"/>
      <c r="H18" s="1972"/>
    </row>
    <row r="19" spans="1:8" x14ac:dyDescent="0.2">
      <c r="A19" s="2092" t="s">
        <v>1867</v>
      </c>
      <c r="B19" s="1975">
        <v>179.1</v>
      </c>
      <c r="C19" s="1975">
        <v>208.73</v>
      </c>
      <c r="D19" s="1975">
        <v>325.39</v>
      </c>
      <c r="E19" s="1975">
        <v>465</v>
      </c>
      <c r="F19" s="1975">
        <v>422.32</v>
      </c>
      <c r="G19" s="2653">
        <f>$G$7*G20/1000</f>
        <v>321.47026994394685</v>
      </c>
      <c r="H19" s="1975"/>
    </row>
    <row r="20" spans="1:8" x14ac:dyDescent="0.2">
      <c r="A20" s="2092" t="s">
        <v>1868</v>
      </c>
      <c r="B20" s="1978">
        <f>B19/B7*1000</f>
        <v>26.739684468737263</v>
      </c>
      <c r="C20" s="1978">
        <v>36.914900000000003</v>
      </c>
      <c r="D20" s="1978">
        <f>D19/D7*1000</f>
        <v>51.407428238301442</v>
      </c>
      <c r="E20" s="1978">
        <f t="shared" ref="E20:F20" si="2">E19/E7*1000</f>
        <v>68.725982855453736</v>
      </c>
      <c r="F20" s="1978">
        <f t="shared" si="2"/>
        <v>68.725793327908875</v>
      </c>
      <c r="G20" s="2654">
        <f>D20</f>
        <v>51.407428238301442</v>
      </c>
      <c r="H20" s="1975"/>
    </row>
    <row r="21" spans="1:8" x14ac:dyDescent="0.2">
      <c r="A21" s="2092" t="s">
        <v>132</v>
      </c>
      <c r="B21" s="1975">
        <v>12320</v>
      </c>
      <c r="C21" s="1975">
        <v>16644.07</v>
      </c>
      <c r="D21" s="1975">
        <v>15095.88</v>
      </c>
      <c r="E21" s="1975">
        <v>17754.240000000002</v>
      </c>
      <c r="F21" s="1975">
        <v>18997</v>
      </c>
      <c r="G21" s="2653">
        <f>21770/1.2</f>
        <v>18141.666666666668</v>
      </c>
      <c r="H21" s="2660" t="s">
        <v>2094</v>
      </c>
    </row>
    <row r="22" spans="1:8" x14ac:dyDescent="0.2">
      <c r="A22" s="2092" t="s">
        <v>1869</v>
      </c>
      <c r="B22" s="1975">
        <v>2207.11</v>
      </c>
      <c r="C22" s="1975">
        <v>3474.09</v>
      </c>
      <c r="D22" s="1975">
        <v>4912.05</v>
      </c>
      <c r="E22" s="1975">
        <v>8255.7199999999993</v>
      </c>
      <c r="F22" s="1975">
        <v>8022.85</v>
      </c>
      <c r="G22" s="2653">
        <f>G19*G21/1000</f>
        <v>5832.006480566436</v>
      </c>
      <c r="H22" s="1975"/>
    </row>
    <row r="23" spans="1:8" x14ac:dyDescent="0.2">
      <c r="A23" s="1972" t="s">
        <v>105</v>
      </c>
      <c r="B23" s="1972"/>
      <c r="C23" s="1972"/>
      <c r="D23" s="1972"/>
      <c r="E23" s="1972"/>
      <c r="F23" s="1972"/>
      <c r="G23" s="2283"/>
      <c r="H23" s="1972"/>
    </row>
    <row r="24" spans="1:8" x14ac:dyDescent="0.2">
      <c r="A24" s="2092" t="s">
        <v>1867</v>
      </c>
      <c r="B24" s="1975">
        <v>8.52</v>
      </c>
      <c r="C24" s="1975">
        <v>13.08</v>
      </c>
      <c r="D24" s="1975">
        <v>16.07</v>
      </c>
      <c r="E24" s="1975">
        <v>18</v>
      </c>
      <c r="F24" s="1975">
        <v>16.350000000000001</v>
      </c>
      <c r="G24" s="2653">
        <f>$G$7*G25/1000</f>
        <v>16.636250404067507</v>
      </c>
      <c r="H24" s="1975"/>
    </row>
    <row r="25" spans="1:8" x14ac:dyDescent="0.2">
      <c r="A25" s="2092" t="s">
        <v>1868</v>
      </c>
      <c r="B25" s="1978">
        <f>B24/B7*1000</f>
        <v>1.2720385911426102</v>
      </c>
      <c r="C25" s="2647">
        <v>2.3138000000000001</v>
      </c>
      <c r="D25" s="1978">
        <f>D24/D7*1000</f>
        <v>2.5388529819278531</v>
      </c>
      <c r="E25" s="1978">
        <f t="shared" ref="E25:F25" si="3">E24/E7*1000</f>
        <v>2.6603606266627251</v>
      </c>
      <c r="F25" s="1978">
        <f t="shared" si="3"/>
        <v>2.6606997558991052</v>
      </c>
      <c r="G25" s="2654">
        <f>E25</f>
        <v>2.6603606266627251</v>
      </c>
      <c r="H25" s="1975"/>
    </row>
    <row r="26" spans="1:8" x14ac:dyDescent="0.2">
      <c r="A26" s="2092" t="s">
        <v>132</v>
      </c>
      <c r="B26" s="1975">
        <v>20560</v>
      </c>
      <c r="C26" s="1975">
        <v>28813.56</v>
      </c>
      <c r="D26" s="1975">
        <v>29577.47</v>
      </c>
      <c r="E26" s="1975">
        <v>36017.22</v>
      </c>
      <c r="F26" s="1975">
        <v>38538</v>
      </c>
      <c r="G26" s="2826">
        <f>49770/1.2</f>
        <v>41475</v>
      </c>
      <c r="H26" s="2660" t="s">
        <v>2093</v>
      </c>
    </row>
    <row r="27" spans="1:8" x14ac:dyDescent="0.2">
      <c r="A27" s="2092" t="s">
        <v>1869</v>
      </c>
      <c r="B27" s="1975">
        <v>172.54</v>
      </c>
      <c r="C27" s="1975">
        <v>376.96</v>
      </c>
      <c r="D27" s="1975">
        <v>475.31</v>
      </c>
      <c r="E27" s="1975">
        <v>648.30999999999995</v>
      </c>
      <c r="F27" s="1975">
        <v>630.02</v>
      </c>
      <c r="G27" s="2653">
        <f>G24*G26/1000</f>
        <v>689.98848550869991</v>
      </c>
      <c r="H27" s="1975"/>
    </row>
    <row r="28" spans="1:8" x14ac:dyDescent="0.2">
      <c r="A28" s="1972" t="s">
        <v>106</v>
      </c>
      <c r="B28" s="1972"/>
      <c r="C28" s="1972"/>
      <c r="D28" s="1972"/>
      <c r="E28" s="1972"/>
      <c r="F28" s="1972"/>
      <c r="G28" s="2283"/>
      <c r="H28" s="1972"/>
    </row>
    <row r="29" spans="1:8" x14ac:dyDescent="0.2">
      <c r="A29" s="2092" t="s">
        <v>1867</v>
      </c>
      <c r="B29" s="1975">
        <v>9.1300000000000008</v>
      </c>
      <c r="C29" s="1975">
        <v>17.010000000000002</v>
      </c>
      <c r="D29" s="1975">
        <v>20.25</v>
      </c>
      <c r="E29" s="1975">
        <v>29.8</v>
      </c>
      <c r="F29" s="1975">
        <v>27.06</v>
      </c>
      <c r="G29" s="2653">
        <f>$G$7*G30/1000</f>
        <v>27.542236780067327</v>
      </c>
      <c r="H29" s="1975"/>
    </row>
    <row r="30" spans="1:8" x14ac:dyDescent="0.2">
      <c r="A30" s="2092" t="s">
        <v>1868</v>
      </c>
      <c r="B30" s="1978">
        <f>B29/B7*1000</f>
        <v>1.3631117766586891</v>
      </c>
      <c r="C30" s="1978">
        <v>3.008</v>
      </c>
      <c r="D30" s="1978">
        <f>D29/D7*1000</f>
        <v>3.1992391340410098</v>
      </c>
      <c r="E30" s="1978">
        <f t="shared" ref="E30:F30" si="4">E29/E7*1000</f>
        <v>4.4043748152527344</v>
      </c>
      <c r="F30" s="1978">
        <f t="shared" si="4"/>
        <v>4.4035801464605369</v>
      </c>
      <c r="G30" s="2653">
        <f>E30</f>
        <v>4.4043748152527344</v>
      </c>
      <c r="H30" s="1975"/>
    </row>
    <row r="31" spans="1:8" x14ac:dyDescent="0.2">
      <c r="A31" s="2092" t="s">
        <v>132</v>
      </c>
      <c r="B31" s="1975">
        <v>18830</v>
      </c>
      <c r="C31" s="1975">
        <v>14833.9</v>
      </c>
      <c r="D31" s="1975">
        <v>18097.28</v>
      </c>
      <c r="E31" s="1975">
        <v>22881.21</v>
      </c>
      <c r="F31" s="1975">
        <v>24483</v>
      </c>
      <c r="G31" s="2653">
        <f>32100/1.2</f>
        <v>26750</v>
      </c>
      <c r="H31" s="1975" t="s">
        <v>1895</v>
      </c>
    </row>
    <row r="32" spans="1:8" x14ac:dyDescent="0.2">
      <c r="A32" s="2092" t="s">
        <v>1869</v>
      </c>
      <c r="B32" s="1975">
        <v>171.83</v>
      </c>
      <c r="C32" s="1975">
        <v>252.3</v>
      </c>
      <c r="D32" s="1975">
        <v>366.47</v>
      </c>
      <c r="E32" s="1975">
        <v>681.86</v>
      </c>
      <c r="F32" s="1975">
        <v>662.63</v>
      </c>
      <c r="G32" s="2653">
        <f>G29*G31/1000</f>
        <v>736.75483386680105</v>
      </c>
      <c r="H32" s="1975"/>
    </row>
    <row r="33" spans="1:8" x14ac:dyDescent="0.2">
      <c r="A33" s="1972" t="s">
        <v>902</v>
      </c>
      <c r="B33" s="1972"/>
      <c r="C33" s="1972"/>
      <c r="D33" s="1972"/>
      <c r="E33" s="1972"/>
      <c r="F33" s="1972"/>
      <c r="G33" s="2283"/>
      <c r="H33" s="1972"/>
    </row>
    <row r="34" spans="1:8" x14ac:dyDescent="0.2">
      <c r="A34" s="2092" t="s">
        <v>1867</v>
      </c>
      <c r="B34" s="1975">
        <v>0.38</v>
      </c>
      <c r="C34" s="1975">
        <v>0.31</v>
      </c>
      <c r="D34" s="1975">
        <v>0.4</v>
      </c>
      <c r="E34" s="1975">
        <v>0.48</v>
      </c>
      <c r="F34" s="1975">
        <v>0.43</v>
      </c>
      <c r="G34" s="2653">
        <f>$G$7*G35/1000</f>
        <v>0.43758407196985744</v>
      </c>
      <c r="H34" s="1975"/>
    </row>
    <row r="35" spans="1:8" x14ac:dyDescent="0.2">
      <c r="A35" s="2092" t="s">
        <v>1868</v>
      </c>
      <c r="B35" s="1979">
        <f>B34/B7*1000</f>
        <v>5.6734115567393412E-2</v>
      </c>
      <c r="C35" s="1979">
        <v>5.4899999999999997E-2</v>
      </c>
      <c r="D35" s="1979">
        <f>D34/D7*1000</f>
        <v>6.3194847092168105E-2</v>
      </c>
      <c r="E35" s="1979">
        <f t="shared" ref="E35:F35" si="5">E34/E7*1000</f>
        <v>7.0942950044339342E-2</v>
      </c>
      <c r="F35" s="1979">
        <f t="shared" si="5"/>
        <v>6.9975589910496336E-2</v>
      </c>
      <c r="G35" s="2653">
        <f>F35</f>
        <v>6.9975589910496336E-2</v>
      </c>
      <c r="H35" s="1975"/>
    </row>
    <row r="36" spans="1:8" x14ac:dyDescent="0.2">
      <c r="A36" s="2092" t="s">
        <v>132</v>
      </c>
      <c r="B36" s="1975">
        <v>274590</v>
      </c>
      <c r="C36" s="1975">
        <v>308480.64000000001</v>
      </c>
      <c r="D36" s="1975">
        <v>327500</v>
      </c>
      <c r="E36" s="1975">
        <v>286000</v>
      </c>
      <c r="F36" s="1975">
        <v>306020</v>
      </c>
      <c r="G36" s="2653">
        <f>G76*1000</f>
        <v>340090</v>
      </c>
      <c r="H36" s="1975" t="s">
        <v>1895</v>
      </c>
    </row>
    <row r="37" spans="1:8" x14ac:dyDescent="0.2">
      <c r="A37" s="2092" t="s">
        <v>1869</v>
      </c>
      <c r="B37" s="1975">
        <v>102.97</v>
      </c>
      <c r="C37" s="1975">
        <v>95.76</v>
      </c>
      <c r="D37" s="1975">
        <v>131</v>
      </c>
      <c r="E37" s="1975">
        <v>135.85</v>
      </c>
      <c r="F37" s="1975">
        <v>132.02000000000001</v>
      </c>
      <c r="G37" s="2653">
        <f>G34*G36/1000</f>
        <v>148.81796703622879</v>
      </c>
      <c r="H37" s="1975"/>
    </row>
    <row r="38" spans="1:8" x14ac:dyDescent="0.2">
      <c r="A38" s="1972" t="s">
        <v>903</v>
      </c>
      <c r="B38" s="1972"/>
      <c r="C38" s="1972"/>
      <c r="D38" s="1972"/>
      <c r="E38" s="1972"/>
      <c r="F38" s="1972"/>
      <c r="G38" s="2283"/>
      <c r="H38" s="1972"/>
    </row>
    <row r="39" spans="1:8" x14ac:dyDescent="0.2">
      <c r="A39" s="2092" t="s">
        <v>1867</v>
      </c>
      <c r="B39" s="1975">
        <v>51</v>
      </c>
      <c r="C39" s="1975">
        <v>65.48</v>
      </c>
      <c r="D39" s="1975">
        <v>0</v>
      </c>
      <c r="E39" s="1975">
        <v>0</v>
      </c>
      <c r="F39" s="1975">
        <v>0</v>
      </c>
      <c r="G39" s="2655">
        <f>$G$7*G40</f>
        <v>0</v>
      </c>
      <c r="H39" s="1975"/>
    </row>
    <row r="40" spans="1:8" x14ac:dyDescent="0.2">
      <c r="A40" s="2092" t="s">
        <v>1868</v>
      </c>
      <c r="B40" s="1978">
        <f>B39/B7*1000</f>
        <v>7.6143155103606945</v>
      </c>
      <c r="C40" s="1979">
        <v>11.580299999999999</v>
      </c>
      <c r="D40" s="1975">
        <v>0</v>
      </c>
      <c r="E40" s="1975">
        <v>0</v>
      </c>
      <c r="F40" s="1975">
        <v>0</v>
      </c>
      <c r="G40" s="2655">
        <v>0</v>
      </c>
      <c r="H40" s="1975"/>
    </row>
    <row r="41" spans="1:8" x14ac:dyDescent="0.2">
      <c r="A41" s="2092" t="s">
        <v>132</v>
      </c>
      <c r="B41" s="1975">
        <v>15040</v>
      </c>
      <c r="C41" s="1975">
        <v>16212.97</v>
      </c>
      <c r="D41" s="1975">
        <v>0</v>
      </c>
      <c r="E41" s="1975">
        <v>0</v>
      </c>
      <c r="F41" s="1975">
        <v>0</v>
      </c>
      <c r="G41" s="2655">
        <v>0</v>
      </c>
      <c r="H41" s="1975"/>
    </row>
    <row r="42" spans="1:8" x14ac:dyDescent="0.2">
      <c r="A42" s="2092" t="s">
        <v>1869</v>
      </c>
      <c r="B42" s="1975">
        <v>767.15</v>
      </c>
      <c r="C42" s="1975">
        <v>1061.5999999999999</v>
      </c>
      <c r="D42" s="1975">
        <v>0</v>
      </c>
      <c r="E42" s="1975">
        <v>0</v>
      </c>
      <c r="F42" s="1975">
        <v>0</v>
      </c>
      <c r="G42" s="2655">
        <f>G39*G41/1000</f>
        <v>0</v>
      </c>
      <c r="H42" s="1975"/>
    </row>
    <row r="43" spans="1:8" s="375" customFormat="1" ht="38.25" x14ac:dyDescent="0.2">
      <c r="A43" s="2550" t="s">
        <v>108</v>
      </c>
      <c r="B43" s="2550">
        <v>116.22</v>
      </c>
      <c r="C43" s="2550">
        <v>229.53</v>
      </c>
      <c r="D43" s="2550">
        <v>151.71</v>
      </c>
      <c r="E43" s="2550">
        <v>293.27</v>
      </c>
      <c r="F43" s="2550">
        <v>313.8</v>
      </c>
      <c r="G43" s="2656">
        <f>(D43*1.002+E43)/2*1.062*1.059</f>
        <v>250.39578028518</v>
      </c>
      <c r="H43" s="2569" t="s">
        <v>1896</v>
      </c>
    </row>
    <row r="44" spans="1:8" s="2552" customFormat="1" x14ac:dyDescent="0.2">
      <c r="A44" s="2551" t="s">
        <v>90</v>
      </c>
      <c r="B44" s="2551">
        <f t="shared" ref="B44" si="6">B12+B17+B22+B27+B32+B37+B42+B43</f>
        <v>5707.1500000000005</v>
      </c>
      <c r="C44" s="2551">
        <f>C12+C17+C22+C27+C32+C37+C42+C43</f>
        <v>6985.420000000001</v>
      </c>
      <c r="D44" s="2551">
        <f t="shared" ref="D44:F44" si="7">D12+D17+D22+D27+D32+D37+D42+D43</f>
        <v>8877.3599999999988</v>
      </c>
      <c r="E44" s="2551">
        <f t="shared" si="7"/>
        <v>14052.2</v>
      </c>
      <c r="F44" s="2551">
        <f t="shared" si="7"/>
        <v>13684.63</v>
      </c>
      <c r="G44" s="2657">
        <f>G12+G17+G22+G27+G32+G37+G43</f>
        <v>11981.832285756163</v>
      </c>
      <c r="H44" s="2551"/>
    </row>
    <row r="45" spans="1:8" s="2650" customFormat="1" ht="21" customHeight="1" x14ac:dyDescent="0.2">
      <c r="A45" s="2547" t="s">
        <v>129</v>
      </c>
      <c r="B45" s="2649">
        <v>3209.95</v>
      </c>
      <c r="C45" s="2649">
        <f>объемы!W57</f>
        <v>4217.37</v>
      </c>
      <c r="D45" s="2649">
        <f>объемы!W57</f>
        <v>4217.37</v>
      </c>
      <c r="E45" s="2649">
        <f>объемы!AN57</f>
        <v>4359.4799999999996</v>
      </c>
      <c r="F45" s="2649">
        <v>3248.93</v>
      </c>
      <c r="G45" s="2658">
        <f>объемы!AX57</f>
        <v>3020.0036431580988</v>
      </c>
      <c r="H45" s="2548"/>
    </row>
    <row r="46" spans="1:8" x14ac:dyDescent="0.2">
      <c r="A46" s="1972" t="s">
        <v>103</v>
      </c>
      <c r="B46" s="1972"/>
      <c r="C46" s="1972"/>
      <c r="D46" s="1972"/>
      <c r="E46" s="1972"/>
      <c r="F46" s="1972"/>
      <c r="G46" s="2283"/>
      <c r="H46" s="1972"/>
    </row>
    <row r="47" spans="1:8" x14ac:dyDescent="0.2">
      <c r="A47" s="2092" t="s">
        <v>1867</v>
      </c>
      <c r="B47" s="1975">
        <v>0</v>
      </c>
      <c r="C47" s="1975">
        <v>0.78412999999999999</v>
      </c>
      <c r="D47" s="1975">
        <v>0</v>
      </c>
      <c r="E47" s="1975">
        <v>0</v>
      </c>
      <c r="F47" s="1975">
        <v>0</v>
      </c>
      <c r="G47" s="2655">
        <v>0</v>
      </c>
      <c r="H47" s="1975"/>
    </row>
    <row r="48" spans="1:8" x14ac:dyDescent="0.2">
      <c r="A48" s="2092" t="s">
        <v>1868</v>
      </c>
      <c r="B48" s="1975">
        <v>0</v>
      </c>
      <c r="C48" s="1975">
        <v>0.2276</v>
      </c>
      <c r="D48" s="1975">
        <v>0</v>
      </c>
      <c r="E48" s="1975">
        <v>0</v>
      </c>
      <c r="F48" s="1975">
        <v>0</v>
      </c>
      <c r="G48" s="2655">
        <v>0</v>
      </c>
      <c r="H48" s="1975"/>
    </row>
    <row r="49" spans="1:8" x14ac:dyDescent="0.2">
      <c r="A49" s="2092" t="s">
        <v>132</v>
      </c>
      <c r="B49" s="1975">
        <v>0</v>
      </c>
      <c r="C49" s="1975">
        <v>79862</v>
      </c>
      <c r="D49" s="1975">
        <v>0</v>
      </c>
      <c r="E49" s="1975">
        <v>0</v>
      </c>
      <c r="F49" s="1975">
        <v>0</v>
      </c>
      <c r="G49" s="2655">
        <v>0</v>
      </c>
      <c r="H49" s="1975"/>
    </row>
    <row r="50" spans="1:8" x14ac:dyDescent="0.2">
      <c r="A50" s="2092" t="s">
        <v>1869</v>
      </c>
      <c r="B50" s="1975">
        <v>0</v>
      </c>
      <c r="C50" s="1975">
        <v>62.62</v>
      </c>
      <c r="D50" s="1975">
        <v>0</v>
      </c>
      <c r="E50" s="1975">
        <v>0</v>
      </c>
      <c r="F50" s="1975">
        <v>0</v>
      </c>
      <c r="G50" s="2655">
        <v>0</v>
      </c>
      <c r="H50" s="1975"/>
    </row>
    <row r="51" spans="1:8" x14ac:dyDescent="0.2">
      <c r="A51" s="1972" t="s">
        <v>104</v>
      </c>
      <c r="B51" s="1972"/>
      <c r="C51" s="1972"/>
      <c r="D51" s="1972"/>
      <c r="E51" s="1972"/>
      <c r="F51" s="1972"/>
      <c r="G51" s="2283"/>
      <c r="H51" s="1972"/>
    </row>
    <row r="52" spans="1:8" x14ac:dyDescent="0.2">
      <c r="A52" s="2092" t="s">
        <v>1867</v>
      </c>
      <c r="B52" s="1975">
        <v>6.9</v>
      </c>
      <c r="C52" s="1975">
        <v>5.21</v>
      </c>
      <c r="D52" s="1975">
        <v>10.85</v>
      </c>
      <c r="E52" s="1975">
        <v>10.95</v>
      </c>
      <c r="F52" s="1975">
        <v>11.13</v>
      </c>
      <c r="G52" s="2659">
        <f>G45*G53/1000</f>
        <v>10.343512477816487</v>
      </c>
      <c r="H52" s="1975"/>
    </row>
    <row r="53" spans="1:8" x14ac:dyDescent="0.2">
      <c r="A53" s="2092" t="s">
        <v>1868</v>
      </c>
      <c r="B53" s="1975">
        <v>2.1339999999999999</v>
      </c>
      <c r="C53" s="1979">
        <v>1.5136000000000001</v>
      </c>
      <c r="D53" s="1975">
        <v>3.544</v>
      </c>
      <c r="E53" s="1975">
        <v>3.4249999999999998</v>
      </c>
      <c r="F53" s="1979">
        <v>3.4247000000000001</v>
      </c>
      <c r="G53" s="2655">
        <f>E53</f>
        <v>3.4249999999999998</v>
      </c>
      <c r="H53" s="1975"/>
    </row>
    <row r="54" spans="1:8" x14ac:dyDescent="0.2">
      <c r="A54" s="2092" t="s">
        <v>132</v>
      </c>
      <c r="B54" s="1975">
        <v>49930</v>
      </c>
      <c r="C54" s="1975">
        <v>43766.39</v>
      </c>
      <c r="D54" s="1975">
        <v>57860.83</v>
      </c>
      <c r="E54" s="1975">
        <v>69705.02</v>
      </c>
      <c r="F54" s="1975">
        <v>74584</v>
      </c>
      <c r="G54" s="2653">
        <f>G16</f>
        <v>103675</v>
      </c>
      <c r="H54" s="1975" t="s">
        <v>1894</v>
      </c>
    </row>
    <row r="55" spans="1:8" x14ac:dyDescent="0.2">
      <c r="A55" s="2092" t="s">
        <v>1869</v>
      </c>
      <c r="B55" s="1975">
        <v>341.99</v>
      </c>
      <c r="C55" s="1975">
        <v>228.22</v>
      </c>
      <c r="D55" s="1975">
        <v>627.79</v>
      </c>
      <c r="E55" s="1975">
        <v>763.27</v>
      </c>
      <c r="F55" s="1975">
        <v>829.88</v>
      </c>
      <c r="G55" s="2654">
        <f>G52*G54/1000</f>
        <v>1072.3636561376243</v>
      </c>
      <c r="H55" s="1975"/>
    </row>
    <row r="56" spans="1:8" x14ac:dyDescent="0.2">
      <c r="A56" s="1972" t="s">
        <v>111</v>
      </c>
      <c r="B56" s="1972"/>
      <c r="C56" s="1972"/>
      <c r="D56" s="1972"/>
      <c r="E56" s="1972"/>
      <c r="F56" s="1972"/>
      <c r="G56" s="2283"/>
      <c r="H56" s="1972"/>
    </row>
    <row r="57" spans="1:8" x14ac:dyDescent="0.2">
      <c r="A57" s="2092" t="s">
        <v>1867</v>
      </c>
      <c r="B57" s="1975">
        <v>0.05</v>
      </c>
      <c r="C57" s="1978">
        <v>1.9599999999999999E-2</v>
      </c>
      <c r="D57" s="1975">
        <v>0</v>
      </c>
      <c r="E57" s="1975">
        <v>0.03</v>
      </c>
      <c r="F57" s="1975">
        <v>0.03</v>
      </c>
      <c r="G57" s="2659">
        <f>G45*G58/1000</f>
        <v>1.7214020766001162E-2</v>
      </c>
      <c r="H57" s="1975"/>
    </row>
    <row r="58" spans="1:8" x14ac:dyDescent="0.2">
      <c r="A58" s="2092" t="s">
        <v>1868</v>
      </c>
      <c r="B58" s="1975">
        <v>1.6E-2</v>
      </c>
      <c r="C58" s="1975">
        <v>5.7000000000000002E-3</v>
      </c>
      <c r="D58" s="1975">
        <v>0</v>
      </c>
      <c r="E58" s="1975">
        <v>8.9999999999999993E-3</v>
      </c>
      <c r="F58" s="1975">
        <v>9.4000000000000004E-3</v>
      </c>
      <c r="G58" s="2655">
        <f>C58</f>
        <v>5.7000000000000002E-3</v>
      </c>
      <c r="H58" s="1975"/>
    </row>
    <row r="59" spans="1:8" x14ac:dyDescent="0.2">
      <c r="A59" s="2092" t="s">
        <v>132</v>
      </c>
      <c r="B59" s="1975">
        <v>56000</v>
      </c>
      <c r="C59" s="1975">
        <v>14833.9</v>
      </c>
      <c r="D59" s="1975">
        <v>0</v>
      </c>
      <c r="E59" s="1975">
        <v>66666.67</v>
      </c>
      <c r="F59" s="1975">
        <v>71333</v>
      </c>
      <c r="G59" s="2655">
        <f>F59</f>
        <v>71333</v>
      </c>
      <c r="H59" s="1975"/>
    </row>
    <row r="60" spans="1:8" x14ac:dyDescent="0.2">
      <c r="A60" s="2092" t="s">
        <v>1869</v>
      </c>
      <c r="B60" s="1975">
        <v>2.8</v>
      </c>
      <c r="C60" s="1975">
        <v>0.28999999999999998</v>
      </c>
      <c r="D60" s="1975">
        <v>0</v>
      </c>
      <c r="E60" s="1975">
        <v>2</v>
      </c>
      <c r="F60" s="1975">
        <v>2.17</v>
      </c>
      <c r="G60" s="2653">
        <f>G57*G59/1000</f>
        <v>1.2279277433011608</v>
      </c>
      <c r="H60" s="1975"/>
    </row>
    <row r="61" spans="1:8" s="375" customFormat="1" ht="38.25" x14ac:dyDescent="0.2">
      <c r="A61" s="2446" t="s">
        <v>108</v>
      </c>
      <c r="B61" s="2550">
        <v>12.23</v>
      </c>
      <c r="C61" s="2446">
        <v>1.25</v>
      </c>
      <c r="D61" s="2446">
        <v>24.27</v>
      </c>
      <c r="E61" s="2446">
        <v>41.42</v>
      </c>
      <c r="F61" s="2446">
        <v>44.32</v>
      </c>
      <c r="G61" s="2656">
        <f>(D61*1.002+E61)/2*1.062*1.059</f>
        <v>36.966687459659994</v>
      </c>
      <c r="H61" s="2569" t="s">
        <v>1896</v>
      </c>
    </row>
    <row r="62" spans="1:8" s="2552" customFormat="1" x14ac:dyDescent="0.2">
      <c r="A62" s="2551" t="s">
        <v>94</v>
      </c>
      <c r="B62" s="2551">
        <f t="shared" ref="B62" si="8">B50+B55+B60+B61</f>
        <v>357.02000000000004</v>
      </c>
      <c r="C62" s="2551">
        <f>C50+C55+C60+C61</f>
        <v>292.38</v>
      </c>
      <c r="D62" s="2551">
        <f t="shared" ref="D62:G62" si="9">D50+D55+D60+D61</f>
        <v>652.05999999999995</v>
      </c>
      <c r="E62" s="2551">
        <f t="shared" si="9"/>
        <v>806.68999999999994</v>
      </c>
      <c r="F62" s="2551">
        <f t="shared" si="9"/>
        <v>876.37</v>
      </c>
      <c r="G62" s="2657">
        <f t="shared" si="9"/>
        <v>1110.5582713405854</v>
      </c>
      <c r="H62" s="2551"/>
    </row>
    <row r="67" spans="1:7" x14ac:dyDescent="0.2">
      <c r="G67" s="5" t="s">
        <v>1877</v>
      </c>
    </row>
    <row r="68" spans="1:7" s="375" customFormat="1" ht="25.5" x14ac:dyDescent="0.2">
      <c r="A68" s="375" t="s">
        <v>1874</v>
      </c>
      <c r="C68" s="2539">
        <v>42720</v>
      </c>
      <c r="D68" s="375" t="s">
        <v>1875</v>
      </c>
      <c r="E68" s="2490" t="s">
        <v>1633</v>
      </c>
      <c r="F68" s="2093" t="s">
        <v>1876</v>
      </c>
      <c r="G68" s="2497">
        <f>27000/1.18</f>
        <v>22881.355932203391</v>
      </c>
    </row>
    <row r="69" spans="1:7" s="375" customFormat="1" ht="25.5" x14ac:dyDescent="0.2">
      <c r="A69" s="375" t="s">
        <v>1878</v>
      </c>
      <c r="C69" s="2539">
        <v>42730</v>
      </c>
      <c r="D69" s="2490" t="s">
        <v>1879</v>
      </c>
      <c r="E69" s="2490" t="s">
        <v>1880</v>
      </c>
      <c r="F69" s="2093" t="s">
        <v>1876</v>
      </c>
      <c r="G69" s="2497">
        <f>70800/1.18</f>
        <v>60000</v>
      </c>
    </row>
    <row r="70" spans="1:7" s="375" customFormat="1" x14ac:dyDescent="0.2">
      <c r="C70" s="2539">
        <v>43109</v>
      </c>
      <c r="D70" s="2490" t="s">
        <v>1890</v>
      </c>
      <c r="E70" s="2490"/>
      <c r="F70" s="2093"/>
      <c r="G70" s="2541">
        <f>107050/1.18</f>
        <v>90720.338983050853</v>
      </c>
    </row>
    <row r="71" spans="1:7" x14ac:dyDescent="0.2">
      <c r="A71" s="5" t="s">
        <v>1881</v>
      </c>
      <c r="C71" s="2538">
        <v>42718</v>
      </c>
      <c r="D71" s="5" t="s">
        <v>1882</v>
      </c>
      <c r="E71" s="5" t="s">
        <v>1883</v>
      </c>
      <c r="F71" s="2426" t="s">
        <v>1876</v>
      </c>
      <c r="G71" s="139">
        <f>31270/1.18</f>
        <v>26500</v>
      </c>
    </row>
    <row r="72" spans="1:7" x14ac:dyDescent="0.2">
      <c r="A72" s="375" t="s">
        <v>1874</v>
      </c>
      <c r="B72" s="375"/>
      <c r="C72" s="2538">
        <v>42710</v>
      </c>
      <c r="D72" s="5" t="s">
        <v>1884</v>
      </c>
      <c r="E72" s="5" t="s">
        <v>1885</v>
      </c>
      <c r="F72" s="2426" t="s">
        <v>1876</v>
      </c>
      <c r="G72" s="139">
        <f>20950/1.18</f>
        <v>17754.237288135595</v>
      </c>
    </row>
    <row r="73" spans="1:7" x14ac:dyDescent="0.2">
      <c r="A73" s="5" t="s">
        <v>1886</v>
      </c>
      <c r="C73" s="2538">
        <v>42705</v>
      </c>
      <c r="D73" s="5" t="s">
        <v>1887</v>
      </c>
      <c r="E73" s="5" t="s">
        <v>1888</v>
      </c>
      <c r="F73" s="2426" t="s">
        <v>1876</v>
      </c>
      <c r="G73" s="139">
        <f>42500/1.18</f>
        <v>36016.949152542373</v>
      </c>
    </row>
    <row r="74" spans="1:7" ht="25.5" x14ac:dyDescent="0.2">
      <c r="A74" s="375" t="s">
        <v>1874</v>
      </c>
      <c r="B74" s="375"/>
      <c r="C74" s="2538">
        <v>43195</v>
      </c>
      <c r="D74" s="2540">
        <v>329002069180007</v>
      </c>
      <c r="E74" s="2490" t="s">
        <v>1633</v>
      </c>
      <c r="F74" s="2426" t="s">
        <v>1876</v>
      </c>
      <c r="G74" s="2542">
        <v>26000</v>
      </c>
    </row>
    <row r="75" spans="1:7" x14ac:dyDescent="0.2">
      <c r="E75" s="5" t="s">
        <v>902</v>
      </c>
      <c r="F75" s="2426" t="s">
        <v>1889</v>
      </c>
      <c r="G75" s="2542">
        <v>335.45</v>
      </c>
    </row>
    <row r="76" spans="1:7" x14ac:dyDescent="0.2">
      <c r="F76" s="2426" t="s">
        <v>1889</v>
      </c>
      <c r="G76" s="2542">
        <v>340.09</v>
      </c>
    </row>
    <row r="77" spans="1:7" x14ac:dyDescent="0.2">
      <c r="A77" s="5" t="s">
        <v>1891</v>
      </c>
      <c r="C77" s="2538">
        <v>42727</v>
      </c>
      <c r="D77" s="5" t="s">
        <v>1892</v>
      </c>
      <c r="E77" s="5" t="s">
        <v>1893</v>
      </c>
      <c r="F77" s="5" t="s">
        <v>1889</v>
      </c>
      <c r="G77" s="139">
        <v>194.6</v>
      </c>
    </row>
    <row r="78" spans="1:7" x14ac:dyDescent="0.2">
      <c r="G78" s="139"/>
    </row>
    <row r="79" spans="1:7" x14ac:dyDescent="0.2">
      <c r="G79" s="139"/>
    </row>
    <row r="80" spans="1:7" x14ac:dyDescent="0.2">
      <c r="G80" s="139"/>
    </row>
    <row r="81" spans="7:7" x14ac:dyDescent="0.2">
      <c r="G81" s="139"/>
    </row>
    <row r="82" spans="7:7" x14ac:dyDescent="0.2">
      <c r="G82" s="139"/>
    </row>
    <row r="83" spans="7:7" x14ac:dyDescent="0.2">
      <c r="G83" s="139"/>
    </row>
    <row r="84" spans="7:7" x14ac:dyDescent="0.2">
      <c r="G84" s="139"/>
    </row>
    <row r="85" spans="7:7" x14ac:dyDescent="0.2">
      <c r="G85" s="139"/>
    </row>
    <row r="86" spans="7:7" x14ac:dyDescent="0.2">
      <c r="G86" s="139"/>
    </row>
    <row r="87" spans="7:7" x14ac:dyDescent="0.2">
      <c r="G87" s="139"/>
    </row>
    <row r="88" spans="7:7" x14ac:dyDescent="0.2">
      <c r="G88" s="139"/>
    </row>
    <row r="89" spans="7:7" x14ac:dyDescent="0.2">
      <c r="G89" s="139"/>
    </row>
  </sheetData>
  <mergeCells count="11">
    <mergeCell ref="H4:H6"/>
    <mergeCell ref="A2:H2"/>
    <mergeCell ref="F4:G4"/>
    <mergeCell ref="F5:F6"/>
    <mergeCell ref="G5:G6"/>
    <mergeCell ref="A4:A6"/>
    <mergeCell ref="C4:D4"/>
    <mergeCell ref="C5:C6"/>
    <mergeCell ref="D5:D6"/>
    <mergeCell ref="E5:E6"/>
    <mergeCell ref="B5:B6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337" customWidth="1"/>
    <col min="2" max="2" width="24.140625" style="1337" customWidth="1"/>
    <col min="3" max="3" width="43.7109375" style="1337" customWidth="1"/>
    <col min="4" max="4" width="9" style="1337" customWidth="1"/>
    <col min="5" max="5" width="11.85546875" style="1337" customWidth="1"/>
    <col min="6" max="16384" width="9.140625" style="1337"/>
  </cols>
  <sheetData>
    <row r="1" spans="1:5" hidden="1" x14ac:dyDescent="0.25"/>
    <row r="2" spans="1:5" hidden="1" x14ac:dyDescent="0.25">
      <c r="A2" s="1369"/>
      <c r="B2" s="1370" t="s">
        <v>1038</v>
      </c>
      <c r="C2" s="1369"/>
      <c r="D2" s="1371"/>
      <c r="E2" s="1371"/>
    </row>
    <row r="3" spans="1:5" hidden="1" x14ac:dyDescent="0.25">
      <c r="A3" s="1371"/>
      <c r="B3" s="1370" t="s">
        <v>1039</v>
      </c>
      <c r="C3" s="1371"/>
      <c r="D3" s="1371"/>
      <c r="E3" s="1371"/>
    </row>
    <row r="4" spans="1:5" hidden="1" x14ac:dyDescent="0.25">
      <c r="A4" s="1372" t="s">
        <v>1040</v>
      </c>
      <c r="B4" s="1372" t="s">
        <v>1041</v>
      </c>
      <c r="C4" s="1372" t="s">
        <v>1042</v>
      </c>
      <c r="D4" s="1372" t="s">
        <v>1043</v>
      </c>
      <c r="E4" s="1372" t="s">
        <v>45</v>
      </c>
    </row>
    <row r="5" spans="1:5" hidden="1" x14ac:dyDescent="0.25">
      <c r="A5" s="1373" t="s">
        <v>1044</v>
      </c>
      <c r="B5" s="1373" t="s">
        <v>1045</v>
      </c>
      <c r="C5" s="1373"/>
      <c r="D5" s="1373"/>
      <c r="E5" s="1373" t="s">
        <v>187</v>
      </c>
    </row>
    <row r="6" spans="1:5" hidden="1" x14ac:dyDescent="0.25">
      <c r="A6" s="1374"/>
      <c r="B6" s="1374"/>
      <c r="C6" s="1374"/>
      <c r="D6" s="1374"/>
      <c r="E6" s="1374"/>
    </row>
    <row r="7" spans="1:5" hidden="1" x14ac:dyDescent="0.25">
      <c r="A7" s="1374" t="s">
        <v>1046</v>
      </c>
      <c r="B7" s="1374" t="s">
        <v>1047</v>
      </c>
      <c r="C7" s="1374" t="s">
        <v>1048</v>
      </c>
      <c r="D7" s="1374">
        <v>3.5</v>
      </c>
      <c r="E7" s="1374">
        <v>5655</v>
      </c>
    </row>
    <row r="8" spans="1:5" hidden="1" x14ac:dyDescent="0.25">
      <c r="A8" s="1374" t="s">
        <v>1049</v>
      </c>
      <c r="B8" s="1374" t="s">
        <v>1050</v>
      </c>
      <c r="C8" s="1375" t="s">
        <v>1051</v>
      </c>
      <c r="D8" s="1374">
        <v>4</v>
      </c>
      <c r="E8" s="1374">
        <v>10800</v>
      </c>
    </row>
    <row r="9" spans="1:5" hidden="1" x14ac:dyDescent="0.25">
      <c r="A9" s="1374" t="s">
        <v>1049</v>
      </c>
      <c r="B9" s="1374" t="s">
        <v>1052</v>
      </c>
      <c r="C9" s="1375" t="s">
        <v>1051</v>
      </c>
      <c r="D9" s="1374">
        <v>27</v>
      </c>
      <c r="E9" s="1374">
        <v>24300</v>
      </c>
    </row>
    <row r="10" spans="1:5" hidden="1" x14ac:dyDescent="0.25">
      <c r="A10" s="1374" t="s">
        <v>1049</v>
      </c>
      <c r="B10" s="1374" t="s">
        <v>1053</v>
      </c>
      <c r="C10" s="1375" t="s">
        <v>1051</v>
      </c>
      <c r="D10" s="1374">
        <v>24</v>
      </c>
      <c r="E10" s="1374">
        <v>21600</v>
      </c>
    </row>
    <row r="11" spans="1:5" hidden="1" x14ac:dyDescent="0.25">
      <c r="A11" s="1374" t="s">
        <v>1049</v>
      </c>
      <c r="B11" s="1374" t="s">
        <v>1054</v>
      </c>
      <c r="C11" s="1375" t="s">
        <v>1055</v>
      </c>
      <c r="D11" s="1374">
        <v>8</v>
      </c>
      <c r="E11" s="1374">
        <v>7200</v>
      </c>
    </row>
    <row r="12" spans="1:5" hidden="1" x14ac:dyDescent="0.25">
      <c r="A12" s="1374" t="s">
        <v>1049</v>
      </c>
      <c r="B12" s="1374" t="s">
        <v>1054</v>
      </c>
      <c r="C12" s="1375"/>
      <c r="D12" s="1374">
        <v>5</v>
      </c>
      <c r="E12" s="1374">
        <v>4500</v>
      </c>
    </row>
    <row r="13" spans="1:5" hidden="1" x14ac:dyDescent="0.25">
      <c r="A13" s="1374" t="s">
        <v>1049</v>
      </c>
      <c r="B13" s="1374" t="s">
        <v>1056</v>
      </c>
      <c r="C13" s="1375"/>
      <c r="D13" s="1374">
        <v>7</v>
      </c>
      <c r="E13" s="1374">
        <v>6300</v>
      </c>
    </row>
    <row r="14" spans="1:5" hidden="1" x14ac:dyDescent="0.25">
      <c r="A14" s="1374" t="s">
        <v>1057</v>
      </c>
      <c r="B14" s="1374" t="s">
        <v>1058</v>
      </c>
      <c r="C14" s="1375"/>
      <c r="D14" s="1374">
        <v>0.5</v>
      </c>
      <c r="E14" s="1374">
        <v>627.12</v>
      </c>
    </row>
    <row r="15" spans="1:5" hidden="1" x14ac:dyDescent="0.25">
      <c r="A15" s="1374" t="s">
        <v>1059</v>
      </c>
      <c r="B15" s="1374" t="s">
        <v>1060</v>
      </c>
      <c r="C15" s="1375"/>
      <c r="D15" s="1374">
        <v>7</v>
      </c>
      <c r="E15" s="1374">
        <v>11186</v>
      </c>
    </row>
    <row r="16" spans="1:5" hidden="1" x14ac:dyDescent="0.25">
      <c r="A16" s="1374" t="s">
        <v>1059</v>
      </c>
      <c r="B16" s="1374" t="s">
        <v>1061</v>
      </c>
      <c r="C16" s="1375"/>
      <c r="D16" s="1374">
        <v>13</v>
      </c>
      <c r="E16" s="1374">
        <v>20774</v>
      </c>
    </row>
    <row r="17" spans="1:5" hidden="1" x14ac:dyDescent="0.25">
      <c r="A17" s="1374" t="s">
        <v>1062</v>
      </c>
      <c r="B17" s="1374" t="s">
        <v>1063</v>
      </c>
      <c r="C17" s="1375"/>
      <c r="D17" s="1374">
        <v>3</v>
      </c>
      <c r="E17" s="1374">
        <v>1779.66</v>
      </c>
    </row>
    <row r="18" spans="1:5" hidden="1" x14ac:dyDescent="0.25">
      <c r="A18" s="1374" t="s">
        <v>1057</v>
      </c>
      <c r="B18" s="1374" t="s">
        <v>1064</v>
      </c>
      <c r="C18" s="1375"/>
      <c r="D18" s="1374">
        <v>0.5</v>
      </c>
      <c r="E18" s="1374">
        <v>711.86</v>
      </c>
    </row>
    <row r="19" spans="1:5" hidden="1" x14ac:dyDescent="0.25">
      <c r="A19" s="1374" t="s">
        <v>1059</v>
      </c>
      <c r="B19" s="1374" t="s">
        <v>1065</v>
      </c>
      <c r="C19" s="1375"/>
      <c r="D19" s="1374">
        <v>8</v>
      </c>
      <c r="E19" s="1374">
        <v>12784</v>
      </c>
    </row>
    <row r="20" spans="1:5" hidden="1" x14ac:dyDescent="0.25">
      <c r="A20" s="1374" t="s">
        <v>1062</v>
      </c>
      <c r="B20" s="1374" t="s">
        <v>1066</v>
      </c>
      <c r="C20" s="1375"/>
      <c r="D20" s="1374">
        <v>0.3</v>
      </c>
      <c r="E20" s="1374">
        <v>395.48</v>
      </c>
    </row>
    <row r="21" spans="1:5" hidden="1" x14ac:dyDescent="0.25">
      <c r="A21" s="1374" t="s">
        <v>1049</v>
      </c>
      <c r="B21" s="1374" t="s">
        <v>1067</v>
      </c>
      <c r="C21" s="1375"/>
      <c r="D21" s="1374">
        <v>18</v>
      </c>
      <c r="E21" s="1374">
        <v>16200</v>
      </c>
    </row>
    <row r="22" spans="1:5" hidden="1" x14ac:dyDescent="0.25">
      <c r="A22" s="1374" t="s">
        <v>1049</v>
      </c>
      <c r="B22" s="1374" t="s">
        <v>1068</v>
      </c>
      <c r="C22" s="1375"/>
      <c r="D22" s="1374">
        <v>23</v>
      </c>
      <c r="E22" s="1374">
        <v>20700</v>
      </c>
    </row>
    <row r="23" spans="1:5" hidden="1" x14ac:dyDescent="0.25">
      <c r="A23" s="1374" t="s">
        <v>1049</v>
      </c>
      <c r="B23" s="1374" t="s">
        <v>1069</v>
      </c>
      <c r="C23" s="1375"/>
      <c r="D23" s="1374">
        <v>17</v>
      </c>
      <c r="E23" s="1374">
        <v>15300</v>
      </c>
    </row>
    <row r="24" spans="1:5" hidden="1" x14ac:dyDescent="0.25">
      <c r="A24" s="1374" t="s">
        <v>1070</v>
      </c>
      <c r="B24" s="1374" t="s">
        <v>1071</v>
      </c>
      <c r="C24" s="1375"/>
      <c r="D24" s="1374"/>
      <c r="E24" s="1374">
        <v>120.13</v>
      </c>
    </row>
    <row r="25" spans="1:5" hidden="1" x14ac:dyDescent="0.25">
      <c r="A25" s="1374" t="s">
        <v>1072</v>
      </c>
      <c r="B25" s="1374" t="s">
        <v>1073</v>
      </c>
      <c r="C25" s="1375"/>
      <c r="D25" s="1374">
        <v>3</v>
      </c>
      <c r="E25" s="1374">
        <v>4237.29</v>
      </c>
    </row>
    <row r="26" spans="1:5" hidden="1" x14ac:dyDescent="0.25">
      <c r="A26" s="1374" t="s">
        <v>1059</v>
      </c>
      <c r="B26" s="1374" t="s">
        <v>1074</v>
      </c>
      <c r="C26" s="1375"/>
      <c r="D26" s="1374">
        <v>6</v>
      </c>
      <c r="E26" s="1374">
        <v>9588</v>
      </c>
    </row>
    <row r="27" spans="1:5" hidden="1" x14ac:dyDescent="0.25">
      <c r="A27" s="1374" t="s">
        <v>1059</v>
      </c>
      <c r="B27" s="1374" t="s">
        <v>1075</v>
      </c>
      <c r="C27" s="1375"/>
      <c r="D27" s="1374">
        <v>4</v>
      </c>
      <c r="E27" s="1374">
        <v>6392</v>
      </c>
    </row>
    <row r="28" spans="1:5" hidden="1" x14ac:dyDescent="0.25">
      <c r="A28" s="1374" t="s">
        <v>1059</v>
      </c>
      <c r="B28" s="1374" t="s">
        <v>1076</v>
      </c>
      <c r="C28" s="1375"/>
      <c r="D28" s="1374">
        <v>8.4</v>
      </c>
      <c r="E28" s="1374">
        <v>13448</v>
      </c>
    </row>
    <row r="29" spans="1:5" hidden="1" x14ac:dyDescent="0.25">
      <c r="A29" s="1374" t="s">
        <v>1059</v>
      </c>
      <c r="B29" s="1374" t="s">
        <v>1077</v>
      </c>
      <c r="C29" s="1375"/>
      <c r="D29" s="1374">
        <v>6</v>
      </c>
      <c r="E29" s="1374">
        <v>9588</v>
      </c>
    </row>
    <row r="30" spans="1:5" hidden="1" x14ac:dyDescent="0.25">
      <c r="A30" s="1374" t="s">
        <v>1049</v>
      </c>
      <c r="B30" s="1374" t="s">
        <v>1078</v>
      </c>
      <c r="C30" s="1375"/>
      <c r="D30" s="1374">
        <v>7</v>
      </c>
      <c r="E30" s="1374">
        <v>6300</v>
      </c>
    </row>
    <row r="31" spans="1:5" hidden="1" x14ac:dyDescent="0.25">
      <c r="A31" s="1374" t="s">
        <v>1049</v>
      </c>
      <c r="B31" s="1374" t="s">
        <v>1053</v>
      </c>
      <c r="C31" s="1375"/>
      <c r="D31" s="1374">
        <v>16</v>
      </c>
      <c r="E31" s="1374">
        <v>14400</v>
      </c>
    </row>
    <row r="32" spans="1:5" hidden="1" x14ac:dyDescent="0.25">
      <c r="A32" s="1374" t="s">
        <v>1062</v>
      </c>
      <c r="B32" s="1374" t="s">
        <v>1079</v>
      </c>
      <c r="C32" s="1375"/>
      <c r="D32" s="1374">
        <v>0.25</v>
      </c>
      <c r="E32" s="1374">
        <v>296.61</v>
      </c>
    </row>
    <row r="33" spans="1:5" hidden="1" x14ac:dyDescent="0.25">
      <c r="A33" s="1374" t="s">
        <v>1059</v>
      </c>
      <c r="B33" s="1374" t="s">
        <v>1080</v>
      </c>
      <c r="C33" s="1375"/>
      <c r="D33" s="1374">
        <v>3.5</v>
      </c>
      <c r="E33" s="1374">
        <v>5593</v>
      </c>
    </row>
    <row r="34" spans="1:5" hidden="1" x14ac:dyDescent="0.25">
      <c r="A34" s="1374" t="s">
        <v>1062</v>
      </c>
      <c r="B34" s="1374" t="s">
        <v>1081</v>
      </c>
      <c r="C34" s="1375"/>
      <c r="D34" s="1374">
        <v>1</v>
      </c>
      <c r="E34" s="1374">
        <v>1186.44</v>
      </c>
    </row>
    <row r="35" spans="1:5" hidden="1" x14ac:dyDescent="0.25">
      <c r="A35" s="1376" t="s">
        <v>1082</v>
      </c>
      <c r="B35" s="1376"/>
      <c r="C35" s="1377"/>
      <c r="D35" s="1376">
        <f>SUM(D7:D34)</f>
        <v>223.95000000000002</v>
      </c>
      <c r="E35" s="1376">
        <f>SUM(E7:E34)</f>
        <v>251962.59</v>
      </c>
    </row>
    <row r="36" spans="1:5" hidden="1" x14ac:dyDescent="0.25">
      <c r="A36" s="1369"/>
      <c r="B36" s="1378" t="s">
        <v>1083</v>
      </c>
      <c r="C36" s="1379"/>
      <c r="D36" s="1371"/>
      <c r="E36" s="1371"/>
    </row>
    <row r="37" spans="1:5" hidden="1" x14ac:dyDescent="0.25">
      <c r="A37" s="1372" t="s">
        <v>1040</v>
      </c>
      <c r="B37" s="1372" t="s">
        <v>1041</v>
      </c>
      <c r="C37" s="1372" t="s">
        <v>1042</v>
      </c>
      <c r="D37" s="1372" t="s">
        <v>45</v>
      </c>
      <c r="E37" s="1372" t="s">
        <v>45</v>
      </c>
    </row>
    <row r="38" spans="1:5" hidden="1" x14ac:dyDescent="0.25">
      <c r="A38" s="1373" t="s">
        <v>1044</v>
      </c>
      <c r="B38" s="1373" t="s">
        <v>1045</v>
      </c>
      <c r="C38" s="1373"/>
      <c r="D38" s="1373" t="s">
        <v>187</v>
      </c>
      <c r="E38" s="1373" t="s">
        <v>187</v>
      </c>
    </row>
    <row r="39" spans="1:5" hidden="1" x14ac:dyDescent="0.25">
      <c r="A39" s="1374" t="s">
        <v>1046</v>
      </c>
      <c r="B39" s="1374" t="s">
        <v>1084</v>
      </c>
      <c r="C39" s="1375" t="s">
        <v>1085</v>
      </c>
      <c r="D39" s="1374">
        <v>8</v>
      </c>
      <c r="E39" s="1374">
        <v>9048</v>
      </c>
    </row>
    <row r="40" spans="1:5" hidden="1" x14ac:dyDescent="0.25">
      <c r="A40" s="1374" t="s">
        <v>1046</v>
      </c>
      <c r="B40" s="1374" t="s">
        <v>1086</v>
      </c>
      <c r="C40" s="1375" t="s">
        <v>1085</v>
      </c>
      <c r="D40" s="1374">
        <v>2.5</v>
      </c>
      <c r="E40" s="1374">
        <v>2827.5</v>
      </c>
    </row>
    <row r="41" spans="1:5" hidden="1" x14ac:dyDescent="0.25">
      <c r="A41" s="1374" t="s">
        <v>1046</v>
      </c>
      <c r="B41" s="1374" t="s">
        <v>1087</v>
      </c>
      <c r="C41" s="1375" t="s">
        <v>1088</v>
      </c>
      <c r="D41" s="1374">
        <v>16</v>
      </c>
      <c r="E41" s="1374">
        <v>18096</v>
      </c>
    </row>
    <row r="42" spans="1:5" hidden="1" x14ac:dyDescent="0.25">
      <c r="A42" s="1374" t="s">
        <v>1089</v>
      </c>
      <c r="B42" s="1374" t="s">
        <v>1090</v>
      </c>
      <c r="C42" s="1375" t="s">
        <v>1091</v>
      </c>
      <c r="D42" s="1374">
        <v>7</v>
      </c>
      <c r="E42" s="1374">
        <v>6300</v>
      </c>
    </row>
    <row r="43" spans="1:5" hidden="1" x14ac:dyDescent="0.25">
      <c r="A43" s="1374" t="s">
        <v>1092</v>
      </c>
      <c r="B43" s="1374" t="s">
        <v>1093</v>
      </c>
      <c r="C43" s="1375" t="s">
        <v>1094</v>
      </c>
      <c r="D43" s="1374">
        <v>3</v>
      </c>
      <c r="E43" s="1374">
        <v>4200</v>
      </c>
    </row>
    <row r="44" spans="1:5" hidden="1" x14ac:dyDescent="0.25">
      <c r="A44" s="1374" t="s">
        <v>1095</v>
      </c>
      <c r="B44" s="1374" t="s">
        <v>1096</v>
      </c>
      <c r="C44" s="1375" t="s">
        <v>1097</v>
      </c>
      <c r="D44" s="1374">
        <v>27</v>
      </c>
      <c r="E44" s="1374">
        <v>31872.15</v>
      </c>
    </row>
    <row r="45" spans="1:5" hidden="1" x14ac:dyDescent="0.25">
      <c r="A45" s="1374" t="s">
        <v>1098</v>
      </c>
      <c r="B45" s="1374" t="s">
        <v>1099</v>
      </c>
      <c r="C45" s="1375" t="s">
        <v>1091</v>
      </c>
      <c r="D45" s="1374">
        <v>40</v>
      </c>
      <c r="E45" s="1374">
        <v>47218</v>
      </c>
    </row>
    <row r="46" spans="1:5" hidden="1" x14ac:dyDescent="0.25">
      <c r="A46" s="1374" t="s">
        <v>1089</v>
      </c>
      <c r="B46" s="1374" t="s">
        <v>1100</v>
      </c>
      <c r="C46" s="1375" t="s">
        <v>1091</v>
      </c>
      <c r="D46" s="1374">
        <v>9</v>
      </c>
      <c r="E46" s="1374">
        <v>8100</v>
      </c>
    </row>
    <row r="47" spans="1:5" hidden="1" x14ac:dyDescent="0.25">
      <c r="A47" s="1374" t="s">
        <v>1095</v>
      </c>
      <c r="B47" s="1374" t="s">
        <v>1101</v>
      </c>
      <c r="C47" s="1375" t="s">
        <v>1097</v>
      </c>
      <c r="D47" s="1374">
        <v>7</v>
      </c>
      <c r="E47" s="1374">
        <v>8400</v>
      </c>
    </row>
    <row r="48" spans="1:5" hidden="1" x14ac:dyDescent="0.25">
      <c r="A48" s="1374" t="s">
        <v>1102</v>
      </c>
      <c r="B48" s="1374" t="s">
        <v>1103</v>
      </c>
      <c r="C48" s="1375" t="s">
        <v>1091</v>
      </c>
      <c r="D48" s="1374">
        <v>168</v>
      </c>
      <c r="E48" s="1374">
        <v>102656.4</v>
      </c>
    </row>
    <row r="49" spans="1:5" hidden="1" x14ac:dyDescent="0.25">
      <c r="A49" s="1374" t="s">
        <v>1102</v>
      </c>
      <c r="B49" s="1374" t="s">
        <v>1104</v>
      </c>
      <c r="C49" s="1375" t="s">
        <v>1091</v>
      </c>
      <c r="D49" s="1374">
        <v>176</v>
      </c>
      <c r="E49" s="1374">
        <v>211200</v>
      </c>
    </row>
    <row r="50" spans="1:5" hidden="1" x14ac:dyDescent="0.25">
      <c r="A50" s="1374" t="s">
        <v>1105</v>
      </c>
      <c r="B50" s="1374" t="s">
        <v>1106</v>
      </c>
      <c r="C50" s="1375" t="s">
        <v>1107</v>
      </c>
      <c r="D50" s="1374">
        <v>0.5</v>
      </c>
      <c r="E50" s="1374">
        <v>593.22</v>
      </c>
    </row>
    <row r="51" spans="1:5" hidden="1" x14ac:dyDescent="0.25">
      <c r="A51" s="1374" t="s">
        <v>1108</v>
      </c>
      <c r="B51" s="1374" t="s">
        <v>1109</v>
      </c>
      <c r="C51" s="1375" t="s">
        <v>1110</v>
      </c>
      <c r="D51" s="1374">
        <v>2</v>
      </c>
      <c r="E51" s="1374">
        <v>465.76</v>
      </c>
    </row>
    <row r="52" spans="1:5" hidden="1" x14ac:dyDescent="0.25">
      <c r="A52" s="1374" t="s">
        <v>1046</v>
      </c>
      <c r="B52" s="1374" t="s">
        <v>1111</v>
      </c>
      <c r="C52" s="1375" t="s">
        <v>1112</v>
      </c>
      <c r="D52" s="1374">
        <v>4</v>
      </c>
      <c r="E52" s="1374">
        <v>6392</v>
      </c>
    </row>
    <row r="53" spans="1:5" hidden="1" x14ac:dyDescent="0.25">
      <c r="A53" s="1374" t="s">
        <v>1089</v>
      </c>
      <c r="B53" s="1374" t="s">
        <v>1113</v>
      </c>
      <c r="C53" s="1375" t="s">
        <v>1114</v>
      </c>
      <c r="D53" s="1374">
        <v>2</v>
      </c>
      <c r="E53" s="1374">
        <v>1800</v>
      </c>
    </row>
    <row r="54" spans="1:5" hidden="1" x14ac:dyDescent="0.25">
      <c r="A54" s="1374" t="s">
        <v>1046</v>
      </c>
      <c r="B54" s="1374" t="s">
        <v>1115</v>
      </c>
      <c r="C54" s="1375" t="s">
        <v>1116</v>
      </c>
      <c r="D54" s="1374">
        <v>21</v>
      </c>
      <c r="E54" s="1374">
        <v>2262</v>
      </c>
    </row>
    <row r="55" spans="1:5" hidden="1" x14ac:dyDescent="0.25">
      <c r="A55" s="1374" t="s">
        <v>1072</v>
      </c>
      <c r="B55" s="1374" t="s">
        <v>1117</v>
      </c>
      <c r="C55" s="1375" t="s">
        <v>1118</v>
      </c>
      <c r="D55" s="1374">
        <v>3</v>
      </c>
      <c r="E55" s="1374">
        <v>6355.93</v>
      </c>
    </row>
    <row r="56" spans="1:5" hidden="1" x14ac:dyDescent="0.25">
      <c r="A56" s="1374" t="s">
        <v>1072</v>
      </c>
      <c r="B56" s="1374" t="s">
        <v>1117</v>
      </c>
      <c r="C56" s="1375" t="s">
        <v>1119</v>
      </c>
      <c r="D56" s="1374">
        <v>14</v>
      </c>
      <c r="E56" s="1374">
        <v>29661.02</v>
      </c>
    </row>
    <row r="57" spans="1:5" hidden="1" x14ac:dyDescent="0.25">
      <c r="A57" s="1374" t="s">
        <v>1105</v>
      </c>
      <c r="B57" s="1374" t="s">
        <v>1120</v>
      </c>
      <c r="C57" s="1375" t="s">
        <v>1121</v>
      </c>
      <c r="D57" s="1374">
        <v>1</v>
      </c>
      <c r="E57" s="1374">
        <v>677.97</v>
      </c>
    </row>
    <row r="58" spans="1:5" hidden="1" x14ac:dyDescent="0.25">
      <c r="A58" s="1374" t="s">
        <v>1046</v>
      </c>
      <c r="B58" s="1374" t="s">
        <v>1122</v>
      </c>
      <c r="C58" s="1375" t="s">
        <v>1123</v>
      </c>
      <c r="D58" s="1374">
        <v>1</v>
      </c>
      <c r="E58" s="1374">
        <v>1131</v>
      </c>
    </row>
    <row r="59" spans="1:5" hidden="1" x14ac:dyDescent="0.25">
      <c r="A59" s="1374" t="s">
        <v>1089</v>
      </c>
      <c r="B59" s="1374" t="s">
        <v>1124</v>
      </c>
      <c r="C59" s="1375" t="s">
        <v>1123</v>
      </c>
      <c r="D59" s="1374">
        <v>12</v>
      </c>
      <c r="E59" s="1374">
        <v>10800</v>
      </c>
    </row>
    <row r="60" spans="1:5" hidden="1" x14ac:dyDescent="0.25">
      <c r="A60" s="1374" t="s">
        <v>1089</v>
      </c>
      <c r="B60" s="1374" t="s">
        <v>1125</v>
      </c>
      <c r="C60" s="1375" t="s">
        <v>1123</v>
      </c>
      <c r="D60" s="1374">
        <v>3</v>
      </c>
      <c r="E60" s="1374">
        <v>2700</v>
      </c>
    </row>
    <row r="61" spans="1:5" hidden="1" x14ac:dyDescent="0.25">
      <c r="A61" s="1374" t="s">
        <v>1095</v>
      </c>
      <c r="B61" s="1374" t="s">
        <v>1126</v>
      </c>
      <c r="C61" s="1375" t="s">
        <v>1121</v>
      </c>
      <c r="D61" s="1374">
        <v>8</v>
      </c>
      <c r="E61" s="1374">
        <v>9600</v>
      </c>
    </row>
    <row r="62" spans="1:5" hidden="1" x14ac:dyDescent="0.25">
      <c r="A62" s="1374" t="s">
        <v>1105</v>
      </c>
      <c r="B62" s="1374" t="s">
        <v>1127</v>
      </c>
      <c r="C62" s="1375" t="s">
        <v>1128</v>
      </c>
      <c r="D62" s="1374">
        <v>3</v>
      </c>
      <c r="E62" s="1374">
        <v>2033.9</v>
      </c>
    </row>
    <row r="63" spans="1:5" hidden="1" x14ac:dyDescent="0.25">
      <c r="A63" s="1374" t="s">
        <v>1046</v>
      </c>
      <c r="B63" s="1374" t="s">
        <v>1129</v>
      </c>
      <c r="C63" s="1375" t="s">
        <v>1130</v>
      </c>
      <c r="D63" s="1380">
        <v>2.5</v>
      </c>
      <c r="E63" s="1374">
        <v>2827.5</v>
      </c>
    </row>
    <row r="64" spans="1:5" hidden="1" x14ac:dyDescent="0.25">
      <c r="A64" s="1376" t="s">
        <v>1131</v>
      </c>
      <c r="B64" s="1376"/>
      <c r="C64" s="1376"/>
      <c r="D64" s="1376">
        <f>SUM(D39:D63)</f>
        <v>540.5</v>
      </c>
      <c r="E64" s="1376">
        <f>SUM(E39:E63)</f>
        <v>527218.35</v>
      </c>
    </row>
    <row r="65" spans="1:5" hidden="1" x14ac:dyDescent="0.25">
      <c r="A65" s="1381" t="s">
        <v>1132</v>
      </c>
      <c r="B65" s="1376"/>
      <c r="C65" s="1376"/>
      <c r="D65" s="1376">
        <f>D35+D64</f>
        <v>764.45</v>
      </c>
      <c r="E65" s="1376">
        <f>E35+E64</f>
        <v>779180.94</v>
      </c>
    </row>
    <row r="66" spans="1:5" hidden="1" x14ac:dyDescent="0.25">
      <c r="B66" s="1378" t="s">
        <v>1133</v>
      </c>
    </row>
    <row r="67" spans="1:5" hidden="1" x14ac:dyDescent="0.25">
      <c r="A67" s="1372" t="s">
        <v>1040</v>
      </c>
      <c r="B67" s="1372" t="s">
        <v>1041</v>
      </c>
      <c r="C67" s="1372" t="s">
        <v>1042</v>
      </c>
      <c r="D67" s="1372" t="s">
        <v>1043</v>
      </c>
      <c r="E67" s="1372" t="s">
        <v>45</v>
      </c>
    </row>
    <row r="68" spans="1:5" hidden="1" x14ac:dyDescent="0.25">
      <c r="A68" s="1373" t="s">
        <v>1044</v>
      </c>
      <c r="B68" s="1373" t="s">
        <v>1045</v>
      </c>
      <c r="C68" s="1373"/>
      <c r="D68" s="1373"/>
      <c r="E68" s="1373" t="s">
        <v>187</v>
      </c>
    </row>
    <row r="69" spans="1:5" hidden="1" x14ac:dyDescent="0.25">
      <c r="A69" s="1374"/>
      <c r="B69" s="1374"/>
      <c r="C69" s="1374"/>
      <c r="D69" s="1374"/>
      <c r="E69" s="1374"/>
    </row>
    <row r="70" spans="1:5" hidden="1" x14ac:dyDescent="0.25">
      <c r="A70" s="1374" t="s">
        <v>1134</v>
      </c>
      <c r="B70" s="1374" t="s">
        <v>1135</v>
      </c>
      <c r="C70" s="1374" t="s">
        <v>1048</v>
      </c>
      <c r="D70" s="1374">
        <v>48</v>
      </c>
      <c r="E70" s="1374">
        <v>29330.400000000001</v>
      </c>
    </row>
    <row r="71" spans="1:5" hidden="1" x14ac:dyDescent="0.25">
      <c r="A71" s="1374" t="s">
        <v>1095</v>
      </c>
      <c r="B71" s="1374" t="s">
        <v>1136</v>
      </c>
      <c r="C71" s="1375" t="s">
        <v>1051</v>
      </c>
      <c r="D71" s="1374">
        <v>7.5</v>
      </c>
      <c r="E71" s="1374">
        <v>9000</v>
      </c>
    </row>
    <row r="72" spans="1:5" hidden="1" x14ac:dyDescent="0.25">
      <c r="A72" s="1374" t="s">
        <v>1095</v>
      </c>
      <c r="B72" s="1374" t="s">
        <v>1136</v>
      </c>
      <c r="C72" s="1375" t="s">
        <v>1051</v>
      </c>
      <c r="D72" s="1374">
        <v>2</v>
      </c>
      <c r="E72" s="1374">
        <v>2400</v>
      </c>
    </row>
    <row r="73" spans="1:5" hidden="1" x14ac:dyDescent="0.25">
      <c r="A73" s="1374" t="s">
        <v>1137</v>
      </c>
      <c r="B73" s="1374" t="s">
        <v>1138</v>
      </c>
      <c r="C73" s="1375" t="s">
        <v>1051</v>
      </c>
      <c r="D73" s="1374">
        <v>2</v>
      </c>
      <c r="E73" s="1374">
        <v>1800</v>
      </c>
    </row>
    <row r="74" spans="1:5" hidden="1" x14ac:dyDescent="0.25">
      <c r="A74" s="1374" t="s">
        <v>1139</v>
      </c>
      <c r="B74" s="1374" t="s">
        <v>1140</v>
      </c>
      <c r="C74" s="1375" t="s">
        <v>1141</v>
      </c>
      <c r="D74" s="1374">
        <v>15</v>
      </c>
      <c r="E74" s="1374">
        <v>30000</v>
      </c>
    </row>
    <row r="75" spans="1:5" hidden="1" x14ac:dyDescent="0.25">
      <c r="A75" s="1374" t="s">
        <v>1142</v>
      </c>
      <c r="B75" s="1374" t="s">
        <v>1143</v>
      </c>
      <c r="C75" s="1375" t="s">
        <v>1144</v>
      </c>
      <c r="D75" s="1374">
        <v>8</v>
      </c>
      <c r="E75" s="1374">
        <v>12000</v>
      </c>
    </row>
    <row r="76" spans="1:5" hidden="1" x14ac:dyDescent="0.25">
      <c r="A76" s="1374" t="s">
        <v>1108</v>
      </c>
      <c r="B76" s="1374" t="s">
        <v>1145</v>
      </c>
      <c r="C76" s="1375" t="s">
        <v>1146</v>
      </c>
      <c r="D76" s="1374">
        <v>2</v>
      </c>
      <c r="E76" s="1374">
        <v>550.79999999999995</v>
      </c>
    </row>
    <row r="77" spans="1:5" hidden="1" x14ac:dyDescent="0.25">
      <c r="A77" s="1374" t="s">
        <v>1089</v>
      </c>
      <c r="B77" s="1374" t="s">
        <v>1147</v>
      </c>
      <c r="C77" s="1375" t="s">
        <v>1148</v>
      </c>
      <c r="D77" s="1374">
        <v>4</v>
      </c>
      <c r="E77" s="1374">
        <v>3600</v>
      </c>
    </row>
    <row r="78" spans="1:5" hidden="1" x14ac:dyDescent="0.25">
      <c r="A78" s="1374" t="s">
        <v>1095</v>
      </c>
      <c r="B78" s="1374" t="s">
        <v>1136</v>
      </c>
      <c r="C78" s="1375" t="s">
        <v>1149</v>
      </c>
      <c r="D78" s="1374">
        <v>15.5</v>
      </c>
      <c r="E78" s="1374">
        <v>18600</v>
      </c>
    </row>
    <row r="79" spans="1:5" hidden="1" x14ac:dyDescent="0.25">
      <c r="A79" s="1374" t="s">
        <v>1150</v>
      </c>
      <c r="B79" s="1374" t="s">
        <v>1138</v>
      </c>
      <c r="C79" s="1375" t="s">
        <v>1151</v>
      </c>
      <c r="D79" s="1374">
        <v>8</v>
      </c>
      <c r="E79" s="1374">
        <v>7200</v>
      </c>
    </row>
    <row r="80" spans="1:5" hidden="1" x14ac:dyDescent="0.25">
      <c r="A80" s="1374" t="s">
        <v>1152</v>
      </c>
      <c r="B80" s="1374" t="s">
        <v>1153</v>
      </c>
      <c r="C80" s="1375" t="s">
        <v>1154</v>
      </c>
      <c r="D80" s="1374">
        <v>14</v>
      </c>
      <c r="E80" s="1374">
        <v>16572.849999999999</v>
      </c>
    </row>
    <row r="81" spans="1:5" hidden="1" x14ac:dyDescent="0.25">
      <c r="A81" s="1374" t="s">
        <v>1150</v>
      </c>
      <c r="B81" s="1374" t="s">
        <v>1155</v>
      </c>
      <c r="C81" s="1375" t="s">
        <v>1149</v>
      </c>
      <c r="D81" s="1374">
        <v>2</v>
      </c>
      <c r="E81" s="1374">
        <v>1800</v>
      </c>
    </row>
    <row r="82" spans="1:5" hidden="1" x14ac:dyDescent="0.25">
      <c r="A82" s="1374" t="s">
        <v>1046</v>
      </c>
      <c r="B82" s="1374" t="s">
        <v>1156</v>
      </c>
      <c r="C82" s="1375" t="s">
        <v>1157</v>
      </c>
      <c r="D82" s="1374">
        <v>29</v>
      </c>
      <c r="E82" s="1374">
        <v>32799</v>
      </c>
    </row>
    <row r="83" spans="1:5" hidden="1" x14ac:dyDescent="0.25">
      <c r="A83" s="1374" t="s">
        <v>1150</v>
      </c>
      <c r="B83" s="1374" t="s">
        <v>1158</v>
      </c>
      <c r="C83" s="1375" t="s">
        <v>1149</v>
      </c>
      <c r="D83" s="1374">
        <v>11</v>
      </c>
      <c r="E83" s="1374">
        <v>9900</v>
      </c>
    </row>
    <row r="84" spans="1:5" hidden="1" x14ac:dyDescent="0.25">
      <c r="A84" s="1374" t="s">
        <v>1046</v>
      </c>
      <c r="B84" s="1374" t="s">
        <v>1159</v>
      </c>
      <c r="C84" s="1375" t="s">
        <v>1160</v>
      </c>
      <c r="D84" s="1374">
        <v>3</v>
      </c>
      <c r="E84" s="1374">
        <v>3393</v>
      </c>
    </row>
    <row r="85" spans="1:5" hidden="1" x14ac:dyDescent="0.25">
      <c r="A85" s="1374" t="s">
        <v>1150</v>
      </c>
      <c r="B85" s="1374" t="s">
        <v>1161</v>
      </c>
      <c r="C85" s="1375" t="s">
        <v>1149</v>
      </c>
      <c r="D85" s="1374">
        <v>15</v>
      </c>
      <c r="E85" s="1374">
        <v>13500</v>
      </c>
    </row>
    <row r="86" spans="1:5" hidden="1" x14ac:dyDescent="0.25">
      <c r="A86" s="1374" t="s">
        <v>1150</v>
      </c>
      <c r="B86" s="1374" t="s">
        <v>1162</v>
      </c>
      <c r="C86" s="1375" t="s">
        <v>1149</v>
      </c>
      <c r="D86" s="1374">
        <v>9</v>
      </c>
      <c r="E86" s="1374">
        <v>8100</v>
      </c>
    </row>
    <row r="87" spans="1:5" hidden="1" x14ac:dyDescent="0.25">
      <c r="A87" s="1374" t="s">
        <v>1150</v>
      </c>
      <c r="B87" s="1374" t="s">
        <v>1163</v>
      </c>
      <c r="C87" s="1375" t="s">
        <v>1149</v>
      </c>
      <c r="D87" s="1374">
        <v>2</v>
      </c>
      <c r="E87" s="1374">
        <v>1800</v>
      </c>
    </row>
    <row r="88" spans="1:5" hidden="1" x14ac:dyDescent="0.25">
      <c r="A88" s="1374" t="s">
        <v>1142</v>
      </c>
      <c r="B88" s="1374" t="s">
        <v>1164</v>
      </c>
      <c r="C88" s="1375" t="s">
        <v>1154</v>
      </c>
      <c r="D88" s="1374">
        <v>3</v>
      </c>
      <c r="E88" s="1374">
        <v>5100</v>
      </c>
    </row>
    <row r="89" spans="1:5" hidden="1" x14ac:dyDescent="0.25">
      <c r="A89" s="1376" t="s">
        <v>1165</v>
      </c>
      <c r="B89" s="1376"/>
      <c r="C89" s="1377"/>
      <c r="D89" s="1376">
        <f>SUM(D70:D88)</f>
        <v>200</v>
      </c>
      <c r="E89" s="1376">
        <f>SUM(E70:E88)</f>
        <v>207446.05</v>
      </c>
    </row>
    <row r="90" spans="1:5" hidden="1" x14ac:dyDescent="0.25">
      <c r="A90" s="1381" t="s">
        <v>1166</v>
      </c>
      <c r="B90" s="1376"/>
      <c r="C90" s="1376"/>
      <c r="D90" s="1376">
        <f>D65+D89</f>
        <v>964.45</v>
      </c>
      <c r="E90" s="1376">
        <f>E65+E89</f>
        <v>986626.99</v>
      </c>
    </row>
    <row r="91" spans="1:5" hidden="1" x14ac:dyDescent="0.25">
      <c r="A91" s="1382"/>
      <c r="B91" s="1381" t="s">
        <v>1167</v>
      </c>
      <c r="C91" s="1382"/>
      <c r="D91" s="1382"/>
      <c r="E91" s="1382"/>
    </row>
    <row r="92" spans="1:5" hidden="1" x14ac:dyDescent="0.25">
      <c r="A92" s="1372" t="s">
        <v>1040</v>
      </c>
      <c r="B92" s="1372" t="s">
        <v>1041</v>
      </c>
      <c r="C92" s="1372" t="s">
        <v>1042</v>
      </c>
      <c r="D92" s="1372" t="s">
        <v>1043</v>
      </c>
      <c r="E92" s="1372" t="s">
        <v>45</v>
      </c>
    </row>
    <row r="93" spans="1:5" hidden="1" x14ac:dyDescent="0.25">
      <c r="A93" s="1373" t="s">
        <v>1044</v>
      </c>
      <c r="B93" s="1373" t="s">
        <v>1045</v>
      </c>
      <c r="C93" s="1373"/>
      <c r="D93" s="1373"/>
      <c r="E93" s="1373" t="s">
        <v>187</v>
      </c>
    </row>
    <row r="94" spans="1:5" hidden="1" x14ac:dyDescent="0.25">
      <c r="A94" s="1374"/>
      <c r="B94" s="1374"/>
      <c r="C94" s="1374"/>
      <c r="D94" s="1374"/>
      <c r="E94" s="1374"/>
    </row>
    <row r="95" spans="1:5" hidden="1" x14ac:dyDescent="0.25">
      <c r="A95" s="1374" t="s">
        <v>1092</v>
      </c>
      <c r="B95" s="1374" t="s">
        <v>1168</v>
      </c>
      <c r="C95" s="1374" t="s">
        <v>1048</v>
      </c>
      <c r="D95" s="1374">
        <v>1</v>
      </c>
      <c r="E95" s="1374">
        <v>1400</v>
      </c>
    </row>
    <row r="96" spans="1:5" hidden="1" x14ac:dyDescent="0.25">
      <c r="A96" s="1374" t="s">
        <v>1169</v>
      </c>
      <c r="B96" s="1374" t="s">
        <v>1170</v>
      </c>
      <c r="C96" s="1375" t="s">
        <v>1051</v>
      </c>
      <c r="D96" s="1374">
        <v>1</v>
      </c>
      <c r="E96" s="1374">
        <v>2118.64</v>
      </c>
    </row>
    <row r="97" spans="1:5" hidden="1" x14ac:dyDescent="0.25">
      <c r="A97" s="1374" t="s">
        <v>1095</v>
      </c>
      <c r="B97" s="1374" t="s">
        <v>1171</v>
      </c>
      <c r="C97" s="1375" t="s">
        <v>1051</v>
      </c>
      <c r="D97" s="1374">
        <v>2</v>
      </c>
      <c r="E97" s="1374">
        <v>2400</v>
      </c>
    </row>
    <row r="98" spans="1:5" hidden="1" x14ac:dyDescent="0.25">
      <c r="A98" s="1374" t="s">
        <v>1137</v>
      </c>
      <c r="B98" s="1374" t="s">
        <v>1172</v>
      </c>
      <c r="C98" s="1375"/>
      <c r="D98" s="1374">
        <v>18</v>
      </c>
      <c r="E98" s="1374">
        <v>16200</v>
      </c>
    </row>
    <row r="99" spans="1:5" hidden="1" x14ac:dyDescent="0.25">
      <c r="A99" s="1374" t="s">
        <v>1137</v>
      </c>
      <c r="B99" s="1374" t="s">
        <v>1173</v>
      </c>
      <c r="C99" s="1375"/>
      <c r="D99" s="1374">
        <v>12</v>
      </c>
      <c r="E99" s="1374">
        <v>10800</v>
      </c>
    </row>
    <row r="100" spans="1:5" hidden="1" x14ac:dyDescent="0.25">
      <c r="A100" s="1374" t="s">
        <v>1137</v>
      </c>
      <c r="B100" s="1374" t="s">
        <v>1174</v>
      </c>
      <c r="C100" s="1375"/>
      <c r="D100" s="1374">
        <v>4</v>
      </c>
      <c r="E100" s="1374">
        <v>3600</v>
      </c>
    </row>
    <row r="101" spans="1:5" hidden="1" x14ac:dyDescent="0.25">
      <c r="A101" s="1374" t="s">
        <v>1137</v>
      </c>
      <c r="B101" s="1374" t="s">
        <v>1175</v>
      </c>
      <c r="C101" s="1375"/>
      <c r="D101" s="1374">
        <v>3</v>
      </c>
      <c r="E101" s="1374">
        <v>2700</v>
      </c>
    </row>
    <row r="102" spans="1:5" hidden="1" x14ac:dyDescent="0.25">
      <c r="A102" s="1374" t="s">
        <v>1137</v>
      </c>
      <c r="B102" s="1374" t="s">
        <v>1176</v>
      </c>
      <c r="C102" s="1375"/>
      <c r="D102" s="1374">
        <v>3</v>
      </c>
      <c r="E102" s="1374">
        <v>2700</v>
      </c>
    </row>
    <row r="103" spans="1:5" hidden="1" x14ac:dyDescent="0.25">
      <c r="A103" s="1374" t="s">
        <v>1137</v>
      </c>
      <c r="B103" s="1374" t="s">
        <v>1177</v>
      </c>
      <c r="C103" s="1375"/>
      <c r="D103" s="1374">
        <v>2</v>
      </c>
      <c r="E103" s="1374">
        <v>1800</v>
      </c>
    </row>
    <row r="104" spans="1:5" hidden="1" x14ac:dyDescent="0.25">
      <c r="A104" s="1374" t="s">
        <v>1178</v>
      </c>
      <c r="B104" s="1374" t="s">
        <v>1179</v>
      </c>
      <c r="C104" s="1375"/>
      <c r="D104" s="1374">
        <v>5</v>
      </c>
      <c r="E104" s="1374">
        <v>7990</v>
      </c>
    </row>
    <row r="105" spans="1:5" hidden="1" x14ac:dyDescent="0.25">
      <c r="A105" s="1374" t="s">
        <v>1105</v>
      </c>
      <c r="B105" s="1374" t="s">
        <v>1180</v>
      </c>
      <c r="C105" s="1375"/>
      <c r="D105" s="1374">
        <v>1.5</v>
      </c>
      <c r="E105" s="1374">
        <v>1779.66</v>
      </c>
    </row>
    <row r="106" spans="1:5" hidden="1" x14ac:dyDescent="0.25">
      <c r="A106" s="1374" t="s">
        <v>1181</v>
      </c>
      <c r="B106" s="1374" t="s">
        <v>1182</v>
      </c>
      <c r="C106" s="1375"/>
      <c r="D106" s="1374">
        <v>0.5</v>
      </c>
      <c r="E106" s="1374">
        <v>550.79999999999995</v>
      </c>
    </row>
    <row r="107" spans="1:5" hidden="1" x14ac:dyDescent="0.25">
      <c r="A107" s="1374" t="s">
        <v>1183</v>
      </c>
      <c r="B107" s="1374" t="s">
        <v>1184</v>
      </c>
      <c r="C107" s="1375"/>
      <c r="D107" s="1374">
        <v>3</v>
      </c>
      <c r="E107" s="1374">
        <v>3393</v>
      </c>
    </row>
    <row r="108" spans="1:5" hidden="1" x14ac:dyDescent="0.25">
      <c r="A108" s="1374" t="s">
        <v>1105</v>
      </c>
      <c r="B108" s="1374" t="s">
        <v>1185</v>
      </c>
      <c r="C108" s="1375"/>
      <c r="D108" s="1374">
        <v>1.5</v>
      </c>
      <c r="E108" s="1374">
        <v>1779.66</v>
      </c>
    </row>
    <row r="109" spans="1:5" hidden="1" x14ac:dyDescent="0.25">
      <c r="A109" s="1374" t="s">
        <v>1105</v>
      </c>
      <c r="B109" s="1374" t="s">
        <v>1186</v>
      </c>
      <c r="C109" s="1375"/>
      <c r="D109" s="1374">
        <v>3.5</v>
      </c>
      <c r="E109" s="1374">
        <v>4152.54</v>
      </c>
    </row>
    <row r="110" spans="1:5" hidden="1" x14ac:dyDescent="0.25">
      <c r="A110" s="1374"/>
      <c r="B110" s="1374"/>
      <c r="C110" s="1375"/>
      <c r="D110" s="1374"/>
      <c r="E110" s="1374"/>
    </row>
    <row r="111" spans="1:5" hidden="1" x14ac:dyDescent="0.25">
      <c r="A111" s="1376" t="s">
        <v>1187</v>
      </c>
      <c r="B111" s="1376"/>
      <c r="C111" s="1377"/>
      <c r="D111" s="1376">
        <f>SUM(D95:D109)</f>
        <v>61</v>
      </c>
      <c r="E111" s="1376">
        <f>SUM(E95:E109)</f>
        <v>63364.30000000001</v>
      </c>
    </row>
    <row r="112" spans="1:5" hidden="1" x14ac:dyDescent="0.25">
      <c r="A112" s="1383" t="s">
        <v>1188</v>
      </c>
      <c r="B112" s="1376"/>
      <c r="C112" s="1376"/>
      <c r="D112" s="1376">
        <f>D90+D111</f>
        <v>1025.45</v>
      </c>
      <c r="E112" s="1376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369"/>
      <c r="B115" s="1370" t="s">
        <v>1189</v>
      </c>
      <c r="C115" s="1369"/>
      <c r="D115" s="1371"/>
      <c r="E115" s="1371"/>
    </row>
    <row r="116" spans="1:5" hidden="1" x14ac:dyDescent="0.25">
      <c r="A116" s="1371"/>
      <c r="B116" s="1371"/>
      <c r="C116" s="1371"/>
      <c r="D116" s="1371"/>
      <c r="E116" s="1371"/>
    </row>
    <row r="117" spans="1:5" hidden="1" x14ac:dyDescent="0.25">
      <c r="A117" s="1372" t="s">
        <v>1040</v>
      </c>
      <c r="B117" s="1372" t="s">
        <v>1041</v>
      </c>
      <c r="C117" s="1372" t="s">
        <v>1042</v>
      </c>
      <c r="D117" s="1372" t="s">
        <v>1043</v>
      </c>
      <c r="E117" s="1372" t="s">
        <v>45</v>
      </c>
    </row>
    <row r="118" spans="1:5" hidden="1" x14ac:dyDescent="0.25">
      <c r="A118" s="1373" t="s">
        <v>1044</v>
      </c>
      <c r="B118" s="1373" t="s">
        <v>1045</v>
      </c>
      <c r="C118" s="1373"/>
      <c r="D118" s="1373"/>
      <c r="E118" s="1373" t="s">
        <v>187</v>
      </c>
    </row>
    <row r="119" spans="1:5" hidden="1" x14ac:dyDescent="0.25">
      <c r="A119" s="1374"/>
      <c r="B119" s="1370" t="s">
        <v>1190</v>
      </c>
      <c r="C119" s="1374"/>
      <c r="D119" s="1374"/>
      <c r="E119" s="1374"/>
    </row>
    <row r="120" spans="1:5" hidden="1" x14ac:dyDescent="0.25">
      <c r="A120" s="1374" t="s">
        <v>1191</v>
      </c>
      <c r="B120" s="1374" t="s">
        <v>1192</v>
      </c>
      <c r="C120" s="1374" t="s">
        <v>1048</v>
      </c>
      <c r="D120" s="1374">
        <v>4</v>
      </c>
      <c r="E120" s="1374">
        <v>8474.57</v>
      </c>
    </row>
    <row r="121" spans="1:5" hidden="1" x14ac:dyDescent="0.25">
      <c r="A121" s="1374" t="s">
        <v>1105</v>
      </c>
      <c r="B121" s="1374" t="s">
        <v>1193</v>
      </c>
      <c r="C121" s="1375" t="s">
        <v>1051</v>
      </c>
      <c r="D121" s="1374">
        <v>0.5</v>
      </c>
      <c r="E121" s="1374">
        <v>593.22</v>
      </c>
    </row>
    <row r="122" spans="1:5" hidden="1" x14ac:dyDescent="0.25">
      <c r="A122" s="1374" t="s">
        <v>1105</v>
      </c>
      <c r="B122" s="1374" t="s">
        <v>1194</v>
      </c>
      <c r="C122" s="1375" t="s">
        <v>1051</v>
      </c>
      <c r="D122" s="1374">
        <v>1</v>
      </c>
      <c r="E122" s="1374">
        <v>1313.56</v>
      </c>
    </row>
    <row r="123" spans="1:5" hidden="1" x14ac:dyDescent="0.25">
      <c r="A123" s="1374" t="s">
        <v>1195</v>
      </c>
      <c r="B123" s="1374" t="s">
        <v>1196</v>
      </c>
      <c r="C123" s="1375" t="s">
        <v>1051</v>
      </c>
      <c r="D123" s="1374">
        <v>1</v>
      </c>
      <c r="E123" s="1374">
        <v>1356.67</v>
      </c>
    </row>
    <row r="124" spans="1:5" hidden="1" x14ac:dyDescent="0.25">
      <c r="A124" s="1374" t="s">
        <v>1150</v>
      </c>
      <c r="B124" s="1374" t="s">
        <v>1197</v>
      </c>
      <c r="C124" s="1375" t="s">
        <v>1055</v>
      </c>
      <c r="D124" s="1374">
        <v>28</v>
      </c>
      <c r="E124" s="1374">
        <v>30800</v>
      </c>
    </row>
    <row r="125" spans="1:5" hidden="1" x14ac:dyDescent="0.25">
      <c r="A125" s="1374" t="s">
        <v>1198</v>
      </c>
      <c r="B125" s="1374" t="s">
        <v>1199</v>
      </c>
      <c r="C125" s="1375" t="s">
        <v>1051</v>
      </c>
      <c r="D125" s="1374">
        <v>27</v>
      </c>
      <c r="E125" s="1374">
        <v>35059.5</v>
      </c>
    </row>
    <row r="126" spans="1:5" hidden="1" x14ac:dyDescent="0.25">
      <c r="A126" s="1374" t="s">
        <v>1200</v>
      </c>
      <c r="B126" s="1374" t="s">
        <v>1201</v>
      </c>
      <c r="C126" s="1375" t="s">
        <v>1202</v>
      </c>
      <c r="D126" s="1374">
        <v>2</v>
      </c>
      <c r="E126" s="1374">
        <v>1803.8</v>
      </c>
    </row>
    <row r="127" spans="1:5" hidden="1" x14ac:dyDescent="0.25">
      <c r="A127" s="1374" t="s">
        <v>1137</v>
      </c>
      <c r="B127" s="1374" t="s">
        <v>1197</v>
      </c>
      <c r="C127" s="1375" t="s">
        <v>1091</v>
      </c>
      <c r="D127" s="1374">
        <v>7</v>
      </c>
      <c r="E127" s="1374">
        <v>7000</v>
      </c>
    </row>
    <row r="128" spans="1:5" hidden="1" x14ac:dyDescent="0.25">
      <c r="A128" s="1374" t="s">
        <v>1095</v>
      </c>
      <c r="B128" s="1374" t="s">
        <v>1199</v>
      </c>
      <c r="C128" s="1375" t="s">
        <v>1051</v>
      </c>
      <c r="D128" s="1374">
        <v>4</v>
      </c>
      <c r="E128" s="1374">
        <v>5280</v>
      </c>
    </row>
    <row r="129" spans="1:5" hidden="1" x14ac:dyDescent="0.25">
      <c r="A129" s="1374" t="s">
        <v>1203</v>
      </c>
      <c r="B129" s="1374" t="s">
        <v>1204</v>
      </c>
      <c r="C129" s="1375" t="s">
        <v>1051</v>
      </c>
      <c r="D129" s="1374">
        <v>0.5</v>
      </c>
      <c r="E129" s="1374">
        <v>550.79999999999995</v>
      </c>
    </row>
    <row r="130" spans="1:5" hidden="1" x14ac:dyDescent="0.25">
      <c r="A130" s="1376" t="s">
        <v>1205</v>
      </c>
      <c r="B130" s="1376"/>
      <c r="C130" s="1377"/>
      <c r="D130" s="1376">
        <f>SUM(D120:D129)</f>
        <v>75</v>
      </c>
      <c r="E130" s="1376">
        <f>SUM(E120:E129)</f>
        <v>92232.12</v>
      </c>
    </row>
    <row r="131" spans="1:5" hidden="1" x14ac:dyDescent="0.25">
      <c r="A131" s="1384"/>
      <c r="B131" s="1381" t="s">
        <v>1206</v>
      </c>
      <c r="C131" s="1375"/>
      <c r="D131" s="1374"/>
      <c r="E131" s="1374"/>
    </row>
    <row r="132" spans="1:5" hidden="1" x14ac:dyDescent="0.25">
      <c r="A132" s="1372" t="s">
        <v>1040</v>
      </c>
      <c r="B132" s="1372" t="s">
        <v>1041</v>
      </c>
      <c r="C132" s="1372" t="s">
        <v>1042</v>
      </c>
      <c r="D132" s="1372" t="s">
        <v>45</v>
      </c>
      <c r="E132" s="1372" t="s">
        <v>45</v>
      </c>
    </row>
    <row r="133" spans="1:5" hidden="1" x14ac:dyDescent="0.25">
      <c r="A133" s="1373" t="s">
        <v>1044</v>
      </c>
      <c r="B133" s="1373" t="s">
        <v>1045</v>
      </c>
      <c r="C133" s="1373"/>
      <c r="D133" s="1373" t="s">
        <v>187</v>
      </c>
      <c r="E133" s="1373" t="s">
        <v>187</v>
      </c>
    </row>
    <row r="134" spans="1:5" hidden="1" x14ac:dyDescent="0.25">
      <c r="A134" s="1374" t="s">
        <v>1198</v>
      </c>
      <c r="B134" s="1374" t="s">
        <v>1207</v>
      </c>
      <c r="C134" s="1375" t="s">
        <v>1055</v>
      </c>
      <c r="D134" s="1374">
        <v>39</v>
      </c>
      <c r="E134" s="1374">
        <v>50641.5</v>
      </c>
    </row>
    <row r="135" spans="1:5" hidden="1" x14ac:dyDescent="0.25">
      <c r="A135" s="1374" t="s">
        <v>1137</v>
      </c>
      <c r="B135" s="1374" t="s">
        <v>1208</v>
      </c>
      <c r="C135" s="1375" t="s">
        <v>1055</v>
      </c>
      <c r="D135" s="1374">
        <v>49</v>
      </c>
      <c r="E135" s="1374">
        <v>53900</v>
      </c>
    </row>
    <row r="136" spans="1:5" hidden="1" x14ac:dyDescent="0.25">
      <c r="A136" s="1374" t="s">
        <v>1209</v>
      </c>
      <c r="B136" s="1374" t="s">
        <v>1210</v>
      </c>
      <c r="C136" s="1375" t="s">
        <v>1091</v>
      </c>
      <c r="D136" s="1374">
        <v>205</v>
      </c>
      <c r="E136" s="1374">
        <v>266192.5</v>
      </c>
    </row>
    <row r="137" spans="1:5" hidden="1" x14ac:dyDescent="0.25">
      <c r="A137" s="1374" t="s">
        <v>1198</v>
      </c>
      <c r="B137" s="1374" t="s">
        <v>1211</v>
      </c>
      <c r="C137" s="1375" t="s">
        <v>1055</v>
      </c>
      <c r="D137" s="1374">
        <v>79</v>
      </c>
      <c r="E137" s="1374">
        <v>102581.5</v>
      </c>
    </row>
    <row r="138" spans="1:5" hidden="1" x14ac:dyDescent="0.25">
      <c r="A138" s="1374" t="s">
        <v>1137</v>
      </c>
      <c r="B138" s="1374" t="s">
        <v>1099</v>
      </c>
      <c r="C138" s="1375" t="s">
        <v>1121</v>
      </c>
      <c r="D138" s="1374">
        <v>4</v>
      </c>
      <c r="E138" s="1374">
        <v>4000</v>
      </c>
    </row>
    <row r="139" spans="1:5" hidden="1" x14ac:dyDescent="0.25">
      <c r="A139" s="1374" t="s">
        <v>1137</v>
      </c>
      <c r="B139" s="1374" t="s">
        <v>1212</v>
      </c>
      <c r="C139" s="1375" t="s">
        <v>1121</v>
      </c>
      <c r="D139" s="1374">
        <v>8</v>
      </c>
      <c r="E139" s="1374">
        <v>8000</v>
      </c>
    </row>
    <row r="140" spans="1:5" hidden="1" x14ac:dyDescent="0.25">
      <c r="A140" s="1374" t="s">
        <v>1105</v>
      </c>
      <c r="B140" s="1374" t="s">
        <v>1213</v>
      </c>
      <c r="C140" s="1375" t="s">
        <v>1214</v>
      </c>
      <c r="D140" s="1374">
        <v>0.5</v>
      </c>
      <c r="E140" s="1374">
        <v>656.78</v>
      </c>
    </row>
    <row r="141" spans="1:5" hidden="1" x14ac:dyDescent="0.25">
      <c r="A141" s="1374" t="s">
        <v>1105</v>
      </c>
      <c r="B141" s="1374" t="s">
        <v>1215</v>
      </c>
      <c r="C141" s="1375" t="s">
        <v>1214</v>
      </c>
      <c r="D141" s="1374">
        <v>0.5</v>
      </c>
      <c r="E141" s="1374">
        <v>656.78</v>
      </c>
    </row>
    <row r="142" spans="1:5" hidden="1" x14ac:dyDescent="0.25">
      <c r="A142" s="1374" t="s">
        <v>1105</v>
      </c>
      <c r="B142" s="1374" t="s">
        <v>1216</v>
      </c>
      <c r="C142" s="1375" t="s">
        <v>1214</v>
      </c>
      <c r="D142" s="1374">
        <v>0.5</v>
      </c>
      <c r="E142" s="1374">
        <v>656.78</v>
      </c>
    </row>
    <row r="143" spans="1:5" hidden="1" x14ac:dyDescent="0.25">
      <c r="A143" s="1374" t="s">
        <v>1183</v>
      </c>
      <c r="B143" s="1374" t="s">
        <v>1217</v>
      </c>
      <c r="C143" s="1375" t="s">
        <v>1214</v>
      </c>
      <c r="D143" s="1374">
        <v>6</v>
      </c>
      <c r="E143" s="1374">
        <v>6176</v>
      </c>
    </row>
    <row r="144" spans="1:5" hidden="1" x14ac:dyDescent="0.25">
      <c r="A144" s="1374" t="s">
        <v>1218</v>
      </c>
      <c r="B144" s="1374" t="s">
        <v>1219</v>
      </c>
      <c r="C144" s="1375" t="s">
        <v>1214</v>
      </c>
      <c r="D144" s="1374">
        <v>0.5</v>
      </c>
      <c r="E144" s="1374">
        <v>550.79999999999995</v>
      </c>
    </row>
    <row r="145" spans="1:5" hidden="1" x14ac:dyDescent="0.25">
      <c r="A145" s="1374" t="s">
        <v>1137</v>
      </c>
      <c r="B145" s="1374" t="s">
        <v>1220</v>
      </c>
      <c r="C145" s="1375" t="s">
        <v>1214</v>
      </c>
      <c r="D145" s="1374">
        <v>7</v>
      </c>
      <c r="E145" s="1374">
        <v>7000</v>
      </c>
    </row>
    <row r="146" spans="1:5" hidden="1" x14ac:dyDescent="0.25">
      <c r="A146" s="1374" t="s">
        <v>1137</v>
      </c>
      <c r="B146" s="1374" t="s">
        <v>1099</v>
      </c>
      <c r="C146" s="1375" t="s">
        <v>1214</v>
      </c>
      <c r="D146" s="1374">
        <v>4</v>
      </c>
      <c r="E146" s="1374">
        <v>4000</v>
      </c>
    </row>
    <row r="147" spans="1:5" hidden="1" x14ac:dyDescent="0.25">
      <c r="A147" s="1376" t="s">
        <v>1221</v>
      </c>
      <c r="B147" s="1376"/>
      <c r="C147" s="1376"/>
      <c r="D147" s="1376">
        <f>SUM(D134:D146)</f>
        <v>403</v>
      </c>
      <c r="E147" s="1376">
        <f>SUM(E134:E146)</f>
        <v>505012.64000000007</v>
      </c>
    </row>
    <row r="148" spans="1:5" hidden="1" x14ac:dyDescent="0.25">
      <c r="A148" s="1381" t="s">
        <v>1222</v>
      </c>
      <c r="B148" s="1376"/>
      <c r="C148" s="1376"/>
      <c r="D148" s="1376">
        <f>D130+D147</f>
        <v>478</v>
      </c>
      <c r="E148" s="1376">
        <f>E130+E147</f>
        <v>597244.76</v>
      </c>
    </row>
    <row r="149" spans="1:5" hidden="1" x14ac:dyDescent="0.25">
      <c r="A149" s="1385" t="s">
        <v>1223</v>
      </c>
      <c r="B149" s="1386"/>
      <c r="C149" s="1386"/>
      <c r="D149" s="1386"/>
      <c r="E149" s="1386"/>
    </row>
    <row r="150" spans="1:5" hidden="1" x14ac:dyDescent="0.25">
      <c r="A150" s="1374" t="s">
        <v>1218</v>
      </c>
      <c r="B150" s="1374" t="s">
        <v>1224</v>
      </c>
      <c r="C150" s="1375" t="s">
        <v>1214</v>
      </c>
      <c r="D150" s="1374">
        <v>0.5</v>
      </c>
      <c r="E150" s="1374">
        <v>550.79999999999995</v>
      </c>
    </row>
    <row r="151" spans="1:5" hidden="1" x14ac:dyDescent="0.25">
      <c r="A151" s="1387" t="s">
        <v>1225</v>
      </c>
      <c r="B151" s="1387" t="s">
        <v>1226</v>
      </c>
      <c r="C151" s="1375" t="s">
        <v>1214</v>
      </c>
      <c r="D151" s="1386">
        <v>1</v>
      </c>
      <c r="E151" s="1387">
        <v>1351.7</v>
      </c>
    </row>
    <row r="152" spans="1:5" hidden="1" x14ac:dyDescent="0.25">
      <c r="A152" s="1387" t="s">
        <v>1227</v>
      </c>
      <c r="B152" s="1386" t="s">
        <v>1228</v>
      </c>
      <c r="C152" s="1388" t="s">
        <v>1091</v>
      </c>
      <c r="D152" s="1386">
        <v>89</v>
      </c>
      <c r="E152" s="1387">
        <v>115566.5</v>
      </c>
    </row>
    <row r="153" spans="1:5" hidden="1" x14ac:dyDescent="0.25">
      <c r="A153" s="1387" t="s">
        <v>1229</v>
      </c>
      <c r="B153" s="1387" t="s">
        <v>1230</v>
      </c>
      <c r="C153" s="1388" t="s">
        <v>1055</v>
      </c>
      <c r="D153" s="1387">
        <v>70</v>
      </c>
      <c r="E153" s="1387">
        <v>90895</v>
      </c>
    </row>
    <row r="154" spans="1:5" hidden="1" x14ac:dyDescent="0.25">
      <c r="A154" s="1374" t="s">
        <v>1231</v>
      </c>
      <c r="B154" s="1374" t="s">
        <v>1232</v>
      </c>
      <c r="C154" s="1375" t="s">
        <v>1121</v>
      </c>
      <c r="D154" s="1374">
        <v>1</v>
      </c>
      <c r="E154" s="1374">
        <v>1000</v>
      </c>
    </row>
    <row r="155" spans="1:5" hidden="1" x14ac:dyDescent="0.25">
      <c r="A155" s="1385" t="s">
        <v>1233</v>
      </c>
      <c r="B155" s="1384"/>
      <c r="C155" s="1384"/>
      <c r="D155" s="1384">
        <f>D150+D151+D152+D153+D154</f>
        <v>161.5</v>
      </c>
      <c r="E155" s="1384">
        <f>E150+E151+E152+E153+E154</f>
        <v>209364</v>
      </c>
    </row>
    <row r="156" spans="1:5" hidden="1" x14ac:dyDescent="0.25">
      <c r="A156" s="1385" t="s">
        <v>270</v>
      </c>
      <c r="B156" s="1374"/>
      <c r="C156" s="1374"/>
      <c r="D156" s="1374"/>
      <c r="E156" s="1374"/>
    </row>
    <row r="157" spans="1:5" hidden="1" x14ac:dyDescent="0.25">
      <c r="A157" s="1374" t="s">
        <v>1231</v>
      </c>
      <c r="B157" s="1374" t="s">
        <v>1234</v>
      </c>
      <c r="C157" s="1375" t="s">
        <v>1214</v>
      </c>
      <c r="D157" s="1374">
        <v>2</v>
      </c>
      <c r="E157" s="1374">
        <v>2000</v>
      </c>
    </row>
    <row r="158" spans="1:5" hidden="1" x14ac:dyDescent="0.25">
      <c r="A158" s="1374" t="s">
        <v>1231</v>
      </c>
      <c r="B158" s="1374" t="s">
        <v>1235</v>
      </c>
      <c r="C158" s="1375" t="s">
        <v>1121</v>
      </c>
      <c r="D158" s="1374">
        <v>12</v>
      </c>
      <c r="E158" s="1374">
        <v>12000</v>
      </c>
    </row>
    <row r="159" spans="1:5" hidden="1" x14ac:dyDescent="0.25">
      <c r="A159" s="1386" t="s">
        <v>1236</v>
      </c>
      <c r="B159" s="1386" t="s">
        <v>1237</v>
      </c>
      <c r="C159" s="1375" t="s">
        <v>1214</v>
      </c>
      <c r="D159" s="1386">
        <v>4</v>
      </c>
      <c r="E159" s="1386">
        <v>8800</v>
      </c>
    </row>
    <row r="160" spans="1:5" hidden="1" x14ac:dyDescent="0.25">
      <c r="A160" s="1374" t="s">
        <v>1203</v>
      </c>
      <c r="B160" s="1374" t="s">
        <v>1238</v>
      </c>
      <c r="C160" s="1375" t="s">
        <v>1214</v>
      </c>
      <c r="D160" s="1374">
        <v>0.5</v>
      </c>
      <c r="E160" s="1374">
        <v>550.79999999999995</v>
      </c>
    </row>
    <row r="161" spans="1:5" hidden="1" x14ac:dyDescent="0.25">
      <c r="A161" s="1386" t="s">
        <v>1183</v>
      </c>
      <c r="B161" s="1386" t="s">
        <v>1239</v>
      </c>
      <c r="C161" s="1386" t="s">
        <v>1116</v>
      </c>
      <c r="D161" s="1386">
        <v>5</v>
      </c>
      <c r="E161" s="1386">
        <v>5655</v>
      </c>
    </row>
    <row r="162" spans="1:5" hidden="1" x14ac:dyDescent="0.25">
      <c r="A162" s="1386" t="s">
        <v>1240</v>
      </c>
      <c r="B162" s="1386"/>
      <c r="C162" s="1386"/>
      <c r="D162" s="1386">
        <f>D157+D158+D159+D160+D161</f>
        <v>23.5</v>
      </c>
      <c r="E162" s="1386">
        <f>E157+E158+E159+E160+E161</f>
        <v>29005.8</v>
      </c>
    </row>
    <row r="163" spans="1:5" hidden="1" x14ac:dyDescent="0.25">
      <c r="A163" s="1389" t="s">
        <v>1241</v>
      </c>
      <c r="B163" s="1390"/>
      <c r="C163" s="1390"/>
      <c r="D163" s="1390">
        <v>0</v>
      </c>
      <c r="E163" s="1389">
        <v>0</v>
      </c>
    </row>
    <row r="164" spans="1:5" hidden="1" x14ac:dyDescent="0.25">
      <c r="A164" s="1389" t="s">
        <v>1242</v>
      </c>
      <c r="B164" s="1390"/>
      <c r="C164" s="1390"/>
      <c r="D164" s="1391">
        <f>D148+D155+D162+D163</f>
        <v>663</v>
      </c>
      <c r="E164" s="1390">
        <f>E148+E155+E162+E163</f>
        <v>835614.56</v>
      </c>
    </row>
    <row r="165" spans="1:5" hidden="1" x14ac:dyDescent="0.25">
      <c r="A165" s="1390" t="s">
        <v>271</v>
      </c>
      <c r="B165" s="1386"/>
      <c r="C165" s="1386"/>
      <c r="D165" s="1390">
        <f>D166+D167</f>
        <v>1.5</v>
      </c>
      <c r="E165" s="1390">
        <f>E166+E167</f>
        <v>2078.9300000000003</v>
      </c>
    </row>
    <row r="166" spans="1:5" hidden="1" x14ac:dyDescent="0.25">
      <c r="A166" s="1386" t="s">
        <v>1243</v>
      </c>
      <c r="B166" s="1386" t="s">
        <v>1244</v>
      </c>
      <c r="C166" s="1386" t="s">
        <v>1245</v>
      </c>
      <c r="D166" s="1386">
        <v>1</v>
      </c>
      <c r="E166" s="1386">
        <v>1528.13</v>
      </c>
    </row>
    <row r="167" spans="1:5" hidden="1" x14ac:dyDescent="0.25">
      <c r="A167" s="1386" t="s">
        <v>1218</v>
      </c>
      <c r="B167" s="1386" t="s">
        <v>1246</v>
      </c>
      <c r="C167" s="1386" t="s">
        <v>1247</v>
      </c>
      <c r="D167" s="1386">
        <v>0.5</v>
      </c>
      <c r="E167" s="1386">
        <v>550.79999999999995</v>
      </c>
    </row>
    <row r="168" spans="1:5" hidden="1" x14ac:dyDescent="0.25">
      <c r="A168" s="1390" t="s">
        <v>272</v>
      </c>
      <c r="B168" s="1386"/>
      <c r="C168" s="1386"/>
      <c r="D168" s="1390">
        <f>D169+D170</f>
        <v>9</v>
      </c>
      <c r="E168" s="1390">
        <f>E169+E170</f>
        <v>8791.41</v>
      </c>
    </row>
    <row r="169" spans="1:5" hidden="1" x14ac:dyDescent="0.25">
      <c r="A169" s="1386" t="s">
        <v>1248</v>
      </c>
      <c r="B169" s="1386" t="s">
        <v>1249</v>
      </c>
      <c r="C169" s="1386" t="s">
        <v>1250</v>
      </c>
      <c r="D169" s="1386">
        <v>9</v>
      </c>
      <c r="E169" s="1386">
        <v>10179</v>
      </c>
    </row>
    <row r="170" spans="1:5" hidden="1" x14ac:dyDescent="0.25">
      <c r="A170" s="1392" t="s">
        <v>1251</v>
      </c>
      <c r="B170" s="1382"/>
      <c r="C170" s="1382"/>
      <c r="D170" s="1382"/>
      <c r="E170" s="1392">
        <v>-1387.59</v>
      </c>
    </row>
    <row r="171" spans="1:5" hidden="1" x14ac:dyDescent="0.25">
      <c r="A171" s="1389" t="s">
        <v>1252</v>
      </c>
      <c r="B171" s="1382"/>
      <c r="C171" s="1382"/>
      <c r="D171" s="1393">
        <f>D172</f>
        <v>22</v>
      </c>
      <c r="E171" s="1393">
        <f>E172</f>
        <v>22000</v>
      </c>
    </row>
    <row r="172" spans="1:5" hidden="1" x14ac:dyDescent="0.25">
      <c r="A172" s="1392" t="s">
        <v>1150</v>
      </c>
      <c r="B172" s="1386" t="s">
        <v>1253</v>
      </c>
      <c r="C172" s="1386" t="s">
        <v>1254</v>
      </c>
      <c r="D172" s="1382">
        <v>22</v>
      </c>
      <c r="E172" s="1392">
        <v>22000</v>
      </c>
    </row>
    <row r="173" spans="1:5" hidden="1" x14ac:dyDescent="0.25">
      <c r="A173" s="1389" t="s">
        <v>1255</v>
      </c>
      <c r="B173" s="1393"/>
      <c r="C173" s="1393"/>
      <c r="D173" s="1393">
        <f>D164+D165+D168+D171</f>
        <v>695.5</v>
      </c>
      <c r="E173" s="1393">
        <f>E164+E165+E168+E171</f>
        <v>868484.90000000014</v>
      </c>
    </row>
    <row r="174" spans="1:5" hidden="1" x14ac:dyDescent="0.25"/>
    <row r="175" spans="1:5" hidden="1" x14ac:dyDescent="0.25">
      <c r="A175" s="1369"/>
      <c r="B175" s="1370" t="s">
        <v>1256</v>
      </c>
      <c r="C175" s="1369"/>
      <c r="D175" s="1371"/>
      <c r="E175" s="1371"/>
    </row>
    <row r="176" spans="1:5" hidden="1" x14ac:dyDescent="0.25">
      <c r="A176" s="1371"/>
      <c r="B176" s="1371"/>
      <c r="C176" s="1371"/>
      <c r="D176" s="1371"/>
      <c r="E176" s="1371"/>
    </row>
    <row r="177" spans="1:8" hidden="1" x14ac:dyDescent="0.25">
      <c r="A177" s="1372" t="s">
        <v>1040</v>
      </c>
      <c r="B177" s="1372" t="s">
        <v>1041</v>
      </c>
      <c r="C177" s="1372" t="s">
        <v>1042</v>
      </c>
      <c r="D177" s="1372" t="s">
        <v>1043</v>
      </c>
      <c r="E177" s="1372" t="s">
        <v>45</v>
      </c>
    </row>
    <row r="178" spans="1:8" hidden="1" x14ac:dyDescent="0.25">
      <c r="A178" s="1373" t="s">
        <v>1044</v>
      </c>
      <c r="B178" s="1373" t="s">
        <v>1045</v>
      </c>
      <c r="C178" s="1373"/>
      <c r="D178" s="1373"/>
      <c r="E178" s="1373" t="s">
        <v>187</v>
      </c>
    </row>
    <row r="179" spans="1:8" hidden="1" x14ac:dyDescent="0.25">
      <c r="A179" s="1374"/>
      <c r="B179" s="1370" t="s">
        <v>1257</v>
      </c>
      <c r="C179" s="1374"/>
      <c r="D179" s="1374"/>
      <c r="E179" s="1374"/>
    </row>
    <row r="180" spans="1:8" hidden="1" x14ac:dyDescent="0.25">
      <c r="A180" s="1374" t="s">
        <v>1258</v>
      </c>
      <c r="B180" s="1374" t="s">
        <v>1259</v>
      </c>
      <c r="C180" s="1394" t="s">
        <v>1123</v>
      </c>
      <c r="D180" s="1374">
        <v>44</v>
      </c>
      <c r="E180" s="1374">
        <v>57134</v>
      </c>
    </row>
    <row r="181" spans="1:8" hidden="1" x14ac:dyDescent="0.25">
      <c r="A181" s="1374" t="s">
        <v>1258</v>
      </c>
      <c r="B181" s="1374" t="s">
        <v>1260</v>
      </c>
      <c r="C181" s="1394" t="s">
        <v>1123</v>
      </c>
      <c r="D181" s="1374">
        <v>82</v>
      </c>
      <c r="E181" s="1374">
        <v>106477</v>
      </c>
    </row>
    <row r="182" spans="1:8" hidden="1" x14ac:dyDescent="0.25">
      <c r="A182" s="1374" t="s">
        <v>1105</v>
      </c>
      <c r="B182" s="1374" t="s">
        <v>1261</v>
      </c>
      <c r="C182" s="1394" t="s">
        <v>1262</v>
      </c>
      <c r="D182" s="1374">
        <v>3.2</v>
      </c>
      <c r="E182" s="1374">
        <v>4881.3599999999997</v>
      </c>
    </row>
    <row r="183" spans="1:8" hidden="1" x14ac:dyDescent="0.25">
      <c r="A183" s="1374" t="s">
        <v>1203</v>
      </c>
      <c r="B183" s="1374" t="s">
        <v>1263</v>
      </c>
      <c r="C183" s="1394" t="s">
        <v>1264</v>
      </c>
      <c r="D183" s="1374">
        <v>0.5</v>
      </c>
      <c r="E183" s="1374">
        <v>556.5</v>
      </c>
    </row>
    <row r="184" spans="1:8" hidden="1" x14ac:dyDescent="0.25">
      <c r="A184" s="1374" t="s">
        <v>1203</v>
      </c>
      <c r="B184" s="1374" t="s">
        <v>1265</v>
      </c>
      <c r="C184" s="1394" t="s">
        <v>1266</v>
      </c>
      <c r="D184" s="1374">
        <v>0.5</v>
      </c>
      <c r="E184" s="1374">
        <v>618.29999999999995</v>
      </c>
    </row>
    <row r="185" spans="1:8" hidden="1" x14ac:dyDescent="0.25">
      <c r="A185" s="1374" t="s">
        <v>1150</v>
      </c>
      <c r="B185" s="1374" t="s">
        <v>1267</v>
      </c>
      <c r="C185" s="1394" t="s">
        <v>1268</v>
      </c>
      <c r="D185" s="1374">
        <v>4</v>
      </c>
      <c r="E185" s="1374">
        <v>4000</v>
      </c>
    </row>
    <row r="186" spans="1:8" hidden="1" x14ac:dyDescent="0.25">
      <c r="A186" s="1374" t="s">
        <v>1269</v>
      </c>
      <c r="B186" s="1374" t="s">
        <v>1270</v>
      </c>
      <c r="C186" s="1394" t="s">
        <v>1271</v>
      </c>
      <c r="D186" s="1374">
        <v>37</v>
      </c>
      <c r="E186" s="1374">
        <v>48044.5</v>
      </c>
    </row>
    <row r="187" spans="1:8" hidden="1" x14ac:dyDescent="0.25">
      <c r="A187" s="1374" t="s">
        <v>1150</v>
      </c>
      <c r="B187" s="1374" t="s">
        <v>1272</v>
      </c>
      <c r="C187" s="1394" t="s">
        <v>1268</v>
      </c>
      <c r="D187" s="1374">
        <v>4</v>
      </c>
      <c r="E187" s="1374">
        <v>4000</v>
      </c>
    </row>
    <row r="188" spans="1:8" hidden="1" x14ac:dyDescent="0.25">
      <c r="A188" s="1374" t="s">
        <v>1273</v>
      </c>
      <c r="B188" s="1374" t="s">
        <v>1274</v>
      </c>
      <c r="C188" s="1394"/>
      <c r="D188" s="1374"/>
      <c r="E188" s="1374">
        <v>3573.08</v>
      </c>
    </row>
    <row r="189" spans="1:8" hidden="1" x14ac:dyDescent="0.25">
      <c r="A189" s="1376" t="s">
        <v>1275</v>
      </c>
      <c r="B189" s="1376"/>
      <c r="C189" s="1395"/>
      <c r="D189" s="1376">
        <f>SUM(D180:D188)</f>
        <v>175.2</v>
      </c>
      <c r="E189" s="1376">
        <f>SUM(E180:E188)</f>
        <v>229284.73999999996</v>
      </c>
    </row>
    <row r="190" spans="1:8" hidden="1" x14ac:dyDescent="0.25">
      <c r="A190" s="1385" t="s">
        <v>267</v>
      </c>
      <c r="B190" s="1382"/>
      <c r="C190" s="1396"/>
      <c r="D190" s="1382"/>
      <c r="E190" s="1382"/>
    </row>
    <row r="191" spans="1:8" hidden="1" x14ac:dyDescent="0.25">
      <c r="A191" s="1387" t="s">
        <v>1229</v>
      </c>
      <c r="B191" s="1387" t="s">
        <v>1276</v>
      </c>
      <c r="C191" s="1397" t="s">
        <v>1277</v>
      </c>
      <c r="D191" s="1386">
        <v>118</v>
      </c>
      <c r="E191" s="1387">
        <v>153481</v>
      </c>
      <c r="G191" s="1337">
        <f>E191+E192+E193+E194+E199+E200+E201+E204+E211+E213+E214</f>
        <v>770253.5</v>
      </c>
      <c r="H191" s="1337" t="s">
        <v>1278</v>
      </c>
    </row>
    <row r="192" spans="1:8" hidden="1" x14ac:dyDescent="0.25">
      <c r="A192" s="1387" t="s">
        <v>1258</v>
      </c>
      <c r="B192" s="1387" t="s">
        <v>1279</v>
      </c>
      <c r="C192" s="1397" t="s">
        <v>1277</v>
      </c>
      <c r="D192" s="1386">
        <v>65</v>
      </c>
      <c r="E192" s="1387">
        <v>84402.5</v>
      </c>
    </row>
    <row r="193" spans="1:5" hidden="1" x14ac:dyDescent="0.25">
      <c r="A193" s="1387" t="s">
        <v>1258</v>
      </c>
      <c r="B193" s="1387" t="s">
        <v>1280</v>
      </c>
      <c r="C193" s="1397" t="s">
        <v>1277</v>
      </c>
      <c r="D193" s="1386">
        <v>63</v>
      </c>
      <c r="E193" s="1387">
        <v>81805.5</v>
      </c>
    </row>
    <row r="194" spans="1:5" hidden="1" x14ac:dyDescent="0.25">
      <c r="A194" s="1387" t="s">
        <v>1229</v>
      </c>
      <c r="B194" s="1387" t="s">
        <v>1281</v>
      </c>
      <c r="C194" s="1397" t="s">
        <v>1277</v>
      </c>
      <c r="D194" s="1386">
        <v>48</v>
      </c>
      <c r="E194" s="1387">
        <v>63360</v>
      </c>
    </row>
    <row r="195" spans="1:5" hidden="1" x14ac:dyDescent="0.25">
      <c r="A195" s="1386" t="s">
        <v>1105</v>
      </c>
      <c r="B195" s="1386" t="s">
        <v>1282</v>
      </c>
      <c r="C195" s="1397" t="s">
        <v>1283</v>
      </c>
      <c r="D195" s="1386">
        <v>4</v>
      </c>
      <c r="E195" s="1386">
        <v>3288.14</v>
      </c>
    </row>
    <row r="196" spans="1:5" hidden="1" x14ac:dyDescent="0.25">
      <c r="A196" s="1386" t="s">
        <v>1105</v>
      </c>
      <c r="B196" s="1386" t="s">
        <v>1282</v>
      </c>
      <c r="C196" s="1397" t="s">
        <v>1284</v>
      </c>
      <c r="D196" s="1386">
        <v>2.67</v>
      </c>
      <c r="E196" s="1386">
        <v>4186.0200000000004</v>
      </c>
    </row>
    <row r="197" spans="1:5" hidden="1" x14ac:dyDescent="0.25">
      <c r="A197" s="1386" t="s">
        <v>1105</v>
      </c>
      <c r="B197" s="1386" t="s">
        <v>1285</v>
      </c>
      <c r="C197" s="1397" t="s">
        <v>1284</v>
      </c>
      <c r="D197" s="1386">
        <v>1.25</v>
      </c>
      <c r="E197" s="1386">
        <v>1959.75</v>
      </c>
    </row>
    <row r="198" spans="1:5" hidden="1" x14ac:dyDescent="0.25">
      <c r="A198" s="1386" t="s">
        <v>1105</v>
      </c>
      <c r="B198" s="1386" t="s">
        <v>1286</v>
      </c>
      <c r="C198" s="1397" t="s">
        <v>1287</v>
      </c>
      <c r="D198" s="1386">
        <v>1.5</v>
      </c>
      <c r="E198" s="1386">
        <v>2351.6999999999998</v>
      </c>
    </row>
    <row r="199" spans="1:5" hidden="1" x14ac:dyDescent="0.25">
      <c r="A199" s="1374" t="s">
        <v>1288</v>
      </c>
      <c r="B199" s="1374" t="s">
        <v>1289</v>
      </c>
      <c r="C199" s="1394" t="s">
        <v>1290</v>
      </c>
      <c r="D199" s="1374">
        <v>22</v>
      </c>
      <c r="E199" s="1374">
        <v>24200</v>
      </c>
    </row>
    <row r="200" spans="1:5" hidden="1" x14ac:dyDescent="0.25">
      <c r="A200" s="1374" t="s">
        <v>1288</v>
      </c>
      <c r="B200" s="1374" t="s">
        <v>1291</v>
      </c>
      <c r="C200" s="1394" t="s">
        <v>1290</v>
      </c>
      <c r="D200" s="1374">
        <v>32</v>
      </c>
      <c r="E200" s="1374">
        <v>32000</v>
      </c>
    </row>
    <row r="201" spans="1:5" hidden="1" x14ac:dyDescent="0.25">
      <c r="A201" s="1374" t="s">
        <v>1288</v>
      </c>
      <c r="B201" s="1374" t="s">
        <v>1292</v>
      </c>
      <c r="C201" s="1394" t="s">
        <v>1290</v>
      </c>
      <c r="D201" s="1374">
        <v>18</v>
      </c>
      <c r="E201" s="1374">
        <v>18000</v>
      </c>
    </row>
    <row r="202" spans="1:5" hidden="1" x14ac:dyDescent="0.25">
      <c r="A202" s="1390" t="s">
        <v>1293</v>
      </c>
      <c r="B202" s="1386"/>
      <c r="C202" s="1397"/>
      <c r="D202" s="1390">
        <f>D191+D192+D193+D194+D195+D196+D197+D198+D199+D200+D201</f>
        <v>375.42</v>
      </c>
      <c r="E202" s="1390">
        <f>E191+E192+E193+E194+E195+E196+E197+E198+E199+E200+E201</f>
        <v>469034.61000000004</v>
      </c>
    </row>
    <row r="203" spans="1:5" hidden="1" x14ac:dyDescent="0.25">
      <c r="A203" s="1390" t="s">
        <v>268</v>
      </c>
      <c r="B203" s="1386"/>
      <c r="C203" s="1397"/>
      <c r="D203" s="1386"/>
      <c r="E203" s="1386"/>
    </row>
    <row r="204" spans="1:5" hidden="1" x14ac:dyDescent="0.25">
      <c r="A204" s="1386" t="s">
        <v>1258</v>
      </c>
      <c r="B204" s="1386" t="s">
        <v>1294</v>
      </c>
      <c r="C204" s="1397" t="s">
        <v>1295</v>
      </c>
      <c r="D204" s="1386">
        <v>56</v>
      </c>
      <c r="E204" s="1386">
        <v>72716</v>
      </c>
    </row>
    <row r="205" spans="1:5" hidden="1" x14ac:dyDescent="0.25">
      <c r="A205" s="1386" t="s">
        <v>1296</v>
      </c>
      <c r="B205" s="1386" t="s">
        <v>1297</v>
      </c>
      <c r="C205" s="1397" t="s">
        <v>1298</v>
      </c>
      <c r="D205" s="1386">
        <v>8</v>
      </c>
      <c r="E205" s="1386">
        <v>12000</v>
      </c>
    </row>
    <row r="206" spans="1:5" hidden="1" x14ac:dyDescent="0.25">
      <c r="A206" s="1386" t="s">
        <v>1139</v>
      </c>
      <c r="B206" s="1386" t="s">
        <v>1299</v>
      </c>
      <c r="C206" s="1397" t="s">
        <v>1300</v>
      </c>
      <c r="D206" s="1386">
        <v>6</v>
      </c>
      <c r="E206" s="1386">
        <v>13200</v>
      </c>
    </row>
    <row r="207" spans="1:5" hidden="1" x14ac:dyDescent="0.25">
      <c r="A207" s="1389" t="s">
        <v>1301</v>
      </c>
      <c r="B207" s="1390"/>
      <c r="C207" s="1398"/>
      <c r="D207" s="1390">
        <f>D204+D205+D206</f>
        <v>70</v>
      </c>
      <c r="E207" s="1390">
        <f>E204+E205+E206</f>
        <v>97916</v>
      </c>
    </row>
    <row r="208" spans="1:5" hidden="1" x14ac:dyDescent="0.25">
      <c r="A208" s="1392" t="s">
        <v>269</v>
      </c>
      <c r="B208" s="1382"/>
      <c r="C208" s="1396"/>
      <c r="D208" s="1382"/>
      <c r="E208" s="1392">
        <v>0</v>
      </c>
    </row>
    <row r="209" spans="1:5" hidden="1" x14ac:dyDescent="0.25">
      <c r="A209" s="1399" t="s">
        <v>1302</v>
      </c>
      <c r="B209" s="1382"/>
      <c r="C209" s="1396"/>
      <c r="D209" s="1400">
        <f>D189+D202+D207+D208</f>
        <v>620.62</v>
      </c>
      <c r="E209" s="1400">
        <f>E189+E202+E207+E208</f>
        <v>796235.35</v>
      </c>
    </row>
    <row r="210" spans="1:5" hidden="1" x14ac:dyDescent="0.25">
      <c r="A210" s="1390" t="s">
        <v>1303</v>
      </c>
      <c r="B210" s="1386"/>
      <c r="C210" s="1397"/>
      <c r="D210" s="1386"/>
      <c r="E210" s="1386"/>
    </row>
    <row r="211" spans="1:5" hidden="1" x14ac:dyDescent="0.25">
      <c r="A211" s="1386" t="s">
        <v>1229</v>
      </c>
      <c r="B211" s="1386" t="s">
        <v>1304</v>
      </c>
      <c r="C211" s="1397" t="s">
        <v>1277</v>
      </c>
      <c r="D211" s="1386">
        <v>71</v>
      </c>
      <c r="E211" s="1386">
        <v>92193.5</v>
      </c>
    </row>
    <row r="212" spans="1:5" hidden="1" x14ac:dyDescent="0.25">
      <c r="A212" s="1386" t="s">
        <v>1288</v>
      </c>
      <c r="B212" s="1386" t="s">
        <v>1305</v>
      </c>
      <c r="C212" s="1397" t="s">
        <v>1306</v>
      </c>
      <c r="D212" s="1386">
        <v>29</v>
      </c>
      <c r="E212" s="1386">
        <v>29000</v>
      </c>
    </row>
    <row r="213" spans="1:5" hidden="1" x14ac:dyDescent="0.25">
      <c r="A213" s="1386" t="s">
        <v>1288</v>
      </c>
      <c r="B213" s="1386" t="s">
        <v>1307</v>
      </c>
      <c r="C213" s="1397" t="s">
        <v>1277</v>
      </c>
      <c r="D213" s="1386">
        <v>52</v>
      </c>
      <c r="E213" s="1386">
        <v>57200</v>
      </c>
    </row>
    <row r="214" spans="1:5" hidden="1" x14ac:dyDescent="0.25">
      <c r="A214" s="1386" t="s">
        <v>1229</v>
      </c>
      <c r="B214" s="1386" t="s">
        <v>1308</v>
      </c>
      <c r="C214" s="1397" t="s">
        <v>1277</v>
      </c>
      <c r="D214" s="1386">
        <v>70</v>
      </c>
      <c r="E214" s="1386">
        <v>90895</v>
      </c>
    </row>
    <row r="215" spans="1:5" hidden="1" x14ac:dyDescent="0.25">
      <c r="A215" s="1386" t="s">
        <v>1181</v>
      </c>
      <c r="B215" s="1386" t="s">
        <v>1309</v>
      </c>
      <c r="C215" s="1397" t="s">
        <v>1310</v>
      </c>
      <c r="D215" s="1386">
        <v>0.5</v>
      </c>
      <c r="E215" s="1386">
        <v>618.29999999999995</v>
      </c>
    </row>
    <row r="216" spans="1:5" hidden="1" x14ac:dyDescent="0.25">
      <c r="A216" s="1386" t="s">
        <v>1139</v>
      </c>
      <c r="B216" s="1386" t="s">
        <v>1311</v>
      </c>
      <c r="C216" s="1397" t="s">
        <v>1312</v>
      </c>
      <c r="D216" s="1386">
        <v>2</v>
      </c>
      <c r="E216" s="1386">
        <v>4400</v>
      </c>
    </row>
    <row r="217" spans="1:5" hidden="1" x14ac:dyDescent="0.25">
      <c r="A217" s="1390" t="s">
        <v>1313</v>
      </c>
      <c r="B217" s="1390"/>
      <c r="C217" s="1398"/>
      <c r="D217" s="1390">
        <f>D211+D212+D213+D214+D215+D216</f>
        <v>224.5</v>
      </c>
      <c r="E217" s="1390">
        <f>E211+E212+E213+E214+E215+E216</f>
        <v>274306.8</v>
      </c>
    </row>
    <row r="218" spans="1:5" hidden="1" x14ac:dyDescent="0.25">
      <c r="A218" s="1386" t="s">
        <v>270</v>
      </c>
      <c r="B218" s="1386"/>
      <c r="C218" s="1397"/>
      <c r="D218" s="1386"/>
      <c r="E218" s="1386"/>
    </row>
    <row r="219" spans="1:5" hidden="1" x14ac:dyDescent="0.25">
      <c r="A219" s="1386" t="s">
        <v>1181</v>
      </c>
      <c r="B219" s="1386" t="s">
        <v>1314</v>
      </c>
      <c r="C219" s="1397" t="s">
        <v>1315</v>
      </c>
      <c r="D219" s="1386">
        <v>0.5</v>
      </c>
      <c r="E219" s="1386">
        <v>618.29999999999995</v>
      </c>
    </row>
    <row r="220" spans="1:5" hidden="1" x14ac:dyDescent="0.25">
      <c r="A220" s="1386" t="s">
        <v>1229</v>
      </c>
      <c r="B220" s="1386" t="s">
        <v>1316</v>
      </c>
      <c r="C220" s="1397" t="s">
        <v>1317</v>
      </c>
      <c r="D220" s="1386">
        <v>47</v>
      </c>
      <c r="E220" s="1386">
        <v>61029.5</v>
      </c>
    </row>
    <row r="221" spans="1:5" hidden="1" x14ac:dyDescent="0.25">
      <c r="A221" s="1386" t="s">
        <v>1318</v>
      </c>
      <c r="B221" s="1386" t="s">
        <v>1319</v>
      </c>
      <c r="C221" s="1397" t="s">
        <v>1320</v>
      </c>
      <c r="D221" s="1386">
        <v>4</v>
      </c>
      <c r="E221" s="1386">
        <v>6800</v>
      </c>
    </row>
    <row r="222" spans="1:5" hidden="1" x14ac:dyDescent="0.25">
      <c r="A222" s="1386" t="s">
        <v>1105</v>
      </c>
      <c r="B222" s="1386" t="s">
        <v>1321</v>
      </c>
      <c r="C222" s="1397" t="s">
        <v>1322</v>
      </c>
      <c r="D222" s="1386">
        <v>5.09</v>
      </c>
      <c r="E222" s="1386">
        <v>8058.13</v>
      </c>
    </row>
    <row r="223" spans="1:5" hidden="1" x14ac:dyDescent="0.25">
      <c r="A223" s="1390" t="s">
        <v>1323</v>
      </c>
      <c r="B223" s="1390"/>
      <c r="C223" s="1398"/>
      <c r="D223" s="1390">
        <f>D219+D220+D221+D222</f>
        <v>56.59</v>
      </c>
      <c r="E223" s="1390">
        <f>E219+E220+E221+E222</f>
        <v>76505.930000000008</v>
      </c>
    </row>
    <row r="224" spans="1:5" hidden="1" x14ac:dyDescent="0.25">
      <c r="A224" s="1390" t="s">
        <v>1324</v>
      </c>
      <c r="B224" s="1386"/>
      <c r="C224" s="1397"/>
      <c r="D224" s="1386">
        <f>D223+D217+D209</f>
        <v>901.71</v>
      </c>
      <c r="E224" s="1390">
        <f>E223+E217+E209</f>
        <v>1147048.08</v>
      </c>
    </row>
    <row r="225" spans="1:5" hidden="1" x14ac:dyDescent="0.25">
      <c r="A225" s="1390" t="s">
        <v>271</v>
      </c>
      <c r="B225" s="1386"/>
      <c r="C225" s="1397"/>
      <c r="D225" s="1386"/>
      <c r="E225" s="1390"/>
    </row>
    <row r="226" spans="1:5" hidden="1" x14ac:dyDescent="0.25">
      <c r="A226" s="1386" t="s">
        <v>1181</v>
      </c>
      <c r="B226" s="1386" t="s">
        <v>1325</v>
      </c>
      <c r="C226" s="1397" t="s">
        <v>1310</v>
      </c>
      <c r="D226" s="1386">
        <v>0.5</v>
      </c>
      <c r="E226" s="1386">
        <v>618.29999999999995</v>
      </c>
    </row>
    <row r="227" spans="1:5" hidden="1" x14ac:dyDescent="0.25">
      <c r="A227" s="1392" t="s">
        <v>1229</v>
      </c>
      <c r="B227" s="1392" t="s">
        <v>1326</v>
      </c>
      <c r="C227" s="1401" t="s">
        <v>1317</v>
      </c>
      <c r="D227" s="1392">
        <v>2</v>
      </c>
      <c r="E227" s="1392">
        <v>2640</v>
      </c>
    </row>
    <row r="228" spans="1:5" hidden="1" x14ac:dyDescent="0.25">
      <c r="A228" s="1392" t="s">
        <v>1229</v>
      </c>
      <c r="B228" s="1392" t="s">
        <v>1326</v>
      </c>
      <c r="C228" s="1401" t="s">
        <v>1327</v>
      </c>
      <c r="D228" s="1392">
        <v>1</v>
      </c>
      <c r="E228" s="1392">
        <v>1320</v>
      </c>
    </row>
    <row r="229" spans="1:5" hidden="1" x14ac:dyDescent="0.25">
      <c r="A229" s="1392" t="s">
        <v>1328</v>
      </c>
      <c r="B229" s="1392" t="s">
        <v>1329</v>
      </c>
      <c r="C229" s="1401" t="s">
        <v>1330</v>
      </c>
      <c r="D229" s="1392">
        <v>4</v>
      </c>
      <c r="E229" s="1392">
        <v>6800</v>
      </c>
    </row>
    <row r="230" spans="1:5" hidden="1" x14ac:dyDescent="0.25">
      <c r="A230" s="1390" t="s">
        <v>1331</v>
      </c>
      <c r="B230" s="1390"/>
      <c r="C230" s="1398"/>
      <c r="D230" s="1390">
        <f>D226+D227+D228+D229</f>
        <v>7.5</v>
      </c>
      <c r="E230" s="1390">
        <f>E226+E227+E228+E229</f>
        <v>11378.3</v>
      </c>
    </row>
    <row r="231" spans="1:5" hidden="1" x14ac:dyDescent="0.25">
      <c r="A231" s="1390" t="s">
        <v>1332</v>
      </c>
      <c r="B231" s="1386"/>
      <c r="C231" s="1397"/>
      <c r="D231" s="1386"/>
      <c r="E231" s="1386"/>
    </row>
    <row r="232" spans="1:5" hidden="1" x14ac:dyDescent="0.25">
      <c r="A232" s="1386" t="s">
        <v>1181</v>
      </c>
      <c r="B232" s="1386" t="s">
        <v>1333</v>
      </c>
      <c r="C232" s="1397" t="s">
        <v>1310</v>
      </c>
      <c r="D232" s="1386">
        <v>0.5</v>
      </c>
      <c r="E232" s="1386">
        <v>618.29999999999995</v>
      </c>
    </row>
    <row r="233" spans="1:5" hidden="1" x14ac:dyDescent="0.25">
      <c r="A233" s="1386" t="s">
        <v>1258</v>
      </c>
      <c r="B233" s="1386" t="s">
        <v>1334</v>
      </c>
      <c r="C233" s="1397" t="s">
        <v>1335</v>
      </c>
      <c r="D233" s="1386">
        <v>31</v>
      </c>
      <c r="E233" s="1386">
        <v>40253.5</v>
      </c>
    </row>
    <row r="234" spans="1:5" hidden="1" x14ac:dyDescent="0.25">
      <c r="A234" s="1386" t="s">
        <v>1336</v>
      </c>
      <c r="B234" s="1386"/>
      <c r="C234" s="1397"/>
      <c r="D234" s="1386"/>
      <c r="E234" s="1386">
        <v>-10050.89</v>
      </c>
    </row>
    <row r="235" spans="1:5" hidden="1" x14ac:dyDescent="0.25">
      <c r="A235" s="1386" t="s">
        <v>1337</v>
      </c>
      <c r="B235" s="1386"/>
      <c r="C235" s="1397"/>
      <c r="D235" s="1386">
        <f>D232+D233+D234</f>
        <v>31.5</v>
      </c>
      <c r="E235" s="1386">
        <f>E232+E233+E234</f>
        <v>30820.910000000003</v>
      </c>
    </row>
    <row r="236" spans="1:5" hidden="1" x14ac:dyDescent="0.25">
      <c r="A236" s="1386" t="s">
        <v>1338</v>
      </c>
      <c r="B236" s="1386"/>
      <c r="C236" s="1397"/>
      <c r="D236" s="1386">
        <f>D224+D230+D235</f>
        <v>940.71</v>
      </c>
      <c r="E236" s="1390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369"/>
      <c r="B239" s="1370" t="s">
        <v>1339</v>
      </c>
      <c r="C239" s="1369"/>
      <c r="D239" s="1371"/>
      <c r="E239" s="1371"/>
    </row>
    <row r="240" spans="1:5" hidden="1" x14ac:dyDescent="0.25">
      <c r="A240" s="1371"/>
      <c r="B240" s="1371"/>
      <c r="C240" s="1371"/>
      <c r="D240" s="1371"/>
      <c r="E240" s="1371"/>
    </row>
    <row r="241" spans="1:5" hidden="1" x14ac:dyDescent="0.25">
      <c r="A241" s="1402" t="s">
        <v>1040</v>
      </c>
      <c r="B241" s="1402" t="s">
        <v>1041</v>
      </c>
      <c r="C241" s="1402" t="s">
        <v>1042</v>
      </c>
      <c r="D241" s="1402" t="s">
        <v>1043</v>
      </c>
      <c r="E241" s="1402" t="s">
        <v>45</v>
      </c>
    </row>
    <row r="242" spans="1:5" hidden="1" x14ac:dyDescent="0.25">
      <c r="A242" s="1403" t="s">
        <v>1044</v>
      </c>
      <c r="B242" s="1403" t="s">
        <v>1045</v>
      </c>
      <c r="C242" s="1403"/>
      <c r="D242" s="1403"/>
      <c r="E242" s="1403" t="s">
        <v>187</v>
      </c>
    </row>
    <row r="243" spans="1:5" hidden="1" x14ac:dyDescent="0.25">
      <c r="A243" s="1384" t="s">
        <v>1340</v>
      </c>
      <c r="B243" s="1370"/>
      <c r="C243" s="1374"/>
      <c r="D243" s="1374"/>
      <c r="E243" s="1374"/>
    </row>
    <row r="244" spans="1:5" hidden="1" x14ac:dyDescent="0.25">
      <c r="A244" s="1374" t="s">
        <v>1341</v>
      </c>
      <c r="B244" s="1375" t="s">
        <v>1342</v>
      </c>
      <c r="C244" s="1375" t="s">
        <v>1343</v>
      </c>
      <c r="D244" s="1375">
        <v>0.83</v>
      </c>
      <c r="E244" s="1375">
        <v>1355.39</v>
      </c>
    </row>
    <row r="245" spans="1:5" hidden="1" x14ac:dyDescent="0.25">
      <c r="A245" s="1385" t="s">
        <v>1344</v>
      </c>
      <c r="B245" s="1404"/>
      <c r="C245" s="1404"/>
      <c r="D245" s="1404"/>
      <c r="E245" s="1404"/>
    </row>
    <row r="246" spans="1:5" hidden="1" x14ac:dyDescent="0.25">
      <c r="A246" s="1387" t="s">
        <v>1258</v>
      </c>
      <c r="B246" s="1388" t="s">
        <v>1345</v>
      </c>
      <c r="C246" s="1405" t="s">
        <v>1346</v>
      </c>
      <c r="D246" s="1405">
        <v>1</v>
      </c>
      <c r="E246" s="1405">
        <v>1500</v>
      </c>
    </row>
    <row r="247" spans="1:5" hidden="1" x14ac:dyDescent="0.25">
      <c r="A247" s="1387" t="s">
        <v>1258</v>
      </c>
      <c r="B247" s="1388" t="s">
        <v>1347</v>
      </c>
      <c r="C247" s="1405" t="s">
        <v>1348</v>
      </c>
      <c r="D247" s="1405">
        <v>32</v>
      </c>
      <c r="E247" s="1405">
        <v>49492.480000000003</v>
      </c>
    </row>
    <row r="248" spans="1:5" hidden="1" x14ac:dyDescent="0.25">
      <c r="A248" s="1385" t="s">
        <v>1349</v>
      </c>
      <c r="B248" s="1406"/>
      <c r="C248" s="1406"/>
      <c r="D248" s="1407">
        <f>D246+D247</f>
        <v>33</v>
      </c>
      <c r="E248" s="1407">
        <f>E246+E247</f>
        <v>50992.480000000003</v>
      </c>
    </row>
    <row r="249" spans="1:5" hidden="1" x14ac:dyDescent="0.25">
      <c r="A249" s="1390" t="s">
        <v>266</v>
      </c>
      <c r="B249" s="1405"/>
      <c r="C249" s="1405"/>
      <c r="D249" s="1405"/>
      <c r="E249" s="1405"/>
    </row>
    <row r="250" spans="1:5" hidden="1" x14ac:dyDescent="0.25">
      <c r="A250" s="1374" t="s">
        <v>1341</v>
      </c>
      <c r="B250" s="1405" t="s">
        <v>1350</v>
      </c>
      <c r="C250" s="1375" t="s">
        <v>1322</v>
      </c>
      <c r="D250" s="1405">
        <v>1</v>
      </c>
      <c r="E250" s="1405">
        <v>1627.12</v>
      </c>
    </row>
    <row r="251" spans="1:5" hidden="1" x14ac:dyDescent="0.25">
      <c r="A251" s="1386" t="s">
        <v>1351</v>
      </c>
      <c r="B251" s="1405" t="s">
        <v>1352</v>
      </c>
      <c r="C251" s="1405" t="s">
        <v>1290</v>
      </c>
      <c r="D251" s="1405">
        <v>64</v>
      </c>
      <c r="E251" s="1405">
        <v>81355.929999999993</v>
      </c>
    </row>
    <row r="252" spans="1:5" hidden="1" x14ac:dyDescent="0.25">
      <c r="A252" s="1385" t="s">
        <v>1353</v>
      </c>
      <c r="B252" s="1407"/>
      <c r="C252" s="1407"/>
      <c r="D252" s="1407">
        <f>D250+D251</f>
        <v>65</v>
      </c>
      <c r="E252" s="1407">
        <f>E250+E251</f>
        <v>82983.049999999988</v>
      </c>
    </row>
    <row r="253" spans="1:5" hidden="1" x14ac:dyDescent="0.25">
      <c r="A253" s="1390" t="s">
        <v>1354</v>
      </c>
      <c r="B253" s="1407"/>
      <c r="C253" s="1407"/>
      <c r="D253" s="1407">
        <f>D244+D248+D252</f>
        <v>98.83</v>
      </c>
      <c r="E253" s="1407">
        <f>E244+E248+E252</f>
        <v>135330.91999999998</v>
      </c>
    </row>
    <row r="254" spans="1:5" hidden="1" x14ac:dyDescent="0.25">
      <c r="A254" s="1390" t="s">
        <v>1355</v>
      </c>
      <c r="B254" s="1405"/>
      <c r="C254" s="1405"/>
      <c r="D254" s="1405"/>
      <c r="E254" s="1405"/>
    </row>
    <row r="255" spans="1:5" ht="24.75" hidden="1" customHeight="1" x14ac:dyDescent="0.25">
      <c r="A255" s="1386" t="s">
        <v>1341</v>
      </c>
      <c r="B255" s="1405" t="s">
        <v>1356</v>
      </c>
      <c r="C255" s="1408" t="s">
        <v>1357</v>
      </c>
      <c r="D255" s="1405">
        <v>0.57999999999999996</v>
      </c>
      <c r="E255" s="1405">
        <v>949.15</v>
      </c>
    </row>
    <row r="256" spans="1:5" hidden="1" x14ac:dyDescent="0.25">
      <c r="A256" s="1390" t="s">
        <v>1358</v>
      </c>
      <c r="B256" s="1405"/>
      <c r="C256" s="1405"/>
      <c r="D256" s="1405"/>
      <c r="E256" s="1405"/>
    </row>
    <row r="257" spans="1:5" ht="23.25" hidden="1" x14ac:dyDescent="0.25">
      <c r="A257" s="1386" t="s">
        <v>1057</v>
      </c>
      <c r="B257" s="1405" t="s">
        <v>1359</v>
      </c>
      <c r="C257" s="1408" t="s">
        <v>1360</v>
      </c>
      <c r="D257" s="1405"/>
      <c r="E257" s="1405">
        <v>625</v>
      </c>
    </row>
    <row r="258" spans="1:5" hidden="1" x14ac:dyDescent="0.25">
      <c r="A258" s="1386" t="s">
        <v>1296</v>
      </c>
      <c r="B258" s="1405" t="s">
        <v>1361</v>
      </c>
      <c r="C258" s="1405" t="s">
        <v>1362</v>
      </c>
      <c r="D258" s="1405">
        <v>1</v>
      </c>
      <c r="E258" s="1405">
        <v>1200</v>
      </c>
    </row>
    <row r="259" spans="1:5" hidden="1" x14ac:dyDescent="0.25">
      <c r="A259" s="1390" t="s">
        <v>1363</v>
      </c>
      <c r="B259" s="1405"/>
      <c r="C259" s="1405"/>
      <c r="D259" s="1407">
        <f>D257+D258</f>
        <v>1</v>
      </c>
      <c r="E259" s="1407">
        <f>E257+E258</f>
        <v>1825</v>
      </c>
    </row>
    <row r="260" spans="1:5" hidden="1" x14ac:dyDescent="0.25">
      <c r="A260" s="1390" t="s">
        <v>269</v>
      </c>
      <c r="B260" s="1405"/>
      <c r="C260" s="1405"/>
      <c r="D260" s="1405"/>
      <c r="E260" s="1405"/>
    </row>
    <row r="261" spans="1:5" hidden="1" x14ac:dyDescent="0.25">
      <c r="A261" s="1386" t="s">
        <v>1364</v>
      </c>
      <c r="B261" s="1405" t="s">
        <v>1365</v>
      </c>
      <c r="C261" s="1405" t="s">
        <v>1315</v>
      </c>
      <c r="D261" s="1405"/>
      <c r="E261" s="1405">
        <v>699.3</v>
      </c>
    </row>
    <row r="262" spans="1:5" hidden="1" x14ac:dyDescent="0.25">
      <c r="A262" s="1386" t="s">
        <v>1364</v>
      </c>
      <c r="B262" s="1405" t="s">
        <v>1366</v>
      </c>
      <c r="C262" s="1405" t="s">
        <v>1315</v>
      </c>
      <c r="D262" s="1405"/>
      <c r="E262" s="1405">
        <v>699.3</v>
      </c>
    </row>
    <row r="263" spans="1:5" hidden="1" x14ac:dyDescent="0.25">
      <c r="A263" s="1386" t="s">
        <v>1258</v>
      </c>
      <c r="B263" s="1405" t="s">
        <v>1367</v>
      </c>
      <c r="C263" s="1405" t="s">
        <v>1368</v>
      </c>
      <c r="D263" s="1405">
        <v>10</v>
      </c>
      <c r="E263" s="1405">
        <v>10000</v>
      </c>
    </row>
    <row r="264" spans="1:5" hidden="1" x14ac:dyDescent="0.25">
      <c r="A264" s="1386" t="s">
        <v>1105</v>
      </c>
      <c r="B264" s="1405" t="s">
        <v>1369</v>
      </c>
      <c r="C264" s="1405" t="s">
        <v>1370</v>
      </c>
      <c r="D264" s="1405">
        <v>0.5</v>
      </c>
      <c r="E264" s="1405">
        <v>813.56</v>
      </c>
    </row>
    <row r="265" spans="1:5" hidden="1" x14ac:dyDescent="0.25">
      <c r="A265" s="1390" t="s">
        <v>1371</v>
      </c>
      <c r="B265" s="1407"/>
      <c r="C265" s="1407"/>
      <c r="D265" s="1407">
        <f>D261+D262+D263+D264</f>
        <v>10.5</v>
      </c>
      <c r="E265" s="1407">
        <f>E261+E264+E262+E263</f>
        <v>12212.16</v>
      </c>
    </row>
    <row r="266" spans="1:5" hidden="1" x14ac:dyDescent="0.25">
      <c r="A266" s="1389" t="s">
        <v>1372</v>
      </c>
      <c r="B266" s="1404"/>
      <c r="C266" s="1404"/>
      <c r="D266" s="1407">
        <f>D253+D255+D259+D265</f>
        <v>110.91</v>
      </c>
      <c r="E266" s="1407">
        <f>E253+E255+E259+E265</f>
        <v>150317.22999999998</v>
      </c>
    </row>
    <row r="267" spans="1:5" hidden="1" x14ac:dyDescent="0.25">
      <c r="A267" s="1409" t="s">
        <v>1373</v>
      </c>
      <c r="B267" s="1405"/>
      <c r="C267" s="1405"/>
      <c r="D267" s="1405"/>
      <c r="E267" s="1405"/>
    </row>
    <row r="268" spans="1:5" hidden="1" x14ac:dyDescent="0.25">
      <c r="A268" s="1386" t="s">
        <v>1374</v>
      </c>
      <c r="B268" s="1405" t="s">
        <v>1375</v>
      </c>
      <c r="C268" s="1405" t="s">
        <v>1277</v>
      </c>
      <c r="D268" s="1405">
        <v>49</v>
      </c>
      <c r="E268" s="1405">
        <v>49000</v>
      </c>
    </row>
    <row r="269" spans="1:5" hidden="1" x14ac:dyDescent="0.25">
      <c r="A269" s="1386" t="s">
        <v>1364</v>
      </c>
      <c r="B269" s="1405" t="s">
        <v>1376</v>
      </c>
      <c r="C269" s="1405" t="s">
        <v>1315</v>
      </c>
      <c r="D269" s="1405"/>
      <c r="E269" s="1405">
        <v>-618.29999999999995</v>
      </c>
    </row>
    <row r="270" spans="1:5" hidden="1" x14ac:dyDescent="0.25">
      <c r="A270" s="1390" t="s">
        <v>1377</v>
      </c>
      <c r="B270" s="1407"/>
      <c r="C270" s="1407"/>
      <c r="D270" s="1407">
        <f>D268+D269</f>
        <v>49</v>
      </c>
      <c r="E270" s="1407">
        <f>E268+E269</f>
        <v>48381.7</v>
      </c>
    </row>
    <row r="271" spans="1:5" hidden="1" x14ac:dyDescent="0.25">
      <c r="A271" s="1390" t="s">
        <v>270</v>
      </c>
      <c r="B271" s="1405"/>
      <c r="C271" s="1405"/>
      <c r="D271" s="1405"/>
      <c r="E271" s="1405"/>
    </row>
    <row r="272" spans="1:5" ht="23.25" hidden="1" x14ac:dyDescent="0.25">
      <c r="A272" s="1386" t="s">
        <v>1236</v>
      </c>
      <c r="B272" s="1405" t="s">
        <v>1378</v>
      </c>
      <c r="C272" s="1408" t="s">
        <v>1379</v>
      </c>
      <c r="D272" s="1405">
        <v>3</v>
      </c>
      <c r="E272" s="1405">
        <v>8400</v>
      </c>
    </row>
    <row r="273" spans="1:5" ht="23.25" hidden="1" x14ac:dyDescent="0.25">
      <c r="A273" s="1386" t="s">
        <v>1380</v>
      </c>
      <c r="B273" s="1405" t="s">
        <v>1381</v>
      </c>
      <c r="C273" s="1408" t="s">
        <v>1382</v>
      </c>
      <c r="D273" s="1405">
        <v>1</v>
      </c>
      <c r="E273" s="1405">
        <v>1500</v>
      </c>
    </row>
    <row r="274" spans="1:5" hidden="1" x14ac:dyDescent="0.25">
      <c r="A274" s="1386" t="s">
        <v>1383</v>
      </c>
      <c r="B274" s="1405" t="s">
        <v>1384</v>
      </c>
      <c r="C274" s="1405" t="s">
        <v>1277</v>
      </c>
      <c r="D274" s="1405">
        <v>19</v>
      </c>
      <c r="E274" s="1405">
        <v>24152.54</v>
      </c>
    </row>
    <row r="275" spans="1:5" hidden="1" x14ac:dyDescent="0.25">
      <c r="A275" s="1390" t="s">
        <v>1240</v>
      </c>
      <c r="B275" s="1405"/>
      <c r="C275" s="1405"/>
      <c r="D275" s="1407">
        <f>D272+D273+D274</f>
        <v>23</v>
      </c>
      <c r="E275" s="1407">
        <f>E272+E273+E274</f>
        <v>34052.54</v>
      </c>
    </row>
    <row r="276" spans="1:5" hidden="1" x14ac:dyDescent="0.25">
      <c r="A276" s="1390" t="s">
        <v>1241</v>
      </c>
      <c r="B276" s="1405"/>
      <c r="C276" s="1405"/>
      <c r="D276" s="1405"/>
      <c r="E276" s="1405"/>
    </row>
    <row r="277" spans="1:5" hidden="1" x14ac:dyDescent="0.25">
      <c r="A277" s="1386" t="s">
        <v>1385</v>
      </c>
      <c r="B277" s="1405" t="s">
        <v>1386</v>
      </c>
      <c r="C277" s="1405" t="s">
        <v>1387</v>
      </c>
      <c r="D277" s="1405">
        <v>2</v>
      </c>
      <c r="E277" s="1405">
        <v>2881.36</v>
      </c>
    </row>
    <row r="278" spans="1:5" hidden="1" x14ac:dyDescent="0.25">
      <c r="A278" s="1390" t="s">
        <v>1388</v>
      </c>
      <c r="B278" s="1405"/>
      <c r="C278" s="1405"/>
      <c r="D278" s="1407">
        <f>SUM(D277)</f>
        <v>2</v>
      </c>
      <c r="E278" s="1407">
        <f>SUM(E277)</f>
        <v>2881.36</v>
      </c>
    </row>
    <row r="279" spans="1:5" hidden="1" x14ac:dyDescent="0.25">
      <c r="A279" s="1390" t="s">
        <v>1389</v>
      </c>
      <c r="B279" s="1405"/>
      <c r="C279" s="1405"/>
      <c r="D279" s="1407">
        <f>D266+D270+D275+D278</f>
        <v>184.91</v>
      </c>
      <c r="E279" s="1407">
        <f>E266+E270+E275+E278</f>
        <v>235632.83</v>
      </c>
    </row>
    <row r="280" spans="1:5" hidden="1" x14ac:dyDescent="0.25">
      <c r="A280" s="1390" t="s">
        <v>1390</v>
      </c>
      <c r="B280" s="1405"/>
      <c r="C280" s="1405"/>
      <c r="D280" s="1405"/>
      <c r="E280" s="1405"/>
    </row>
    <row r="281" spans="1:5" hidden="1" x14ac:dyDescent="0.25">
      <c r="A281" s="1390" t="s">
        <v>272</v>
      </c>
      <c r="B281" s="1405" t="s">
        <v>1391</v>
      </c>
      <c r="C281" s="1405" t="s">
        <v>1392</v>
      </c>
      <c r="D281" s="1405"/>
      <c r="E281" s="1405">
        <v>699.3</v>
      </c>
    </row>
    <row r="282" spans="1:5" hidden="1" x14ac:dyDescent="0.25">
      <c r="A282" s="1390" t="s">
        <v>1332</v>
      </c>
      <c r="B282" s="1405"/>
      <c r="C282" s="1405"/>
      <c r="D282" s="1405"/>
      <c r="E282" s="1405"/>
    </row>
    <row r="283" spans="1:5" hidden="1" x14ac:dyDescent="0.25">
      <c r="A283" s="1386" t="s">
        <v>1258</v>
      </c>
      <c r="B283" s="1405" t="s">
        <v>1393</v>
      </c>
      <c r="C283" s="1405" t="s">
        <v>1394</v>
      </c>
      <c r="D283" s="1405">
        <v>2</v>
      </c>
      <c r="E283" s="1405">
        <v>2000</v>
      </c>
    </row>
    <row r="284" spans="1:5" hidden="1" x14ac:dyDescent="0.25">
      <c r="A284" s="1386" t="s">
        <v>1057</v>
      </c>
      <c r="B284" s="1405" t="s">
        <v>1395</v>
      </c>
      <c r="C284" s="1405" t="s">
        <v>1396</v>
      </c>
      <c r="D284" s="1405"/>
      <c r="E284" s="1405">
        <v>279.66000000000003</v>
      </c>
    </row>
    <row r="285" spans="1:5" hidden="1" x14ac:dyDescent="0.25">
      <c r="A285" s="1386" t="s">
        <v>1105</v>
      </c>
      <c r="B285" s="1405" t="s">
        <v>1397</v>
      </c>
      <c r="C285" s="1405" t="s">
        <v>1398</v>
      </c>
      <c r="D285" s="1405">
        <v>3</v>
      </c>
      <c r="E285" s="1405">
        <v>4881.3599999999997</v>
      </c>
    </row>
    <row r="286" spans="1:5" hidden="1" x14ac:dyDescent="0.25">
      <c r="A286" s="1386" t="s">
        <v>1399</v>
      </c>
      <c r="B286" s="1405" t="s">
        <v>1400</v>
      </c>
      <c r="C286" s="1405" t="s">
        <v>1401</v>
      </c>
      <c r="D286" s="1405">
        <v>7</v>
      </c>
      <c r="E286" s="1405">
        <v>14830.51</v>
      </c>
    </row>
    <row r="287" spans="1:5" hidden="1" x14ac:dyDescent="0.25">
      <c r="A287" s="1386" t="s">
        <v>1399</v>
      </c>
      <c r="B287" s="1405" t="s">
        <v>1400</v>
      </c>
      <c r="C287" s="1405" t="s">
        <v>1402</v>
      </c>
      <c r="D287" s="1405">
        <v>1</v>
      </c>
      <c r="E287" s="1405">
        <v>2400</v>
      </c>
    </row>
    <row r="288" spans="1:5" hidden="1" x14ac:dyDescent="0.25">
      <c r="A288" s="1390" t="s">
        <v>1403</v>
      </c>
      <c r="B288" s="1407"/>
      <c r="C288" s="1407"/>
      <c r="D288" s="1407">
        <f>D283+D284+D285+D286+D287</f>
        <v>13</v>
      </c>
      <c r="E288" s="1407">
        <f>E283+E284+E285+E286+E287</f>
        <v>24391.53</v>
      </c>
    </row>
    <row r="289" spans="1:5" hidden="1" x14ac:dyDescent="0.25">
      <c r="A289" s="1390" t="s">
        <v>1404</v>
      </c>
      <c r="B289" s="1407"/>
      <c r="C289" s="1407"/>
      <c r="D289" s="1407">
        <f>D244+D248+D252+D255+D259+D265+D270+D275+D278+D281+D288</f>
        <v>197.91</v>
      </c>
      <c r="E289" s="1407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337" t="s">
        <v>1405</v>
      </c>
      <c r="D291" s="1337" t="s">
        <v>1406</v>
      </c>
    </row>
    <row r="292" spans="1:5" x14ac:dyDescent="0.25">
      <c r="A292" s="4450" t="s">
        <v>1464</v>
      </c>
      <c r="B292" s="4451"/>
      <c r="C292" s="4451"/>
      <c r="D292" s="4451"/>
      <c r="E292" s="4451"/>
    </row>
    <row r="293" spans="1:5" x14ac:dyDescent="0.25">
      <c r="A293" s="1372" t="s">
        <v>1040</v>
      </c>
      <c r="B293" s="1402" t="s">
        <v>1041</v>
      </c>
      <c r="C293" s="1402" t="s">
        <v>1042</v>
      </c>
      <c r="D293" s="1402" t="s">
        <v>1043</v>
      </c>
      <c r="E293" s="1402" t="s">
        <v>45</v>
      </c>
    </row>
    <row r="294" spans="1:5" x14ac:dyDescent="0.25">
      <c r="A294" s="1373" t="s">
        <v>1044</v>
      </c>
      <c r="B294" s="1403" t="s">
        <v>1045</v>
      </c>
      <c r="C294" s="1403"/>
      <c r="D294" s="1403"/>
      <c r="E294" s="1403" t="s">
        <v>187</v>
      </c>
    </row>
    <row r="295" spans="1:5" x14ac:dyDescent="0.25">
      <c r="A295" s="1384" t="s">
        <v>1340</v>
      </c>
      <c r="B295" s="1377"/>
      <c r="C295" s="1375"/>
      <c r="D295" s="1375"/>
      <c r="E295" s="1375"/>
    </row>
    <row r="296" spans="1:5" x14ac:dyDescent="0.25">
      <c r="A296" s="1386" t="s">
        <v>1407</v>
      </c>
      <c r="B296" s="1405" t="s">
        <v>1408</v>
      </c>
      <c r="C296" s="1397" t="s">
        <v>1409</v>
      </c>
      <c r="D296" s="1405">
        <v>2.5</v>
      </c>
      <c r="E296" s="1405">
        <v>4067.8</v>
      </c>
    </row>
    <row r="297" spans="1:5" x14ac:dyDescent="0.25">
      <c r="A297" s="1390" t="s">
        <v>265</v>
      </c>
      <c r="B297" s="1405"/>
      <c r="C297" s="1397"/>
      <c r="D297" s="1405"/>
      <c r="E297" s="1405"/>
    </row>
    <row r="298" spans="1:5" x14ac:dyDescent="0.25">
      <c r="A298" s="1386" t="s">
        <v>1407</v>
      </c>
      <c r="B298" s="1405" t="s">
        <v>1410</v>
      </c>
      <c r="C298" s="1397" t="s">
        <v>1411</v>
      </c>
      <c r="D298" s="1405">
        <v>0.5</v>
      </c>
      <c r="E298" s="1405">
        <v>622.88</v>
      </c>
    </row>
    <row r="299" spans="1:5" x14ac:dyDescent="0.25">
      <c r="A299" s="1390" t="s">
        <v>266</v>
      </c>
      <c r="B299" s="1405"/>
      <c r="C299" s="1397"/>
      <c r="D299" s="1405"/>
      <c r="E299" s="1405"/>
    </row>
    <row r="300" spans="1:5" x14ac:dyDescent="0.25">
      <c r="A300" s="1390" t="s">
        <v>267</v>
      </c>
      <c r="B300" s="1405"/>
      <c r="C300" s="1397"/>
      <c r="D300" s="1405"/>
      <c r="E300" s="1405"/>
    </row>
    <row r="301" spans="1:5" x14ac:dyDescent="0.25">
      <c r="A301" s="1386" t="s">
        <v>1412</v>
      </c>
      <c r="B301" s="1405" t="s">
        <v>1413</v>
      </c>
      <c r="C301" s="1397" t="s">
        <v>1414</v>
      </c>
      <c r="D301" s="1405">
        <v>9</v>
      </c>
      <c r="E301" s="1405">
        <v>9000</v>
      </c>
    </row>
    <row r="302" spans="1:5" x14ac:dyDescent="0.25">
      <c r="A302" s="1386" t="s">
        <v>1181</v>
      </c>
      <c r="B302" s="1405" t="s">
        <v>1415</v>
      </c>
      <c r="C302" s="1397" t="s">
        <v>1416</v>
      </c>
      <c r="D302" s="1405"/>
      <c r="E302" s="1405">
        <v>792.5</v>
      </c>
    </row>
    <row r="303" spans="1:5" x14ac:dyDescent="0.25">
      <c r="A303" s="1390" t="s">
        <v>268</v>
      </c>
      <c r="B303" s="1405"/>
      <c r="C303" s="1397"/>
      <c r="D303" s="1405"/>
      <c r="E303" s="1405"/>
    </row>
    <row r="304" spans="1:5" x14ac:dyDescent="0.25">
      <c r="A304" s="1386" t="s">
        <v>1417</v>
      </c>
      <c r="B304" s="1405" t="s">
        <v>1418</v>
      </c>
      <c r="C304" s="1397" t="s">
        <v>1419</v>
      </c>
      <c r="D304" s="1405"/>
      <c r="E304" s="1405">
        <v>9000</v>
      </c>
    </row>
    <row r="305" spans="1:5" x14ac:dyDescent="0.25">
      <c r="A305" s="1386" t="s">
        <v>1417</v>
      </c>
      <c r="B305" s="1405" t="s">
        <v>1420</v>
      </c>
      <c r="C305" s="1397" t="s">
        <v>1419</v>
      </c>
      <c r="D305" s="1405"/>
      <c r="E305" s="1405">
        <v>9000</v>
      </c>
    </row>
    <row r="306" spans="1:5" x14ac:dyDescent="0.25">
      <c r="A306" s="1390" t="s">
        <v>269</v>
      </c>
      <c r="B306" s="1405"/>
      <c r="C306" s="1397"/>
      <c r="D306" s="1405"/>
      <c r="E306" s="1405"/>
    </row>
    <row r="307" spans="1:5" x14ac:dyDescent="0.25">
      <c r="A307" s="1386" t="s">
        <v>1412</v>
      </c>
      <c r="B307" s="1405" t="s">
        <v>1421</v>
      </c>
      <c r="C307" s="1397" t="s">
        <v>1422</v>
      </c>
      <c r="D307" s="1405">
        <v>5</v>
      </c>
      <c r="E307" s="1405">
        <v>6000</v>
      </c>
    </row>
    <row r="308" spans="1:5" x14ac:dyDescent="0.25">
      <c r="A308" s="1386" t="s">
        <v>1423</v>
      </c>
      <c r="B308" s="1405" t="s">
        <v>1424</v>
      </c>
      <c r="C308" s="1397" t="s">
        <v>1425</v>
      </c>
      <c r="D308" s="1405">
        <v>3</v>
      </c>
      <c r="E308" s="1405">
        <v>7200</v>
      </c>
    </row>
    <row r="309" spans="1:5" x14ac:dyDescent="0.25">
      <c r="A309" s="1386" t="s">
        <v>1423</v>
      </c>
      <c r="B309" s="1405" t="s">
        <v>1424</v>
      </c>
      <c r="C309" s="1397" t="s">
        <v>1426</v>
      </c>
      <c r="D309" s="1405">
        <v>6</v>
      </c>
      <c r="E309" s="1405">
        <v>12711.86</v>
      </c>
    </row>
    <row r="310" spans="1:5" ht="23.25" x14ac:dyDescent="0.25">
      <c r="A310" s="1386" t="s">
        <v>1152</v>
      </c>
      <c r="B310" s="1405" t="s">
        <v>1427</v>
      </c>
      <c r="C310" s="1410" t="s">
        <v>1428</v>
      </c>
      <c r="D310" s="1405">
        <v>1</v>
      </c>
      <c r="E310" s="1405">
        <v>1391.81</v>
      </c>
    </row>
    <row r="311" spans="1:5" x14ac:dyDescent="0.25">
      <c r="A311" s="1390" t="s">
        <v>1429</v>
      </c>
      <c r="B311" s="1407"/>
      <c r="C311" s="1407"/>
      <c r="D311" s="1407">
        <f>D296+D298+D301+D304+D305+D307+D308+D309+D310+D302</f>
        <v>27</v>
      </c>
      <c r="E311" s="1407">
        <f>E296+E298+E301+E304+E305+E307+E308+E309+E310+E302</f>
        <v>59786.85</v>
      </c>
    </row>
    <row r="312" spans="1:5" x14ac:dyDescent="0.25">
      <c r="A312" s="1390" t="s">
        <v>1303</v>
      </c>
      <c r="B312" s="1386"/>
      <c r="C312" s="1386"/>
      <c r="D312" s="1386"/>
      <c r="E312" s="1405"/>
    </row>
    <row r="313" spans="1:5" x14ac:dyDescent="0.25">
      <c r="A313" s="1386" t="s">
        <v>1430</v>
      </c>
      <c r="B313" s="1386" t="s">
        <v>1431</v>
      </c>
      <c r="C313" s="1386" t="s">
        <v>1432</v>
      </c>
      <c r="D313" s="1386"/>
      <c r="E313" s="1405">
        <v>1697.03</v>
      </c>
    </row>
    <row r="314" spans="1:5" x14ac:dyDescent="0.25">
      <c r="A314" s="1390" t="s">
        <v>270</v>
      </c>
      <c r="B314" s="1386"/>
      <c r="C314" s="1386"/>
      <c r="D314" s="1386"/>
      <c r="E314" s="1405"/>
    </row>
    <row r="315" spans="1:5" ht="23.25" x14ac:dyDescent="0.25">
      <c r="A315" s="1386" t="s">
        <v>1433</v>
      </c>
      <c r="B315" s="1386" t="s">
        <v>1434</v>
      </c>
      <c r="C315" s="1411" t="s">
        <v>1435</v>
      </c>
      <c r="D315" s="1386">
        <v>1</v>
      </c>
      <c r="E315" s="1405">
        <v>4237.29</v>
      </c>
    </row>
    <row r="316" spans="1:5" ht="23.25" x14ac:dyDescent="0.25">
      <c r="A316" s="1411" t="s">
        <v>1436</v>
      </c>
      <c r="B316" s="1386" t="s">
        <v>1437</v>
      </c>
      <c r="C316" s="1386" t="s">
        <v>1438</v>
      </c>
      <c r="D316" s="1386">
        <v>2</v>
      </c>
      <c r="E316" s="1405">
        <v>3000</v>
      </c>
    </row>
    <row r="317" spans="1:5" ht="23.25" x14ac:dyDescent="0.25">
      <c r="A317" s="1411" t="s">
        <v>1436</v>
      </c>
      <c r="B317" s="1386" t="s">
        <v>1439</v>
      </c>
      <c r="C317" s="1386" t="s">
        <v>1440</v>
      </c>
      <c r="D317" s="1386">
        <v>3.5</v>
      </c>
      <c r="E317" s="1405">
        <v>5250</v>
      </c>
    </row>
    <row r="318" spans="1:5" x14ac:dyDescent="0.25">
      <c r="A318" s="1389" t="s">
        <v>1441</v>
      </c>
      <c r="B318" s="1386"/>
      <c r="C318" s="1386"/>
      <c r="D318" s="1386"/>
      <c r="E318" s="1407">
        <f>E315+E316+E317</f>
        <v>12487.29</v>
      </c>
    </row>
    <row r="319" spans="1:5" x14ac:dyDescent="0.25">
      <c r="A319" s="1392" t="s">
        <v>1442</v>
      </c>
      <c r="B319" s="1386" t="s">
        <v>1443</v>
      </c>
      <c r="C319" s="1386" t="s">
        <v>1444</v>
      </c>
      <c r="D319" s="1386">
        <v>40</v>
      </c>
      <c r="E319" s="1405">
        <v>40680</v>
      </c>
    </row>
    <row r="320" spans="1:5" x14ac:dyDescent="0.25">
      <c r="A320" s="1392" t="s">
        <v>1442</v>
      </c>
      <c r="B320" s="1386" t="s">
        <v>1443</v>
      </c>
      <c r="C320" s="1386" t="s">
        <v>1445</v>
      </c>
      <c r="D320" s="1386">
        <v>40</v>
      </c>
      <c r="E320" s="1405">
        <v>40680</v>
      </c>
    </row>
    <row r="321" spans="1:5" x14ac:dyDescent="0.25">
      <c r="A321" s="1386" t="s">
        <v>1446</v>
      </c>
      <c r="B321" s="1386" t="s">
        <v>1447</v>
      </c>
      <c r="C321" s="1386" t="s">
        <v>1448</v>
      </c>
      <c r="D321" s="1386">
        <v>2</v>
      </c>
      <c r="E321" s="1405">
        <v>2400</v>
      </c>
    </row>
    <row r="322" spans="1:5" ht="23.25" x14ac:dyDescent="0.25">
      <c r="A322" s="1411" t="s">
        <v>1449</v>
      </c>
      <c r="B322" s="1386" t="s">
        <v>1450</v>
      </c>
      <c r="C322" s="1386" t="s">
        <v>1451</v>
      </c>
      <c r="D322" s="1386">
        <v>1</v>
      </c>
      <c r="E322" s="1405">
        <v>1500</v>
      </c>
    </row>
    <row r="323" spans="1:5" x14ac:dyDescent="0.25">
      <c r="A323" s="1392" t="s">
        <v>1442</v>
      </c>
      <c r="B323" s="1386" t="s">
        <v>1452</v>
      </c>
      <c r="C323" s="1386" t="s">
        <v>1444</v>
      </c>
      <c r="D323" s="1386">
        <v>40</v>
      </c>
      <c r="E323" s="1405">
        <v>40680</v>
      </c>
    </row>
    <row r="324" spans="1:5" x14ac:dyDescent="0.25">
      <c r="A324" s="1392" t="s">
        <v>1442</v>
      </c>
      <c r="B324" s="1386" t="s">
        <v>1452</v>
      </c>
      <c r="C324" s="1386" t="s">
        <v>1445</v>
      </c>
      <c r="D324" s="1386">
        <v>40</v>
      </c>
      <c r="E324" s="1405">
        <v>40680</v>
      </c>
    </row>
    <row r="325" spans="1:5" x14ac:dyDescent="0.25">
      <c r="A325" s="1386" t="s">
        <v>1453</v>
      </c>
      <c r="B325" s="1386" t="s">
        <v>1454</v>
      </c>
      <c r="C325" s="1386" t="s">
        <v>1455</v>
      </c>
      <c r="D325" s="1386">
        <v>2</v>
      </c>
      <c r="E325" s="1405">
        <v>3000</v>
      </c>
    </row>
    <row r="326" spans="1:5" x14ac:dyDescent="0.25">
      <c r="A326" s="1386" t="s">
        <v>1152</v>
      </c>
      <c r="B326" s="1386" t="s">
        <v>1456</v>
      </c>
      <c r="C326" s="1386" t="s">
        <v>1457</v>
      </c>
      <c r="D326" s="1386">
        <v>3</v>
      </c>
      <c r="E326" s="1405">
        <v>4034.16</v>
      </c>
    </row>
    <row r="327" spans="1:5" ht="23.25" x14ac:dyDescent="0.25">
      <c r="A327" s="1411" t="s">
        <v>1449</v>
      </c>
      <c r="B327" s="1386" t="s">
        <v>1458</v>
      </c>
      <c r="C327" s="1386" t="s">
        <v>1459</v>
      </c>
      <c r="D327" s="1386">
        <v>2</v>
      </c>
      <c r="E327" s="1405">
        <v>3000</v>
      </c>
    </row>
    <row r="328" spans="1:5" x14ac:dyDescent="0.25">
      <c r="A328" s="1390" t="s">
        <v>1441</v>
      </c>
      <c r="B328" s="1390"/>
      <c r="C328" s="1390"/>
      <c r="D328" s="1390">
        <f>SUM(D319:D327)</f>
        <v>170</v>
      </c>
      <c r="E328" s="1407">
        <f>SUM(E319:E327)</f>
        <v>176654.16</v>
      </c>
    </row>
    <row r="329" spans="1:5" x14ac:dyDescent="0.25">
      <c r="A329" s="1390" t="s">
        <v>1460</v>
      </c>
      <c r="B329" s="1390"/>
      <c r="C329" s="1390"/>
      <c r="D329" s="1390">
        <f>D311+D313+D318+D328</f>
        <v>197</v>
      </c>
      <c r="E329" s="1407">
        <f>E311+E313+E318+E328</f>
        <v>250625.33000000002</v>
      </c>
    </row>
    <row r="330" spans="1:5" x14ac:dyDescent="0.25">
      <c r="A330" s="1386" t="s">
        <v>46</v>
      </c>
      <c r="B330" s="4452"/>
      <c r="C330" s="4453"/>
      <c r="D330" s="4453"/>
      <c r="E330" s="1386">
        <f>SUM(E296+E298+E301+E302+E304+E305+E307+E308+E309+E310+E313+E315+E316+E325+E326)</f>
        <v>75755.33</v>
      </c>
    </row>
    <row r="331" spans="1:5" x14ac:dyDescent="0.25">
      <c r="A331" s="1386" t="s">
        <v>47</v>
      </c>
      <c r="B331" s="4453"/>
      <c r="C331" s="4453"/>
      <c r="D331" s="4453"/>
      <c r="E331" s="1412">
        <f>SUM(E317+E319+E320+E321+E322+E323+E324+E327)</f>
        <v>174870</v>
      </c>
    </row>
    <row r="332" spans="1:5" x14ac:dyDescent="0.25">
      <c r="A332" s="1390" t="s">
        <v>1461</v>
      </c>
      <c r="B332" s="4453"/>
      <c r="C332" s="4453"/>
      <c r="D332" s="4453"/>
      <c r="E332" s="1413">
        <f>SUM(E329/9*12)</f>
        <v>334167.10666666669</v>
      </c>
    </row>
    <row r="333" spans="1:5" x14ac:dyDescent="0.25">
      <c r="A333" s="1389" t="s">
        <v>46</v>
      </c>
      <c r="B333" s="4453"/>
      <c r="C333" s="4453"/>
      <c r="D333" s="4453"/>
      <c r="E333" s="1412">
        <f>SUM(E330/E329)*E332</f>
        <v>101007.10666666666</v>
      </c>
    </row>
    <row r="334" spans="1:5" x14ac:dyDescent="0.25">
      <c r="A334" s="1389" t="s">
        <v>47</v>
      </c>
      <c r="B334" s="4453"/>
      <c r="C334" s="4453"/>
      <c r="D334" s="4453"/>
      <c r="E334" s="1414">
        <f>SUM(E331/E329)*E332</f>
        <v>233160</v>
      </c>
    </row>
    <row r="335" spans="1:5" x14ac:dyDescent="0.25">
      <c r="A335" s="4454" t="s">
        <v>1463</v>
      </c>
      <c r="B335" s="4455"/>
      <c r="C335" s="4455"/>
      <c r="D335" s="4455"/>
      <c r="E335" s="4455"/>
    </row>
    <row r="336" spans="1:5" x14ac:dyDescent="0.25">
      <c r="A336" s="1389" t="s">
        <v>1462</v>
      </c>
      <c r="B336" s="4453"/>
      <c r="C336" s="4453"/>
      <c r="D336" s="4453"/>
      <c r="E336" s="1414">
        <v>0</v>
      </c>
    </row>
    <row r="337" spans="1:5" x14ac:dyDescent="0.25">
      <c r="A337" s="1389" t="s">
        <v>46</v>
      </c>
      <c r="B337" s="4453"/>
      <c r="C337" s="4453"/>
      <c r="D337" s="4453"/>
      <c r="E337" s="1412">
        <v>0</v>
      </c>
    </row>
    <row r="338" spans="1:5" x14ac:dyDescent="0.25">
      <c r="A338" s="1389" t="s">
        <v>47</v>
      </c>
      <c r="B338" s="4453"/>
      <c r="C338" s="4453"/>
      <c r="D338" s="4453"/>
      <c r="E338" s="1412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1516</v>
      </c>
    </row>
    <row r="2" spans="1:11" ht="18.75" x14ac:dyDescent="0.3">
      <c r="A2" s="4502" t="s">
        <v>663</v>
      </c>
      <c r="B2" s="4503"/>
      <c r="C2" s="4503"/>
      <c r="D2" s="4503"/>
      <c r="E2" s="4503"/>
      <c r="F2" s="4503"/>
      <c r="G2" s="4503"/>
      <c r="H2" s="4503"/>
      <c r="I2" s="4503"/>
      <c r="J2" s="4503"/>
      <c r="K2" s="4508"/>
    </row>
    <row r="3" spans="1:11" ht="13.5" x14ac:dyDescent="0.25">
      <c r="A3" s="4504" t="s">
        <v>664</v>
      </c>
      <c r="B3" s="4347"/>
      <c r="C3" s="4347"/>
      <c r="D3" s="4347"/>
      <c r="E3" s="4347"/>
      <c r="F3" s="4347"/>
      <c r="G3" s="4347"/>
      <c r="H3" s="4347"/>
      <c r="I3" s="4347"/>
      <c r="J3" s="4347"/>
      <c r="K3" s="4348"/>
    </row>
    <row r="4" spans="1:11" ht="18.75" x14ac:dyDescent="0.3">
      <c r="A4" s="685"/>
      <c r="B4" s="280"/>
      <c r="C4" s="280"/>
      <c r="D4" s="280"/>
      <c r="E4" s="280"/>
      <c r="F4" s="280"/>
      <c r="G4" s="280"/>
      <c r="H4" s="280"/>
      <c r="I4" s="280"/>
      <c r="J4" s="280"/>
      <c r="K4" s="686"/>
    </row>
    <row r="5" spans="1:11" ht="18.75" x14ac:dyDescent="0.3">
      <c r="A5" s="4505" t="s">
        <v>665</v>
      </c>
      <c r="B5" s="4347"/>
      <c r="C5" s="4347"/>
      <c r="D5" s="4347"/>
      <c r="E5" s="4347"/>
      <c r="F5" s="4347"/>
      <c r="G5" s="4347"/>
      <c r="H5" s="4347"/>
      <c r="I5" s="4347"/>
      <c r="J5" s="4347"/>
      <c r="K5" s="4348"/>
    </row>
    <row r="6" spans="1:11" ht="18" x14ac:dyDescent="0.25">
      <c r="A6" s="687" t="s">
        <v>666</v>
      </c>
      <c r="B6" s="280"/>
      <c r="C6" s="280"/>
      <c r="D6" s="280"/>
      <c r="E6" s="280"/>
      <c r="F6" s="280"/>
      <c r="G6" s="280"/>
      <c r="H6" s="280"/>
      <c r="I6" s="280"/>
      <c r="J6" s="280"/>
      <c r="K6" s="686"/>
    </row>
    <row r="7" spans="1:11" ht="15" x14ac:dyDescent="0.2">
      <c r="A7" s="4492" t="s">
        <v>486</v>
      </c>
      <c r="B7" s="4347"/>
      <c r="C7" s="4347"/>
      <c r="D7" s="4347"/>
      <c r="E7" s="4347"/>
      <c r="F7" s="4347"/>
      <c r="G7" s="4347"/>
      <c r="H7" s="4347"/>
      <c r="I7" s="4347"/>
      <c r="J7" s="4347"/>
      <c r="K7" s="4348"/>
    </row>
    <row r="8" spans="1:11" ht="18.75" x14ac:dyDescent="0.3">
      <c r="A8" s="1029"/>
      <c r="B8" s="280"/>
      <c r="C8" s="280"/>
      <c r="D8" s="280"/>
      <c r="E8" s="280"/>
      <c r="F8" s="280"/>
      <c r="G8" s="280"/>
      <c r="H8" s="280"/>
      <c r="I8" s="280"/>
      <c r="J8" s="280"/>
      <c r="K8" s="686"/>
    </row>
    <row r="9" spans="1:11" x14ac:dyDescent="0.2">
      <c r="A9" s="4509" t="s">
        <v>667</v>
      </c>
      <c r="B9" s="4347"/>
      <c r="C9" s="4347"/>
      <c r="D9" s="4347"/>
      <c r="E9" s="4347"/>
      <c r="F9" s="4347"/>
      <c r="G9" s="4347"/>
      <c r="H9" s="4347"/>
      <c r="I9" s="4347"/>
      <c r="J9" s="4347"/>
      <c r="K9" s="4348"/>
    </row>
    <row r="10" spans="1:11" ht="15" customHeight="1" x14ac:dyDescent="0.2">
      <c r="A10" s="4489" t="s">
        <v>668</v>
      </c>
      <c r="B10" s="4347"/>
      <c r="C10" s="4347"/>
      <c r="D10" s="689" t="s">
        <v>669</v>
      </c>
      <c r="E10" s="1027"/>
      <c r="F10" s="1027"/>
      <c r="G10" s="1027"/>
      <c r="H10" s="1027"/>
      <c r="I10" s="1027"/>
      <c r="J10" s="1027"/>
      <c r="K10" s="1028"/>
    </row>
    <row r="11" spans="1:11" ht="15" customHeight="1" x14ac:dyDescent="0.2">
      <c r="A11" s="4499" t="s">
        <v>670</v>
      </c>
      <c r="B11" s="4347"/>
      <c r="C11" s="4347"/>
      <c r="D11" s="4347"/>
      <c r="E11" s="4347"/>
      <c r="F11" s="4347"/>
      <c r="G11" s="4500" t="s">
        <v>671</v>
      </c>
      <c r="H11" s="4501" t="s">
        <v>672</v>
      </c>
      <c r="I11" s="280"/>
      <c r="J11" s="280"/>
      <c r="K11" s="686"/>
    </row>
    <row r="12" spans="1:11" ht="5.25" customHeight="1" x14ac:dyDescent="0.2">
      <c r="A12" s="4499"/>
      <c r="B12" s="4347"/>
      <c r="C12" s="4347"/>
      <c r="D12" s="4347"/>
      <c r="E12" s="4347"/>
      <c r="F12" s="4347"/>
      <c r="G12" s="4500"/>
      <c r="H12" s="4501"/>
      <c r="I12" s="280"/>
      <c r="J12" s="280"/>
      <c r="K12" s="686"/>
    </row>
    <row r="13" spans="1:11" ht="11.25" customHeight="1" x14ac:dyDescent="0.2">
      <c r="A13" s="4489" t="s">
        <v>673</v>
      </c>
      <c r="B13" s="4347"/>
      <c r="C13" s="4347"/>
      <c r="D13" s="4347"/>
      <c r="E13" s="4347"/>
      <c r="F13" s="4347"/>
      <c r="G13" s="4490">
        <v>584</v>
      </c>
      <c r="H13" s="4491" t="s">
        <v>674</v>
      </c>
      <c r="I13" s="280"/>
      <c r="J13" s="280"/>
      <c r="K13" s="686"/>
    </row>
    <row r="14" spans="1:11" ht="6.75" customHeight="1" x14ac:dyDescent="0.2">
      <c r="A14" s="4489"/>
      <c r="B14" s="4347"/>
      <c r="C14" s="4347"/>
      <c r="D14" s="4347"/>
      <c r="E14" s="4347"/>
      <c r="F14" s="4347"/>
      <c r="G14" s="4490"/>
      <c r="H14" s="4491"/>
      <c r="I14" s="280"/>
      <c r="J14" s="280"/>
      <c r="K14" s="686"/>
    </row>
    <row r="15" spans="1:11" ht="15.75" customHeight="1" x14ac:dyDescent="0.2">
      <c r="A15" s="4489" t="s">
        <v>675</v>
      </c>
      <c r="B15" s="4347"/>
      <c r="C15" s="4347"/>
      <c r="D15" s="4347"/>
      <c r="E15" s="4347"/>
      <c r="F15" s="4347"/>
      <c r="G15" s="4490" t="s">
        <v>676</v>
      </c>
      <c r="H15" s="4491" t="s">
        <v>672</v>
      </c>
      <c r="I15" s="280"/>
      <c r="J15" s="280"/>
      <c r="K15" s="686"/>
    </row>
    <row r="16" spans="1:11" ht="13.5" thickBot="1" x14ac:dyDescent="0.25">
      <c r="A16" s="4489"/>
      <c r="B16" s="4347"/>
      <c r="C16" s="4347"/>
      <c r="D16" s="4347"/>
      <c r="E16" s="4347"/>
      <c r="F16" s="4347"/>
      <c r="G16" s="4490"/>
      <c r="H16" s="4491"/>
      <c r="I16" s="280"/>
      <c r="J16" s="280"/>
      <c r="K16" s="686"/>
    </row>
    <row r="17" spans="1:11" ht="23.25" customHeight="1" thickBot="1" x14ac:dyDescent="0.25">
      <c r="A17" s="1023" t="s">
        <v>172</v>
      </c>
      <c r="B17" s="1023" t="s">
        <v>448</v>
      </c>
      <c r="C17" s="1023" t="s">
        <v>367</v>
      </c>
      <c r="D17" s="339"/>
      <c r="E17" s="4479" t="s">
        <v>449</v>
      </c>
      <c r="F17" s="4480"/>
      <c r="G17" s="4479" t="s">
        <v>450</v>
      </c>
      <c r="H17" s="4481"/>
      <c r="I17" s="4480"/>
      <c r="J17" s="4482" t="s">
        <v>451</v>
      </c>
      <c r="K17" s="4483"/>
    </row>
    <row r="18" spans="1:11" ht="23.25" customHeight="1" thickBot="1" x14ac:dyDescent="0.25">
      <c r="A18" s="342" t="s">
        <v>452</v>
      </c>
      <c r="B18" s="342" t="s">
        <v>453</v>
      </c>
      <c r="C18" s="342" t="s">
        <v>454</v>
      </c>
      <c r="D18" s="343" t="s">
        <v>455</v>
      </c>
      <c r="E18" s="1022" t="s">
        <v>456</v>
      </c>
      <c r="F18" s="1025" t="s">
        <v>457</v>
      </c>
      <c r="G18" s="342" t="s">
        <v>456</v>
      </c>
      <c r="H18" s="343" t="s">
        <v>458</v>
      </c>
      <c r="I18" s="345" t="s">
        <v>457</v>
      </c>
      <c r="J18" s="4484" t="s">
        <v>459</v>
      </c>
      <c r="K18" s="4485"/>
    </row>
    <row r="19" spans="1:11" ht="13.5" thickBot="1" x14ac:dyDescent="0.25">
      <c r="A19" s="1021"/>
      <c r="B19" s="1021" t="s">
        <v>460</v>
      </c>
      <c r="C19" s="1021"/>
      <c r="D19" s="347"/>
      <c r="E19" s="1022" t="s">
        <v>458</v>
      </c>
      <c r="F19" s="345" t="s">
        <v>461</v>
      </c>
      <c r="G19" s="1024"/>
      <c r="H19" s="348"/>
      <c r="I19" s="345" t="s">
        <v>461</v>
      </c>
      <c r="J19" s="1021" t="s">
        <v>462</v>
      </c>
      <c r="K19" s="347" t="s">
        <v>456</v>
      </c>
    </row>
    <row r="20" spans="1:11" ht="13.5" thickBot="1" x14ac:dyDescent="0.25">
      <c r="A20" s="692"/>
      <c r="B20" s="280"/>
      <c r="C20" s="280"/>
      <c r="D20" s="280"/>
      <c r="E20" s="280"/>
      <c r="F20" s="280"/>
      <c r="G20" s="280"/>
      <c r="H20" s="280"/>
      <c r="I20" s="280"/>
      <c r="J20" s="280"/>
      <c r="K20" s="686"/>
    </row>
    <row r="21" spans="1:11" ht="13.5" thickBot="1" x14ac:dyDescent="0.25">
      <c r="A21" s="350">
        <v>1</v>
      </c>
      <c r="B21" s="351">
        <v>2</v>
      </c>
      <c r="C21" s="351">
        <v>3</v>
      </c>
      <c r="D21" s="351">
        <v>4</v>
      </c>
      <c r="E21" s="351">
        <v>5</v>
      </c>
      <c r="F21" s="351">
        <v>6</v>
      </c>
      <c r="G21" s="351">
        <v>7</v>
      </c>
      <c r="H21" s="351">
        <v>8</v>
      </c>
      <c r="I21" s="351">
        <v>9</v>
      </c>
      <c r="J21" s="351">
        <v>10</v>
      </c>
      <c r="K21" s="351">
        <v>11</v>
      </c>
    </row>
    <row r="22" spans="1:11" ht="13.5" thickBot="1" x14ac:dyDescent="0.25">
      <c r="A22" s="678"/>
      <c r="B22" s="679"/>
      <c r="C22" s="679"/>
      <c r="D22" s="679"/>
      <c r="E22" s="679"/>
      <c r="F22" s="679"/>
      <c r="G22" s="679"/>
      <c r="H22" s="679"/>
      <c r="I22" s="679"/>
      <c r="J22" s="679"/>
      <c r="K22" s="679"/>
    </row>
    <row r="23" spans="1:11" ht="13.5" thickBot="1" x14ac:dyDescent="0.25">
      <c r="A23" s="4462"/>
      <c r="B23" s="4463"/>
      <c r="C23" s="4463"/>
      <c r="D23" s="4463"/>
      <c r="E23" s="4463"/>
      <c r="F23" s="4463"/>
      <c r="G23" s="4463"/>
      <c r="H23" s="4463"/>
      <c r="I23" s="4463"/>
      <c r="J23" s="4463"/>
      <c r="K23" s="4464"/>
    </row>
    <row r="24" spans="1:11" ht="13.5" thickBot="1" x14ac:dyDescent="0.25">
      <c r="A24" s="4486" t="s">
        <v>677</v>
      </c>
      <c r="B24" s="4487"/>
      <c r="C24" s="4487"/>
      <c r="D24" s="4487"/>
      <c r="E24" s="4487"/>
      <c r="F24" s="4487"/>
      <c r="G24" s="4487"/>
      <c r="H24" s="4487"/>
      <c r="I24" s="4487"/>
      <c r="J24" s="4487"/>
      <c r="K24" s="4488"/>
    </row>
    <row r="25" spans="1:11" ht="13.5" thickBot="1" x14ac:dyDescent="0.25">
      <c r="A25" s="4462"/>
      <c r="B25" s="4463"/>
      <c r="C25" s="4463"/>
      <c r="D25" s="4463"/>
      <c r="E25" s="4463"/>
      <c r="F25" s="4463"/>
      <c r="G25" s="4463"/>
      <c r="H25" s="4463"/>
      <c r="I25" s="4463"/>
      <c r="J25" s="4463"/>
      <c r="K25" s="4464"/>
    </row>
    <row r="26" spans="1:11" ht="34.5" customHeight="1" x14ac:dyDescent="0.2">
      <c r="A26" s="4472">
        <v>1</v>
      </c>
      <c r="B26" s="4474" t="s">
        <v>678</v>
      </c>
      <c r="C26" s="357" t="s">
        <v>679</v>
      </c>
      <c r="D26" s="358">
        <v>0.26</v>
      </c>
      <c r="E26" s="359">
        <v>40328.97</v>
      </c>
      <c r="F26" s="359">
        <v>37757.160000000003</v>
      </c>
      <c r="G26" s="4472">
        <v>10486</v>
      </c>
      <c r="H26" s="4472">
        <v>669</v>
      </c>
      <c r="I26" s="359">
        <v>9817</v>
      </c>
      <c r="J26" s="359">
        <v>13.22</v>
      </c>
      <c r="K26" s="359">
        <v>3.44</v>
      </c>
    </row>
    <row r="27" spans="1:11" ht="35.25" customHeight="1" thickBot="1" x14ac:dyDescent="0.25">
      <c r="A27" s="4473"/>
      <c r="B27" s="4475"/>
      <c r="C27" s="355" t="s">
        <v>680</v>
      </c>
      <c r="D27" s="356" t="s">
        <v>681</v>
      </c>
      <c r="E27" s="356">
        <v>2571.81</v>
      </c>
      <c r="F27" s="356">
        <v>9733.83</v>
      </c>
      <c r="G27" s="4473"/>
      <c r="H27" s="4473"/>
      <c r="I27" s="356">
        <v>2531</v>
      </c>
      <c r="J27" s="356">
        <v>28.91</v>
      </c>
      <c r="K27" s="356">
        <v>7.52</v>
      </c>
    </row>
    <row r="28" spans="1:11" ht="24" customHeight="1" x14ac:dyDescent="0.2">
      <c r="A28" s="4472">
        <v>2</v>
      </c>
      <c r="B28" s="4474" t="s">
        <v>682</v>
      </c>
      <c r="C28" s="357" t="s">
        <v>683</v>
      </c>
      <c r="D28" s="358">
        <v>0.16</v>
      </c>
      <c r="E28" s="359">
        <v>79627.929999999993</v>
      </c>
      <c r="F28" s="359">
        <v>0</v>
      </c>
      <c r="G28" s="4472">
        <v>12740</v>
      </c>
      <c r="H28" s="4472">
        <v>12740</v>
      </c>
      <c r="I28" s="359">
        <v>0</v>
      </c>
      <c r="J28" s="359">
        <v>381</v>
      </c>
      <c r="K28" s="359">
        <v>60.96</v>
      </c>
    </row>
    <row r="29" spans="1:11" ht="34.5" customHeight="1" thickBot="1" x14ac:dyDescent="0.25">
      <c r="A29" s="4473"/>
      <c r="B29" s="4475"/>
      <c r="C29" s="355" t="s">
        <v>680</v>
      </c>
      <c r="D29" s="356" t="s">
        <v>684</v>
      </c>
      <c r="E29" s="356">
        <v>79627.929999999993</v>
      </c>
      <c r="F29" s="356">
        <v>0</v>
      </c>
      <c r="G29" s="4473"/>
      <c r="H29" s="4473"/>
      <c r="I29" s="356">
        <v>0</v>
      </c>
      <c r="J29" s="356">
        <v>0</v>
      </c>
      <c r="K29" s="356">
        <v>0</v>
      </c>
    </row>
    <row r="30" spans="1:11" ht="12" customHeight="1" x14ac:dyDescent="0.2">
      <c r="A30" s="4472">
        <v>3</v>
      </c>
      <c r="B30" s="4474" t="s">
        <v>685</v>
      </c>
      <c r="C30" s="357" t="s">
        <v>686</v>
      </c>
      <c r="D30" s="358">
        <v>0.5</v>
      </c>
      <c r="E30" s="359">
        <v>19221.080000000002</v>
      </c>
      <c r="F30" s="359">
        <v>19221.080000000002</v>
      </c>
      <c r="G30" s="4472">
        <v>9611</v>
      </c>
      <c r="H30" s="4472">
        <v>0</v>
      </c>
      <c r="I30" s="359">
        <v>9611</v>
      </c>
      <c r="J30" s="359">
        <v>0</v>
      </c>
      <c r="K30" s="359">
        <v>0</v>
      </c>
    </row>
    <row r="31" spans="1:11" ht="34.5" customHeight="1" thickBot="1" x14ac:dyDescent="0.25">
      <c r="A31" s="4473"/>
      <c r="B31" s="4475"/>
      <c r="C31" s="355" t="s">
        <v>680</v>
      </c>
      <c r="D31" s="356" t="s">
        <v>687</v>
      </c>
      <c r="E31" s="356">
        <v>0</v>
      </c>
      <c r="F31" s="356">
        <v>24389.57</v>
      </c>
      <c r="G31" s="4473"/>
      <c r="H31" s="4473"/>
      <c r="I31" s="356">
        <v>12195</v>
      </c>
      <c r="J31" s="356">
        <v>97.21</v>
      </c>
      <c r="K31" s="356">
        <v>48.61</v>
      </c>
    </row>
    <row r="32" spans="1:11" ht="21" customHeight="1" x14ac:dyDescent="0.2">
      <c r="A32" s="4472">
        <v>4</v>
      </c>
      <c r="B32" s="4474" t="s">
        <v>688</v>
      </c>
      <c r="C32" s="357" t="s">
        <v>689</v>
      </c>
      <c r="D32" s="358">
        <v>1</v>
      </c>
      <c r="E32" s="359">
        <v>12431.39</v>
      </c>
      <c r="F32" s="359">
        <v>726.88</v>
      </c>
      <c r="G32" s="4472">
        <v>12431</v>
      </c>
      <c r="H32" s="4472">
        <v>5531</v>
      </c>
      <c r="I32" s="359">
        <v>727</v>
      </c>
      <c r="J32" s="359">
        <v>26</v>
      </c>
      <c r="K32" s="359">
        <v>26</v>
      </c>
    </row>
    <row r="33" spans="1:11" ht="33" customHeight="1" thickBot="1" x14ac:dyDescent="0.25">
      <c r="A33" s="4473"/>
      <c r="B33" s="4475"/>
      <c r="C33" s="355" t="s">
        <v>680</v>
      </c>
      <c r="D33" s="356" t="s">
        <v>690</v>
      </c>
      <c r="E33" s="356">
        <v>5531.19</v>
      </c>
      <c r="F33" s="356">
        <v>97.76</v>
      </c>
      <c r="G33" s="4473"/>
      <c r="H33" s="4473"/>
      <c r="I33" s="356">
        <v>98</v>
      </c>
      <c r="J33" s="356">
        <v>0.72</v>
      </c>
      <c r="K33" s="356">
        <v>0.72</v>
      </c>
    </row>
    <row r="34" spans="1:11" ht="11.25" customHeight="1" x14ac:dyDescent="0.2">
      <c r="A34" s="4472">
        <v>5</v>
      </c>
      <c r="B34" s="4474" t="s">
        <v>691</v>
      </c>
      <c r="C34" s="357" t="s">
        <v>692</v>
      </c>
      <c r="D34" s="358">
        <v>2</v>
      </c>
      <c r="E34" s="359">
        <v>5195.62</v>
      </c>
      <c r="F34" s="359">
        <v>327.29000000000002</v>
      </c>
      <c r="G34" s="4472">
        <v>10391</v>
      </c>
      <c r="H34" s="4472">
        <v>4156</v>
      </c>
      <c r="I34" s="359">
        <v>655</v>
      </c>
      <c r="J34" s="359">
        <v>10.199999999999999</v>
      </c>
      <c r="K34" s="359">
        <v>20.399999999999999</v>
      </c>
    </row>
    <row r="35" spans="1:11" ht="32.25" customHeight="1" thickBot="1" x14ac:dyDescent="0.25">
      <c r="A35" s="4473"/>
      <c r="B35" s="4475"/>
      <c r="C35" s="355" t="s">
        <v>680</v>
      </c>
      <c r="D35" s="356" t="s">
        <v>693</v>
      </c>
      <c r="E35" s="356">
        <v>2078.25</v>
      </c>
      <c r="F35" s="356">
        <v>87.79</v>
      </c>
      <c r="G35" s="4473"/>
      <c r="H35" s="4473"/>
      <c r="I35" s="356">
        <v>176</v>
      </c>
      <c r="J35" s="356">
        <v>0.35</v>
      </c>
      <c r="K35" s="356">
        <v>0.7</v>
      </c>
    </row>
    <row r="36" spans="1:11" ht="32.25" customHeight="1" x14ac:dyDescent="0.2">
      <c r="A36" s="4472">
        <v>6</v>
      </c>
      <c r="B36" s="4474" t="s">
        <v>694</v>
      </c>
      <c r="C36" s="357" t="s">
        <v>695</v>
      </c>
      <c r="D36" s="358">
        <v>6</v>
      </c>
      <c r="E36" s="359">
        <v>904.33</v>
      </c>
      <c r="F36" s="359">
        <v>310.14</v>
      </c>
      <c r="G36" s="4472">
        <v>5426</v>
      </c>
      <c r="H36" s="4472">
        <v>1634</v>
      </c>
      <c r="I36" s="359">
        <v>1861</v>
      </c>
      <c r="J36" s="359">
        <v>1.28</v>
      </c>
      <c r="K36" s="359">
        <v>7.68</v>
      </c>
    </row>
    <row r="37" spans="1:11" ht="34.5" customHeight="1" thickBot="1" x14ac:dyDescent="0.25">
      <c r="A37" s="4473"/>
      <c r="B37" s="4475"/>
      <c r="C37" s="355" t="s">
        <v>680</v>
      </c>
      <c r="D37" s="356" t="s">
        <v>696</v>
      </c>
      <c r="E37" s="356">
        <v>272.33999999999997</v>
      </c>
      <c r="F37" s="356">
        <v>39.409999999999997</v>
      </c>
      <c r="G37" s="4473"/>
      <c r="H37" s="4473"/>
      <c r="I37" s="356">
        <v>236</v>
      </c>
      <c r="J37" s="356">
        <v>0.26</v>
      </c>
      <c r="K37" s="356">
        <v>1.56</v>
      </c>
    </row>
    <row r="38" spans="1:11" ht="33" customHeight="1" x14ac:dyDescent="0.2">
      <c r="A38" s="4472">
        <v>7</v>
      </c>
      <c r="B38" s="4474" t="s">
        <v>697</v>
      </c>
      <c r="C38" s="357" t="s">
        <v>698</v>
      </c>
      <c r="D38" s="358">
        <v>0.27</v>
      </c>
      <c r="E38" s="359">
        <v>7223.86</v>
      </c>
      <c r="F38" s="359">
        <v>7223.86</v>
      </c>
      <c r="G38" s="4472">
        <v>1950</v>
      </c>
      <c r="H38" s="4472">
        <v>0</v>
      </c>
      <c r="I38" s="359">
        <v>1950</v>
      </c>
      <c r="J38" s="359">
        <v>0</v>
      </c>
      <c r="K38" s="359">
        <v>0</v>
      </c>
    </row>
    <row r="39" spans="1:11" ht="33.75" customHeight="1" thickBot="1" x14ac:dyDescent="0.25">
      <c r="A39" s="4473"/>
      <c r="B39" s="4475"/>
      <c r="C39" s="355" t="s">
        <v>680</v>
      </c>
      <c r="D39" s="356" t="s">
        <v>681</v>
      </c>
      <c r="E39" s="356">
        <v>0</v>
      </c>
      <c r="F39" s="356">
        <v>2650.37</v>
      </c>
      <c r="G39" s="4473"/>
      <c r="H39" s="4473"/>
      <c r="I39" s="356">
        <v>716</v>
      </c>
      <c r="J39" s="356">
        <v>7.38</v>
      </c>
      <c r="K39" s="356">
        <v>1.99</v>
      </c>
    </row>
    <row r="40" spans="1:11" ht="24" customHeight="1" x14ac:dyDescent="0.2">
      <c r="A40" s="4472">
        <v>8</v>
      </c>
      <c r="B40" s="4474" t="s">
        <v>699</v>
      </c>
      <c r="C40" s="357" t="s">
        <v>700</v>
      </c>
      <c r="D40" s="358">
        <v>0.16500000000000001</v>
      </c>
      <c r="E40" s="359">
        <v>22633.05</v>
      </c>
      <c r="F40" s="359">
        <v>0</v>
      </c>
      <c r="G40" s="4472">
        <v>3734</v>
      </c>
      <c r="H40" s="4472">
        <v>3734</v>
      </c>
      <c r="I40" s="359">
        <v>0</v>
      </c>
      <c r="J40" s="359">
        <v>121</v>
      </c>
      <c r="K40" s="359">
        <v>19.97</v>
      </c>
    </row>
    <row r="41" spans="1:11" ht="34.5" customHeight="1" thickBot="1" x14ac:dyDescent="0.25">
      <c r="A41" s="4473"/>
      <c r="B41" s="4475"/>
      <c r="C41" s="355" t="s">
        <v>680</v>
      </c>
      <c r="D41" s="356" t="s">
        <v>684</v>
      </c>
      <c r="E41" s="356">
        <v>22633.05</v>
      </c>
      <c r="F41" s="356">
        <v>0</v>
      </c>
      <c r="G41" s="4473"/>
      <c r="H41" s="4473"/>
      <c r="I41" s="356">
        <v>0</v>
      </c>
      <c r="J41" s="356">
        <v>0</v>
      </c>
      <c r="K41" s="356">
        <v>0</v>
      </c>
    </row>
    <row r="42" spans="1:11" ht="12" customHeight="1" x14ac:dyDescent="0.2">
      <c r="A42" s="4472">
        <v>9</v>
      </c>
      <c r="B42" s="4474" t="s">
        <v>487</v>
      </c>
      <c r="C42" s="357" t="s">
        <v>488</v>
      </c>
      <c r="D42" s="358">
        <v>15</v>
      </c>
      <c r="E42" s="359">
        <v>4006.63</v>
      </c>
      <c r="F42" s="359">
        <v>751.4</v>
      </c>
      <c r="G42" s="4472">
        <v>60099</v>
      </c>
      <c r="H42" s="4472">
        <v>20123</v>
      </c>
      <c r="I42" s="359">
        <v>11271</v>
      </c>
      <c r="J42" s="359">
        <v>5.86</v>
      </c>
      <c r="K42" s="359">
        <v>87.9</v>
      </c>
    </row>
    <row r="43" spans="1:11" ht="33.75" customHeight="1" thickBot="1" x14ac:dyDescent="0.25">
      <c r="A43" s="4473"/>
      <c r="B43" s="4475"/>
      <c r="C43" s="355" t="s">
        <v>680</v>
      </c>
      <c r="D43" s="356" t="s">
        <v>489</v>
      </c>
      <c r="E43" s="356">
        <v>1341.52</v>
      </c>
      <c r="F43" s="356">
        <v>138.16999999999999</v>
      </c>
      <c r="G43" s="4473"/>
      <c r="H43" s="4473"/>
      <c r="I43" s="356">
        <v>2073</v>
      </c>
      <c r="J43" s="356">
        <v>0.55000000000000004</v>
      </c>
      <c r="K43" s="356">
        <v>8.25</v>
      </c>
    </row>
    <row r="44" spans="1:11" ht="10.5" customHeight="1" x14ac:dyDescent="0.2">
      <c r="A44" s="4472">
        <v>10</v>
      </c>
      <c r="B44" s="4474" t="s">
        <v>490</v>
      </c>
      <c r="C44" s="357" t="s">
        <v>491</v>
      </c>
      <c r="D44" s="358">
        <v>12</v>
      </c>
      <c r="E44" s="359">
        <v>8765.59</v>
      </c>
      <c r="F44" s="359">
        <v>936.14</v>
      </c>
      <c r="G44" s="4472">
        <v>105187</v>
      </c>
      <c r="H44" s="4472">
        <v>26923</v>
      </c>
      <c r="I44" s="359">
        <v>11234</v>
      </c>
      <c r="J44" s="359">
        <v>9.8000000000000007</v>
      </c>
      <c r="K44" s="359">
        <v>117.6</v>
      </c>
    </row>
    <row r="45" spans="1:11" ht="35.25" customHeight="1" thickBot="1" x14ac:dyDescent="0.25">
      <c r="A45" s="4473"/>
      <c r="B45" s="4475"/>
      <c r="C45" s="355" t="s">
        <v>680</v>
      </c>
      <c r="D45" s="356" t="s">
        <v>489</v>
      </c>
      <c r="E45" s="356">
        <v>2243.6</v>
      </c>
      <c r="F45" s="356">
        <v>138.16999999999999</v>
      </c>
      <c r="G45" s="4473"/>
      <c r="H45" s="4473"/>
      <c r="I45" s="356">
        <v>1658</v>
      </c>
      <c r="J45" s="356">
        <v>0.55000000000000004</v>
      </c>
      <c r="K45" s="356">
        <v>6.6</v>
      </c>
    </row>
    <row r="46" spans="1:11" ht="12" customHeight="1" x14ac:dyDescent="0.2">
      <c r="A46" s="4472">
        <v>11</v>
      </c>
      <c r="B46" s="4474" t="s">
        <v>492</v>
      </c>
      <c r="C46" s="357" t="s">
        <v>493</v>
      </c>
      <c r="D46" s="358">
        <v>3</v>
      </c>
      <c r="E46" s="359">
        <v>14254.95</v>
      </c>
      <c r="F46" s="359">
        <v>1157.76</v>
      </c>
      <c r="G46" s="4472">
        <v>42765</v>
      </c>
      <c r="H46" s="4472">
        <v>9272</v>
      </c>
      <c r="I46" s="359">
        <v>3473</v>
      </c>
      <c r="J46" s="359">
        <v>13.5</v>
      </c>
      <c r="K46" s="359">
        <v>40.5</v>
      </c>
    </row>
    <row r="47" spans="1:11" ht="34.5" customHeight="1" thickBot="1" x14ac:dyDescent="0.25">
      <c r="A47" s="4473"/>
      <c r="B47" s="4475"/>
      <c r="C47" s="355" t="s">
        <v>680</v>
      </c>
      <c r="D47" s="356" t="s">
        <v>489</v>
      </c>
      <c r="E47" s="356">
        <v>3090.81</v>
      </c>
      <c r="F47" s="356">
        <v>138.16999999999999</v>
      </c>
      <c r="G47" s="4473"/>
      <c r="H47" s="4473"/>
      <c r="I47" s="356">
        <v>415</v>
      </c>
      <c r="J47" s="356">
        <v>0.55000000000000004</v>
      </c>
      <c r="K47" s="356">
        <v>1.65</v>
      </c>
    </row>
    <row r="48" spans="1:11" ht="10.5" customHeight="1" x14ac:dyDescent="0.2">
      <c r="A48" s="4472">
        <v>12</v>
      </c>
      <c r="B48" s="4474" t="s">
        <v>701</v>
      </c>
      <c r="C48" s="357" t="s">
        <v>702</v>
      </c>
      <c r="D48" s="358">
        <v>0.6</v>
      </c>
      <c r="E48" s="359">
        <v>145994.18</v>
      </c>
      <c r="F48" s="359">
        <v>103149.95</v>
      </c>
      <c r="G48" s="4472">
        <v>87597</v>
      </c>
      <c r="H48" s="4472">
        <v>24932</v>
      </c>
      <c r="I48" s="359">
        <v>61890</v>
      </c>
      <c r="J48" s="359">
        <v>128.96</v>
      </c>
      <c r="K48" s="359">
        <v>77.38</v>
      </c>
    </row>
    <row r="49" spans="1:11" ht="36" customHeight="1" thickBot="1" x14ac:dyDescent="0.25">
      <c r="A49" s="4473"/>
      <c r="B49" s="4475"/>
      <c r="C49" s="355" t="s">
        <v>680</v>
      </c>
      <c r="D49" s="356" t="s">
        <v>513</v>
      </c>
      <c r="E49" s="356">
        <v>41554.03</v>
      </c>
      <c r="F49" s="356">
        <v>12446.06</v>
      </c>
      <c r="G49" s="4473"/>
      <c r="H49" s="4473"/>
      <c r="I49" s="356">
        <v>7468</v>
      </c>
      <c r="J49" s="356">
        <v>55.8</v>
      </c>
      <c r="K49" s="356">
        <v>33.479999999999997</v>
      </c>
    </row>
    <row r="50" spans="1:11" ht="12.75" customHeight="1" x14ac:dyDescent="0.2">
      <c r="A50" s="4472">
        <v>13</v>
      </c>
      <c r="B50" s="4474" t="s">
        <v>703</v>
      </c>
      <c r="C50" s="357" t="s">
        <v>704</v>
      </c>
      <c r="D50" s="358">
        <v>0.72</v>
      </c>
      <c r="E50" s="359">
        <v>190490.87</v>
      </c>
      <c r="F50" s="359">
        <v>134224.35999999999</v>
      </c>
      <c r="G50" s="4472">
        <v>137153</v>
      </c>
      <c r="H50" s="4472">
        <v>39273</v>
      </c>
      <c r="I50" s="359">
        <v>96642</v>
      </c>
      <c r="J50" s="359">
        <v>169.28</v>
      </c>
      <c r="K50" s="359">
        <v>121.88</v>
      </c>
    </row>
    <row r="51" spans="1:11" ht="33.75" customHeight="1" thickBot="1" x14ac:dyDescent="0.25">
      <c r="A51" s="4473"/>
      <c r="B51" s="4475"/>
      <c r="C51" s="355" t="s">
        <v>680</v>
      </c>
      <c r="D51" s="356" t="s">
        <v>513</v>
      </c>
      <c r="E51" s="356">
        <v>54546.27</v>
      </c>
      <c r="F51" s="356">
        <v>16418</v>
      </c>
      <c r="G51" s="4473"/>
      <c r="H51" s="4473"/>
      <c r="I51" s="356">
        <v>11821</v>
      </c>
      <c r="J51" s="356">
        <v>73.400000000000006</v>
      </c>
      <c r="K51" s="356">
        <v>52.85</v>
      </c>
    </row>
    <row r="52" spans="1:11" ht="13.5" thickBot="1" x14ac:dyDescent="0.25">
      <c r="A52" s="4462"/>
      <c r="B52" s="4463"/>
      <c r="C52" s="4463"/>
      <c r="D52" s="4463"/>
      <c r="E52" s="4463"/>
      <c r="F52" s="4463"/>
      <c r="G52" s="4463"/>
      <c r="H52" s="4463"/>
      <c r="I52" s="4463"/>
      <c r="J52" s="4463"/>
      <c r="K52" s="4464"/>
    </row>
    <row r="53" spans="1:11" x14ac:dyDescent="0.2">
      <c r="A53" s="4465" t="s">
        <v>705</v>
      </c>
      <c r="B53" s="4466"/>
      <c r="C53" s="4466"/>
      <c r="D53" s="4466"/>
      <c r="E53" s="4466"/>
      <c r="F53" s="4468"/>
      <c r="G53" s="4468">
        <v>499570</v>
      </c>
      <c r="H53" s="4468">
        <v>148987</v>
      </c>
      <c r="I53" s="693">
        <v>209131</v>
      </c>
      <c r="J53" s="4468"/>
      <c r="K53" s="359">
        <v>583.70000000000005</v>
      </c>
    </row>
    <row r="54" spans="1:11" ht="13.5" thickBot="1" x14ac:dyDescent="0.25">
      <c r="A54" s="4467"/>
      <c r="B54" s="4460"/>
      <c r="C54" s="4460"/>
      <c r="D54" s="4460"/>
      <c r="E54" s="4460"/>
      <c r="F54" s="4469"/>
      <c r="G54" s="4469"/>
      <c r="H54" s="4469"/>
      <c r="I54" s="1026">
        <v>39387</v>
      </c>
      <c r="J54" s="4469"/>
      <c r="K54" s="356">
        <v>163.92</v>
      </c>
    </row>
    <row r="55" spans="1:11" ht="24" thickBot="1" x14ac:dyDescent="0.25">
      <c r="A55" s="4506" t="s">
        <v>884</v>
      </c>
      <c r="B55" s="4507"/>
      <c r="C55" s="4507"/>
      <c r="D55" s="4507"/>
      <c r="E55" s="4507"/>
      <c r="F55" s="4507"/>
      <c r="G55" s="1474"/>
      <c r="H55" s="1474"/>
      <c r="I55" s="1644">
        <f>G53-H53-I53-I54</f>
        <v>102065</v>
      </c>
      <c r="J55" s="1026"/>
      <c r="K55" s="356"/>
    </row>
    <row r="56" spans="1:11" ht="13.5" thickBot="1" x14ac:dyDescent="0.25">
      <c r="A56" s="4462"/>
      <c r="B56" s="4463"/>
      <c r="C56" s="4463"/>
      <c r="D56" s="4463"/>
      <c r="E56" s="4463"/>
      <c r="F56" s="4463"/>
      <c r="G56" s="4463"/>
      <c r="H56" s="4463"/>
      <c r="I56" s="4463"/>
      <c r="J56" s="4463"/>
      <c r="K56" s="4464"/>
    </row>
    <row r="57" spans="1:11" hidden="1" x14ac:dyDescent="0.2">
      <c r="A57" s="4465" t="s">
        <v>706</v>
      </c>
      <c r="B57" s="4466"/>
      <c r="C57" s="4466"/>
      <c r="D57" s="4466"/>
      <c r="E57" s="4466"/>
      <c r="F57" s="4468"/>
      <c r="G57" s="4468">
        <v>499570</v>
      </c>
      <c r="H57" s="4468">
        <v>148987</v>
      </c>
      <c r="I57" s="693">
        <v>209131</v>
      </c>
      <c r="J57" s="4468"/>
      <c r="K57" s="359">
        <v>583.70000000000005</v>
      </c>
    </row>
    <row r="58" spans="1:11" ht="13.5" hidden="1" thickBot="1" x14ac:dyDescent="0.25">
      <c r="A58" s="4467"/>
      <c r="B58" s="4460"/>
      <c r="C58" s="4460"/>
      <c r="D58" s="4460"/>
      <c r="E58" s="4460"/>
      <c r="F58" s="4469"/>
      <c r="G58" s="4469"/>
      <c r="H58" s="4469"/>
      <c r="I58" s="1026">
        <v>39387</v>
      </c>
      <c r="J58" s="4469"/>
      <c r="K58" s="356">
        <v>163.92</v>
      </c>
    </row>
    <row r="59" spans="1:11" ht="13.5" hidden="1" thickBot="1" x14ac:dyDescent="0.25">
      <c r="A59" s="678"/>
      <c r="B59" s="679"/>
      <c r="C59" s="679"/>
      <c r="D59" s="679"/>
      <c r="E59" s="679"/>
      <c r="F59" s="679"/>
      <c r="G59" s="679"/>
      <c r="H59" s="679"/>
      <c r="I59" s="679"/>
      <c r="J59" s="679"/>
      <c r="K59" s="679"/>
    </row>
    <row r="60" spans="1:11" hidden="1" x14ac:dyDescent="0.2">
      <c r="A60" s="694"/>
      <c r="B60" s="280"/>
      <c r="C60" s="280"/>
      <c r="D60" s="280"/>
      <c r="E60" s="280"/>
      <c r="F60" s="280"/>
      <c r="G60" s="280"/>
      <c r="H60" s="280"/>
      <c r="I60" s="280"/>
      <c r="J60" s="280"/>
      <c r="K60" s="686"/>
    </row>
    <row r="61" spans="1:11" hidden="1" x14ac:dyDescent="0.2">
      <c r="A61" s="695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hidden="1" x14ac:dyDescent="0.2">
      <c r="A62" s="695"/>
      <c r="B62" s="280"/>
      <c r="C62" s="4457" t="s">
        <v>707</v>
      </c>
      <c r="D62" s="4347"/>
      <c r="E62" s="4347"/>
      <c r="F62" s="4347"/>
      <c r="G62" s="4347"/>
      <c r="H62" s="4347"/>
      <c r="I62" s="4457" t="s">
        <v>708</v>
      </c>
      <c r="J62" s="4457" t="s">
        <v>709</v>
      </c>
      <c r="K62" s="357" t="s">
        <v>570</v>
      </c>
    </row>
    <row r="63" spans="1:11" hidden="1" x14ac:dyDescent="0.2">
      <c r="A63" s="695"/>
      <c r="B63" s="280"/>
      <c r="C63" s="4457"/>
      <c r="D63" s="4347"/>
      <c r="E63" s="4347"/>
      <c r="F63" s="4347"/>
      <c r="G63" s="4347"/>
      <c r="H63" s="4347"/>
      <c r="I63" s="4457"/>
      <c r="J63" s="4457"/>
      <c r="K63" s="357" t="s">
        <v>710</v>
      </c>
    </row>
    <row r="64" spans="1:11" ht="13.5" hidden="1" thickBot="1" x14ac:dyDescent="0.25">
      <c r="A64" s="695"/>
      <c r="B64" s="280"/>
      <c r="C64" s="4457" t="s">
        <v>54</v>
      </c>
      <c r="D64" s="4347"/>
      <c r="E64" s="4347"/>
      <c r="F64" s="4347"/>
      <c r="G64" s="4347"/>
      <c r="H64" s="4347"/>
      <c r="I64" s="1026"/>
      <c r="J64" s="1026"/>
      <c r="K64" s="356" t="s">
        <v>711</v>
      </c>
    </row>
    <row r="65" spans="1:11" ht="13.5" hidden="1" thickBot="1" x14ac:dyDescent="0.25">
      <c r="A65" s="695"/>
      <c r="B65" s="280"/>
      <c r="C65" s="4457" t="s">
        <v>712</v>
      </c>
      <c r="D65" s="4347"/>
      <c r="E65" s="4347"/>
      <c r="F65" s="4347"/>
      <c r="G65" s="4347"/>
      <c r="H65" s="4347"/>
      <c r="I65" s="1026">
        <v>0.6</v>
      </c>
      <c r="J65" s="1026">
        <v>85</v>
      </c>
      <c r="K65" s="356" t="s">
        <v>713</v>
      </c>
    </row>
    <row r="66" spans="1:11" ht="13.5" hidden="1" thickBot="1" x14ac:dyDescent="0.25">
      <c r="A66" s="695"/>
      <c r="B66" s="280"/>
      <c r="C66" s="4457" t="s">
        <v>714</v>
      </c>
      <c r="D66" s="4347"/>
      <c r="E66" s="4347"/>
      <c r="F66" s="4347"/>
      <c r="G66" s="4347"/>
      <c r="H66" s="4347"/>
      <c r="I66" s="1026">
        <v>0.6</v>
      </c>
      <c r="J66" s="1026">
        <v>71</v>
      </c>
      <c r="K66" s="356" t="s">
        <v>715</v>
      </c>
    </row>
    <row r="67" spans="1:11" ht="13.5" hidden="1" thickBot="1" x14ac:dyDescent="0.25">
      <c r="A67" s="695"/>
      <c r="B67" s="280"/>
      <c r="C67" s="4457" t="s">
        <v>716</v>
      </c>
      <c r="D67" s="4347"/>
      <c r="E67" s="4347"/>
      <c r="F67" s="4347"/>
      <c r="G67" s="4347"/>
      <c r="H67" s="4347"/>
      <c r="I67" s="1026">
        <v>0.6</v>
      </c>
      <c r="J67" s="1026">
        <v>71</v>
      </c>
      <c r="K67" s="356" t="s">
        <v>717</v>
      </c>
    </row>
    <row r="68" spans="1:11" ht="13.5" hidden="1" thickBot="1" x14ac:dyDescent="0.25">
      <c r="A68" s="695"/>
      <c r="B68" s="280"/>
      <c r="C68" s="4457" t="s">
        <v>718</v>
      </c>
      <c r="D68" s="4347"/>
      <c r="E68" s="4347"/>
      <c r="F68" s="4347"/>
      <c r="G68" s="4347"/>
      <c r="H68" s="4347"/>
      <c r="I68" s="1026">
        <v>0.6</v>
      </c>
      <c r="J68" s="1026">
        <v>116</v>
      </c>
      <c r="K68" s="356" t="s">
        <v>719</v>
      </c>
    </row>
    <row r="69" spans="1:11" ht="13.5" hidden="1" thickBot="1" x14ac:dyDescent="0.25">
      <c r="A69" s="695"/>
      <c r="B69" s="280"/>
      <c r="C69" s="4457" t="s">
        <v>720</v>
      </c>
      <c r="D69" s="4347"/>
      <c r="E69" s="4347"/>
      <c r="F69" s="4347"/>
      <c r="G69" s="4347"/>
      <c r="H69" s="4347"/>
      <c r="I69" s="1026">
        <v>0.6</v>
      </c>
      <c r="J69" s="1026">
        <v>92</v>
      </c>
      <c r="K69" s="356" t="s">
        <v>721</v>
      </c>
    </row>
    <row r="70" spans="1:11" ht="13.5" hidden="1" thickBot="1" x14ac:dyDescent="0.25">
      <c r="A70" s="695"/>
      <c r="B70" s="280"/>
      <c r="C70" s="4457" t="s">
        <v>722</v>
      </c>
      <c r="D70" s="4347"/>
      <c r="E70" s="4347"/>
      <c r="F70" s="4347"/>
      <c r="G70" s="4347"/>
      <c r="H70" s="4347"/>
      <c r="I70" s="1026"/>
      <c r="J70" s="1026"/>
      <c r="K70" s="356" t="s">
        <v>723</v>
      </c>
    </row>
    <row r="71" spans="1:11" ht="13.5" hidden="1" thickBot="1" x14ac:dyDescent="0.25">
      <c r="A71" s="695"/>
      <c r="B71" s="280"/>
      <c r="C71" s="4457" t="s">
        <v>54</v>
      </c>
      <c r="D71" s="4347"/>
      <c r="E71" s="4347"/>
      <c r="F71" s="4347"/>
      <c r="G71" s="4347"/>
      <c r="H71" s="4347"/>
      <c r="I71" s="1026"/>
      <c r="J71" s="1026"/>
      <c r="K71" s="356" t="s">
        <v>724</v>
      </c>
    </row>
    <row r="72" spans="1:11" ht="13.5" hidden="1" thickBot="1" x14ac:dyDescent="0.25">
      <c r="A72" s="695"/>
      <c r="B72" s="280"/>
      <c r="C72" s="4457" t="s">
        <v>725</v>
      </c>
      <c r="D72" s="4347"/>
      <c r="E72" s="4347"/>
      <c r="F72" s="4347"/>
      <c r="G72" s="4347"/>
      <c r="H72" s="4347"/>
      <c r="I72" s="1026"/>
      <c r="J72" s="1026">
        <v>40</v>
      </c>
      <c r="K72" s="356" t="s">
        <v>726</v>
      </c>
    </row>
    <row r="73" spans="1:11" ht="13.5" hidden="1" thickBot="1" x14ac:dyDescent="0.25">
      <c r="A73" s="695"/>
      <c r="B73" s="280"/>
      <c r="C73" s="4457" t="s">
        <v>727</v>
      </c>
      <c r="D73" s="4347"/>
      <c r="E73" s="4347"/>
      <c r="F73" s="4347"/>
      <c r="G73" s="4347"/>
      <c r="H73" s="4347"/>
      <c r="I73" s="1026"/>
      <c r="J73" s="1026">
        <v>36</v>
      </c>
      <c r="K73" s="356" t="s">
        <v>728</v>
      </c>
    </row>
    <row r="74" spans="1:11" ht="13.5" hidden="1" thickBot="1" x14ac:dyDescent="0.25">
      <c r="A74" s="695"/>
      <c r="B74" s="280"/>
      <c r="C74" s="4457" t="s">
        <v>729</v>
      </c>
      <c r="D74" s="4347"/>
      <c r="E74" s="4347"/>
      <c r="F74" s="4347"/>
      <c r="G74" s="4347"/>
      <c r="H74" s="4347"/>
      <c r="I74" s="1026"/>
      <c r="J74" s="1026">
        <v>36</v>
      </c>
      <c r="K74" s="356" t="s">
        <v>730</v>
      </c>
    </row>
    <row r="75" spans="1:11" ht="13.5" hidden="1" thickBot="1" x14ac:dyDescent="0.25">
      <c r="A75" s="695"/>
      <c r="B75" s="280"/>
      <c r="C75" s="4457" t="s">
        <v>731</v>
      </c>
      <c r="D75" s="4347"/>
      <c r="E75" s="4347"/>
      <c r="F75" s="4347"/>
      <c r="G75" s="4347"/>
      <c r="H75" s="4347"/>
      <c r="I75" s="1026"/>
      <c r="J75" s="1026">
        <v>71</v>
      </c>
      <c r="K75" s="356" t="s">
        <v>732</v>
      </c>
    </row>
    <row r="76" spans="1:11" ht="13.5" hidden="1" thickBot="1" x14ac:dyDescent="0.25">
      <c r="A76" s="695"/>
      <c r="B76" s="280"/>
      <c r="C76" s="4457" t="s">
        <v>733</v>
      </c>
      <c r="D76" s="4347"/>
      <c r="E76" s="4347"/>
      <c r="F76" s="4347"/>
      <c r="G76" s="4347"/>
      <c r="H76" s="4347"/>
      <c r="I76" s="1026"/>
      <c r="J76" s="1026">
        <v>54</v>
      </c>
      <c r="K76" s="356" t="s">
        <v>734</v>
      </c>
    </row>
    <row r="77" spans="1:11" ht="13.5" hidden="1" thickBot="1" x14ac:dyDescent="0.25">
      <c r="A77" s="695"/>
      <c r="B77" s="280"/>
      <c r="C77" s="4457" t="s">
        <v>735</v>
      </c>
      <c r="D77" s="4347"/>
      <c r="E77" s="4347"/>
      <c r="F77" s="4347"/>
      <c r="G77" s="4347"/>
      <c r="H77" s="4347"/>
      <c r="I77" s="1026"/>
      <c r="J77" s="1026"/>
      <c r="K77" s="356" t="s">
        <v>736</v>
      </c>
    </row>
    <row r="78" spans="1:11" ht="13.5" hidden="1" thickBot="1" x14ac:dyDescent="0.25">
      <c r="A78" s="695"/>
      <c r="B78" s="280"/>
      <c r="C78" s="4457" t="s">
        <v>54</v>
      </c>
      <c r="D78" s="4347"/>
      <c r="E78" s="4347"/>
      <c r="F78" s="4347"/>
      <c r="G78" s="4347"/>
      <c r="H78" s="4347"/>
      <c r="I78" s="1026"/>
      <c r="J78" s="1026"/>
      <c r="K78" s="356" t="s">
        <v>737</v>
      </c>
    </row>
    <row r="79" spans="1:11" ht="13.5" hidden="1" thickBot="1" x14ac:dyDescent="0.25">
      <c r="A79" s="695"/>
      <c r="B79" s="280"/>
      <c r="C79" s="4457" t="s">
        <v>738</v>
      </c>
      <c r="D79" s="4347"/>
      <c r="E79" s="4347"/>
      <c r="F79" s="4347"/>
      <c r="G79" s="4347"/>
      <c r="H79" s="4347"/>
      <c r="I79" s="1026"/>
      <c r="J79" s="1026">
        <v>18</v>
      </c>
      <c r="K79" s="356" t="s">
        <v>739</v>
      </c>
    </row>
    <row r="80" spans="1:11" ht="13.5" hidden="1" thickBot="1" x14ac:dyDescent="0.25">
      <c r="A80" s="695"/>
      <c r="B80" s="280"/>
      <c r="C80" s="4457" t="s">
        <v>288</v>
      </c>
      <c r="D80" s="4347"/>
      <c r="E80" s="4347"/>
      <c r="F80" s="4347"/>
      <c r="G80" s="4347"/>
      <c r="H80" s="4347"/>
      <c r="I80" s="1026"/>
      <c r="J80" s="1026"/>
      <c r="K80" s="356" t="s">
        <v>671</v>
      </c>
    </row>
    <row r="81" spans="1:12" ht="13.5" hidden="1" thickBot="1" x14ac:dyDescent="0.25">
      <c r="A81" s="682"/>
      <c r="B81" s="681"/>
      <c r="C81" s="4460" t="s">
        <v>740</v>
      </c>
      <c r="D81" s="3492"/>
      <c r="E81" s="3492"/>
      <c r="F81" s="3492"/>
      <c r="G81" s="3492"/>
      <c r="H81" s="3492"/>
      <c r="I81" s="1026"/>
      <c r="J81" s="1026"/>
      <c r="K81" s="356" t="s">
        <v>671</v>
      </c>
    </row>
    <row r="82" spans="1:12" ht="15.75" hidden="1" x14ac:dyDescent="0.25">
      <c r="K82" s="705">
        <v>821297</v>
      </c>
    </row>
    <row r="83" spans="1:12" ht="13.5" thickBot="1" x14ac:dyDescent="0.25"/>
    <row r="84" spans="1:12" ht="18.75" x14ac:dyDescent="0.3">
      <c r="A84" s="4502" t="s">
        <v>741</v>
      </c>
      <c r="B84" s="4503"/>
      <c r="C84" s="4503"/>
      <c r="D84" s="4503"/>
      <c r="E84" s="4503"/>
      <c r="F84" s="4503"/>
      <c r="G84" s="4503"/>
      <c r="H84" s="4503"/>
      <c r="I84" s="4503"/>
      <c r="J84" s="4503"/>
      <c r="K84" s="4503"/>
      <c r="L84" s="696"/>
    </row>
    <row r="85" spans="1:12" ht="13.5" x14ac:dyDescent="0.25">
      <c r="A85" s="4504" t="s">
        <v>664</v>
      </c>
      <c r="B85" s="4493"/>
      <c r="C85" s="4493"/>
      <c r="D85" s="4493"/>
      <c r="E85" s="4493"/>
      <c r="F85" s="4493"/>
      <c r="G85" s="4493"/>
      <c r="H85" s="4493"/>
      <c r="I85" s="4493"/>
      <c r="J85" s="4493"/>
      <c r="K85" s="4493"/>
      <c r="L85" s="1034"/>
    </row>
    <row r="86" spans="1:12" ht="18.75" x14ac:dyDescent="0.3">
      <c r="A86" s="698"/>
      <c r="B86" s="1033"/>
      <c r="C86" s="1033"/>
      <c r="D86" s="1033"/>
      <c r="E86" s="1033"/>
      <c r="F86" s="1033"/>
      <c r="G86" s="1033"/>
      <c r="H86" s="1033"/>
      <c r="I86" s="1033"/>
      <c r="J86" s="1033"/>
      <c r="K86" s="1033"/>
      <c r="L86" s="1034"/>
    </row>
    <row r="87" spans="1:12" ht="18.75" x14ac:dyDescent="0.3">
      <c r="A87" s="4505" t="s">
        <v>742</v>
      </c>
      <c r="B87" s="4493"/>
      <c r="C87" s="4493"/>
      <c r="D87" s="4493"/>
      <c r="E87" s="4493"/>
      <c r="F87" s="4493"/>
      <c r="G87" s="4493"/>
      <c r="H87" s="4493"/>
      <c r="I87" s="4493"/>
      <c r="J87" s="4493"/>
      <c r="K87" s="4493"/>
      <c r="L87" s="4494"/>
    </row>
    <row r="88" spans="1:12" ht="18" x14ac:dyDescent="0.25">
      <c r="A88" s="687" t="s">
        <v>666</v>
      </c>
      <c r="B88" s="1033"/>
      <c r="C88" s="1033"/>
      <c r="D88" s="1033"/>
      <c r="E88" s="1033"/>
      <c r="F88" s="1033"/>
      <c r="G88" s="1033"/>
      <c r="H88" s="1033"/>
      <c r="I88" s="1033"/>
      <c r="J88" s="1033"/>
      <c r="K88" s="1033"/>
      <c r="L88" s="1034"/>
    </row>
    <row r="89" spans="1:12" x14ac:dyDescent="0.2">
      <c r="A89" s="4492" t="s">
        <v>743</v>
      </c>
      <c r="B89" s="4493"/>
      <c r="C89" s="4493"/>
      <c r="D89" s="4493"/>
      <c r="E89" s="4493"/>
      <c r="F89" s="4493"/>
      <c r="G89" s="4493"/>
      <c r="H89" s="4493"/>
      <c r="I89" s="4493"/>
      <c r="J89" s="4493"/>
      <c r="K89" s="4493"/>
      <c r="L89" s="4494"/>
    </row>
    <row r="90" spans="1:12" x14ac:dyDescent="0.2">
      <c r="A90" s="4495"/>
      <c r="B90" s="4493"/>
      <c r="C90" s="4493"/>
      <c r="D90" s="4493"/>
      <c r="E90" s="4493"/>
      <c r="F90" s="4493"/>
      <c r="G90" s="4493"/>
      <c r="H90" s="4493"/>
      <c r="I90" s="4493"/>
      <c r="J90" s="4493"/>
      <c r="K90" s="4493"/>
      <c r="L90" s="4494"/>
    </row>
    <row r="91" spans="1:12" x14ac:dyDescent="0.2">
      <c r="A91" s="4496" t="s">
        <v>667</v>
      </c>
      <c r="B91" s="4497"/>
      <c r="C91" s="1033"/>
      <c r="D91" s="1033"/>
      <c r="E91" s="1033"/>
      <c r="F91" s="1033"/>
      <c r="G91" s="1033"/>
      <c r="H91" s="1033"/>
      <c r="I91" s="1033"/>
      <c r="J91" s="1033"/>
      <c r="K91" s="1033"/>
      <c r="L91" s="1034"/>
    </row>
    <row r="92" spans="1:12" ht="13.5" x14ac:dyDescent="0.2">
      <c r="A92" s="700"/>
      <c r="B92" s="701"/>
      <c r="C92" s="1033"/>
      <c r="D92" s="1033"/>
      <c r="E92" s="1033"/>
      <c r="F92" s="1033"/>
      <c r="G92" s="1033"/>
      <c r="H92" s="1033"/>
      <c r="I92" s="1033"/>
      <c r="J92" s="1033"/>
      <c r="K92" s="1033"/>
      <c r="L92" s="1034"/>
    </row>
    <row r="93" spans="1:12" x14ac:dyDescent="0.2">
      <c r="A93" s="4496" t="s">
        <v>668</v>
      </c>
      <c r="B93" s="4493"/>
      <c r="C93" s="4493"/>
      <c r="D93" s="4498" t="s">
        <v>744</v>
      </c>
      <c r="E93" s="4493"/>
      <c r="F93" s="4493"/>
      <c r="G93" s="4493"/>
      <c r="H93" s="4493"/>
      <c r="I93" s="4493"/>
      <c r="J93" s="4493"/>
      <c r="K93" s="4493"/>
      <c r="L93" s="4494"/>
    </row>
    <row r="94" spans="1:12" ht="18.75" x14ac:dyDescent="0.3">
      <c r="A94" s="1029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686"/>
    </row>
    <row r="95" spans="1:12" ht="12.75" customHeight="1" x14ac:dyDescent="0.2">
      <c r="A95" s="4499" t="s">
        <v>670</v>
      </c>
      <c r="B95" s="4347"/>
      <c r="C95" s="4347"/>
      <c r="D95" s="4347"/>
      <c r="E95" s="4347"/>
      <c r="F95" s="4500" t="s">
        <v>745</v>
      </c>
      <c r="G95" s="4501" t="s">
        <v>672</v>
      </c>
      <c r="H95" s="280"/>
      <c r="I95" s="280"/>
      <c r="J95" s="280"/>
      <c r="K95" s="280"/>
      <c r="L95" s="686"/>
    </row>
    <row r="96" spans="1:12" x14ac:dyDescent="0.2">
      <c r="A96" s="4499"/>
      <c r="B96" s="4347"/>
      <c r="C96" s="4347"/>
      <c r="D96" s="4347"/>
      <c r="E96" s="4347"/>
      <c r="F96" s="4500"/>
      <c r="G96" s="4501"/>
      <c r="H96" s="280"/>
      <c r="I96" s="280"/>
      <c r="J96" s="280"/>
      <c r="K96" s="280"/>
      <c r="L96" s="686"/>
    </row>
    <row r="97" spans="1:12" ht="13.5" customHeight="1" x14ac:dyDescent="0.2">
      <c r="A97" s="4489" t="s">
        <v>673</v>
      </c>
      <c r="B97" s="4347"/>
      <c r="C97" s="4347"/>
      <c r="D97" s="4347"/>
      <c r="E97" s="4347"/>
      <c r="F97" s="4490">
        <v>951</v>
      </c>
      <c r="G97" s="4491" t="s">
        <v>674</v>
      </c>
      <c r="H97" s="280"/>
      <c r="I97" s="280"/>
      <c r="J97" s="280"/>
      <c r="K97" s="280"/>
      <c r="L97" s="686"/>
    </row>
    <row r="98" spans="1:12" x14ac:dyDescent="0.2">
      <c r="A98" s="4489"/>
      <c r="B98" s="4347"/>
      <c r="C98" s="4347"/>
      <c r="D98" s="4347"/>
      <c r="E98" s="4347"/>
      <c r="F98" s="4490"/>
      <c r="G98" s="4491"/>
      <c r="H98" s="280"/>
      <c r="I98" s="280"/>
      <c r="J98" s="280"/>
      <c r="K98" s="280"/>
      <c r="L98" s="686"/>
    </row>
    <row r="99" spans="1:12" ht="13.5" customHeight="1" x14ac:dyDescent="0.2">
      <c r="A99" s="4489" t="s">
        <v>675</v>
      </c>
      <c r="B99" s="4347"/>
      <c r="C99" s="4347"/>
      <c r="D99" s="4347"/>
      <c r="E99" s="4347"/>
      <c r="F99" s="4490" t="s">
        <v>746</v>
      </c>
      <c r="G99" s="4491" t="s">
        <v>672</v>
      </c>
      <c r="H99" s="280"/>
      <c r="I99" s="280"/>
      <c r="J99" s="280"/>
      <c r="K99" s="280"/>
      <c r="L99" s="686"/>
    </row>
    <row r="100" spans="1:12" ht="13.5" thickBot="1" x14ac:dyDescent="0.25">
      <c r="A100" s="4489"/>
      <c r="B100" s="4347"/>
      <c r="C100" s="4347"/>
      <c r="D100" s="4347"/>
      <c r="E100" s="4347"/>
      <c r="F100" s="4490"/>
      <c r="G100" s="4491"/>
      <c r="H100" s="280"/>
      <c r="I100" s="280"/>
      <c r="J100" s="280"/>
      <c r="K100" s="280"/>
      <c r="L100" s="686"/>
    </row>
    <row r="101" spans="1:12" ht="13.5" thickBot="1" x14ac:dyDescent="0.25">
      <c r="A101" s="1023" t="s">
        <v>172</v>
      </c>
      <c r="B101" s="1023" t="s">
        <v>448</v>
      </c>
      <c r="C101" s="1023" t="s">
        <v>367</v>
      </c>
      <c r="D101" s="339"/>
      <c r="E101" s="4479" t="s">
        <v>449</v>
      </c>
      <c r="F101" s="4480"/>
      <c r="G101" s="4479" t="s">
        <v>450</v>
      </c>
      <c r="H101" s="4481"/>
      <c r="I101" s="4480"/>
      <c r="J101" s="4482" t="s">
        <v>451</v>
      </c>
      <c r="K101" s="4483"/>
      <c r="L101" s="686"/>
    </row>
    <row r="102" spans="1:12" ht="13.5" thickBot="1" x14ac:dyDescent="0.25">
      <c r="A102" s="342" t="s">
        <v>452</v>
      </c>
      <c r="B102" s="342" t="s">
        <v>453</v>
      </c>
      <c r="C102" s="342" t="s">
        <v>454</v>
      </c>
      <c r="D102" s="343" t="s">
        <v>455</v>
      </c>
      <c r="E102" s="1022" t="s">
        <v>456</v>
      </c>
      <c r="F102" s="1025" t="s">
        <v>457</v>
      </c>
      <c r="G102" s="342" t="s">
        <v>456</v>
      </c>
      <c r="H102" s="343" t="s">
        <v>458</v>
      </c>
      <c r="I102" s="345" t="s">
        <v>457</v>
      </c>
      <c r="J102" s="4484" t="s">
        <v>459</v>
      </c>
      <c r="K102" s="4485"/>
      <c r="L102" s="686"/>
    </row>
    <row r="103" spans="1:12" ht="13.5" thickBot="1" x14ac:dyDescent="0.25">
      <c r="A103" s="1021"/>
      <c r="B103" s="1021" t="s">
        <v>460</v>
      </c>
      <c r="C103" s="1021"/>
      <c r="D103" s="347"/>
      <c r="E103" s="1022" t="s">
        <v>458</v>
      </c>
      <c r="F103" s="345" t="s">
        <v>461</v>
      </c>
      <c r="G103" s="1024"/>
      <c r="H103" s="348"/>
      <c r="I103" s="345" t="s">
        <v>461</v>
      </c>
      <c r="J103" s="1021" t="s">
        <v>462</v>
      </c>
      <c r="K103" s="347" t="s">
        <v>456</v>
      </c>
      <c r="L103" s="686"/>
    </row>
    <row r="104" spans="1:12" ht="13.5" thickBot="1" x14ac:dyDescent="0.25">
      <c r="A104" s="692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686"/>
    </row>
    <row r="105" spans="1:12" ht="13.5" thickBot="1" x14ac:dyDescent="0.25">
      <c r="A105" s="350">
        <v>1</v>
      </c>
      <c r="B105" s="351">
        <v>2</v>
      </c>
      <c r="C105" s="351">
        <v>3</v>
      </c>
      <c r="D105" s="351">
        <v>4</v>
      </c>
      <c r="E105" s="351">
        <v>5</v>
      </c>
      <c r="F105" s="351">
        <v>6</v>
      </c>
      <c r="G105" s="351">
        <v>7</v>
      </c>
      <c r="H105" s="351">
        <v>8</v>
      </c>
      <c r="I105" s="351">
        <v>9</v>
      </c>
      <c r="J105" s="351">
        <v>10</v>
      </c>
      <c r="K105" s="351">
        <v>11</v>
      </c>
      <c r="L105" s="702"/>
    </row>
    <row r="106" spans="1:12" ht="13.5" thickBot="1" x14ac:dyDescent="0.25">
      <c r="A106" s="678"/>
      <c r="B106" s="679"/>
      <c r="C106" s="679"/>
      <c r="D106" s="679"/>
      <c r="E106" s="679"/>
      <c r="F106" s="679"/>
      <c r="G106" s="679"/>
      <c r="H106" s="679"/>
      <c r="I106" s="679"/>
      <c r="J106" s="679"/>
      <c r="K106" s="679"/>
      <c r="L106" s="702"/>
    </row>
    <row r="107" spans="1:12" ht="13.5" thickBot="1" x14ac:dyDescent="0.25">
      <c r="A107" s="4462"/>
      <c r="B107" s="4463"/>
      <c r="C107" s="4463"/>
      <c r="D107" s="4463"/>
      <c r="E107" s="4463"/>
      <c r="F107" s="4463"/>
      <c r="G107" s="4463"/>
      <c r="H107" s="4463"/>
      <c r="I107" s="4463"/>
      <c r="J107" s="4463"/>
      <c r="K107" s="4464"/>
      <c r="L107" s="702"/>
    </row>
    <row r="108" spans="1:12" ht="13.5" thickBot="1" x14ac:dyDescent="0.25">
      <c r="A108" s="4486" t="s">
        <v>747</v>
      </c>
      <c r="B108" s="4487"/>
      <c r="C108" s="4487"/>
      <c r="D108" s="4487"/>
      <c r="E108" s="4487"/>
      <c r="F108" s="4487"/>
      <c r="G108" s="4487"/>
      <c r="H108" s="4487"/>
      <c r="I108" s="4487"/>
      <c r="J108" s="4487"/>
      <c r="K108" s="4488"/>
      <c r="L108" s="702"/>
    </row>
    <row r="109" spans="1:12" ht="13.5" thickBot="1" x14ac:dyDescent="0.25">
      <c r="A109" s="4462"/>
      <c r="B109" s="4463"/>
      <c r="C109" s="4463"/>
      <c r="D109" s="4463"/>
      <c r="E109" s="4463"/>
      <c r="F109" s="4463"/>
      <c r="G109" s="4463"/>
      <c r="H109" s="4463"/>
      <c r="I109" s="4463"/>
      <c r="J109" s="4463"/>
      <c r="K109" s="4464"/>
      <c r="L109" s="703"/>
    </row>
    <row r="110" spans="1:12" ht="33.75" x14ac:dyDescent="0.2">
      <c r="A110" s="4472">
        <v>1</v>
      </c>
      <c r="B110" s="4474" t="s">
        <v>748</v>
      </c>
      <c r="C110" s="4474" t="s">
        <v>685</v>
      </c>
      <c r="D110" s="357" t="s">
        <v>749</v>
      </c>
      <c r="E110" s="358">
        <v>0.8</v>
      </c>
      <c r="F110" s="359">
        <v>19221.080000000002</v>
      </c>
      <c r="G110" s="359">
        <v>19221.080000000002</v>
      </c>
      <c r="H110" s="4472">
        <v>15377</v>
      </c>
      <c r="I110" s="4472">
        <v>0</v>
      </c>
      <c r="J110" s="359">
        <v>15377</v>
      </c>
      <c r="K110" s="359">
        <v>0</v>
      </c>
      <c r="L110" s="359">
        <v>0</v>
      </c>
    </row>
    <row r="111" spans="1:12" ht="169.5" thickBot="1" x14ac:dyDescent="0.25">
      <c r="A111" s="4473"/>
      <c r="B111" s="4475"/>
      <c r="C111" s="4475"/>
      <c r="D111" s="355" t="s">
        <v>680</v>
      </c>
      <c r="E111" s="356" t="s">
        <v>687</v>
      </c>
      <c r="F111" s="356">
        <v>0</v>
      </c>
      <c r="G111" s="356">
        <v>24389.57</v>
      </c>
      <c r="H111" s="4473"/>
      <c r="I111" s="4473"/>
      <c r="J111" s="356">
        <v>19512</v>
      </c>
      <c r="K111" s="356">
        <v>97.21</v>
      </c>
      <c r="L111" s="356">
        <v>77.77</v>
      </c>
    </row>
    <row r="112" spans="1:12" ht="22.5" x14ac:dyDescent="0.2">
      <c r="A112" s="4472">
        <v>2</v>
      </c>
      <c r="B112" s="4474" t="s">
        <v>750</v>
      </c>
      <c r="C112" s="357" t="s">
        <v>751</v>
      </c>
      <c r="D112" s="358">
        <v>0.2</v>
      </c>
      <c r="E112" s="359">
        <v>110221.54</v>
      </c>
      <c r="F112" s="359">
        <v>49699.94</v>
      </c>
      <c r="G112" s="4472">
        <v>22044</v>
      </c>
      <c r="H112" s="4472">
        <v>12104</v>
      </c>
      <c r="I112" s="359">
        <v>9940</v>
      </c>
      <c r="J112" s="359">
        <v>292.02</v>
      </c>
      <c r="K112" s="359">
        <v>58.4</v>
      </c>
      <c r="L112" s="4478"/>
    </row>
    <row r="113" spans="1:12" ht="33.75" x14ac:dyDescent="0.2">
      <c r="A113" s="4476"/>
      <c r="B113" s="4477"/>
      <c r="C113" s="357" t="s">
        <v>502</v>
      </c>
      <c r="D113" s="359" t="s">
        <v>753</v>
      </c>
      <c r="E113" s="359">
        <v>60521.599999999999</v>
      </c>
      <c r="F113" s="359">
        <v>12684.38</v>
      </c>
      <c r="G113" s="4476"/>
      <c r="H113" s="4476"/>
      <c r="I113" s="359">
        <v>2537</v>
      </c>
      <c r="J113" s="359">
        <v>49.67</v>
      </c>
      <c r="K113" s="359">
        <v>9.93</v>
      </c>
      <c r="L113" s="4461"/>
    </row>
    <row r="114" spans="1:12" ht="34.5" thickBot="1" x14ac:dyDescent="0.25">
      <c r="A114" s="4473"/>
      <c r="B114" s="4475"/>
      <c r="C114" s="355" t="s">
        <v>752</v>
      </c>
      <c r="D114" s="360"/>
      <c r="E114" s="360"/>
      <c r="F114" s="360"/>
      <c r="G114" s="4473"/>
      <c r="H114" s="4473"/>
      <c r="I114" s="360"/>
      <c r="J114" s="360"/>
      <c r="K114" s="360"/>
      <c r="L114" s="4461"/>
    </row>
    <row r="115" spans="1:12" x14ac:dyDescent="0.2">
      <c r="A115" s="4472">
        <v>3</v>
      </c>
      <c r="B115" s="4474" t="s">
        <v>754</v>
      </c>
      <c r="C115" s="357" t="s">
        <v>755</v>
      </c>
      <c r="D115" s="358">
        <v>20</v>
      </c>
      <c r="E115" s="359">
        <v>534.51</v>
      </c>
      <c r="F115" s="359">
        <v>0</v>
      </c>
      <c r="G115" s="4472">
        <v>10690</v>
      </c>
      <c r="H115" s="4472">
        <v>10690</v>
      </c>
      <c r="I115" s="359">
        <v>0</v>
      </c>
      <c r="J115" s="359">
        <v>2.72</v>
      </c>
      <c r="K115" s="359">
        <v>54.48</v>
      </c>
      <c r="L115" s="4461"/>
    </row>
    <row r="116" spans="1:12" x14ac:dyDescent="0.2">
      <c r="A116" s="4476"/>
      <c r="B116" s="4477"/>
      <c r="C116" s="357" t="s">
        <v>502</v>
      </c>
      <c r="D116" s="359" t="s">
        <v>466</v>
      </c>
      <c r="E116" s="359">
        <v>534.51</v>
      </c>
      <c r="F116" s="359">
        <v>0</v>
      </c>
      <c r="G116" s="4476"/>
      <c r="H116" s="4476"/>
      <c r="I116" s="359">
        <v>0</v>
      </c>
      <c r="J116" s="359">
        <v>0</v>
      </c>
      <c r="K116" s="359">
        <v>0</v>
      </c>
      <c r="L116" s="4461"/>
    </row>
    <row r="117" spans="1:12" ht="34.5" thickBot="1" x14ac:dyDescent="0.25">
      <c r="A117" s="4473"/>
      <c r="B117" s="4475"/>
      <c r="C117" s="355" t="s">
        <v>752</v>
      </c>
      <c r="D117" s="360"/>
      <c r="E117" s="360"/>
      <c r="F117" s="360"/>
      <c r="G117" s="4473"/>
      <c r="H117" s="4473"/>
      <c r="I117" s="360"/>
      <c r="J117" s="360"/>
      <c r="K117" s="360"/>
      <c r="L117" s="4461"/>
    </row>
    <row r="118" spans="1:12" x14ac:dyDescent="0.2">
      <c r="A118" s="4472">
        <v>4</v>
      </c>
      <c r="B118" s="4474" t="s">
        <v>756</v>
      </c>
      <c r="C118" s="357" t="s">
        <v>757</v>
      </c>
      <c r="D118" s="358">
        <v>10</v>
      </c>
      <c r="E118" s="359">
        <v>345.7</v>
      </c>
      <c r="F118" s="359">
        <v>63.38</v>
      </c>
      <c r="G118" s="4472">
        <v>3457</v>
      </c>
      <c r="H118" s="4472">
        <v>2823</v>
      </c>
      <c r="I118" s="359">
        <v>634</v>
      </c>
      <c r="J118" s="359">
        <v>1.31</v>
      </c>
      <c r="K118" s="359">
        <v>13.1</v>
      </c>
      <c r="L118" s="4461"/>
    </row>
    <row r="119" spans="1:12" ht="34.5" thickBot="1" x14ac:dyDescent="0.25">
      <c r="A119" s="4473"/>
      <c r="B119" s="4475"/>
      <c r="C119" s="355" t="s">
        <v>680</v>
      </c>
      <c r="D119" s="356" t="s">
        <v>758</v>
      </c>
      <c r="E119" s="356">
        <v>282.32</v>
      </c>
      <c r="F119" s="356">
        <v>0</v>
      </c>
      <c r="G119" s="4473"/>
      <c r="H119" s="4473"/>
      <c r="I119" s="356">
        <v>0</v>
      </c>
      <c r="J119" s="356">
        <v>7.0000000000000007E-2</v>
      </c>
      <c r="K119" s="356">
        <v>0.7</v>
      </c>
      <c r="L119" s="4461"/>
    </row>
    <row r="120" spans="1:12" ht="33.75" x14ac:dyDescent="0.2">
      <c r="A120" s="4472">
        <v>5</v>
      </c>
      <c r="B120" s="4474" t="s">
        <v>500</v>
      </c>
      <c r="C120" s="357" t="s">
        <v>501</v>
      </c>
      <c r="D120" s="358">
        <v>0.8</v>
      </c>
      <c r="E120" s="359">
        <v>64165.23</v>
      </c>
      <c r="F120" s="359">
        <v>8630.9699999999993</v>
      </c>
      <c r="G120" s="4472">
        <v>51332</v>
      </c>
      <c r="H120" s="4472">
        <v>15897</v>
      </c>
      <c r="I120" s="359">
        <v>6905</v>
      </c>
      <c r="J120" s="359">
        <v>95.88</v>
      </c>
      <c r="K120" s="359">
        <v>76.7</v>
      </c>
      <c r="L120" s="4461"/>
    </row>
    <row r="121" spans="1:12" x14ac:dyDescent="0.2">
      <c r="A121" s="4476"/>
      <c r="B121" s="4477"/>
      <c r="C121" s="357" t="s">
        <v>502</v>
      </c>
      <c r="D121" s="359" t="s">
        <v>503</v>
      </c>
      <c r="E121" s="359">
        <v>19871.29</v>
      </c>
      <c r="F121" s="359">
        <v>2421.77</v>
      </c>
      <c r="G121" s="4476"/>
      <c r="H121" s="4476"/>
      <c r="I121" s="359">
        <v>1937</v>
      </c>
      <c r="J121" s="359">
        <v>7.81</v>
      </c>
      <c r="K121" s="359">
        <v>6.25</v>
      </c>
      <c r="L121" s="4461"/>
    </row>
    <row r="122" spans="1:12" ht="34.5" thickBot="1" x14ac:dyDescent="0.25">
      <c r="A122" s="4473"/>
      <c r="B122" s="4475"/>
      <c r="C122" s="355" t="s">
        <v>752</v>
      </c>
      <c r="D122" s="360"/>
      <c r="E122" s="360"/>
      <c r="F122" s="360"/>
      <c r="G122" s="4473"/>
      <c r="H122" s="4473"/>
      <c r="I122" s="360"/>
      <c r="J122" s="360"/>
      <c r="K122" s="360"/>
      <c r="L122" s="4461"/>
    </row>
    <row r="123" spans="1:12" x14ac:dyDescent="0.2">
      <c r="A123" s="4472">
        <v>6</v>
      </c>
      <c r="B123" s="4474" t="s">
        <v>505</v>
      </c>
      <c r="C123" s="357" t="s">
        <v>506</v>
      </c>
      <c r="D123" s="358">
        <v>4.5</v>
      </c>
      <c r="E123" s="359">
        <v>11932</v>
      </c>
      <c r="F123" s="359">
        <v>307.44</v>
      </c>
      <c r="G123" s="4472">
        <v>53694</v>
      </c>
      <c r="H123" s="4472">
        <v>35040</v>
      </c>
      <c r="I123" s="359">
        <v>1383</v>
      </c>
      <c r="J123" s="359">
        <v>38.93</v>
      </c>
      <c r="K123" s="359">
        <v>175.18</v>
      </c>
      <c r="L123" s="4461"/>
    </row>
    <row r="124" spans="1:12" x14ac:dyDescent="0.2">
      <c r="A124" s="4476"/>
      <c r="B124" s="4477"/>
      <c r="C124" s="357" t="s">
        <v>507</v>
      </c>
      <c r="D124" s="359" t="s">
        <v>508</v>
      </c>
      <c r="E124" s="359">
        <v>7786.59</v>
      </c>
      <c r="F124" s="359">
        <v>133.93</v>
      </c>
      <c r="G124" s="4476"/>
      <c r="H124" s="4476"/>
      <c r="I124" s="359">
        <v>603</v>
      </c>
      <c r="J124" s="359">
        <v>0.43</v>
      </c>
      <c r="K124" s="359">
        <v>1.94</v>
      </c>
      <c r="L124" s="4461"/>
    </row>
    <row r="125" spans="1:12" ht="34.5" thickBot="1" x14ac:dyDescent="0.25">
      <c r="A125" s="4473"/>
      <c r="B125" s="4475"/>
      <c r="C125" s="355" t="s">
        <v>752</v>
      </c>
      <c r="D125" s="360"/>
      <c r="E125" s="360"/>
      <c r="F125" s="360"/>
      <c r="G125" s="4473"/>
      <c r="H125" s="4473"/>
      <c r="I125" s="360"/>
      <c r="J125" s="360"/>
      <c r="K125" s="360"/>
      <c r="L125" s="4461"/>
    </row>
    <row r="126" spans="1:12" x14ac:dyDescent="0.2">
      <c r="A126" s="4472">
        <v>7</v>
      </c>
      <c r="B126" s="4474" t="s">
        <v>509</v>
      </c>
      <c r="C126" s="357" t="s">
        <v>510</v>
      </c>
      <c r="D126" s="358">
        <v>3.4</v>
      </c>
      <c r="E126" s="359">
        <v>13649.9</v>
      </c>
      <c r="F126" s="359">
        <v>54.34</v>
      </c>
      <c r="G126" s="4472">
        <v>46410</v>
      </c>
      <c r="H126" s="4472">
        <v>25063</v>
      </c>
      <c r="I126" s="359">
        <v>185</v>
      </c>
      <c r="J126" s="359">
        <v>34.65</v>
      </c>
      <c r="K126" s="359">
        <v>117.81</v>
      </c>
      <c r="L126" s="4461"/>
    </row>
    <row r="127" spans="1:12" x14ac:dyDescent="0.2">
      <c r="A127" s="4476"/>
      <c r="B127" s="4477"/>
      <c r="C127" s="357" t="s">
        <v>507</v>
      </c>
      <c r="D127" s="359" t="s">
        <v>503</v>
      </c>
      <c r="E127" s="359">
        <v>7371.52</v>
      </c>
      <c r="F127" s="359">
        <v>0</v>
      </c>
      <c r="G127" s="4476"/>
      <c r="H127" s="4476"/>
      <c r="I127" s="359">
        <v>0</v>
      </c>
      <c r="J127" s="359">
        <v>0.06</v>
      </c>
      <c r="K127" s="359">
        <v>0.2</v>
      </c>
      <c r="L127" s="4461"/>
    </row>
    <row r="128" spans="1:12" ht="34.5" thickBot="1" x14ac:dyDescent="0.25">
      <c r="A128" s="4473"/>
      <c r="B128" s="4475"/>
      <c r="C128" s="355" t="s">
        <v>752</v>
      </c>
      <c r="D128" s="360"/>
      <c r="E128" s="360"/>
      <c r="F128" s="360"/>
      <c r="G128" s="4473"/>
      <c r="H128" s="4473"/>
      <c r="I128" s="360"/>
      <c r="J128" s="360"/>
      <c r="K128" s="360"/>
      <c r="L128" s="4461"/>
    </row>
    <row r="129" spans="1:12" ht="22.5" x14ac:dyDescent="0.2">
      <c r="A129" s="4472">
        <v>8</v>
      </c>
      <c r="B129" s="4474" t="s">
        <v>759</v>
      </c>
      <c r="C129" s="357" t="s">
        <v>760</v>
      </c>
      <c r="D129" s="358">
        <v>20</v>
      </c>
      <c r="E129" s="359">
        <v>1297.83</v>
      </c>
      <c r="F129" s="359">
        <v>27.64</v>
      </c>
      <c r="G129" s="4472">
        <v>25957</v>
      </c>
      <c r="H129" s="4472">
        <v>25404</v>
      </c>
      <c r="I129" s="359">
        <v>553</v>
      </c>
      <c r="J129" s="359">
        <v>6.58</v>
      </c>
      <c r="K129" s="359">
        <v>131.6</v>
      </c>
      <c r="L129" s="4461"/>
    </row>
    <row r="130" spans="1:12" ht="34.5" thickBot="1" x14ac:dyDescent="0.25">
      <c r="A130" s="4473"/>
      <c r="B130" s="4475"/>
      <c r="C130" s="355" t="s">
        <v>680</v>
      </c>
      <c r="D130" s="356" t="s">
        <v>761</v>
      </c>
      <c r="E130" s="356">
        <v>1270.19</v>
      </c>
      <c r="F130" s="356">
        <v>0</v>
      </c>
      <c r="G130" s="4473"/>
      <c r="H130" s="4473"/>
      <c r="I130" s="356">
        <v>0</v>
      </c>
      <c r="J130" s="356">
        <v>0</v>
      </c>
      <c r="K130" s="356">
        <v>0</v>
      </c>
      <c r="L130" s="4461"/>
    </row>
    <row r="131" spans="1:12" x14ac:dyDescent="0.2">
      <c r="A131" s="4472">
        <v>9</v>
      </c>
      <c r="B131" s="4474" t="s">
        <v>762</v>
      </c>
      <c r="C131" s="357" t="s">
        <v>763</v>
      </c>
      <c r="D131" s="358">
        <v>25</v>
      </c>
      <c r="E131" s="359">
        <v>336.26</v>
      </c>
      <c r="F131" s="359">
        <v>90.6</v>
      </c>
      <c r="G131" s="4472">
        <v>8406</v>
      </c>
      <c r="H131" s="4472">
        <v>6142</v>
      </c>
      <c r="I131" s="359">
        <v>2265</v>
      </c>
      <c r="J131" s="359">
        <v>1.1399999999999999</v>
      </c>
      <c r="K131" s="359">
        <v>28.5</v>
      </c>
      <c r="L131" s="4461"/>
    </row>
    <row r="132" spans="1:12" ht="34.5" thickBot="1" x14ac:dyDescent="0.25">
      <c r="A132" s="4473"/>
      <c r="B132" s="4475"/>
      <c r="C132" s="355" t="s">
        <v>680</v>
      </c>
      <c r="D132" s="356" t="s">
        <v>764</v>
      </c>
      <c r="E132" s="356">
        <v>245.66</v>
      </c>
      <c r="F132" s="356">
        <v>0</v>
      </c>
      <c r="G132" s="4473"/>
      <c r="H132" s="4473"/>
      <c r="I132" s="356">
        <v>0</v>
      </c>
      <c r="J132" s="356">
        <v>0.1</v>
      </c>
      <c r="K132" s="356">
        <v>2.5</v>
      </c>
      <c r="L132" s="4461"/>
    </row>
    <row r="133" spans="1:12" x14ac:dyDescent="0.2">
      <c r="A133" s="4472">
        <v>10</v>
      </c>
      <c r="B133" s="4474" t="s">
        <v>765</v>
      </c>
      <c r="C133" s="357" t="s">
        <v>766</v>
      </c>
      <c r="D133" s="358">
        <v>10</v>
      </c>
      <c r="E133" s="359">
        <v>491.39</v>
      </c>
      <c r="F133" s="359">
        <v>90.6</v>
      </c>
      <c r="G133" s="4472">
        <v>4914</v>
      </c>
      <c r="H133" s="4472">
        <v>4008</v>
      </c>
      <c r="I133" s="359">
        <v>906</v>
      </c>
      <c r="J133" s="359">
        <v>1.86</v>
      </c>
      <c r="K133" s="359">
        <v>18.600000000000001</v>
      </c>
      <c r="L133" s="4461"/>
    </row>
    <row r="134" spans="1:12" ht="34.5" thickBot="1" x14ac:dyDescent="0.25">
      <c r="A134" s="4473"/>
      <c r="B134" s="4475"/>
      <c r="C134" s="355" t="s">
        <v>680</v>
      </c>
      <c r="D134" s="356" t="s">
        <v>764</v>
      </c>
      <c r="E134" s="356">
        <v>400.79</v>
      </c>
      <c r="F134" s="356">
        <v>0</v>
      </c>
      <c r="G134" s="4473"/>
      <c r="H134" s="4473"/>
      <c r="I134" s="356">
        <v>0</v>
      </c>
      <c r="J134" s="356">
        <v>0.1</v>
      </c>
      <c r="K134" s="356">
        <v>1</v>
      </c>
      <c r="L134" s="4461"/>
    </row>
    <row r="135" spans="1:12" x14ac:dyDescent="0.2">
      <c r="A135" s="4472">
        <v>11</v>
      </c>
      <c r="B135" s="4474" t="s">
        <v>767</v>
      </c>
      <c r="C135" s="357" t="s">
        <v>768</v>
      </c>
      <c r="D135" s="358">
        <v>10</v>
      </c>
      <c r="E135" s="359">
        <v>1049.04</v>
      </c>
      <c r="F135" s="359">
        <v>521.05999999999995</v>
      </c>
      <c r="G135" s="4472">
        <v>10490</v>
      </c>
      <c r="H135" s="4472">
        <v>5280</v>
      </c>
      <c r="I135" s="359">
        <v>5211</v>
      </c>
      <c r="J135" s="359">
        <v>2.4500000000000002</v>
      </c>
      <c r="K135" s="359">
        <v>24.5</v>
      </c>
      <c r="L135" s="4461"/>
    </row>
    <row r="136" spans="1:12" ht="34.5" thickBot="1" x14ac:dyDescent="0.25">
      <c r="A136" s="4473"/>
      <c r="B136" s="4475"/>
      <c r="C136" s="355" t="s">
        <v>680</v>
      </c>
      <c r="D136" s="356" t="s">
        <v>764</v>
      </c>
      <c r="E136" s="356">
        <v>527.98</v>
      </c>
      <c r="F136" s="356">
        <v>124.7</v>
      </c>
      <c r="G136" s="4473"/>
      <c r="H136" s="4473"/>
      <c r="I136" s="356">
        <v>1247</v>
      </c>
      <c r="J136" s="356">
        <v>0.47</v>
      </c>
      <c r="K136" s="356">
        <v>4.7</v>
      </c>
      <c r="L136" s="4461"/>
    </row>
    <row r="137" spans="1:12" ht="22.5" x14ac:dyDescent="0.2">
      <c r="A137" s="4472">
        <v>12</v>
      </c>
      <c r="B137" s="4474" t="s">
        <v>463</v>
      </c>
      <c r="C137" s="357" t="s">
        <v>464</v>
      </c>
      <c r="D137" s="358">
        <v>10</v>
      </c>
      <c r="E137" s="359">
        <v>4803.8100000000004</v>
      </c>
      <c r="F137" s="359">
        <v>90.6</v>
      </c>
      <c r="G137" s="4472">
        <v>48038</v>
      </c>
      <c r="H137" s="4472">
        <v>9637</v>
      </c>
      <c r="I137" s="359">
        <v>906</v>
      </c>
      <c r="J137" s="359">
        <v>4.53</v>
      </c>
      <c r="K137" s="359">
        <v>45.3</v>
      </c>
      <c r="L137" s="4461"/>
    </row>
    <row r="138" spans="1:12" ht="34.5" thickBot="1" x14ac:dyDescent="0.25">
      <c r="A138" s="4473"/>
      <c r="B138" s="4475"/>
      <c r="C138" s="355" t="s">
        <v>680</v>
      </c>
      <c r="D138" s="356" t="s">
        <v>466</v>
      </c>
      <c r="E138" s="356">
        <v>963.68</v>
      </c>
      <c r="F138" s="356">
        <v>0</v>
      </c>
      <c r="G138" s="4473"/>
      <c r="H138" s="4473"/>
      <c r="I138" s="356">
        <v>0</v>
      </c>
      <c r="J138" s="356">
        <v>0.1</v>
      </c>
      <c r="K138" s="356">
        <v>1</v>
      </c>
      <c r="L138" s="4461"/>
    </row>
    <row r="139" spans="1:12" ht="22.5" x14ac:dyDescent="0.2">
      <c r="A139" s="4472">
        <v>13</v>
      </c>
      <c r="B139" s="4474" t="s">
        <v>467</v>
      </c>
      <c r="C139" s="357" t="s">
        <v>468</v>
      </c>
      <c r="D139" s="358">
        <v>6</v>
      </c>
      <c r="E139" s="359">
        <v>1472.01</v>
      </c>
      <c r="F139" s="359">
        <v>9.0399999999999991</v>
      </c>
      <c r="G139" s="4472">
        <v>8832</v>
      </c>
      <c r="H139" s="4472">
        <v>1339</v>
      </c>
      <c r="I139" s="359">
        <v>54</v>
      </c>
      <c r="J139" s="359">
        <v>1.01</v>
      </c>
      <c r="K139" s="359">
        <v>6.06</v>
      </c>
      <c r="L139" s="4461"/>
    </row>
    <row r="140" spans="1:12" ht="57" thickBot="1" x14ac:dyDescent="0.25">
      <c r="A140" s="4473"/>
      <c r="B140" s="4475"/>
      <c r="C140" s="355" t="s">
        <v>680</v>
      </c>
      <c r="D140" s="356" t="s">
        <v>469</v>
      </c>
      <c r="E140" s="356">
        <v>223.21</v>
      </c>
      <c r="F140" s="356">
        <v>0</v>
      </c>
      <c r="G140" s="4473"/>
      <c r="H140" s="4473"/>
      <c r="I140" s="356">
        <v>0</v>
      </c>
      <c r="J140" s="356">
        <v>0.01</v>
      </c>
      <c r="K140" s="356">
        <v>0.06</v>
      </c>
      <c r="L140" s="4461"/>
    </row>
    <row r="141" spans="1:12" ht="22.5" x14ac:dyDescent="0.2">
      <c r="A141" s="4472">
        <v>14</v>
      </c>
      <c r="B141" s="4474" t="s">
        <v>470</v>
      </c>
      <c r="C141" s="357" t="s">
        <v>471</v>
      </c>
      <c r="D141" s="358">
        <v>6</v>
      </c>
      <c r="E141" s="359">
        <v>2364.29</v>
      </c>
      <c r="F141" s="359">
        <v>27.22</v>
      </c>
      <c r="G141" s="4472">
        <v>14186</v>
      </c>
      <c r="H141" s="4472">
        <v>2215</v>
      </c>
      <c r="I141" s="359">
        <v>163</v>
      </c>
      <c r="J141" s="359">
        <v>1.67</v>
      </c>
      <c r="K141" s="359">
        <v>10.02</v>
      </c>
      <c r="L141" s="4461"/>
    </row>
    <row r="142" spans="1:12" ht="57" thickBot="1" x14ac:dyDescent="0.25">
      <c r="A142" s="4473"/>
      <c r="B142" s="4475"/>
      <c r="C142" s="355" t="s">
        <v>680</v>
      </c>
      <c r="D142" s="356" t="s">
        <v>469</v>
      </c>
      <c r="E142" s="356">
        <v>369.11</v>
      </c>
      <c r="F142" s="356">
        <v>0</v>
      </c>
      <c r="G142" s="4473"/>
      <c r="H142" s="4473"/>
      <c r="I142" s="356">
        <v>0</v>
      </c>
      <c r="J142" s="356">
        <v>0.03</v>
      </c>
      <c r="K142" s="356">
        <v>0.18</v>
      </c>
      <c r="L142" s="4461"/>
    </row>
    <row r="143" spans="1:12" ht="22.5" x14ac:dyDescent="0.2">
      <c r="A143" s="4472">
        <v>15</v>
      </c>
      <c r="B143" s="4474" t="s">
        <v>472</v>
      </c>
      <c r="C143" s="357" t="s">
        <v>473</v>
      </c>
      <c r="D143" s="358">
        <v>5</v>
      </c>
      <c r="E143" s="359">
        <v>2703.56</v>
      </c>
      <c r="F143" s="359">
        <v>27.22</v>
      </c>
      <c r="G143" s="4472">
        <v>13518</v>
      </c>
      <c r="H143" s="4472">
        <v>1878</v>
      </c>
      <c r="I143" s="359">
        <v>136</v>
      </c>
      <c r="J143" s="359">
        <v>1.7</v>
      </c>
      <c r="K143" s="359">
        <v>8.5</v>
      </c>
      <c r="L143" s="4461"/>
    </row>
    <row r="144" spans="1:12" ht="57" thickBot="1" x14ac:dyDescent="0.25">
      <c r="A144" s="4473"/>
      <c r="B144" s="4475"/>
      <c r="C144" s="355" t="s">
        <v>680</v>
      </c>
      <c r="D144" s="356" t="s">
        <v>469</v>
      </c>
      <c r="E144" s="356">
        <v>375.6</v>
      </c>
      <c r="F144" s="356">
        <v>0</v>
      </c>
      <c r="G144" s="4473"/>
      <c r="H144" s="4473"/>
      <c r="I144" s="356">
        <v>0</v>
      </c>
      <c r="J144" s="356">
        <v>0.03</v>
      </c>
      <c r="K144" s="356">
        <v>0.15</v>
      </c>
      <c r="L144" s="4461"/>
    </row>
    <row r="145" spans="1:12" ht="22.5" x14ac:dyDescent="0.2">
      <c r="A145" s="4472">
        <v>16</v>
      </c>
      <c r="B145" s="4474" t="s">
        <v>474</v>
      </c>
      <c r="C145" s="357" t="s">
        <v>475</v>
      </c>
      <c r="D145" s="358">
        <v>4</v>
      </c>
      <c r="E145" s="359">
        <v>4736.55</v>
      </c>
      <c r="F145" s="359">
        <v>63.38</v>
      </c>
      <c r="G145" s="4472">
        <v>18946</v>
      </c>
      <c r="H145" s="4472">
        <v>2515</v>
      </c>
      <c r="I145" s="359">
        <v>254</v>
      </c>
      <c r="J145" s="359">
        <v>2.78</v>
      </c>
      <c r="K145" s="359">
        <v>11.12</v>
      </c>
      <c r="L145" s="4461"/>
    </row>
    <row r="146" spans="1:12" ht="57" thickBot="1" x14ac:dyDescent="0.25">
      <c r="A146" s="4473"/>
      <c r="B146" s="4475"/>
      <c r="C146" s="355" t="s">
        <v>680</v>
      </c>
      <c r="D146" s="356" t="s">
        <v>469</v>
      </c>
      <c r="E146" s="356">
        <v>628.74</v>
      </c>
      <c r="F146" s="356">
        <v>0</v>
      </c>
      <c r="G146" s="4473"/>
      <c r="H146" s="4473"/>
      <c r="I146" s="356">
        <v>0</v>
      </c>
      <c r="J146" s="356">
        <v>7.0000000000000007E-2</v>
      </c>
      <c r="K146" s="356">
        <v>0.28000000000000003</v>
      </c>
      <c r="L146" s="4461"/>
    </row>
    <row r="147" spans="1:12" ht="22.5" x14ac:dyDescent="0.2">
      <c r="A147" s="4472">
        <v>17</v>
      </c>
      <c r="B147" s="4474" t="s">
        <v>476</v>
      </c>
      <c r="C147" s="357" t="s">
        <v>477</v>
      </c>
      <c r="D147" s="358">
        <v>4</v>
      </c>
      <c r="E147" s="359">
        <v>7296.17</v>
      </c>
      <c r="F147" s="359">
        <v>500.38</v>
      </c>
      <c r="G147" s="4472">
        <v>29185</v>
      </c>
      <c r="H147" s="4472">
        <v>3599</v>
      </c>
      <c r="I147" s="359">
        <v>2002</v>
      </c>
      <c r="J147" s="359">
        <v>3.93</v>
      </c>
      <c r="K147" s="359">
        <v>15.72</v>
      </c>
      <c r="L147" s="4461"/>
    </row>
    <row r="148" spans="1:12" ht="57" thickBot="1" x14ac:dyDescent="0.25">
      <c r="A148" s="4473"/>
      <c r="B148" s="4475"/>
      <c r="C148" s="355" t="s">
        <v>680</v>
      </c>
      <c r="D148" s="356" t="s">
        <v>469</v>
      </c>
      <c r="E148" s="356">
        <v>899.84</v>
      </c>
      <c r="F148" s="356">
        <v>89.04</v>
      </c>
      <c r="G148" s="4473"/>
      <c r="H148" s="4473"/>
      <c r="I148" s="356">
        <v>356</v>
      </c>
      <c r="J148" s="356">
        <v>0.36</v>
      </c>
      <c r="K148" s="356">
        <v>1.44</v>
      </c>
      <c r="L148" s="4461"/>
    </row>
    <row r="149" spans="1:12" ht="22.5" x14ac:dyDescent="0.2">
      <c r="A149" s="4472">
        <v>18</v>
      </c>
      <c r="B149" s="4474" t="s">
        <v>478</v>
      </c>
      <c r="C149" s="357" t="s">
        <v>479</v>
      </c>
      <c r="D149" s="358">
        <v>0.1</v>
      </c>
      <c r="E149" s="359">
        <v>127224.66</v>
      </c>
      <c r="F149" s="359">
        <v>36.26</v>
      </c>
      <c r="G149" s="4472">
        <v>12722</v>
      </c>
      <c r="H149" s="4472">
        <v>11222</v>
      </c>
      <c r="I149" s="359">
        <v>4</v>
      </c>
      <c r="J149" s="359">
        <v>520.79999999999995</v>
      </c>
      <c r="K149" s="359">
        <v>52.08</v>
      </c>
      <c r="L149" s="4461"/>
    </row>
    <row r="150" spans="1:12" ht="34.5" thickBot="1" x14ac:dyDescent="0.25">
      <c r="A150" s="4473"/>
      <c r="B150" s="4475"/>
      <c r="C150" s="355" t="s">
        <v>680</v>
      </c>
      <c r="D150" s="356" t="s">
        <v>480</v>
      </c>
      <c r="E150" s="356">
        <v>112222.52</v>
      </c>
      <c r="F150" s="356">
        <v>0</v>
      </c>
      <c r="G150" s="4473"/>
      <c r="H150" s="4473"/>
      <c r="I150" s="356">
        <v>0</v>
      </c>
      <c r="J150" s="356">
        <v>0.04</v>
      </c>
      <c r="K150" s="356">
        <v>0</v>
      </c>
      <c r="L150" s="4461"/>
    </row>
    <row r="151" spans="1:12" ht="22.5" x14ac:dyDescent="0.2">
      <c r="A151" s="4472">
        <v>19</v>
      </c>
      <c r="B151" s="4474" t="s">
        <v>481</v>
      </c>
      <c r="C151" s="357" t="s">
        <v>482</v>
      </c>
      <c r="D151" s="358">
        <v>0.06</v>
      </c>
      <c r="E151" s="359">
        <v>184530.95</v>
      </c>
      <c r="F151" s="359">
        <v>63.38</v>
      </c>
      <c r="G151" s="4472">
        <v>11072</v>
      </c>
      <c r="H151" s="4472">
        <v>9479</v>
      </c>
      <c r="I151" s="359">
        <v>4</v>
      </c>
      <c r="J151" s="359">
        <v>733.2</v>
      </c>
      <c r="K151" s="359">
        <v>43.99</v>
      </c>
      <c r="L151" s="4461"/>
    </row>
    <row r="152" spans="1:12" ht="34.5" thickBot="1" x14ac:dyDescent="0.25">
      <c r="A152" s="4473"/>
      <c r="B152" s="4475"/>
      <c r="C152" s="355" t="s">
        <v>680</v>
      </c>
      <c r="D152" s="356" t="s">
        <v>480</v>
      </c>
      <c r="E152" s="356">
        <v>157991.16</v>
      </c>
      <c r="F152" s="356">
        <v>0</v>
      </c>
      <c r="G152" s="4473"/>
      <c r="H152" s="4473"/>
      <c r="I152" s="356">
        <v>0</v>
      </c>
      <c r="J152" s="356">
        <v>7.0000000000000007E-2</v>
      </c>
      <c r="K152" s="356">
        <v>0</v>
      </c>
      <c r="L152" s="4461"/>
    </row>
    <row r="153" spans="1:12" ht="22.5" x14ac:dyDescent="0.2">
      <c r="A153" s="4472">
        <v>20</v>
      </c>
      <c r="B153" s="4474" t="s">
        <v>483</v>
      </c>
      <c r="C153" s="357" t="s">
        <v>484</v>
      </c>
      <c r="D153" s="358">
        <v>0.06</v>
      </c>
      <c r="E153" s="359">
        <v>249630.38</v>
      </c>
      <c r="F153" s="359">
        <v>81.56</v>
      </c>
      <c r="G153" s="4472">
        <v>14978</v>
      </c>
      <c r="H153" s="4472">
        <v>12766</v>
      </c>
      <c r="I153" s="359">
        <v>5</v>
      </c>
      <c r="J153" s="359">
        <v>987.4</v>
      </c>
      <c r="K153" s="359">
        <v>59.24</v>
      </c>
      <c r="L153" s="4461"/>
    </row>
    <row r="154" spans="1:12" ht="34.5" thickBot="1" x14ac:dyDescent="0.25">
      <c r="A154" s="4473"/>
      <c r="B154" s="4475"/>
      <c r="C154" s="355" t="s">
        <v>680</v>
      </c>
      <c r="D154" s="356" t="s">
        <v>480</v>
      </c>
      <c r="E154" s="356">
        <v>212766.63</v>
      </c>
      <c r="F154" s="356">
        <v>0</v>
      </c>
      <c r="G154" s="4473"/>
      <c r="H154" s="4473"/>
      <c r="I154" s="356">
        <v>0</v>
      </c>
      <c r="J154" s="356">
        <v>0.09</v>
      </c>
      <c r="K154" s="356">
        <v>0.01</v>
      </c>
      <c r="L154" s="4461"/>
    </row>
    <row r="155" spans="1:12" ht="13.5" thickBot="1" x14ac:dyDescent="0.25">
      <c r="A155" s="4462"/>
      <c r="B155" s="4463"/>
      <c r="C155" s="4463"/>
      <c r="D155" s="4463"/>
      <c r="E155" s="4463"/>
      <c r="F155" s="4463"/>
      <c r="G155" s="4463"/>
      <c r="H155" s="4463"/>
      <c r="I155" s="4463"/>
      <c r="J155" s="4463"/>
      <c r="K155" s="4464"/>
      <c r="L155" s="702"/>
    </row>
    <row r="156" spans="1:12" x14ac:dyDescent="0.2">
      <c r="A156" s="4465" t="s">
        <v>705</v>
      </c>
      <c r="B156" s="4466"/>
      <c r="C156" s="4466"/>
      <c r="D156" s="4466"/>
      <c r="E156" s="4466"/>
      <c r="F156" s="4468"/>
      <c r="G156" s="4468">
        <v>424248</v>
      </c>
      <c r="H156" s="4468">
        <v>197101</v>
      </c>
      <c r="I156" s="693">
        <v>46887</v>
      </c>
      <c r="J156" s="4468"/>
      <c r="K156" s="359">
        <v>950.91</v>
      </c>
      <c r="L156" s="4461"/>
    </row>
    <row r="157" spans="1:12" ht="13.5" thickBot="1" x14ac:dyDescent="0.25">
      <c r="A157" s="4467"/>
      <c r="B157" s="4460"/>
      <c r="C157" s="4460"/>
      <c r="D157" s="4460"/>
      <c r="E157" s="4460"/>
      <c r="F157" s="4469"/>
      <c r="G157" s="4469"/>
      <c r="H157" s="4469"/>
      <c r="I157" s="1026">
        <v>26192</v>
      </c>
      <c r="J157" s="4469"/>
      <c r="K157" s="356">
        <v>108.11</v>
      </c>
      <c r="L157" s="4461"/>
    </row>
    <row r="158" spans="1:12" ht="26.25" thickBot="1" x14ac:dyDescent="0.25">
      <c r="A158" s="4470" t="s">
        <v>884</v>
      </c>
      <c r="B158" s="4471"/>
      <c r="C158" s="4471"/>
      <c r="D158" s="4471"/>
      <c r="E158" s="4471"/>
      <c r="F158" s="4471"/>
      <c r="G158" s="1475"/>
      <c r="H158" s="1475"/>
      <c r="I158" s="1645">
        <f>G156-H156-I156-I157</f>
        <v>154068</v>
      </c>
      <c r="J158" s="1026"/>
      <c r="K158" s="356"/>
      <c r="L158" s="702"/>
    </row>
    <row r="159" spans="1:12" ht="13.5" thickBot="1" x14ac:dyDescent="0.25">
      <c r="A159" s="4462"/>
      <c r="B159" s="4463"/>
      <c r="C159" s="4463"/>
      <c r="D159" s="4463"/>
      <c r="E159" s="4463"/>
      <c r="F159" s="4463"/>
      <c r="G159" s="4463"/>
      <c r="H159" s="4463"/>
      <c r="I159" s="4463"/>
      <c r="J159" s="4463"/>
      <c r="K159" s="4464"/>
      <c r="L159" s="702"/>
    </row>
    <row r="160" spans="1:12" hidden="1" x14ac:dyDescent="0.2">
      <c r="A160" s="4465" t="s">
        <v>706</v>
      </c>
      <c r="B160" s="4466"/>
      <c r="C160" s="4466"/>
      <c r="D160" s="4466"/>
      <c r="E160" s="4466"/>
      <c r="F160" s="4468"/>
      <c r="G160" s="4468">
        <v>424248</v>
      </c>
      <c r="H160" s="4468">
        <v>197101</v>
      </c>
      <c r="I160" s="693">
        <v>46887</v>
      </c>
      <c r="J160" s="4468"/>
      <c r="K160" s="359">
        <v>950.91</v>
      </c>
      <c r="L160" s="4461"/>
    </row>
    <row r="161" spans="1:12" ht="13.5" hidden="1" thickBot="1" x14ac:dyDescent="0.25">
      <c r="A161" s="4467"/>
      <c r="B161" s="4460"/>
      <c r="C161" s="4460"/>
      <c r="D161" s="4460"/>
      <c r="E161" s="4460"/>
      <c r="F161" s="4469"/>
      <c r="G161" s="4469"/>
      <c r="H161" s="4469"/>
      <c r="I161" s="1026">
        <v>26192</v>
      </c>
      <c r="J161" s="4469"/>
      <c r="K161" s="356">
        <v>108.11</v>
      </c>
      <c r="L161" s="4461"/>
    </row>
    <row r="162" spans="1:12" ht="13.5" hidden="1" thickBot="1" x14ac:dyDescent="0.25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79"/>
      <c r="L162" s="702"/>
    </row>
    <row r="163" spans="1:12" hidden="1" x14ac:dyDescent="0.2">
      <c r="A163" s="695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686"/>
    </row>
    <row r="164" spans="1:12" hidden="1" x14ac:dyDescent="0.2">
      <c r="A164" s="695"/>
      <c r="B164" s="280"/>
      <c r="C164" s="4457" t="s">
        <v>707</v>
      </c>
      <c r="D164" s="4347"/>
      <c r="E164" s="4347"/>
      <c r="F164" s="4347"/>
      <c r="G164" s="4347"/>
      <c r="H164" s="4347"/>
      <c r="I164" s="4457" t="s">
        <v>708</v>
      </c>
      <c r="J164" s="4457" t="s">
        <v>709</v>
      </c>
      <c r="K164" s="1030" t="s">
        <v>570</v>
      </c>
      <c r="L164" s="686"/>
    </row>
    <row r="165" spans="1:12" hidden="1" x14ac:dyDescent="0.2">
      <c r="A165" s="695"/>
      <c r="B165" s="280"/>
      <c r="C165" s="4457"/>
      <c r="D165" s="4347"/>
      <c r="E165" s="4347"/>
      <c r="F165" s="4347"/>
      <c r="G165" s="4347"/>
      <c r="H165" s="4347"/>
      <c r="I165" s="4457"/>
      <c r="J165" s="4457"/>
      <c r="K165" s="1030" t="s">
        <v>710</v>
      </c>
      <c r="L165" s="686"/>
    </row>
    <row r="166" spans="1:12" ht="13.5" hidden="1" thickBot="1" x14ac:dyDescent="0.25">
      <c r="A166" s="695"/>
      <c r="B166" s="280"/>
      <c r="C166" s="1032"/>
      <c r="D166" s="1032"/>
      <c r="E166" s="1032"/>
      <c r="F166" s="1032"/>
      <c r="G166" s="280"/>
      <c r="H166" s="280"/>
      <c r="I166" s="1032"/>
      <c r="J166" s="1032"/>
      <c r="K166" s="1032"/>
      <c r="L166" s="686"/>
    </row>
    <row r="167" spans="1:12" ht="13.5" hidden="1" thickBot="1" x14ac:dyDescent="0.25">
      <c r="A167" s="695"/>
      <c r="B167" s="280"/>
      <c r="C167" s="4457" t="s">
        <v>54</v>
      </c>
      <c r="D167" s="4347"/>
      <c r="E167" s="4347"/>
      <c r="F167" s="4347"/>
      <c r="G167" s="4347"/>
      <c r="H167" s="4347"/>
      <c r="I167" s="1026"/>
      <c r="J167" s="1026"/>
      <c r="K167" s="1026" t="s">
        <v>769</v>
      </c>
      <c r="L167" s="686"/>
    </row>
    <row r="168" spans="1:12" ht="13.5" hidden="1" thickBot="1" x14ac:dyDescent="0.25">
      <c r="A168" s="695"/>
      <c r="B168" s="280"/>
      <c r="C168" s="4457" t="s">
        <v>716</v>
      </c>
      <c r="D168" s="4347"/>
      <c r="E168" s="4347"/>
      <c r="F168" s="4347"/>
      <c r="G168" s="4347"/>
      <c r="H168" s="4347"/>
      <c r="I168" s="1026">
        <v>0.6</v>
      </c>
      <c r="J168" s="1026">
        <v>71</v>
      </c>
      <c r="K168" s="1026" t="s">
        <v>770</v>
      </c>
      <c r="L168" s="686"/>
    </row>
    <row r="169" spans="1:12" ht="13.5" hidden="1" thickBot="1" x14ac:dyDescent="0.25">
      <c r="A169" s="695"/>
      <c r="B169" s="280"/>
      <c r="C169" s="4457" t="s">
        <v>771</v>
      </c>
      <c r="D169" s="4347"/>
      <c r="E169" s="4347"/>
      <c r="F169" s="4347"/>
      <c r="G169" s="4347"/>
      <c r="H169" s="4347"/>
      <c r="I169" s="1026">
        <v>0.6</v>
      </c>
      <c r="J169" s="1026">
        <v>93</v>
      </c>
      <c r="K169" s="1026" t="s">
        <v>772</v>
      </c>
      <c r="L169" s="686"/>
    </row>
    <row r="170" spans="1:12" ht="13.5" hidden="1" thickBot="1" x14ac:dyDescent="0.25">
      <c r="A170" s="695"/>
      <c r="B170" s="280"/>
      <c r="C170" s="4457" t="s">
        <v>720</v>
      </c>
      <c r="D170" s="4347"/>
      <c r="E170" s="4347"/>
      <c r="F170" s="4347"/>
      <c r="G170" s="4347"/>
      <c r="H170" s="4347"/>
      <c r="I170" s="1026">
        <v>0.6</v>
      </c>
      <c r="J170" s="1026">
        <v>92</v>
      </c>
      <c r="K170" s="1026" t="s">
        <v>773</v>
      </c>
      <c r="L170" s="686"/>
    </row>
    <row r="171" spans="1:12" ht="13.5" hidden="1" thickBot="1" x14ac:dyDescent="0.25">
      <c r="A171" s="695"/>
      <c r="B171" s="280"/>
      <c r="C171" s="4457" t="s">
        <v>718</v>
      </c>
      <c r="D171" s="4347"/>
      <c r="E171" s="4347"/>
      <c r="F171" s="4347"/>
      <c r="G171" s="4347"/>
      <c r="H171" s="4347"/>
      <c r="I171" s="1026">
        <v>0.6</v>
      </c>
      <c r="J171" s="1026">
        <v>116</v>
      </c>
      <c r="K171" s="1026" t="s">
        <v>774</v>
      </c>
      <c r="L171" s="686"/>
    </row>
    <row r="172" spans="1:12" ht="13.5" hidden="1" thickBot="1" x14ac:dyDescent="0.25">
      <c r="A172" s="695"/>
      <c r="B172" s="280"/>
      <c r="C172" s="4457" t="s">
        <v>775</v>
      </c>
      <c r="D172" s="4347"/>
      <c r="E172" s="4347"/>
      <c r="F172" s="4347"/>
      <c r="G172" s="4347"/>
      <c r="H172" s="4347"/>
      <c r="I172" s="1026">
        <v>0.6</v>
      </c>
      <c r="J172" s="1026">
        <v>77</v>
      </c>
      <c r="K172" s="1026" t="s">
        <v>776</v>
      </c>
      <c r="L172" s="686"/>
    </row>
    <row r="173" spans="1:12" ht="13.5" hidden="1" thickBot="1" x14ac:dyDescent="0.25">
      <c r="A173" s="695"/>
      <c r="B173" s="280"/>
      <c r="C173" s="4457" t="s">
        <v>777</v>
      </c>
      <c r="D173" s="4347"/>
      <c r="E173" s="4347"/>
      <c r="F173" s="4347"/>
      <c r="G173" s="4347"/>
      <c r="H173" s="4347"/>
      <c r="I173" s="1026">
        <v>0.6</v>
      </c>
      <c r="J173" s="1026">
        <v>83</v>
      </c>
      <c r="K173" s="1026" t="s">
        <v>778</v>
      </c>
      <c r="L173" s="686"/>
    </row>
    <row r="174" spans="1:12" ht="13.5" hidden="1" thickBot="1" x14ac:dyDescent="0.25">
      <c r="A174" s="695"/>
      <c r="B174" s="280"/>
      <c r="C174" s="4457" t="s">
        <v>779</v>
      </c>
      <c r="D174" s="4347"/>
      <c r="E174" s="4347"/>
      <c r="F174" s="4347"/>
      <c r="G174" s="4347"/>
      <c r="H174" s="4347"/>
      <c r="I174" s="1026">
        <v>0.7</v>
      </c>
      <c r="J174" s="1026">
        <v>66</v>
      </c>
      <c r="K174" s="1026" t="s">
        <v>780</v>
      </c>
      <c r="L174" s="686"/>
    </row>
    <row r="175" spans="1:12" ht="13.5" hidden="1" thickBot="1" x14ac:dyDescent="0.25">
      <c r="A175" s="695"/>
      <c r="B175" s="280"/>
      <c r="C175" s="4457" t="s">
        <v>781</v>
      </c>
      <c r="D175" s="4347"/>
      <c r="E175" s="4347"/>
      <c r="F175" s="4347"/>
      <c r="G175" s="4347"/>
      <c r="H175" s="4347"/>
      <c r="I175" s="1026">
        <v>0.6</v>
      </c>
      <c r="J175" s="1026">
        <v>92</v>
      </c>
      <c r="K175" s="1026" t="s">
        <v>782</v>
      </c>
      <c r="L175" s="686"/>
    </row>
    <row r="176" spans="1:12" ht="13.5" hidden="1" thickBot="1" x14ac:dyDescent="0.25">
      <c r="A176" s="695"/>
      <c r="B176" s="280"/>
      <c r="C176" s="4457" t="s">
        <v>722</v>
      </c>
      <c r="D176" s="4347"/>
      <c r="E176" s="4347"/>
      <c r="F176" s="4347"/>
      <c r="G176" s="4347"/>
      <c r="H176" s="4347"/>
      <c r="I176" s="1026"/>
      <c r="J176" s="1026"/>
      <c r="K176" s="1026" t="s">
        <v>783</v>
      </c>
      <c r="L176" s="686"/>
    </row>
    <row r="177" spans="1:12" ht="13.5" hidden="1" thickBot="1" x14ac:dyDescent="0.25">
      <c r="A177" s="695"/>
      <c r="B177" s="280"/>
      <c r="C177" s="4457" t="s">
        <v>54</v>
      </c>
      <c r="D177" s="4347"/>
      <c r="E177" s="4347"/>
      <c r="F177" s="4347"/>
      <c r="G177" s="4347"/>
      <c r="H177" s="4347"/>
      <c r="I177" s="1026"/>
      <c r="J177" s="1026"/>
      <c r="K177" s="1026" t="s">
        <v>784</v>
      </c>
      <c r="L177" s="686"/>
    </row>
    <row r="178" spans="1:12" ht="13.5" hidden="1" thickBot="1" x14ac:dyDescent="0.25">
      <c r="A178" s="695"/>
      <c r="B178" s="280"/>
      <c r="C178" s="4457" t="s">
        <v>729</v>
      </c>
      <c r="D178" s="4347"/>
      <c r="E178" s="4347"/>
      <c r="F178" s="4347"/>
      <c r="G178" s="4347"/>
      <c r="H178" s="4347"/>
      <c r="I178" s="1026"/>
      <c r="J178" s="1026">
        <v>36</v>
      </c>
      <c r="K178" s="1026" t="s">
        <v>785</v>
      </c>
      <c r="L178" s="686"/>
    </row>
    <row r="179" spans="1:12" ht="13.5" hidden="1" thickBot="1" x14ac:dyDescent="0.25">
      <c r="A179" s="695"/>
      <c r="B179" s="280"/>
      <c r="C179" s="4457" t="s">
        <v>786</v>
      </c>
      <c r="D179" s="4347"/>
      <c r="E179" s="4347"/>
      <c r="F179" s="4347"/>
      <c r="G179" s="4347"/>
      <c r="H179" s="4347"/>
      <c r="I179" s="1026"/>
      <c r="J179" s="1026">
        <v>48</v>
      </c>
      <c r="K179" s="1026" t="s">
        <v>787</v>
      </c>
      <c r="L179" s="686"/>
    </row>
    <row r="180" spans="1:12" ht="13.5" hidden="1" thickBot="1" x14ac:dyDescent="0.25">
      <c r="A180" s="695"/>
      <c r="B180" s="280"/>
      <c r="C180" s="4457" t="s">
        <v>733</v>
      </c>
      <c r="D180" s="4347"/>
      <c r="E180" s="4347"/>
      <c r="F180" s="4347"/>
      <c r="G180" s="4347"/>
      <c r="H180" s="4347"/>
      <c r="I180" s="1026"/>
      <c r="J180" s="1026">
        <v>54</v>
      </c>
      <c r="K180" s="1026" t="s">
        <v>788</v>
      </c>
      <c r="L180" s="686"/>
    </row>
    <row r="181" spans="1:12" ht="13.5" hidden="1" thickBot="1" x14ac:dyDescent="0.25">
      <c r="A181" s="695"/>
      <c r="B181" s="280"/>
      <c r="C181" s="4457" t="s">
        <v>731</v>
      </c>
      <c r="D181" s="4347"/>
      <c r="E181" s="4347"/>
      <c r="F181" s="4347"/>
      <c r="G181" s="4347"/>
      <c r="H181" s="4347"/>
      <c r="I181" s="1026"/>
      <c r="J181" s="1026">
        <v>61</v>
      </c>
      <c r="K181" s="1026" t="s">
        <v>789</v>
      </c>
      <c r="L181" s="686"/>
    </row>
    <row r="182" spans="1:12" ht="13.5" hidden="1" thickBot="1" x14ac:dyDescent="0.25">
      <c r="A182" s="695"/>
      <c r="B182" s="280"/>
      <c r="C182" s="4457" t="s">
        <v>790</v>
      </c>
      <c r="D182" s="4347"/>
      <c r="E182" s="4347"/>
      <c r="F182" s="4347"/>
      <c r="G182" s="4347"/>
      <c r="H182" s="4347"/>
      <c r="I182" s="1026"/>
      <c r="J182" s="1026">
        <v>56</v>
      </c>
      <c r="K182" s="1026" t="s">
        <v>791</v>
      </c>
      <c r="L182" s="686"/>
    </row>
    <row r="183" spans="1:12" ht="13.5" hidden="1" thickBot="1" x14ac:dyDescent="0.25">
      <c r="A183" s="695"/>
      <c r="B183" s="280"/>
      <c r="C183" s="4457" t="s">
        <v>792</v>
      </c>
      <c r="D183" s="4347"/>
      <c r="E183" s="4347"/>
      <c r="F183" s="4347"/>
      <c r="G183" s="4347"/>
      <c r="H183" s="4347"/>
      <c r="I183" s="1026"/>
      <c r="J183" s="1026">
        <v>60</v>
      </c>
      <c r="K183" s="1026" t="s">
        <v>793</v>
      </c>
      <c r="L183" s="686"/>
    </row>
    <row r="184" spans="1:12" ht="13.5" hidden="1" thickBot="1" x14ac:dyDescent="0.25">
      <c r="A184" s="695"/>
      <c r="B184" s="280"/>
      <c r="C184" s="4457" t="s">
        <v>794</v>
      </c>
      <c r="D184" s="4347"/>
      <c r="E184" s="4347"/>
      <c r="F184" s="4347"/>
      <c r="G184" s="4347"/>
      <c r="H184" s="4347"/>
      <c r="I184" s="1026"/>
      <c r="J184" s="1026">
        <v>40</v>
      </c>
      <c r="K184" s="1026" t="s">
        <v>795</v>
      </c>
      <c r="L184" s="686"/>
    </row>
    <row r="185" spans="1:12" ht="13.5" hidden="1" thickBot="1" x14ac:dyDescent="0.25">
      <c r="A185" s="695"/>
      <c r="B185" s="280"/>
      <c r="C185" s="4457" t="s">
        <v>731</v>
      </c>
      <c r="D185" s="4347"/>
      <c r="E185" s="4347"/>
      <c r="F185" s="4347"/>
      <c r="G185" s="4347"/>
      <c r="H185" s="4347"/>
      <c r="I185" s="1026"/>
      <c r="J185" s="1026">
        <v>71</v>
      </c>
      <c r="K185" s="1026" t="s">
        <v>796</v>
      </c>
      <c r="L185" s="686"/>
    </row>
    <row r="186" spans="1:12" ht="13.5" hidden="1" thickBot="1" x14ac:dyDescent="0.25">
      <c r="A186" s="695"/>
      <c r="B186" s="280"/>
      <c r="C186" s="4457" t="s">
        <v>797</v>
      </c>
      <c r="D186" s="4347"/>
      <c r="E186" s="4347"/>
      <c r="F186" s="4347"/>
      <c r="G186" s="4347"/>
      <c r="H186" s="4347"/>
      <c r="I186" s="1026"/>
      <c r="J186" s="1026">
        <v>48</v>
      </c>
      <c r="K186" s="1026" t="s">
        <v>798</v>
      </c>
      <c r="L186" s="686"/>
    </row>
    <row r="187" spans="1:12" ht="13.5" hidden="1" thickBot="1" x14ac:dyDescent="0.25">
      <c r="A187" s="695"/>
      <c r="B187" s="280"/>
      <c r="C187" s="4457" t="s">
        <v>735</v>
      </c>
      <c r="D187" s="4347"/>
      <c r="E187" s="4347"/>
      <c r="F187" s="4347"/>
      <c r="G187" s="4347"/>
      <c r="H187" s="4347"/>
      <c r="I187" s="1026"/>
      <c r="J187" s="1026"/>
      <c r="K187" s="1026" t="s">
        <v>799</v>
      </c>
      <c r="L187" s="686"/>
    </row>
    <row r="188" spans="1:12" ht="13.5" hidden="1" thickBot="1" x14ac:dyDescent="0.25">
      <c r="A188" s="695"/>
      <c r="B188" s="280"/>
      <c r="C188" s="4457" t="s">
        <v>54</v>
      </c>
      <c r="D188" s="4347"/>
      <c r="E188" s="4347"/>
      <c r="F188" s="4347"/>
      <c r="G188" s="4347"/>
      <c r="H188" s="4347"/>
      <c r="I188" s="1026"/>
      <c r="J188" s="1026"/>
      <c r="K188" s="1026" t="s">
        <v>800</v>
      </c>
      <c r="L188" s="686"/>
    </row>
    <row r="189" spans="1:12" ht="13.5" hidden="1" thickBot="1" x14ac:dyDescent="0.25">
      <c r="A189" s="695"/>
      <c r="B189" s="280"/>
      <c r="C189" s="4457" t="s">
        <v>288</v>
      </c>
      <c r="D189" s="4347"/>
      <c r="E189" s="4347"/>
      <c r="F189" s="4347"/>
      <c r="G189" s="4347"/>
      <c r="H189" s="4347"/>
      <c r="I189" s="1026"/>
      <c r="J189" s="1026"/>
      <c r="K189" s="1026" t="s">
        <v>800</v>
      </c>
      <c r="L189" s="686"/>
    </row>
    <row r="190" spans="1:12" ht="13.5" hidden="1" thickBot="1" x14ac:dyDescent="0.25">
      <c r="A190" s="695"/>
      <c r="B190" s="280"/>
      <c r="C190" s="4457" t="s">
        <v>738</v>
      </c>
      <c r="D190" s="4347"/>
      <c r="E190" s="4347"/>
      <c r="F190" s="4347"/>
      <c r="G190" s="4347"/>
      <c r="H190" s="4347"/>
      <c r="I190" s="1026"/>
      <c r="J190" s="1026">
        <v>18</v>
      </c>
      <c r="K190" s="1026" t="s">
        <v>801</v>
      </c>
      <c r="L190" s="686"/>
    </row>
    <row r="191" spans="1:12" ht="13.5" hidden="1" thickBot="1" x14ac:dyDescent="0.25">
      <c r="A191" s="695"/>
      <c r="B191" s="280"/>
      <c r="C191" s="4457" t="s">
        <v>288</v>
      </c>
      <c r="D191" s="4347"/>
      <c r="E191" s="4347"/>
      <c r="F191" s="4347"/>
      <c r="G191" s="4347"/>
      <c r="H191" s="4347"/>
      <c r="I191" s="1026"/>
      <c r="J191" s="1026"/>
      <c r="K191" s="1026" t="s">
        <v>745</v>
      </c>
      <c r="L191" s="686"/>
    </row>
    <row r="192" spans="1:12" ht="13.5" hidden="1" thickBot="1" x14ac:dyDescent="0.25">
      <c r="A192" s="682"/>
      <c r="B192" s="681"/>
      <c r="C192" s="4460" t="s">
        <v>740</v>
      </c>
      <c r="D192" s="3492"/>
      <c r="E192" s="3492"/>
      <c r="F192" s="3492"/>
      <c r="G192" s="3492"/>
      <c r="H192" s="3492"/>
      <c r="I192" s="1026"/>
      <c r="J192" s="1026"/>
      <c r="K192" s="1026" t="s">
        <v>745</v>
      </c>
      <c r="L192" s="677"/>
    </row>
    <row r="193" spans="1:12" ht="15.75" hidden="1" x14ac:dyDescent="0.25">
      <c r="C193" s="680"/>
      <c r="D193" s="680"/>
      <c r="E193" s="680"/>
      <c r="F193" s="680"/>
      <c r="K193" s="705">
        <v>772319</v>
      </c>
    </row>
    <row r="194" spans="1:12" ht="15.75" x14ac:dyDescent="0.25">
      <c r="A194" s="706" t="s">
        <v>885</v>
      </c>
      <c r="B194" s="706"/>
      <c r="C194" s="706"/>
      <c r="D194" s="706"/>
      <c r="E194" s="706"/>
      <c r="F194" s="706"/>
      <c r="G194" s="706"/>
      <c r="H194" s="706"/>
      <c r="I194" s="4456">
        <f>SUM(K82+K193)</f>
        <v>1593616</v>
      </c>
      <c r="J194" s="4456"/>
      <c r="K194" s="4456"/>
      <c r="L194" s="706"/>
    </row>
    <row r="196" spans="1:12" ht="13.5" thickBot="1" x14ac:dyDescent="0.25"/>
    <row r="197" spans="1:12" ht="27" thickBot="1" x14ac:dyDescent="0.45">
      <c r="A197" s="4458" t="s">
        <v>886</v>
      </c>
      <c r="B197" s="4459"/>
      <c r="C197" s="4459"/>
      <c r="D197" s="4459"/>
      <c r="E197" s="4459"/>
      <c r="F197" s="4459"/>
      <c r="G197" s="1646"/>
      <c r="H197" s="1646"/>
      <c r="I197" s="1647">
        <f>I158+I55</f>
        <v>256133</v>
      </c>
      <c r="J197" s="1473"/>
      <c r="K197" s="1473"/>
      <c r="L197" s="1473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1517</v>
      </c>
    </row>
    <row r="2" spans="1:11" ht="18.75" x14ac:dyDescent="0.3">
      <c r="A2" s="4502" t="s">
        <v>803</v>
      </c>
      <c r="B2" s="4503"/>
      <c r="C2" s="4503"/>
      <c r="D2" s="4503"/>
      <c r="E2" s="4503"/>
      <c r="F2" s="4503"/>
      <c r="G2" s="4503"/>
      <c r="H2" s="4503"/>
      <c r="I2" s="4503"/>
      <c r="J2" s="4503"/>
      <c r="K2" s="4508"/>
    </row>
    <row r="3" spans="1:11" ht="13.5" x14ac:dyDescent="0.25">
      <c r="A3" s="4504" t="s">
        <v>664</v>
      </c>
      <c r="B3" s="4347"/>
      <c r="C3" s="4347"/>
      <c r="D3" s="4347"/>
      <c r="E3" s="4347"/>
      <c r="F3" s="4347"/>
      <c r="G3" s="4347"/>
      <c r="H3" s="4347"/>
      <c r="I3" s="4347"/>
      <c r="J3" s="4347"/>
      <c r="K3" s="4348"/>
    </row>
    <row r="4" spans="1:11" ht="18.75" x14ac:dyDescent="0.3">
      <c r="A4" s="685"/>
      <c r="B4" s="280"/>
      <c r="C4" s="280"/>
      <c r="D4" s="280"/>
      <c r="E4" s="280"/>
      <c r="F4" s="280"/>
      <c r="G4" s="280"/>
      <c r="H4" s="280"/>
      <c r="I4" s="280"/>
      <c r="J4" s="280"/>
      <c r="K4" s="686"/>
    </row>
    <row r="5" spans="1:11" ht="18.75" x14ac:dyDescent="0.3">
      <c r="A5" s="4505" t="s">
        <v>804</v>
      </c>
      <c r="B5" s="4347"/>
      <c r="C5" s="4347"/>
      <c r="D5" s="4347"/>
      <c r="E5" s="4347"/>
      <c r="F5" s="4347"/>
      <c r="G5" s="4347"/>
      <c r="H5" s="4347"/>
      <c r="I5" s="4347"/>
      <c r="J5" s="4347"/>
      <c r="K5" s="4348"/>
    </row>
    <row r="6" spans="1:11" ht="18" x14ac:dyDescent="0.25">
      <c r="A6" s="687" t="s">
        <v>666</v>
      </c>
      <c r="B6" s="280"/>
      <c r="C6" s="280"/>
      <c r="D6" s="280"/>
      <c r="E6" s="280"/>
      <c r="F6" s="280"/>
      <c r="G6" s="280"/>
      <c r="H6" s="280"/>
      <c r="I6" s="280"/>
      <c r="J6" s="280"/>
      <c r="K6" s="686"/>
    </row>
    <row r="7" spans="1:11" ht="15" x14ac:dyDescent="0.2">
      <c r="A7" s="4492" t="s">
        <v>498</v>
      </c>
      <c r="B7" s="4347"/>
      <c r="C7" s="4347"/>
      <c r="D7" s="4347"/>
      <c r="E7" s="4347"/>
      <c r="F7" s="4347"/>
      <c r="G7" s="4347"/>
      <c r="H7" s="4347"/>
      <c r="I7" s="4347"/>
      <c r="J7" s="4347"/>
      <c r="K7" s="4348"/>
    </row>
    <row r="8" spans="1:11" ht="18.75" x14ac:dyDescent="0.3">
      <c r="A8" s="1029"/>
      <c r="B8" s="280"/>
      <c r="C8" s="280"/>
      <c r="D8" s="280"/>
      <c r="E8" s="280"/>
      <c r="F8" s="280"/>
      <c r="G8" s="280"/>
      <c r="H8" s="280"/>
      <c r="I8" s="280"/>
      <c r="J8" s="280"/>
      <c r="K8" s="686"/>
    </row>
    <row r="9" spans="1:11" x14ac:dyDescent="0.2">
      <c r="A9" s="4489" t="s">
        <v>667</v>
      </c>
      <c r="B9" s="4347"/>
      <c r="C9" s="4347"/>
      <c r="D9" s="4347"/>
      <c r="E9" s="4347"/>
      <c r="F9" s="4347"/>
      <c r="G9" s="4347"/>
      <c r="H9" s="4347"/>
      <c r="I9" s="4347"/>
      <c r="J9" s="4347"/>
      <c r="K9" s="4348"/>
    </row>
    <row r="10" spans="1:11" ht="13.5" x14ac:dyDescent="0.2">
      <c r="A10" s="1031"/>
      <c r="B10" s="701"/>
      <c r="C10" s="280"/>
      <c r="D10" s="280"/>
      <c r="E10" s="280"/>
      <c r="F10" s="280"/>
      <c r="G10" s="280"/>
      <c r="H10" s="280"/>
      <c r="I10" s="280"/>
      <c r="J10" s="280"/>
      <c r="K10" s="686"/>
    </row>
    <row r="11" spans="1:11" x14ac:dyDescent="0.2">
      <c r="A11" s="4489" t="s">
        <v>668</v>
      </c>
      <c r="B11" s="4347"/>
      <c r="C11" s="4347"/>
      <c r="D11" s="4491" t="s">
        <v>805</v>
      </c>
      <c r="E11" s="4347"/>
      <c r="F11" s="4347"/>
      <c r="G11" s="4347"/>
      <c r="H11" s="4347"/>
      <c r="I11" s="4347"/>
      <c r="J11" s="4347"/>
      <c r="K11" s="4348"/>
    </row>
    <row r="12" spans="1:11" ht="18.75" x14ac:dyDescent="0.3">
      <c r="A12" s="1029"/>
      <c r="B12" s="280"/>
      <c r="C12" s="280"/>
      <c r="D12" s="280"/>
      <c r="E12" s="280"/>
      <c r="F12" s="280"/>
      <c r="G12" s="280"/>
      <c r="H12" s="280"/>
      <c r="I12" s="280"/>
      <c r="J12" s="280"/>
      <c r="K12" s="686"/>
    </row>
    <row r="13" spans="1:11" ht="12.75" customHeight="1" x14ac:dyDescent="0.2">
      <c r="A13" s="4499" t="s">
        <v>670</v>
      </c>
      <c r="B13" s="4347"/>
      <c r="C13" s="4347"/>
      <c r="D13" s="4347"/>
      <c r="E13" s="4347"/>
      <c r="F13" s="4347"/>
      <c r="G13" s="4500" t="s">
        <v>806</v>
      </c>
      <c r="H13" s="4501" t="s">
        <v>672</v>
      </c>
      <c r="I13" s="280"/>
      <c r="J13" s="280"/>
      <c r="K13" s="686"/>
    </row>
    <row r="14" spans="1:11" x14ac:dyDescent="0.2">
      <c r="A14" s="4499"/>
      <c r="B14" s="4347"/>
      <c r="C14" s="4347"/>
      <c r="D14" s="4347"/>
      <c r="E14" s="4347"/>
      <c r="F14" s="4347"/>
      <c r="G14" s="4500"/>
      <c r="H14" s="4501"/>
      <c r="I14" s="280"/>
      <c r="J14" s="280"/>
      <c r="K14" s="686"/>
    </row>
    <row r="15" spans="1:11" ht="15" customHeight="1" x14ac:dyDescent="0.2">
      <c r="A15" s="4489" t="s">
        <v>673</v>
      </c>
      <c r="B15" s="4347"/>
      <c r="C15" s="4347"/>
      <c r="D15" s="4347"/>
      <c r="E15" s="4347"/>
      <c r="F15" s="4347"/>
      <c r="G15" s="4490">
        <v>854</v>
      </c>
      <c r="H15" s="4491" t="s">
        <v>674</v>
      </c>
      <c r="I15" s="280"/>
      <c r="J15" s="280"/>
      <c r="K15" s="686"/>
    </row>
    <row r="16" spans="1:11" x14ac:dyDescent="0.2">
      <c r="A16" s="4489"/>
      <c r="B16" s="4347"/>
      <c r="C16" s="4347"/>
      <c r="D16" s="4347"/>
      <c r="E16" s="4347"/>
      <c r="F16" s="4347"/>
      <c r="G16" s="4490"/>
      <c r="H16" s="4491"/>
      <c r="I16" s="280"/>
      <c r="J16" s="280"/>
      <c r="K16" s="686"/>
    </row>
    <row r="17" spans="1:11" ht="13.5" customHeight="1" x14ac:dyDescent="0.2">
      <c r="A17" s="4489" t="s">
        <v>675</v>
      </c>
      <c r="B17" s="4347"/>
      <c r="C17" s="4347"/>
      <c r="D17" s="4347"/>
      <c r="E17" s="4347"/>
      <c r="F17" s="4347"/>
      <c r="G17" s="4490" t="s">
        <v>807</v>
      </c>
      <c r="H17" s="4491" t="s">
        <v>672</v>
      </c>
      <c r="I17" s="280"/>
      <c r="J17" s="280"/>
      <c r="K17" s="686"/>
    </row>
    <row r="18" spans="1:11" ht="3.75" customHeight="1" x14ac:dyDescent="0.2">
      <c r="A18" s="4489"/>
      <c r="B18" s="4347"/>
      <c r="C18" s="4347"/>
      <c r="D18" s="4347"/>
      <c r="E18" s="4347"/>
      <c r="F18" s="4347"/>
      <c r="G18" s="4490"/>
      <c r="H18" s="4491"/>
      <c r="I18" s="280"/>
      <c r="J18" s="280"/>
      <c r="K18" s="686"/>
    </row>
    <row r="19" spans="1:11" ht="19.5" thickBot="1" x14ac:dyDescent="0.35">
      <c r="A19" s="708" t="s">
        <v>247</v>
      </c>
      <c r="B19" s="280"/>
      <c r="C19" s="280"/>
      <c r="D19" s="280"/>
      <c r="E19" s="280"/>
      <c r="F19" s="280"/>
      <c r="G19" s="280"/>
      <c r="H19" s="280"/>
      <c r="I19" s="280"/>
      <c r="J19" s="280"/>
      <c r="K19" s="686"/>
    </row>
    <row r="20" spans="1:11" ht="13.5" thickBot="1" x14ac:dyDescent="0.25">
      <c r="A20" s="1023" t="s">
        <v>172</v>
      </c>
      <c r="B20" s="1023" t="s">
        <v>448</v>
      </c>
      <c r="C20" s="1023" t="s">
        <v>367</v>
      </c>
      <c r="D20" s="339"/>
      <c r="E20" s="4479" t="s">
        <v>449</v>
      </c>
      <c r="F20" s="4480"/>
      <c r="G20" s="4479" t="s">
        <v>450</v>
      </c>
      <c r="H20" s="4481"/>
      <c r="I20" s="4480"/>
      <c r="J20" s="4482" t="s">
        <v>451</v>
      </c>
      <c r="K20" s="4483"/>
    </row>
    <row r="21" spans="1:11" ht="13.5" thickBot="1" x14ac:dyDescent="0.25">
      <c r="A21" s="342" t="s">
        <v>452</v>
      </c>
      <c r="B21" s="342" t="s">
        <v>453</v>
      </c>
      <c r="C21" s="342" t="s">
        <v>454</v>
      </c>
      <c r="D21" s="343" t="s">
        <v>455</v>
      </c>
      <c r="E21" s="1022" t="s">
        <v>456</v>
      </c>
      <c r="F21" s="1025" t="s">
        <v>457</v>
      </c>
      <c r="G21" s="342" t="s">
        <v>456</v>
      </c>
      <c r="H21" s="343" t="s">
        <v>458</v>
      </c>
      <c r="I21" s="345" t="s">
        <v>457</v>
      </c>
      <c r="J21" s="4484" t="s">
        <v>459</v>
      </c>
      <c r="K21" s="4485"/>
    </row>
    <row r="22" spans="1:11" ht="13.5" thickBot="1" x14ac:dyDescent="0.25">
      <c r="A22" s="1021"/>
      <c r="B22" s="1021" t="s">
        <v>460</v>
      </c>
      <c r="C22" s="1021"/>
      <c r="D22" s="347"/>
      <c r="E22" s="1022" t="s">
        <v>458</v>
      </c>
      <c r="F22" s="345" t="s">
        <v>461</v>
      </c>
      <c r="G22" s="1024"/>
      <c r="H22" s="348"/>
      <c r="I22" s="345" t="s">
        <v>461</v>
      </c>
      <c r="J22" s="1021" t="s">
        <v>462</v>
      </c>
      <c r="K22" s="347" t="s">
        <v>456</v>
      </c>
    </row>
    <row r="23" spans="1:11" ht="13.5" thickBot="1" x14ac:dyDescent="0.25">
      <c r="A23" s="692"/>
      <c r="B23" s="280"/>
      <c r="C23" s="280"/>
      <c r="D23" s="280"/>
      <c r="E23" s="280"/>
      <c r="F23" s="280"/>
      <c r="G23" s="280"/>
      <c r="H23" s="280"/>
      <c r="I23" s="280"/>
      <c r="J23" s="280"/>
      <c r="K23" s="686"/>
    </row>
    <row r="24" spans="1:11" ht="13.5" thickBot="1" x14ac:dyDescent="0.25">
      <c r="A24" s="350">
        <v>1</v>
      </c>
      <c r="B24" s="351">
        <v>2</v>
      </c>
      <c r="C24" s="351">
        <v>3</v>
      </c>
      <c r="D24" s="351">
        <v>4</v>
      </c>
      <c r="E24" s="351">
        <v>5</v>
      </c>
      <c r="F24" s="351">
        <v>6</v>
      </c>
      <c r="G24" s="351">
        <v>7</v>
      </c>
      <c r="H24" s="351">
        <v>8</v>
      </c>
      <c r="I24" s="351">
        <v>9</v>
      </c>
      <c r="J24" s="351">
        <v>10</v>
      </c>
      <c r="K24" s="351">
        <v>11</v>
      </c>
    </row>
    <row r="25" spans="1:11" ht="13.5" thickBot="1" x14ac:dyDescent="0.25">
      <c r="A25" s="678"/>
      <c r="B25" s="679"/>
      <c r="C25" s="679"/>
      <c r="D25" s="679"/>
      <c r="E25" s="679"/>
      <c r="F25" s="679"/>
      <c r="G25" s="679"/>
      <c r="H25" s="679"/>
      <c r="I25" s="679"/>
      <c r="J25" s="679"/>
      <c r="K25" s="679"/>
    </row>
    <row r="26" spans="1:11" ht="13.5" thickBot="1" x14ac:dyDescent="0.25">
      <c r="A26" s="4462"/>
      <c r="B26" s="4463"/>
      <c r="C26" s="4463"/>
      <c r="D26" s="4463"/>
      <c r="E26" s="4463"/>
      <c r="F26" s="4463"/>
      <c r="G26" s="4463"/>
      <c r="H26" s="4463"/>
      <c r="I26" s="4463"/>
      <c r="J26" s="4463"/>
      <c r="K26" s="4464"/>
    </row>
    <row r="27" spans="1:11" ht="13.5" thickBot="1" x14ac:dyDescent="0.25">
      <c r="A27" s="4486" t="s">
        <v>808</v>
      </c>
      <c r="B27" s="4487"/>
      <c r="C27" s="4487"/>
      <c r="D27" s="4487"/>
      <c r="E27" s="4487"/>
      <c r="F27" s="4487"/>
      <c r="G27" s="4487"/>
      <c r="H27" s="4487"/>
      <c r="I27" s="4487"/>
      <c r="J27" s="4487"/>
      <c r="K27" s="4488"/>
    </row>
    <row r="28" spans="1:11" ht="13.5" thickBot="1" x14ac:dyDescent="0.25">
      <c r="A28" s="4462"/>
      <c r="B28" s="4463"/>
      <c r="C28" s="4463"/>
      <c r="D28" s="4463"/>
      <c r="E28" s="4463"/>
      <c r="F28" s="4463"/>
      <c r="G28" s="4463"/>
      <c r="H28" s="4463"/>
      <c r="I28" s="4463"/>
      <c r="J28" s="4463"/>
      <c r="K28" s="4464"/>
    </row>
    <row r="29" spans="1:11" x14ac:dyDescent="0.2">
      <c r="A29" s="4472">
        <v>1</v>
      </c>
      <c r="B29" s="4474" t="s">
        <v>685</v>
      </c>
      <c r="C29" s="357" t="s">
        <v>749</v>
      </c>
      <c r="D29" s="358">
        <v>0.8</v>
      </c>
      <c r="E29" s="359">
        <v>21330.04</v>
      </c>
      <c r="F29" s="359">
        <v>21330.04</v>
      </c>
      <c r="G29" s="4472">
        <v>17064</v>
      </c>
      <c r="H29" s="4472">
        <v>0</v>
      </c>
      <c r="I29" s="359">
        <v>17064</v>
      </c>
      <c r="J29" s="359">
        <v>0</v>
      </c>
      <c r="K29" s="359">
        <v>0</v>
      </c>
    </row>
    <row r="30" spans="1:11" ht="34.5" customHeight="1" thickBot="1" x14ac:dyDescent="0.25">
      <c r="A30" s="4473"/>
      <c r="B30" s="4475"/>
      <c r="C30" s="355" t="s">
        <v>809</v>
      </c>
      <c r="D30" s="356" t="s">
        <v>687</v>
      </c>
      <c r="E30" s="356">
        <v>0</v>
      </c>
      <c r="F30" s="356">
        <v>24389.57</v>
      </c>
      <c r="G30" s="4473"/>
      <c r="H30" s="4473"/>
      <c r="I30" s="356">
        <v>19512</v>
      </c>
      <c r="J30" s="356">
        <v>97.21</v>
      </c>
      <c r="K30" s="356">
        <v>77.77</v>
      </c>
    </row>
    <row r="31" spans="1:11" ht="22.5" customHeight="1" x14ac:dyDescent="0.2">
      <c r="A31" s="4472">
        <v>2</v>
      </c>
      <c r="B31" s="4474" t="s">
        <v>759</v>
      </c>
      <c r="C31" s="357" t="s">
        <v>760</v>
      </c>
      <c r="D31" s="358">
        <v>20</v>
      </c>
      <c r="E31" s="359">
        <v>1300.8599999999999</v>
      </c>
      <c r="F31" s="359">
        <v>30.67</v>
      </c>
      <c r="G31" s="4472">
        <v>26017</v>
      </c>
      <c r="H31" s="4472">
        <v>25404</v>
      </c>
      <c r="I31" s="359">
        <v>613</v>
      </c>
      <c r="J31" s="359">
        <v>6.58</v>
      </c>
      <c r="K31" s="359">
        <v>131.6</v>
      </c>
    </row>
    <row r="32" spans="1:11" ht="33" customHeight="1" thickBot="1" x14ac:dyDescent="0.25">
      <c r="A32" s="4473"/>
      <c r="B32" s="4475"/>
      <c r="C32" s="355" t="s">
        <v>809</v>
      </c>
      <c r="D32" s="356" t="s">
        <v>761</v>
      </c>
      <c r="E32" s="356">
        <v>1270.19</v>
      </c>
      <c r="F32" s="356">
        <v>0</v>
      </c>
      <c r="G32" s="4473"/>
      <c r="H32" s="4473"/>
      <c r="I32" s="356">
        <v>0</v>
      </c>
      <c r="J32" s="356">
        <v>0</v>
      </c>
      <c r="K32" s="356">
        <v>0</v>
      </c>
    </row>
    <row r="33" spans="1:11" ht="22.5" customHeight="1" x14ac:dyDescent="0.2">
      <c r="A33" s="4472">
        <v>3</v>
      </c>
      <c r="B33" s="4474" t="s">
        <v>750</v>
      </c>
      <c r="C33" s="357" t="s">
        <v>751</v>
      </c>
      <c r="D33" s="358">
        <v>0.2</v>
      </c>
      <c r="E33" s="359">
        <v>115674.66</v>
      </c>
      <c r="F33" s="359">
        <v>55153.06</v>
      </c>
      <c r="G33" s="4472">
        <v>23135</v>
      </c>
      <c r="H33" s="4472">
        <v>12104</v>
      </c>
      <c r="I33" s="359">
        <v>11031</v>
      </c>
      <c r="J33" s="359">
        <v>292.02</v>
      </c>
      <c r="K33" s="359">
        <v>58.4</v>
      </c>
    </row>
    <row r="34" spans="1:11" ht="33.75" customHeight="1" x14ac:dyDescent="0.2">
      <c r="A34" s="4476"/>
      <c r="B34" s="4477"/>
      <c r="C34" s="357" t="s">
        <v>502</v>
      </c>
      <c r="D34" s="359" t="s">
        <v>753</v>
      </c>
      <c r="E34" s="359">
        <v>60521.599999999999</v>
      </c>
      <c r="F34" s="359">
        <v>12684.38</v>
      </c>
      <c r="G34" s="4476"/>
      <c r="H34" s="4476"/>
      <c r="I34" s="359">
        <v>2537</v>
      </c>
      <c r="J34" s="359">
        <v>49.67</v>
      </c>
      <c r="K34" s="359">
        <v>9.93</v>
      </c>
    </row>
    <row r="35" spans="1:11" ht="33.75" customHeight="1" thickBot="1" x14ac:dyDescent="0.25">
      <c r="A35" s="4473"/>
      <c r="B35" s="4475"/>
      <c r="C35" s="355" t="s">
        <v>810</v>
      </c>
      <c r="D35" s="360"/>
      <c r="E35" s="360"/>
      <c r="F35" s="360"/>
      <c r="G35" s="4473"/>
      <c r="H35" s="4473"/>
      <c r="I35" s="360"/>
      <c r="J35" s="360"/>
      <c r="K35" s="360"/>
    </row>
    <row r="36" spans="1:11" ht="10.5" customHeight="1" x14ac:dyDescent="0.2">
      <c r="A36" s="4472">
        <v>4</v>
      </c>
      <c r="B36" s="4474" t="s">
        <v>754</v>
      </c>
      <c r="C36" s="357" t="s">
        <v>755</v>
      </c>
      <c r="D36" s="358">
        <v>20</v>
      </c>
      <c r="E36" s="359">
        <v>534.51</v>
      </c>
      <c r="F36" s="359">
        <v>0</v>
      </c>
      <c r="G36" s="4472">
        <v>10690</v>
      </c>
      <c r="H36" s="4472">
        <v>10690</v>
      </c>
      <c r="I36" s="359">
        <v>0</v>
      </c>
      <c r="J36" s="359">
        <v>2.72</v>
      </c>
      <c r="K36" s="359">
        <v>54.48</v>
      </c>
    </row>
    <row r="37" spans="1:11" ht="10.5" customHeight="1" x14ac:dyDescent="0.2">
      <c r="A37" s="4476"/>
      <c r="B37" s="4477"/>
      <c r="C37" s="357" t="s">
        <v>502</v>
      </c>
      <c r="D37" s="359" t="s">
        <v>466</v>
      </c>
      <c r="E37" s="359">
        <v>534.51</v>
      </c>
      <c r="F37" s="359">
        <v>0</v>
      </c>
      <c r="G37" s="4476"/>
      <c r="H37" s="4476"/>
      <c r="I37" s="359">
        <v>0</v>
      </c>
      <c r="J37" s="359">
        <v>0</v>
      </c>
      <c r="K37" s="359">
        <v>0</v>
      </c>
    </row>
    <row r="38" spans="1:11" ht="33.75" customHeight="1" thickBot="1" x14ac:dyDescent="0.25">
      <c r="A38" s="4473"/>
      <c r="B38" s="4475"/>
      <c r="C38" s="355" t="s">
        <v>810</v>
      </c>
      <c r="D38" s="360"/>
      <c r="E38" s="360"/>
      <c r="F38" s="360"/>
      <c r="G38" s="4473"/>
      <c r="H38" s="4473"/>
      <c r="I38" s="360"/>
      <c r="J38" s="360"/>
      <c r="K38" s="360"/>
    </row>
    <row r="39" spans="1:11" ht="10.5" customHeight="1" x14ac:dyDescent="0.2">
      <c r="A39" s="4472">
        <v>5</v>
      </c>
      <c r="B39" s="4474" t="s">
        <v>756</v>
      </c>
      <c r="C39" s="357" t="s">
        <v>757</v>
      </c>
      <c r="D39" s="358">
        <v>12</v>
      </c>
      <c r="E39" s="359">
        <v>352.65</v>
      </c>
      <c r="F39" s="359">
        <v>70.33</v>
      </c>
      <c r="G39" s="4472">
        <v>4232</v>
      </c>
      <c r="H39" s="4472">
        <v>3388</v>
      </c>
      <c r="I39" s="359">
        <v>844</v>
      </c>
      <c r="J39" s="359">
        <v>1.31</v>
      </c>
      <c r="K39" s="359">
        <v>15.72</v>
      </c>
    </row>
    <row r="40" spans="1:11" ht="33" customHeight="1" thickBot="1" x14ac:dyDescent="0.25">
      <c r="A40" s="4473"/>
      <c r="B40" s="4475"/>
      <c r="C40" s="355" t="s">
        <v>809</v>
      </c>
      <c r="D40" s="356" t="s">
        <v>758</v>
      </c>
      <c r="E40" s="356">
        <v>282.32</v>
      </c>
      <c r="F40" s="356">
        <v>0</v>
      </c>
      <c r="G40" s="4473"/>
      <c r="H40" s="4473"/>
      <c r="I40" s="356">
        <v>0</v>
      </c>
      <c r="J40" s="356">
        <v>7.0000000000000007E-2</v>
      </c>
      <c r="K40" s="356">
        <v>0.84</v>
      </c>
    </row>
    <row r="41" spans="1:11" ht="9.75" customHeight="1" x14ac:dyDescent="0.2">
      <c r="A41" s="4472">
        <v>6</v>
      </c>
      <c r="B41" s="4474" t="s">
        <v>463</v>
      </c>
      <c r="C41" s="357" t="s">
        <v>464</v>
      </c>
      <c r="D41" s="358">
        <v>8</v>
      </c>
      <c r="E41" s="359">
        <v>7190.9</v>
      </c>
      <c r="F41" s="359">
        <v>100.54</v>
      </c>
      <c r="G41" s="4472">
        <v>57527</v>
      </c>
      <c r="H41" s="4472">
        <v>7709</v>
      </c>
      <c r="I41" s="359">
        <v>804</v>
      </c>
      <c r="J41" s="359">
        <v>4.53</v>
      </c>
      <c r="K41" s="359">
        <v>36.24</v>
      </c>
    </row>
    <row r="42" spans="1:11" ht="34.5" customHeight="1" thickBot="1" x14ac:dyDescent="0.25">
      <c r="A42" s="4473"/>
      <c r="B42" s="4475"/>
      <c r="C42" s="355" t="s">
        <v>809</v>
      </c>
      <c r="D42" s="356" t="s">
        <v>466</v>
      </c>
      <c r="E42" s="356">
        <v>963.68</v>
      </c>
      <c r="F42" s="356">
        <v>0</v>
      </c>
      <c r="G42" s="4473"/>
      <c r="H42" s="4473"/>
      <c r="I42" s="356">
        <v>0</v>
      </c>
      <c r="J42" s="356">
        <v>0.1</v>
      </c>
      <c r="K42" s="356">
        <v>0.8</v>
      </c>
    </row>
    <row r="43" spans="1:11" ht="23.25" customHeight="1" x14ac:dyDescent="0.2">
      <c r="A43" s="4472">
        <v>7</v>
      </c>
      <c r="B43" s="4474" t="s">
        <v>500</v>
      </c>
      <c r="C43" s="357" t="s">
        <v>501</v>
      </c>
      <c r="D43" s="358">
        <v>0.5</v>
      </c>
      <c r="E43" s="359">
        <v>87722.08</v>
      </c>
      <c r="F43" s="359">
        <v>9577.9699999999993</v>
      </c>
      <c r="G43" s="4472">
        <v>43861</v>
      </c>
      <c r="H43" s="4472">
        <v>9936</v>
      </c>
      <c r="I43" s="359">
        <v>4789</v>
      </c>
      <c r="J43" s="359">
        <v>95.88</v>
      </c>
      <c r="K43" s="359">
        <v>47.94</v>
      </c>
    </row>
    <row r="44" spans="1:11" ht="10.5" customHeight="1" x14ac:dyDescent="0.2">
      <c r="A44" s="4476"/>
      <c r="B44" s="4477"/>
      <c r="C44" s="357" t="s">
        <v>502</v>
      </c>
      <c r="D44" s="359" t="s">
        <v>503</v>
      </c>
      <c r="E44" s="359">
        <v>19871.29</v>
      </c>
      <c r="F44" s="359">
        <v>2421.77</v>
      </c>
      <c r="G44" s="4476"/>
      <c r="H44" s="4476"/>
      <c r="I44" s="359">
        <v>1211</v>
      </c>
      <c r="J44" s="359">
        <v>7.81</v>
      </c>
      <c r="K44" s="359">
        <v>3.91</v>
      </c>
    </row>
    <row r="45" spans="1:11" ht="32.25" customHeight="1" thickBot="1" x14ac:dyDescent="0.25">
      <c r="A45" s="4473"/>
      <c r="B45" s="4475"/>
      <c r="C45" s="355" t="s">
        <v>810</v>
      </c>
      <c r="D45" s="360"/>
      <c r="E45" s="360"/>
      <c r="F45" s="360"/>
      <c r="G45" s="4473"/>
      <c r="H45" s="4473"/>
      <c r="I45" s="360"/>
      <c r="J45" s="360"/>
      <c r="K45" s="360"/>
    </row>
    <row r="46" spans="1:11" ht="10.5" customHeight="1" x14ac:dyDescent="0.2">
      <c r="A46" s="4472">
        <v>8</v>
      </c>
      <c r="B46" s="4474" t="s">
        <v>505</v>
      </c>
      <c r="C46" s="357" t="s">
        <v>506</v>
      </c>
      <c r="D46" s="358">
        <v>3.5</v>
      </c>
      <c r="E46" s="359">
        <v>14398.96</v>
      </c>
      <c r="F46" s="359">
        <v>341.17</v>
      </c>
      <c r="G46" s="4472">
        <v>50396</v>
      </c>
      <c r="H46" s="4472">
        <v>27253</v>
      </c>
      <c r="I46" s="359">
        <v>1194</v>
      </c>
      <c r="J46" s="359">
        <v>38.93</v>
      </c>
      <c r="K46" s="359">
        <v>136.25</v>
      </c>
    </row>
    <row r="47" spans="1:11" ht="12.75" customHeight="1" x14ac:dyDescent="0.2">
      <c r="A47" s="4476"/>
      <c r="B47" s="4477"/>
      <c r="C47" s="357" t="s">
        <v>507</v>
      </c>
      <c r="D47" s="359" t="s">
        <v>508</v>
      </c>
      <c r="E47" s="359">
        <v>7786.59</v>
      </c>
      <c r="F47" s="359">
        <v>133.93</v>
      </c>
      <c r="G47" s="4476"/>
      <c r="H47" s="4476"/>
      <c r="I47" s="359">
        <v>469</v>
      </c>
      <c r="J47" s="359">
        <v>0.43</v>
      </c>
      <c r="K47" s="359">
        <v>1.51</v>
      </c>
    </row>
    <row r="48" spans="1:11" ht="32.25" customHeight="1" thickBot="1" x14ac:dyDescent="0.25">
      <c r="A48" s="4473"/>
      <c r="B48" s="4475"/>
      <c r="C48" s="355" t="s">
        <v>810</v>
      </c>
      <c r="D48" s="360"/>
      <c r="E48" s="360"/>
      <c r="F48" s="360"/>
      <c r="G48" s="4473"/>
      <c r="H48" s="4473"/>
      <c r="I48" s="360"/>
      <c r="J48" s="360"/>
      <c r="K48" s="360"/>
    </row>
    <row r="49" spans="1:11" ht="11.25" customHeight="1" x14ac:dyDescent="0.2">
      <c r="A49" s="4472">
        <v>9</v>
      </c>
      <c r="B49" s="4474" t="s">
        <v>509</v>
      </c>
      <c r="C49" s="357" t="s">
        <v>510</v>
      </c>
      <c r="D49" s="358">
        <v>2.5</v>
      </c>
      <c r="E49" s="359">
        <v>17601.82</v>
      </c>
      <c r="F49" s="359">
        <v>60.3</v>
      </c>
      <c r="G49" s="4472">
        <v>44005</v>
      </c>
      <c r="H49" s="4472">
        <v>18429</v>
      </c>
      <c r="I49" s="359">
        <v>151</v>
      </c>
      <c r="J49" s="359">
        <v>34.65</v>
      </c>
      <c r="K49" s="359">
        <v>86.63</v>
      </c>
    </row>
    <row r="50" spans="1:11" ht="12.75" customHeight="1" x14ac:dyDescent="0.2">
      <c r="A50" s="4476"/>
      <c r="B50" s="4477"/>
      <c r="C50" s="357" t="s">
        <v>507</v>
      </c>
      <c r="D50" s="359" t="s">
        <v>503</v>
      </c>
      <c r="E50" s="359">
        <v>7371.52</v>
      </c>
      <c r="F50" s="359">
        <v>0</v>
      </c>
      <c r="G50" s="4476"/>
      <c r="H50" s="4476"/>
      <c r="I50" s="359">
        <v>0</v>
      </c>
      <c r="J50" s="359">
        <v>0.06</v>
      </c>
      <c r="K50" s="359">
        <v>0.15</v>
      </c>
    </row>
    <row r="51" spans="1:11" ht="33.75" customHeight="1" thickBot="1" x14ac:dyDescent="0.25">
      <c r="A51" s="4473"/>
      <c r="B51" s="4475"/>
      <c r="C51" s="355" t="s">
        <v>810</v>
      </c>
      <c r="D51" s="360"/>
      <c r="E51" s="360"/>
      <c r="F51" s="360"/>
      <c r="G51" s="4473"/>
      <c r="H51" s="4473"/>
      <c r="I51" s="360"/>
      <c r="J51" s="360"/>
      <c r="K51" s="360"/>
    </row>
    <row r="52" spans="1:11" ht="24.75" customHeight="1" x14ac:dyDescent="0.2">
      <c r="A52" s="4472">
        <v>10</v>
      </c>
      <c r="B52" s="4474" t="s">
        <v>511</v>
      </c>
      <c r="C52" s="357" t="s">
        <v>512</v>
      </c>
      <c r="D52" s="358">
        <v>2.2000000000000002</v>
      </c>
      <c r="E52" s="359">
        <v>182869.16</v>
      </c>
      <c r="F52" s="359">
        <v>149723.85</v>
      </c>
      <c r="G52" s="4472">
        <v>402312</v>
      </c>
      <c r="H52" s="4472">
        <v>69900</v>
      </c>
      <c r="I52" s="359">
        <v>329392</v>
      </c>
      <c r="J52" s="359">
        <v>130.53</v>
      </c>
      <c r="K52" s="359">
        <v>287.17</v>
      </c>
    </row>
    <row r="53" spans="1:11" ht="33.75" customHeight="1" thickBot="1" x14ac:dyDescent="0.25">
      <c r="A53" s="4473"/>
      <c r="B53" s="4475"/>
      <c r="C53" s="355" t="s">
        <v>809</v>
      </c>
      <c r="D53" s="356" t="s">
        <v>513</v>
      </c>
      <c r="E53" s="356">
        <v>31772.81</v>
      </c>
      <c r="F53" s="356">
        <v>10028.870000000001</v>
      </c>
      <c r="G53" s="4473"/>
      <c r="H53" s="4473"/>
      <c r="I53" s="356">
        <v>22064</v>
      </c>
      <c r="J53" s="356">
        <v>47.81</v>
      </c>
      <c r="K53" s="356">
        <v>105.18</v>
      </c>
    </row>
    <row r="54" spans="1:11" ht="13.5" thickBot="1" x14ac:dyDescent="0.25">
      <c r="A54" s="4462"/>
      <c r="B54" s="4463"/>
      <c r="C54" s="4463"/>
      <c r="D54" s="4463"/>
      <c r="E54" s="4463"/>
      <c r="F54" s="4463"/>
      <c r="G54" s="4463"/>
      <c r="H54" s="4463"/>
      <c r="I54" s="4463"/>
      <c r="J54" s="4463"/>
      <c r="K54" s="4464"/>
    </row>
    <row r="55" spans="1:11" x14ac:dyDescent="0.2">
      <c r="A55" s="4465" t="s">
        <v>705</v>
      </c>
      <c r="B55" s="4466"/>
      <c r="C55" s="4466"/>
      <c r="D55" s="4466"/>
      <c r="E55" s="4466"/>
      <c r="F55" s="4468"/>
      <c r="G55" s="4468">
        <v>679239</v>
      </c>
      <c r="H55" s="4468">
        <v>184813</v>
      </c>
      <c r="I55" s="693">
        <v>365882</v>
      </c>
      <c r="J55" s="4468"/>
      <c r="K55" s="359">
        <v>854.43</v>
      </c>
    </row>
    <row r="56" spans="1:11" ht="13.5" thickBot="1" x14ac:dyDescent="0.25">
      <c r="A56" s="4467"/>
      <c r="B56" s="4460"/>
      <c r="C56" s="4460"/>
      <c r="D56" s="4460"/>
      <c r="E56" s="4460"/>
      <c r="F56" s="4469"/>
      <c r="G56" s="4469"/>
      <c r="H56" s="4469"/>
      <c r="I56" s="1026">
        <v>45793</v>
      </c>
      <c r="J56" s="4469"/>
      <c r="K56" s="356">
        <v>200.08</v>
      </c>
    </row>
    <row r="57" spans="1:11" ht="13.5" thickBot="1" x14ac:dyDescent="0.25">
      <c r="A57" s="4462"/>
      <c r="B57" s="4463"/>
      <c r="C57" s="4463"/>
      <c r="D57" s="4463"/>
      <c r="E57" s="4463"/>
      <c r="F57" s="4463"/>
      <c r="G57" s="4463"/>
      <c r="H57" s="4463"/>
      <c r="I57" s="4463"/>
      <c r="J57" s="4463"/>
      <c r="K57" s="4464"/>
    </row>
    <row r="58" spans="1:11" hidden="1" x14ac:dyDescent="0.2">
      <c r="A58" s="4465" t="s">
        <v>706</v>
      </c>
      <c r="B58" s="4466"/>
      <c r="C58" s="4466"/>
      <c r="D58" s="4466"/>
      <c r="E58" s="4466"/>
      <c r="F58" s="4468"/>
      <c r="G58" s="4468">
        <v>679239</v>
      </c>
      <c r="H58" s="4468">
        <v>184813</v>
      </c>
      <c r="I58" s="693">
        <v>365882</v>
      </c>
      <c r="J58" s="4468"/>
      <c r="K58" s="359">
        <v>854.43</v>
      </c>
    </row>
    <row r="59" spans="1:11" ht="13.5" hidden="1" thickBot="1" x14ac:dyDescent="0.25">
      <c r="A59" s="4467"/>
      <c r="B59" s="4460"/>
      <c r="C59" s="4460"/>
      <c r="D59" s="4460"/>
      <c r="E59" s="4460"/>
      <c r="F59" s="4469"/>
      <c r="G59" s="4469"/>
      <c r="H59" s="4469"/>
      <c r="I59" s="1026">
        <v>45793</v>
      </c>
      <c r="J59" s="4469"/>
      <c r="K59" s="356">
        <v>200.08</v>
      </c>
    </row>
    <row r="60" spans="1:11" ht="13.5" hidden="1" thickBot="1" x14ac:dyDescent="0.25">
      <c r="A60" s="678"/>
      <c r="B60" s="679"/>
      <c r="C60" s="679"/>
      <c r="D60" s="679"/>
      <c r="E60" s="679"/>
      <c r="F60" s="679"/>
      <c r="G60" s="679"/>
      <c r="H60" s="679"/>
      <c r="I60" s="679"/>
      <c r="J60" s="679"/>
      <c r="K60" s="679"/>
    </row>
    <row r="61" spans="1:11" hidden="1" x14ac:dyDescent="0.2">
      <c r="A61" s="709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hidden="1" x14ac:dyDescent="0.2">
      <c r="A62" s="695"/>
      <c r="B62" s="280"/>
      <c r="C62" s="280"/>
      <c r="D62" s="280"/>
      <c r="E62" s="280"/>
      <c r="F62" s="280"/>
      <c r="G62" s="280"/>
      <c r="H62" s="280"/>
      <c r="I62" s="280"/>
      <c r="J62" s="280"/>
      <c r="K62" s="686"/>
    </row>
    <row r="63" spans="1:11" hidden="1" x14ac:dyDescent="0.2">
      <c r="A63" s="695"/>
      <c r="B63" s="280"/>
      <c r="C63" s="4457" t="s">
        <v>707</v>
      </c>
      <c r="D63" s="4347"/>
      <c r="E63" s="4347"/>
      <c r="F63" s="4347"/>
      <c r="G63" s="4347"/>
      <c r="H63" s="4347"/>
      <c r="I63" s="4457" t="s">
        <v>708</v>
      </c>
      <c r="J63" s="4457" t="s">
        <v>709</v>
      </c>
      <c r="K63" s="357" t="s">
        <v>570</v>
      </c>
    </row>
    <row r="64" spans="1:11" hidden="1" x14ac:dyDescent="0.2">
      <c r="A64" s="695"/>
      <c r="B64" s="280"/>
      <c r="C64" s="4457"/>
      <c r="D64" s="4347"/>
      <c r="E64" s="4347"/>
      <c r="F64" s="4347"/>
      <c r="G64" s="4347"/>
      <c r="H64" s="4347"/>
      <c r="I64" s="4457"/>
      <c r="J64" s="4457"/>
      <c r="K64" s="357" t="s">
        <v>710</v>
      </c>
    </row>
    <row r="65" spans="1:11" ht="13.5" hidden="1" thickBot="1" x14ac:dyDescent="0.25">
      <c r="A65" s="695"/>
      <c r="B65" s="280"/>
      <c r="C65" s="1032"/>
      <c r="D65" s="1032"/>
      <c r="E65" s="1032"/>
      <c r="F65" s="1032"/>
      <c r="G65" s="280"/>
      <c r="H65" s="280"/>
      <c r="I65" s="1032"/>
      <c r="J65" s="1032"/>
      <c r="K65" s="355"/>
    </row>
    <row r="66" spans="1:11" ht="13.5" hidden="1" thickBot="1" x14ac:dyDescent="0.25">
      <c r="A66" s="695"/>
      <c r="B66" s="280"/>
      <c r="C66" s="4457" t="s">
        <v>54</v>
      </c>
      <c r="D66" s="4347"/>
      <c r="E66" s="4347"/>
      <c r="F66" s="4347"/>
      <c r="G66" s="4347"/>
      <c r="H66" s="4347"/>
      <c r="I66" s="1026"/>
      <c r="J66" s="1026"/>
      <c r="K66" s="356" t="s">
        <v>811</v>
      </c>
    </row>
    <row r="67" spans="1:11" ht="13.5" hidden="1" thickBot="1" x14ac:dyDescent="0.25">
      <c r="A67" s="695"/>
      <c r="B67" s="280"/>
      <c r="C67" s="4457" t="s">
        <v>716</v>
      </c>
      <c r="D67" s="4347"/>
      <c r="E67" s="4347"/>
      <c r="F67" s="4347"/>
      <c r="G67" s="4347"/>
      <c r="H67" s="4347"/>
      <c r="I67" s="1026">
        <v>0.6</v>
      </c>
      <c r="J67" s="1026">
        <v>71</v>
      </c>
      <c r="K67" s="356" t="s">
        <v>770</v>
      </c>
    </row>
    <row r="68" spans="1:11" ht="13.5" hidden="1" thickBot="1" x14ac:dyDescent="0.25">
      <c r="A68" s="695"/>
      <c r="B68" s="280"/>
      <c r="C68" s="4457" t="s">
        <v>779</v>
      </c>
      <c r="D68" s="4347"/>
      <c r="E68" s="4347"/>
      <c r="F68" s="4347"/>
      <c r="G68" s="4347"/>
      <c r="H68" s="4347"/>
      <c r="I68" s="1026">
        <v>0.7</v>
      </c>
      <c r="J68" s="1026">
        <v>66</v>
      </c>
      <c r="K68" s="356" t="s">
        <v>780</v>
      </c>
    </row>
    <row r="69" spans="1:11" ht="13.5" hidden="1" thickBot="1" x14ac:dyDescent="0.25">
      <c r="A69" s="695"/>
      <c r="B69" s="280"/>
      <c r="C69" s="4457" t="s">
        <v>771</v>
      </c>
      <c r="D69" s="4347"/>
      <c r="E69" s="4347"/>
      <c r="F69" s="4347"/>
      <c r="G69" s="4347"/>
      <c r="H69" s="4347"/>
      <c r="I69" s="1026">
        <v>0.6</v>
      </c>
      <c r="J69" s="1026">
        <v>93</v>
      </c>
      <c r="K69" s="356" t="s">
        <v>812</v>
      </c>
    </row>
    <row r="70" spans="1:11" ht="13.5" hidden="1" thickBot="1" x14ac:dyDescent="0.25">
      <c r="A70" s="695"/>
      <c r="B70" s="280"/>
      <c r="C70" s="4457" t="s">
        <v>720</v>
      </c>
      <c r="D70" s="4347"/>
      <c r="E70" s="4347"/>
      <c r="F70" s="4347"/>
      <c r="G70" s="4347"/>
      <c r="H70" s="4347"/>
      <c r="I70" s="1026">
        <v>0.6</v>
      </c>
      <c r="J70" s="1026">
        <v>92</v>
      </c>
      <c r="K70" s="356" t="s">
        <v>813</v>
      </c>
    </row>
    <row r="71" spans="1:11" ht="13.5" hidden="1" thickBot="1" x14ac:dyDescent="0.25">
      <c r="A71" s="695"/>
      <c r="B71" s="280"/>
      <c r="C71" s="4457" t="s">
        <v>718</v>
      </c>
      <c r="D71" s="4347"/>
      <c r="E71" s="4347"/>
      <c r="F71" s="4347"/>
      <c r="G71" s="4347"/>
      <c r="H71" s="4347"/>
      <c r="I71" s="1026">
        <v>0.6</v>
      </c>
      <c r="J71" s="1026">
        <v>116</v>
      </c>
      <c r="K71" s="356" t="s">
        <v>814</v>
      </c>
    </row>
    <row r="72" spans="1:11" ht="13.5" hidden="1" thickBot="1" x14ac:dyDescent="0.25">
      <c r="A72" s="695"/>
      <c r="B72" s="280"/>
      <c r="C72" s="4457" t="s">
        <v>775</v>
      </c>
      <c r="D72" s="4347"/>
      <c r="E72" s="4347"/>
      <c r="F72" s="4347"/>
      <c r="G72" s="4347"/>
      <c r="H72" s="4347"/>
      <c r="I72" s="1026">
        <v>0.6</v>
      </c>
      <c r="J72" s="1026">
        <v>77</v>
      </c>
      <c r="K72" s="356" t="s">
        <v>815</v>
      </c>
    </row>
    <row r="73" spans="1:11" ht="13.5" hidden="1" thickBot="1" x14ac:dyDescent="0.25">
      <c r="A73" s="695"/>
      <c r="B73" s="280"/>
      <c r="C73" s="4457" t="s">
        <v>777</v>
      </c>
      <c r="D73" s="4347"/>
      <c r="E73" s="4347"/>
      <c r="F73" s="4347"/>
      <c r="G73" s="4347"/>
      <c r="H73" s="4347"/>
      <c r="I73" s="1026">
        <v>0.6</v>
      </c>
      <c r="J73" s="1026">
        <v>83</v>
      </c>
      <c r="K73" s="356" t="s">
        <v>816</v>
      </c>
    </row>
    <row r="74" spans="1:11" ht="13.5" hidden="1" thickBot="1" x14ac:dyDescent="0.25">
      <c r="A74" s="695"/>
      <c r="B74" s="280"/>
      <c r="C74" s="4457" t="s">
        <v>722</v>
      </c>
      <c r="D74" s="4347"/>
      <c r="E74" s="4347"/>
      <c r="F74" s="4347"/>
      <c r="G74" s="4347"/>
      <c r="H74" s="4347"/>
      <c r="I74" s="1026"/>
      <c r="J74" s="1026"/>
      <c r="K74" s="356" t="s">
        <v>817</v>
      </c>
    </row>
    <row r="75" spans="1:11" ht="13.5" hidden="1" thickBot="1" x14ac:dyDescent="0.25">
      <c r="A75" s="695"/>
      <c r="B75" s="280"/>
      <c r="C75" s="4457" t="s">
        <v>54</v>
      </c>
      <c r="D75" s="4347"/>
      <c r="E75" s="4347"/>
      <c r="F75" s="4347"/>
      <c r="G75" s="4347"/>
      <c r="H75" s="4347"/>
      <c r="I75" s="1026"/>
      <c r="J75" s="1026"/>
      <c r="K75" s="356" t="s">
        <v>818</v>
      </c>
    </row>
    <row r="76" spans="1:11" ht="13.5" hidden="1" thickBot="1" x14ac:dyDescent="0.25">
      <c r="A76" s="695"/>
      <c r="B76" s="280"/>
      <c r="C76" s="4457" t="s">
        <v>729</v>
      </c>
      <c r="D76" s="4347"/>
      <c r="E76" s="4347"/>
      <c r="F76" s="4347"/>
      <c r="G76" s="4347"/>
      <c r="H76" s="4347"/>
      <c r="I76" s="1026"/>
      <c r="J76" s="1026">
        <v>36</v>
      </c>
      <c r="K76" s="356" t="s">
        <v>785</v>
      </c>
    </row>
    <row r="77" spans="1:11" ht="13.5" hidden="1" thickBot="1" x14ac:dyDescent="0.25">
      <c r="A77" s="695"/>
      <c r="B77" s="280"/>
      <c r="C77" s="4457" t="s">
        <v>794</v>
      </c>
      <c r="D77" s="4347"/>
      <c r="E77" s="4347"/>
      <c r="F77" s="4347"/>
      <c r="G77" s="4347"/>
      <c r="H77" s="4347"/>
      <c r="I77" s="1026"/>
      <c r="J77" s="1026">
        <v>40</v>
      </c>
      <c r="K77" s="356" t="s">
        <v>795</v>
      </c>
    </row>
    <row r="78" spans="1:11" ht="13.5" hidden="1" thickBot="1" x14ac:dyDescent="0.25">
      <c r="A78" s="695"/>
      <c r="B78" s="280"/>
      <c r="C78" s="4457" t="s">
        <v>786</v>
      </c>
      <c r="D78" s="4347"/>
      <c r="E78" s="4347"/>
      <c r="F78" s="4347"/>
      <c r="G78" s="4347"/>
      <c r="H78" s="4347"/>
      <c r="I78" s="1026"/>
      <c r="J78" s="1026">
        <v>48</v>
      </c>
      <c r="K78" s="356" t="s">
        <v>819</v>
      </c>
    </row>
    <row r="79" spans="1:11" ht="13.5" hidden="1" thickBot="1" x14ac:dyDescent="0.25">
      <c r="A79" s="695"/>
      <c r="B79" s="280"/>
      <c r="C79" s="4457" t="s">
        <v>733</v>
      </c>
      <c r="D79" s="4347"/>
      <c r="E79" s="4347"/>
      <c r="F79" s="4347"/>
      <c r="G79" s="4347"/>
      <c r="H79" s="4347"/>
      <c r="I79" s="1026"/>
      <c r="J79" s="1026">
        <v>54</v>
      </c>
      <c r="K79" s="356" t="s">
        <v>820</v>
      </c>
    </row>
    <row r="80" spans="1:11" ht="13.5" hidden="1" thickBot="1" x14ac:dyDescent="0.25">
      <c r="A80" s="695"/>
      <c r="B80" s="280"/>
      <c r="C80" s="4457" t="s">
        <v>731</v>
      </c>
      <c r="D80" s="4347"/>
      <c r="E80" s="4347"/>
      <c r="F80" s="4347"/>
      <c r="G80" s="4347"/>
      <c r="H80" s="4347"/>
      <c r="I80" s="1026"/>
      <c r="J80" s="1026">
        <v>61</v>
      </c>
      <c r="K80" s="356" t="s">
        <v>821</v>
      </c>
    </row>
    <row r="81" spans="1:11" ht="13.5" hidden="1" thickBot="1" x14ac:dyDescent="0.25">
      <c r="A81" s="695"/>
      <c r="B81" s="280"/>
      <c r="C81" s="4457" t="s">
        <v>790</v>
      </c>
      <c r="D81" s="4347"/>
      <c r="E81" s="4347"/>
      <c r="F81" s="4347"/>
      <c r="G81" s="4347"/>
      <c r="H81" s="4347"/>
      <c r="I81" s="1026"/>
      <c r="J81" s="1026">
        <v>56</v>
      </c>
      <c r="K81" s="356" t="s">
        <v>822</v>
      </c>
    </row>
    <row r="82" spans="1:11" ht="13.5" hidden="1" thickBot="1" x14ac:dyDescent="0.25">
      <c r="A82" s="695"/>
      <c r="B82" s="280"/>
      <c r="C82" s="4457" t="s">
        <v>792</v>
      </c>
      <c r="D82" s="4347"/>
      <c r="E82" s="4347"/>
      <c r="F82" s="4347"/>
      <c r="G82" s="4347"/>
      <c r="H82" s="4347"/>
      <c r="I82" s="1026"/>
      <c r="J82" s="1026">
        <v>60</v>
      </c>
      <c r="K82" s="356" t="s">
        <v>823</v>
      </c>
    </row>
    <row r="83" spans="1:11" ht="13.5" hidden="1" thickBot="1" x14ac:dyDescent="0.25">
      <c r="A83" s="695"/>
      <c r="B83" s="280"/>
      <c r="C83" s="4457" t="s">
        <v>735</v>
      </c>
      <c r="D83" s="4347"/>
      <c r="E83" s="4347"/>
      <c r="F83" s="4347"/>
      <c r="G83" s="4347"/>
      <c r="H83" s="4347"/>
      <c r="I83" s="1026"/>
      <c r="J83" s="1026"/>
      <c r="K83" s="356" t="s">
        <v>824</v>
      </c>
    </row>
    <row r="84" spans="1:11" ht="13.5" hidden="1" thickBot="1" x14ac:dyDescent="0.25">
      <c r="A84" s="695"/>
      <c r="B84" s="280"/>
      <c r="C84" s="4457" t="s">
        <v>54</v>
      </c>
      <c r="D84" s="4347"/>
      <c r="E84" s="4347"/>
      <c r="F84" s="4347"/>
      <c r="G84" s="4347"/>
      <c r="H84" s="4347"/>
      <c r="I84" s="1026"/>
      <c r="J84" s="1026"/>
      <c r="K84" s="356" t="s">
        <v>825</v>
      </c>
    </row>
    <row r="85" spans="1:11" ht="13.5" hidden="1" thickBot="1" x14ac:dyDescent="0.25">
      <c r="A85" s="695"/>
      <c r="B85" s="280"/>
      <c r="C85" s="4457" t="s">
        <v>288</v>
      </c>
      <c r="D85" s="4347"/>
      <c r="E85" s="4347"/>
      <c r="F85" s="4347"/>
      <c r="G85" s="4347"/>
      <c r="H85" s="4347"/>
      <c r="I85" s="1026"/>
      <c r="J85" s="1026"/>
      <c r="K85" s="356" t="s">
        <v>825</v>
      </c>
    </row>
    <row r="86" spans="1:11" ht="13.5" hidden="1" thickBot="1" x14ac:dyDescent="0.25">
      <c r="A86" s="695"/>
      <c r="B86" s="280"/>
      <c r="C86" s="4457" t="s">
        <v>738</v>
      </c>
      <c r="D86" s="4347"/>
      <c r="E86" s="4347"/>
      <c r="F86" s="4347"/>
      <c r="G86" s="4347"/>
      <c r="H86" s="4347"/>
      <c r="I86" s="1026"/>
      <c r="J86" s="1026">
        <v>18</v>
      </c>
      <c r="K86" s="356" t="s">
        <v>826</v>
      </c>
    </row>
    <row r="87" spans="1:11" ht="13.5" hidden="1" thickBot="1" x14ac:dyDescent="0.25">
      <c r="A87" s="695"/>
      <c r="B87" s="280"/>
      <c r="C87" s="4457" t="s">
        <v>288</v>
      </c>
      <c r="D87" s="4347"/>
      <c r="E87" s="4347"/>
      <c r="F87" s="4347"/>
      <c r="G87" s="4347"/>
      <c r="H87" s="4347"/>
      <c r="I87" s="1026"/>
      <c r="J87" s="1026"/>
      <c r="K87" s="356" t="s">
        <v>806</v>
      </c>
    </row>
    <row r="88" spans="1:11" ht="13.5" hidden="1" thickBot="1" x14ac:dyDescent="0.25">
      <c r="A88" s="682"/>
      <c r="B88" s="681"/>
      <c r="C88" s="4460" t="s">
        <v>740</v>
      </c>
      <c r="D88" s="3492"/>
      <c r="E88" s="3492"/>
      <c r="F88" s="3492"/>
      <c r="G88" s="3492"/>
      <c r="H88" s="3492"/>
      <c r="I88" s="1026"/>
      <c r="J88" s="1026"/>
      <c r="K88" s="356" t="s">
        <v>806</v>
      </c>
    </row>
    <row r="89" spans="1:11" ht="12.75" customHeight="1" x14ac:dyDescent="0.25">
      <c r="A89" s="710" t="s">
        <v>827</v>
      </c>
      <c r="B89" s="391"/>
      <c r="C89" s="391"/>
      <c r="D89" s="391"/>
      <c r="E89" s="391"/>
      <c r="F89" s="391"/>
      <c r="G89" s="391"/>
      <c r="H89" s="391"/>
      <c r="I89" s="4510">
        <v>1081767</v>
      </c>
      <c r="J89" s="4510"/>
      <c r="K89" s="4510"/>
    </row>
    <row r="90" spans="1:11" ht="13.5" thickBot="1" x14ac:dyDescent="0.25"/>
    <row r="91" spans="1:11" ht="27" thickBot="1" x14ac:dyDescent="0.45">
      <c r="A91" s="4511" t="s">
        <v>886</v>
      </c>
      <c r="B91" s="4512"/>
      <c r="C91" s="4512"/>
      <c r="D91" s="4512"/>
      <c r="E91" s="4512"/>
      <c r="F91" s="4512"/>
      <c r="G91" s="1472"/>
      <c r="H91" s="1472"/>
      <c r="I91" s="1647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1518</v>
      </c>
    </row>
    <row r="2" spans="1:10" ht="25.5" customHeight="1" x14ac:dyDescent="0.2">
      <c r="A2" s="4514" t="s">
        <v>970</v>
      </c>
      <c r="B2" s="4514"/>
      <c r="C2" s="4514"/>
      <c r="D2" s="4514"/>
      <c r="E2" s="4514"/>
      <c r="F2" s="4514"/>
      <c r="G2" s="4514"/>
      <c r="H2" s="4514"/>
      <c r="I2" s="4514"/>
      <c r="J2" s="4514"/>
    </row>
    <row r="3" spans="1:10" ht="22.5" customHeight="1" x14ac:dyDescent="0.2"/>
    <row r="4" spans="1:10" x14ac:dyDescent="0.2">
      <c r="A4" s="4516" t="s">
        <v>966</v>
      </c>
      <c r="B4" s="4515" t="s">
        <v>278</v>
      </c>
      <c r="C4" s="4515"/>
      <c r="D4" s="4515"/>
      <c r="E4" s="4515"/>
      <c r="F4" s="4515" t="s">
        <v>386</v>
      </c>
      <c r="G4" s="4515"/>
      <c r="H4" s="4515"/>
      <c r="I4" s="4515"/>
      <c r="J4" s="4515"/>
    </row>
    <row r="5" spans="1:10" ht="25.5" x14ac:dyDescent="0.2">
      <c r="A5" s="4517"/>
      <c r="B5" s="1321" t="s">
        <v>965</v>
      </c>
      <c r="C5" s="1322">
        <v>2016</v>
      </c>
      <c r="D5" s="1322">
        <v>2017</v>
      </c>
      <c r="E5" s="1322">
        <v>2018</v>
      </c>
      <c r="F5" s="1321" t="s">
        <v>965</v>
      </c>
      <c r="G5" s="1322">
        <v>2016</v>
      </c>
      <c r="H5" s="1322">
        <v>2017</v>
      </c>
      <c r="I5" s="1322">
        <v>2018</v>
      </c>
      <c r="J5" s="1322" t="s">
        <v>243</v>
      </c>
    </row>
    <row r="6" spans="1:10" ht="18" x14ac:dyDescent="0.25">
      <c r="A6" s="4513" t="s">
        <v>355</v>
      </c>
      <c r="B6" s="4513"/>
      <c r="C6" s="4513"/>
      <c r="D6" s="4513"/>
      <c r="E6" s="4513"/>
      <c r="F6" s="4513"/>
      <c r="G6" s="4513"/>
      <c r="H6" s="4513"/>
      <c r="I6" s="4513"/>
      <c r="J6" s="4513"/>
    </row>
    <row r="7" spans="1:10" ht="57.75" customHeight="1" x14ac:dyDescent="0.2">
      <c r="A7" s="1261" t="s">
        <v>962</v>
      </c>
      <c r="B7" s="1259">
        <f>10407.5/1.18</f>
        <v>8819.9152542372885</v>
      </c>
      <c r="C7" s="1259">
        <f>2316.1/1.18</f>
        <v>1962.7966101694915</v>
      </c>
      <c r="D7" s="1259">
        <f>4045.7/1.18</f>
        <v>3428.5593220338983</v>
      </c>
      <c r="E7" s="1259">
        <f>4045.7/1.18</f>
        <v>3428.5593220338983</v>
      </c>
      <c r="F7" s="1259">
        <f>G7+H7+I7</f>
        <v>0</v>
      </c>
      <c r="G7" s="1259">
        <v>0</v>
      </c>
      <c r="H7" s="1259">
        <v>0</v>
      </c>
      <c r="I7" s="1259">
        <v>0</v>
      </c>
      <c r="J7" s="1261" t="s">
        <v>967</v>
      </c>
    </row>
    <row r="8" spans="1:10" ht="26.25" customHeight="1" x14ac:dyDescent="0.2">
      <c r="A8" s="1261" t="s">
        <v>963</v>
      </c>
      <c r="B8" s="1259">
        <f>835.7/1.18</f>
        <v>708.22033898305096</v>
      </c>
      <c r="C8" s="1259">
        <f>278.5/1.18</f>
        <v>236.0169491525424</v>
      </c>
      <c r="D8" s="1259">
        <f>278.6/1.18</f>
        <v>236.10169491525426</v>
      </c>
      <c r="E8" s="1259">
        <f>278.6/1.18</f>
        <v>236.10169491525426</v>
      </c>
      <c r="F8" s="1259">
        <f t="shared" ref="F8:F9" si="0">G8+H8+I8</f>
        <v>0</v>
      </c>
      <c r="G8" s="1259">
        <v>0</v>
      </c>
      <c r="H8" s="1259">
        <v>0</v>
      </c>
      <c r="I8" s="1259">
        <v>0</v>
      </c>
      <c r="J8" s="1261" t="s">
        <v>968</v>
      </c>
    </row>
    <row r="9" spans="1:10" ht="24.75" customHeight="1" x14ac:dyDescent="0.2">
      <c r="A9" s="1261" t="s">
        <v>964</v>
      </c>
      <c r="B9" s="1259">
        <f>865.4/1.18</f>
        <v>733.38983050847457</v>
      </c>
      <c r="C9" s="1259">
        <f>288.4/1.18</f>
        <v>244.40677966101694</v>
      </c>
      <c r="D9" s="1259">
        <f>288.5/1.18</f>
        <v>244.49152542372883</v>
      </c>
      <c r="E9" s="1259">
        <f>288.5/1.18</f>
        <v>244.49152542372883</v>
      </c>
      <c r="F9" s="1259">
        <f t="shared" si="0"/>
        <v>733.38983050847457</v>
      </c>
      <c r="G9" s="1259">
        <f>C9</f>
        <v>244.40677966101694</v>
      </c>
      <c r="H9" s="1259">
        <f t="shared" ref="H9:I9" si="1">D9</f>
        <v>244.49152542372883</v>
      </c>
      <c r="I9" s="1259">
        <f t="shared" si="1"/>
        <v>244.49152542372883</v>
      </c>
      <c r="J9" s="1261" t="s">
        <v>292</v>
      </c>
    </row>
    <row r="10" spans="1:10" x14ac:dyDescent="0.2">
      <c r="A10" s="1261" t="s">
        <v>969</v>
      </c>
      <c r="B10" s="1259">
        <f>SUM(B7:B9)</f>
        <v>10261.525423728814</v>
      </c>
      <c r="C10" s="1259">
        <f t="shared" ref="C10:I10" si="2">SUM(C7:C9)</f>
        <v>2443.2203389830511</v>
      </c>
      <c r="D10" s="1259">
        <f t="shared" si="2"/>
        <v>3909.1525423728813</v>
      </c>
      <c r="E10" s="1259">
        <f t="shared" si="2"/>
        <v>3909.1525423728813</v>
      </c>
      <c r="F10" s="1259">
        <f t="shared" si="2"/>
        <v>733.38983050847457</v>
      </c>
      <c r="G10" s="1259">
        <f t="shared" si="2"/>
        <v>244.40677966101694</v>
      </c>
      <c r="H10" s="1259">
        <f t="shared" si="2"/>
        <v>244.49152542372883</v>
      </c>
      <c r="I10" s="1259">
        <f t="shared" si="2"/>
        <v>244.49152542372883</v>
      </c>
      <c r="J10" s="1258"/>
    </row>
    <row r="11" spans="1:10" ht="18" x14ac:dyDescent="0.25">
      <c r="A11" s="4513" t="s">
        <v>345</v>
      </c>
      <c r="B11" s="4513"/>
      <c r="C11" s="4513"/>
      <c r="D11" s="4513"/>
      <c r="E11" s="4513"/>
      <c r="F11" s="4513"/>
      <c r="G11" s="4513"/>
      <c r="H11" s="4513"/>
      <c r="I11" s="4513"/>
      <c r="J11" s="4513"/>
    </row>
    <row r="12" spans="1:10" ht="25.5" x14ac:dyDescent="0.2">
      <c r="A12" s="1261" t="s">
        <v>999</v>
      </c>
      <c r="B12" s="1259">
        <f>1286.5/1.18</f>
        <v>1090.2542372881358</v>
      </c>
      <c r="C12" s="1259">
        <f>428.8/1.18</f>
        <v>363.38983050847463</v>
      </c>
      <c r="D12" s="1259">
        <f t="shared" ref="D12" si="3">428.8/1.18</f>
        <v>363.38983050847463</v>
      </c>
      <c r="E12" s="1259">
        <f>428.9/1.18</f>
        <v>363.47457627118644</v>
      </c>
      <c r="F12" s="1259">
        <f t="shared" ref="F12:F15" si="4">G12+H12+I12</f>
        <v>0</v>
      </c>
      <c r="G12" s="1259">
        <v>0</v>
      </c>
      <c r="H12" s="1259">
        <v>0</v>
      </c>
      <c r="I12" s="1259">
        <v>0</v>
      </c>
      <c r="J12" s="1261" t="s">
        <v>968</v>
      </c>
    </row>
    <row r="13" spans="1:10" ht="38.25" x14ac:dyDescent="0.2">
      <c r="A13" s="1261" t="s">
        <v>971</v>
      </c>
      <c r="B13" s="1259">
        <f>597.7/1.18</f>
        <v>506.52542372881362</v>
      </c>
      <c r="C13" s="1259">
        <f>199.2/1.18</f>
        <v>168.81355932203391</v>
      </c>
      <c r="D13" s="1259">
        <f t="shared" ref="D13" si="5">199.2/1.18</f>
        <v>168.81355932203391</v>
      </c>
      <c r="E13" s="1259">
        <f>199.3/1.18</f>
        <v>168.89830508474577</v>
      </c>
      <c r="F13" s="1259">
        <f t="shared" si="4"/>
        <v>506.52542372881362</v>
      </c>
      <c r="G13" s="1259">
        <f>C13</f>
        <v>168.81355932203391</v>
      </c>
      <c r="H13" s="1259">
        <f t="shared" ref="H13:I13" si="6">D13</f>
        <v>168.81355932203391</v>
      </c>
      <c r="I13" s="1259">
        <f t="shared" si="6"/>
        <v>168.89830508474577</v>
      </c>
      <c r="J13" s="1258" t="s">
        <v>292</v>
      </c>
    </row>
    <row r="14" spans="1:10" ht="38.25" x14ac:dyDescent="0.2">
      <c r="A14" s="1261" t="s">
        <v>972</v>
      </c>
      <c r="B14" s="1259">
        <f>2278/1.18</f>
        <v>1930.5084745762713</v>
      </c>
      <c r="C14" s="1259">
        <f>759.3/1.18</f>
        <v>643.47457627118649</v>
      </c>
      <c r="D14" s="1259">
        <f t="shared" ref="D14" si="7">759.3/1.18</f>
        <v>643.47457627118649</v>
      </c>
      <c r="E14" s="1259">
        <f>759.4/1.18</f>
        <v>643.5593220338983</v>
      </c>
      <c r="F14" s="1259">
        <f t="shared" si="4"/>
        <v>0</v>
      </c>
      <c r="G14" s="1259">
        <v>0</v>
      </c>
      <c r="H14" s="1259">
        <v>0</v>
      </c>
      <c r="I14" s="1259">
        <v>0</v>
      </c>
      <c r="J14" s="1261" t="s">
        <v>975</v>
      </c>
    </row>
    <row r="15" spans="1:10" ht="38.25" x14ac:dyDescent="0.2">
      <c r="A15" s="1261" t="s">
        <v>973</v>
      </c>
      <c r="B15" s="1259">
        <f>9697/1.18</f>
        <v>8217.7966101694929</v>
      </c>
      <c r="C15" s="1259">
        <f>3232.3/1.18</f>
        <v>2739.2372881355936</v>
      </c>
      <c r="D15" s="1259">
        <f t="shared" ref="D15:E15" si="8">3232.3/1.18</f>
        <v>2739.2372881355936</v>
      </c>
      <c r="E15" s="1259">
        <f t="shared" si="8"/>
        <v>2739.2372881355936</v>
      </c>
      <c r="F15" s="1259">
        <f t="shared" si="4"/>
        <v>0</v>
      </c>
      <c r="G15" s="1259">
        <v>0</v>
      </c>
      <c r="H15" s="1259">
        <v>0</v>
      </c>
      <c r="I15" s="1259">
        <v>0</v>
      </c>
      <c r="J15" s="1261" t="s">
        <v>975</v>
      </c>
    </row>
    <row r="16" spans="1:10" x14ac:dyDescent="0.2">
      <c r="A16" s="1261" t="s">
        <v>974</v>
      </c>
      <c r="B16" s="1259">
        <f>SUM(B12:B15)</f>
        <v>11745.084745762713</v>
      </c>
      <c r="C16" s="1259">
        <f t="shared" ref="C16:I16" si="9">SUM(C12:C15)</f>
        <v>3914.9152542372885</v>
      </c>
      <c r="D16" s="1259">
        <f t="shared" si="9"/>
        <v>3914.9152542372885</v>
      </c>
      <c r="E16" s="1259">
        <f t="shared" si="9"/>
        <v>3915.1694915254243</v>
      </c>
      <c r="F16" s="1259">
        <f t="shared" si="9"/>
        <v>506.52542372881362</v>
      </c>
      <c r="G16" s="1259">
        <f t="shared" si="9"/>
        <v>168.81355932203391</v>
      </c>
      <c r="H16" s="1259">
        <f t="shared" si="9"/>
        <v>168.81355932203391</v>
      </c>
      <c r="I16" s="1259">
        <f t="shared" si="9"/>
        <v>168.89830508474577</v>
      </c>
      <c r="J16" s="1258"/>
    </row>
    <row r="17" spans="1:10" x14ac:dyDescent="0.2">
      <c r="A17" s="1261"/>
      <c r="B17" s="1258"/>
      <c r="C17" s="1258"/>
      <c r="D17" s="1258"/>
      <c r="E17" s="1258"/>
      <c r="F17" s="1258"/>
      <c r="G17" s="1258"/>
      <c r="H17" s="1258"/>
      <c r="I17" s="1258"/>
      <c r="J17" s="1258"/>
    </row>
    <row r="18" spans="1:10" x14ac:dyDescent="0.2">
      <c r="A18" s="1261"/>
      <c r="B18" s="1258"/>
      <c r="C18" s="1258"/>
      <c r="D18" s="1258"/>
      <c r="E18" s="1258"/>
      <c r="F18" s="1258"/>
      <c r="G18" s="1258"/>
      <c r="H18" s="1258"/>
      <c r="I18" s="1258"/>
      <c r="J18" s="1258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423" customWidth="1"/>
    <col min="2" max="7" width="0" style="1423" hidden="1" customWidth="1"/>
    <col min="8" max="8" width="10.28515625" style="1423" customWidth="1"/>
    <col min="9" max="9" width="9.42578125" style="1423" customWidth="1"/>
    <col min="10" max="10" width="9.140625" style="1423"/>
    <col min="11" max="11" width="11.140625" style="1423" customWidth="1"/>
    <col min="12" max="12" width="11.42578125" style="1423" customWidth="1"/>
    <col min="13" max="13" width="10.42578125" style="1423" customWidth="1"/>
    <col min="14" max="14" width="10.85546875" style="1423" customWidth="1"/>
    <col min="15" max="15" width="10" style="1423" customWidth="1"/>
    <col min="16" max="16" width="9.140625" style="1423"/>
    <col min="17" max="17" width="11.140625" style="1423" customWidth="1"/>
    <col min="18" max="18" width="10.42578125" style="1423" customWidth="1"/>
    <col min="19" max="19" width="9.140625" style="1423"/>
    <col min="20" max="20" width="11" style="1423" customWidth="1"/>
    <col min="21" max="21" width="11.85546875" style="1423" customWidth="1"/>
    <col min="22" max="22" width="14.85546875" style="1423" customWidth="1"/>
    <col min="23" max="23" width="14.28515625" style="1423" customWidth="1"/>
    <col min="24" max="16384" width="9.140625" style="1423"/>
  </cols>
  <sheetData>
    <row r="1" spans="1:23" x14ac:dyDescent="0.25">
      <c r="U1" s="1471" t="s">
        <v>1519</v>
      </c>
    </row>
    <row r="3" spans="1:23" ht="28.5" x14ac:dyDescent="0.45">
      <c r="A3" s="4518" t="s">
        <v>1487</v>
      </c>
      <c r="B3" s="4518"/>
      <c r="C3" s="4518"/>
      <c r="D3" s="4518"/>
      <c r="E3" s="4518"/>
      <c r="F3" s="4518"/>
      <c r="G3" s="4518"/>
      <c r="H3" s="4518"/>
      <c r="I3" s="4518"/>
      <c r="J3" s="4518"/>
      <c r="K3" s="4518"/>
      <c r="L3" s="4518"/>
      <c r="M3" s="4518"/>
      <c r="N3" s="4518"/>
      <c r="O3" s="4518"/>
      <c r="P3" s="4518"/>
      <c r="Q3" s="4518"/>
      <c r="R3" s="4518"/>
      <c r="S3" s="4518"/>
      <c r="T3" s="4518"/>
      <c r="U3" s="4518"/>
      <c r="V3" s="4518"/>
    </row>
    <row r="5" spans="1:23" x14ac:dyDescent="0.25">
      <c r="A5" s="1422"/>
      <c r="B5" s="4528" t="s">
        <v>67</v>
      </c>
      <c r="C5" s="4528"/>
      <c r="D5" s="4528"/>
      <c r="E5" s="4528" t="s">
        <v>95</v>
      </c>
      <c r="F5" s="4528"/>
      <c r="G5" s="4528"/>
      <c r="H5" s="4528" t="s">
        <v>120</v>
      </c>
      <c r="I5" s="4528"/>
      <c r="J5" s="4528"/>
      <c r="K5" s="4528" t="s">
        <v>159</v>
      </c>
      <c r="L5" s="4528"/>
      <c r="M5" s="4528"/>
      <c r="N5" s="4528" t="s">
        <v>235</v>
      </c>
      <c r="O5" s="4528"/>
      <c r="P5" s="4528"/>
      <c r="Q5" s="4528" t="s">
        <v>373</v>
      </c>
      <c r="R5" s="4528"/>
      <c r="S5" s="4528"/>
      <c r="T5" s="4528" t="s">
        <v>829</v>
      </c>
      <c r="U5" s="4528"/>
      <c r="V5" s="4529"/>
      <c r="W5" s="4519" t="s">
        <v>1489</v>
      </c>
    </row>
    <row r="6" spans="1:23" x14ac:dyDescent="0.25">
      <c r="A6" s="1422"/>
      <c r="B6" s="1424" t="s">
        <v>294</v>
      </c>
      <c r="C6" s="1424" t="s">
        <v>324</v>
      </c>
      <c r="D6" s="1424" t="s">
        <v>295</v>
      </c>
      <c r="E6" s="1424" t="s">
        <v>294</v>
      </c>
      <c r="F6" s="1424" t="s">
        <v>324</v>
      </c>
      <c r="G6" s="1424" t="s">
        <v>295</v>
      </c>
      <c r="H6" s="1424" t="s">
        <v>294</v>
      </c>
      <c r="I6" s="1424" t="s">
        <v>324</v>
      </c>
      <c r="J6" s="1424" t="s">
        <v>295</v>
      </c>
      <c r="K6" s="1424" t="s">
        <v>294</v>
      </c>
      <c r="L6" s="1424" t="s">
        <v>324</v>
      </c>
      <c r="M6" s="1424" t="s">
        <v>295</v>
      </c>
      <c r="N6" s="1424" t="s">
        <v>294</v>
      </c>
      <c r="O6" s="1424" t="s">
        <v>324</v>
      </c>
      <c r="P6" s="1424" t="s">
        <v>295</v>
      </c>
      <c r="Q6" s="1424" t="s">
        <v>294</v>
      </c>
      <c r="R6" s="1424" t="s">
        <v>324</v>
      </c>
      <c r="S6" s="1424" t="s">
        <v>295</v>
      </c>
      <c r="T6" s="1424" t="s">
        <v>294</v>
      </c>
      <c r="U6" s="1424" t="s">
        <v>324</v>
      </c>
      <c r="V6" s="1428" t="s">
        <v>295</v>
      </c>
      <c r="W6" s="4519"/>
    </row>
    <row r="7" spans="1:23" x14ac:dyDescent="0.25">
      <c r="A7" s="4519" t="s">
        <v>1476</v>
      </c>
      <c r="B7" s="4519"/>
      <c r="C7" s="4519"/>
      <c r="D7" s="4519"/>
      <c r="E7" s="4519"/>
      <c r="F7" s="4519"/>
      <c r="G7" s="4519"/>
      <c r="H7" s="4519"/>
      <c r="I7" s="4519"/>
      <c r="J7" s="4519"/>
      <c r="K7" s="4519"/>
      <c r="L7" s="4519"/>
      <c r="M7" s="4519"/>
      <c r="N7" s="4519"/>
      <c r="O7" s="4519"/>
      <c r="P7" s="4519"/>
      <c r="Q7" s="4519"/>
      <c r="R7" s="4519"/>
      <c r="S7" s="4519"/>
      <c r="T7" s="4519"/>
      <c r="U7" s="4519"/>
      <c r="V7" s="4530"/>
      <c r="W7" s="1426"/>
    </row>
    <row r="8" spans="1:23" ht="37.5" customHeight="1" x14ac:dyDescent="0.25">
      <c r="A8" s="1422" t="s">
        <v>1485</v>
      </c>
      <c r="B8" s="1425"/>
      <c r="C8" s="1425"/>
      <c r="D8" s="1425"/>
      <c r="E8" s="1425"/>
      <c r="F8" s="1425"/>
      <c r="G8" s="1425"/>
      <c r="H8" s="1425">
        <v>4099</v>
      </c>
      <c r="I8" s="1425">
        <v>3507.9</v>
      </c>
      <c r="J8" s="1425">
        <v>299.7</v>
      </c>
      <c r="K8" s="1425">
        <v>7199</v>
      </c>
      <c r="L8" s="1425">
        <v>3538.9</v>
      </c>
      <c r="M8" s="1425">
        <v>216.9</v>
      </c>
      <c r="N8" s="1425">
        <f>7295.1</f>
        <v>7295.1</v>
      </c>
      <c r="O8" s="1425">
        <f>4787.73</f>
        <v>4787.7299999999996</v>
      </c>
      <c r="P8" s="1425">
        <f>'ОХР '!W24+'ОХР '!X24</f>
        <v>189.15722480612965</v>
      </c>
      <c r="Q8" s="1425">
        <f>7550.3+1287.3</f>
        <v>8837.6</v>
      </c>
      <c r="R8" s="1425">
        <f>4822.1+1355.2</f>
        <v>6177.3</v>
      </c>
      <c r="S8" s="1425">
        <v>192.15</v>
      </c>
      <c r="T8" s="1425">
        <f>7550.3+1785.8</f>
        <v>9336.1</v>
      </c>
      <c r="U8" s="1425">
        <v>4822.1000000000004</v>
      </c>
      <c r="V8" s="1429">
        <v>192.66</v>
      </c>
      <c r="W8" s="1425">
        <f>SUM(H8:V8)</f>
        <v>60691.297224806134</v>
      </c>
    </row>
    <row r="9" spans="1:23" s="1436" customFormat="1" ht="30" x14ac:dyDescent="0.25">
      <c r="A9" s="1432" t="s">
        <v>1490</v>
      </c>
      <c r="B9" s="1433">
        <f>2944</f>
        <v>2944</v>
      </c>
      <c r="C9" s="1433">
        <v>2430.6999999999998</v>
      </c>
      <c r="D9" s="1433"/>
      <c r="E9" s="1433">
        <v>5065.2</v>
      </c>
      <c r="F9" s="1433">
        <v>4702.8</v>
      </c>
      <c r="G9" s="1433"/>
      <c r="H9" s="1433">
        <v>7172.1</v>
      </c>
      <c r="I9" s="1433">
        <v>4863.1000000000004</v>
      </c>
      <c r="J9" s="1433">
        <v>206.6</v>
      </c>
      <c r="K9" s="1433">
        <v>7355</v>
      </c>
      <c r="L9" s="1433">
        <v>4787.7299999999996</v>
      </c>
      <c r="M9" s="1433">
        <v>192.4</v>
      </c>
      <c r="N9" s="1433">
        <v>7609.8</v>
      </c>
      <c r="O9" s="1433">
        <v>4702.5</v>
      </c>
      <c r="P9" s="1433">
        <f>'ОХР '!AA24</f>
        <v>182.16</v>
      </c>
      <c r="Q9" s="1433">
        <v>6102.07</v>
      </c>
      <c r="R9" s="1433">
        <v>3628.35</v>
      </c>
      <c r="S9" s="1433">
        <v>112.52</v>
      </c>
      <c r="T9" s="1433"/>
      <c r="U9" s="1433"/>
      <c r="V9" s="1434"/>
      <c r="W9" s="1435"/>
    </row>
    <row r="10" spans="1:23" ht="30" x14ac:dyDescent="0.25">
      <c r="A10" s="1422" t="s">
        <v>1477</v>
      </c>
      <c r="B10" s="1425"/>
      <c r="C10" s="1425"/>
      <c r="D10" s="1425"/>
      <c r="E10" s="1425"/>
      <c r="F10" s="1425"/>
      <c r="G10" s="1425"/>
      <c r="H10" s="1425">
        <f>477.1+864.8+583.2+1667.9</f>
        <v>3593</v>
      </c>
      <c r="I10" s="1425">
        <f>430+841.5+196.9+735.9</f>
        <v>2204.3000000000002</v>
      </c>
      <c r="J10" s="1425"/>
      <c r="K10" s="1425">
        <f>124.5+300</f>
        <v>424.5</v>
      </c>
      <c r="L10" s="1425">
        <f>451+882.7+206.7+771.96</f>
        <v>2312.36</v>
      </c>
      <c r="M10" s="1425"/>
      <c r="N10" s="1425">
        <f>780</f>
        <v>780</v>
      </c>
      <c r="O10" s="1425">
        <f>стоки!Z12+стоки!Y22+стоки!Y28+стоки!Y37</f>
        <v>699.72213333333343</v>
      </c>
      <c r="P10" s="1425"/>
      <c r="Q10" s="1425">
        <v>215.85</v>
      </c>
      <c r="R10" s="1425">
        <f>стоки!AI12+стоки!AI22+стоки!AI28+стоки!AI37</f>
        <v>361.53</v>
      </c>
      <c r="S10" s="1425"/>
      <c r="T10" s="1425">
        <f>вода!BD12+вода!BD22+вода!BD28+вода!BD38</f>
        <v>500.53977966101695</v>
      </c>
      <c r="U10" s="1425">
        <f>стоки!AZ12+стоки!AZ22+стоки!AZ28+стоки!AZ37</f>
        <v>301.27555932203393</v>
      </c>
      <c r="V10" s="1429"/>
      <c r="W10" s="1425">
        <f>SUM(H10:V10)</f>
        <v>11393.077472316385</v>
      </c>
    </row>
    <row r="11" spans="1:23" x14ac:dyDescent="0.25">
      <c r="A11" s="1422" t="s">
        <v>1483</v>
      </c>
      <c r="B11" s="1425"/>
      <c r="C11" s="1425"/>
      <c r="D11" s="1425"/>
      <c r="E11" s="1425"/>
      <c r="F11" s="1425"/>
      <c r="G11" s="1425"/>
      <c r="H11" s="1425"/>
      <c r="I11" s="1425"/>
      <c r="J11" s="1425"/>
      <c r="K11" s="1425"/>
      <c r="L11" s="1425"/>
      <c r="M11" s="1425"/>
      <c r="N11" s="1425">
        <f>вода!AA69</f>
        <v>4665</v>
      </c>
      <c r="O11" s="1425">
        <f>стоки!Y60</f>
        <v>4947</v>
      </c>
      <c r="P11" s="1425"/>
      <c r="Q11" s="1425">
        <f>вода!AN69</f>
        <v>4444</v>
      </c>
      <c r="R11" s="1425">
        <f>стоки!AI60</f>
        <v>3568.1</v>
      </c>
      <c r="S11" s="1425"/>
      <c r="T11" s="1425">
        <f>вода!BD69</f>
        <v>3976</v>
      </c>
      <c r="U11" s="1425">
        <f>стоки!AZ60</f>
        <v>0.9</v>
      </c>
      <c r="V11" s="1429"/>
      <c r="W11" s="1425">
        <f t="shared" ref="W11:W12" si="0">SUM(H11:V11)</f>
        <v>21601</v>
      </c>
    </row>
    <row r="12" spans="1:23" x14ac:dyDescent="0.25">
      <c r="A12" s="1422" t="s">
        <v>1480</v>
      </c>
      <c r="B12" s="1425">
        <f t="shared" ref="B12:G12" si="1">B8+B10</f>
        <v>0</v>
      </c>
      <c r="C12" s="1425">
        <f t="shared" si="1"/>
        <v>0</v>
      </c>
      <c r="D12" s="1425">
        <f t="shared" si="1"/>
        <v>0</v>
      </c>
      <c r="E12" s="1425">
        <f t="shared" si="1"/>
        <v>0</v>
      </c>
      <c r="F12" s="1425">
        <f t="shared" si="1"/>
        <v>0</v>
      </c>
      <c r="G12" s="1425">
        <f t="shared" si="1"/>
        <v>0</v>
      </c>
      <c r="H12" s="1425">
        <f t="shared" ref="H12:V12" si="2">H8+H10+H11</f>
        <v>7692</v>
      </c>
      <c r="I12" s="1425">
        <f t="shared" si="2"/>
        <v>5712.2000000000007</v>
      </c>
      <c r="J12" s="1425">
        <f t="shared" si="2"/>
        <v>299.7</v>
      </c>
      <c r="K12" s="1425">
        <f t="shared" si="2"/>
        <v>7623.5</v>
      </c>
      <c r="L12" s="1425">
        <f t="shared" si="2"/>
        <v>5851.26</v>
      </c>
      <c r="M12" s="1425">
        <f t="shared" si="2"/>
        <v>216.9</v>
      </c>
      <c r="N12" s="1425">
        <f t="shared" si="2"/>
        <v>12740.1</v>
      </c>
      <c r="O12" s="1425">
        <f t="shared" si="2"/>
        <v>10434.452133333332</v>
      </c>
      <c r="P12" s="1425">
        <f t="shared" si="2"/>
        <v>189.15722480612965</v>
      </c>
      <c r="Q12" s="1425">
        <f t="shared" si="2"/>
        <v>13497.45</v>
      </c>
      <c r="R12" s="1425">
        <f t="shared" si="2"/>
        <v>10106.93</v>
      </c>
      <c r="S12" s="1425">
        <f t="shared" si="2"/>
        <v>192.15</v>
      </c>
      <c r="T12" s="1425">
        <f t="shared" si="2"/>
        <v>13812.639779661018</v>
      </c>
      <c r="U12" s="1425">
        <f t="shared" si="2"/>
        <v>5124.2755593220336</v>
      </c>
      <c r="V12" s="1429">
        <f t="shared" si="2"/>
        <v>192.66</v>
      </c>
      <c r="W12" s="1425">
        <f t="shared" si="0"/>
        <v>93685.374697122519</v>
      </c>
    </row>
    <row r="13" spans="1:23" x14ac:dyDescent="0.25">
      <c r="A13" s="4520"/>
      <c r="B13" s="4521"/>
      <c r="C13" s="4521"/>
      <c r="D13" s="4521"/>
      <c r="E13" s="4521"/>
      <c r="F13" s="4521"/>
      <c r="G13" s="4521"/>
      <c r="H13" s="4521"/>
      <c r="I13" s="4521"/>
      <c r="J13" s="4521"/>
      <c r="K13" s="4521"/>
      <c r="L13" s="4521"/>
      <c r="M13" s="4521"/>
      <c r="N13" s="4521"/>
      <c r="O13" s="4521"/>
      <c r="P13" s="4521"/>
      <c r="Q13" s="4521"/>
      <c r="R13" s="4521"/>
      <c r="S13" s="4521"/>
      <c r="T13" s="4521"/>
      <c r="U13" s="4521"/>
      <c r="V13" s="4521"/>
      <c r="W13" s="4522"/>
    </row>
    <row r="14" spans="1:23" ht="30" x14ac:dyDescent="0.25">
      <c r="A14" s="1422" t="s">
        <v>1478</v>
      </c>
      <c r="B14" s="1425"/>
      <c r="C14" s="1425"/>
      <c r="D14" s="1425"/>
      <c r="E14" s="1425"/>
      <c r="F14" s="1425"/>
      <c r="G14" s="1425"/>
      <c r="H14" s="4525">
        <f>3801.4</f>
        <v>3801.4</v>
      </c>
      <c r="I14" s="4526"/>
      <c r="J14" s="4527"/>
      <c r="K14" s="4525">
        <v>3970.2</v>
      </c>
      <c r="L14" s="4526"/>
      <c r="M14" s="4527"/>
      <c r="N14" s="4525">
        <v>3057.9</v>
      </c>
      <c r="O14" s="4526"/>
      <c r="P14" s="4527"/>
      <c r="Q14" s="1425"/>
      <c r="R14" s="1425"/>
      <c r="S14" s="1425"/>
      <c r="T14" s="1425"/>
      <c r="U14" s="1425"/>
      <c r="V14" s="1429"/>
      <c r="W14" s="1425">
        <f>SUM(H14:V14)</f>
        <v>10829.5</v>
      </c>
    </row>
    <row r="15" spans="1:23" x14ac:dyDescent="0.25">
      <c r="A15" s="1422" t="s">
        <v>1479</v>
      </c>
      <c r="B15" s="1425">
        <f>196.7+1504.8+562.4+1300.3</f>
        <v>3564.2</v>
      </c>
      <c r="C15" s="1425"/>
      <c r="D15" s="1425"/>
      <c r="E15" s="1425">
        <f>430.7+822.8+623.8+3074.9</f>
        <v>4952.2</v>
      </c>
      <c r="F15" s="1425"/>
      <c r="G15" s="1425"/>
      <c r="H15" s="1425">
        <f>94.7+1076.6+710+2187.1</f>
        <v>4068.3999999999996</v>
      </c>
      <c r="I15" s="1425">
        <f>427+279.7+300.6+250.9</f>
        <v>1258.2</v>
      </c>
      <c r="J15" s="1425"/>
      <c r="K15" s="1425">
        <f>20+1500+300+1238.7</f>
        <v>3058.7</v>
      </c>
      <c r="L15" s="1425"/>
      <c r="M15" s="1425"/>
      <c r="N15" s="1425">
        <v>2797.4</v>
      </c>
      <c r="O15" s="1425">
        <f>стоки!AB12+стоки!AB22+стоки!AB28+стоки!AB37</f>
        <v>658.1</v>
      </c>
      <c r="P15" s="1425"/>
      <c r="Q15" s="1425">
        <v>2859.9</v>
      </c>
      <c r="R15" s="1425">
        <f>стоки!AS12+стоки!AS22+стоки!AS28+стоки!AS37</f>
        <v>0</v>
      </c>
      <c r="S15" s="1425"/>
      <c r="T15" s="1425"/>
      <c r="U15" s="1425"/>
      <c r="V15" s="1429"/>
      <c r="W15" s="1425">
        <f>SUM(H15:V15)</f>
        <v>14700.699999999999</v>
      </c>
    </row>
    <row r="16" spans="1:23" x14ac:dyDescent="0.25">
      <c r="A16" s="1422" t="s">
        <v>1484</v>
      </c>
      <c r="B16" s="1425"/>
      <c r="C16" s="1425"/>
      <c r="D16" s="1425"/>
      <c r="E16" s="1425"/>
      <c r="F16" s="1425"/>
      <c r="G16" s="1425"/>
      <c r="H16" s="1425"/>
      <c r="I16" s="1425"/>
      <c r="J16" s="1425"/>
      <c r="K16" s="1425"/>
      <c r="L16" s="1425"/>
      <c r="M16" s="1425"/>
      <c r="N16" s="1425">
        <v>824.7</v>
      </c>
      <c r="O16" s="1425">
        <v>1044.8800000000001</v>
      </c>
      <c r="P16" s="1425"/>
      <c r="Q16" s="1425"/>
      <c r="R16" s="1425"/>
      <c r="S16" s="1425"/>
      <c r="T16" s="1425"/>
      <c r="U16" s="1425"/>
      <c r="V16" s="1429"/>
      <c r="W16" s="1425">
        <f>SUM(H16:V16)</f>
        <v>1869.5800000000002</v>
      </c>
    </row>
    <row r="17" spans="1:23" x14ac:dyDescent="0.25">
      <c r="A17" s="4523"/>
      <c r="B17" s="4523"/>
      <c r="C17" s="4523"/>
      <c r="D17" s="4523"/>
      <c r="E17" s="4523"/>
      <c r="F17" s="4523"/>
      <c r="G17" s="4523"/>
      <c r="H17" s="4523"/>
      <c r="I17" s="4523"/>
      <c r="J17" s="4523"/>
      <c r="K17" s="4523"/>
      <c r="L17" s="4523"/>
      <c r="M17" s="4523"/>
      <c r="N17" s="4523"/>
      <c r="O17" s="4523"/>
      <c r="P17" s="4523"/>
      <c r="Q17" s="4523"/>
      <c r="R17" s="4523"/>
      <c r="S17" s="4523"/>
      <c r="T17" s="4523"/>
      <c r="U17" s="4523"/>
      <c r="V17" s="4523"/>
      <c r="W17" s="4524"/>
    </row>
    <row r="18" spans="1:23" x14ac:dyDescent="0.25">
      <c r="A18" s="1422"/>
      <c r="B18" s="1425"/>
      <c r="C18" s="1425"/>
      <c r="D18" s="1425"/>
      <c r="E18" s="1425"/>
      <c r="F18" s="1425"/>
      <c r="G18" s="1425"/>
      <c r="H18" s="1425"/>
      <c r="I18" s="1425"/>
      <c r="J18" s="1425"/>
      <c r="K18" s="1425"/>
      <c r="L18" s="1425"/>
      <c r="M18" s="1425"/>
      <c r="N18" s="1425"/>
      <c r="O18" s="1425"/>
      <c r="P18" s="1425"/>
      <c r="Q18" s="1425"/>
      <c r="R18" s="1425"/>
      <c r="S18" s="1425"/>
      <c r="T18" s="1425"/>
      <c r="U18" s="1425"/>
      <c r="V18" s="1429"/>
      <c r="W18" s="1426"/>
    </row>
    <row r="19" spans="1:23" ht="30" x14ac:dyDescent="0.25">
      <c r="A19" s="1422" t="s">
        <v>1481</v>
      </c>
      <c r="B19" s="1425">
        <f t="shared" ref="B19:G19" si="3">B14+B15</f>
        <v>3564.2</v>
      </c>
      <c r="C19" s="1425">
        <f t="shared" si="3"/>
        <v>0</v>
      </c>
      <c r="D19" s="1425">
        <f t="shared" si="3"/>
        <v>0</v>
      </c>
      <c r="E19" s="1425">
        <f t="shared" si="3"/>
        <v>4952.2</v>
      </c>
      <c r="F19" s="1425">
        <f t="shared" si="3"/>
        <v>0</v>
      </c>
      <c r="G19" s="1425">
        <f t="shared" si="3"/>
        <v>0</v>
      </c>
      <c r="H19" s="1425">
        <f>H14+H15+H16</f>
        <v>7869.7999999999993</v>
      </c>
      <c r="I19" s="1425">
        <f t="shared" ref="I19:V19" si="4">I14+I15+I16</f>
        <v>1258.2</v>
      </c>
      <c r="J19" s="1425">
        <f t="shared" si="4"/>
        <v>0</v>
      </c>
      <c r="K19" s="1425">
        <f t="shared" si="4"/>
        <v>7028.9</v>
      </c>
      <c r="L19" s="1425">
        <f t="shared" si="4"/>
        <v>0</v>
      </c>
      <c r="M19" s="1425">
        <f t="shared" si="4"/>
        <v>0</v>
      </c>
      <c r="N19" s="1425">
        <f t="shared" si="4"/>
        <v>6680</v>
      </c>
      <c r="O19" s="1425">
        <f t="shared" si="4"/>
        <v>1702.98</v>
      </c>
      <c r="P19" s="1425">
        <f t="shared" si="4"/>
        <v>0</v>
      </c>
      <c r="Q19" s="1425">
        <f t="shared" si="4"/>
        <v>2859.9</v>
      </c>
      <c r="R19" s="1425">
        <f t="shared" si="4"/>
        <v>0</v>
      </c>
      <c r="S19" s="1425">
        <f t="shared" si="4"/>
        <v>0</v>
      </c>
      <c r="T19" s="1425">
        <f t="shared" si="4"/>
        <v>0</v>
      </c>
      <c r="U19" s="1425">
        <f t="shared" si="4"/>
        <v>0</v>
      </c>
      <c r="V19" s="1429">
        <f t="shared" si="4"/>
        <v>0</v>
      </c>
      <c r="W19" s="1425">
        <f>SUM(H19:V19)</f>
        <v>27399.780000000002</v>
      </c>
    </row>
    <row r="20" spans="1:23" x14ac:dyDescent="0.25">
      <c r="A20" s="1422" t="s">
        <v>1482</v>
      </c>
      <c r="B20" s="1426"/>
      <c r="C20" s="1426"/>
      <c r="D20" s="1426"/>
      <c r="E20" s="1426"/>
      <c r="F20" s="1426"/>
      <c r="G20" s="1426"/>
      <c r="H20" s="1425">
        <f t="shared" ref="H20:V20" si="5">H12-H19</f>
        <v>-177.79999999999927</v>
      </c>
      <c r="I20" s="1425">
        <f t="shared" si="5"/>
        <v>4454.0000000000009</v>
      </c>
      <c r="J20" s="1425">
        <f t="shared" si="5"/>
        <v>299.7</v>
      </c>
      <c r="K20" s="1425">
        <f t="shared" si="5"/>
        <v>594.60000000000036</v>
      </c>
      <c r="L20" s="1425">
        <f t="shared" si="5"/>
        <v>5851.26</v>
      </c>
      <c r="M20" s="1425">
        <f t="shared" si="5"/>
        <v>216.9</v>
      </c>
      <c r="N20" s="1425">
        <f t="shared" si="5"/>
        <v>6060.1</v>
      </c>
      <c r="O20" s="1425">
        <f t="shared" si="5"/>
        <v>8731.4721333333327</v>
      </c>
      <c r="P20" s="1425">
        <f t="shared" si="5"/>
        <v>189.15722480612965</v>
      </c>
      <c r="Q20" s="1425">
        <f t="shared" si="5"/>
        <v>10637.550000000001</v>
      </c>
      <c r="R20" s="1425">
        <f t="shared" si="5"/>
        <v>10106.93</v>
      </c>
      <c r="S20" s="1425">
        <f t="shared" si="5"/>
        <v>192.15</v>
      </c>
      <c r="T20" s="1425">
        <f t="shared" si="5"/>
        <v>13812.639779661018</v>
      </c>
      <c r="U20" s="1425">
        <f t="shared" si="5"/>
        <v>5124.2755593220336</v>
      </c>
      <c r="V20" s="1429">
        <f t="shared" si="5"/>
        <v>192.66</v>
      </c>
      <c r="W20" s="1427">
        <f>SUM(H20:V20)</f>
        <v>66285.59469712252</v>
      </c>
    </row>
    <row r="21" spans="1:23" ht="30" customHeight="1" x14ac:dyDescent="0.35">
      <c r="A21" s="4531" t="s">
        <v>1488</v>
      </c>
      <c r="B21" s="4532"/>
      <c r="C21" s="4532"/>
      <c r="D21" s="4532"/>
      <c r="E21" s="4532"/>
      <c r="F21" s="4532"/>
      <c r="G21" s="4532"/>
      <c r="H21" s="4532"/>
      <c r="I21" s="4532"/>
      <c r="J21" s="4532"/>
      <c r="K21" s="4532"/>
      <c r="L21" s="4532"/>
      <c r="M21" s="4532"/>
      <c r="N21" s="4532"/>
      <c r="O21" s="4532"/>
      <c r="P21" s="4532"/>
      <c r="Q21" s="4532"/>
      <c r="R21" s="4532"/>
      <c r="S21" s="4532"/>
      <c r="T21" s="4532"/>
      <c r="U21" s="4533"/>
      <c r="V21" s="1430">
        <f>SUM(H20:V20)</f>
        <v>66285.59469712252</v>
      </c>
      <c r="W21" s="1426"/>
    </row>
    <row r="22" spans="1:23" x14ac:dyDescent="0.25">
      <c r="A22" s="4521"/>
      <c r="B22" s="4521"/>
      <c r="C22" s="4521"/>
      <c r="D22" s="4521"/>
      <c r="E22" s="4521"/>
      <c r="F22" s="4521"/>
      <c r="G22" s="4521"/>
      <c r="H22" s="4521"/>
      <c r="I22" s="4521"/>
      <c r="J22" s="4521"/>
      <c r="K22" s="4521"/>
      <c r="L22" s="4521"/>
      <c r="M22" s="4521"/>
      <c r="N22" s="4521"/>
      <c r="O22" s="4521"/>
      <c r="P22" s="4521"/>
      <c r="Q22" s="4521"/>
      <c r="R22" s="4521"/>
      <c r="S22" s="4521"/>
      <c r="T22" s="4521"/>
      <c r="U22" s="4521"/>
      <c r="V22" s="4521"/>
      <c r="W22" s="4522"/>
    </row>
    <row r="23" spans="1:23" x14ac:dyDescent="0.25">
      <c r="A23" s="4519" t="s">
        <v>1486</v>
      </c>
      <c r="B23" s="4519"/>
      <c r="C23" s="4519"/>
      <c r="D23" s="4519"/>
      <c r="E23" s="4519"/>
      <c r="F23" s="4519"/>
      <c r="G23" s="4519"/>
      <c r="H23" s="4519"/>
      <c r="I23" s="4519"/>
      <c r="J23" s="4519"/>
      <c r="K23" s="4519"/>
      <c r="L23" s="4519"/>
      <c r="M23" s="4519"/>
      <c r="N23" s="4519"/>
      <c r="O23" s="4519"/>
      <c r="P23" s="4519"/>
      <c r="Q23" s="4519"/>
      <c r="R23" s="4519"/>
      <c r="S23" s="4519"/>
      <c r="T23" s="4519"/>
      <c r="U23" s="4519"/>
      <c r="V23" s="4530"/>
      <c r="W23" s="1426"/>
    </row>
    <row r="24" spans="1:23" ht="30" x14ac:dyDescent="0.25">
      <c r="A24" s="1422" t="s">
        <v>1491</v>
      </c>
      <c r="B24" s="1426"/>
      <c r="C24" s="1426"/>
      <c r="D24" s="1426"/>
      <c r="E24" s="1426"/>
      <c r="F24" s="1426"/>
      <c r="G24" s="1426"/>
      <c r="H24" s="1426"/>
      <c r="I24" s="1426"/>
      <c r="J24" s="1426"/>
      <c r="K24" s="1426"/>
      <c r="L24" s="1426"/>
      <c r="M24" s="1426"/>
      <c r="N24" s="1426"/>
      <c r="O24" s="1426"/>
      <c r="P24" s="1426"/>
      <c r="Q24" s="1426"/>
      <c r="R24" s="1426"/>
      <c r="S24" s="1426"/>
      <c r="T24" s="1425">
        <f>10+15+4100.22+5000+5000</f>
        <v>14125.220000000001</v>
      </c>
      <c r="U24" s="1425">
        <f>1497.7+1500+1500</f>
        <v>4497.7</v>
      </c>
      <c r="V24" s="1431"/>
      <c r="W24" s="1425">
        <f>SUM(H24:V24)</f>
        <v>18622.920000000002</v>
      </c>
    </row>
    <row r="25" spans="1:23" ht="30" x14ac:dyDescent="0.25">
      <c r="A25" s="1422" t="s">
        <v>1492</v>
      </c>
      <c r="B25" s="1426"/>
      <c r="C25" s="1426"/>
      <c r="D25" s="1426"/>
      <c r="E25" s="1426"/>
      <c r="F25" s="1426"/>
      <c r="G25" s="1426"/>
      <c r="H25" s="1426"/>
      <c r="I25" s="1426"/>
      <c r="J25" s="1426"/>
      <c r="K25" s="1426"/>
      <c r="L25" s="1426"/>
      <c r="M25" s="1426"/>
      <c r="N25" s="1426"/>
      <c r="O25" s="1426"/>
      <c r="P25" s="1426"/>
      <c r="Q25" s="1426"/>
      <c r="R25" s="1426"/>
      <c r="S25" s="1426"/>
      <c r="T25" s="1426">
        <v>4735.2</v>
      </c>
      <c r="U25" s="1426">
        <v>4491.5</v>
      </c>
      <c r="V25" s="1431"/>
      <c r="W25" s="1425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9"/>
  <sheetViews>
    <sheetView workbookViewId="0">
      <selection activeCell="K8" sqref="K8"/>
    </sheetView>
  </sheetViews>
  <sheetFormatPr defaultRowHeight="12.75" x14ac:dyDescent="0.2"/>
  <cols>
    <col min="1" max="1" width="30.28515625" style="2490" customWidth="1"/>
    <col min="2" max="2" width="12.7109375" style="2039" customWidth="1"/>
    <col min="3" max="3" width="13.7109375" style="2039" customWidth="1"/>
    <col min="4" max="4" width="14.7109375" style="2039" customWidth="1"/>
    <col min="5" max="5" width="11.42578125" style="5" customWidth="1"/>
    <col min="6" max="6" width="12" style="5" customWidth="1"/>
    <col min="7" max="7" width="11.85546875" style="5" customWidth="1"/>
    <col min="8" max="8" width="13.140625" style="5" customWidth="1"/>
    <col min="9" max="9" width="14.42578125" style="5" customWidth="1"/>
    <col min="10" max="10" width="12.5703125" style="5" hidden="1" customWidth="1"/>
    <col min="11" max="11" width="12" style="5" customWidth="1"/>
    <col min="12" max="12" width="13.85546875" style="5" customWidth="1"/>
    <col min="13" max="13" width="12.28515625" style="5" customWidth="1"/>
    <col min="14" max="14" width="12.5703125" style="5" customWidth="1"/>
    <col min="15" max="16" width="12.140625" style="5" customWidth="1"/>
    <col min="17" max="16384" width="9.140625" style="5"/>
  </cols>
  <sheetData>
    <row r="2" spans="1:16" ht="25.5" customHeight="1" x14ac:dyDescent="0.2">
      <c r="A2" s="4272" t="s">
        <v>2116</v>
      </c>
      <c r="B2" s="4272"/>
      <c r="C2" s="4272"/>
      <c r="D2" s="4272"/>
      <c r="E2" s="4272"/>
      <c r="F2" s="4272"/>
      <c r="G2" s="4272"/>
      <c r="H2" s="4272"/>
      <c r="I2" s="4272"/>
      <c r="J2" s="4272"/>
      <c r="K2" s="4272"/>
      <c r="L2" s="4272"/>
      <c r="M2" s="4272"/>
      <c r="N2" s="4272"/>
      <c r="O2" s="4272"/>
      <c r="P2" s="4272"/>
    </row>
    <row r="3" spans="1:16" s="2750" customFormat="1" x14ac:dyDescent="0.2">
      <c r="B3" s="2558"/>
      <c r="C3" s="2558"/>
      <c r="D3" s="2558"/>
    </row>
    <row r="4" spans="1:16" x14ac:dyDescent="0.2">
      <c r="A4" s="3960" t="s">
        <v>1736</v>
      </c>
      <c r="B4" s="3960" t="s">
        <v>908</v>
      </c>
      <c r="C4" s="3960"/>
      <c r="D4" s="3960"/>
      <c r="E4" s="2726" t="s">
        <v>1819</v>
      </c>
      <c r="F4" s="2726" t="s">
        <v>1825</v>
      </c>
      <c r="G4" s="2726" t="s">
        <v>1826</v>
      </c>
      <c r="H4" s="2726" t="s">
        <v>1827</v>
      </c>
      <c r="I4" s="2726" t="s">
        <v>1828</v>
      </c>
      <c r="J4" s="2726" t="s">
        <v>1829</v>
      </c>
      <c r="K4" s="2726" t="s">
        <v>1819</v>
      </c>
      <c r="L4" s="2726" t="s">
        <v>1825</v>
      </c>
      <c r="M4" s="2726" t="s">
        <v>1826</v>
      </c>
      <c r="N4" s="2726" t="s">
        <v>1827</v>
      </c>
      <c r="O4" s="2726" t="s">
        <v>1828</v>
      </c>
      <c r="P4" s="2726" t="s">
        <v>1829</v>
      </c>
    </row>
    <row r="5" spans="1:16" ht="38.25" x14ac:dyDescent="0.2">
      <c r="A5" s="3960"/>
      <c r="B5" s="2725" t="s">
        <v>1602</v>
      </c>
      <c r="C5" s="2725" t="s">
        <v>2070</v>
      </c>
      <c r="D5" s="2725" t="s">
        <v>1844</v>
      </c>
      <c r="E5" s="3971" t="s">
        <v>1818</v>
      </c>
      <c r="F5" s="3971"/>
      <c r="G5" s="3971"/>
      <c r="H5" s="3971"/>
      <c r="I5" s="3971"/>
      <c r="J5" s="3971"/>
      <c r="K5" s="3971" t="s">
        <v>1537</v>
      </c>
      <c r="L5" s="3971"/>
      <c r="M5" s="3971"/>
      <c r="N5" s="3971"/>
      <c r="O5" s="3971"/>
      <c r="P5" s="3971"/>
    </row>
    <row r="6" spans="1:16" s="2151" customFormat="1" x14ac:dyDescent="0.2">
      <c r="A6" s="4534" t="s">
        <v>1710</v>
      </c>
      <c r="B6" s="4535"/>
      <c r="C6" s="4535"/>
      <c r="D6" s="4535"/>
      <c r="E6" s="4535"/>
      <c r="F6" s="4535"/>
      <c r="G6" s="4535"/>
      <c r="H6" s="4535"/>
      <c r="I6" s="4535"/>
      <c r="J6" s="4535"/>
      <c r="K6" s="4535"/>
      <c r="L6" s="4535"/>
      <c r="M6" s="4535"/>
      <c r="N6" s="4535"/>
      <c r="O6" s="4535"/>
      <c r="P6" s="4536"/>
    </row>
    <row r="7" spans="1:16" x14ac:dyDescent="0.2">
      <c r="A7" s="1788" t="s">
        <v>2062</v>
      </c>
      <c r="B7" s="2267">
        <v>0</v>
      </c>
      <c r="C7" s="2267">
        <v>0</v>
      </c>
      <c r="D7" s="2267">
        <v>0</v>
      </c>
      <c r="E7" s="2267">
        <v>0</v>
      </c>
      <c r="F7" s="2267">
        <v>0</v>
      </c>
      <c r="G7" s="2267">
        <v>0</v>
      </c>
      <c r="H7" s="2267">
        <v>0</v>
      </c>
      <c r="I7" s="2267">
        <v>0</v>
      </c>
      <c r="J7" s="2267">
        <v>0</v>
      </c>
      <c r="K7" s="2267">
        <v>0</v>
      </c>
      <c r="L7" s="2267">
        <v>0</v>
      </c>
      <c r="M7" s="2267">
        <v>0</v>
      </c>
      <c r="N7" s="2267">
        <v>0</v>
      </c>
      <c r="O7" s="2267">
        <v>0</v>
      </c>
      <c r="P7" s="2267">
        <v>0</v>
      </c>
    </row>
    <row r="8" spans="1:16" x14ac:dyDescent="0.2">
      <c r="A8" s="1788" t="s">
        <v>2063</v>
      </c>
      <c r="B8" s="2267">
        <v>2164.89</v>
      </c>
      <c r="C8" s="2267">
        <v>1843.87</v>
      </c>
      <c r="D8" s="2267">
        <f>C8</f>
        <v>1843.87</v>
      </c>
      <c r="E8" s="1961">
        <v>4895.75</v>
      </c>
      <c r="F8" s="1961">
        <v>4880.42</v>
      </c>
      <c r="G8" s="1961">
        <v>4713.67</v>
      </c>
      <c r="H8" s="1961">
        <v>4628.63</v>
      </c>
      <c r="I8" s="1961">
        <v>4411.41</v>
      </c>
      <c r="J8" s="1961"/>
      <c r="K8" s="1961">
        <f>имущество!E33/1000</f>
        <v>4732.6363873577757</v>
      </c>
      <c r="L8" s="1961">
        <f>имущество!F33/1000</f>
        <v>4454.7312990978162</v>
      </c>
      <c r="M8" s="1961">
        <f>имущество!G33/1000</f>
        <v>4176.8262108378576</v>
      </c>
      <c r="N8" s="1961">
        <f>имущество!H33/1000</f>
        <v>3898.9211225778981</v>
      </c>
      <c r="O8" s="1961">
        <f>имущество!I33/1000</f>
        <v>3621.0160343179396</v>
      </c>
      <c r="P8" s="1961">
        <f>имущество!J33/1000</f>
        <v>3343.1109460579792</v>
      </c>
    </row>
    <row r="9" spans="1:16" ht="25.5" x14ac:dyDescent="0.2">
      <c r="A9" s="1788" t="s">
        <v>2064</v>
      </c>
      <c r="B9" s="2267">
        <v>0</v>
      </c>
      <c r="C9" s="2267">
        <v>0</v>
      </c>
      <c r="D9" s="2267">
        <v>0</v>
      </c>
      <c r="E9" s="1961">
        <v>0</v>
      </c>
      <c r="F9" s="1961">
        <v>0</v>
      </c>
      <c r="G9" s="1961">
        <v>0</v>
      </c>
      <c r="H9" s="1961">
        <v>0</v>
      </c>
      <c r="I9" s="1961">
        <v>0</v>
      </c>
      <c r="J9" s="1961">
        <v>0</v>
      </c>
      <c r="K9" s="1961">
        <v>0</v>
      </c>
      <c r="L9" s="1961">
        <v>0</v>
      </c>
      <c r="M9" s="1961">
        <v>0</v>
      </c>
      <c r="N9" s="1961">
        <v>0</v>
      </c>
      <c r="O9" s="1961">
        <v>0</v>
      </c>
      <c r="P9" s="1961">
        <v>0</v>
      </c>
    </row>
    <row r="10" spans="1:16" ht="30.75" customHeight="1" x14ac:dyDescent="0.2">
      <c r="A10" s="1788" t="s">
        <v>2069</v>
      </c>
      <c r="B10" s="2267">
        <v>1349.53</v>
      </c>
      <c r="C10" s="2267">
        <v>2303.6</v>
      </c>
      <c r="D10" s="2267">
        <f>вод.налог!D71</f>
        <v>1466.3579869907844</v>
      </c>
      <c r="E10" s="1961">
        <v>2303.6</v>
      </c>
      <c r="F10" s="1961">
        <v>2303.6</v>
      </c>
      <c r="G10" s="1961">
        <v>2303.6</v>
      </c>
      <c r="H10" s="1961">
        <v>2303.6</v>
      </c>
      <c r="I10" s="1961">
        <v>2303.6</v>
      </c>
      <c r="J10" s="1961"/>
      <c r="K10" s="1961">
        <f>вод.налог!G71</f>
        <v>1826.9639063780155</v>
      </c>
      <c r="L10" s="1961">
        <f>вод.налог!M71</f>
        <v>2213.5064213035557</v>
      </c>
      <c r="M10" s="1961">
        <f>вод.налог!P71</f>
        <v>2590.328598696281</v>
      </c>
      <c r="N10" s="1961">
        <f>вод.налог!S71</f>
        <v>2979.9539693283837</v>
      </c>
      <c r="O10" s="1961">
        <f>вод.налог!V71</f>
        <v>3427.3430295480966</v>
      </c>
      <c r="P10" s="1961">
        <f>вод.налог!Y71</f>
        <v>3943.2565876320309</v>
      </c>
    </row>
    <row r="11" spans="1:16" x14ac:dyDescent="0.2">
      <c r="A11" s="1788" t="s">
        <v>2065</v>
      </c>
      <c r="B11" s="2267">
        <v>88.75</v>
      </c>
      <c r="C11" s="2267">
        <v>87.07</v>
      </c>
      <c r="D11" s="2267">
        <v>87.07</v>
      </c>
      <c r="E11" s="1961">
        <v>87.07</v>
      </c>
      <c r="F11" s="1961">
        <v>87.07</v>
      </c>
      <c r="G11" s="1961">
        <v>87.07</v>
      </c>
      <c r="H11" s="1961">
        <v>87.07</v>
      </c>
      <c r="I11" s="1961">
        <v>87.07</v>
      </c>
      <c r="J11" s="1961"/>
      <c r="K11" s="1961">
        <v>87.07</v>
      </c>
      <c r="L11" s="1961">
        <v>87.07</v>
      </c>
      <c r="M11" s="1961">
        <v>87.07</v>
      </c>
      <c r="N11" s="1961">
        <v>87.07</v>
      </c>
      <c r="O11" s="1961">
        <v>87.07</v>
      </c>
      <c r="P11" s="1961">
        <v>87.07</v>
      </c>
    </row>
    <row r="12" spans="1:16" x14ac:dyDescent="0.2">
      <c r="A12" s="1788" t="s">
        <v>2066</v>
      </c>
      <c r="B12" s="2267">
        <v>0</v>
      </c>
      <c r="C12" s="2267">
        <v>0</v>
      </c>
      <c r="D12" s="2267">
        <v>0</v>
      </c>
      <c r="E12" s="2267">
        <v>0</v>
      </c>
      <c r="F12" s="2267">
        <v>0</v>
      </c>
      <c r="G12" s="2267">
        <v>0</v>
      </c>
      <c r="H12" s="2267">
        <v>0</v>
      </c>
      <c r="I12" s="2267">
        <v>0</v>
      </c>
      <c r="J12" s="2267">
        <v>0</v>
      </c>
      <c r="K12" s="2267">
        <v>0</v>
      </c>
      <c r="L12" s="2267">
        <v>0</v>
      </c>
      <c r="M12" s="2267">
        <v>0</v>
      </c>
      <c r="N12" s="2267">
        <v>0</v>
      </c>
      <c r="O12" s="2267">
        <v>0</v>
      </c>
      <c r="P12" s="2267">
        <v>0</v>
      </c>
    </row>
    <row r="13" spans="1:16" x14ac:dyDescent="0.2">
      <c r="A13" s="1788" t="s">
        <v>2067</v>
      </c>
      <c r="B13" s="2267">
        <v>0</v>
      </c>
      <c r="C13" s="2267">
        <v>0</v>
      </c>
      <c r="D13" s="2267">
        <v>0</v>
      </c>
      <c r="E13" s="2267">
        <v>0</v>
      </c>
      <c r="F13" s="2267">
        <v>0</v>
      </c>
      <c r="G13" s="2267">
        <v>0</v>
      </c>
      <c r="H13" s="2267">
        <v>0</v>
      </c>
      <c r="I13" s="2267">
        <v>0</v>
      </c>
      <c r="J13" s="2267">
        <v>0</v>
      </c>
      <c r="K13" s="2267">
        <v>0</v>
      </c>
      <c r="L13" s="2267">
        <v>0</v>
      </c>
      <c r="M13" s="2267">
        <v>0</v>
      </c>
      <c r="N13" s="2267">
        <v>0</v>
      </c>
      <c r="O13" s="2267">
        <v>0</v>
      </c>
      <c r="P13" s="2267">
        <v>0</v>
      </c>
    </row>
    <row r="14" spans="1:16" s="2151" customFormat="1" ht="24.75" customHeight="1" x14ac:dyDescent="0.2">
      <c r="A14" s="1869" t="s">
        <v>54</v>
      </c>
      <c r="B14" s="2715">
        <f>SUM(B7:B13)</f>
        <v>3603.17</v>
      </c>
      <c r="C14" s="2715">
        <f t="shared" ref="C14:P14" si="0">SUM(C7:C13)</f>
        <v>4234.5399999999991</v>
      </c>
      <c r="D14" s="2715">
        <f t="shared" si="0"/>
        <v>3397.2979869907845</v>
      </c>
      <c r="E14" s="2715">
        <f t="shared" si="0"/>
        <v>7286.42</v>
      </c>
      <c r="F14" s="2715">
        <f t="shared" si="0"/>
        <v>7271.09</v>
      </c>
      <c r="G14" s="2715">
        <f t="shared" si="0"/>
        <v>7104.34</v>
      </c>
      <c r="H14" s="2715">
        <f t="shared" si="0"/>
        <v>7019.2999999999993</v>
      </c>
      <c r="I14" s="2715">
        <f t="shared" si="0"/>
        <v>6802.08</v>
      </c>
      <c r="J14" s="2715">
        <f t="shared" si="0"/>
        <v>0</v>
      </c>
      <c r="K14" s="2715">
        <f t="shared" si="0"/>
        <v>6646.6702937357913</v>
      </c>
      <c r="L14" s="2715">
        <f t="shared" si="0"/>
        <v>6755.3077204013716</v>
      </c>
      <c r="M14" s="2715">
        <f t="shared" si="0"/>
        <v>6854.2248095341383</v>
      </c>
      <c r="N14" s="2715">
        <f t="shared" si="0"/>
        <v>6965.945091906282</v>
      </c>
      <c r="O14" s="2715">
        <f t="shared" si="0"/>
        <v>7135.4290638660359</v>
      </c>
      <c r="P14" s="2715">
        <f t="shared" si="0"/>
        <v>7373.4375336900102</v>
      </c>
    </row>
    <row r="15" spans="1:16" s="2151" customFormat="1" x14ac:dyDescent="0.2">
      <c r="A15" s="4534" t="s">
        <v>1711</v>
      </c>
      <c r="B15" s="4535"/>
      <c r="C15" s="4535"/>
      <c r="D15" s="4535"/>
      <c r="E15" s="4535"/>
      <c r="F15" s="4535"/>
      <c r="G15" s="4535"/>
      <c r="H15" s="4535"/>
      <c r="I15" s="4535"/>
      <c r="J15" s="4535"/>
      <c r="K15" s="4535"/>
      <c r="L15" s="4535"/>
      <c r="M15" s="4535"/>
      <c r="N15" s="4535"/>
      <c r="O15" s="4535"/>
      <c r="P15" s="4536"/>
    </row>
    <row r="16" spans="1:16" x14ac:dyDescent="0.2">
      <c r="A16" s="1788" t="s">
        <v>2062</v>
      </c>
      <c r="B16" s="2267">
        <v>0</v>
      </c>
      <c r="C16" s="2267">
        <v>0</v>
      </c>
      <c r="D16" s="2267">
        <v>0</v>
      </c>
      <c r="E16" s="2774">
        <v>0</v>
      </c>
      <c r="F16" s="2774">
        <v>0</v>
      </c>
      <c r="G16" s="2774">
        <v>0</v>
      </c>
      <c r="H16" s="2774">
        <v>0</v>
      </c>
      <c r="I16" s="2774">
        <v>0</v>
      </c>
      <c r="J16" s="2774">
        <v>0</v>
      </c>
      <c r="K16" s="2774">
        <v>0</v>
      </c>
      <c r="L16" s="2774">
        <v>0</v>
      </c>
      <c r="M16" s="2774">
        <v>0</v>
      </c>
      <c r="N16" s="2774">
        <v>0</v>
      </c>
      <c r="O16" s="2774">
        <v>0</v>
      </c>
      <c r="P16" s="2774">
        <v>0</v>
      </c>
    </row>
    <row r="17" spans="1:16" x14ac:dyDescent="0.2">
      <c r="A17" s="1788" t="s">
        <v>2063</v>
      </c>
      <c r="B17" s="2267">
        <v>10.33</v>
      </c>
      <c r="C17" s="2267">
        <v>0.89</v>
      </c>
      <c r="D17" s="2267">
        <f>C17</f>
        <v>0.89</v>
      </c>
      <c r="E17" s="1961">
        <v>6.8</v>
      </c>
      <c r="F17" s="1961">
        <v>6.78</v>
      </c>
      <c r="G17" s="1961">
        <v>6.55</v>
      </c>
      <c r="H17" s="1961">
        <v>6.43</v>
      </c>
      <c r="I17" s="1961">
        <v>6.13</v>
      </c>
      <c r="J17" s="1961"/>
      <c r="K17" s="1961">
        <f>имущество!E34/1000</f>
        <v>1.3395578320234052</v>
      </c>
      <c r="L17" s="1961">
        <f>имущество!F34/1000</f>
        <v>1.2608976715825515</v>
      </c>
      <c r="M17" s="1961">
        <f>имущество!G34/1000</f>
        <v>1.1822375111416983</v>
      </c>
      <c r="N17" s="1961">
        <f>имущество!H34/1000</f>
        <v>1.1035773507008444</v>
      </c>
      <c r="O17" s="1961">
        <f>имущество!I34/1000</f>
        <v>1.024917190259991</v>
      </c>
      <c r="P17" s="1961">
        <f>имущество!J34/1000</f>
        <v>0.94625702981913729</v>
      </c>
    </row>
    <row r="18" spans="1:16" ht="25.5" x14ac:dyDescent="0.2">
      <c r="A18" s="1788" t="s">
        <v>2064</v>
      </c>
      <c r="B18" s="2267">
        <v>0</v>
      </c>
      <c r="C18" s="2267">
        <v>0</v>
      </c>
      <c r="D18" s="2267">
        <v>0</v>
      </c>
      <c r="E18" s="2267">
        <v>0</v>
      </c>
      <c r="F18" s="2267">
        <v>0</v>
      </c>
      <c r="G18" s="2267">
        <v>0</v>
      </c>
      <c r="H18" s="2267">
        <v>0</v>
      </c>
      <c r="I18" s="2267">
        <v>0</v>
      </c>
      <c r="J18" s="2267">
        <v>0</v>
      </c>
      <c r="K18" s="2267">
        <v>0</v>
      </c>
      <c r="L18" s="2267">
        <v>0</v>
      </c>
      <c r="M18" s="2267">
        <v>0</v>
      </c>
      <c r="N18" s="2267">
        <v>0</v>
      </c>
      <c r="O18" s="2267">
        <v>0</v>
      </c>
      <c r="P18" s="2267">
        <v>0</v>
      </c>
    </row>
    <row r="19" spans="1:16" ht="30" customHeight="1" x14ac:dyDescent="0.2">
      <c r="A19" s="1788" t="s">
        <v>2069</v>
      </c>
      <c r="B19" s="2267">
        <v>7.98</v>
      </c>
      <c r="C19" s="2267">
        <v>1.1200000000000001</v>
      </c>
      <c r="D19" s="2267">
        <f>вод.налог!D70</f>
        <v>0.69412320000000005</v>
      </c>
      <c r="E19" s="1961">
        <v>1.1200000000000001</v>
      </c>
      <c r="F19" s="1961">
        <v>1.1200000000000001</v>
      </c>
      <c r="G19" s="1961">
        <v>1.1200000000000001</v>
      </c>
      <c r="H19" s="1961">
        <v>1.1200000000000001</v>
      </c>
      <c r="I19" s="1961">
        <v>1.1200000000000001</v>
      </c>
      <c r="J19" s="1961"/>
      <c r="K19" s="1961">
        <f>вод.налог!G70</f>
        <v>0.91788659999999989</v>
      </c>
      <c r="L19" s="1961">
        <f>вод.налог!M70</f>
        <v>1.0548846000000001</v>
      </c>
      <c r="M19" s="1961">
        <f>вод.налог!P70</f>
        <v>1.2147156000000001</v>
      </c>
      <c r="N19" s="1961">
        <f>вод.налог!S70</f>
        <v>1.3973796000000001</v>
      </c>
      <c r="O19" s="1961">
        <f>вод.налог!V70</f>
        <v>1.6074431999999998</v>
      </c>
      <c r="P19" s="1961">
        <f>вод.налог!Y70</f>
        <v>1.8494729999999997</v>
      </c>
    </row>
    <row r="20" spans="1:16" x14ac:dyDescent="0.2">
      <c r="A20" s="1788" t="s">
        <v>2065</v>
      </c>
      <c r="B20" s="2267">
        <v>0.42</v>
      </c>
      <c r="C20" s="2267">
        <v>0.04</v>
      </c>
      <c r="D20" s="2267">
        <f>C20</f>
        <v>0.04</v>
      </c>
      <c r="E20" s="1961">
        <v>0.04</v>
      </c>
      <c r="F20" s="1961">
        <v>0.04</v>
      </c>
      <c r="G20" s="1961">
        <v>0.04</v>
      </c>
      <c r="H20" s="1961">
        <v>0.04</v>
      </c>
      <c r="I20" s="1961">
        <v>0.04</v>
      </c>
      <c r="J20" s="1961"/>
      <c r="K20" s="1961">
        <f>I20</f>
        <v>0.04</v>
      </c>
      <c r="L20" s="1961">
        <f t="shared" ref="L20:P20" si="1">J20</f>
        <v>0</v>
      </c>
      <c r="M20" s="1961">
        <f t="shared" si="1"/>
        <v>0.04</v>
      </c>
      <c r="N20" s="1961">
        <f t="shared" si="1"/>
        <v>0</v>
      </c>
      <c r="O20" s="1961">
        <f t="shared" si="1"/>
        <v>0.04</v>
      </c>
      <c r="P20" s="1961">
        <f t="shared" si="1"/>
        <v>0</v>
      </c>
    </row>
    <row r="21" spans="1:16" x14ac:dyDescent="0.2">
      <c r="A21" s="1788" t="s">
        <v>2066</v>
      </c>
      <c r="B21" s="2267">
        <v>0</v>
      </c>
      <c r="C21" s="2267">
        <v>0</v>
      </c>
      <c r="D21" s="2267">
        <v>0</v>
      </c>
      <c r="E21" s="1961">
        <v>0</v>
      </c>
      <c r="F21" s="1961">
        <v>0</v>
      </c>
      <c r="G21" s="1961">
        <v>0</v>
      </c>
      <c r="H21" s="1961">
        <v>0</v>
      </c>
      <c r="I21" s="1961">
        <v>0</v>
      </c>
      <c r="J21" s="1961">
        <v>0</v>
      </c>
      <c r="K21" s="1961">
        <v>0</v>
      </c>
      <c r="L21" s="1961">
        <v>0</v>
      </c>
      <c r="M21" s="1961">
        <v>0</v>
      </c>
      <c r="N21" s="1961">
        <v>0</v>
      </c>
      <c r="O21" s="1961">
        <v>0</v>
      </c>
      <c r="P21" s="1961">
        <v>0</v>
      </c>
    </row>
    <row r="22" spans="1:16" x14ac:dyDescent="0.2">
      <c r="A22" s="1788" t="s">
        <v>2067</v>
      </c>
      <c r="B22" s="2267">
        <v>0</v>
      </c>
      <c r="C22" s="2267">
        <v>0</v>
      </c>
      <c r="D22" s="2267">
        <v>0</v>
      </c>
      <c r="E22" s="1961">
        <v>0</v>
      </c>
      <c r="F22" s="1961">
        <v>0</v>
      </c>
      <c r="G22" s="1961">
        <v>0</v>
      </c>
      <c r="H22" s="1961">
        <v>0</v>
      </c>
      <c r="I22" s="1961">
        <v>0</v>
      </c>
      <c r="J22" s="1961">
        <v>0</v>
      </c>
      <c r="K22" s="1961">
        <v>0</v>
      </c>
      <c r="L22" s="1961">
        <v>0</v>
      </c>
      <c r="M22" s="1961">
        <v>0</v>
      </c>
      <c r="N22" s="1961">
        <v>0</v>
      </c>
      <c r="O22" s="1961">
        <v>0</v>
      </c>
      <c r="P22" s="1961">
        <v>0</v>
      </c>
    </row>
    <row r="23" spans="1:16" s="2151" customFormat="1" ht="20.25" customHeight="1" x14ac:dyDescent="0.2">
      <c r="A23" s="1869" t="s">
        <v>54</v>
      </c>
      <c r="B23" s="2715">
        <f>SUM(B16:B22)</f>
        <v>18.730000000000004</v>
      </c>
      <c r="C23" s="2715">
        <f t="shared" ref="C23:P23" si="2">SUM(C16:C22)</f>
        <v>2.0500000000000003</v>
      </c>
      <c r="D23" s="2715">
        <f t="shared" si="2"/>
        <v>1.6241232000000001</v>
      </c>
      <c r="E23" s="2715">
        <f t="shared" si="2"/>
        <v>7.96</v>
      </c>
      <c r="F23" s="2715">
        <f t="shared" si="2"/>
        <v>7.94</v>
      </c>
      <c r="G23" s="2715">
        <f t="shared" si="2"/>
        <v>7.71</v>
      </c>
      <c r="H23" s="2715">
        <f t="shared" si="2"/>
        <v>7.59</v>
      </c>
      <c r="I23" s="2715">
        <f t="shared" si="2"/>
        <v>7.29</v>
      </c>
      <c r="J23" s="2715">
        <f t="shared" si="2"/>
        <v>0</v>
      </c>
      <c r="K23" s="2715">
        <f t="shared" si="2"/>
        <v>2.2974444320234051</v>
      </c>
      <c r="L23" s="2715">
        <f t="shared" si="2"/>
        <v>2.3157822715825516</v>
      </c>
      <c r="M23" s="2715">
        <f t="shared" si="2"/>
        <v>2.4369531111416984</v>
      </c>
      <c r="N23" s="2715">
        <f t="shared" si="2"/>
        <v>2.5009569507008447</v>
      </c>
      <c r="O23" s="2715">
        <f t="shared" si="2"/>
        <v>2.6723603902599908</v>
      </c>
      <c r="P23" s="2715">
        <f t="shared" si="2"/>
        <v>2.7957300298191372</v>
      </c>
    </row>
    <row r="24" spans="1:16" s="2151" customFormat="1" x14ac:dyDescent="0.2">
      <c r="A24" s="4534" t="s">
        <v>345</v>
      </c>
      <c r="B24" s="4535"/>
      <c r="C24" s="4535"/>
      <c r="D24" s="4535"/>
      <c r="E24" s="4535"/>
      <c r="F24" s="4535"/>
      <c r="G24" s="4535"/>
      <c r="H24" s="4535"/>
      <c r="I24" s="4535"/>
      <c r="J24" s="4535"/>
      <c r="K24" s="4535"/>
      <c r="L24" s="4535"/>
      <c r="M24" s="4535"/>
      <c r="N24" s="4535"/>
      <c r="O24" s="4535"/>
      <c r="P24" s="4536"/>
    </row>
    <row r="25" spans="1:16" x14ac:dyDescent="0.2">
      <c r="A25" s="1788" t="s">
        <v>2062</v>
      </c>
      <c r="B25" s="2267">
        <v>0</v>
      </c>
      <c r="C25" s="2267">
        <v>0</v>
      </c>
      <c r="D25" s="2267">
        <v>0</v>
      </c>
      <c r="E25" s="2267">
        <v>0</v>
      </c>
      <c r="F25" s="2267">
        <v>0</v>
      </c>
      <c r="G25" s="2267">
        <v>0</v>
      </c>
      <c r="H25" s="2267">
        <v>0</v>
      </c>
      <c r="I25" s="2267">
        <v>0</v>
      </c>
      <c r="J25" s="2267">
        <v>0</v>
      </c>
      <c r="K25" s="2267">
        <v>0</v>
      </c>
      <c r="L25" s="2267">
        <v>0</v>
      </c>
      <c r="M25" s="2267">
        <v>0</v>
      </c>
      <c r="N25" s="2267">
        <v>0</v>
      </c>
      <c r="O25" s="2267">
        <v>0</v>
      </c>
      <c r="P25" s="2267">
        <v>0</v>
      </c>
    </row>
    <row r="26" spans="1:16" x14ac:dyDescent="0.2">
      <c r="A26" s="1788" t="s">
        <v>2063</v>
      </c>
      <c r="B26" s="2267">
        <v>1409.39</v>
      </c>
      <c r="C26" s="2267">
        <v>1222.45</v>
      </c>
      <c r="D26" s="2267">
        <f>C26</f>
        <v>1222.45</v>
      </c>
      <c r="E26" s="1961">
        <v>1176.49</v>
      </c>
      <c r="F26" s="1961">
        <v>1124.6500000000001</v>
      </c>
      <c r="G26" s="1961">
        <v>1042.08</v>
      </c>
      <c r="H26" s="1961">
        <v>999.98</v>
      </c>
      <c r="I26" s="1961">
        <v>905.34</v>
      </c>
      <c r="J26" s="1961"/>
      <c r="K26" s="1961">
        <f>имущество!E36/1000</f>
        <v>942.55959939862851</v>
      </c>
      <c r="L26" s="1961">
        <f>K26</f>
        <v>942.55959939862851</v>
      </c>
      <c r="M26" s="1961">
        <f t="shared" ref="M26:P26" si="3">L26</f>
        <v>942.55959939862851</v>
      </c>
      <c r="N26" s="1961">
        <f t="shared" si="3"/>
        <v>942.55959939862851</v>
      </c>
      <c r="O26" s="1961">
        <f t="shared" si="3"/>
        <v>942.55959939862851</v>
      </c>
      <c r="P26" s="1961">
        <f t="shared" si="3"/>
        <v>942.55959939862851</v>
      </c>
    </row>
    <row r="27" spans="1:16" ht="25.5" x14ac:dyDescent="0.2">
      <c r="A27" s="1788" t="s">
        <v>2064</v>
      </c>
      <c r="B27" s="2267">
        <v>348.31</v>
      </c>
      <c r="C27" s="2267">
        <v>4081.96</v>
      </c>
      <c r="D27" s="2267">
        <v>0</v>
      </c>
      <c r="E27" s="1961">
        <v>4610.3999999999996</v>
      </c>
      <c r="F27" s="1961">
        <v>4610.3999999999996</v>
      </c>
      <c r="G27" s="1961">
        <v>4610.3999999999996</v>
      </c>
      <c r="H27" s="1961">
        <v>4610.3999999999996</v>
      </c>
      <c r="I27" s="1961">
        <v>4610.3999999999996</v>
      </c>
      <c r="J27" s="1961"/>
      <c r="K27" s="1961">
        <f>НВОС!G14</f>
        <v>18.330848375909873</v>
      </c>
      <c r="L27" s="1961">
        <f>K27*1.04</f>
        <v>19.064082310946269</v>
      </c>
      <c r="M27" s="1961">
        <f t="shared" ref="M27:P27" si="4">L27*1.04</f>
        <v>19.826645603384119</v>
      </c>
      <c r="N27" s="1961">
        <f t="shared" si="4"/>
        <v>20.619711427519483</v>
      </c>
      <c r="O27" s="1961">
        <f t="shared" si="4"/>
        <v>21.444499884620264</v>
      </c>
      <c r="P27" s="1961">
        <f t="shared" si="4"/>
        <v>22.302279880005074</v>
      </c>
    </row>
    <row r="28" spans="1:16" x14ac:dyDescent="0.2">
      <c r="A28" s="1788" t="s">
        <v>2065</v>
      </c>
      <c r="B28" s="2267">
        <v>25.87</v>
      </c>
      <c r="C28" s="2267">
        <v>42.86</v>
      </c>
      <c r="D28" s="2267">
        <f>C28</f>
        <v>42.86</v>
      </c>
      <c r="E28" s="1961">
        <v>42.86</v>
      </c>
      <c r="F28" s="1961">
        <v>42.86</v>
      </c>
      <c r="G28" s="1961">
        <v>42.86</v>
      </c>
      <c r="H28" s="1961">
        <v>42.86</v>
      </c>
      <c r="I28" s="1961">
        <v>42.86</v>
      </c>
      <c r="J28" s="1961"/>
      <c r="K28" s="1961">
        <f>D28</f>
        <v>42.86</v>
      </c>
      <c r="L28" s="1961">
        <f t="shared" ref="L28:P28" si="5">E28</f>
        <v>42.86</v>
      </c>
      <c r="M28" s="1961">
        <f t="shared" si="5"/>
        <v>42.86</v>
      </c>
      <c r="N28" s="1961">
        <f t="shared" si="5"/>
        <v>42.86</v>
      </c>
      <c r="O28" s="1961">
        <f t="shared" si="5"/>
        <v>42.86</v>
      </c>
      <c r="P28" s="1961">
        <f t="shared" si="5"/>
        <v>42.86</v>
      </c>
    </row>
    <row r="29" spans="1:16" x14ac:dyDescent="0.2">
      <c r="A29" s="1788" t="s">
        <v>2066</v>
      </c>
      <c r="B29" s="2267">
        <v>0</v>
      </c>
      <c r="C29" s="2267">
        <v>0</v>
      </c>
      <c r="D29" s="2267">
        <v>0</v>
      </c>
      <c r="E29" s="1961">
        <v>0</v>
      </c>
      <c r="F29" s="1961">
        <v>0</v>
      </c>
      <c r="G29" s="1961">
        <v>0</v>
      </c>
      <c r="H29" s="1961">
        <v>0</v>
      </c>
      <c r="I29" s="1961">
        <v>0</v>
      </c>
      <c r="J29" s="1961">
        <v>0</v>
      </c>
      <c r="K29" s="1961">
        <v>0</v>
      </c>
      <c r="L29" s="1961">
        <v>0</v>
      </c>
      <c r="M29" s="1961">
        <v>0</v>
      </c>
      <c r="N29" s="1961">
        <v>0</v>
      </c>
      <c r="O29" s="1961">
        <v>0</v>
      </c>
      <c r="P29" s="1961">
        <v>0</v>
      </c>
    </row>
    <row r="30" spans="1:16" x14ac:dyDescent="0.2">
      <c r="A30" s="1788" t="s">
        <v>2067</v>
      </c>
      <c r="B30" s="2267">
        <v>0</v>
      </c>
      <c r="C30" s="2267">
        <v>0</v>
      </c>
      <c r="D30" s="2267">
        <v>0</v>
      </c>
      <c r="E30" s="1961">
        <v>0</v>
      </c>
      <c r="F30" s="1961">
        <v>0</v>
      </c>
      <c r="G30" s="1961">
        <v>0</v>
      </c>
      <c r="H30" s="1961">
        <v>0</v>
      </c>
      <c r="I30" s="1961">
        <v>0</v>
      </c>
      <c r="J30" s="1961">
        <v>0</v>
      </c>
      <c r="K30" s="1961">
        <v>0</v>
      </c>
      <c r="L30" s="1961">
        <v>0</v>
      </c>
      <c r="M30" s="1961">
        <v>0</v>
      </c>
      <c r="N30" s="1961">
        <v>0</v>
      </c>
      <c r="O30" s="1961">
        <v>0</v>
      </c>
      <c r="P30" s="1961">
        <v>0</v>
      </c>
    </row>
    <row r="31" spans="1:16" s="2151" customFormat="1" ht="18.75" customHeight="1" x14ac:dyDescent="0.2">
      <c r="A31" s="1869" t="s">
        <v>54</v>
      </c>
      <c r="B31" s="2715">
        <f>SUM(B25:B30)</f>
        <v>1783.57</v>
      </c>
      <c r="C31" s="2715">
        <f t="shared" ref="C31:P31" si="6">SUM(C25:C30)</f>
        <v>5347.2699999999995</v>
      </c>
      <c r="D31" s="2715">
        <f t="shared" si="6"/>
        <v>1265.31</v>
      </c>
      <c r="E31" s="2715">
        <f t="shared" si="6"/>
        <v>5829.7499999999991</v>
      </c>
      <c r="F31" s="2715">
        <f t="shared" si="6"/>
        <v>5777.9099999999989</v>
      </c>
      <c r="G31" s="2715">
        <f t="shared" si="6"/>
        <v>5695.3399999999992</v>
      </c>
      <c r="H31" s="2715">
        <f t="shared" si="6"/>
        <v>5653.2399999999989</v>
      </c>
      <c r="I31" s="2715">
        <f t="shared" si="6"/>
        <v>5558.5999999999995</v>
      </c>
      <c r="J31" s="2715">
        <f t="shared" si="6"/>
        <v>0</v>
      </c>
      <c r="K31" s="2715">
        <f t="shared" si="6"/>
        <v>1003.7504477745384</v>
      </c>
      <c r="L31" s="2715">
        <f t="shared" si="6"/>
        <v>1004.4836817095747</v>
      </c>
      <c r="M31" s="2715">
        <f t="shared" si="6"/>
        <v>1005.2462450020126</v>
      </c>
      <c r="N31" s="2715">
        <f t="shared" si="6"/>
        <v>1006.039310826148</v>
      </c>
      <c r="O31" s="2715">
        <f t="shared" si="6"/>
        <v>1006.8640992832488</v>
      </c>
      <c r="P31" s="2715">
        <f t="shared" si="6"/>
        <v>1007.7218792786335</v>
      </c>
    </row>
    <row r="32" spans="1:16" s="2151" customFormat="1" x14ac:dyDescent="0.2">
      <c r="A32" s="4534" t="s">
        <v>2068</v>
      </c>
      <c r="B32" s="4535"/>
      <c r="C32" s="4535"/>
      <c r="D32" s="4535"/>
      <c r="E32" s="4535"/>
      <c r="F32" s="4535"/>
      <c r="G32" s="4535"/>
      <c r="H32" s="4535"/>
      <c r="I32" s="4535"/>
      <c r="J32" s="4535"/>
      <c r="K32" s="4535"/>
      <c r="L32" s="4535"/>
      <c r="M32" s="4535"/>
      <c r="N32" s="4535"/>
      <c r="O32" s="4535"/>
      <c r="P32" s="4536"/>
    </row>
    <row r="33" spans="1:16" x14ac:dyDescent="0.2">
      <c r="A33" s="1788" t="s">
        <v>2062</v>
      </c>
      <c r="B33" s="2772">
        <v>0</v>
      </c>
      <c r="C33" s="2772">
        <v>0</v>
      </c>
      <c r="D33" s="2772">
        <v>0</v>
      </c>
      <c r="E33" s="2772">
        <v>0</v>
      </c>
      <c r="F33" s="2772">
        <v>0</v>
      </c>
      <c r="G33" s="2772">
        <v>0</v>
      </c>
      <c r="H33" s="2772">
        <v>0</v>
      </c>
      <c r="I33" s="2772">
        <v>0</v>
      </c>
      <c r="J33" s="2772">
        <v>0</v>
      </c>
      <c r="K33" s="2772">
        <v>0</v>
      </c>
      <c r="L33" s="2772">
        <v>0</v>
      </c>
      <c r="M33" s="2772">
        <v>0</v>
      </c>
      <c r="N33" s="2772">
        <v>0</v>
      </c>
      <c r="O33" s="2772">
        <v>0</v>
      </c>
      <c r="P33" s="2772">
        <v>0</v>
      </c>
    </row>
    <row r="34" spans="1:16" x14ac:dyDescent="0.2">
      <c r="A34" s="1788" t="s">
        <v>2063</v>
      </c>
      <c r="B34" s="2772">
        <v>10.29</v>
      </c>
      <c r="C34" s="2772">
        <v>7.39</v>
      </c>
      <c r="D34" s="2772">
        <f>C34</f>
        <v>7.39</v>
      </c>
      <c r="E34" s="2067">
        <v>6.9</v>
      </c>
      <c r="F34" s="2067">
        <v>6.59</v>
      </c>
      <c r="G34" s="2067">
        <v>6.11</v>
      </c>
      <c r="H34" s="2067">
        <v>5.86</v>
      </c>
      <c r="I34" s="2067">
        <v>5.31</v>
      </c>
      <c r="J34" s="2067"/>
      <c r="K34" s="2067">
        <f>имущество!E37/1000</f>
        <v>5.5463082213716168</v>
      </c>
      <c r="L34" s="2067">
        <f>имущество!F37/1000</f>
        <v>4.9020116321688594</v>
      </c>
      <c r="M34" s="2067">
        <f>имущество!G37/1000</f>
        <v>4.2577150429661001</v>
      </c>
      <c r="N34" s="2067">
        <f>имущество!H37/1000</f>
        <v>3.6134184537633427</v>
      </c>
      <c r="O34" s="2067">
        <f>имущество!I37/1000</f>
        <v>2.9691218645605844</v>
      </c>
      <c r="P34" s="2067">
        <f>имущество!J37/1000</f>
        <v>2.3248252753578265</v>
      </c>
    </row>
    <row r="35" spans="1:16" ht="25.5" x14ac:dyDescent="0.2">
      <c r="A35" s="1788" t="s">
        <v>2064</v>
      </c>
      <c r="B35" s="2772">
        <v>0</v>
      </c>
      <c r="C35" s="2772">
        <v>24.69</v>
      </c>
      <c r="D35" s="2772">
        <v>0</v>
      </c>
      <c r="E35" s="2067">
        <v>27.02</v>
      </c>
      <c r="F35" s="2067">
        <v>27.02</v>
      </c>
      <c r="G35" s="2067">
        <v>27.02</v>
      </c>
      <c r="H35" s="2067">
        <v>27.02</v>
      </c>
      <c r="I35" s="2067">
        <v>27.02</v>
      </c>
      <c r="J35" s="2067">
        <v>27.02</v>
      </c>
      <c r="K35" s="2067">
        <f>НВОС!G15</f>
        <v>0.10786430387732723</v>
      </c>
      <c r="L35" s="1961">
        <f>K35*1.04</f>
        <v>0.11217887603242033</v>
      </c>
      <c r="M35" s="1961">
        <f t="shared" ref="M35:P35" si="7">L35*1.04</f>
        <v>0.11666603107371715</v>
      </c>
      <c r="N35" s="1961">
        <f t="shared" si="7"/>
        <v>0.12133267231666583</v>
      </c>
      <c r="O35" s="1961">
        <f t="shared" si="7"/>
        <v>0.12618597920933247</v>
      </c>
      <c r="P35" s="1961">
        <f t="shared" si="7"/>
        <v>0.13123341837770577</v>
      </c>
    </row>
    <row r="36" spans="1:16" x14ac:dyDescent="0.2">
      <c r="A36" s="1788" t="s">
        <v>2065</v>
      </c>
      <c r="B36" s="2772">
        <v>0.18</v>
      </c>
      <c r="C36" s="2772">
        <v>0.26</v>
      </c>
      <c r="D36" s="2772">
        <f>C36</f>
        <v>0.26</v>
      </c>
      <c r="E36" s="2067">
        <v>0.26</v>
      </c>
      <c r="F36" s="2067">
        <v>0.26</v>
      </c>
      <c r="G36" s="2067">
        <v>0.26</v>
      </c>
      <c r="H36" s="2067">
        <v>0.26</v>
      </c>
      <c r="I36" s="2067">
        <v>0.26</v>
      </c>
      <c r="J36" s="2067">
        <v>0.26</v>
      </c>
      <c r="K36" s="2067">
        <f>D36</f>
        <v>0.26</v>
      </c>
      <c r="L36" s="2067">
        <f t="shared" ref="L36:P36" si="8">E36</f>
        <v>0.26</v>
      </c>
      <c r="M36" s="2067">
        <f t="shared" si="8"/>
        <v>0.26</v>
      </c>
      <c r="N36" s="2067">
        <f t="shared" si="8"/>
        <v>0.26</v>
      </c>
      <c r="O36" s="2067">
        <f t="shared" si="8"/>
        <v>0.26</v>
      </c>
      <c r="P36" s="2067">
        <f t="shared" si="8"/>
        <v>0.26</v>
      </c>
    </row>
    <row r="37" spans="1:16" x14ac:dyDescent="0.2">
      <c r="A37" s="1788" t="s">
        <v>2066</v>
      </c>
      <c r="B37" s="2772">
        <v>0</v>
      </c>
      <c r="C37" s="2772">
        <v>0</v>
      </c>
      <c r="D37" s="2772">
        <v>0</v>
      </c>
      <c r="E37" s="2772">
        <v>0</v>
      </c>
      <c r="F37" s="2772">
        <v>0</v>
      </c>
      <c r="G37" s="2772">
        <v>0</v>
      </c>
      <c r="H37" s="2772">
        <v>0</v>
      </c>
      <c r="I37" s="2772">
        <v>0</v>
      </c>
      <c r="J37" s="2772">
        <v>0</v>
      </c>
      <c r="K37" s="2772">
        <v>0</v>
      </c>
      <c r="L37" s="2772">
        <v>0</v>
      </c>
      <c r="M37" s="2772">
        <v>0</v>
      </c>
      <c r="N37" s="2772">
        <v>0</v>
      </c>
      <c r="O37" s="2772">
        <v>0</v>
      </c>
      <c r="P37" s="2772">
        <v>0</v>
      </c>
    </row>
    <row r="38" spans="1:16" x14ac:dyDescent="0.2">
      <c r="A38" s="1788" t="s">
        <v>2067</v>
      </c>
      <c r="B38" s="2772">
        <v>0</v>
      </c>
      <c r="C38" s="2772">
        <v>0</v>
      </c>
      <c r="D38" s="2772">
        <v>0</v>
      </c>
      <c r="E38" s="2772">
        <v>0</v>
      </c>
      <c r="F38" s="2772">
        <v>0</v>
      </c>
      <c r="G38" s="2772">
        <v>0</v>
      </c>
      <c r="H38" s="2772">
        <v>0</v>
      </c>
      <c r="I38" s="2772">
        <v>0</v>
      </c>
      <c r="J38" s="2772">
        <v>0</v>
      </c>
      <c r="K38" s="2772">
        <v>0</v>
      </c>
      <c r="L38" s="2772">
        <v>0</v>
      </c>
      <c r="M38" s="2772">
        <v>0</v>
      </c>
      <c r="N38" s="2772">
        <v>0</v>
      </c>
      <c r="O38" s="2772">
        <v>0</v>
      </c>
      <c r="P38" s="2772">
        <v>0</v>
      </c>
    </row>
    <row r="39" spans="1:16" s="2151" customFormat="1" ht="23.25" customHeight="1" x14ac:dyDescent="0.2">
      <c r="A39" s="1869" t="s">
        <v>54</v>
      </c>
      <c r="B39" s="2773">
        <f>SUM(B33:B38)</f>
        <v>10.469999999999999</v>
      </c>
      <c r="C39" s="2773">
        <f t="shared" ref="C39:P39" si="9">SUM(C33:C38)</f>
        <v>32.339999999999996</v>
      </c>
      <c r="D39" s="2773">
        <f t="shared" si="9"/>
        <v>7.6499999999999995</v>
      </c>
      <c r="E39" s="2773">
        <f t="shared" si="9"/>
        <v>34.18</v>
      </c>
      <c r="F39" s="2773">
        <f t="shared" si="9"/>
        <v>33.869999999999997</v>
      </c>
      <c r="G39" s="2773">
        <f t="shared" si="9"/>
        <v>33.39</v>
      </c>
      <c r="H39" s="2773">
        <f t="shared" si="9"/>
        <v>33.14</v>
      </c>
      <c r="I39" s="2773">
        <f t="shared" si="9"/>
        <v>32.589999999999996</v>
      </c>
      <c r="J39" s="2773">
        <f t="shared" si="9"/>
        <v>27.28</v>
      </c>
      <c r="K39" s="2773">
        <f t="shared" si="9"/>
        <v>5.9141725252489437</v>
      </c>
      <c r="L39" s="2773">
        <f t="shared" si="9"/>
        <v>5.2741905082012792</v>
      </c>
      <c r="M39" s="2773">
        <f t="shared" si="9"/>
        <v>4.6343810740398172</v>
      </c>
      <c r="N39" s="2773">
        <f t="shared" si="9"/>
        <v>3.9947511260800086</v>
      </c>
      <c r="O39" s="2773">
        <f t="shared" si="9"/>
        <v>3.3553078437699169</v>
      </c>
      <c r="P39" s="2773">
        <f t="shared" si="9"/>
        <v>2.7160586937355324</v>
      </c>
    </row>
  </sheetData>
  <mergeCells count="9">
    <mergeCell ref="A15:P15"/>
    <mergeCell ref="A24:P24"/>
    <mergeCell ref="A32:P32"/>
    <mergeCell ref="A2:P2"/>
    <mergeCell ref="B4:D4"/>
    <mergeCell ref="E5:J5"/>
    <mergeCell ref="K5:P5"/>
    <mergeCell ref="A4:A5"/>
    <mergeCell ref="A6:P6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Y71"/>
  <sheetViews>
    <sheetView zoomScaleNormal="100" workbookViewId="0">
      <selection activeCell="X84" sqref="X84"/>
    </sheetView>
  </sheetViews>
  <sheetFormatPr defaultRowHeight="12.75" x14ac:dyDescent="0.2"/>
  <cols>
    <col min="1" max="1" width="29.140625" style="5" customWidth="1"/>
    <col min="2" max="2" width="11.42578125" style="5" customWidth="1"/>
    <col min="3" max="3" width="8.42578125" style="5" customWidth="1"/>
    <col min="4" max="4" width="9" style="5" customWidth="1"/>
    <col min="5" max="5" width="9.42578125" style="5" customWidth="1"/>
    <col min="6" max="6" width="8.42578125" style="5" customWidth="1"/>
    <col min="7" max="7" width="11.57031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1" style="5" customWidth="1"/>
    <col min="12" max="12" width="9.7109375" style="5" customWidth="1"/>
    <col min="13" max="13" width="12.28515625" style="5" customWidth="1"/>
    <col min="14" max="14" width="11.5703125" style="5" customWidth="1"/>
    <col min="15" max="15" width="9.7109375" style="5" customWidth="1"/>
    <col min="16" max="16" width="10.140625" style="5" customWidth="1"/>
    <col min="17" max="17" width="9" style="5" customWidth="1"/>
    <col min="18" max="16384" width="9.140625" style="5"/>
  </cols>
  <sheetData>
    <row r="2" spans="1:25" ht="59.25" customHeight="1" x14ac:dyDescent="0.2">
      <c r="A2" s="4537" t="s">
        <v>2108</v>
      </c>
      <c r="B2" s="4538"/>
      <c r="C2" s="4538"/>
      <c r="D2" s="4538"/>
      <c r="E2" s="4538"/>
      <c r="F2" s="4538"/>
      <c r="G2" s="4538"/>
      <c r="H2" s="4538"/>
      <c r="I2" s="4538"/>
      <c r="J2" s="4538"/>
      <c r="K2" s="4538"/>
      <c r="L2" s="4538"/>
      <c r="M2" s="4538"/>
      <c r="N2" s="4538"/>
      <c r="O2" s="4538"/>
      <c r="P2" s="4538"/>
      <c r="Q2" s="4538"/>
      <c r="R2" s="4538"/>
      <c r="S2" s="4538"/>
      <c r="T2" s="4538"/>
      <c r="U2" s="4538"/>
      <c r="V2" s="4538"/>
      <c r="W2" s="4538"/>
      <c r="X2" s="4538"/>
      <c r="Y2" s="4538"/>
    </row>
    <row r="3" spans="1:25" hidden="1" x14ac:dyDescent="0.2">
      <c r="A3" s="3959" t="s">
        <v>292</v>
      </c>
      <c r="B3" s="3959"/>
      <c r="C3" s="3959"/>
      <c r="D3" s="3959"/>
      <c r="E3" s="3959"/>
      <c r="F3" s="3959"/>
      <c r="G3" s="3959"/>
      <c r="H3" s="3959"/>
      <c r="I3" s="3959"/>
      <c r="J3" s="3959"/>
    </row>
    <row r="4" spans="1:25" ht="15.75" hidden="1" x14ac:dyDescent="0.25">
      <c r="A4" s="3960" t="s">
        <v>367</v>
      </c>
      <c r="B4" s="3964" t="s">
        <v>652</v>
      </c>
      <c r="C4" s="3964"/>
      <c r="D4" s="3964"/>
      <c r="E4" s="3964" t="s">
        <v>660</v>
      </c>
      <c r="F4" s="3964"/>
      <c r="G4" s="3964"/>
      <c r="H4" s="3964" t="s">
        <v>1542</v>
      </c>
      <c r="I4" s="3964"/>
      <c r="J4" s="3964"/>
    </row>
    <row r="5" spans="1:25" ht="30" hidden="1" customHeight="1" x14ac:dyDescent="0.2">
      <c r="A5" s="3960"/>
      <c r="B5" s="1865" t="s">
        <v>407</v>
      </c>
      <c r="C5" s="1865" t="s">
        <v>661</v>
      </c>
      <c r="D5" s="1865" t="s">
        <v>409</v>
      </c>
      <c r="E5" s="1865" t="s">
        <v>407</v>
      </c>
      <c r="F5" s="1865" t="s">
        <v>661</v>
      </c>
      <c r="G5" s="1865" t="s">
        <v>409</v>
      </c>
      <c r="H5" s="1865" t="s">
        <v>407</v>
      </c>
      <c r="I5" s="1865" t="s">
        <v>661</v>
      </c>
      <c r="J5" s="1865" t="s">
        <v>409</v>
      </c>
    </row>
    <row r="6" spans="1:25" ht="15" hidden="1" customHeight="1" x14ac:dyDescent="0.2">
      <c r="A6" s="1866" t="s">
        <v>662</v>
      </c>
      <c r="B6" s="1968">
        <f>объемы!L38</f>
        <v>5800.03</v>
      </c>
      <c r="C6" s="1795"/>
      <c r="D6" s="1795"/>
      <c r="E6" s="1969">
        <f>SUM(объемы!T38)</f>
        <v>5779.357</v>
      </c>
      <c r="F6" s="1795"/>
      <c r="G6" s="1795"/>
      <c r="H6" s="1864"/>
      <c r="I6" s="1745"/>
      <c r="J6" s="1745"/>
    </row>
    <row r="7" spans="1:25" ht="15" hidden="1" customHeight="1" x14ac:dyDescent="0.2">
      <c r="A7" s="1866" t="s">
        <v>24</v>
      </c>
      <c r="B7" s="1968">
        <f>объемы!L49</f>
        <v>2800</v>
      </c>
      <c r="C7" s="1795">
        <v>70</v>
      </c>
      <c r="D7" s="1969">
        <f>B7*C7/1000</f>
        <v>196</v>
      </c>
      <c r="E7" s="1969">
        <f>SUM(объемы!T49)</f>
        <v>2428.56</v>
      </c>
      <c r="F7" s="1795">
        <v>93</v>
      </c>
      <c r="G7" s="1969">
        <f>E7*F7/1000</f>
        <v>225.85607999999999</v>
      </c>
      <c r="H7" s="1864"/>
      <c r="I7" s="1745"/>
      <c r="J7" s="1864"/>
    </row>
    <row r="8" spans="1:25" ht="15" hidden="1" customHeight="1" x14ac:dyDescent="0.2">
      <c r="A8" s="1866" t="s">
        <v>262</v>
      </c>
      <c r="B8" s="1968">
        <f>объемы!L51</f>
        <v>1192</v>
      </c>
      <c r="C8" s="1795">
        <v>306</v>
      </c>
      <c r="D8" s="1969">
        <f>B8*C8/1000</f>
        <v>364.75200000000001</v>
      </c>
      <c r="E8" s="1969">
        <f>SUM(объемы!T51+объемы!T50+объемы!T52)</f>
        <v>1582.077</v>
      </c>
      <c r="F8" s="1795">
        <v>341</v>
      </c>
      <c r="G8" s="1969">
        <f>E8*F8/1000</f>
        <v>539.48825699999998</v>
      </c>
      <c r="H8" s="1864"/>
      <c r="I8" s="1745"/>
      <c r="J8" s="1864"/>
    </row>
    <row r="9" spans="1:25" ht="15" hidden="1" customHeight="1" x14ac:dyDescent="0.2">
      <c r="A9" s="1866" t="s">
        <v>403</v>
      </c>
      <c r="B9" s="1968">
        <f>объемы!L41</f>
        <v>754</v>
      </c>
      <c r="C9" s="1795">
        <v>306</v>
      </c>
      <c r="D9" s="1969">
        <f>B9*C9/1000</f>
        <v>230.72399999999999</v>
      </c>
      <c r="E9" s="1969">
        <f>SUM(объемы!T41)</f>
        <v>750</v>
      </c>
      <c r="F9" s="1795">
        <v>341</v>
      </c>
      <c r="G9" s="1969">
        <f>E9*F9/1000</f>
        <v>255.75</v>
      </c>
      <c r="H9" s="1864"/>
      <c r="I9" s="1745"/>
      <c r="J9" s="1864"/>
    </row>
    <row r="10" spans="1:25" ht="15" hidden="1" customHeight="1" x14ac:dyDescent="0.2">
      <c r="A10" s="1866" t="s">
        <v>404</v>
      </c>
      <c r="B10" s="1968">
        <f>объемы!L46</f>
        <v>1007.9</v>
      </c>
      <c r="C10" s="1795"/>
      <c r="D10" s="1969"/>
      <c r="E10" s="1969">
        <f>SUM(объемы!T46)</f>
        <v>997.3</v>
      </c>
      <c r="F10" s="1795"/>
      <c r="G10" s="1969"/>
      <c r="H10" s="1864"/>
      <c r="I10" s="1745"/>
      <c r="J10" s="1864"/>
    </row>
    <row r="11" spans="1:25" ht="15" hidden="1" customHeight="1" x14ac:dyDescent="0.2">
      <c r="A11" s="1866" t="s">
        <v>405</v>
      </c>
      <c r="B11" s="1788">
        <f>B10*B7/(B7+B8)</f>
        <v>706.94388777555105</v>
      </c>
      <c r="C11" s="1795">
        <f>C7</f>
        <v>70</v>
      </c>
      <c r="D11" s="1969">
        <f>B11*C11/1000</f>
        <v>49.48607214428857</v>
      </c>
      <c r="E11" s="1795">
        <f>E10*E7/(E7+E8)</f>
        <v>603.89481471397187</v>
      </c>
      <c r="F11" s="1795">
        <v>93</v>
      </c>
      <c r="G11" s="1969">
        <f>E11*F11/1000</f>
        <v>56.162217768399387</v>
      </c>
      <c r="H11" s="1745"/>
      <c r="I11" s="1745"/>
      <c r="J11" s="1864"/>
    </row>
    <row r="12" spans="1:25" ht="15" hidden="1" customHeight="1" x14ac:dyDescent="0.2">
      <c r="A12" s="1866" t="s">
        <v>406</v>
      </c>
      <c r="B12" s="1968">
        <f>B10-B11</f>
        <v>300.95611222444893</v>
      </c>
      <c r="C12" s="1795">
        <v>306</v>
      </c>
      <c r="D12" s="1969">
        <f>B12*C12/1000</f>
        <v>92.092570340681377</v>
      </c>
      <c r="E12" s="1969">
        <f>E10-E11</f>
        <v>393.40518528602809</v>
      </c>
      <c r="F12" s="1795">
        <v>341</v>
      </c>
      <c r="G12" s="1969">
        <f>E12*F12/1000</f>
        <v>134.1511681825356</v>
      </c>
      <c r="H12" s="1864"/>
      <c r="I12" s="1745"/>
      <c r="J12" s="1864"/>
    </row>
    <row r="13" spans="1:25" ht="15" hidden="1" customHeight="1" x14ac:dyDescent="0.2">
      <c r="A13" s="1867" t="s">
        <v>861</v>
      </c>
      <c r="B13" s="1869"/>
      <c r="C13" s="1867"/>
      <c r="D13" s="1870">
        <f>SUM(D7:D12)</f>
        <v>933.0546424849698</v>
      </c>
      <c r="E13" s="1867"/>
      <c r="F13" s="1867"/>
      <c r="G13" s="1870">
        <f>SUM(G7:G12)</f>
        <v>1211.4077229509351</v>
      </c>
      <c r="H13" s="1753"/>
      <c r="I13" s="1753"/>
      <c r="J13" s="1754"/>
    </row>
    <row r="14" spans="1:25" ht="58.5" hidden="1" customHeight="1" x14ac:dyDescent="0.2">
      <c r="A14" s="1868" t="s">
        <v>862</v>
      </c>
      <c r="B14" s="1791"/>
      <c r="C14" s="1966"/>
      <c r="D14" s="1967"/>
      <c r="E14" s="1966"/>
      <c r="F14" s="1966"/>
      <c r="G14" s="1967">
        <v>1455.14</v>
      </c>
      <c r="H14" s="1753"/>
      <c r="I14" s="1753"/>
      <c r="J14" s="1754">
        <v>1455.14</v>
      </c>
    </row>
    <row r="15" spans="1:25" ht="58.5" hidden="1" customHeight="1" x14ac:dyDescent="0.2">
      <c r="A15" s="1868" t="s">
        <v>862</v>
      </c>
      <c r="B15" s="1791"/>
      <c r="C15" s="1966"/>
      <c r="D15" s="1967"/>
      <c r="E15" s="1966"/>
      <c r="F15" s="1966"/>
      <c r="G15" s="1967">
        <v>60.06</v>
      </c>
      <c r="H15" s="1753"/>
      <c r="I15" s="1753"/>
      <c r="J15" s="1754">
        <v>60.06</v>
      </c>
    </row>
    <row r="16" spans="1:25" ht="58.5" hidden="1" customHeight="1" x14ac:dyDescent="0.2">
      <c r="A16" s="1869" t="s">
        <v>863</v>
      </c>
      <c r="B16" s="1791"/>
      <c r="C16" s="1966"/>
      <c r="D16" s="1967"/>
      <c r="E16" s="1966"/>
      <c r="F16" s="1966"/>
      <c r="G16" s="1967">
        <f>SUM(G14:G15)</f>
        <v>1515.2</v>
      </c>
      <c r="H16" s="1753"/>
      <c r="I16" s="1753"/>
      <c r="J16" s="1754">
        <f>SUM(J14:J15)</f>
        <v>1515.2</v>
      </c>
    </row>
    <row r="17" spans="1:16" ht="15" hidden="1" customHeight="1" x14ac:dyDescent="0.2">
      <c r="A17" s="3959" t="s">
        <v>410</v>
      </c>
      <c r="B17" s="3959"/>
      <c r="C17" s="3959"/>
      <c r="D17" s="3959"/>
      <c r="E17" s="3959"/>
      <c r="F17" s="3959"/>
      <c r="G17" s="3959"/>
      <c r="H17" s="3959"/>
      <c r="I17" s="3959"/>
      <c r="J17" s="3959"/>
    </row>
    <row r="18" spans="1:16" ht="38.25" hidden="1" customHeight="1" x14ac:dyDescent="0.2">
      <c r="A18" s="1669" t="s">
        <v>367</v>
      </c>
      <c r="B18" s="1669" t="s">
        <v>407</v>
      </c>
      <c r="C18" s="1669" t="s">
        <v>661</v>
      </c>
      <c r="D18" s="1669" t="s">
        <v>409</v>
      </c>
      <c r="E18" s="1669" t="s">
        <v>407</v>
      </c>
      <c r="F18" s="1669" t="s">
        <v>661</v>
      </c>
      <c r="G18" s="1669" t="s">
        <v>409</v>
      </c>
      <c r="H18" s="1861"/>
      <c r="I18" s="1861"/>
      <c r="J18" s="1861"/>
    </row>
    <row r="19" spans="1:16" ht="15" hidden="1" customHeight="1" x14ac:dyDescent="0.2">
      <c r="A19" s="1745" t="s">
        <v>662</v>
      </c>
      <c r="B19" s="1862">
        <f>объемы!M38</f>
        <v>5561.39</v>
      </c>
      <c r="C19" s="1662"/>
      <c r="D19" s="1662"/>
      <c r="E19" s="1862">
        <f>SUM(объемы!AA38)</f>
        <v>5654.317</v>
      </c>
      <c r="F19" s="1662"/>
      <c r="G19" s="1662"/>
      <c r="H19" s="1861"/>
      <c r="I19" s="1861"/>
      <c r="J19" s="1861"/>
    </row>
    <row r="20" spans="1:16" ht="15" hidden="1" customHeight="1" x14ac:dyDescent="0.2">
      <c r="A20" s="1745" t="s">
        <v>24</v>
      </c>
      <c r="B20" s="1862">
        <v>2800</v>
      </c>
      <c r="C20" s="1662">
        <v>70</v>
      </c>
      <c r="D20" s="1862">
        <f>B20*C20/1000</f>
        <v>196</v>
      </c>
      <c r="E20" s="1862">
        <f>SUM(объемы!AA49)</f>
        <v>2428.56</v>
      </c>
      <c r="F20" s="1662">
        <v>93</v>
      </c>
      <c r="G20" s="1862">
        <f>E20*F20/1000</f>
        <v>225.85607999999999</v>
      </c>
      <c r="H20" s="1861"/>
      <c r="I20" s="1861"/>
      <c r="J20" s="1861"/>
    </row>
    <row r="21" spans="1:16" ht="15" hidden="1" customHeight="1" x14ac:dyDescent="0.2">
      <c r="A21" s="1745" t="s">
        <v>262</v>
      </c>
      <c r="B21" s="1862">
        <v>1206.27</v>
      </c>
      <c r="C21" s="1662">
        <v>258</v>
      </c>
      <c r="D21" s="1862">
        <f>B21*C21/1000</f>
        <v>311.21765999999997</v>
      </c>
      <c r="E21" s="1862">
        <f>SUM(объемы!AA51+объемы!AA50+объемы!AA52)</f>
        <v>1560.6570000000002</v>
      </c>
      <c r="F21" s="1662">
        <v>341</v>
      </c>
      <c r="G21" s="1862">
        <f>E21*F21/1000</f>
        <v>532.18403699999999</v>
      </c>
      <c r="H21" s="1861"/>
      <c r="I21" s="1861"/>
      <c r="J21" s="1861"/>
    </row>
    <row r="22" spans="1:16" ht="15" hidden="1" customHeight="1" x14ac:dyDescent="0.2">
      <c r="A22" s="1745" t="s">
        <v>403</v>
      </c>
      <c r="B22" s="1862">
        <f>объемы!M41</f>
        <v>557.12</v>
      </c>
      <c r="C22" s="1662">
        <v>258</v>
      </c>
      <c r="D22" s="1862">
        <f>B22*C22/1000</f>
        <v>143.73695999999998</v>
      </c>
      <c r="E22" s="1862">
        <f>SUM(объемы!AA41)</f>
        <v>686.4</v>
      </c>
      <c r="F22" s="1662">
        <v>341</v>
      </c>
      <c r="G22" s="1862">
        <f>E22*F22/1000</f>
        <v>234.0624</v>
      </c>
      <c r="H22" s="1861"/>
      <c r="I22" s="1861"/>
      <c r="J22" s="1861"/>
    </row>
    <row r="23" spans="1:16" ht="15" hidden="1" customHeight="1" x14ac:dyDescent="0.2">
      <c r="A23" s="1745" t="s">
        <v>404</v>
      </c>
      <c r="B23" s="1862">
        <f>объемы!M46</f>
        <v>998</v>
      </c>
      <c r="C23" s="1662"/>
      <c r="D23" s="1862"/>
      <c r="E23" s="1862">
        <f>SUM(объемы!AA46)</f>
        <v>978.7</v>
      </c>
      <c r="F23" s="1662"/>
      <c r="G23" s="1862"/>
      <c r="H23" s="1861"/>
      <c r="I23" s="1861"/>
      <c r="J23" s="1861"/>
    </row>
    <row r="24" spans="1:16" ht="15" hidden="1" customHeight="1" x14ac:dyDescent="0.2">
      <c r="A24" s="1745" t="s">
        <v>405</v>
      </c>
      <c r="B24" s="1662">
        <f>B23*B20/(B20+B21)</f>
        <v>697.50665831309425</v>
      </c>
      <c r="C24" s="1662">
        <f>C20</f>
        <v>70</v>
      </c>
      <c r="D24" s="1862">
        <f>B24*C24/1000</f>
        <v>48.825466081916595</v>
      </c>
      <c r="E24" s="1662">
        <f>E23*E20/(E20+E21)</f>
        <v>595.81408381644826</v>
      </c>
      <c r="F24" s="1662">
        <f>F20</f>
        <v>93</v>
      </c>
      <c r="G24" s="1862">
        <f>E24*F24/1000</f>
        <v>55.410709794929687</v>
      </c>
      <c r="H24" s="1861"/>
      <c r="I24" s="1861"/>
      <c r="J24" s="1861"/>
    </row>
    <row r="25" spans="1:16" ht="15" hidden="1" customHeight="1" x14ac:dyDescent="0.2">
      <c r="A25" s="1745" t="s">
        <v>406</v>
      </c>
      <c r="B25" s="1862">
        <f>B23-B24</f>
        <v>300.49334168690575</v>
      </c>
      <c r="C25" s="1662">
        <v>258</v>
      </c>
      <c r="D25" s="1862">
        <f>B25*C25/1000</f>
        <v>77.527282155221684</v>
      </c>
      <c r="E25" s="1862">
        <f>E23-E24</f>
        <v>382.88591618355179</v>
      </c>
      <c r="F25" s="1662">
        <v>341</v>
      </c>
      <c r="G25" s="1862">
        <f>E25*F25/1000</f>
        <v>130.56409741859116</v>
      </c>
      <c r="H25" s="1861"/>
      <c r="I25" s="1861"/>
      <c r="J25" s="1861"/>
    </row>
    <row r="26" spans="1:16" ht="15" hidden="1" customHeight="1" thickBot="1" x14ac:dyDescent="0.25">
      <c r="A26" s="1753" t="s">
        <v>408</v>
      </c>
      <c r="B26" s="1744"/>
      <c r="C26" s="1744"/>
      <c r="D26" s="1863">
        <f>SUM(D20:D25)</f>
        <v>777.30736823713823</v>
      </c>
      <c r="E26" s="1744"/>
      <c r="F26" s="1744"/>
      <c r="G26" s="1863">
        <f>SUM(G20:G25)</f>
        <v>1178.077324213521</v>
      </c>
      <c r="H26" s="1861"/>
      <c r="I26" s="1861"/>
      <c r="J26" s="1861"/>
    </row>
    <row r="27" spans="1:16" ht="15.75" hidden="1" x14ac:dyDescent="0.25">
      <c r="A27" s="3960" t="s">
        <v>367</v>
      </c>
      <c r="B27" s="3961" t="s">
        <v>660</v>
      </c>
      <c r="C27" s="3962"/>
      <c r="D27" s="3963"/>
      <c r="E27" s="3964" t="s">
        <v>882</v>
      </c>
      <c r="F27" s="3964"/>
      <c r="G27" s="3964"/>
      <c r="H27" s="3965" t="s">
        <v>883</v>
      </c>
      <c r="I27" s="3965"/>
      <c r="J27" s="3965"/>
      <c r="K27" s="3961" t="s">
        <v>883</v>
      </c>
      <c r="L27" s="3962"/>
      <c r="M27" s="3962"/>
      <c r="N27" s="3962"/>
      <c r="O27" s="3962"/>
      <c r="P27" s="3963"/>
    </row>
    <row r="28" spans="1:16" ht="38.25" hidden="1" x14ac:dyDescent="0.2">
      <c r="A28" s="3960"/>
      <c r="B28" s="1865" t="s">
        <v>407</v>
      </c>
      <c r="C28" s="1865" t="s">
        <v>661</v>
      </c>
      <c r="D28" s="1865" t="s">
        <v>409</v>
      </c>
      <c r="E28" s="1865" t="s">
        <v>407</v>
      </c>
      <c r="F28" s="1865" t="s">
        <v>661</v>
      </c>
      <c r="G28" s="1865" t="s">
        <v>409</v>
      </c>
      <c r="H28" s="1669" t="s">
        <v>407</v>
      </c>
      <c r="I28" s="1669" t="s">
        <v>661</v>
      </c>
      <c r="J28" s="1669" t="s">
        <v>409</v>
      </c>
      <c r="K28" s="2112" t="s">
        <v>407</v>
      </c>
      <c r="L28" s="2112" t="s">
        <v>661</v>
      </c>
      <c r="M28" s="2112" t="s">
        <v>409</v>
      </c>
      <c r="N28" s="2112" t="s">
        <v>407</v>
      </c>
      <c r="O28" s="2112" t="s">
        <v>661</v>
      </c>
      <c r="P28" s="2112" t="s">
        <v>409</v>
      </c>
    </row>
    <row r="29" spans="1:16" hidden="1" x14ac:dyDescent="0.2">
      <c r="A29" s="1866" t="s">
        <v>662</v>
      </c>
      <c r="B29" s="1970">
        <f>объемы!L63</f>
        <v>0</v>
      </c>
      <c r="C29" s="1795"/>
      <c r="D29" s="1795"/>
      <c r="E29" s="1969">
        <f>E30+E31+E32+E33</f>
        <v>5570.6852214411947</v>
      </c>
      <c r="F29" s="1795"/>
      <c r="G29" s="1795"/>
      <c r="H29" s="1864">
        <f>SUM(объемы!AC63)</f>
        <v>0</v>
      </c>
      <c r="I29" s="1745"/>
      <c r="J29" s="1745"/>
      <c r="K29" s="1969">
        <f>K30+K31+K32+K33</f>
        <v>5570</v>
      </c>
      <c r="L29" s="1795"/>
      <c r="M29" s="1795"/>
      <c r="N29" s="1969">
        <f>N30+N31+N32+N33</f>
        <v>5326.2811437166174</v>
      </c>
      <c r="O29" s="1795"/>
      <c r="P29" s="1795"/>
    </row>
    <row r="30" spans="1:16" hidden="1" x14ac:dyDescent="0.2">
      <c r="A30" s="1866" t="s">
        <v>24</v>
      </c>
      <c r="B30" s="1970">
        <f>объемы!AA49</f>
        <v>2428.56</v>
      </c>
      <c r="C30" s="1795">
        <v>93</v>
      </c>
      <c r="D30" s="1969">
        <f>B30*C30/1000</f>
        <v>225.85607999999999</v>
      </c>
      <c r="E30" s="1969">
        <f>объемы!AJ49</f>
        <v>2380</v>
      </c>
      <c r="F30" s="1795">
        <f>107</f>
        <v>107</v>
      </c>
      <c r="G30" s="1969">
        <f>E30*F30/1000</f>
        <v>254.66</v>
      </c>
      <c r="H30" s="1864">
        <f>E30</f>
        <v>2380</v>
      </c>
      <c r="I30" s="1745">
        <v>122</v>
      </c>
      <c r="J30" s="1864">
        <f>H30*I30/1000</f>
        <v>290.36</v>
      </c>
      <c r="K30" s="1969">
        <v>2360</v>
      </c>
      <c r="L30" s="1795">
        <v>122</v>
      </c>
      <c r="M30" s="1969">
        <f>K30*L30/1000</f>
        <v>287.92</v>
      </c>
      <c r="N30" s="1969">
        <f>объемы!AR49</f>
        <v>2360</v>
      </c>
      <c r="O30" s="1795">
        <v>122</v>
      </c>
      <c r="P30" s="1969">
        <f>N30*O30/1000</f>
        <v>287.92</v>
      </c>
    </row>
    <row r="31" spans="1:16" hidden="1" x14ac:dyDescent="0.2">
      <c r="A31" s="1866" t="s">
        <v>262</v>
      </c>
      <c r="B31" s="1970">
        <f>объемы!AA51+объемы!AB50+объемы!AA52</f>
        <v>1582.077</v>
      </c>
      <c r="C31" s="1795">
        <v>341</v>
      </c>
      <c r="D31" s="1969">
        <f>B31*C31/1000</f>
        <v>539.48825699999998</v>
      </c>
      <c r="E31" s="1969">
        <f>объемы!AJ51+объемы!AK38+объемы!AJ52</f>
        <v>1411.3490000000002</v>
      </c>
      <c r="F31" s="1795">
        <v>392</v>
      </c>
      <c r="G31" s="1969">
        <f>E31*F31/1000</f>
        <v>553.24880800000005</v>
      </c>
      <c r="H31" s="1864">
        <f t="shared" ref="H31:H35" si="0">E31</f>
        <v>1411.3490000000002</v>
      </c>
      <c r="I31" s="1745">
        <v>452</v>
      </c>
      <c r="J31" s="1864">
        <f>H31*I31/1000</f>
        <v>637.92974800000002</v>
      </c>
      <c r="K31" s="1969">
        <v>1360</v>
      </c>
      <c r="L31" s="1795">
        <v>452</v>
      </c>
      <c r="M31" s="1969">
        <f>K31*L31/1000</f>
        <v>614.72</v>
      </c>
      <c r="N31" s="1969">
        <f>объемы!AS50+объемы!AR51+объемы!AR52</f>
        <v>1261.42</v>
      </c>
      <c r="O31" s="1795">
        <f>258*1.75</f>
        <v>451.5</v>
      </c>
      <c r="P31" s="1969">
        <f>N31*O31/1000</f>
        <v>569.53112999999996</v>
      </c>
    </row>
    <row r="32" spans="1:16" hidden="1" x14ac:dyDescent="0.2">
      <c r="A32" s="1866" t="s">
        <v>403</v>
      </c>
      <c r="B32" s="1970">
        <f>объемы!AA41</f>
        <v>686.4</v>
      </c>
      <c r="C32" s="1795">
        <v>341</v>
      </c>
      <c r="D32" s="1969">
        <f>B32*C32/1000</f>
        <v>234.0624</v>
      </c>
      <c r="E32" s="1969">
        <f>объемы!AJ41</f>
        <v>854.19674447979992</v>
      </c>
      <c r="F32" s="1795">
        <f>F31</f>
        <v>392</v>
      </c>
      <c r="G32" s="1969">
        <f>E32*F32/1000</f>
        <v>334.8451238360816</v>
      </c>
      <c r="H32" s="1864">
        <f t="shared" si="0"/>
        <v>854.19674447979992</v>
      </c>
      <c r="I32" s="1745">
        <f>I31</f>
        <v>452</v>
      </c>
      <c r="J32" s="1864">
        <f>H32*I32/1000</f>
        <v>386.0969285048696</v>
      </c>
      <c r="K32" s="1969">
        <v>920</v>
      </c>
      <c r="L32" s="1795">
        <v>452</v>
      </c>
      <c r="M32" s="1969">
        <f>K32*L32/1000</f>
        <v>415.84</v>
      </c>
      <c r="N32" s="1969">
        <f>объемы!AR41</f>
        <v>816.41813001798744</v>
      </c>
      <c r="O32" s="1795">
        <f>O31</f>
        <v>451.5</v>
      </c>
      <c r="P32" s="1969">
        <f>N32*O32/1000</f>
        <v>368.61278570312135</v>
      </c>
    </row>
    <row r="33" spans="1:16" hidden="1" x14ac:dyDescent="0.2">
      <c r="A33" s="1866" t="s">
        <v>404</v>
      </c>
      <c r="B33" s="1970">
        <f>объемы!AA46</f>
        <v>978.7</v>
      </c>
      <c r="C33" s="1795"/>
      <c r="D33" s="1969"/>
      <c r="E33" s="1969">
        <f>объемы!AJ46+объемы!AK46</f>
        <v>925.13947696139473</v>
      </c>
      <c r="F33" s="1795"/>
      <c r="G33" s="1969"/>
      <c r="H33" s="1864">
        <f t="shared" si="0"/>
        <v>925.13947696139473</v>
      </c>
      <c r="I33" s="1745"/>
      <c r="J33" s="1864"/>
      <c r="K33" s="1969">
        <v>930</v>
      </c>
      <c r="L33" s="1795"/>
      <c r="M33" s="1969"/>
      <c r="N33" s="1969">
        <f>объемы!AR46</f>
        <v>888.44301369863024</v>
      </c>
      <c r="O33" s="1795"/>
      <c r="P33" s="1969"/>
    </row>
    <row r="34" spans="1:16" hidden="1" x14ac:dyDescent="0.2">
      <c r="A34" s="1866" t="s">
        <v>405</v>
      </c>
      <c r="B34" s="1970">
        <f>B33*B30/(B30+B31)</f>
        <v>592.63196145649692</v>
      </c>
      <c r="C34" s="1795">
        <f>C30</f>
        <v>93</v>
      </c>
      <c r="D34" s="1969">
        <f>B34*C34/1000</f>
        <v>55.114772415454219</v>
      </c>
      <c r="E34" s="1969">
        <f t="shared" ref="E34:E35" si="1">B34</f>
        <v>592.63196145649692</v>
      </c>
      <c r="F34" s="1795">
        <f>F30</f>
        <v>107</v>
      </c>
      <c r="G34" s="1969">
        <f>E34*F34/1000</f>
        <v>63.411619875845169</v>
      </c>
      <c r="H34" s="1864">
        <f t="shared" si="0"/>
        <v>592.63196145649692</v>
      </c>
      <c r="I34" s="1745">
        <f>I30</f>
        <v>122</v>
      </c>
      <c r="J34" s="1864">
        <f>H34*I34/1000</f>
        <v>72.301099297692616</v>
      </c>
      <c r="K34" s="1970">
        <f>K33*K30/(K30+K31)</f>
        <v>590</v>
      </c>
      <c r="L34" s="1795">
        <v>122</v>
      </c>
      <c r="M34" s="1969">
        <f>K34*L34/1000</f>
        <v>71.98</v>
      </c>
      <c r="N34" s="1970">
        <f>N33*N30/(N30+N31)</f>
        <v>578.97882938978842</v>
      </c>
      <c r="O34" s="1795">
        <f>O30</f>
        <v>122</v>
      </c>
      <c r="P34" s="1969">
        <f>N34*O34/1000</f>
        <v>70.635417185554189</v>
      </c>
    </row>
    <row r="35" spans="1:16" hidden="1" x14ac:dyDescent="0.2">
      <c r="A35" s="1866" t="s">
        <v>406</v>
      </c>
      <c r="B35" s="1970">
        <f>B33-B34</f>
        <v>386.06803854350312</v>
      </c>
      <c r="C35" s="1795">
        <v>341</v>
      </c>
      <c r="D35" s="1969">
        <f>B35*C35/1000</f>
        <v>131.64920114333455</v>
      </c>
      <c r="E35" s="1969">
        <f t="shared" si="1"/>
        <v>386.06803854350312</v>
      </c>
      <c r="F35" s="1795">
        <f>F32</f>
        <v>392</v>
      </c>
      <c r="G35" s="1969">
        <f>E35*F35/1000</f>
        <v>151.33867110905322</v>
      </c>
      <c r="H35" s="1864">
        <f t="shared" si="0"/>
        <v>386.06803854350312</v>
      </c>
      <c r="I35" s="1745">
        <f>I32</f>
        <v>452</v>
      </c>
      <c r="J35" s="1864">
        <f>H35*I35/1000</f>
        <v>174.50275342166341</v>
      </c>
      <c r="K35" s="1970">
        <f>K33-K34</f>
        <v>340</v>
      </c>
      <c r="L35" s="1795">
        <f>L32</f>
        <v>452</v>
      </c>
      <c r="M35" s="1969">
        <f>K35*L35/1000</f>
        <v>153.68</v>
      </c>
      <c r="N35" s="1970">
        <f>N33-N34</f>
        <v>309.46418430884182</v>
      </c>
      <c r="O35" s="1795">
        <f>O32</f>
        <v>451.5</v>
      </c>
      <c r="P35" s="1969">
        <f>N35*O35/1000</f>
        <v>139.72307921544208</v>
      </c>
    </row>
    <row r="36" spans="1:16" hidden="1" x14ac:dyDescent="0.2">
      <c r="A36" s="1867" t="s">
        <v>861</v>
      </c>
      <c r="B36" s="1971"/>
      <c r="C36" s="1867"/>
      <c r="D36" s="1870">
        <f>SUM(D30:D35)</f>
        <v>1186.1707105587886</v>
      </c>
      <c r="E36" s="1867"/>
      <c r="F36" s="1867"/>
      <c r="G36" s="1870">
        <f>SUM(G30:G35)</f>
        <v>1357.50422282098</v>
      </c>
      <c r="H36" s="1753"/>
      <c r="I36" s="1753"/>
      <c r="J36" s="1754">
        <f>SUM(J30:J35)</f>
        <v>1561.1905292242257</v>
      </c>
      <c r="K36" s="1867"/>
      <c r="L36" s="1867"/>
      <c r="M36" s="1870">
        <f>SUM(M30:M35)</f>
        <v>1544.14</v>
      </c>
      <c r="N36" s="1867"/>
      <c r="O36" s="1867"/>
      <c r="P36" s="1870">
        <f>SUM(P30:P35)</f>
        <v>1436.4224121041175</v>
      </c>
    </row>
    <row r="37" spans="1:16" hidden="1" x14ac:dyDescent="0.2">
      <c r="A37" s="1972" t="s">
        <v>1552</v>
      </c>
      <c r="B37" s="1975"/>
      <c r="C37" s="1975"/>
      <c r="D37" s="1975"/>
      <c r="E37" s="1975"/>
      <c r="F37" s="1975"/>
      <c r="G37" s="1976"/>
      <c r="J37" s="1859">
        <f>J36/G36</f>
        <v>1.1500446945056073</v>
      </c>
      <c r="K37" s="1975"/>
      <c r="L37" s="1975"/>
      <c r="M37" s="1976"/>
      <c r="N37" s="1975"/>
      <c r="O37" s="1975"/>
      <c r="P37" s="1976"/>
    </row>
    <row r="38" spans="1:16" hidden="1" x14ac:dyDescent="0.2">
      <c r="A38" s="1972" t="s">
        <v>1553</v>
      </c>
      <c r="B38" s="1975"/>
      <c r="C38" s="1975"/>
      <c r="D38" s="1975"/>
      <c r="E38" s="1975">
        <f>объемы!AK38</f>
        <v>20.349</v>
      </c>
      <c r="F38" s="1975">
        <f>F35</f>
        <v>392</v>
      </c>
      <c r="G38" s="1980">
        <f>E38*F38/1000</f>
        <v>7.9768080000000001</v>
      </c>
      <c r="K38" s="1975">
        <f>объемы!BA38</f>
        <v>0</v>
      </c>
      <c r="L38" s="1975">
        <f>L35</f>
        <v>452</v>
      </c>
      <c r="M38" s="1980">
        <f>K38*L38/1000</f>
        <v>0</v>
      </c>
      <c r="N38" s="1975">
        <f>объемы!AS50</f>
        <v>21.42</v>
      </c>
      <c r="O38" s="1975">
        <f>O35</f>
        <v>451.5</v>
      </c>
      <c r="P38" s="1980">
        <f>N38*O38/1000</f>
        <v>9.6711300000000016</v>
      </c>
    </row>
    <row r="39" spans="1:16" hidden="1" x14ac:dyDescent="0.2">
      <c r="A39" s="1972" t="s">
        <v>1554</v>
      </c>
      <c r="B39" s="1975"/>
      <c r="C39" s="1975"/>
      <c r="D39" s="1975"/>
      <c r="E39" s="1977"/>
      <c r="F39" s="1975"/>
      <c r="G39" s="1980">
        <f>G36-G38</f>
        <v>1349.5274148209801</v>
      </c>
      <c r="K39" s="1977"/>
      <c r="L39" s="1975"/>
      <c r="M39" s="1980">
        <f>M36-M38</f>
        <v>1544.14</v>
      </c>
      <c r="N39" s="1977"/>
      <c r="O39" s="1975"/>
      <c r="P39" s="1980">
        <f>P36-P38</f>
        <v>1426.7512821041175</v>
      </c>
    </row>
    <row r="40" spans="1:16" hidden="1" x14ac:dyDescent="0.2">
      <c r="G40" s="1860"/>
    </row>
    <row r="41" spans="1:16" ht="15.75" hidden="1" x14ac:dyDescent="0.25">
      <c r="A41" s="3960" t="s">
        <v>367</v>
      </c>
      <c r="B41" s="3961" t="s">
        <v>1721</v>
      </c>
      <c r="C41" s="3962"/>
      <c r="D41" s="3963"/>
    </row>
    <row r="42" spans="1:16" ht="38.25" hidden="1" x14ac:dyDescent="0.2">
      <c r="A42" s="3960"/>
      <c r="B42" s="2140" t="s">
        <v>407</v>
      </c>
      <c r="C42" s="2140" t="s">
        <v>661</v>
      </c>
      <c r="D42" s="2140" t="s">
        <v>409</v>
      </c>
    </row>
    <row r="43" spans="1:16" hidden="1" x14ac:dyDescent="0.2">
      <c r="A43" s="2147" t="s">
        <v>662</v>
      </c>
      <c r="B43" s="1970">
        <f>объемы!Y38+объемы!Z38</f>
        <v>5629.6590286425908</v>
      </c>
      <c r="C43" s="1795"/>
      <c r="D43" s="1795"/>
    </row>
    <row r="44" spans="1:16" hidden="1" x14ac:dyDescent="0.2">
      <c r="A44" s="2147" t="s">
        <v>24</v>
      </c>
      <c r="B44" s="1970">
        <f>объемы!Y49</f>
        <v>2311.15</v>
      </c>
      <c r="C44" s="1795">
        <v>93</v>
      </c>
      <c r="D44" s="1969">
        <f>B44*C44/1000</f>
        <v>214.93695000000002</v>
      </c>
    </row>
    <row r="45" spans="1:16" hidden="1" x14ac:dyDescent="0.2">
      <c r="A45" s="2147" t="s">
        <v>262</v>
      </c>
      <c r="B45" s="1970">
        <f>объемы!Z50+объемы!Y51+объемы!Y52</f>
        <v>1257.5899999999999</v>
      </c>
      <c r="C45" s="1795">
        <v>341</v>
      </c>
      <c r="D45" s="1969">
        <f>B45*C45/1000</f>
        <v>428.83818999999994</v>
      </c>
    </row>
    <row r="46" spans="1:16" hidden="1" x14ac:dyDescent="0.2">
      <c r="A46" s="2147" t="s">
        <v>403</v>
      </c>
      <c r="B46" s="1970">
        <f>объемы!Y41</f>
        <v>1185.4000000000001</v>
      </c>
      <c r="C46" s="1795">
        <v>341</v>
      </c>
      <c r="D46" s="1969">
        <f>B46*C46/1000</f>
        <v>404.22140000000002</v>
      </c>
    </row>
    <row r="47" spans="1:16" hidden="1" x14ac:dyDescent="0.2">
      <c r="A47" s="2147" t="s">
        <v>404</v>
      </c>
      <c r="B47" s="1970">
        <f>объемы!Y46</f>
        <v>875.51902864259023</v>
      </c>
      <c r="C47" s="1795"/>
      <c r="D47" s="1969"/>
    </row>
    <row r="48" spans="1:16" hidden="1" x14ac:dyDescent="0.2">
      <c r="A48" s="2147" t="s">
        <v>405</v>
      </c>
      <c r="B48" s="1970">
        <f>B47*B44/(B44+B45)</f>
        <v>566.99445828144462</v>
      </c>
      <c r="C48" s="1795">
        <f>C44</f>
        <v>93</v>
      </c>
      <c r="D48" s="1969">
        <f>B48*C48/1000</f>
        <v>52.730484620174352</v>
      </c>
    </row>
    <row r="49" spans="1:25" hidden="1" x14ac:dyDescent="0.2">
      <c r="A49" s="2147" t="s">
        <v>406</v>
      </c>
      <c r="B49" s="1970">
        <f>B47-B48</f>
        <v>308.52457036114561</v>
      </c>
      <c r="C49" s="1795">
        <v>341</v>
      </c>
      <c r="D49" s="1969">
        <f>B49*C49/1000</f>
        <v>105.20687849315065</v>
      </c>
    </row>
    <row r="50" spans="1:25" hidden="1" x14ac:dyDescent="0.2">
      <c r="A50" s="1867" t="s">
        <v>861</v>
      </c>
      <c r="B50" s="1971"/>
      <c r="C50" s="1867"/>
      <c r="D50" s="1870">
        <f>SUM(D44:D49)</f>
        <v>1205.9339031133252</v>
      </c>
    </row>
    <row r="51" spans="1:25" hidden="1" x14ac:dyDescent="0.2">
      <c r="A51" s="1972" t="s">
        <v>1552</v>
      </c>
      <c r="B51" s="1975"/>
      <c r="C51" s="1975"/>
      <c r="D51" s="1975"/>
    </row>
    <row r="52" spans="1:25" hidden="1" x14ac:dyDescent="0.2">
      <c r="A52" s="1972" t="s">
        <v>1553</v>
      </c>
      <c r="B52" s="1977">
        <f>объемы!Z38</f>
        <v>2.4</v>
      </c>
      <c r="C52" s="1975">
        <f>C49</f>
        <v>341</v>
      </c>
      <c r="D52" s="1980">
        <f>B52*C52/1000</f>
        <v>0.81840000000000002</v>
      </c>
    </row>
    <row r="53" spans="1:25" hidden="1" x14ac:dyDescent="0.2">
      <c r="A53" s="1972" t="s">
        <v>1554</v>
      </c>
      <c r="B53" s="1975"/>
      <c r="C53" s="1975"/>
      <c r="D53" s="1980">
        <f>D50-D52</f>
        <v>1205.1155031133251</v>
      </c>
    </row>
    <row r="54" spans="1:25" hidden="1" x14ac:dyDescent="0.2"/>
    <row r="55" spans="1:25" hidden="1" x14ac:dyDescent="0.2"/>
    <row r="56" spans="1:25" hidden="1" x14ac:dyDescent="0.2"/>
    <row r="58" spans="1:25" ht="15.75" x14ac:dyDescent="0.25">
      <c r="A58" s="3960" t="s">
        <v>367</v>
      </c>
      <c r="B58" s="3961" t="s">
        <v>2018</v>
      </c>
      <c r="C58" s="3962"/>
      <c r="D58" s="3963"/>
      <c r="E58" s="3964" t="s">
        <v>2019</v>
      </c>
      <c r="F58" s="3964"/>
      <c r="G58" s="3964"/>
      <c r="H58" s="3965" t="s">
        <v>883</v>
      </c>
      <c r="I58" s="3965"/>
      <c r="J58" s="3965"/>
      <c r="K58" s="3961" t="s">
        <v>2020</v>
      </c>
      <c r="L58" s="3962"/>
      <c r="M58" s="3962"/>
      <c r="N58" s="3962" t="s">
        <v>2021</v>
      </c>
      <c r="O58" s="3962"/>
      <c r="P58" s="3963"/>
      <c r="Q58" s="3962" t="s">
        <v>2022</v>
      </c>
      <c r="R58" s="3962"/>
      <c r="S58" s="3963"/>
      <c r="T58" s="3962" t="s">
        <v>2024</v>
      </c>
      <c r="U58" s="3962"/>
      <c r="V58" s="3963"/>
      <c r="W58" s="3962" t="s">
        <v>2023</v>
      </c>
      <c r="X58" s="3962"/>
      <c r="Y58" s="3963"/>
    </row>
    <row r="59" spans="1:25" ht="38.25" x14ac:dyDescent="0.2">
      <c r="A59" s="3960"/>
      <c r="B59" s="2640" t="s">
        <v>407</v>
      </c>
      <c r="C59" s="2640" t="s">
        <v>661</v>
      </c>
      <c r="D59" s="2640" t="s">
        <v>409</v>
      </c>
      <c r="E59" s="2640" t="s">
        <v>407</v>
      </c>
      <c r="F59" s="2640" t="s">
        <v>661</v>
      </c>
      <c r="G59" s="2640" t="s">
        <v>409</v>
      </c>
      <c r="H59" s="1669" t="s">
        <v>407</v>
      </c>
      <c r="I59" s="1669" t="s">
        <v>661</v>
      </c>
      <c r="J59" s="1669" t="s">
        <v>409</v>
      </c>
      <c r="K59" s="2640" t="s">
        <v>407</v>
      </c>
      <c r="L59" s="2640" t="s">
        <v>661</v>
      </c>
      <c r="M59" s="2640" t="s">
        <v>409</v>
      </c>
      <c r="N59" s="2640" t="s">
        <v>407</v>
      </c>
      <c r="O59" s="2640" t="s">
        <v>661</v>
      </c>
      <c r="P59" s="2640" t="s">
        <v>409</v>
      </c>
      <c r="Q59" s="2640" t="s">
        <v>407</v>
      </c>
      <c r="R59" s="2640" t="s">
        <v>661</v>
      </c>
      <c r="S59" s="2640" t="s">
        <v>409</v>
      </c>
      <c r="T59" s="2640" t="s">
        <v>407</v>
      </c>
      <c r="U59" s="2640" t="s">
        <v>661</v>
      </c>
      <c r="V59" s="2640" t="s">
        <v>409</v>
      </c>
      <c r="W59" s="2640" t="s">
        <v>407</v>
      </c>
      <c r="X59" s="2640" t="s">
        <v>661</v>
      </c>
      <c r="Y59" s="2640" t="s">
        <v>409</v>
      </c>
    </row>
    <row r="60" spans="1:25" x14ac:dyDescent="0.2">
      <c r="A60" s="2644" t="s">
        <v>662</v>
      </c>
      <c r="B60" s="1970">
        <f>B61+B62+B63+B64+B65</f>
        <v>5957.5174595267745</v>
      </c>
      <c r="C60" s="1795"/>
      <c r="D60" s="1795"/>
      <c r="E60" s="1969">
        <f>E61+E62+E63+E65+E64</f>
        <v>6255.1516796622673</v>
      </c>
      <c r="F60" s="1795"/>
      <c r="G60" s="1795"/>
      <c r="H60" s="1864">
        <f>SUM(объемы!AC94)</f>
        <v>0</v>
      </c>
      <c r="I60" s="1745"/>
      <c r="J60" s="1745"/>
      <c r="K60" s="1969">
        <f>K61+K62+K63+K65+K64</f>
        <v>6255.1516796622673</v>
      </c>
      <c r="L60" s="1795"/>
      <c r="M60" s="1795"/>
      <c r="N60" s="1969">
        <f>N61+N62+N63+N65+N64</f>
        <v>6255.1516796622673</v>
      </c>
      <c r="O60" s="1795"/>
      <c r="P60" s="1795"/>
      <c r="Q60" s="1969">
        <f>Q61+Q62+Q63+Q65+Q64</f>
        <v>6255.1516796622673</v>
      </c>
      <c r="R60" s="1795"/>
      <c r="S60" s="1795"/>
      <c r="T60" s="1969">
        <f>T61+T62+T63+T65+T64</f>
        <v>6255.1516796622673</v>
      </c>
      <c r="U60" s="1795"/>
      <c r="V60" s="1795"/>
      <c r="W60" s="1969">
        <f>W61+W62+W63+W65+W64</f>
        <v>6255.1516796622673</v>
      </c>
      <c r="X60" s="1795"/>
      <c r="Y60" s="1795"/>
    </row>
    <row r="61" spans="1:25" x14ac:dyDescent="0.2">
      <c r="A61" s="2644" t="s">
        <v>24</v>
      </c>
      <c r="B61" s="1970">
        <f>объемы!AP49</f>
        <v>2447.77</v>
      </c>
      <c r="C61" s="1795">
        <v>107</v>
      </c>
      <c r="D61" s="1969">
        <f>B61*C61/1000</f>
        <v>261.91138999999998</v>
      </c>
      <c r="E61" s="1969">
        <f>объемы!AX49</f>
        <v>2460.5733333333333</v>
      </c>
      <c r="F61" s="1795">
        <v>141</v>
      </c>
      <c r="G61" s="1969">
        <f>E61*F61/1000</f>
        <v>346.94083999999998</v>
      </c>
      <c r="H61" s="1864">
        <f>E61</f>
        <v>2460.5733333333333</v>
      </c>
      <c r="I61" s="1745">
        <v>122</v>
      </c>
      <c r="J61" s="1864">
        <f>H61*I61/1000</f>
        <v>300.18994666666663</v>
      </c>
      <c r="K61" s="1969">
        <f>E61</f>
        <v>2460.5733333333333</v>
      </c>
      <c r="L61" s="1795">
        <v>162</v>
      </c>
      <c r="M61" s="1969">
        <f>K61*L61/1000</f>
        <v>398.61288000000002</v>
      </c>
      <c r="N61" s="1969">
        <f>K61</f>
        <v>2460.5733333333333</v>
      </c>
      <c r="O61" s="1795">
        <v>186</v>
      </c>
      <c r="P61" s="1969">
        <f>N61*O61/1000</f>
        <v>457.66664000000003</v>
      </c>
      <c r="Q61" s="1969">
        <f>N61</f>
        <v>2460.5733333333333</v>
      </c>
      <c r="R61" s="1795">
        <v>214</v>
      </c>
      <c r="S61" s="1969">
        <f>Q61*R61/1000</f>
        <v>526.56269333333341</v>
      </c>
      <c r="T61" s="1969">
        <f>Q61</f>
        <v>2460.5733333333333</v>
      </c>
      <c r="U61" s="1795">
        <v>246</v>
      </c>
      <c r="V61" s="1969">
        <f>T61*U61/1000</f>
        <v>605.30104000000006</v>
      </c>
      <c r="W61" s="1969">
        <f>T61</f>
        <v>2460.5733333333333</v>
      </c>
      <c r="X61" s="1795">
        <v>283</v>
      </c>
      <c r="Y61" s="1969">
        <f>W61*X61/1000</f>
        <v>696.34225333333325</v>
      </c>
    </row>
    <row r="62" spans="1:25" x14ac:dyDescent="0.2">
      <c r="A62" s="2644" t="s">
        <v>262</v>
      </c>
      <c r="B62" s="1970">
        <f>объемы!AP51+объемы!AP52</f>
        <v>1208.03</v>
      </c>
      <c r="C62" s="2758">
        <f>258*1.52</f>
        <v>392.16</v>
      </c>
      <c r="D62" s="1969">
        <f>B62*C62/1000</f>
        <v>473.74104480000005</v>
      </c>
      <c r="E62" s="1969">
        <f>объемы!AX51+объемы!AX52</f>
        <v>1200.05159</v>
      </c>
      <c r="F62" s="2758">
        <f>258*2.01</f>
        <v>518.57999999999993</v>
      </c>
      <c r="G62" s="1969">
        <f>E62*F62/1000</f>
        <v>622.32275354219996</v>
      </c>
      <c r="H62" s="1864">
        <f t="shared" ref="H62:H67" si="2">E62</f>
        <v>1200.05159</v>
      </c>
      <c r="I62" s="1745">
        <v>452</v>
      </c>
      <c r="J62" s="1864">
        <f>H62*I62/1000</f>
        <v>542.42331868000008</v>
      </c>
      <c r="K62" s="1969">
        <f t="shared" ref="K62:K64" si="3">E62</f>
        <v>1200.05159</v>
      </c>
      <c r="L62" s="1795">
        <f>258*2.31</f>
        <v>595.98</v>
      </c>
      <c r="M62" s="1969">
        <f>K62*L62/1000</f>
        <v>715.20674660819998</v>
      </c>
      <c r="N62" s="1969">
        <f t="shared" ref="N62:N64" si="4">K62</f>
        <v>1200.05159</v>
      </c>
      <c r="O62" s="1795">
        <f>258*2.66</f>
        <v>686.28000000000009</v>
      </c>
      <c r="P62" s="1969">
        <f>N62*O62/1000</f>
        <v>823.57140518520021</v>
      </c>
      <c r="Q62" s="1969">
        <f t="shared" ref="Q62:Q65" si="5">N62</f>
        <v>1200.05159</v>
      </c>
      <c r="R62" s="1795">
        <f>258*3.06</f>
        <v>789.48</v>
      </c>
      <c r="S62" s="1969">
        <f>Q62*R62/1000</f>
        <v>947.41672927320008</v>
      </c>
      <c r="T62" s="1969">
        <f t="shared" ref="T62:T65" si="6">Q62</f>
        <v>1200.05159</v>
      </c>
      <c r="U62" s="1795">
        <f>258*3.52</f>
        <v>908.16</v>
      </c>
      <c r="V62" s="1969">
        <f>T62*U62/1000</f>
        <v>1089.8388519744001</v>
      </c>
      <c r="W62" s="1969">
        <f t="shared" ref="W62:W65" si="7">T62</f>
        <v>1200.05159</v>
      </c>
      <c r="X62" s="1795">
        <f>258*4.05</f>
        <v>1044.8999999999999</v>
      </c>
      <c r="Y62" s="1969">
        <f>W62*X62/1000</f>
        <v>1253.9339063909999</v>
      </c>
    </row>
    <row r="63" spans="1:25" x14ac:dyDescent="0.2">
      <c r="A63" s="2644" t="s">
        <v>403</v>
      </c>
      <c r="B63" s="1970">
        <f>объемы!AP41</f>
        <v>1403.07</v>
      </c>
      <c r="C63" s="2758">
        <f>258*1.52</f>
        <v>392.16</v>
      </c>
      <c r="D63" s="1969">
        <f>B63*C63/1000</f>
        <v>550.22793119999994</v>
      </c>
      <c r="E63" s="1969">
        <f>объемы!AX41</f>
        <v>1194.2973333333332</v>
      </c>
      <c r="F63" s="2758">
        <f>F62</f>
        <v>518.57999999999993</v>
      </c>
      <c r="G63" s="1969">
        <f>E63*F63/1000</f>
        <v>619.33871111999986</v>
      </c>
      <c r="H63" s="1864">
        <f t="shared" si="2"/>
        <v>1194.2973333333332</v>
      </c>
      <c r="I63" s="1745">
        <f>I62</f>
        <v>452</v>
      </c>
      <c r="J63" s="1864">
        <f>H63*I63/1000</f>
        <v>539.82239466666658</v>
      </c>
      <c r="K63" s="1969">
        <f t="shared" si="3"/>
        <v>1194.2973333333332</v>
      </c>
      <c r="L63" s="1795">
        <f t="shared" ref="L63:L64" si="8">258*2.31</f>
        <v>595.98</v>
      </c>
      <c r="M63" s="1969">
        <f>K63*L63/1000</f>
        <v>711.77732471999991</v>
      </c>
      <c r="N63" s="1969">
        <f t="shared" si="4"/>
        <v>1194.2973333333332</v>
      </c>
      <c r="O63" s="1795">
        <f>O62</f>
        <v>686.28000000000009</v>
      </c>
      <c r="P63" s="1969">
        <f>N63*O63/1000</f>
        <v>819.62237392000009</v>
      </c>
      <c r="Q63" s="1969">
        <f t="shared" si="5"/>
        <v>1194.2973333333332</v>
      </c>
      <c r="R63" s="1795">
        <f>R62</f>
        <v>789.48</v>
      </c>
      <c r="S63" s="1969">
        <f>Q63*R63/1000</f>
        <v>942.87385871999993</v>
      </c>
      <c r="T63" s="1969">
        <f t="shared" si="6"/>
        <v>1194.2973333333332</v>
      </c>
      <c r="U63" s="1795">
        <f>U62</f>
        <v>908.16</v>
      </c>
      <c r="V63" s="1969">
        <f>T63*U63/1000</f>
        <v>1084.6130662399999</v>
      </c>
      <c r="W63" s="1969">
        <f t="shared" si="7"/>
        <v>1194.2973333333332</v>
      </c>
      <c r="X63" s="1795">
        <f t="shared" ref="X63:X64" si="9">258*4.05</f>
        <v>1044.8999999999999</v>
      </c>
      <c r="Y63" s="1969">
        <f>W63*X63/1000</f>
        <v>1247.9212835999997</v>
      </c>
    </row>
    <row r="64" spans="1:25" x14ac:dyDescent="0.2">
      <c r="A64" s="2644" t="s">
        <v>25</v>
      </c>
      <c r="B64" s="1970">
        <f>объемы!AQ50</f>
        <v>1.77</v>
      </c>
      <c r="C64" s="2758">
        <f>C63</f>
        <v>392.16</v>
      </c>
      <c r="D64" s="1969">
        <f>B64*C64/1000</f>
        <v>0.69412320000000005</v>
      </c>
      <c r="E64" s="1969">
        <f>объемы!AY48</f>
        <v>1.77</v>
      </c>
      <c r="F64" s="2758">
        <f>F63</f>
        <v>518.57999999999993</v>
      </c>
      <c r="G64" s="1969">
        <f>E64*F64/1000</f>
        <v>0.91788659999999989</v>
      </c>
      <c r="H64" s="1864"/>
      <c r="I64" s="1745"/>
      <c r="J64" s="1864"/>
      <c r="K64" s="1969">
        <f t="shared" si="3"/>
        <v>1.77</v>
      </c>
      <c r="L64" s="1795">
        <f t="shared" si="8"/>
        <v>595.98</v>
      </c>
      <c r="M64" s="1969">
        <f>K64*L64/1000</f>
        <v>1.0548846000000001</v>
      </c>
      <c r="N64" s="1969">
        <f t="shared" si="4"/>
        <v>1.77</v>
      </c>
      <c r="O64" s="1795">
        <f>O63</f>
        <v>686.28000000000009</v>
      </c>
      <c r="P64" s="1969">
        <f>N64*O64/1000</f>
        <v>1.2147156000000001</v>
      </c>
      <c r="Q64" s="1969">
        <f t="shared" si="5"/>
        <v>1.77</v>
      </c>
      <c r="R64" s="1795">
        <f>R63</f>
        <v>789.48</v>
      </c>
      <c r="S64" s="1969">
        <f>Q64*R64/1000</f>
        <v>1.3973796000000001</v>
      </c>
      <c r="T64" s="1969">
        <f t="shared" si="6"/>
        <v>1.77</v>
      </c>
      <c r="U64" s="1795">
        <f>U63</f>
        <v>908.16</v>
      </c>
      <c r="V64" s="1969">
        <f>T64*U64/1000</f>
        <v>1.6074431999999998</v>
      </c>
      <c r="W64" s="1969">
        <f t="shared" si="7"/>
        <v>1.77</v>
      </c>
      <c r="X64" s="1795">
        <f t="shared" si="9"/>
        <v>1044.8999999999999</v>
      </c>
      <c r="Y64" s="1969">
        <f>W64*X64/1000</f>
        <v>1.8494729999999997</v>
      </c>
    </row>
    <row r="65" spans="1:25" x14ac:dyDescent="0.2">
      <c r="A65" s="2644" t="s">
        <v>404</v>
      </c>
      <c r="B65" s="1970">
        <f>объемы!AP46</f>
        <v>896.8774595267746</v>
      </c>
      <c r="C65" s="1795"/>
      <c r="D65" s="1969"/>
      <c r="E65" s="1969">
        <f>объемы!AX46</f>
        <v>1398.4594229955999</v>
      </c>
      <c r="F65" s="1795"/>
      <c r="G65" s="1969"/>
      <c r="H65" s="1864">
        <f t="shared" si="2"/>
        <v>1398.4594229955999</v>
      </c>
      <c r="I65" s="1745"/>
      <c r="J65" s="1864"/>
      <c r="K65" s="1969">
        <f>E65</f>
        <v>1398.4594229955999</v>
      </c>
      <c r="L65" s="1795"/>
      <c r="M65" s="1969"/>
      <c r="N65" s="1969">
        <f>K65</f>
        <v>1398.4594229955999</v>
      </c>
      <c r="O65" s="1795"/>
      <c r="P65" s="1969"/>
      <c r="Q65" s="1969">
        <f t="shared" si="5"/>
        <v>1398.4594229955999</v>
      </c>
      <c r="R65" s="1795"/>
      <c r="S65" s="1969"/>
      <c r="T65" s="1969">
        <f t="shared" si="6"/>
        <v>1398.4594229955999</v>
      </c>
      <c r="U65" s="1795"/>
      <c r="V65" s="1969"/>
      <c r="W65" s="1969">
        <f t="shared" si="7"/>
        <v>1398.4594229955999</v>
      </c>
      <c r="X65" s="1795"/>
      <c r="Y65" s="1969"/>
    </row>
    <row r="66" spans="1:25" x14ac:dyDescent="0.2">
      <c r="A66" s="2644" t="s">
        <v>405</v>
      </c>
      <c r="B66" s="1970">
        <f>B65*B61/(B61+B62)</f>
        <v>600.51144458281442</v>
      </c>
      <c r="C66" s="1795">
        <f>C61</f>
        <v>107</v>
      </c>
      <c r="D66" s="1969">
        <f>B66*C66/1000</f>
        <v>64.254724570361134</v>
      </c>
      <c r="E66" s="1969">
        <f t="shared" ref="E66:E67" si="10">B66</f>
        <v>600.51144458281442</v>
      </c>
      <c r="F66" s="1795">
        <f>F61</f>
        <v>141</v>
      </c>
      <c r="G66" s="1969">
        <f>E66*F66/1000</f>
        <v>84.672113686176829</v>
      </c>
      <c r="H66" s="1864">
        <f t="shared" si="2"/>
        <v>600.51144458281442</v>
      </c>
      <c r="I66" s="1745">
        <f>I61</f>
        <v>122</v>
      </c>
      <c r="J66" s="1864">
        <f>H66*I66/1000</f>
        <v>73.262396239103353</v>
      </c>
      <c r="K66" s="1970">
        <f>K65*K61/(K61+K62)</f>
        <v>940.00670269117256</v>
      </c>
      <c r="L66" s="1795">
        <v>122</v>
      </c>
      <c r="M66" s="1969">
        <f>K66*L66/1000</f>
        <v>114.68081772832305</v>
      </c>
      <c r="N66" s="1970">
        <f>N65*N61/(N61+N62)</f>
        <v>940.00670269117256</v>
      </c>
      <c r="O66" s="1795">
        <f>O61</f>
        <v>186</v>
      </c>
      <c r="P66" s="1969">
        <f>N66*O66/1000</f>
        <v>174.84124670055809</v>
      </c>
      <c r="Q66" s="1970">
        <f>Q65*Q61/(Q61+Q62)</f>
        <v>940.00670269117256</v>
      </c>
      <c r="R66" s="1795">
        <f>R61</f>
        <v>214</v>
      </c>
      <c r="S66" s="1969">
        <f>Q66*R66/1000</f>
        <v>201.16143437591094</v>
      </c>
      <c r="T66" s="1970">
        <f>T65*T61/(T61+T62)</f>
        <v>940.00670269117256</v>
      </c>
      <c r="U66" s="1795">
        <f>U61</f>
        <v>246</v>
      </c>
      <c r="V66" s="1969">
        <f>T66*U66/1000</f>
        <v>231.24164886202843</v>
      </c>
      <c r="W66" s="1970">
        <f>W65*W61/(W61+W62)</f>
        <v>940.00670269117256</v>
      </c>
      <c r="X66" s="1795">
        <f>X61</f>
        <v>283</v>
      </c>
      <c r="Y66" s="1969">
        <f>W66*X66/1000</f>
        <v>266.02189686160187</v>
      </c>
    </row>
    <row r="67" spans="1:25" x14ac:dyDescent="0.2">
      <c r="A67" s="2644" t="s">
        <v>406</v>
      </c>
      <c r="B67" s="1970">
        <f>B65-B66</f>
        <v>296.36601494396018</v>
      </c>
      <c r="C67" s="2758">
        <f>C63</f>
        <v>392.16</v>
      </c>
      <c r="D67" s="1969">
        <f>B67*C67/1000</f>
        <v>116.22289642042344</v>
      </c>
      <c r="E67" s="1969">
        <f t="shared" si="10"/>
        <v>296.36601494396018</v>
      </c>
      <c r="F67" s="1795">
        <f>F63</f>
        <v>518.57999999999993</v>
      </c>
      <c r="G67" s="1969">
        <f>E67*F67/1000</f>
        <v>153.68948802963885</v>
      </c>
      <c r="H67" s="1864">
        <f t="shared" si="2"/>
        <v>296.36601494396018</v>
      </c>
      <c r="I67" s="1745">
        <f>I63</f>
        <v>452</v>
      </c>
      <c r="J67" s="1864">
        <f>H67*I67/1000</f>
        <v>133.95743875466999</v>
      </c>
      <c r="K67" s="1970">
        <f>K65-K66</f>
        <v>458.45272030442732</v>
      </c>
      <c r="L67" s="1795">
        <f>L63</f>
        <v>595.98</v>
      </c>
      <c r="M67" s="1969">
        <f>K67*L67/1000</f>
        <v>273.22865224703264</v>
      </c>
      <c r="N67" s="1970">
        <f>N65-N66</f>
        <v>458.45272030442732</v>
      </c>
      <c r="O67" s="1795">
        <f>O63</f>
        <v>686.28000000000009</v>
      </c>
      <c r="P67" s="1969">
        <f>N67*O67/1000</f>
        <v>314.62693289052243</v>
      </c>
      <c r="Q67" s="1970">
        <f>Q65-Q66</f>
        <v>458.45272030442732</v>
      </c>
      <c r="R67" s="1795">
        <f>R63</f>
        <v>789.48</v>
      </c>
      <c r="S67" s="1969">
        <f>Q67*R67/1000</f>
        <v>361.93925362593933</v>
      </c>
      <c r="T67" s="1970">
        <f>T65-T66</f>
        <v>458.45272030442732</v>
      </c>
      <c r="U67" s="1795">
        <f>U63</f>
        <v>908.16</v>
      </c>
      <c r="V67" s="1969">
        <f>T67*U67/1000</f>
        <v>416.3484224716687</v>
      </c>
      <c r="W67" s="1970">
        <f>W65-W66</f>
        <v>458.45272030442732</v>
      </c>
      <c r="X67" s="1795">
        <f>X63</f>
        <v>1044.8999999999999</v>
      </c>
      <c r="Y67" s="1969">
        <f>W67*X67/1000</f>
        <v>479.03724744609605</v>
      </c>
    </row>
    <row r="68" spans="1:25" x14ac:dyDescent="0.2">
      <c r="A68" s="1867" t="s">
        <v>861</v>
      </c>
      <c r="B68" s="1971"/>
      <c r="C68" s="1867"/>
      <c r="D68" s="1870">
        <f>SUM(D61:D67)</f>
        <v>1467.0521101907843</v>
      </c>
      <c r="E68" s="1867"/>
      <c r="F68" s="1867"/>
      <c r="G68" s="1870">
        <f>SUM(G61:G67)</f>
        <v>1827.8817929780155</v>
      </c>
      <c r="H68" s="1753"/>
      <c r="I68" s="1753"/>
      <c r="J68" s="1754">
        <f>SUM(J61:J67)</f>
        <v>1589.6554950071065</v>
      </c>
      <c r="K68" s="1867"/>
      <c r="L68" s="1867"/>
      <c r="M68" s="1870">
        <f>SUM(M61:M67)</f>
        <v>2214.5613059035554</v>
      </c>
      <c r="N68" s="1867"/>
      <c r="O68" s="1867"/>
      <c r="P68" s="1870">
        <f>SUM(P61:P67)</f>
        <v>2591.5433142962811</v>
      </c>
      <c r="Q68" s="1867"/>
      <c r="R68" s="1867"/>
      <c r="S68" s="1870">
        <f>SUM(S61:S67)</f>
        <v>2981.3513489283837</v>
      </c>
      <c r="T68" s="1867"/>
      <c r="U68" s="1867"/>
      <c r="V68" s="1870">
        <f>SUM(V61:V67)</f>
        <v>3428.9504727480967</v>
      </c>
      <c r="W68" s="1867"/>
      <c r="X68" s="1867"/>
      <c r="Y68" s="1870">
        <f>SUM(Y61:Y67)</f>
        <v>3945.1060606320311</v>
      </c>
    </row>
    <row r="69" spans="1:25" x14ac:dyDescent="0.2">
      <c r="A69" s="1972" t="s">
        <v>1552</v>
      </c>
      <c r="B69" s="1975"/>
      <c r="C69" s="1975"/>
      <c r="D69" s="1975"/>
      <c r="E69" s="1975"/>
      <c r="F69" s="1975"/>
      <c r="G69" s="1976"/>
      <c r="J69" s="1859">
        <f>J68/G68</f>
        <v>0.86967084037595965</v>
      </c>
      <c r="K69" s="1975"/>
      <c r="L69" s="1975"/>
      <c r="M69" s="1976"/>
      <c r="N69" s="1975"/>
      <c r="O69" s="1975"/>
      <c r="P69" s="1976"/>
      <c r="Q69" s="1975"/>
      <c r="R69" s="1975"/>
      <c r="S69" s="1976"/>
      <c r="T69" s="1975"/>
      <c r="U69" s="1975"/>
      <c r="V69" s="1976"/>
      <c r="W69" s="1975"/>
      <c r="X69" s="1975"/>
      <c r="Y69" s="1976"/>
    </row>
    <row r="70" spans="1:25" x14ac:dyDescent="0.2">
      <c r="A70" s="1972" t="s">
        <v>1553</v>
      </c>
      <c r="B70" s="1975"/>
      <c r="C70" s="1975"/>
      <c r="D70" s="1977">
        <f>D64</f>
        <v>0.69412320000000005</v>
      </c>
      <c r="E70" s="1977"/>
      <c r="F70" s="1977"/>
      <c r="G70" s="1977">
        <f t="shared" ref="G70:Y70" si="11">G64</f>
        <v>0.91788659999999989</v>
      </c>
      <c r="H70" s="1977">
        <f t="shared" si="11"/>
        <v>0</v>
      </c>
      <c r="I70" s="1977">
        <f t="shared" si="11"/>
        <v>0</v>
      </c>
      <c r="J70" s="1977">
        <f t="shared" si="11"/>
        <v>0</v>
      </c>
      <c r="K70" s="1977"/>
      <c r="L70" s="1977"/>
      <c r="M70" s="1977">
        <f t="shared" si="11"/>
        <v>1.0548846000000001</v>
      </c>
      <c r="N70" s="1977"/>
      <c r="O70" s="1977"/>
      <c r="P70" s="1977">
        <f t="shared" si="11"/>
        <v>1.2147156000000001</v>
      </c>
      <c r="Q70" s="1977"/>
      <c r="R70" s="1977"/>
      <c r="S70" s="1977">
        <f t="shared" si="11"/>
        <v>1.3973796000000001</v>
      </c>
      <c r="T70" s="1977"/>
      <c r="U70" s="1977"/>
      <c r="V70" s="1977">
        <f t="shared" si="11"/>
        <v>1.6074431999999998</v>
      </c>
      <c r="W70" s="1977"/>
      <c r="X70" s="1977"/>
      <c r="Y70" s="1977">
        <f t="shared" si="11"/>
        <v>1.8494729999999997</v>
      </c>
    </row>
    <row r="71" spans="1:25" x14ac:dyDescent="0.2">
      <c r="A71" s="1972" t="s">
        <v>1554</v>
      </c>
      <c r="B71" s="1975"/>
      <c r="C71" s="1975"/>
      <c r="D71" s="1977">
        <f>D61+D62+D63+D66+D67</f>
        <v>1466.3579869907844</v>
      </c>
      <c r="E71" s="1977"/>
      <c r="F71" s="1977"/>
      <c r="G71" s="1977">
        <f t="shared" ref="G71:Y71" si="12">G61+G62+G63+G66+G67</f>
        <v>1826.9639063780155</v>
      </c>
      <c r="H71" s="1977">
        <f t="shared" si="12"/>
        <v>5751.7997161934418</v>
      </c>
      <c r="I71" s="1977">
        <f t="shared" si="12"/>
        <v>1600</v>
      </c>
      <c r="J71" s="1977">
        <f t="shared" si="12"/>
        <v>1589.6554950071065</v>
      </c>
      <c r="K71" s="1977"/>
      <c r="L71" s="1977"/>
      <c r="M71" s="1977">
        <f t="shared" si="12"/>
        <v>2213.5064213035557</v>
      </c>
      <c r="N71" s="1977"/>
      <c r="O71" s="1977"/>
      <c r="P71" s="1977">
        <f t="shared" si="12"/>
        <v>2590.328598696281</v>
      </c>
      <c r="Q71" s="1977"/>
      <c r="R71" s="1977"/>
      <c r="S71" s="1977">
        <f t="shared" si="12"/>
        <v>2979.9539693283837</v>
      </c>
      <c r="T71" s="1977"/>
      <c r="U71" s="1977"/>
      <c r="V71" s="1977">
        <f t="shared" si="12"/>
        <v>3427.3430295480966</v>
      </c>
      <c r="W71" s="1977"/>
      <c r="X71" s="1977"/>
      <c r="Y71" s="1977">
        <f t="shared" si="12"/>
        <v>3943.2565876320309</v>
      </c>
    </row>
  </sheetData>
  <mergeCells count="23">
    <mergeCell ref="E4:G4"/>
    <mergeCell ref="H4:J4"/>
    <mergeCell ref="B27:D27"/>
    <mergeCell ref="A27:A28"/>
    <mergeCell ref="E27:G27"/>
    <mergeCell ref="H27:J27"/>
    <mergeCell ref="A17:J17"/>
    <mergeCell ref="A2:Y2"/>
    <mergeCell ref="Q58:S58"/>
    <mergeCell ref="T58:V58"/>
    <mergeCell ref="W58:Y58"/>
    <mergeCell ref="A58:A59"/>
    <mergeCell ref="B58:D58"/>
    <mergeCell ref="E58:G58"/>
    <mergeCell ref="H58:J58"/>
    <mergeCell ref="K58:M58"/>
    <mergeCell ref="N58:P58"/>
    <mergeCell ref="A41:A42"/>
    <mergeCell ref="B41:D41"/>
    <mergeCell ref="K27:P27"/>
    <mergeCell ref="A3:J3"/>
    <mergeCell ref="B4:D4"/>
    <mergeCell ref="A4:A5"/>
  </mergeCells>
  <phoneticPr fontId="8" type="noConversion"/>
  <printOptions horizontalCentered="1"/>
  <pageMargins left="0.35433070866141736" right="0.35433070866141736" top="0.51181102362204722" bottom="0.55118110236220474" header="0.51181102362204722" footer="0.51181102362204722"/>
  <pageSetup paperSize="9" scale="6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39"/>
  <sheetViews>
    <sheetView workbookViewId="0">
      <selection activeCell="E32" sqref="E32"/>
    </sheetView>
  </sheetViews>
  <sheetFormatPr defaultRowHeight="12.75" x14ac:dyDescent="0.2"/>
  <cols>
    <col min="1" max="1" width="27.140625" style="2489" customWidth="1"/>
    <col min="2" max="2" width="15.5703125" style="2753" customWidth="1"/>
    <col min="3" max="3" width="14.5703125" style="2753" customWidth="1"/>
    <col min="4" max="4" width="14.5703125" style="2753" hidden="1" customWidth="1"/>
    <col min="5" max="5" width="13.5703125" style="2753" customWidth="1"/>
    <col min="6" max="6" width="14.28515625" style="2753" customWidth="1"/>
    <col min="7" max="7" width="12.5703125" style="2753" customWidth="1"/>
    <col min="8" max="8" width="13.5703125" style="2753" customWidth="1"/>
    <col min="9" max="9" width="15.85546875" style="2753" customWidth="1"/>
    <col min="10" max="10" width="19.140625" style="2753" customWidth="1"/>
    <col min="11" max="16384" width="9.140625" style="5"/>
  </cols>
  <sheetData>
    <row r="4" spans="1:10" x14ac:dyDescent="0.2">
      <c r="A4" s="2725" t="s">
        <v>536</v>
      </c>
      <c r="B4" s="2726" t="s">
        <v>829</v>
      </c>
      <c r="C4" s="2726" t="s">
        <v>908</v>
      </c>
      <c r="D4" s="2726" t="s">
        <v>909</v>
      </c>
      <c r="E4" s="2726" t="s">
        <v>1819</v>
      </c>
      <c r="F4" s="2726" t="s">
        <v>1825</v>
      </c>
      <c r="G4" s="2726" t="s">
        <v>1826</v>
      </c>
      <c r="H4" s="2726" t="s">
        <v>1827</v>
      </c>
      <c r="I4" s="2726" t="s">
        <v>1828</v>
      </c>
      <c r="J4" s="2726" t="s">
        <v>1829</v>
      </c>
    </row>
    <row r="5" spans="1:10" ht="25.5" x14ac:dyDescent="0.2">
      <c r="A5" s="2491" t="s">
        <v>2131</v>
      </c>
      <c r="B5" s="1959">
        <f>SUM(B6:B9)</f>
        <v>158771271.90000001</v>
      </c>
      <c r="C5" s="1959">
        <f t="shared" ref="C5:J5" si="0">SUM(C6:C9)</f>
        <v>148204708.53999999</v>
      </c>
      <c r="D5" s="1959">
        <f t="shared" si="0"/>
        <v>135728911.88999999</v>
      </c>
      <c r="E5" s="1959">
        <f t="shared" si="0"/>
        <v>135728911.88999999</v>
      </c>
      <c r="F5" s="1959">
        <f t="shared" si="0"/>
        <v>119544488.90909091</v>
      </c>
      <c r="G5" s="1959">
        <f t="shared" si="0"/>
        <v>104553818.90909091</v>
      </c>
      <c r="H5" s="1959">
        <f t="shared" si="0"/>
        <v>89563148.909090906</v>
      </c>
      <c r="I5" s="1959">
        <f t="shared" si="0"/>
        <v>74572478.909090906</v>
      </c>
      <c r="J5" s="1959">
        <f t="shared" si="0"/>
        <v>59581808.909090899</v>
      </c>
    </row>
    <row r="6" spans="1:10" s="1987" customFormat="1" x14ac:dyDescent="0.2">
      <c r="A6" s="2847" t="s">
        <v>46</v>
      </c>
      <c r="B6" s="2848">
        <v>85365891.739999995</v>
      </c>
      <c r="C6" s="2848">
        <f t="shared" ref="C6:D8" si="1">B14</f>
        <v>78769163.709999993</v>
      </c>
      <c r="D6" s="2848">
        <f t="shared" si="1"/>
        <v>88936290.835454538</v>
      </c>
      <c r="E6" s="2848">
        <f>C14</f>
        <v>88936290.835454538</v>
      </c>
      <c r="F6" s="2848">
        <f t="shared" ref="F6:H7" si="2">E14</f>
        <v>78951910.835454538</v>
      </c>
      <c r="G6" s="2848">
        <f t="shared" si="2"/>
        <v>68967530.835454538</v>
      </c>
      <c r="H6" s="2848">
        <f t="shared" si="2"/>
        <v>58983150.835454538</v>
      </c>
      <c r="I6" s="2848">
        <f t="shared" ref="I6:J6" si="3">H14</f>
        <v>48998770.835454538</v>
      </c>
      <c r="J6" s="2848">
        <f t="shared" si="3"/>
        <v>39014390.835454538</v>
      </c>
    </row>
    <row r="7" spans="1:10" s="1987" customFormat="1" x14ac:dyDescent="0.2">
      <c r="A7" s="2847" t="s">
        <v>47</v>
      </c>
      <c r="B7" s="2848">
        <v>70013130.239999995</v>
      </c>
      <c r="C7" s="2848">
        <f t="shared" si="1"/>
        <v>66204768.289999999</v>
      </c>
      <c r="D7" s="2848">
        <f t="shared" si="1"/>
        <v>45598868.07363636</v>
      </c>
      <c r="E7" s="2848">
        <f>C15</f>
        <v>45598868.07363636</v>
      </c>
      <c r="F7" s="2848">
        <f t="shared" si="2"/>
        <v>40592578.07363636</v>
      </c>
      <c r="G7" s="2848">
        <f t="shared" si="2"/>
        <v>35586288.07363636</v>
      </c>
      <c r="H7" s="2848">
        <f t="shared" si="2"/>
        <v>30579998.07363636</v>
      </c>
      <c r="I7" s="2848">
        <f t="shared" ref="I7:J7" si="4">H15</f>
        <v>25573708.07363636</v>
      </c>
      <c r="J7" s="2848">
        <f t="shared" si="4"/>
        <v>20567418.07363636</v>
      </c>
    </row>
    <row r="8" spans="1:10" s="1987" customFormat="1" x14ac:dyDescent="0.2">
      <c r="A8" s="2847" t="s">
        <v>1474</v>
      </c>
      <c r="B8" s="2848">
        <v>3133514.56</v>
      </c>
      <c r="C8" s="2848">
        <f t="shared" si="1"/>
        <v>3037658.2</v>
      </c>
      <c r="D8" s="4539">
        <f t="shared" si="1"/>
        <v>1193752.9809090903</v>
      </c>
      <c r="E8" s="4539">
        <f>C16</f>
        <v>1193752.9809090903</v>
      </c>
      <c r="F8" s="2848"/>
      <c r="G8" s="2848"/>
      <c r="H8" s="2848"/>
      <c r="I8" s="2848"/>
      <c r="J8" s="2848"/>
    </row>
    <row r="9" spans="1:10" s="1987" customFormat="1" x14ac:dyDescent="0.2">
      <c r="A9" s="2847" t="s">
        <v>2134</v>
      </c>
      <c r="B9" s="2848">
        <v>258735.35999999999</v>
      </c>
      <c r="C9" s="2848">
        <f>B17</f>
        <v>193118.34</v>
      </c>
      <c r="D9" s="4540"/>
      <c r="E9" s="4540"/>
      <c r="F9" s="2848"/>
      <c r="G9" s="2848"/>
      <c r="H9" s="2848"/>
      <c r="I9" s="2848"/>
      <c r="J9" s="2848"/>
    </row>
    <row r="10" spans="1:10" s="1987" customFormat="1" hidden="1" x14ac:dyDescent="0.2">
      <c r="A10" s="2850" t="s">
        <v>1471</v>
      </c>
      <c r="B10" s="2851"/>
      <c r="C10" s="2851"/>
      <c r="D10" s="2852"/>
      <c r="E10" s="2852"/>
      <c r="F10" s="2851"/>
      <c r="G10" s="2851"/>
      <c r="H10" s="2851"/>
      <c r="I10" s="2851"/>
      <c r="J10" s="2851"/>
    </row>
    <row r="11" spans="1:10" s="1987" customFormat="1" hidden="1" x14ac:dyDescent="0.2">
      <c r="A11" s="2847" t="s">
        <v>46</v>
      </c>
      <c r="B11" s="2848"/>
      <c r="C11" s="2848"/>
      <c r="D11" s="2849"/>
      <c r="E11" s="2849"/>
      <c r="F11" s="2848"/>
      <c r="G11" s="2848"/>
      <c r="H11" s="2848"/>
      <c r="I11" s="2848"/>
      <c r="J11" s="2848"/>
    </row>
    <row r="12" spans="1:10" s="1987" customFormat="1" ht="25.5" hidden="1" x14ac:dyDescent="0.2">
      <c r="A12" s="2847" t="s">
        <v>2136</v>
      </c>
      <c r="B12" s="2848"/>
      <c r="C12" s="2848"/>
      <c r="D12" s="2849"/>
      <c r="E12" s="2849"/>
      <c r="F12" s="2848"/>
      <c r="G12" s="2848"/>
      <c r="H12" s="2848"/>
      <c r="I12" s="2848"/>
      <c r="J12" s="2848"/>
    </row>
    <row r="13" spans="1:10" ht="25.5" x14ac:dyDescent="0.2">
      <c r="A13" s="2491" t="s">
        <v>2130</v>
      </c>
      <c r="B13" s="1959">
        <f>SUM(B14:B17)</f>
        <v>148204708.53999999</v>
      </c>
      <c r="C13" s="1959">
        <v>135728911.88999999</v>
      </c>
      <c r="D13" s="1959">
        <f>SUM(D14:D17)</f>
        <v>135728910.88999999</v>
      </c>
      <c r="E13" s="1959">
        <f t="shared" ref="E13" si="5">SUM(E14:E17)</f>
        <v>119544488.90909091</v>
      </c>
      <c r="F13" s="1959">
        <f t="shared" ref="F13" si="6">SUM(F14:F17)</f>
        <v>104553818.90909091</v>
      </c>
      <c r="G13" s="1959">
        <f t="shared" ref="G13" si="7">SUM(G14:G17)</f>
        <v>89563148.909090906</v>
      </c>
      <c r="H13" s="1959">
        <f t="shared" ref="H13" si="8">SUM(H14:H17)</f>
        <v>74572478.909090906</v>
      </c>
      <c r="I13" s="1959">
        <f t="shared" ref="I13" si="9">SUM(I14:I17)</f>
        <v>59581808.909090899</v>
      </c>
      <c r="J13" s="1959">
        <f t="shared" ref="J13" si="10">SUM(J14:J17)</f>
        <v>44591138.909090899</v>
      </c>
    </row>
    <row r="14" spans="1:10" s="1987" customFormat="1" x14ac:dyDescent="0.2">
      <c r="A14" s="2847" t="s">
        <v>46</v>
      </c>
      <c r="B14" s="2848">
        <v>78769163.709999993</v>
      </c>
      <c r="C14" s="2848">
        <f>C19*2-C6</f>
        <v>88936290.835454538</v>
      </c>
      <c r="D14" s="2848">
        <v>81437346.530000001</v>
      </c>
      <c r="E14" s="2848">
        <f>E6-Аморт!AL27*1000-Аморт!AL25*1000</f>
        <v>78951910.835454538</v>
      </c>
      <c r="F14" s="2848">
        <f>F6-Аморт!AM27*1000-Аморт!AM25*1000</f>
        <v>68967530.835454538</v>
      </c>
      <c r="G14" s="2848">
        <f>G6-E38</f>
        <v>58983150.835454538</v>
      </c>
      <c r="H14" s="2848">
        <f>H6-E38</f>
        <v>48998770.835454538</v>
      </c>
      <c r="I14" s="2848">
        <f>I6-E38</f>
        <v>39014390.835454538</v>
      </c>
      <c r="J14" s="2848">
        <f>J6-E38</f>
        <v>29030010.835454538</v>
      </c>
    </row>
    <row r="15" spans="1:10" s="1987" customFormat="1" x14ac:dyDescent="0.2">
      <c r="A15" s="2847" t="s">
        <v>47</v>
      </c>
      <c r="B15" s="2848">
        <v>66204768.289999999</v>
      </c>
      <c r="C15" s="2848">
        <f>C20*2-C7</f>
        <v>45598868.07363636</v>
      </c>
      <c r="D15" s="2848">
        <v>54291564.359999999</v>
      </c>
      <c r="E15" s="2848">
        <f>E7-Аморт!AL33*1000</f>
        <v>40592578.07363636</v>
      </c>
      <c r="F15" s="2848">
        <f>F7-Аморт!AM33*1000</f>
        <v>35586288.07363636</v>
      </c>
      <c r="G15" s="2848">
        <f>G7-E39</f>
        <v>30579998.07363636</v>
      </c>
      <c r="H15" s="2848">
        <f>H7-E39</f>
        <v>25573708.07363636</v>
      </c>
      <c r="I15" s="2848">
        <f>I7-E39</f>
        <v>20567418.07363636</v>
      </c>
      <c r="J15" s="2848">
        <f>J7-E39</f>
        <v>15561128.07363636</v>
      </c>
    </row>
    <row r="16" spans="1:10" s="1987" customFormat="1" x14ac:dyDescent="0.2">
      <c r="A16" s="2847" t="s">
        <v>1474</v>
      </c>
      <c r="B16" s="2848">
        <v>3037658.2</v>
      </c>
      <c r="C16" s="4539">
        <f>C21*2-C8-C9</f>
        <v>1193752.9809090903</v>
      </c>
      <c r="D16" s="2848"/>
      <c r="E16" s="2848"/>
      <c r="F16" s="2848"/>
      <c r="G16" s="2848"/>
      <c r="H16" s="2848"/>
      <c r="I16" s="2848"/>
      <c r="J16" s="2848"/>
    </row>
    <row r="17" spans="1:10" s="1987" customFormat="1" x14ac:dyDescent="0.2">
      <c r="A17" s="2847" t="s">
        <v>2134</v>
      </c>
      <c r="B17" s="2848">
        <v>193118.34</v>
      </c>
      <c r="C17" s="4540"/>
      <c r="D17" s="2848"/>
      <c r="E17" s="2848"/>
      <c r="F17" s="2848"/>
      <c r="G17" s="2848"/>
      <c r="H17" s="2848"/>
      <c r="I17" s="2848"/>
      <c r="J17" s="2848"/>
    </row>
    <row r="18" spans="1:10" ht="25.5" x14ac:dyDescent="0.2">
      <c r="A18" s="2491" t="s">
        <v>2132</v>
      </c>
      <c r="B18" s="1959">
        <f>SUM(B19:B22)</f>
        <v>153487990.22</v>
      </c>
      <c r="C18" s="1959">
        <f>(C5+C13)/2</f>
        <v>141966810.21499997</v>
      </c>
      <c r="D18" s="1959">
        <f t="shared" ref="D18:E18" si="11">SUM(D19:D22)</f>
        <v>135728911.39000002</v>
      </c>
      <c r="E18" s="1959">
        <f t="shared" si="11"/>
        <v>127039823.90909091</v>
      </c>
      <c r="F18" s="1959">
        <f t="shared" ref="F18" si="12">SUM(F19:F22)</f>
        <v>112049153.90909091</v>
      </c>
      <c r="G18" s="1959">
        <f t="shared" ref="G18" si="13">SUM(G19:G22)</f>
        <v>97058483.909090906</v>
      </c>
      <c r="H18" s="1959">
        <f t="shared" ref="H18" si="14">SUM(H19:H22)</f>
        <v>82067813.909090906</v>
      </c>
      <c r="I18" s="1959">
        <f t="shared" ref="I18" si="15">SUM(I19:I22)</f>
        <v>67077143.909090899</v>
      </c>
      <c r="J18" s="1959">
        <f t="shared" ref="J18" si="16">SUM(J19:J22)</f>
        <v>52086473.909090899</v>
      </c>
    </row>
    <row r="19" spans="1:10" s="1987" customFormat="1" x14ac:dyDescent="0.2">
      <c r="A19" s="2847" t="s">
        <v>46</v>
      </c>
      <c r="B19" s="2848">
        <f>(B6+B14)/2</f>
        <v>82067527.724999994</v>
      </c>
      <c r="C19" s="2848">
        <f>C25/C23*100</f>
        <v>83852727.272727266</v>
      </c>
      <c r="D19" s="2848">
        <f t="shared" ref="D19:J20" si="17">(D6+D14)/2</f>
        <v>85186818.682727277</v>
      </c>
      <c r="E19" s="2848">
        <f t="shared" si="17"/>
        <v>83944100.835454538</v>
      </c>
      <c r="F19" s="2848">
        <f t="shared" si="17"/>
        <v>73959720.835454538</v>
      </c>
      <c r="G19" s="2848">
        <f t="shared" si="17"/>
        <v>63975340.835454538</v>
      </c>
      <c r="H19" s="2848">
        <f t="shared" si="17"/>
        <v>53990960.835454538</v>
      </c>
      <c r="I19" s="2848">
        <f t="shared" si="17"/>
        <v>44006580.835454538</v>
      </c>
      <c r="J19" s="2848">
        <f t="shared" si="17"/>
        <v>34022200.835454538</v>
      </c>
    </row>
    <row r="20" spans="1:10" s="1987" customFormat="1" x14ac:dyDescent="0.2">
      <c r="A20" s="2847" t="s">
        <v>47</v>
      </c>
      <c r="B20" s="2848">
        <f>(B7+B15)/2</f>
        <v>68108949.265000001</v>
      </c>
      <c r="C20" s="2848">
        <f>C26/C23*100</f>
        <v>55901818.18181818</v>
      </c>
      <c r="D20" s="2848">
        <f t="shared" si="17"/>
        <v>49945216.216818184</v>
      </c>
      <c r="E20" s="2848">
        <f t="shared" si="17"/>
        <v>43095723.07363636</v>
      </c>
      <c r="F20" s="2848">
        <f t="shared" si="17"/>
        <v>38089433.07363636</v>
      </c>
      <c r="G20" s="2848">
        <f t="shared" si="17"/>
        <v>33083143.07363636</v>
      </c>
      <c r="H20" s="2848">
        <f t="shared" si="17"/>
        <v>28076853.07363636</v>
      </c>
      <c r="I20" s="2848">
        <f t="shared" si="17"/>
        <v>23070563.07363636</v>
      </c>
      <c r="J20" s="2848">
        <f t="shared" si="17"/>
        <v>18064273.07363636</v>
      </c>
    </row>
    <row r="21" spans="1:10" s="1987" customFormat="1" x14ac:dyDescent="0.2">
      <c r="A21" s="2847" t="s">
        <v>1474</v>
      </c>
      <c r="B21" s="2848">
        <f>(B8+B16)/2</f>
        <v>3085586.38</v>
      </c>
      <c r="C21" s="4539">
        <f>C27/C23*100</f>
        <v>2212264.7604545453</v>
      </c>
      <c r="D21" s="2848">
        <f>(D8+D16)/2</f>
        <v>596876.49045454513</v>
      </c>
      <c r="E21" s="2848"/>
      <c r="F21" s="2848">
        <f t="shared" ref="F21:J22" si="18">(F8+F16)/2</f>
        <v>0</v>
      </c>
      <c r="G21" s="2848">
        <f t="shared" si="18"/>
        <v>0</v>
      </c>
      <c r="H21" s="2848">
        <f t="shared" si="18"/>
        <v>0</v>
      </c>
      <c r="I21" s="2848">
        <f t="shared" si="18"/>
        <v>0</v>
      </c>
      <c r="J21" s="2848">
        <f t="shared" si="18"/>
        <v>0</v>
      </c>
    </row>
    <row r="22" spans="1:10" s="1987" customFormat="1" x14ac:dyDescent="0.2">
      <c r="A22" s="2847" t="s">
        <v>2134</v>
      </c>
      <c r="B22" s="2848">
        <f>(B9+B17)/2</f>
        <v>225926.84999999998</v>
      </c>
      <c r="C22" s="4540"/>
      <c r="D22" s="2848">
        <f>(D9+D17)/2</f>
        <v>0</v>
      </c>
      <c r="E22" s="2848"/>
      <c r="F22" s="2848">
        <f t="shared" si="18"/>
        <v>0</v>
      </c>
      <c r="G22" s="2848">
        <f t="shared" si="18"/>
        <v>0</v>
      </c>
      <c r="H22" s="2848">
        <f t="shared" si="18"/>
        <v>0</v>
      </c>
      <c r="I22" s="2848">
        <f t="shared" si="18"/>
        <v>0</v>
      </c>
      <c r="J22" s="2848">
        <f t="shared" si="18"/>
        <v>0</v>
      </c>
    </row>
    <row r="23" spans="1:10" x14ac:dyDescent="0.2">
      <c r="A23" s="2491" t="s">
        <v>2135</v>
      </c>
      <c r="B23" s="2726">
        <v>2.2000000000000002</v>
      </c>
      <c r="C23" s="2726">
        <v>2.2000000000000002</v>
      </c>
      <c r="D23" s="2726">
        <v>2.2000000000000002</v>
      </c>
      <c r="E23" s="2726">
        <v>2.2000000000000002</v>
      </c>
      <c r="F23" s="2726">
        <v>2.2000000000000002</v>
      </c>
      <c r="G23" s="2726">
        <v>2.2000000000000002</v>
      </c>
      <c r="H23" s="2726">
        <v>2.2000000000000002</v>
      </c>
      <c r="I23" s="2726">
        <v>2.2000000000000002</v>
      </c>
      <c r="J23" s="2726">
        <v>2.2000000000000002</v>
      </c>
    </row>
    <row r="24" spans="1:10" x14ac:dyDescent="0.2">
      <c r="A24" s="2491" t="s">
        <v>2133</v>
      </c>
      <c r="B24" s="1959">
        <f>SUM(B25:B28)</f>
        <v>3376735.7848399999</v>
      </c>
      <c r="C24" s="1959">
        <f>C18*C23/100</f>
        <v>3123269.82473</v>
      </c>
      <c r="D24" s="1959">
        <f t="shared" ref="D24:E24" si="19">SUM(D25:D28)</f>
        <v>2986036.0505800005</v>
      </c>
      <c r="E24" s="1959">
        <f t="shared" si="19"/>
        <v>2794876.1260000002</v>
      </c>
      <c r="F24" s="1959">
        <f t="shared" ref="F24" si="20">SUM(F25:F28)</f>
        <v>2465081.3859999999</v>
      </c>
      <c r="G24" s="1959">
        <f t="shared" ref="G24" si="21">SUM(G25:G28)</f>
        <v>2135286.6459999997</v>
      </c>
      <c r="H24" s="1959">
        <f t="shared" ref="H24" si="22">SUM(H25:H28)</f>
        <v>1805491.906</v>
      </c>
      <c r="I24" s="1959">
        <f t="shared" ref="I24" si="23">SUM(I25:I28)</f>
        <v>1475697.166</v>
      </c>
      <c r="J24" s="1959">
        <f t="shared" ref="J24" si="24">SUM(J25:J28)</f>
        <v>1145902.4259999997</v>
      </c>
    </row>
    <row r="25" spans="1:10" s="1987" customFormat="1" x14ac:dyDescent="0.2">
      <c r="A25" s="2847" t="s">
        <v>46</v>
      </c>
      <c r="B25" s="2848">
        <f>B19*B23/100</f>
        <v>1805485.60995</v>
      </c>
      <c r="C25" s="2848">
        <f>'Н 2019-2024'!D8*1000+'Н 2019-2024'!D17*1000</f>
        <v>1844760</v>
      </c>
      <c r="D25" s="2848">
        <f t="shared" ref="D25" si="25">D19*D23/100</f>
        <v>1874110.0110200003</v>
      </c>
      <c r="E25" s="2848">
        <f t="shared" ref="E25:J25" si="26">E19*E23/100</f>
        <v>1846770.21838</v>
      </c>
      <c r="F25" s="2848">
        <f t="shared" si="26"/>
        <v>1627113.8583800001</v>
      </c>
      <c r="G25" s="2848">
        <f t="shared" si="26"/>
        <v>1407457.49838</v>
      </c>
      <c r="H25" s="2848">
        <f t="shared" si="26"/>
        <v>1187801.1383799999</v>
      </c>
      <c r="I25" s="2848">
        <f t="shared" si="26"/>
        <v>968144.77838000003</v>
      </c>
      <c r="J25" s="2848">
        <f t="shared" si="26"/>
        <v>748488.41837999981</v>
      </c>
    </row>
    <row r="26" spans="1:10" s="1987" customFormat="1" x14ac:dyDescent="0.2">
      <c r="A26" s="2847" t="s">
        <v>47</v>
      </c>
      <c r="B26" s="2848">
        <f>B20*B23/100</f>
        <v>1498396.8838300002</v>
      </c>
      <c r="C26" s="2848">
        <f>'Н 2019-2024'!D26*1000+'Н 2019-2024'!D34*1000</f>
        <v>1229840</v>
      </c>
      <c r="D26" s="2848">
        <f t="shared" ref="D26" si="27">D20*D23/100</f>
        <v>1098794.7567700001</v>
      </c>
      <c r="E26" s="2848">
        <f t="shared" ref="E26:J26" si="28">E20*E23/100</f>
        <v>948105.90761999995</v>
      </c>
      <c r="F26" s="2848">
        <f t="shared" si="28"/>
        <v>837967.52761999995</v>
      </c>
      <c r="G26" s="2848">
        <f t="shared" si="28"/>
        <v>727829.14761999995</v>
      </c>
      <c r="H26" s="2848">
        <f t="shared" si="28"/>
        <v>617690.76761999994</v>
      </c>
      <c r="I26" s="2848">
        <f t="shared" si="28"/>
        <v>507552.38761999994</v>
      </c>
      <c r="J26" s="2848">
        <f t="shared" si="28"/>
        <v>397414.00761999993</v>
      </c>
    </row>
    <row r="27" spans="1:10" s="1987" customFormat="1" x14ac:dyDescent="0.2">
      <c r="A27" s="2847" t="s">
        <v>1474</v>
      </c>
      <c r="B27" s="2848">
        <f>B21*B23/100</f>
        <v>67882.90036</v>
      </c>
      <c r="C27" s="4539">
        <f>C24-C25-C26</f>
        <v>48669.824729999993</v>
      </c>
      <c r="D27" s="2848">
        <f t="shared" ref="D27" si="29">D21*D23/100</f>
        <v>13131.282789999994</v>
      </c>
      <c r="E27" s="2848"/>
      <c r="F27" s="2848">
        <f t="shared" ref="F27:J27" si="30">F21*F23/100</f>
        <v>0</v>
      </c>
      <c r="G27" s="2848">
        <f t="shared" si="30"/>
        <v>0</v>
      </c>
      <c r="H27" s="2848">
        <f t="shared" si="30"/>
        <v>0</v>
      </c>
      <c r="I27" s="2848">
        <f t="shared" si="30"/>
        <v>0</v>
      </c>
      <c r="J27" s="2848">
        <f t="shared" si="30"/>
        <v>0</v>
      </c>
    </row>
    <row r="28" spans="1:10" s="1987" customFormat="1" x14ac:dyDescent="0.2">
      <c r="A28" s="2847" t="s">
        <v>2134</v>
      </c>
      <c r="B28" s="2848">
        <f>B22*B23/100</f>
        <v>4970.3906999999999</v>
      </c>
      <c r="C28" s="4540"/>
      <c r="D28" s="2848">
        <f t="shared" ref="D28" si="31">D22*D23/100</f>
        <v>0</v>
      </c>
      <c r="E28" s="2848"/>
      <c r="F28" s="2848">
        <f t="shared" ref="F28:J28" si="32">F22*F23/100</f>
        <v>0</v>
      </c>
      <c r="G28" s="2848">
        <f t="shared" si="32"/>
        <v>0</v>
      </c>
      <c r="H28" s="2848">
        <f t="shared" si="32"/>
        <v>0</v>
      </c>
      <c r="I28" s="2848">
        <f t="shared" si="32"/>
        <v>0</v>
      </c>
      <c r="J28" s="2848">
        <f t="shared" si="32"/>
        <v>0</v>
      </c>
    </row>
    <row r="29" spans="1:10" ht="25.5" x14ac:dyDescent="0.2">
      <c r="A29" s="2746" t="s">
        <v>2137</v>
      </c>
      <c r="B29" s="2734"/>
      <c r="C29" s="2734"/>
      <c r="D29" s="2734"/>
      <c r="E29" s="2064">
        <f>Аморт!U99</f>
        <v>2887205.7268098001</v>
      </c>
      <c r="F29" s="2064">
        <f>Аморт!W99</f>
        <v>2828878.3383893995</v>
      </c>
      <c r="G29" s="2064">
        <f>Аморт!X99</f>
        <v>2770550.9499689997</v>
      </c>
      <c r="H29" s="2064">
        <f>Аморт!AA99</f>
        <v>2712223.5615485995</v>
      </c>
      <c r="I29" s="2064">
        <f>Аморт!AB99</f>
        <v>2653896.1731281998</v>
      </c>
      <c r="J29" s="2064">
        <f>Аморт!AC99</f>
        <v>2595568.7847077991</v>
      </c>
    </row>
    <row r="30" spans="1:10" x14ac:dyDescent="0.2">
      <c r="A30" s="2832" t="s">
        <v>2138</v>
      </c>
      <c r="B30" s="2853"/>
      <c r="C30" s="2853"/>
      <c r="D30" s="2853"/>
      <c r="E30" s="2853"/>
      <c r="F30" s="2853"/>
      <c r="G30" s="2853"/>
      <c r="H30" s="2853"/>
      <c r="I30" s="2853"/>
      <c r="J30" s="2853"/>
    </row>
    <row r="31" spans="1:10" x14ac:dyDescent="0.2">
      <c r="A31" s="2854" t="s">
        <v>50</v>
      </c>
      <c r="B31" s="2855"/>
      <c r="C31" s="2855"/>
      <c r="D31" s="2855"/>
      <c r="E31" s="2855"/>
      <c r="F31" s="2855"/>
      <c r="G31" s="2855"/>
      <c r="H31" s="2855"/>
      <c r="I31" s="2855"/>
      <c r="J31" s="2855"/>
    </row>
    <row r="32" spans="1:10" x14ac:dyDescent="0.2">
      <c r="A32" s="2856" t="s">
        <v>2139</v>
      </c>
      <c r="B32" s="2855"/>
      <c r="C32" s="2855"/>
      <c r="D32" s="2855"/>
      <c r="E32" s="2857">
        <f>E25+E29</f>
        <v>4733975.9451898001</v>
      </c>
      <c r="F32" s="2857">
        <f t="shared" ref="F32:J32" si="33">F25+F29</f>
        <v>4455992.1967693996</v>
      </c>
      <c r="G32" s="2857">
        <f t="shared" si="33"/>
        <v>4178008.448349</v>
      </c>
      <c r="H32" s="2857">
        <f t="shared" si="33"/>
        <v>3900024.6999285994</v>
      </c>
      <c r="I32" s="2857">
        <f t="shared" si="33"/>
        <v>3622040.9515081998</v>
      </c>
      <c r="J32" s="2857">
        <f t="shared" si="33"/>
        <v>3344057.2030877988</v>
      </c>
    </row>
    <row r="33" spans="1:12" x14ac:dyDescent="0.2">
      <c r="A33" s="2856" t="s">
        <v>377</v>
      </c>
      <c r="B33" s="2855"/>
      <c r="C33" s="2855"/>
      <c r="D33" s="2855"/>
      <c r="E33" s="2857">
        <f>E32*$L$33</f>
        <v>4732636.3873577761</v>
      </c>
      <c r="F33" s="2857">
        <f t="shared" ref="F33:J33" si="34">F32*$L$33</f>
        <v>4454731.2990978165</v>
      </c>
      <c r="G33" s="2857">
        <f t="shared" si="34"/>
        <v>4176826.2108378578</v>
      </c>
      <c r="H33" s="2857">
        <f t="shared" si="34"/>
        <v>3898921.1225778982</v>
      </c>
      <c r="I33" s="2857">
        <f t="shared" si="34"/>
        <v>3621016.0343179395</v>
      </c>
      <c r="J33" s="2857">
        <f t="shared" si="34"/>
        <v>3343110.946057979</v>
      </c>
      <c r="K33" s="5">
        <f>объемы!AX38</f>
        <v>6253.3816796622659</v>
      </c>
      <c r="L33" s="2709">
        <f>K33/K35</f>
        <v>0.99971703324065575</v>
      </c>
    </row>
    <row r="34" spans="1:12" x14ac:dyDescent="0.2">
      <c r="A34" s="2856" t="s">
        <v>161</v>
      </c>
      <c r="B34" s="2855"/>
      <c r="C34" s="2855"/>
      <c r="D34" s="2855"/>
      <c r="E34" s="2857">
        <f>E32*$L$34</f>
        <v>1339.5578320234051</v>
      </c>
      <c r="F34" s="2857">
        <f t="shared" ref="F34:J34" si="35">F32*$L$34</f>
        <v>1260.8976715825515</v>
      </c>
      <c r="G34" s="2857">
        <f t="shared" si="35"/>
        <v>1182.2375111416982</v>
      </c>
      <c r="H34" s="2857">
        <f t="shared" si="35"/>
        <v>1103.5773507008444</v>
      </c>
      <c r="I34" s="2857">
        <f t="shared" si="35"/>
        <v>1024.917190259991</v>
      </c>
      <c r="J34" s="2857">
        <f t="shared" si="35"/>
        <v>946.2570298191373</v>
      </c>
      <c r="K34" s="5">
        <f>объемы!AY38</f>
        <v>1.77</v>
      </c>
      <c r="L34" s="2709">
        <f>K34/K35</f>
        <v>2.8296675934412632E-4</v>
      </c>
    </row>
    <row r="35" spans="1:12" x14ac:dyDescent="0.2">
      <c r="A35" s="2854" t="s">
        <v>47</v>
      </c>
      <c r="B35" s="2855"/>
      <c r="C35" s="2855"/>
      <c r="D35" s="2855"/>
      <c r="E35" s="2857">
        <f>E26</f>
        <v>948105.90761999995</v>
      </c>
      <c r="F35" s="2857">
        <f t="shared" ref="F35:J35" si="36">F26</f>
        <v>837967.52761999995</v>
      </c>
      <c r="G35" s="2857">
        <f t="shared" si="36"/>
        <v>727829.14761999995</v>
      </c>
      <c r="H35" s="2857">
        <f t="shared" si="36"/>
        <v>617690.76761999994</v>
      </c>
      <c r="I35" s="2857">
        <f t="shared" si="36"/>
        <v>507552.38761999994</v>
      </c>
      <c r="J35" s="2857">
        <f t="shared" si="36"/>
        <v>397414.00761999993</v>
      </c>
      <c r="K35" s="5">
        <f>SUM(K33:K34)</f>
        <v>6255.1516796622664</v>
      </c>
    </row>
    <row r="36" spans="1:12" x14ac:dyDescent="0.2">
      <c r="A36" s="2854" t="s">
        <v>47</v>
      </c>
      <c r="B36" s="2855"/>
      <c r="C36" s="2855"/>
      <c r="D36" s="2855"/>
      <c r="E36" s="2857">
        <f>E35*$L$36</f>
        <v>942559.59939862846</v>
      </c>
      <c r="F36" s="2857">
        <f t="shared" ref="F36:J36" si="37">F35*$L$36</f>
        <v>833065.51598783117</v>
      </c>
      <c r="G36" s="2857">
        <f t="shared" si="37"/>
        <v>723571.43257703388</v>
      </c>
      <c r="H36" s="2857">
        <f t="shared" si="37"/>
        <v>614077.3491662367</v>
      </c>
      <c r="I36" s="2857">
        <f t="shared" si="37"/>
        <v>504583.26575543941</v>
      </c>
      <c r="J36" s="2857">
        <f t="shared" si="37"/>
        <v>395089.18234464212</v>
      </c>
      <c r="K36" s="5">
        <f>объемы!AX58</f>
        <v>3002.3369764914323</v>
      </c>
      <c r="L36" s="2709">
        <f>K36/K38</f>
        <v>0.99415011743224524</v>
      </c>
    </row>
    <row r="37" spans="1:12" x14ac:dyDescent="0.2">
      <c r="A37" s="2854" t="s">
        <v>92</v>
      </c>
      <c r="B37" s="2855"/>
      <c r="C37" s="2855"/>
      <c r="D37" s="2855"/>
      <c r="E37" s="2857">
        <f>E35*$L$37</f>
        <v>5546.308221371617</v>
      </c>
      <c r="F37" s="2857">
        <f t="shared" ref="F37:J37" si="38">F35*$L$37</f>
        <v>4902.0116321688593</v>
      </c>
      <c r="G37" s="2857">
        <f t="shared" si="38"/>
        <v>4257.7150429661006</v>
      </c>
      <c r="H37" s="2857">
        <f t="shared" si="38"/>
        <v>3613.4184537633428</v>
      </c>
      <c r="I37" s="2857">
        <f t="shared" si="38"/>
        <v>2969.1218645605845</v>
      </c>
      <c r="J37" s="2857">
        <f t="shared" si="38"/>
        <v>2324.8252753578263</v>
      </c>
      <c r="K37" s="5">
        <f>объемы!AY58</f>
        <v>17.666666666666668</v>
      </c>
      <c r="L37" s="2709">
        <f>K37/K38</f>
        <v>5.8498825677548386E-3</v>
      </c>
    </row>
    <row r="38" spans="1:12" x14ac:dyDescent="0.2">
      <c r="E38" s="2497">
        <f>(Аморт!AM27-Аморт!AM25)*1000</f>
        <v>9984380</v>
      </c>
      <c r="K38" s="5">
        <f>K36+K37</f>
        <v>3020.0036431580988</v>
      </c>
    </row>
    <row r="39" spans="1:12" x14ac:dyDescent="0.2">
      <c r="E39" s="2497">
        <f>Аморт!AM33*1000</f>
        <v>5006290</v>
      </c>
    </row>
  </sheetData>
  <mergeCells count="5">
    <mergeCell ref="E8:E9"/>
    <mergeCell ref="C27:C28"/>
    <mergeCell ref="C21:C22"/>
    <mergeCell ref="C16:C17"/>
    <mergeCell ref="D8:D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"/>
  <sheetViews>
    <sheetView workbookViewId="0">
      <selection activeCell="G23" sqref="G23"/>
    </sheetView>
  </sheetViews>
  <sheetFormatPr defaultRowHeight="12.75" x14ac:dyDescent="0.2"/>
  <cols>
    <col min="1" max="1" width="39.7109375" style="2489" customWidth="1"/>
    <col min="2" max="2" width="11.42578125" style="2969" customWidth="1"/>
    <col min="3" max="3" width="10" style="5" bestFit="1" customWidth="1"/>
    <col min="4" max="4" width="11.28515625" style="5" customWidth="1"/>
    <col min="5" max="5" width="12.140625" style="3006" customWidth="1"/>
    <col min="6" max="6" width="14.85546875" style="3006" customWidth="1"/>
    <col min="7" max="7" width="12" style="5" customWidth="1"/>
    <col min="8" max="8" width="11.85546875" style="5" customWidth="1"/>
    <col min="9" max="9" width="10.5703125" style="5" customWidth="1"/>
    <col min="10" max="10" width="12.7109375" style="5" customWidth="1"/>
    <col min="11" max="11" width="11.5703125" style="5" customWidth="1"/>
    <col min="12" max="16384" width="9.140625" style="5"/>
  </cols>
  <sheetData>
    <row r="2" spans="1:10" x14ac:dyDescent="0.2">
      <c r="A2" s="3960" t="s">
        <v>355</v>
      </c>
      <c r="B2" s="3971" t="s">
        <v>1903</v>
      </c>
      <c r="C2" s="3971" t="s">
        <v>627</v>
      </c>
      <c r="D2" s="4229" t="s">
        <v>3540</v>
      </c>
      <c r="E2" s="3971" t="s">
        <v>50</v>
      </c>
      <c r="F2" s="3971"/>
      <c r="G2" s="3971"/>
      <c r="H2" s="3971"/>
      <c r="I2" s="3971"/>
      <c r="J2" s="3971"/>
    </row>
    <row r="3" spans="1:10" ht="25.5" x14ac:dyDescent="0.2">
      <c r="A3" s="3960"/>
      <c r="B3" s="3971"/>
      <c r="C3" s="3971"/>
      <c r="D3" s="4231"/>
      <c r="E3" s="3005" t="s">
        <v>284</v>
      </c>
      <c r="F3" s="3005" t="s">
        <v>1899</v>
      </c>
      <c r="G3" s="2970" t="s">
        <v>1468</v>
      </c>
      <c r="H3" s="2970" t="s">
        <v>1900</v>
      </c>
      <c r="I3" s="2970" t="s">
        <v>1901</v>
      </c>
      <c r="J3" s="2970" t="s">
        <v>738</v>
      </c>
    </row>
    <row r="4" spans="1:10" x14ac:dyDescent="0.2">
      <c r="A4" s="2491" t="s">
        <v>3532</v>
      </c>
      <c r="B4" s="2971"/>
      <c r="C4" s="1961"/>
      <c r="D4" s="1961"/>
      <c r="E4" s="3004"/>
      <c r="F4" s="3004"/>
      <c r="G4" s="1961"/>
      <c r="H4" s="1961"/>
      <c r="I4" s="1961"/>
      <c r="J4" s="1961"/>
    </row>
    <row r="5" spans="1:10" x14ac:dyDescent="0.2">
      <c r="A5" s="2491" t="s">
        <v>3533</v>
      </c>
      <c r="B5" s="2971" t="s">
        <v>3539</v>
      </c>
      <c r="C5" s="1961">
        <f>E5+F5+G5+H5+I5+J5</f>
        <v>1788264.37</v>
      </c>
      <c r="D5" s="1961">
        <f>E5+F5+G5+H5+I5</f>
        <v>1515478.28</v>
      </c>
      <c r="E5" s="3004">
        <v>1049566.25</v>
      </c>
      <c r="F5" s="3004">
        <f>84234.77-11983.61</f>
        <v>72251.16</v>
      </c>
      <c r="G5" s="1961">
        <v>174893.1</v>
      </c>
      <c r="H5" s="1961">
        <v>142520.53</v>
      </c>
      <c r="I5" s="1961">
        <v>76247.240000000005</v>
      </c>
      <c r="J5" s="1961">
        <v>272786.09000000003</v>
      </c>
    </row>
    <row r="6" spans="1:10" x14ac:dyDescent="0.2">
      <c r="A6" s="2491" t="s">
        <v>3534</v>
      </c>
      <c r="B6" s="2971" t="s">
        <v>3539</v>
      </c>
      <c r="C6" s="1961">
        <f t="shared" ref="C6:C10" si="0">E6+F6+G6+H6+I6+J6</f>
        <v>1813737.81</v>
      </c>
      <c r="D6" s="1961">
        <f t="shared" ref="D6:D10" si="1">E6+F6+G6+H6+I6</f>
        <v>1537065.94</v>
      </c>
      <c r="E6" s="3004">
        <v>1052533.94</v>
      </c>
      <c r="F6" s="3004">
        <f>87571.94-12463.42</f>
        <v>75108.52</v>
      </c>
      <c r="G6" s="1961">
        <v>181896.01</v>
      </c>
      <c r="H6" s="1961">
        <v>148227.21</v>
      </c>
      <c r="I6" s="1961">
        <v>79300.259999999995</v>
      </c>
      <c r="J6" s="1961">
        <v>276671.87</v>
      </c>
    </row>
    <row r="7" spans="1:10" x14ac:dyDescent="0.2">
      <c r="A7" s="2491" t="s">
        <v>3535</v>
      </c>
      <c r="B7" s="2971" t="s">
        <v>3539</v>
      </c>
      <c r="C7" s="1961">
        <f t="shared" si="0"/>
        <v>1840040.63</v>
      </c>
      <c r="D7" s="1961">
        <f t="shared" si="1"/>
        <v>1559356.47</v>
      </c>
      <c r="E7" s="3004">
        <v>1055501.7</v>
      </c>
      <c r="F7" s="3004">
        <f>91024.14-12961.77</f>
        <v>78062.37</v>
      </c>
      <c r="G7" s="1961">
        <v>189168.29</v>
      </c>
      <c r="H7" s="1961">
        <v>154153.39000000001</v>
      </c>
      <c r="I7" s="1961">
        <v>82470.720000000001</v>
      </c>
      <c r="J7" s="1961">
        <v>280684.15999999997</v>
      </c>
    </row>
    <row r="8" spans="1:10" ht="25.5" x14ac:dyDescent="0.2">
      <c r="A8" s="2491" t="s">
        <v>3536</v>
      </c>
      <c r="B8" s="2971" t="s">
        <v>3539</v>
      </c>
      <c r="C8" s="1961">
        <f t="shared" si="0"/>
        <v>1867528.03</v>
      </c>
      <c r="D8" s="1961">
        <f t="shared" si="1"/>
        <v>1582650.87</v>
      </c>
      <c r="E8" s="3004">
        <v>1058655.33</v>
      </c>
      <c r="F8" s="3004">
        <f>94706.54-13478.52</f>
        <v>81228.01999999999</v>
      </c>
      <c r="G8" s="1961">
        <v>196709.88</v>
      </c>
      <c r="H8" s="1961">
        <v>160299.04999999999</v>
      </c>
      <c r="I8" s="1961">
        <v>85758.59</v>
      </c>
      <c r="J8" s="1961">
        <v>284877.15999999997</v>
      </c>
    </row>
    <row r="9" spans="1:10" ht="25.5" x14ac:dyDescent="0.2">
      <c r="A9" s="2491" t="s">
        <v>3537</v>
      </c>
      <c r="B9" s="2971" t="s">
        <v>3539</v>
      </c>
      <c r="C9" s="1961">
        <f t="shared" si="0"/>
        <v>1896294.1300000001</v>
      </c>
      <c r="D9" s="1961">
        <f t="shared" si="1"/>
        <v>1607028.9200000002</v>
      </c>
      <c r="E9" s="3004">
        <v>1061993.8600000001</v>
      </c>
      <c r="F9" s="3004">
        <f>98504.03-14019.83</f>
        <v>84484.2</v>
      </c>
      <c r="G9" s="1961">
        <v>204610.54</v>
      </c>
      <c r="H9" s="1961">
        <v>166737.32</v>
      </c>
      <c r="I9" s="1961">
        <v>89203</v>
      </c>
      <c r="J9" s="1961">
        <v>289265.21000000002</v>
      </c>
    </row>
    <row r="10" spans="1:10" x14ac:dyDescent="0.2">
      <c r="A10" s="2491" t="s">
        <v>3538</v>
      </c>
      <c r="B10" s="2971" t="s">
        <v>3539</v>
      </c>
      <c r="C10" s="1961">
        <f t="shared" si="0"/>
        <v>1925889.7599999995</v>
      </c>
      <c r="D10" s="1961">
        <f t="shared" si="1"/>
        <v>1632109.9699999995</v>
      </c>
      <c r="E10" s="3004">
        <v>1065332.3899999999</v>
      </c>
      <c r="F10" s="3004">
        <f>102416.58-14579.68</f>
        <v>87836.9</v>
      </c>
      <c r="G10" s="1961">
        <v>212780.65</v>
      </c>
      <c r="H10" s="1961">
        <v>173395.14</v>
      </c>
      <c r="I10" s="1961">
        <v>92764.89</v>
      </c>
      <c r="J10" s="1961">
        <v>293779.78999999998</v>
      </c>
    </row>
    <row r="11" spans="1:10" x14ac:dyDescent="0.2">
      <c r="A11" s="3007" t="s">
        <v>345</v>
      </c>
      <c r="B11" s="2971"/>
      <c r="C11" s="1961"/>
      <c r="D11" s="1961"/>
      <c r="E11" s="3004"/>
      <c r="F11" s="3004"/>
      <c r="G11" s="1961"/>
      <c r="H11" s="1961"/>
      <c r="I11" s="1961"/>
      <c r="J11" s="1961"/>
    </row>
    <row r="12" spans="1:10" x14ac:dyDescent="0.2">
      <c r="A12" s="2491" t="s">
        <v>3541</v>
      </c>
      <c r="B12" s="2971"/>
      <c r="C12" s="1961"/>
      <c r="D12" s="1961"/>
      <c r="E12" s="3004"/>
      <c r="F12" s="3004"/>
      <c r="G12" s="1961"/>
      <c r="H12" s="1961"/>
      <c r="I12" s="1961"/>
      <c r="J12" s="1961"/>
    </row>
    <row r="13" spans="1:10" x14ac:dyDescent="0.2">
      <c r="A13" s="2491" t="s">
        <v>3542</v>
      </c>
      <c r="B13" s="2971" t="s">
        <v>3539</v>
      </c>
      <c r="C13" s="1961">
        <f t="shared" ref="C13:C18" si="2">E13+F13+G13+H13+I13+J13</f>
        <v>2421106.1099999994</v>
      </c>
      <c r="D13" s="1961">
        <f t="shared" ref="D13:D18" si="3">E13+F13+G13+H13+I13</f>
        <v>2051784.8399999996</v>
      </c>
      <c r="E13" s="3004">
        <v>1027043.99</v>
      </c>
      <c r="F13" s="3004">
        <f>429384.72-56954.12</f>
        <v>372430.6</v>
      </c>
      <c r="G13" s="1961">
        <v>268416.88</v>
      </c>
      <c r="H13" s="1961">
        <v>245858.21</v>
      </c>
      <c r="I13" s="1961">
        <v>138035.16</v>
      </c>
      <c r="J13" s="1961">
        <v>369321.27</v>
      </c>
    </row>
    <row r="14" spans="1:10" x14ac:dyDescent="0.2">
      <c r="A14" s="2491" t="s">
        <v>3543</v>
      </c>
      <c r="B14" s="2971" t="s">
        <v>3539</v>
      </c>
      <c r="C14" s="1961">
        <f t="shared" si="2"/>
        <v>2368264.7400000002</v>
      </c>
      <c r="D14" s="1961">
        <f t="shared" si="3"/>
        <v>2007004.0200000003</v>
      </c>
      <c r="E14" s="3004">
        <v>1021434.66</v>
      </c>
      <c r="F14" s="3004">
        <f>413072.9-54767.23</f>
        <v>358305.67000000004</v>
      </c>
      <c r="G14" s="1961">
        <v>258110.56</v>
      </c>
      <c r="H14" s="1961">
        <v>236418.05</v>
      </c>
      <c r="I14" s="1961">
        <v>132735.07999999999</v>
      </c>
      <c r="J14" s="1961">
        <v>361260.72</v>
      </c>
    </row>
    <row r="15" spans="1:10" x14ac:dyDescent="0.2">
      <c r="A15" s="2491" t="s">
        <v>3544</v>
      </c>
      <c r="B15" s="2971" t="s">
        <v>3539</v>
      </c>
      <c r="C15" s="1961">
        <f t="shared" si="2"/>
        <v>2317115.19</v>
      </c>
      <c r="D15" s="1961">
        <f t="shared" si="3"/>
        <v>1963656.94</v>
      </c>
      <c r="E15" s="3004">
        <v>1016025.73</v>
      </c>
      <c r="F15" s="3004">
        <f>397240.81-52652.52</f>
        <v>344588.29</v>
      </c>
      <c r="G15" s="1961">
        <v>248144.05</v>
      </c>
      <c r="H15" s="1961">
        <v>227289.15</v>
      </c>
      <c r="I15" s="1961">
        <v>127609.72</v>
      </c>
      <c r="J15" s="1961">
        <v>353458.25</v>
      </c>
    </row>
    <row r="16" spans="1:10" x14ac:dyDescent="0.2">
      <c r="A16" s="2491" t="s">
        <v>3545</v>
      </c>
      <c r="B16" s="2971" t="s">
        <v>3539</v>
      </c>
      <c r="C16" s="1961">
        <f t="shared" si="2"/>
        <v>2267953.79</v>
      </c>
      <c r="D16" s="1961">
        <f t="shared" si="3"/>
        <v>1921994.74</v>
      </c>
      <c r="E16" s="3004">
        <v>1010817.1</v>
      </c>
      <c r="F16" s="3004">
        <f>381888.53-50633.87</f>
        <v>331254.66000000003</v>
      </c>
      <c r="G16" s="1961">
        <v>238630.51</v>
      </c>
      <c r="H16" s="1961">
        <v>218575.16</v>
      </c>
      <c r="I16" s="1961">
        <v>122717.31</v>
      </c>
      <c r="J16" s="1961">
        <v>345959.05</v>
      </c>
    </row>
    <row r="17" spans="1:10" x14ac:dyDescent="0.2">
      <c r="A17" s="2491" t="s">
        <v>3546</v>
      </c>
      <c r="B17" s="2971" t="s">
        <v>3539</v>
      </c>
      <c r="C17" s="1961">
        <f t="shared" si="2"/>
        <v>2220484.12</v>
      </c>
      <c r="D17" s="1961">
        <f t="shared" si="3"/>
        <v>1881766.2</v>
      </c>
      <c r="E17" s="3004">
        <v>1005808.65</v>
      </c>
      <c r="F17" s="3004">
        <f>367015.98-48687.29</f>
        <v>318328.69</v>
      </c>
      <c r="G17" s="1961">
        <v>229456.77</v>
      </c>
      <c r="H17" s="1961">
        <v>210172.42</v>
      </c>
      <c r="I17" s="1961">
        <v>117999.67</v>
      </c>
      <c r="J17" s="1961">
        <v>338717.92</v>
      </c>
    </row>
    <row r="18" spans="1:10" x14ac:dyDescent="0.2">
      <c r="A18" s="2975" t="s">
        <v>3547</v>
      </c>
      <c r="B18" s="2971" t="s">
        <v>3539</v>
      </c>
      <c r="C18" s="1961">
        <f t="shared" si="2"/>
        <v>2175272.4</v>
      </c>
      <c r="D18" s="1961">
        <f t="shared" si="3"/>
        <v>1843451.19</v>
      </c>
      <c r="E18" s="3004">
        <v>1001000.82</v>
      </c>
      <c r="F18" s="3004">
        <f>353102.95-46812.89</f>
        <v>306290.06</v>
      </c>
      <c r="G18" s="1961">
        <v>220622.74</v>
      </c>
      <c r="H18" s="1961">
        <v>202080.85</v>
      </c>
      <c r="I18" s="1961">
        <v>113456.72</v>
      </c>
      <c r="J18" s="1961">
        <v>331821.21000000002</v>
      </c>
    </row>
    <row r="20" spans="1:10" x14ac:dyDescent="0.2">
      <c r="A20" s="2491"/>
      <c r="B20" s="2971" t="s">
        <v>1819</v>
      </c>
      <c r="C20" s="2971" t="s">
        <v>1825</v>
      </c>
      <c r="D20" s="2971" t="s">
        <v>1826</v>
      </c>
      <c r="E20" s="2971" t="s">
        <v>1827</v>
      </c>
      <c r="F20" s="2971" t="s">
        <v>1828</v>
      </c>
      <c r="G20" s="2971" t="s">
        <v>1829</v>
      </c>
    </row>
    <row r="21" spans="1:10" s="2969" customFormat="1" x14ac:dyDescent="0.2">
      <c r="A21" s="2970" t="s">
        <v>46</v>
      </c>
      <c r="B21" s="1959">
        <f>(E5)/1000</f>
        <v>1049.5662500000001</v>
      </c>
      <c r="C21" s="1959">
        <f>(E6)/1000</f>
        <v>1052.53394</v>
      </c>
      <c r="D21" s="1959">
        <f>(E7)/1000</f>
        <v>1055.5017</v>
      </c>
      <c r="E21" s="1959">
        <f>(E8)/1000</f>
        <v>1058.65533</v>
      </c>
      <c r="F21" s="1959">
        <f>(E9)/1000</f>
        <v>1061.99386</v>
      </c>
      <c r="G21" s="1959">
        <f>(E10)/1000</f>
        <v>1065.3323899999998</v>
      </c>
    </row>
    <row r="22" spans="1:10" x14ac:dyDescent="0.2">
      <c r="A22" s="3007" t="s">
        <v>47</v>
      </c>
      <c r="B22" s="1959">
        <f>(E13)/1000</f>
        <v>1027.0439899999999</v>
      </c>
      <c r="C22" s="1959">
        <f>(E14)/1000</f>
        <v>1021.43466</v>
      </c>
      <c r="D22" s="1959">
        <f>(E15)/1000</f>
        <v>1016.02573</v>
      </c>
      <c r="E22" s="1959">
        <f>(E16)/1000</f>
        <v>1010.8171</v>
      </c>
      <c r="F22" s="1959">
        <f>(E17)/1000</f>
        <v>1005.8086500000001</v>
      </c>
      <c r="G22" s="1959">
        <f>(E18)/1000</f>
        <v>1001.00082</v>
      </c>
      <c r="H22" s="2969"/>
    </row>
  </sheetData>
  <mergeCells count="5">
    <mergeCell ref="B2:B3"/>
    <mergeCell ref="C2:C3"/>
    <mergeCell ref="E2:J2"/>
    <mergeCell ref="A2:A3"/>
    <mergeCell ref="D2:D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8"/>
  <sheetViews>
    <sheetView topLeftCell="A4" zoomScale="73" zoomScaleNormal="73" workbookViewId="0">
      <selection activeCell="S44" sqref="S44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846"/>
      <c r="B1" s="5"/>
      <c r="C1" s="1846"/>
      <c r="D1" s="1846"/>
      <c r="E1" s="1846"/>
      <c r="F1" s="3577" t="s">
        <v>3683</v>
      </c>
      <c r="G1" s="3578"/>
      <c r="H1" s="3578"/>
      <c r="I1" s="3578"/>
    </row>
    <row r="2" spans="1:11" ht="15.75" customHeight="1" x14ac:dyDescent="0.25">
      <c r="A2" s="1846"/>
      <c r="B2" s="5"/>
      <c r="C2" s="1846"/>
      <c r="D2" s="1846"/>
      <c r="E2" s="1846"/>
      <c r="F2" s="3309"/>
      <c r="G2" s="3310"/>
      <c r="H2" s="3310"/>
      <c r="I2" s="3310"/>
    </row>
    <row r="3" spans="1:11" ht="15.75" customHeight="1" x14ac:dyDescent="0.25">
      <c r="A3" s="1846"/>
      <c r="B3" s="5"/>
      <c r="C3" s="1846"/>
      <c r="D3" s="1846"/>
      <c r="E3" s="1846"/>
      <c r="F3" s="3311" t="s">
        <v>3684</v>
      </c>
      <c r="G3" s="3311"/>
      <c r="H3" s="3311"/>
      <c r="I3" s="3311"/>
    </row>
    <row r="4" spans="1:11" ht="18" customHeight="1" x14ac:dyDescent="0.25">
      <c r="A4" s="1846"/>
      <c r="B4" s="5"/>
      <c r="C4" s="1846"/>
      <c r="D4" s="1846"/>
      <c r="E4" s="1846"/>
      <c r="F4" s="3311" t="s">
        <v>3651</v>
      </c>
      <c r="G4" s="3311"/>
      <c r="H4" s="3311"/>
      <c r="I4" s="3311"/>
    </row>
    <row r="5" spans="1:11" ht="21" customHeight="1" x14ac:dyDescent="0.25">
      <c r="A5" s="1846"/>
      <c r="B5" s="1846"/>
      <c r="C5" s="1846"/>
      <c r="D5" s="1846"/>
      <c r="E5" s="1846"/>
      <c r="F5" s="3311" t="s">
        <v>3722</v>
      </c>
      <c r="G5" s="3316"/>
      <c r="H5" s="3316"/>
      <c r="I5" s="3311"/>
    </row>
    <row r="6" spans="1:11" ht="21" customHeight="1" x14ac:dyDescent="0.3">
      <c r="A6" s="1846"/>
      <c r="B6" s="1846"/>
      <c r="C6" s="1846"/>
      <c r="D6" s="1846"/>
      <c r="E6" s="1846"/>
      <c r="F6" s="3314" t="s">
        <v>3723</v>
      </c>
      <c r="G6" s="3314"/>
      <c r="H6" s="3314"/>
      <c r="I6" s="3314"/>
    </row>
    <row r="7" spans="1:11" ht="15.75" x14ac:dyDescent="0.25">
      <c r="A7" s="1846"/>
      <c r="B7" s="1846"/>
      <c r="C7" s="1846"/>
      <c r="D7" s="1846"/>
      <c r="E7" s="1846"/>
      <c r="F7" s="1846"/>
      <c r="G7" s="1846"/>
      <c r="H7" s="1846"/>
      <c r="I7" s="1846"/>
    </row>
    <row r="8" spans="1:11" ht="45" customHeight="1" x14ac:dyDescent="0.2">
      <c r="A8" s="3579" t="s">
        <v>3729</v>
      </c>
      <c r="B8" s="3580"/>
      <c r="C8" s="3580"/>
      <c r="D8" s="3580"/>
      <c r="E8" s="3580"/>
      <c r="F8" s="3580"/>
      <c r="G8" s="3580"/>
      <c r="H8" s="3580"/>
      <c r="I8" s="3580"/>
    </row>
    <row r="9" spans="1:11" ht="16.5" thickBot="1" x14ac:dyDescent="0.3">
      <c r="A9" s="1846"/>
      <c r="B9" s="1846"/>
      <c r="C9" s="1846"/>
      <c r="D9" s="1846"/>
      <c r="E9" s="1846"/>
      <c r="F9" s="1846"/>
      <c r="G9" s="1846"/>
      <c r="H9" s="1846"/>
      <c r="I9" s="3312" t="s">
        <v>3693</v>
      </c>
    </row>
    <row r="10" spans="1:11" ht="45.75" customHeight="1" x14ac:dyDescent="0.2">
      <c r="A10" s="3318" t="s">
        <v>367</v>
      </c>
      <c r="B10" s="3319" t="s">
        <v>1002</v>
      </c>
      <c r="C10" s="3319" t="s">
        <v>3694</v>
      </c>
      <c r="D10" s="3319" t="s">
        <v>3695</v>
      </c>
      <c r="E10" s="3319" t="s">
        <v>384</v>
      </c>
      <c r="F10" s="3319" t="s">
        <v>3696</v>
      </c>
      <c r="G10" s="3319" t="s">
        <v>3697</v>
      </c>
      <c r="H10" s="3319" t="s">
        <v>3698</v>
      </c>
      <c r="I10" s="3320" t="s">
        <v>249</v>
      </c>
    </row>
    <row r="11" spans="1:11" ht="19.5" customHeight="1" x14ac:dyDescent="0.2">
      <c r="A11" s="3414" t="s">
        <v>3699</v>
      </c>
      <c r="B11" s="3321" t="s">
        <v>3700</v>
      </c>
      <c r="C11" s="3406">
        <v>286</v>
      </c>
      <c r="D11" s="3406">
        <v>286</v>
      </c>
      <c r="E11" s="3406">
        <v>286</v>
      </c>
      <c r="F11" s="3406">
        <v>286</v>
      </c>
      <c r="G11" s="3406">
        <v>286</v>
      </c>
      <c r="H11" s="3406">
        <v>286</v>
      </c>
      <c r="I11" s="3415">
        <v>286</v>
      </c>
    </row>
    <row r="12" spans="1:11" ht="19.5" customHeight="1" x14ac:dyDescent="0.2">
      <c r="A12" s="3581" t="s">
        <v>3701</v>
      </c>
      <c r="B12" s="3582"/>
      <c r="C12" s="3582"/>
      <c r="D12" s="3582"/>
      <c r="E12" s="3582"/>
      <c r="F12" s="3582"/>
      <c r="G12" s="3582"/>
      <c r="H12" s="3582"/>
      <c r="I12" s="3583"/>
    </row>
    <row r="13" spans="1:11" ht="20.100000000000001" customHeight="1" x14ac:dyDescent="0.2">
      <c r="A13" s="3405" t="s">
        <v>3730</v>
      </c>
      <c r="B13" s="3325" t="s">
        <v>3702</v>
      </c>
      <c r="C13" s="3408">
        <f>SUM(C14:C15)</f>
        <v>915.59873083333332</v>
      </c>
      <c r="D13" s="3408">
        <f t="shared" ref="D13:I13" si="0">SUM(D14:D15)</f>
        <v>915.59873083333332</v>
      </c>
      <c r="E13" s="3408">
        <f t="shared" si="0"/>
        <v>1831.1974616666666</v>
      </c>
      <c r="F13" s="3408">
        <f t="shared" si="0"/>
        <v>915.59873083333332</v>
      </c>
      <c r="G13" s="3408">
        <f t="shared" si="0"/>
        <v>2746.7961924999995</v>
      </c>
      <c r="H13" s="3408">
        <f t="shared" si="0"/>
        <v>915.59873083333332</v>
      </c>
      <c r="I13" s="3416">
        <f t="shared" si="0"/>
        <v>3662.3949233333333</v>
      </c>
      <c r="K13" s="128">
        <f>SUM(C13+D13+F13+H13)</f>
        <v>3662.3949233333333</v>
      </c>
    </row>
    <row r="14" spans="1:11" ht="20.100000000000001" customHeight="1" x14ac:dyDescent="0.2">
      <c r="A14" s="3403" t="s">
        <v>3731</v>
      </c>
      <c r="B14" s="3325" t="s">
        <v>3702</v>
      </c>
      <c r="C14" s="3323">
        <f>SUM('Прил. 1 План ФХД вода табл. 2'!M19)</f>
        <v>915.15623083333332</v>
      </c>
      <c r="D14" s="3323">
        <f>SUM('Прил. 1 План ФХД вода табл. 2'!P19)</f>
        <v>915.15623083333332</v>
      </c>
      <c r="E14" s="3323">
        <f>SUM('Прил. 1 План ФХД вода табл. 2'!S19)</f>
        <v>1830.3124616666666</v>
      </c>
      <c r="F14" s="3323">
        <f>SUM('Прил. 1 План ФХД вода табл. 2'!V19)</f>
        <v>915.15623083333332</v>
      </c>
      <c r="G14" s="3323">
        <f>SUM('Прил. 1 План ФХД вода табл. 2'!Y19)</f>
        <v>2745.4686924999996</v>
      </c>
      <c r="H14" s="3323">
        <f>SUM('Прил. 1 План ФХД вода табл. 2'!AB19)</f>
        <v>915.15623083333332</v>
      </c>
      <c r="I14" s="3324">
        <f>SUM('Прил. 1 План ФХД вода табл. 2'!AE19)</f>
        <v>3660.6249233333333</v>
      </c>
      <c r="K14" s="128">
        <f t="shared" ref="K14:K53" si="1">SUM(C14+D14+F14+H14)</f>
        <v>3660.6249233333333</v>
      </c>
    </row>
    <row r="15" spans="1:11" ht="20.100000000000001" customHeight="1" x14ac:dyDescent="0.2">
      <c r="A15" s="3403" t="s">
        <v>1711</v>
      </c>
      <c r="B15" s="3325" t="s">
        <v>3702</v>
      </c>
      <c r="C15" s="3323">
        <f>SUM('Прил. 1 План ФХД вода табл. 2'!N19)</f>
        <v>0.4425</v>
      </c>
      <c r="D15" s="3323">
        <f>SUM('Прил. 1 План ФХД вода табл. 2'!Q19)</f>
        <v>0.4425</v>
      </c>
      <c r="E15" s="3323">
        <f>SUM('Прил. 1 План ФХД вода табл. 2'!T19)</f>
        <v>0.88500000000000001</v>
      </c>
      <c r="F15" s="3323">
        <f>SUM('Прил. 1 План ФХД вода табл. 2'!W19)</f>
        <v>0.4425</v>
      </c>
      <c r="G15" s="3323">
        <f>SUM('Прил. 1 План ФХД вода табл. 2'!Z19)</f>
        <v>1.3275000000000001</v>
      </c>
      <c r="H15" s="3323">
        <f>SUM('Прил. 1 План ФХД вода табл. 2'!AC19)</f>
        <v>0.4425</v>
      </c>
      <c r="I15" s="3324">
        <f>SUM('Прил. 1 План ФХД вода табл. 2'!AF19)</f>
        <v>1.77</v>
      </c>
      <c r="K15" s="128">
        <f t="shared" si="1"/>
        <v>1.77</v>
      </c>
    </row>
    <row r="16" spans="1:11" ht="20.100000000000001" customHeight="1" x14ac:dyDescent="0.2">
      <c r="A16" s="3419" t="s">
        <v>3733</v>
      </c>
      <c r="B16" s="3325" t="s">
        <v>3702</v>
      </c>
      <c r="C16" s="3408">
        <f>SUM(C17:C18)</f>
        <v>755.00091078952471</v>
      </c>
      <c r="D16" s="3408">
        <f t="shared" ref="D16" si="2">SUM(D17:D18)</f>
        <v>755.00091078952471</v>
      </c>
      <c r="E16" s="3408">
        <f t="shared" ref="E16" si="3">SUM(E17:E18)</f>
        <v>1510.0018215790494</v>
      </c>
      <c r="F16" s="3408">
        <f t="shared" ref="F16" si="4">SUM(F17:F18)</f>
        <v>755.00091078952471</v>
      </c>
      <c r="G16" s="3408">
        <f t="shared" ref="G16" si="5">SUM(G17:G18)</f>
        <v>2265.0027323685745</v>
      </c>
      <c r="H16" s="3408">
        <f t="shared" ref="H16" si="6">SUM(H17:H18)</f>
        <v>755.00091078952471</v>
      </c>
      <c r="I16" s="3416">
        <f t="shared" ref="I16" si="7">SUM(I17:I18)</f>
        <v>3020.0036431580988</v>
      </c>
      <c r="K16" s="128">
        <f>SUM(C16+D16+F16+H16)</f>
        <v>3020.0036431580988</v>
      </c>
    </row>
    <row r="17" spans="1:11" ht="20.100000000000001" customHeight="1" x14ac:dyDescent="0.2">
      <c r="A17" s="3404" t="s">
        <v>345</v>
      </c>
      <c r="B17" s="3325" t="s">
        <v>3702</v>
      </c>
      <c r="C17" s="3323">
        <f>SUM('Прил. 1 План ФХД стоки табл 2'!N15)</f>
        <v>750.58424412285808</v>
      </c>
      <c r="D17" s="3323">
        <f>SUM('Прил. 1 План ФХД стоки табл 2'!Q15)</f>
        <v>750.58424412285808</v>
      </c>
      <c r="E17" s="3323">
        <f>SUM('Прил. 1 План ФХД стоки табл 2'!T15)</f>
        <v>1501.1684882457162</v>
      </c>
      <c r="F17" s="3323">
        <f>SUM('Прил. 1 План ФХД стоки табл 2'!W15)</f>
        <v>750.58424412285808</v>
      </c>
      <c r="G17" s="3323">
        <f>SUM('Прил. 1 План ФХД стоки табл 2'!Z15)</f>
        <v>2251.7527323685745</v>
      </c>
      <c r="H17" s="3323">
        <f>SUM('Прил. 1 План ФХД стоки табл 2'!AC15)</f>
        <v>750.58424412285808</v>
      </c>
      <c r="I17" s="3324">
        <f>SUM('Прил. 1 План ФХД стоки табл 2'!AF15)</f>
        <v>3002.3369764914323</v>
      </c>
      <c r="K17" s="128">
        <f t="shared" si="1"/>
        <v>3002.3369764914323</v>
      </c>
    </row>
    <row r="18" spans="1:11" ht="20.100000000000001" customHeight="1" x14ac:dyDescent="0.2">
      <c r="A18" s="3404" t="s">
        <v>3732</v>
      </c>
      <c r="B18" s="3325" t="s">
        <v>3702</v>
      </c>
      <c r="C18" s="3323">
        <f>SUM('Прил. 1 План ФХД стоки табл 2'!O15)</f>
        <v>4.416666666666667</v>
      </c>
      <c r="D18" s="3323">
        <f>SUM('Прил. 1 План ФХД стоки табл 2'!R15)</f>
        <v>4.416666666666667</v>
      </c>
      <c r="E18" s="3323">
        <f>SUM('Прил. 1 План ФХД стоки табл 2'!U15)</f>
        <v>8.8333333333333339</v>
      </c>
      <c r="F18" s="3323">
        <f>SUM('Прил. 1 План ФХД стоки табл 2'!X15)</f>
        <v>4.416666666666667</v>
      </c>
      <c r="G18" s="3323">
        <f>SUM('Прил. 1 План ФХД стоки табл 2'!AA15)</f>
        <v>13.25</v>
      </c>
      <c r="H18" s="3323">
        <f>SUM('Прил. 1 План ФХД стоки табл 2'!AD15)</f>
        <v>4.416666666666667</v>
      </c>
      <c r="I18" s="3324">
        <f>SUM('Прил. 1 План ФХД стоки табл 2'!AG15)</f>
        <v>17.666666666666668</v>
      </c>
      <c r="K18" s="128">
        <f t="shared" si="1"/>
        <v>17.666666666666668</v>
      </c>
    </row>
    <row r="19" spans="1:11" ht="20.100000000000001" customHeight="1" x14ac:dyDescent="0.2">
      <c r="A19" s="3417" t="s">
        <v>3703</v>
      </c>
      <c r="B19" s="3407" t="s">
        <v>187</v>
      </c>
      <c r="C19" s="3413">
        <f>SUM(C20+C24+C28)</f>
        <v>59011.467383830386</v>
      </c>
      <c r="D19" s="3413">
        <f t="shared" ref="D19:I19" si="8">SUM(D20+D24+D28)</f>
        <v>59011.467383830386</v>
      </c>
      <c r="E19" s="3413">
        <f t="shared" si="8"/>
        <v>118022.93476766077</v>
      </c>
      <c r="F19" s="3413">
        <f t="shared" si="8"/>
        <v>60166.756450456451</v>
      </c>
      <c r="G19" s="3413">
        <f t="shared" si="8"/>
        <v>178189.69121811725</v>
      </c>
      <c r="H19" s="3413">
        <f t="shared" si="8"/>
        <v>60166.756450456451</v>
      </c>
      <c r="I19" s="3418">
        <f t="shared" si="8"/>
        <v>238356.4476685737</v>
      </c>
      <c r="K19" s="128">
        <f t="shared" si="1"/>
        <v>238356.44766857367</v>
      </c>
    </row>
    <row r="20" spans="1:11" ht="20.100000000000001" customHeight="1" x14ac:dyDescent="0.2">
      <c r="A20" s="3428" t="s">
        <v>3704</v>
      </c>
      <c r="B20" s="3429" t="s">
        <v>187</v>
      </c>
      <c r="C20" s="3430">
        <f>SUM(C21+C23)</f>
        <v>33732.477890758535</v>
      </c>
      <c r="D20" s="3430">
        <f t="shared" ref="D20:I20" si="9">SUM(D21+D23)</f>
        <v>33732.477890758535</v>
      </c>
      <c r="E20" s="3430">
        <f t="shared" si="9"/>
        <v>67464.95578151707</v>
      </c>
      <c r="F20" s="3430">
        <f t="shared" si="9"/>
        <v>34886.376119793298</v>
      </c>
      <c r="G20" s="3430">
        <f t="shared" si="9"/>
        <v>102351.33190131038</v>
      </c>
      <c r="H20" s="3430">
        <f t="shared" si="9"/>
        <v>34886.376119793298</v>
      </c>
      <c r="I20" s="3431">
        <f t="shared" si="9"/>
        <v>137237.70802110367</v>
      </c>
      <c r="J20" s="585"/>
      <c r="K20" s="128">
        <f t="shared" si="1"/>
        <v>137237.70802110367</v>
      </c>
    </row>
    <row r="21" spans="1:11" ht="20.100000000000001" customHeight="1" x14ac:dyDescent="0.2">
      <c r="A21" s="3322" t="s">
        <v>3734</v>
      </c>
      <c r="B21" s="3407" t="s">
        <v>187</v>
      </c>
      <c r="C21" s="3409">
        <f>SUM('ФАКТ. СЕБЕСТ ВОДА 9 мес. 2019'!AD31)</f>
        <v>33724.775080142666</v>
      </c>
      <c r="D21" s="3409">
        <f>SUM('ФАКТ. СЕБЕСТ ВОДА 9 мес. 2019'!BQ31)</f>
        <v>33724.775080142666</v>
      </c>
      <c r="E21" s="3409">
        <f>SUM('ФАКТ. СЕБЕСТ ВОДА 9 мес. 2019'!CC31)</f>
        <v>67449.550160285333</v>
      </c>
      <c r="F21" s="3409">
        <f>SUM('ФАКТ. СЕБЕСТ ВОДА 9 мес. 2019'!DP31)</f>
        <v>34878.673309177429</v>
      </c>
      <c r="G21" s="3409">
        <f>SUM('ФАКТ. СЕБЕСТ ВОДА 9 мес. 2019'!EB31)</f>
        <v>102328.22346946277</v>
      </c>
      <c r="H21" s="3409">
        <f>SUM('ФАКТ. СЕБЕСТ ВОДА 9 мес. 2019'!FO31)</f>
        <v>34878.673309177429</v>
      </c>
      <c r="I21" s="3410">
        <f>SUM('ФАКТ. СЕБЕСТ ВОДА 9 мес. 2019'!GA31)</f>
        <v>137206.89677864019</v>
      </c>
      <c r="J21" s="585"/>
      <c r="K21" s="128">
        <f t="shared" si="1"/>
        <v>137206.89677864019</v>
      </c>
    </row>
    <row r="22" spans="1:11" ht="20.100000000000001" customHeight="1" x14ac:dyDescent="0.2">
      <c r="A22" s="3420" t="s">
        <v>3735</v>
      </c>
      <c r="B22" s="3407" t="s">
        <v>187</v>
      </c>
      <c r="C22" s="3411">
        <f>SUM('ФАКТ. СЕБЕСТ ВОДА 9 мес. 2019'!AD25)</f>
        <v>4032.2464721909982</v>
      </c>
      <c r="D22" s="3411">
        <f>SUM('ФАКТ. СЕБЕСТ ВОДА 9 мес. 2019'!BQ25)</f>
        <v>4032.2464721909982</v>
      </c>
      <c r="E22" s="3411">
        <f>SUM('ФАКТ. СЕБЕСТ ВОДА 9 мес. 2019'!CC25)</f>
        <v>8064.4929443819965</v>
      </c>
      <c r="F22" s="3411">
        <f>SUM('ФАКТ. СЕБЕСТ ВОДА 9 мес. 2019'!DP25)</f>
        <v>4379.2230708333173</v>
      </c>
      <c r="G22" s="3411">
        <f>SUM('ФАКТ. СЕБЕСТ ВОДА 9 мес. 2019'!EB25)</f>
        <v>12443.716015215314</v>
      </c>
      <c r="H22" s="3411">
        <f>SUM('ФАКТ. СЕБЕСТ ВОДА 9 мес. 2019'!FO25)</f>
        <v>4379.2230708333173</v>
      </c>
      <c r="I22" s="3412">
        <f>SUM('ФАКТ. СЕБЕСТ ВОДА 9 мес. 2019'!GA25)</f>
        <v>16822.939086048631</v>
      </c>
      <c r="J22" s="585"/>
      <c r="K22" s="128">
        <f t="shared" si="1"/>
        <v>16822.939086048631</v>
      </c>
    </row>
    <row r="23" spans="1:11" ht="20.100000000000001" customHeight="1" x14ac:dyDescent="0.2">
      <c r="A23" s="3402" t="s">
        <v>1711</v>
      </c>
      <c r="B23" s="3407" t="s">
        <v>187</v>
      </c>
      <c r="C23" s="3409">
        <f>SUM('ФАКТ. СЕБЕСТ ВОДА 9 мес. 2019'!AE31)</f>
        <v>7.7028106158698142</v>
      </c>
      <c r="D23" s="3409">
        <f>SUM('ФАКТ. СЕБЕСТ ВОДА 9 мес. 2019'!BR31)</f>
        <v>7.7028106158698142</v>
      </c>
      <c r="E23" s="3409">
        <f>SUM('ФАКТ. СЕБЕСТ ВОДА 9 мес. 2019'!CD31)</f>
        <v>15.405621231739628</v>
      </c>
      <c r="F23" s="3409">
        <f>SUM('ФАКТ. СЕБЕСТ ВОДА 9 мес. 2019'!DQ31)</f>
        <v>7.7028106158698142</v>
      </c>
      <c r="G23" s="3409">
        <f>SUM('ФАКТ. СЕБЕСТ ВОДА 9 мес. 2019'!EC31)</f>
        <v>23.108431847609442</v>
      </c>
      <c r="H23" s="3409">
        <f>SUM('ФАКТ. СЕБЕСТ ВОДА 9 мес. 2019'!FP31)</f>
        <v>7.7028106158698142</v>
      </c>
      <c r="I23" s="3410">
        <f>SUM('ФАКТ. СЕБЕСТ ВОДА 9 мес. 2019'!GB31)</f>
        <v>30.811242463479257</v>
      </c>
      <c r="J23" s="585"/>
      <c r="K23" s="128">
        <f t="shared" si="1"/>
        <v>30.811242463479257</v>
      </c>
    </row>
    <row r="24" spans="1:11" ht="20.100000000000001" customHeight="1" x14ac:dyDescent="0.2">
      <c r="A24" s="3428" t="s">
        <v>3733</v>
      </c>
      <c r="B24" s="3429" t="s">
        <v>187</v>
      </c>
      <c r="C24" s="3430">
        <f>SUM(C25+C27)</f>
        <v>24128.989493071855</v>
      </c>
      <c r="D24" s="3430">
        <f t="shared" ref="D24" si="10">SUM(D25+D27)</f>
        <v>24128.989493071855</v>
      </c>
      <c r="E24" s="3430">
        <f t="shared" ref="E24" si="11">SUM(E25+E27)</f>
        <v>48257.978986143709</v>
      </c>
      <c r="F24" s="3430">
        <f t="shared" ref="F24" si="12">SUM(F25+F27)</f>
        <v>24130.380330663153</v>
      </c>
      <c r="G24" s="3430">
        <f t="shared" ref="G24" si="13">SUM(G25+G27)</f>
        <v>72388.359316806862</v>
      </c>
      <c r="H24" s="3430">
        <f t="shared" ref="H24" si="14">SUM(H25+H27)</f>
        <v>24130.380330663153</v>
      </c>
      <c r="I24" s="3431">
        <f t="shared" ref="I24" si="15">SUM(I25+I27)</f>
        <v>96518.739647470022</v>
      </c>
      <c r="J24" s="585"/>
      <c r="K24" s="128">
        <f t="shared" si="1"/>
        <v>96518.739647470007</v>
      </c>
    </row>
    <row r="25" spans="1:11" ht="20.100000000000001" customHeight="1" x14ac:dyDescent="0.2">
      <c r="A25" s="3402" t="s">
        <v>3733</v>
      </c>
      <c r="B25" s="3407" t="s">
        <v>187</v>
      </c>
      <c r="C25" s="3409">
        <f>SUM('ФАКТ. СЕБЕСТ. СТОКИ 9 мес. 2019'!AD21)</f>
        <v>24066.085667098174</v>
      </c>
      <c r="D25" s="3409">
        <f>SUM('ФАКТ. СЕБЕСТ. СТОКИ 9 мес. 2019'!BQ21)</f>
        <v>24066.085667098174</v>
      </c>
      <c r="E25" s="3409">
        <f>SUM('ФАКТ. СЕБЕСТ. СТОКИ 9 мес. 2019'!CC21)</f>
        <v>48132.171334196348</v>
      </c>
      <c r="F25" s="3409">
        <f>SUM('ФАКТ. СЕБЕСТ. СТОКИ 9 мес. 2019'!DP21)</f>
        <v>24066.085667098174</v>
      </c>
      <c r="G25" s="3409">
        <f>SUM('ФАКТ. СЕБЕСТ. СТОКИ 9 мес. 2019'!EB21)</f>
        <v>72198.257001294522</v>
      </c>
      <c r="H25" s="3409">
        <f>SUM('ФАКТ. СЕБЕСТ. СТОКИ 9 мес. 2019'!FO21)</f>
        <v>24066.085667098174</v>
      </c>
      <c r="I25" s="3410">
        <f>SUM('ФАКТ. СЕБЕСТ. СТОКИ 9 мес. 2019'!GA21)</f>
        <v>96264.342668392695</v>
      </c>
      <c r="J25" s="585"/>
      <c r="K25" s="128">
        <f t="shared" si="1"/>
        <v>96264.342668392695</v>
      </c>
    </row>
    <row r="26" spans="1:11" ht="20.100000000000001" customHeight="1" x14ac:dyDescent="0.2">
      <c r="A26" s="3420" t="s">
        <v>3735</v>
      </c>
      <c r="B26" s="3407" t="s">
        <v>187</v>
      </c>
      <c r="C26" s="3411">
        <f>SUM('ФАКТ. СЕБЕСТ. СТОКИ 9 мес. 2019'!AD18)</f>
        <v>4100.0882553577903</v>
      </c>
      <c r="D26" s="3411">
        <f>SUM('ФАКТ. СЕБЕСТ. СТОКИ 9 мес. 2019'!BQ18)</f>
        <v>4100.0882553577903</v>
      </c>
      <c r="E26" s="3411">
        <f>SUM('ФАКТ. СЕБЕСТ. СТОКИ 9 мес. 2019'!CC18)</f>
        <v>8200.1765107155807</v>
      </c>
      <c r="F26" s="3411">
        <f>SUM('ФАКТ. СЕБЕСТ. СТОКИ 9 мес. 2019'!DP18)</f>
        <v>3774.0425553577907</v>
      </c>
      <c r="G26" s="3411">
        <f>SUM('ФАКТ. СЕБЕСТ. СТОКИ 9 мес. 2019'!EB18)</f>
        <v>11974.219066073372</v>
      </c>
      <c r="H26" s="3411">
        <f>SUM('ФАКТ. СЕБЕСТ. СТОКИ 9 мес. 2019'!FO18)</f>
        <v>3774.0425553577907</v>
      </c>
      <c r="I26" s="3412">
        <f>SUM('ФАКТ. СЕБЕСТ. СТОКИ 9 мес. 2019'!GA18)</f>
        <v>15748.261621431164</v>
      </c>
      <c r="J26" s="585"/>
      <c r="K26" s="128">
        <f t="shared" si="1"/>
        <v>15748.261621431164</v>
      </c>
    </row>
    <row r="27" spans="1:11" ht="20.100000000000001" customHeight="1" x14ac:dyDescent="0.2">
      <c r="A27" s="3402" t="s">
        <v>3732</v>
      </c>
      <c r="B27" s="3407" t="s">
        <v>187</v>
      </c>
      <c r="C27" s="3409">
        <f>SUM('ФАКТ. СЕБЕСТ. СТОКИ 9 мес. 2019'!AE21)</f>
        <v>62.903825973680554</v>
      </c>
      <c r="D27" s="3409">
        <f>SUM('ФАКТ. СЕБЕСТ. СТОКИ 9 мес. 2019'!BR21)</f>
        <v>62.903825973680554</v>
      </c>
      <c r="E27" s="3409">
        <f>SUM('ФАКТ. СЕБЕСТ. СТОКИ 9 мес. 2019'!CD21)</f>
        <v>125.80765194736111</v>
      </c>
      <c r="F27" s="3409">
        <f>SUM('ФАКТ. СЕБЕСТ. СТОКИ 9 мес. 2019'!DQ21)</f>
        <v>64.294663564980283</v>
      </c>
      <c r="G27" s="3409">
        <f>SUM('ФАКТ. СЕБЕСТ. СТОКИ 9 мес. 2019'!EC21)</f>
        <v>190.10231551234139</v>
      </c>
      <c r="H27" s="3409">
        <f>SUM('ФАКТ. СЕБЕСТ. СТОКИ 9 мес. 2019'!FP21)</f>
        <v>64.294663564980283</v>
      </c>
      <c r="I27" s="3410">
        <f>SUM('ФАКТ. СЕБЕСТ. СТОКИ 9 мес. 2019'!GB21)</f>
        <v>254.39697907732167</v>
      </c>
      <c r="J27" s="585"/>
      <c r="K27" s="128">
        <f t="shared" si="1"/>
        <v>254.39697907732167</v>
      </c>
    </row>
    <row r="28" spans="1:11" ht="20.100000000000001" customHeight="1" x14ac:dyDescent="0.2">
      <c r="A28" s="3428" t="s">
        <v>3742</v>
      </c>
      <c r="B28" s="3429" t="s">
        <v>187</v>
      </c>
      <c r="C28" s="3430">
        <f>SUM(C29:C30)</f>
        <v>1150</v>
      </c>
      <c r="D28" s="3430">
        <f t="shared" ref="D28:I28" si="16">SUM(D29:D30)</f>
        <v>1150</v>
      </c>
      <c r="E28" s="3430">
        <f t="shared" si="16"/>
        <v>2300</v>
      </c>
      <c r="F28" s="3430">
        <f t="shared" si="16"/>
        <v>1150</v>
      </c>
      <c r="G28" s="3430">
        <f t="shared" si="16"/>
        <v>3450</v>
      </c>
      <c r="H28" s="3430">
        <f t="shared" si="16"/>
        <v>1150</v>
      </c>
      <c r="I28" s="3431">
        <f t="shared" si="16"/>
        <v>4600</v>
      </c>
      <c r="K28" s="128">
        <f t="shared" si="1"/>
        <v>4600</v>
      </c>
    </row>
    <row r="29" spans="1:11" ht="20.100000000000001" customHeight="1" x14ac:dyDescent="0.2">
      <c r="A29" s="3421" t="s">
        <v>3736</v>
      </c>
      <c r="B29" s="3407" t="s">
        <v>187</v>
      </c>
      <c r="C29" s="3411">
        <v>250</v>
      </c>
      <c r="D29" s="3411">
        <v>250</v>
      </c>
      <c r="E29" s="3411">
        <f>SUM(C29:D29)</f>
        <v>500</v>
      </c>
      <c r="F29" s="3411">
        <v>250</v>
      </c>
      <c r="G29" s="3411">
        <f>SUM(E29:F29)</f>
        <v>750</v>
      </c>
      <c r="H29" s="3411">
        <v>250</v>
      </c>
      <c r="I29" s="3412">
        <f>SUM(G29:H29)</f>
        <v>1000</v>
      </c>
      <c r="K29" s="128">
        <f t="shared" si="1"/>
        <v>1000</v>
      </c>
    </row>
    <row r="30" spans="1:11" ht="20.100000000000001" customHeight="1" x14ac:dyDescent="0.2">
      <c r="A30" s="3421" t="s">
        <v>3612</v>
      </c>
      <c r="B30" s="3407" t="s">
        <v>187</v>
      </c>
      <c r="C30" s="3411">
        <v>900</v>
      </c>
      <c r="D30" s="3411">
        <v>900</v>
      </c>
      <c r="E30" s="3411">
        <f>SUM(C30:D30)</f>
        <v>1800</v>
      </c>
      <c r="F30" s="3411">
        <v>900</v>
      </c>
      <c r="G30" s="3411">
        <f>SUM(E30:F30)</f>
        <v>2700</v>
      </c>
      <c r="H30" s="3411">
        <v>900</v>
      </c>
      <c r="I30" s="3412">
        <f>SUM(G30:H30)</f>
        <v>3600</v>
      </c>
      <c r="K30" s="128">
        <f t="shared" si="1"/>
        <v>3600</v>
      </c>
    </row>
    <row r="31" spans="1:11" ht="20.100000000000001" customHeight="1" x14ac:dyDescent="0.2">
      <c r="A31" s="3417" t="s">
        <v>3706</v>
      </c>
      <c r="B31" s="3407" t="s">
        <v>187</v>
      </c>
      <c r="C31" s="3413">
        <f>SUM(C32+C35+C38)</f>
        <v>59004.06941624821</v>
      </c>
      <c r="D31" s="3413">
        <f>SUM(D32+D35+D38)</f>
        <v>59004.06941624821</v>
      </c>
      <c r="E31" s="3413">
        <f t="shared" ref="E31:I31" si="17">SUM(E32+E35+E38)</f>
        <v>118008.13883249642</v>
      </c>
      <c r="F31" s="3413">
        <f t="shared" si="17"/>
        <v>59304.154258087154</v>
      </c>
      <c r="G31" s="3413">
        <f t="shared" si="17"/>
        <v>177312.29309058358</v>
      </c>
      <c r="H31" s="3413">
        <f t="shared" si="17"/>
        <v>59304.154258087154</v>
      </c>
      <c r="I31" s="3418">
        <f t="shared" si="17"/>
        <v>236616.44734867071</v>
      </c>
      <c r="K31" s="128">
        <f t="shared" si="1"/>
        <v>236616.44734867074</v>
      </c>
    </row>
    <row r="32" spans="1:11" ht="20.100000000000001" customHeight="1" x14ac:dyDescent="0.2">
      <c r="A32" s="3428" t="s">
        <v>3704</v>
      </c>
      <c r="B32" s="3429" t="s">
        <v>187</v>
      </c>
      <c r="C32" s="3430">
        <f>SUM(C33:C34)</f>
        <v>34223.315028783894</v>
      </c>
      <c r="D32" s="3430">
        <f t="shared" ref="D32:I32" si="18">SUM(D33:D34)</f>
        <v>34223.315028783894</v>
      </c>
      <c r="E32" s="3430">
        <f t="shared" si="18"/>
        <v>68446.630057567789</v>
      </c>
      <c r="F32" s="3430">
        <f t="shared" si="18"/>
        <v>34395.538792864732</v>
      </c>
      <c r="G32" s="3430">
        <f t="shared" si="18"/>
        <v>102842.16885043251</v>
      </c>
      <c r="H32" s="3430">
        <f t="shared" si="18"/>
        <v>34395.538792864732</v>
      </c>
      <c r="I32" s="3431">
        <f t="shared" si="18"/>
        <v>137237.70764329724</v>
      </c>
      <c r="K32" s="128">
        <f t="shared" si="1"/>
        <v>137237.70764329727</v>
      </c>
    </row>
    <row r="33" spans="1:12" ht="20.100000000000001" customHeight="1" x14ac:dyDescent="0.2">
      <c r="A33" s="3322" t="s">
        <v>3731</v>
      </c>
      <c r="B33" s="3407" t="s">
        <v>187</v>
      </c>
      <c r="C33" s="3409">
        <f>SUM('ФАКТ. СЕБЕСТ ВОДА 9 мес. 2019'!AD74)</f>
        <v>34215.620946284398</v>
      </c>
      <c r="D33" s="3409">
        <f>SUM('ФАКТ. СЕБЕСТ ВОДА 9 мес. 2019'!BQ74)</f>
        <v>34215.620946284398</v>
      </c>
      <c r="E33" s="3409">
        <f>SUM('ФАКТ. СЕБЕСТ ВОДА 9 мес. 2019'!CC74)</f>
        <v>68431.241892568796</v>
      </c>
      <c r="F33" s="3409">
        <f>SUM('ФАКТ. СЕБЕСТ ВОДА 9 мес. 2019'!DP74)</f>
        <v>34387.82725422379</v>
      </c>
      <c r="G33" s="3409">
        <f>SUM('ФАКТ. СЕБЕСТ ВОДА 9 мес. 2019'!EB74)</f>
        <v>102819.06914679258</v>
      </c>
      <c r="H33" s="3409">
        <f>SUM('ФАКТ. СЕБЕСТ ВОДА 9 мес. 2019'!FO74)</f>
        <v>34387.82725422379</v>
      </c>
      <c r="I33" s="3410">
        <f>SUM('ФАКТ. СЕБЕСТ ВОДА 9 мес. 2019'!GA74)</f>
        <v>137206.89640101636</v>
      </c>
      <c r="K33" s="128">
        <f t="shared" si="1"/>
        <v>137206.89640101636</v>
      </c>
    </row>
    <row r="34" spans="1:12" ht="20.100000000000001" customHeight="1" x14ac:dyDescent="0.2">
      <c r="A34" s="3402" t="s">
        <v>1711</v>
      </c>
      <c r="B34" s="3407" t="s">
        <v>187</v>
      </c>
      <c r="C34" s="3409">
        <f>SUM('ФАКТ. СЕБЕСТ ВОДА 9 мес. 2019'!AE74)</f>
        <v>7.694082499492735</v>
      </c>
      <c r="D34" s="3409">
        <f>SUM('ФАКТ. СЕБЕСТ ВОДА 9 мес. 2019'!BR74)</f>
        <v>7.694082499492735</v>
      </c>
      <c r="E34" s="3409">
        <f>SUM('ФАКТ. СЕБЕСТ ВОДА 9 мес. 2019'!CD74)</f>
        <v>15.38816499898547</v>
      </c>
      <c r="F34" s="3409">
        <f>SUM('ФАКТ. СЕБЕСТ ВОДА 9 мес. 2019'!DQ74)</f>
        <v>7.7115386409448963</v>
      </c>
      <c r="G34" s="3409">
        <f>SUM('ФАКТ. СЕБЕСТ ВОДА 9 мес. 2019'!EC74)</f>
        <v>23.099703639930368</v>
      </c>
      <c r="H34" s="3409">
        <f>SUM('ФАКТ. СЕБЕСТ ВОДА 9 мес. 2019'!FP74)</f>
        <v>7.7115386409448963</v>
      </c>
      <c r="I34" s="3410">
        <f>SUM('ФАКТ. СЕБЕСТ ВОДА 9 мес. 2019'!GB74)</f>
        <v>30.811242280875263</v>
      </c>
      <c r="K34" s="128">
        <f t="shared" si="1"/>
        <v>30.811242280875263</v>
      </c>
    </row>
    <row r="35" spans="1:12" ht="20.100000000000001" customHeight="1" x14ac:dyDescent="0.2">
      <c r="A35" s="3428" t="s">
        <v>3733</v>
      </c>
      <c r="B35" s="3429" t="s">
        <v>187</v>
      </c>
      <c r="C35" s="3430">
        <f>SUM(C36:C37)</f>
        <v>24065.754387464316</v>
      </c>
      <c r="D35" s="3430">
        <f t="shared" ref="D35" si="19">SUM(D36:D37)</f>
        <v>24065.754387464316</v>
      </c>
      <c r="E35" s="3430">
        <f t="shared" ref="E35" si="20">SUM(E36:E37)</f>
        <v>48131.508774928632</v>
      </c>
      <c r="F35" s="3430">
        <f t="shared" ref="F35" si="21">SUM(F36:F37)</f>
        <v>24193.615465222421</v>
      </c>
      <c r="G35" s="3430">
        <f t="shared" ref="G35" si="22">SUM(G36:G37)</f>
        <v>72325.124240151054</v>
      </c>
      <c r="H35" s="3430">
        <f t="shared" ref="H35" si="23">SUM(H36:H37)</f>
        <v>24193.615465222421</v>
      </c>
      <c r="I35" s="3431">
        <f t="shared" ref="I35" si="24">SUM(I36:I37)</f>
        <v>96518.739705373475</v>
      </c>
      <c r="K35" s="128">
        <f t="shared" si="1"/>
        <v>96518.739705373475</v>
      </c>
    </row>
    <row r="36" spans="1:12" ht="20.100000000000001" customHeight="1" x14ac:dyDescent="0.2">
      <c r="A36" s="3402" t="s">
        <v>345</v>
      </c>
      <c r="B36" s="3407" t="s">
        <v>187</v>
      </c>
      <c r="C36" s="3409">
        <f>SUM('ФАКТ. СЕБЕСТ. СТОКИ 9 мес. 2019'!AD62)</f>
        <v>24002.457404368852</v>
      </c>
      <c r="D36" s="3409">
        <f>SUM('ФАКТ. СЕБЕСТ. СТОКИ 9 мес. 2019'!BQ62)</f>
        <v>24002.457404368852</v>
      </c>
      <c r="E36" s="3409">
        <f>SUM('ФАКТ. СЕБЕСТ. СТОКИ 9 мес. 2019'!CC62)</f>
        <v>48004.914808737703</v>
      </c>
      <c r="F36" s="3409">
        <f>SUM('ФАКТ. СЕБЕСТ. СТОКИ 9 мес. 2019'!DP62)</f>
        <v>24129.71395878003</v>
      </c>
      <c r="G36" s="3409">
        <f>SUM('ФАКТ. СЕБЕСТ. СТОКИ 9 мес. 2019'!EB62)</f>
        <v>72134.62876751773</v>
      </c>
      <c r="H36" s="3409">
        <f>SUM('ФАКТ. СЕБЕСТ. СТОКИ 9 мес. 2019'!FO62)</f>
        <v>24129.71395878003</v>
      </c>
      <c r="I36" s="3410">
        <f>SUM('ФАКТ. СЕБЕСТ. СТОКИ 9 мес. 2019'!GA62)</f>
        <v>96264.342726297764</v>
      </c>
      <c r="K36" s="128">
        <f t="shared" si="1"/>
        <v>96264.342726297764</v>
      </c>
    </row>
    <row r="37" spans="1:12" ht="20.100000000000001" customHeight="1" x14ac:dyDescent="0.2">
      <c r="A37" s="3402" t="s">
        <v>3732</v>
      </c>
      <c r="B37" s="3407" t="s">
        <v>187</v>
      </c>
      <c r="C37" s="3409">
        <f>SUM('ФАКТ. СЕБЕСТ. СТОКИ 9 мес. 2019'!AE62)</f>
        <v>63.296983095465002</v>
      </c>
      <c r="D37" s="3409">
        <f>SUM('ФАКТ. СЕБЕСТ. СТОКИ 9 мес. 2019'!BR62)</f>
        <v>63.296983095465002</v>
      </c>
      <c r="E37" s="3409">
        <f>SUM('ФАКТ. СЕБЕСТ. СТОКИ 9 мес. 2019'!CD62)</f>
        <v>126.59396619093</v>
      </c>
      <c r="F37" s="3409">
        <f>SUM('ФАКТ. СЕБЕСТ. СТОКИ 9 мес. 2019'!DQ62)</f>
        <v>63.901506442390257</v>
      </c>
      <c r="G37" s="3409">
        <f>SUM('ФАКТ. СЕБЕСТ. СТОКИ 9 мес. 2019'!EC62)</f>
        <v>190.49547263332028</v>
      </c>
      <c r="H37" s="3409">
        <f>SUM('ФАКТ. СЕБЕСТ. СТОКИ 9 мес. 2019'!FP62)</f>
        <v>63.901506442390257</v>
      </c>
      <c r="I37" s="3410">
        <f>SUM('ФАКТ. СЕБЕСТ. СТОКИ 9 мес. 2019'!GB62)</f>
        <v>254.39697907571053</v>
      </c>
      <c r="K37" s="128">
        <f t="shared" si="1"/>
        <v>254.39697907571053</v>
      </c>
    </row>
    <row r="38" spans="1:12" ht="20.100000000000001" customHeight="1" x14ac:dyDescent="0.2">
      <c r="A38" s="3428" t="s">
        <v>3737</v>
      </c>
      <c r="B38" s="3429" t="s">
        <v>187</v>
      </c>
      <c r="C38" s="3430">
        <f>SUM(C39:C40)</f>
        <v>715</v>
      </c>
      <c r="D38" s="3430">
        <f t="shared" ref="D38:I38" si="25">SUM(D39:D40)</f>
        <v>715</v>
      </c>
      <c r="E38" s="3430">
        <f t="shared" si="25"/>
        <v>1430</v>
      </c>
      <c r="F38" s="3430">
        <f t="shared" si="25"/>
        <v>715</v>
      </c>
      <c r="G38" s="3430">
        <f t="shared" si="25"/>
        <v>2145</v>
      </c>
      <c r="H38" s="3430">
        <f t="shared" si="25"/>
        <v>715</v>
      </c>
      <c r="I38" s="3431">
        <f t="shared" si="25"/>
        <v>2860</v>
      </c>
      <c r="K38" s="128">
        <f t="shared" si="1"/>
        <v>2860</v>
      </c>
    </row>
    <row r="39" spans="1:12" ht="20.100000000000001" customHeight="1" x14ac:dyDescent="0.2">
      <c r="A39" s="3432" t="s">
        <v>3736</v>
      </c>
      <c r="B39" s="3407" t="s">
        <v>187</v>
      </c>
      <c r="C39" s="3409">
        <f>SUM(C29*70%)</f>
        <v>175</v>
      </c>
      <c r="D39" s="3409">
        <f>SUM(D29*70%)</f>
        <v>175</v>
      </c>
      <c r="E39" s="3409">
        <f>SUM(E29*70%)</f>
        <v>350</v>
      </c>
      <c r="F39" s="3409">
        <f t="shared" ref="F39:I39" si="26">SUM(F29*70%)</f>
        <v>175</v>
      </c>
      <c r="G39" s="3409">
        <f t="shared" si="26"/>
        <v>525</v>
      </c>
      <c r="H39" s="3409">
        <f t="shared" si="26"/>
        <v>175</v>
      </c>
      <c r="I39" s="3410">
        <f t="shared" si="26"/>
        <v>700</v>
      </c>
      <c r="K39" s="128">
        <f t="shared" si="1"/>
        <v>700</v>
      </c>
    </row>
    <row r="40" spans="1:12" ht="20.100000000000001" customHeight="1" x14ac:dyDescent="0.2">
      <c r="A40" s="3432" t="s">
        <v>3612</v>
      </c>
      <c r="B40" s="3407" t="s">
        <v>187</v>
      </c>
      <c r="C40" s="3409">
        <f>SUM(C30*60%)</f>
        <v>540</v>
      </c>
      <c r="D40" s="3409">
        <f t="shared" ref="D40:I40" si="27">SUM(D30*60%)</f>
        <v>540</v>
      </c>
      <c r="E40" s="3409">
        <f t="shared" si="27"/>
        <v>1080</v>
      </c>
      <c r="F40" s="3409">
        <f t="shared" si="27"/>
        <v>540</v>
      </c>
      <c r="G40" s="3409">
        <f t="shared" si="27"/>
        <v>1620</v>
      </c>
      <c r="H40" s="3409">
        <f t="shared" si="27"/>
        <v>540</v>
      </c>
      <c r="I40" s="3410">
        <f t="shared" si="27"/>
        <v>2160</v>
      </c>
      <c r="K40" s="128">
        <f t="shared" si="1"/>
        <v>2160</v>
      </c>
    </row>
    <row r="41" spans="1:12" ht="20.100000000000001" customHeight="1" x14ac:dyDescent="0.2">
      <c r="A41" s="3419" t="s">
        <v>3707</v>
      </c>
      <c r="B41" s="3407" t="s">
        <v>187</v>
      </c>
      <c r="C41" s="3413">
        <f t="shared" ref="C41:I41" si="28">SUM(C42:C44)</f>
        <v>7.3979675821792625</v>
      </c>
      <c r="D41" s="3413">
        <f t="shared" si="28"/>
        <v>7.3979675821792625</v>
      </c>
      <c r="E41" s="3413">
        <f t="shared" si="28"/>
        <v>14.795935164358525</v>
      </c>
      <c r="F41" s="3413">
        <f t="shared" si="28"/>
        <v>862.60219236929697</v>
      </c>
      <c r="G41" s="3413">
        <f t="shared" si="28"/>
        <v>877.39812753367005</v>
      </c>
      <c r="H41" s="3413">
        <f t="shared" si="28"/>
        <v>862.60219236929697</v>
      </c>
      <c r="I41" s="3418">
        <f t="shared" si="28"/>
        <v>1740.0003199029743</v>
      </c>
      <c r="K41" s="128">
        <f t="shared" si="1"/>
        <v>1740.0003199029525</v>
      </c>
    </row>
    <row r="42" spans="1:12" ht="20.100000000000001" customHeight="1" x14ac:dyDescent="0.2">
      <c r="A42" s="3404" t="s">
        <v>355</v>
      </c>
      <c r="B42" s="3429" t="s">
        <v>187</v>
      </c>
      <c r="C42" s="3411">
        <f>SUM(C20-C32)</f>
        <v>-490.83713802535931</v>
      </c>
      <c r="D42" s="3411">
        <f t="shared" ref="D42:I42" si="29">SUM(D20-D32)</f>
        <v>-490.83713802535931</v>
      </c>
      <c r="E42" s="3411">
        <f t="shared" si="29"/>
        <v>-981.67427605071862</v>
      </c>
      <c r="F42" s="3411">
        <f t="shared" si="29"/>
        <v>490.83732692856574</v>
      </c>
      <c r="G42" s="3411">
        <f t="shared" si="29"/>
        <v>-490.83694912213832</v>
      </c>
      <c r="H42" s="3411">
        <f t="shared" si="29"/>
        <v>490.83732692856574</v>
      </c>
      <c r="I42" s="3412">
        <f t="shared" si="29"/>
        <v>3.7780642742291093E-4</v>
      </c>
      <c r="K42" s="128">
        <f t="shared" si="1"/>
        <v>3.778064128709957E-4</v>
      </c>
      <c r="L42" s="129"/>
    </row>
    <row r="43" spans="1:12" ht="20.100000000000001" customHeight="1" x14ac:dyDescent="0.2">
      <c r="A43" s="3404" t="s">
        <v>345</v>
      </c>
      <c r="B43" s="3429" t="s">
        <v>187</v>
      </c>
      <c r="C43" s="3411">
        <f>SUM(C24-C35)</f>
        <v>63.235105607538571</v>
      </c>
      <c r="D43" s="3411">
        <f t="shared" ref="D43:I43" si="30">SUM(D24-D35)</f>
        <v>63.235105607538571</v>
      </c>
      <c r="E43" s="3411">
        <f t="shared" si="30"/>
        <v>126.47021121507714</v>
      </c>
      <c r="F43" s="3411">
        <f t="shared" si="30"/>
        <v>-63.235134559268772</v>
      </c>
      <c r="G43" s="3411">
        <f t="shared" si="30"/>
        <v>63.235076655808371</v>
      </c>
      <c r="H43" s="3411">
        <f t="shared" si="30"/>
        <v>-63.235134559268772</v>
      </c>
      <c r="I43" s="3412">
        <f t="shared" si="30"/>
        <v>-5.7903453125618398E-5</v>
      </c>
      <c r="K43" s="128">
        <f t="shared" si="1"/>
        <v>-5.7903460401576012E-5</v>
      </c>
      <c r="L43" s="129"/>
    </row>
    <row r="44" spans="1:12" ht="20.100000000000001" customHeight="1" x14ac:dyDescent="0.2">
      <c r="A44" s="3404" t="s">
        <v>3705</v>
      </c>
      <c r="B44" s="3429" t="s">
        <v>187</v>
      </c>
      <c r="C44" s="3411">
        <f>SUM(C28-C38)</f>
        <v>435</v>
      </c>
      <c r="D44" s="3411">
        <f t="shared" ref="D44:I44" si="31">SUM(D28-D38)</f>
        <v>435</v>
      </c>
      <c r="E44" s="3411">
        <f t="shared" si="31"/>
        <v>870</v>
      </c>
      <c r="F44" s="3411">
        <f t="shared" si="31"/>
        <v>435</v>
      </c>
      <c r="G44" s="3411">
        <f t="shared" si="31"/>
        <v>1305</v>
      </c>
      <c r="H44" s="3411">
        <f t="shared" si="31"/>
        <v>435</v>
      </c>
      <c r="I44" s="3412">
        <f t="shared" si="31"/>
        <v>1740</v>
      </c>
      <c r="K44" s="128">
        <f t="shared" si="1"/>
        <v>1740</v>
      </c>
    </row>
    <row r="45" spans="1:12" ht="20.100000000000001" customHeight="1" x14ac:dyDescent="0.2">
      <c r="A45" s="3419" t="s">
        <v>3739</v>
      </c>
      <c r="B45" s="3407" t="s">
        <v>187</v>
      </c>
      <c r="C45" s="3413">
        <v>465</v>
      </c>
      <c r="D45" s="3413">
        <v>465</v>
      </c>
      <c r="E45" s="3413">
        <f>SUM(C45:D45)</f>
        <v>930</v>
      </c>
      <c r="F45" s="3413">
        <v>465</v>
      </c>
      <c r="G45" s="3413">
        <f>SUM(E45:F45)</f>
        <v>1395</v>
      </c>
      <c r="H45" s="3413">
        <v>465</v>
      </c>
      <c r="I45" s="3418">
        <f>SUM(G45:H45)</f>
        <v>1860</v>
      </c>
      <c r="K45" s="128">
        <f t="shared" si="1"/>
        <v>1860</v>
      </c>
    </row>
    <row r="46" spans="1:12" ht="20.100000000000001" customHeight="1" x14ac:dyDescent="0.2">
      <c r="A46" s="3419" t="s">
        <v>3708</v>
      </c>
      <c r="B46" s="3407" t="s">
        <v>187</v>
      </c>
      <c r="C46" s="3413">
        <f t="shared" ref="C46:I46" si="32">SUM(C47:C49)</f>
        <v>900</v>
      </c>
      <c r="D46" s="3413">
        <f t="shared" si="32"/>
        <v>900</v>
      </c>
      <c r="E46" s="3413">
        <f t="shared" si="32"/>
        <v>1800</v>
      </c>
      <c r="F46" s="3413">
        <f t="shared" si="32"/>
        <v>900</v>
      </c>
      <c r="G46" s="3413">
        <f t="shared" si="32"/>
        <v>2700</v>
      </c>
      <c r="H46" s="3413">
        <f t="shared" si="32"/>
        <v>900</v>
      </c>
      <c r="I46" s="3418">
        <f t="shared" si="32"/>
        <v>3600</v>
      </c>
      <c r="K46" s="128">
        <f t="shared" si="1"/>
        <v>3600</v>
      </c>
    </row>
    <row r="47" spans="1:12" ht="20.100000000000001" customHeight="1" x14ac:dyDescent="0.2">
      <c r="A47" s="3404" t="s">
        <v>3738</v>
      </c>
      <c r="B47" s="3429" t="s">
        <v>187</v>
      </c>
      <c r="C47" s="3411">
        <v>562.5</v>
      </c>
      <c r="D47" s="3411">
        <v>562.5</v>
      </c>
      <c r="E47" s="3411">
        <f>C47+D47</f>
        <v>1125</v>
      </c>
      <c r="F47" s="3411">
        <v>562.5</v>
      </c>
      <c r="G47" s="3411">
        <f>E47+F47</f>
        <v>1687.5</v>
      </c>
      <c r="H47" s="3411">
        <v>562.5</v>
      </c>
      <c r="I47" s="3412">
        <f t="shared" ref="I47:I49" si="33">G47+H47</f>
        <v>2250</v>
      </c>
      <c r="K47" s="128">
        <f t="shared" si="1"/>
        <v>2250</v>
      </c>
    </row>
    <row r="48" spans="1:12" ht="20.100000000000001" customHeight="1" x14ac:dyDescent="0.2">
      <c r="A48" s="3404" t="s">
        <v>3709</v>
      </c>
      <c r="B48" s="3429" t="s">
        <v>187</v>
      </c>
      <c r="C48" s="3411">
        <v>287.5</v>
      </c>
      <c r="D48" s="3411">
        <v>287.5</v>
      </c>
      <c r="E48" s="3411">
        <f>C48+D48</f>
        <v>575</v>
      </c>
      <c r="F48" s="3411">
        <v>287.5</v>
      </c>
      <c r="G48" s="3411">
        <f>E48+F48</f>
        <v>862.5</v>
      </c>
      <c r="H48" s="3411">
        <v>287.5</v>
      </c>
      <c r="I48" s="3412">
        <f t="shared" si="33"/>
        <v>1150</v>
      </c>
      <c r="K48" s="128">
        <f t="shared" si="1"/>
        <v>1150</v>
      </c>
    </row>
    <row r="49" spans="1:11" ht="20.100000000000001" customHeight="1" x14ac:dyDescent="0.2">
      <c r="A49" s="3404" t="s">
        <v>3710</v>
      </c>
      <c r="B49" s="3429" t="s">
        <v>187</v>
      </c>
      <c r="C49" s="3411">
        <v>50</v>
      </c>
      <c r="D49" s="3411">
        <v>50</v>
      </c>
      <c r="E49" s="3411">
        <f>C49+D49</f>
        <v>100</v>
      </c>
      <c r="F49" s="3411">
        <v>50</v>
      </c>
      <c r="G49" s="3411">
        <f>E49+F49</f>
        <v>150</v>
      </c>
      <c r="H49" s="3411">
        <v>50</v>
      </c>
      <c r="I49" s="3412">
        <f t="shared" si="33"/>
        <v>200</v>
      </c>
      <c r="K49" s="128">
        <f t="shared" si="1"/>
        <v>200</v>
      </c>
    </row>
    <row r="50" spans="1:11" ht="20.100000000000001" customHeight="1" x14ac:dyDescent="0.2">
      <c r="A50" s="3419" t="s">
        <v>3711</v>
      </c>
      <c r="B50" s="3407" t="s">
        <v>187</v>
      </c>
      <c r="C50" s="3413">
        <f t="shared" ref="C50:I50" si="34">SUM(C41+C45-C46)</f>
        <v>-427.60203241782074</v>
      </c>
      <c r="D50" s="3413">
        <f t="shared" si="34"/>
        <v>-427.60203241782074</v>
      </c>
      <c r="E50" s="3413">
        <f t="shared" si="34"/>
        <v>-855.20406483564147</v>
      </c>
      <c r="F50" s="3413">
        <f t="shared" si="34"/>
        <v>427.60219236929697</v>
      </c>
      <c r="G50" s="3413">
        <f t="shared" si="34"/>
        <v>-427.60187246632995</v>
      </c>
      <c r="H50" s="3413">
        <f t="shared" si="34"/>
        <v>427.60219236929697</v>
      </c>
      <c r="I50" s="3418">
        <f t="shared" si="34"/>
        <v>3.1990297429729253E-4</v>
      </c>
      <c r="K50" s="128">
        <f t="shared" si="1"/>
        <v>3.1990295246941969E-4</v>
      </c>
    </row>
    <row r="51" spans="1:11" ht="20.100000000000001" customHeight="1" x14ac:dyDescent="0.2">
      <c r="A51" s="3419" t="s">
        <v>3712</v>
      </c>
      <c r="B51" s="3407" t="s">
        <v>187</v>
      </c>
      <c r="C51" s="3413">
        <f>SUM(C50-(C50*20%))</f>
        <v>-342.08162593425658</v>
      </c>
      <c r="D51" s="3413">
        <f t="shared" ref="D51:I51" si="35">SUM(D50-(D50*20%))</f>
        <v>-342.08162593425658</v>
      </c>
      <c r="E51" s="3413">
        <f t="shared" si="35"/>
        <v>-684.16325186851316</v>
      </c>
      <c r="F51" s="3413">
        <f t="shared" si="35"/>
        <v>342.0817538954376</v>
      </c>
      <c r="G51" s="3413">
        <f t="shared" si="35"/>
        <v>-342.08149797306396</v>
      </c>
      <c r="H51" s="3413">
        <f t="shared" si="35"/>
        <v>342.0817538954376</v>
      </c>
      <c r="I51" s="3418">
        <f t="shared" si="35"/>
        <v>2.5592237943783402E-4</v>
      </c>
      <c r="K51" s="128">
        <f t="shared" si="1"/>
        <v>2.5592236204374785E-4</v>
      </c>
    </row>
    <row r="52" spans="1:11" ht="20.100000000000001" customHeight="1" x14ac:dyDescent="0.2">
      <c r="A52" s="3402" t="s">
        <v>3713</v>
      </c>
      <c r="B52" s="3325" t="s">
        <v>44</v>
      </c>
      <c r="C52" s="3409">
        <f t="shared" ref="C52:I52" si="36">C51/C31*100</f>
        <v>-0.57975937815579892</v>
      </c>
      <c r="D52" s="3409">
        <f t="shared" si="36"/>
        <v>-0.57975937815579892</v>
      </c>
      <c r="E52" s="3409">
        <f t="shared" si="36"/>
        <v>-0.57975937815579892</v>
      </c>
      <c r="F52" s="3409">
        <f t="shared" si="36"/>
        <v>0.57682595456420116</v>
      </c>
      <c r="G52" s="3409">
        <f t="shared" si="36"/>
        <v>-0.19292599064087715</v>
      </c>
      <c r="H52" s="3409">
        <f t="shared" si="36"/>
        <v>0.57682595456420116</v>
      </c>
      <c r="I52" s="3410">
        <f t="shared" si="36"/>
        <v>1.081591674228439E-7</v>
      </c>
      <c r="K52" s="128">
        <f t="shared" si="1"/>
        <v>-5.8668471831955227E-3</v>
      </c>
    </row>
    <row r="53" spans="1:11" ht="20.100000000000001" customHeight="1" thickBot="1" x14ac:dyDescent="0.25">
      <c r="A53" s="3329" t="s">
        <v>3714</v>
      </c>
      <c r="B53" s="3422" t="s">
        <v>187</v>
      </c>
      <c r="C53" s="3423">
        <f>SUM(C51)</f>
        <v>-342.08162593425658</v>
      </c>
      <c r="D53" s="3423">
        <f t="shared" ref="D53:I53" si="37">SUM(D51)</f>
        <v>-342.08162593425658</v>
      </c>
      <c r="E53" s="3423">
        <f t="shared" si="37"/>
        <v>-684.16325186851316</v>
      </c>
      <c r="F53" s="3423">
        <f t="shared" si="37"/>
        <v>342.0817538954376</v>
      </c>
      <c r="G53" s="3423">
        <f t="shared" si="37"/>
        <v>-342.08149797306396</v>
      </c>
      <c r="H53" s="3423">
        <f t="shared" si="37"/>
        <v>342.0817538954376</v>
      </c>
      <c r="I53" s="3330">
        <f t="shared" si="37"/>
        <v>2.5592237943783402E-4</v>
      </c>
      <c r="K53" s="128">
        <f t="shared" si="1"/>
        <v>2.5592236204374785E-4</v>
      </c>
    </row>
    <row r="54" spans="1:11" ht="48" hidden="1" customHeight="1" x14ac:dyDescent="0.2">
      <c r="A54" s="3331" t="s">
        <v>3715</v>
      </c>
      <c r="B54" s="3325" t="s">
        <v>187</v>
      </c>
      <c r="C54" s="3323">
        <v>0</v>
      </c>
      <c r="D54" s="3323">
        <v>0</v>
      </c>
      <c r="E54" s="3323">
        <v>0</v>
      </c>
      <c r="F54" s="3323">
        <v>0</v>
      </c>
      <c r="G54" s="3323">
        <v>0</v>
      </c>
      <c r="H54" s="3323">
        <v>0</v>
      </c>
      <c r="I54" s="3324">
        <v>0</v>
      </c>
    </row>
    <row r="55" spans="1:11" ht="49.5" hidden="1" customHeight="1" x14ac:dyDescent="0.2">
      <c r="A55" s="3332" t="s">
        <v>3716</v>
      </c>
      <c r="B55" s="3328" t="s">
        <v>187</v>
      </c>
      <c r="C55" s="3326">
        <v>0</v>
      </c>
      <c r="D55" s="3326">
        <v>0</v>
      </c>
      <c r="E55" s="3326">
        <v>0</v>
      </c>
      <c r="F55" s="3326">
        <v>0</v>
      </c>
      <c r="G55" s="3326">
        <v>0</v>
      </c>
      <c r="H55" s="3326">
        <v>0</v>
      </c>
      <c r="I55" s="3327">
        <v>0</v>
      </c>
    </row>
    <row r="56" spans="1:11" ht="49.5" hidden="1" customHeight="1" thickBot="1" x14ac:dyDescent="0.25">
      <c r="A56" s="3333" t="s">
        <v>3717</v>
      </c>
      <c r="B56" s="3334" t="s">
        <v>187</v>
      </c>
      <c r="C56" s="3335">
        <f>SUM(C53-(C54+C55))</f>
        <v>-342.08162593425658</v>
      </c>
      <c r="D56" s="3335">
        <f t="shared" ref="D56:I56" si="38">SUM(D53-(D54+D55))</f>
        <v>-342.08162593425658</v>
      </c>
      <c r="E56" s="3335">
        <f t="shared" si="38"/>
        <v>-684.16325186851316</v>
      </c>
      <c r="F56" s="3335">
        <f t="shared" si="38"/>
        <v>342.0817538954376</v>
      </c>
      <c r="G56" s="3335">
        <f t="shared" si="38"/>
        <v>-342.08149797306396</v>
      </c>
      <c r="H56" s="3335">
        <f t="shared" si="38"/>
        <v>342.0817538954376</v>
      </c>
      <c r="I56" s="3336">
        <f t="shared" si="38"/>
        <v>2.5592237943783402E-4</v>
      </c>
    </row>
    <row r="57" spans="1:11" ht="15.75" x14ac:dyDescent="0.25">
      <c r="A57" s="3337"/>
      <c r="B57" s="3337"/>
      <c r="C57" s="3337"/>
      <c r="D57" s="3337"/>
      <c r="E57" s="3337"/>
      <c r="F57" s="3337"/>
      <c r="G57" s="3337"/>
      <c r="H57" s="3337"/>
      <c r="I57" s="3337"/>
    </row>
    <row r="58" spans="1:11" ht="15.75" x14ac:dyDescent="0.25">
      <c r="A58" s="1846"/>
      <c r="B58" s="1846"/>
      <c r="C58" s="1846"/>
      <c r="D58" s="1846"/>
      <c r="E58" s="1846"/>
      <c r="F58" s="1846"/>
      <c r="G58" s="1846"/>
      <c r="H58" s="1846"/>
      <c r="I58" s="1846"/>
    </row>
    <row r="59" spans="1:11" ht="18.75" x14ac:dyDescent="0.3">
      <c r="A59" s="3314"/>
      <c r="B59" s="3314"/>
      <c r="C59" s="3314"/>
      <c r="D59" s="3314"/>
      <c r="E59" s="3314"/>
      <c r="F59" s="3269"/>
      <c r="G59" s="3267"/>
      <c r="H59" s="3267"/>
      <c r="I59" s="3267"/>
    </row>
    <row r="60" spans="1:11" ht="18.75" x14ac:dyDescent="0.3">
      <c r="A60" s="3314" t="s">
        <v>3690</v>
      </c>
      <c r="B60" s="3314"/>
      <c r="C60" s="3314"/>
      <c r="D60" s="3314"/>
      <c r="E60" s="3314" t="s">
        <v>3691</v>
      </c>
      <c r="F60" s="3269"/>
      <c r="G60" s="3267"/>
      <c r="H60" s="3267"/>
      <c r="I60" s="3267"/>
    </row>
    <row r="61" spans="1:11" ht="15" x14ac:dyDescent="0.2">
      <c r="A61" s="3160"/>
      <c r="B61" s="3160"/>
      <c r="C61" s="3160"/>
      <c r="D61" s="3160"/>
      <c r="E61" s="3160"/>
      <c r="F61" s="3160"/>
      <c r="G61" s="3160"/>
      <c r="H61" s="3160"/>
      <c r="I61" s="3160"/>
    </row>
    <row r="62" spans="1:11" ht="15" x14ac:dyDescent="0.2">
      <c r="A62" s="3160"/>
      <c r="B62" s="3160"/>
      <c r="C62" s="3160"/>
      <c r="D62" s="3160"/>
      <c r="E62" s="3160"/>
      <c r="F62" s="3160"/>
      <c r="G62" s="3160"/>
      <c r="H62" s="3160"/>
      <c r="I62" s="3160"/>
    </row>
    <row r="63" spans="1:11" ht="15" x14ac:dyDescent="0.2">
      <c r="A63" s="3160"/>
      <c r="B63" s="3160"/>
      <c r="C63" s="3160"/>
      <c r="D63" s="3160"/>
      <c r="E63" s="3160"/>
      <c r="F63" s="3160"/>
      <c r="G63" s="3160"/>
      <c r="H63" s="3160"/>
      <c r="I63" s="3160"/>
    </row>
    <row r="64" spans="1:11" ht="15" x14ac:dyDescent="0.2">
      <c r="A64" s="3160"/>
      <c r="B64" s="3160"/>
      <c r="C64" s="3160"/>
      <c r="D64" s="3160"/>
      <c r="E64" s="3160"/>
      <c r="F64" s="3160"/>
      <c r="G64" s="3160"/>
      <c r="H64" s="3160"/>
      <c r="I64" s="3160"/>
    </row>
    <row r="65" spans="1:9" ht="15" x14ac:dyDescent="0.2">
      <c r="A65" s="3160"/>
      <c r="B65" s="3160"/>
      <c r="C65" s="3160"/>
      <c r="D65" s="3160"/>
      <c r="E65" s="3160"/>
      <c r="F65" s="3160"/>
      <c r="G65" s="3160"/>
      <c r="H65" s="3160"/>
      <c r="I65" s="3160"/>
    </row>
    <row r="66" spans="1:9" ht="66.75" customHeight="1" x14ac:dyDescent="0.2">
      <c r="A66" s="3584"/>
      <c r="B66" s="3584"/>
      <c r="C66" s="3584"/>
      <c r="D66" s="3584"/>
      <c r="E66" s="3584"/>
      <c r="F66" s="3584"/>
      <c r="G66" s="3584"/>
      <c r="H66" s="3584"/>
      <c r="I66" s="3584"/>
    </row>
    <row r="67" spans="1:9" ht="31.5" customHeight="1" x14ac:dyDescent="0.2">
      <c r="A67" s="3584"/>
      <c r="B67" s="3491"/>
      <c r="C67" s="3491"/>
      <c r="D67" s="3491"/>
      <c r="E67" s="3491"/>
      <c r="F67" s="3491"/>
      <c r="G67" s="3491"/>
      <c r="H67" s="3491"/>
      <c r="I67" s="3491"/>
    </row>
    <row r="68" spans="1:9" ht="15" x14ac:dyDescent="0.2">
      <c r="A68" s="3160"/>
      <c r="B68" s="3160"/>
      <c r="C68" s="3160"/>
      <c r="D68" s="3160"/>
      <c r="E68" s="3160"/>
      <c r="F68" s="3160"/>
      <c r="G68" s="3160"/>
      <c r="H68" s="3160"/>
      <c r="I68" s="3160"/>
    </row>
  </sheetData>
  <mergeCells count="5">
    <mergeCell ref="A12:I12"/>
    <mergeCell ref="A66:I66"/>
    <mergeCell ref="A67:I67"/>
    <mergeCell ref="F1:I1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4"/>
  <sheetViews>
    <sheetView topLeftCell="A13" workbookViewId="0">
      <selection activeCell="E43" sqref="E43"/>
    </sheetView>
  </sheetViews>
  <sheetFormatPr defaultRowHeight="12.75" x14ac:dyDescent="0.2"/>
  <cols>
    <col min="1" max="1" width="42.42578125" style="2489" customWidth="1"/>
    <col min="2" max="2" width="13.140625" style="5" customWidth="1"/>
    <col min="3" max="4" width="11.85546875" style="5" customWidth="1"/>
    <col min="5" max="5" width="12.5703125" style="5" customWidth="1"/>
    <col min="6" max="6" width="14" style="5" customWidth="1"/>
    <col min="7" max="7" width="14.28515625" style="5" customWidth="1"/>
    <col min="8" max="8" width="13.5703125" style="5" customWidth="1"/>
    <col min="9" max="9" width="16.5703125" style="5" customWidth="1"/>
    <col min="10" max="10" width="10" style="5" bestFit="1" customWidth="1"/>
    <col min="11" max="16384" width="9.140625" style="5"/>
  </cols>
  <sheetData>
    <row r="3" spans="1:11" ht="15.75" x14ac:dyDescent="0.25">
      <c r="A3" s="4225" t="s">
        <v>2117</v>
      </c>
      <c r="B3" s="4225"/>
      <c r="C3" s="4225"/>
      <c r="D3" s="4225"/>
      <c r="E3" s="4225"/>
      <c r="F3" s="4225"/>
      <c r="G3" s="4225"/>
      <c r="H3" s="4225"/>
      <c r="I3" s="4225"/>
    </row>
    <row r="6" spans="1:11" s="375" customFormat="1" x14ac:dyDescent="0.2">
      <c r="A6" s="3960" t="s">
        <v>1902</v>
      </c>
      <c r="B6" s="3971" t="s">
        <v>1903</v>
      </c>
      <c r="C6" s="3971" t="s">
        <v>627</v>
      </c>
      <c r="D6" s="3971" t="s">
        <v>50</v>
      </c>
      <c r="E6" s="3971"/>
      <c r="F6" s="3971"/>
      <c r="G6" s="3971"/>
      <c r="H6" s="3971"/>
      <c r="I6" s="3971"/>
    </row>
    <row r="7" spans="1:11" s="2039" customFormat="1" ht="25.5" x14ac:dyDescent="0.2">
      <c r="A7" s="3960"/>
      <c r="B7" s="3971"/>
      <c r="C7" s="3971"/>
      <c r="D7" s="2476" t="s">
        <v>284</v>
      </c>
      <c r="E7" s="2476" t="s">
        <v>1899</v>
      </c>
      <c r="F7" s="2476" t="s">
        <v>1468</v>
      </c>
      <c r="G7" s="2476" t="s">
        <v>1900</v>
      </c>
      <c r="H7" s="2476" t="s">
        <v>1901</v>
      </c>
      <c r="I7" s="2476" t="s">
        <v>738</v>
      </c>
    </row>
    <row r="8" spans="1:11" s="2558" customFormat="1" x14ac:dyDescent="0.2">
      <c r="A8" s="2479" t="s">
        <v>46</v>
      </c>
      <c r="B8" s="2480"/>
      <c r="C8" s="2480"/>
      <c r="D8" s="2715">
        <f>D9+D10</f>
        <v>582526.08000000007</v>
      </c>
      <c r="E8" s="2479"/>
      <c r="F8" s="2479"/>
      <c r="G8" s="2479"/>
      <c r="H8" s="2479"/>
      <c r="I8" s="2479"/>
    </row>
    <row r="9" spans="1:11" x14ac:dyDescent="0.2">
      <c r="A9" s="2491" t="s">
        <v>1897</v>
      </c>
      <c r="B9" s="1972" t="s">
        <v>1898</v>
      </c>
      <c r="C9" s="1973">
        <f>D9+E9+F9+G9+H9+I9</f>
        <v>880432.81</v>
      </c>
      <c r="D9" s="1977">
        <v>193518.26</v>
      </c>
      <c r="E9" s="1977">
        <v>172132.03</v>
      </c>
      <c r="F9" s="1977">
        <v>162964.23000000001</v>
      </c>
      <c r="G9" s="1977">
        <v>139336.39000000001</v>
      </c>
      <c r="H9" s="1977">
        <v>78178.59</v>
      </c>
      <c r="I9" s="1977">
        <v>134303.31</v>
      </c>
      <c r="J9" s="1860">
        <v>880432.81</v>
      </c>
      <c r="K9" s="1860"/>
    </row>
    <row r="10" spans="1:11" x14ac:dyDescent="0.2">
      <c r="A10" s="2491" t="s">
        <v>1904</v>
      </c>
      <c r="B10" s="1972" t="s">
        <v>1905</v>
      </c>
      <c r="C10" s="1973">
        <f t="shared" ref="C10:C14" si="0">D10+E10+F10+G10+H10+I10</f>
        <v>1049728.8900000001</v>
      </c>
      <c r="D10" s="1977">
        <v>389007.82</v>
      </c>
      <c r="E10" s="1977">
        <v>36264.550000000003</v>
      </c>
      <c r="F10" s="1977">
        <v>206031.45</v>
      </c>
      <c r="G10" s="1977">
        <v>155400.19</v>
      </c>
      <c r="H10" s="1977">
        <v>102896.74</v>
      </c>
      <c r="I10" s="1977">
        <v>160128.14000000001</v>
      </c>
      <c r="J10" s="1860">
        <v>1049728.8899999999</v>
      </c>
    </row>
    <row r="11" spans="1:11" s="2153" customFormat="1" x14ac:dyDescent="0.2">
      <c r="A11" s="2559" t="s">
        <v>47</v>
      </c>
      <c r="B11" s="2050"/>
      <c r="C11" s="2551"/>
      <c r="D11" s="2551">
        <f>D12+D13</f>
        <v>752846.33000000007</v>
      </c>
      <c r="E11" s="2551"/>
      <c r="F11" s="2551"/>
      <c r="G11" s="2551"/>
      <c r="H11" s="2551"/>
      <c r="I11" s="2551"/>
      <c r="J11" s="3008"/>
    </row>
    <row r="12" spans="1:11" ht="25.5" x14ac:dyDescent="0.2">
      <c r="A12" s="2491" t="s">
        <v>1906</v>
      </c>
      <c r="B12" s="2481" t="s">
        <v>1907</v>
      </c>
      <c r="C12" s="2042">
        <f t="shared" si="0"/>
        <v>1108347.6300000001</v>
      </c>
      <c r="D12" s="1969">
        <v>531897.04</v>
      </c>
      <c r="E12" s="1969">
        <v>128067.17</v>
      </c>
      <c r="F12" s="1969">
        <v>98058.96</v>
      </c>
      <c r="G12" s="1969">
        <v>120387.86</v>
      </c>
      <c r="H12" s="1969">
        <v>60866.62</v>
      </c>
      <c r="I12" s="1969">
        <v>169069.98</v>
      </c>
      <c r="J12" s="2107">
        <v>1108347.6299999999</v>
      </c>
      <c r="K12" s="375"/>
    </row>
    <row r="13" spans="1:11" s="375" customFormat="1" x14ac:dyDescent="0.2">
      <c r="A13" s="2243" t="s">
        <v>1908</v>
      </c>
      <c r="B13" s="2553" t="s">
        <v>1909</v>
      </c>
      <c r="C13" s="2554">
        <f t="shared" si="0"/>
        <v>1202859.75</v>
      </c>
      <c r="D13" s="2555">
        <v>220949.29</v>
      </c>
      <c r="E13" s="2555">
        <v>324048.62</v>
      </c>
      <c r="F13" s="2555">
        <v>197814.24</v>
      </c>
      <c r="G13" s="2555">
        <v>167836.61</v>
      </c>
      <c r="H13" s="2555">
        <v>108723.91</v>
      </c>
      <c r="I13" s="2555">
        <v>183487.08</v>
      </c>
      <c r="J13" s="2107">
        <v>1202859.75</v>
      </c>
    </row>
    <row r="14" spans="1:11" s="375" customFormat="1" ht="25.5" x14ac:dyDescent="0.2">
      <c r="A14" s="1868" t="s">
        <v>1910</v>
      </c>
      <c r="B14" s="2481" t="s">
        <v>1911</v>
      </c>
      <c r="C14" s="2042">
        <f t="shared" si="0"/>
        <v>3012966.2800000003</v>
      </c>
      <c r="D14" s="1969">
        <v>0</v>
      </c>
      <c r="E14" s="1969">
        <v>2553169.2799999998</v>
      </c>
      <c r="F14" s="1969">
        <v>0</v>
      </c>
      <c r="G14" s="1969">
        <v>130.54</v>
      </c>
      <c r="H14" s="1969">
        <v>61.43</v>
      </c>
      <c r="I14" s="1969">
        <v>459605.03</v>
      </c>
      <c r="J14" s="1864">
        <v>3012966.28</v>
      </c>
    </row>
    <row r="15" spans="1:11" x14ac:dyDescent="0.2">
      <c r="C15" s="2107"/>
      <c r="D15" s="2107"/>
      <c r="E15" s="2107"/>
      <c r="F15" s="2107"/>
      <c r="G15" s="2107"/>
      <c r="H15" s="2107"/>
      <c r="I15" s="2107"/>
      <c r="J15" s="2107"/>
      <c r="K15" s="375"/>
    </row>
    <row r="16" spans="1:11" s="2151" customFormat="1" x14ac:dyDescent="0.2">
      <c r="A16" s="2556" t="s">
        <v>613</v>
      </c>
      <c r="C16" s="2552"/>
      <c r="D16" s="2552"/>
      <c r="E16" s="2552"/>
      <c r="F16" s="2552"/>
      <c r="G16" s="2552"/>
      <c r="H16" s="2552"/>
      <c r="I16" s="2552"/>
      <c r="J16" s="2552"/>
    </row>
    <row r="17" spans="1:10" s="2151" customFormat="1" x14ac:dyDescent="0.2">
      <c r="A17" s="2556" t="s">
        <v>278</v>
      </c>
      <c r="C17" s="2552"/>
      <c r="D17" s="2552"/>
      <c r="E17" s="2552"/>
      <c r="F17" s="2552"/>
      <c r="G17" s="2552"/>
      <c r="H17" s="2552"/>
      <c r="I17" s="2552"/>
      <c r="J17" s="2552"/>
    </row>
    <row r="18" spans="1:10" s="2039" customFormat="1" ht="25.5" x14ac:dyDescent="0.2">
      <c r="A18" s="2479"/>
      <c r="B18" s="2476" t="s">
        <v>1915</v>
      </c>
      <c r="C18" s="2265" t="s">
        <v>1916</v>
      </c>
      <c r="D18" s="2265" t="s">
        <v>1917</v>
      </c>
      <c r="E18" s="2265" t="s">
        <v>1918</v>
      </c>
      <c r="F18" s="2265" t="s">
        <v>1919</v>
      </c>
      <c r="G18" s="2265" t="s">
        <v>1920</v>
      </c>
      <c r="H18" s="2265" t="s">
        <v>1921</v>
      </c>
      <c r="I18" s="2265" t="s">
        <v>1922</v>
      </c>
      <c r="J18" s="2557"/>
    </row>
    <row r="19" spans="1:10" x14ac:dyDescent="0.2">
      <c r="A19" s="2491" t="s">
        <v>135</v>
      </c>
      <c r="B19" s="1977">
        <v>45.07</v>
      </c>
      <c r="C19" s="1977">
        <v>209.65</v>
      </c>
      <c r="D19" s="1977">
        <v>127.68</v>
      </c>
      <c r="E19" s="1977">
        <v>131.51</v>
      </c>
      <c r="F19" s="1977">
        <v>135.46</v>
      </c>
      <c r="G19" s="1977">
        <v>139.52000000000001</v>
      </c>
      <c r="H19" s="1977">
        <v>143.69999999999999</v>
      </c>
      <c r="I19" s="1977">
        <v>148.02000000000001</v>
      </c>
      <c r="J19" s="1860"/>
    </row>
    <row r="20" spans="1:10" x14ac:dyDescent="0.2">
      <c r="A20" s="2491" t="s">
        <v>136</v>
      </c>
      <c r="B20" s="1977">
        <v>1296.07</v>
      </c>
      <c r="C20" s="1977">
        <v>4707.6899999999996</v>
      </c>
      <c r="D20" s="1977">
        <v>1358.16</v>
      </c>
      <c r="E20" s="1977">
        <v>1398.9</v>
      </c>
      <c r="F20" s="1977">
        <v>1440.87</v>
      </c>
      <c r="G20" s="1977">
        <v>1484.09</v>
      </c>
      <c r="H20" s="1977">
        <v>1528.62</v>
      </c>
      <c r="I20" s="1977">
        <v>1574.47</v>
      </c>
      <c r="J20" s="1860"/>
    </row>
    <row r="21" spans="1:10" x14ac:dyDescent="0.2">
      <c r="A21" s="2491" t="s">
        <v>1912</v>
      </c>
      <c r="B21" s="1977">
        <v>291.54000000000002</v>
      </c>
      <c r="C21" s="1977">
        <v>566.03</v>
      </c>
      <c r="D21" s="1977">
        <v>636.15</v>
      </c>
      <c r="E21" s="1977">
        <v>1049.73</v>
      </c>
      <c r="F21" s="1977">
        <v>1081.22</v>
      </c>
      <c r="G21" s="1977">
        <v>1113.6600000000001</v>
      </c>
      <c r="H21" s="1977">
        <v>1147.07</v>
      </c>
      <c r="I21" s="1977">
        <v>1181.48</v>
      </c>
      <c r="J21" s="1860"/>
    </row>
    <row r="22" spans="1:10" x14ac:dyDescent="0.2">
      <c r="A22" s="2491" t="s">
        <v>642</v>
      </c>
      <c r="B22" s="1977">
        <v>1283.98</v>
      </c>
      <c r="C22" s="1977">
        <v>1564.17</v>
      </c>
      <c r="D22" s="1977">
        <v>1637.08</v>
      </c>
      <c r="E22" s="1977">
        <v>880.43</v>
      </c>
      <c r="F22" s="1977">
        <v>906.85</v>
      </c>
      <c r="G22" s="1977">
        <v>934.05</v>
      </c>
      <c r="H22" s="1977">
        <v>962.07</v>
      </c>
      <c r="I22" s="1977">
        <v>990.94</v>
      </c>
    </row>
    <row r="23" spans="1:10" s="2151" customFormat="1" x14ac:dyDescent="0.2">
      <c r="A23" s="2051" t="s">
        <v>1913</v>
      </c>
      <c r="B23" s="2551">
        <f>SUM(B19:B22)</f>
        <v>2916.66</v>
      </c>
      <c r="C23" s="2551">
        <f t="shared" ref="C23:I23" si="1">SUM(C19:C22)</f>
        <v>7047.5399999999991</v>
      </c>
      <c r="D23" s="2551">
        <f t="shared" si="1"/>
        <v>3759.07</v>
      </c>
      <c r="E23" s="2551">
        <f t="shared" si="1"/>
        <v>3460.57</v>
      </c>
      <c r="F23" s="2551">
        <f t="shared" si="1"/>
        <v>3564.4</v>
      </c>
      <c r="G23" s="2551">
        <f t="shared" si="1"/>
        <v>3671.3199999999997</v>
      </c>
      <c r="H23" s="2551">
        <f t="shared" si="1"/>
        <v>3781.46</v>
      </c>
      <c r="I23" s="2551">
        <f t="shared" si="1"/>
        <v>3894.9100000000003</v>
      </c>
    </row>
    <row r="24" spans="1:10" x14ac:dyDescent="0.2">
      <c r="A24" s="2491" t="s">
        <v>619</v>
      </c>
      <c r="B24" s="1977">
        <v>441.31</v>
      </c>
      <c r="C24" s="1977">
        <v>304.98</v>
      </c>
      <c r="D24" s="1977">
        <v>410.34</v>
      </c>
      <c r="E24" s="1977">
        <v>422.65</v>
      </c>
      <c r="F24" s="1977">
        <v>435.33</v>
      </c>
      <c r="G24" s="1977">
        <v>448.39</v>
      </c>
      <c r="H24" s="1977">
        <v>461.84</v>
      </c>
      <c r="I24" s="1977">
        <v>475.7</v>
      </c>
    </row>
    <row r="25" spans="1:10" x14ac:dyDescent="0.2">
      <c r="A25" s="2491" t="s">
        <v>628</v>
      </c>
      <c r="B25" s="1977">
        <v>347.31</v>
      </c>
      <c r="C25" s="1977">
        <v>960.04</v>
      </c>
      <c r="D25" s="1977">
        <v>1048.1600000000001</v>
      </c>
      <c r="E25" s="1977">
        <v>934.15</v>
      </c>
      <c r="F25" s="1977">
        <v>962.17</v>
      </c>
      <c r="G25" s="1977">
        <v>991.04</v>
      </c>
      <c r="H25" s="1977">
        <v>1020.77</v>
      </c>
      <c r="I25" s="1977">
        <v>1051.3900000000001</v>
      </c>
    </row>
    <row r="26" spans="1:10" x14ac:dyDescent="0.2">
      <c r="A26" s="2491" t="s">
        <v>636</v>
      </c>
      <c r="B26" s="1977">
        <v>122.56</v>
      </c>
      <c r="C26" s="1977">
        <v>300.22000000000003</v>
      </c>
      <c r="D26" s="1977">
        <v>397.96</v>
      </c>
      <c r="E26" s="1977">
        <v>1108.3499999999999</v>
      </c>
      <c r="F26" s="1977">
        <v>1141.5999999999999</v>
      </c>
      <c r="G26" s="1977">
        <v>1175.8499999999999</v>
      </c>
      <c r="H26" s="1977">
        <v>1211.1199999999999</v>
      </c>
      <c r="I26" s="1977">
        <v>1247.46</v>
      </c>
    </row>
    <row r="27" spans="1:10" x14ac:dyDescent="0.2">
      <c r="A27" s="2491" t="s">
        <v>642</v>
      </c>
      <c r="B27" s="1977">
        <v>335.88</v>
      </c>
      <c r="C27" s="1977">
        <v>174.81</v>
      </c>
      <c r="D27" s="1977">
        <v>234.78</v>
      </c>
      <c r="E27" s="1977">
        <v>1202.8599999999999</v>
      </c>
      <c r="F27" s="1977">
        <v>1238.95</v>
      </c>
      <c r="G27" s="1977">
        <v>1276.1099999999999</v>
      </c>
      <c r="H27" s="1977">
        <v>1314.4</v>
      </c>
      <c r="I27" s="1977">
        <v>1353.83</v>
      </c>
    </row>
    <row r="28" spans="1:10" x14ac:dyDescent="0.2">
      <c r="A28" s="2491" t="s">
        <v>1914</v>
      </c>
      <c r="B28" s="1977">
        <v>0</v>
      </c>
      <c r="C28" s="1977">
        <v>0</v>
      </c>
      <c r="D28" s="1977">
        <v>3012.97</v>
      </c>
      <c r="E28" s="1977">
        <v>1700</v>
      </c>
      <c r="F28" s="1977">
        <v>1700</v>
      </c>
      <c r="G28" s="1977">
        <v>1700</v>
      </c>
      <c r="H28" s="1977">
        <v>1700</v>
      </c>
      <c r="I28" s="1977">
        <v>1700</v>
      </c>
    </row>
    <row r="29" spans="1:10" s="2151" customFormat="1" x14ac:dyDescent="0.2">
      <c r="A29" s="2051" t="s">
        <v>94</v>
      </c>
      <c r="B29" s="2551">
        <f>SUM(B24:B28)</f>
        <v>1247.06</v>
      </c>
      <c r="C29" s="2551">
        <f t="shared" ref="C29:I29" si="2">SUM(C24:C28)</f>
        <v>1740.05</v>
      </c>
      <c r="D29" s="2551">
        <f t="shared" si="2"/>
        <v>5104.21</v>
      </c>
      <c r="E29" s="2551">
        <f t="shared" si="2"/>
        <v>5368.0099999999993</v>
      </c>
      <c r="F29" s="2551">
        <f t="shared" si="2"/>
        <v>5478.05</v>
      </c>
      <c r="G29" s="2551">
        <f t="shared" si="2"/>
        <v>5591.3899999999994</v>
      </c>
      <c r="H29" s="2551">
        <f t="shared" si="2"/>
        <v>5708.1299999999992</v>
      </c>
      <c r="I29" s="2551">
        <f t="shared" si="2"/>
        <v>5828.38</v>
      </c>
    </row>
    <row r="30" spans="1:10" x14ac:dyDescent="0.2">
      <c r="E30" s="1860">
        <f>E29-E28</f>
        <v>3668.0099999999993</v>
      </c>
      <c r="F30" s="1860">
        <f t="shared" ref="F30:I30" si="3">F29-F28</f>
        <v>3778.05</v>
      </c>
      <c r="G30" s="1860">
        <f t="shared" si="3"/>
        <v>3891.3899999999994</v>
      </c>
      <c r="H30" s="1860">
        <f t="shared" si="3"/>
        <v>4008.1299999999992</v>
      </c>
      <c r="I30" s="1860">
        <f t="shared" si="3"/>
        <v>4128.38</v>
      </c>
    </row>
    <row r="31" spans="1:10" s="2151" customFormat="1" x14ac:dyDescent="0.2">
      <c r="A31" s="2556" t="s">
        <v>1923</v>
      </c>
    </row>
    <row r="32" spans="1:10" ht="25.5" x14ac:dyDescent="0.2">
      <c r="A32" s="2479"/>
      <c r="B32" s="2476" t="s">
        <v>1915</v>
      </c>
      <c r="C32" s="2265" t="s">
        <v>1916</v>
      </c>
      <c r="D32" s="2265" t="s">
        <v>1917</v>
      </c>
      <c r="E32" s="2265" t="s">
        <v>1918</v>
      </c>
      <c r="F32" s="2265" t="s">
        <v>1919</v>
      </c>
      <c r="G32" s="2265" t="s">
        <v>1920</v>
      </c>
      <c r="H32" s="2265" t="s">
        <v>1921</v>
      </c>
      <c r="I32" s="2265" t="s">
        <v>1922</v>
      </c>
    </row>
    <row r="33" spans="1:9" ht="12.75" customHeight="1" x14ac:dyDescent="0.2">
      <c r="A33" s="2491" t="s">
        <v>135</v>
      </c>
      <c r="B33" s="1977">
        <v>45.07</v>
      </c>
      <c r="C33" s="1977">
        <v>209.65</v>
      </c>
      <c r="D33" s="1977">
        <v>127.68</v>
      </c>
      <c r="E33" s="4541" t="s">
        <v>2109</v>
      </c>
      <c r="F33" s="4542"/>
      <c r="G33" s="4542"/>
      <c r="H33" s="4542"/>
      <c r="I33" s="4543"/>
    </row>
    <row r="34" spans="1:9" x14ac:dyDescent="0.2">
      <c r="A34" s="2491" t="s">
        <v>136</v>
      </c>
      <c r="B34" s="1977">
        <v>1296.07</v>
      </c>
      <c r="C34" s="1977">
        <v>4707.6899999999996</v>
      </c>
      <c r="D34" s="1977">
        <v>1358.16</v>
      </c>
      <c r="E34" s="4544"/>
      <c r="F34" s="4545"/>
      <c r="G34" s="4545"/>
      <c r="H34" s="4545"/>
      <c r="I34" s="4546"/>
    </row>
    <row r="35" spans="1:9" x14ac:dyDescent="0.2">
      <c r="A35" s="2491" t="s">
        <v>1912</v>
      </c>
      <c r="B35" s="1977">
        <v>291.54000000000002</v>
      </c>
      <c r="C35" s="1977">
        <v>566.03</v>
      </c>
      <c r="D35" s="1977">
        <v>636.15</v>
      </c>
      <c r="E35" s="4544"/>
      <c r="F35" s="4545"/>
      <c r="G35" s="4545"/>
      <c r="H35" s="4545"/>
      <c r="I35" s="4546"/>
    </row>
    <row r="36" spans="1:9" x14ac:dyDescent="0.2">
      <c r="A36" s="2491" t="s">
        <v>642</v>
      </c>
      <c r="B36" s="1977">
        <v>1283.98</v>
      </c>
      <c r="C36" s="1977">
        <v>1564.17</v>
      </c>
      <c r="D36" s="1977">
        <v>1637.08</v>
      </c>
      <c r="E36" s="1968">
        <f>D8/1000</f>
        <v>582.52608000000009</v>
      </c>
      <c r="F36" s="1968">
        <f>E36*0.99*1.046</f>
        <v>603.22905688320009</v>
      </c>
      <c r="G36" s="1968">
        <f>F36*0.99*1.034</f>
        <v>617.50145636905665</v>
      </c>
      <c r="H36" s="1968">
        <f>G36*0.99*1.04</f>
        <v>635.77949947758077</v>
      </c>
      <c r="I36" s="1968">
        <f>H36*0.99*1.04</f>
        <v>654.59857266211725</v>
      </c>
    </row>
    <row r="37" spans="1:9" x14ac:dyDescent="0.2">
      <c r="A37" s="2051" t="s">
        <v>1913</v>
      </c>
      <c r="B37" s="2551">
        <f>SUM(B33:B36)</f>
        <v>2916.66</v>
      </c>
      <c r="C37" s="2551">
        <f t="shared" ref="C37" si="4">SUM(C33:C36)</f>
        <v>7047.5399999999991</v>
      </c>
      <c r="D37" s="2551">
        <f t="shared" ref="D37" si="5">SUM(D33:D36)</f>
        <v>3759.07</v>
      </c>
      <c r="E37" s="2551">
        <f t="shared" ref="E37:F37" si="6">SUM(E33:E36)</f>
        <v>582.52608000000009</v>
      </c>
      <c r="F37" s="2551">
        <f t="shared" si="6"/>
        <v>603.22905688320009</v>
      </c>
      <c r="G37" s="2551">
        <f t="shared" ref="G37" si="7">SUM(G33:G36)</f>
        <v>617.50145636905665</v>
      </c>
      <c r="H37" s="2551">
        <f t="shared" ref="H37" si="8">SUM(H33:H36)</f>
        <v>635.77949947758077</v>
      </c>
      <c r="I37" s="2551">
        <f t="shared" ref="I37" si="9">SUM(I33:I36)</f>
        <v>654.59857266211725</v>
      </c>
    </row>
    <row r="38" spans="1:9" ht="12.75" customHeight="1" x14ac:dyDescent="0.2">
      <c r="A38" s="2491" t="s">
        <v>619</v>
      </c>
      <c r="B38" s="1977">
        <v>441.31</v>
      </c>
      <c r="C38" s="1977">
        <v>304.98</v>
      </c>
      <c r="D38" s="1977">
        <v>410.34</v>
      </c>
      <c r="E38" s="4547" t="s">
        <v>2110</v>
      </c>
      <c r="F38" s="4547"/>
      <c r="G38" s="4547"/>
      <c r="H38" s="4547"/>
      <c r="I38" s="4547"/>
    </row>
    <row r="39" spans="1:9" x14ac:dyDescent="0.2">
      <c r="A39" s="2491" t="s">
        <v>628</v>
      </c>
      <c r="B39" s="1977">
        <v>347.31</v>
      </c>
      <c r="C39" s="1977">
        <v>960.04</v>
      </c>
      <c r="D39" s="1977">
        <v>1048.1600000000001</v>
      </c>
      <c r="E39" s="4547"/>
      <c r="F39" s="4547"/>
      <c r="G39" s="4547"/>
      <c r="H39" s="4547"/>
      <c r="I39" s="4547"/>
    </row>
    <row r="40" spans="1:9" x14ac:dyDescent="0.2">
      <c r="A40" s="2491" t="s">
        <v>636</v>
      </c>
      <c r="B40" s="1977">
        <v>122.56</v>
      </c>
      <c r="C40" s="1977">
        <v>300.22000000000003</v>
      </c>
      <c r="D40" s="1977">
        <v>397.96</v>
      </c>
      <c r="E40" s="4547"/>
      <c r="F40" s="4547"/>
      <c r="G40" s="4547"/>
      <c r="H40" s="4547"/>
      <c r="I40" s="4547"/>
    </row>
    <row r="41" spans="1:9" x14ac:dyDescent="0.2">
      <c r="A41" s="2491" t="s">
        <v>642</v>
      </c>
      <c r="B41" s="1977">
        <v>335.88</v>
      </c>
      <c r="C41" s="1977">
        <v>174.81</v>
      </c>
      <c r="D41" s="1977">
        <v>234.78</v>
      </c>
      <c r="E41" s="1968">
        <f>D11/1000</f>
        <v>752.84633000000008</v>
      </c>
      <c r="F41" s="1968">
        <f>E41*0.99*1.046</f>
        <v>779.6024885682001</v>
      </c>
      <c r="G41" s="1968">
        <f>F41*0.99*1.034</f>
        <v>798.04788344772373</v>
      </c>
      <c r="H41" s="1968">
        <f>G41*0.99*1.04</f>
        <v>821.6701007977764</v>
      </c>
      <c r="I41" s="1968">
        <f>H41*0.99*1.04</f>
        <v>845.99153578139055</v>
      </c>
    </row>
    <row r="42" spans="1:9" x14ac:dyDescent="0.2">
      <c r="A42" s="2491" t="s">
        <v>1914</v>
      </c>
      <c r="B42" s="1977">
        <v>0</v>
      </c>
      <c r="C42" s="1977">
        <v>0</v>
      </c>
      <c r="D42" s="1977">
        <v>3012.97</v>
      </c>
      <c r="E42" s="1968"/>
      <c r="F42" s="1968"/>
      <c r="G42" s="1968"/>
      <c r="H42" s="1968"/>
      <c r="I42" s="1968"/>
    </row>
    <row r="43" spans="1:9" x14ac:dyDescent="0.2">
      <c r="A43" s="2051" t="s">
        <v>94</v>
      </c>
      <c r="B43" s="2551">
        <f>SUM(B38:B42)</f>
        <v>1247.06</v>
      </c>
      <c r="C43" s="2551">
        <f t="shared" ref="C43" si="10">SUM(C38:C42)</f>
        <v>1740.05</v>
      </c>
      <c r="D43" s="2551">
        <f t="shared" ref="D43" si="11">SUM(D38:D42)</f>
        <v>5104.21</v>
      </c>
      <c r="E43" s="2551">
        <f t="shared" ref="E43" si="12">SUM(E38:E42)</f>
        <v>752.84633000000008</v>
      </c>
      <c r="F43" s="2551">
        <f t="shared" ref="F43" si="13">SUM(F38:F42)</f>
        <v>779.6024885682001</v>
      </c>
      <c r="G43" s="2551">
        <f t="shared" ref="G43" si="14">SUM(G38:G42)</f>
        <v>798.04788344772373</v>
      </c>
      <c r="H43" s="2551">
        <f t="shared" ref="H43" si="15">SUM(H38:H42)</f>
        <v>821.6701007977764</v>
      </c>
      <c r="I43" s="2551">
        <f t="shared" ref="I43" si="16">SUM(I38:I42)</f>
        <v>845.99153578139055</v>
      </c>
    </row>
    <row r="44" spans="1:9" x14ac:dyDescent="0.2">
      <c r="E44" s="1860">
        <f>E43-E42</f>
        <v>752.84633000000008</v>
      </c>
      <c r="F44" s="1860">
        <f t="shared" ref="F44" si="17">F43-F42</f>
        <v>779.6024885682001</v>
      </c>
      <c r="G44" s="1860">
        <f t="shared" ref="G44" si="18">G43-G42</f>
        <v>798.04788344772373</v>
      </c>
      <c r="H44" s="1860">
        <f t="shared" ref="H44" si="19">H43-H42</f>
        <v>821.6701007977764</v>
      </c>
      <c r="I44" s="1860">
        <f t="shared" ref="I44" si="20">I43-I42</f>
        <v>845.99153578139055</v>
      </c>
    </row>
  </sheetData>
  <mergeCells count="7">
    <mergeCell ref="E33:I35"/>
    <mergeCell ref="E38:I40"/>
    <mergeCell ref="A3:I3"/>
    <mergeCell ref="C6:C7"/>
    <mergeCell ref="A6:A7"/>
    <mergeCell ref="B6:B7"/>
    <mergeCell ref="D6:I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871" customWidth="1"/>
    <col min="2" max="2" width="10.140625" style="1871" customWidth="1"/>
    <col min="3" max="3" width="17.42578125" style="1907" customWidth="1"/>
    <col min="4" max="4" width="18.28515625" style="1907" customWidth="1"/>
    <col min="5" max="5" width="16" style="1907" customWidth="1"/>
    <col min="6" max="6" width="16.5703125" style="1871" customWidth="1"/>
    <col min="7" max="16384" width="9.140625" style="1871"/>
  </cols>
  <sheetData>
    <row r="1" spans="1:6" x14ac:dyDescent="0.25">
      <c r="E1" s="1907" t="s">
        <v>1520</v>
      </c>
    </row>
    <row r="2" spans="1:6" ht="33.75" customHeight="1" x14ac:dyDescent="0.25">
      <c r="A2" s="4552" t="s">
        <v>2125</v>
      </c>
      <c r="B2" s="4552"/>
      <c r="C2" s="4552"/>
      <c r="D2" s="4552"/>
      <c r="E2" s="4552"/>
      <c r="F2" s="4552"/>
    </row>
    <row r="3" spans="1:6" hidden="1" x14ac:dyDescent="0.25">
      <c r="A3" s="4548" t="s">
        <v>1001</v>
      </c>
      <c r="B3" s="4548" t="s">
        <v>1002</v>
      </c>
      <c r="C3" s="1906" t="s">
        <v>355</v>
      </c>
      <c r="D3" s="1906" t="s">
        <v>345</v>
      </c>
      <c r="E3" s="1906" t="s">
        <v>1474</v>
      </c>
      <c r="F3" s="4550" t="s">
        <v>243</v>
      </c>
    </row>
    <row r="4" spans="1:6" hidden="1" x14ac:dyDescent="0.25">
      <c r="A4" s="4549"/>
      <c r="B4" s="4549"/>
      <c r="C4" s="1906" t="s">
        <v>1003</v>
      </c>
      <c r="D4" s="1906" t="s">
        <v>1003</v>
      </c>
      <c r="E4" s="1906" t="s">
        <v>1003</v>
      </c>
      <c r="F4" s="4551"/>
    </row>
    <row r="5" spans="1:6" ht="30" hidden="1" x14ac:dyDescent="0.25">
      <c r="A5" s="1340" t="s">
        <v>1465</v>
      </c>
      <c r="B5" s="1338" t="s">
        <v>1004</v>
      </c>
      <c r="C5" s="1908">
        <v>94861.048999999999</v>
      </c>
      <c r="D5" s="1909">
        <v>71225.517999999996</v>
      </c>
      <c r="E5" s="1909">
        <v>3130.4870000000001</v>
      </c>
      <c r="F5" s="1338" t="s">
        <v>1472</v>
      </c>
    </row>
    <row r="6" spans="1:6" ht="23.25" hidden="1" customHeight="1" x14ac:dyDescent="0.25">
      <c r="A6" s="1417" t="s">
        <v>1471</v>
      </c>
      <c r="B6" s="1338" t="s">
        <v>1004</v>
      </c>
      <c r="C6" s="1909">
        <v>1106.2370000000001</v>
      </c>
      <c r="D6" s="1909">
        <v>1538.848</v>
      </c>
      <c r="E6" s="1909">
        <v>99.817999999999998</v>
      </c>
      <c r="F6" s="1418" t="s">
        <v>1472</v>
      </c>
    </row>
    <row r="7" spans="1:6" ht="45" hidden="1" x14ac:dyDescent="0.25">
      <c r="A7" s="1340" t="s">
        <v>1473</v>
      </c>
      <c r="B7" s="1338" t="s">
        <v>1004</v>
      </c>
      <c r="C7" s="1908">
        <f>6102.07/3*4</f>
        <v>8136.0933333333332</v>
      </c>
      <c r="D7" s="1909">
        <f>3628.35/3*4</f>
        <v>4837.8</v>
      </c>
      <c r="E7" s="1909">
        <f>'ОХР '!AI24/3*4</f>
        <v>150.02666666666667</v>
      </c>
      <c r="F7" s="1338" t="s">
        <v>1475</v>
      </c>
    </row>
    <row r="8" spans="1:6" ht="41.25" hidden="1" customHeight="1" x14ac:dyDescent="0.25">
      <c r="A8" s="2104" t="s">
        <v>1005</v>
      </c>
      <c r="B8" s="1338" t="s">
        <v>1004</v>
      </c>
      <c r="C8" s="1908">
        <f>C5+C6-C7</f>
        <v>87831.192666666655</v>
      </c>
      <c r="D8" s="1908">
        <f>D5+D6-D7</f>
        <v>67926.565999999992</v>
      </c>
      <c r="E8" s="1908">
        <f>E5+E6-E7</f>
        <v>3080.2783333333336</v>
      </c>
      <c r="F8" s="1339"/>
    </row>
    <row r="9" spans="1:6" ht="30" hidden="1" x14ac:dyDescent="0.25">
      <c r="A9" s="1893" t="s">
        <v>1006</v>
      </c>
      <c r="B9" s="1894" t="s">
        <v>1004</v>
      </c>
      <c r="C9" s="1910">
        <f>C8</f>
        <v>87831.192666666655</v>
      </c>
      <c r="D9" s="1910">
        <f>D8</f>
        <v>67926.565999999992</v>
      </c>
      <c r="E9" s="1910">
        <f>E8</f>
        <v>3080.2783333333336</v>
      </c>
      <c r="F9" s="1896"/>
    </row>
    <row r="10" spans="1:6" hidden="1" x14ac:dyDescent="0.25">
      <c r="A10" s="1897" t="s">
        <v>1471</v>
      </c>
      <c r="B10" s="1898"/>
      <c r="C10" s="1911">
        <v>0</v>
      </c>
      <c r="D10" s="1911">
        <v>0</v>
      </c>
      <c r="E10" s="1911">
        <v>0</v>
      </c>
      <c r="F10" s="1900"/>
    </row>
    <row r="11" spans="1:6" ht="45" hidden="1" x14ac:dyDescent="0.25">
      <c r="A11" s="1893" t="s">
        <v>1473</v>
      </c>
      <c r="B11" s="1894" t="s">
        <v>1004</v>
      </c>
      <c r="C11" s="1910">
        <f>Аморт!U27</f>
        <v>8136.1</v>
      </c>
      <c r="D11" s="1910">
        <f>Аморт!U33</f>
        <v>4822.1000000000004</v>
      </c>
      <c r="E11" s="1910">
        <f>'ОХР '!AO24</f>
        <v>193.7</v>
      </c>
      <c r="F11" s="1894" t="s">
        <v>386</v>
      </c>
    </row>
    <row r="12" spans="1:6" ht="30" hidden="1" x14ac:dyDescent="0.25">
      <c r="A12" s="1893" t="s">
        <v>1007</v>
      </c>
      <c r="B12" s="1894" t="s">
        <v>1004</v>
      </c>
      <c r="C12" s="1910">
        <f>C9-C11</f>
        <v>79695.092666666649</v>
      </c>
      <c r="D12" s="1910">
        <f>D9-D11</f>
        <v>63104.465999999993</v>
      </c>
      <c r="E12" s="1910">
        <f>E9-E11</f>
        <v>2886.5783333333338</v>
      </c>
      <c r="F12" s="1896"/>
    </row>
    <row r="13" spans="1:6" ht="45" hidden="1" x14ac:dyDescent="0.25">
      <c r="A13" s="1893" t="s">
        <v>1466</v>
      </c>
      <c r="B13" s="1894" t="s">
        <v>1004</v>
      </c>
      <c r="C13" s="1910">
        <f>(C9+C12)/2</f>
        <v>83763.142666666652</v>
      </c>
      <c r="D13" s="1910">
        <f>(D9+D12)/2</f>
        <v>65515.515999999989</v>
      </c>
      <c r="E13" s="1910">
        <f>(E9+E12)/2</f>
        <v>2983.4283333333337</v>
      </c>
      <c r="F13" s="1896"/>
    </row>
    <row r="14" spans="1:6" hidden="1" x14ac:dyDescent="0.25">
      <c r="A14" s="1893" t="s">
        <v>1008</v>
      </c>
      <c r="B14" s="1894" t="s">
        <v>44</v>
      </c>
      <c r="C14" s="1912">
        <v>2.2000000000000002</v>
      </c>
      <c r="D14" s="1912">
        <v>2.2000000000000002</v>
      </c>
      <c r="E14" s="1912">
        <v>2.2000000000000002</v>
      </c>
      <c r="F14" s="1896"/>
    </row>
    <row r="15" spans="1:6" ht="45" hidden="1" x14ac:dyDescent="0.25">
      <c r="A15" s="1893" t="s">
        <v>1467</v>
      </c>
      <c r="B15" s="1894" t="s">
        <v>1004</v>
      </c>
      <c r="C15" s="1910">
        <f>C13*C14/100</f>
        <v>1842.7891386666663</v>
      </c>
      <c r="D15" s="1910">
        <f>D13*D14/100</f>
        <v>1441.3413519999999</v>
      </c>
      <c r="E15" s="1910">
        <f>E13*E14/100</f>
        <v>65.63542333333335</v>
      </c>
      <c r="F15" s="1896"/>
    </row>
    <row r="16" spans="1:6" hidden="1" x14ac:dyDescent="0.25"/>
    <row r="17" spans="1:6" hidden="1" x14ac:dyDescent="0.25"/>
    <row r="18" spans="1:6" hidden="1" x14ac:dyDescent="0.25">
      <c r="C18" s="1913">
        <v>79695.100000000006</v>
      </c>
      <c r="D18" s="1907">
        <f>Лист4!C8</f>
        <v>8296.6500000000015</v>
      </c>
    </row>
    <row r="20" spans="1:6" ht="25.5" customHeight="1" x14ac:dyDescent="0.25">
      <c r="A20" s="4553" t="s">
        <v>1001</v>
      </c>
      <c r="B20" s="4553" t="s">
        <v>1002</v>
      </c>
      <c r="C20" s="2840" t="s">
        <v>355</v>
      </c>
      <c r="D20" s="2840" t="s">
        <v>345</v>
      </c>
      <c r="E20" s="2840" t="s">
        <v>1474</v>
      </c>
      <c r="F20" s="4554" t="s">
        <v>243</v>
      </c>
    </row>
    <row r="21" spans="1:6" x14ac:dyDescent="0.25">
      <c r="A21" s="4553"/>
      <c r="B21" s="4553"/>
      <c r="C21" s="2840" t="s">
        <v>1003</v>
      </c>
      <c r="D21" s="2840" t="s">
        <v>1003</v>
      </c>
      <c r="E21" s="2840" t="s">
        <v>1003</v>
      </c>
      <c r="F21" s="4554"/>
    </row>
    <row r="22" spans="1:6" ht="30" x14ac:dyDescent="0.25">
      <c r="A22" s="2841" t="s">
        <v>2126</v>
      </c>
      <c r="B22" s="2842" t="s">
        <v>1004</v>
      </c>
      <c r="C22" s="2843">
        <v>81437346.530000001</v>
      </c>
      <c r="D22" s="2843">
        <v>54291564.359999999</v>
      </c>
      <c r="E22" s="2843">
        <v>0</v>
      </c>
      <c r="F22" s="2842" t="s">
        <v>1472</v>
      </c>
    </row>
    <row r="23" spans="1:6" x14ac:dyDescent="0.25">
      <c r="A23" s="2841" t="s">
        <v>1471</v>
      </c>
      <c r="B23" s="2842" t="s">
        <v>1004</v>
      </c>
      <c r="C23" s="2839">
        <v>1106.2370000000001</v>
      </c>
      <c r="D23" s="2839">
        <v>1538.848</v>
      </c>
      <c r="E23" s="2839">
        <v>99.817999999999998</v>
      </c>
      <c r="F23" s="2838" t="s">
        <v>1472</v>
      </c>
    </row>
    <row r="24" spans="1:6" ht="45" x14ac:dyDescent="0.25">
      <c r="A24" s="2841" t="s">
        <v>1473</v>
      </c>
      <c r="B24" s="2842" t="s">
        <v>1004</v>
      </c>
      <c r="C24" s="2839">
        <f>6102.07/3*4</f>
        <v>8136.0933333333332</v>
      </c>
      <c r="D24" s="2839">
        <f>3628.35/3*4</f>
        <v>4837.8</v>
      </c>
      <c r="E24" s="2839">
        <f>'ОХР '!AI41/3*4</f>
        <v>17.333333333333332</v>
      </c>
      <c r="F24" s="2838" t="s">
        <v>1475</v>
      </c>
    </row>
    <row r="25" spans="1:6" ht="30" x14ac:dyDescent="0.25">
      <c r="A25" s="2844" t="s">
        <v>2127</v>
      </c>
      <c r="B25" s="2842" t="s">
        <v>1004</v>
      </c>
      <c r="C25" s="2843">
        <f>C22+C23-C24</f>
        <v>81430316.673666671</v>
      </c>
      <c r="D25" s="2843">
        <f>D22+D23-D24</f>
        <v>54288265.408</v>
      </c>
      <c r="E25" s="2843">
        <f>E22+E23-E24</f>
        <v>82.484666666666669</v>
      </c>
      <c r="F25" s="2845"/>
    </row>
    <row r="26" spans="1:6" ht="30" x14ac:dyDescent="0.25">
      <c r="A26" s="2841" t="s">
        <v>2128</v>
      </c>
      <c r="B26" s="2842" t="s">
        <v>1004</v>
      </c>
      <c r="C26" s="2843">
        <f>C25</f>
        <v>81430316.673666671</v>
      </c>
      <c r="D26" s="2843">
        <f>D25</f>
        <v>54288265.408</v>
      </c>
      <c r="E26" s="2843">
        <f>E25</f>
        <v>82.484666666666669</v>
      </c>
      <c r="F26" s="2845"/>
    </row>
    <row r="27" spans="1:6" x14ac:dyDescent="0.25">
      <c r="A27" s="2841" t="s">
        <v>1471</v>
      </c>
      <c r="B27" s="2842"/>
      <c r="C27" s="2843">
        <v>0</v>
      </c>
      <c r="D27" s="2843">
        <v>0</v>
      </c>
      <c r="E27" s="2843">
        <v>0</v>
      </c>
      <c r="F27" s="2845"/>
    </row>
    <row r="28" spans="1:6" ht="45" x14ac:dyDescent="0.25">
      <c r="A28" s="2841" t="s">
        <v>1473</v>
      </c>
      <c r="B28" s="2842" t="s">
        <v>1004</v>
      </c>
      <c r="C28" s="2843">
        <f>Аморт!U45</f>
        <v>0</v>
      </c>
      <c r="D28" s="2843">
        <f>Аморт!U50</f>
        <v>0</v>
      </c>
      <c r="E28" s="2843">
        <f>'ОХР '!AO41</f>
        <v>17.333333333333332</v>
      </c>
      <c r="F28" s="2842" t="s">
        <v>386</v>
      </c>
    </row>
    <row r="29" spans="1:6" ht="30" x14ac:dyDescent="0.25">
      <c r="A29" s="2841" t="s">
        <v>2129</v>
      </c>
      <c r="B29" s="2842" t="s">
        <v>1004</v>
      </c>
      <c r="C29" s="2843">
        <f>C26-C28</f>
        <v>81430316.673666671</v>
      </c>
      <c r="D29" s="2843">
        <f>D26-D28</f>
        <v>54288265.408</v>
      </c>
      <c r="E29" s="2843">
        <f>E26-E28</f>
        <v>65.151333333333341</v>
      </c>
      <c r="F29" s="2845"/>
    </row>
    <row r="30" spans="1:6" ht="45" x14ac:dyDescent="0.25">
      <c r="A30" s="2841" t="s">
        <v>1466</v>
      </c>
      <c r="B30" s="2842" t="s">
        <v>1004</v>
      </c>
      <c r="C30" s="2843">
        <f>(C26+C29)/2</f>
        <v>81430316.673666671</v>
      </c>
      <c r="D30" s="2843">
        <f>(D26+D29)/2</f>
        <v>54288265.408</v>
      </c>
      <c r="E30" s="2843">
        <f>(E26+E29)/2</f>
        <v>73.818000000000012</v>
      </c>
      <c r="F30" s="2845"/>
    </row>
    <row r="31" spans="1:6" x14ac:dyDescent="0.25">
      <c r="A31" s="2841" t="s">
        <v>1008</v>
      </c>
      <c r="B31" s="2842" t="s">
        <v>44</v>
      </c>
      <c r="C31" s="2846">
        <v>2.2000000000000002</v>
      </c>
      <c r="D31" s="2846">
        <v>2.2000000000000002</v>
      </c>
      <c r="E31" s="2846">
        <v>2.2000000000000002</v>
      </c>
      <c r="F31" s="2845"/>
    </row>
    <row r="32" spans="1:6" ht="45" x14ac:dyDescent="0.25">
      <c r="A32" s="2841" t="s">
        <v>1467</v>
      </c>
      <c r="B32" s="2842" t="s">
        <v>1004</v>
      </c>
      <c r="C32" s="2843">
        <f>C30*C31/100</f>
        <v>1791466.9668206668</v>
      </c>
      <c r="D32" s="2843">
        <f>D30*D31/100</f>
        <v>1194341.8389760002</v>
      </c>
      <c r="E32" s="2843">
        <f>E30*E31/100</f>
        <v>1.6239960000000004</v>
      </c>
      <c r="F32" s="2845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2:BG67"/>
  <sheetViews>
    <sheetView topLeftCell="A36" zoomScaleNormal="100" zoomScaleSheetLayoutView="65" workbookViewId="0">
      <pane xSplit="17" topLeftCell="AX1" activePane="topRight" state="frozen"/>
      <selection pane="topRight" activeCell="BB15" sqref="BB15"/>
    </sheetView>
  </sheetViews>
  <sheetFormatPr defaultRowHeight="12.75" outlineLevelCol="1" x14ac:dyDescent="0.2"/>
  <cols>
    <col min="1" max="1" width="30.85546875" style="177" customWidth="1"/>
    <col min="2" max="3" width="9.140625" style="177" hidden="1" customWidth="1"/>
    <col min="4" max="4" width="8.140625" style="177" hidden="1" customWidth="1"/>
    <col min="5" max="5" width="9.28515625" style="177" hidden="1" customWidth="1" outlineLevel="1"/>
    <col min="6" max="7" width="9" style="177" hidden="1" customWidth="1" outlineLevel="1"/>
    <col min="8" max="8" width="7.7109375" style="177" hidden="1" customWidth="1" outlineLevel="1"/>
    <col min="9" max="9" width="12.140625" style="584" hidden="1" customWidth="1" collapsed="1"/>
    <col min="10" max="10" width="11.5703125" style="584" hidden="1" customWidth="1" outlineLevel="1"/>
    <col min="11" max="11" width="9.7109375" style="584" hidden="1" customWidth="1" outlineLevel="1"/>
    <col min="12" max="12" width="11.7109375" style="584" hidden="1" customWidth="1" collapsed="1"/>
    <col min="13" max="13" width="8" style="584" hidden="1" customWidth="1" outlineLevel="1"/>
    <col min="14" max="14" width="11.140625" style="584" hidden="1" customWidth="1" collapsed="1"/>
    <col min="15" max="15" width="10.42578125" style="584" hidden="1" customWidth="1"/>
    <col min="16" max="16" width="10.85546875" style="584" hidden="1" customWidth="1"/>
    <col min="17" max="17" width="13.140625" style="584" hidden="1" customWidth="1"/>
    <col min="18" max="18" width="15" style="584" hidden="1" customWidth="1" collapsed="1"/>
    <col min="19" max="19" width="14.7109375" style="584" hidden="1" customWidth="1"/>
    <col min="20" max="20" width="10.28515625" style="584" hidden="1" customWidth="1" outlineLevel="1"/>
    <col min="21" max="21" width="13.7109375" style="584" hidden="1" customWidth="1" outlineLevel="1"/>
    <col min="22" max="22" width="14.5703125" style="584" hidden="1" customWidth="1" outlineLevel="1"/>
    <col min="23" max="23" width="14.140625" style="584" hidden="1" customWidth="1" collapsed="1"/>
    <col min="24" max="29" width="14.140625" style="584" hidden="1" customWidth="1"/>
    <col min="30" max="30" width="15.85546875" style="584" hidden="1" customWidth="1"/>
    <col min="31" max="31" width="14.140625" style="584" hidden="1" customWidth="1"/>
    <col min="32" max="32" width="14.5703125" style="177" hidden="1" customWidth="1"/>
    <col min="33" max="33" width="13.85546875" style="177" hidden="1" customWidth="1"/>
    <col min="34" max="35" width="13" style="177" hidden="1" customWidth="1"/>
    <col min="36" max="40" width="14.140625" style="177" hidden="1" customWidth="1"/>
    <col min="41" max="41" width="14.140625" style="180" customWidth="1"/>
    <col min="42" max="46" width="14.140625" style="177" customWidth="1"/>
    <col min="47" max="57" width="14.140625" style="2615" customWidth="1"/>
    <col min="58" max="58" width="27" style="2615" customWidth="1"/>
    <col min="59" max="59" width="28" style="177" customWidth="1"/>
    <col min="60" max="16384" width="9.140625" style="177"/>
  </cols>
  <sheetData>
    <row r="2" spans="1:59" ht="27" x14ac:dyDescent="0.35">
      <c r="A2" s="4569" t="s">
        <v>297</v>
      </c>
      <c r="B2" s="4569"/>
      <c r="C2" s="4569"/>
      <c r="D2" s="4569"/>
      <c r="E2" s="4569"/>
      <c r="F2" s="4569"/>
      <c r="G2" s="4569"/>
      <c r="H2" s="4569"/>
      <c r="I2" s="4569"/>
      <c r="J2" s="4569"/>
      <c r="K2" s="4569"/>
      <c r="L2" s="4569"/>
      <c r="M2" s="4569"/>
      <c r="N2" s="4569"/>
      <c r="O2" s="4569"/>
      <c r="P2" s="4569"/>
      <c r="Q2" s="4569"/>
      <c r="R2" s="4569"/>
      <c r="S2" s="4569"/>
      <c r="T2" s="4569"/>
      <c r="U2" s="4569"/>
      <c r="V2" s="4569"/>
      <c r="W2" s="4569"/>
      <c r="X2" s="4569"/>
      <c r="Y2" s="4569"/>
      <c r="Z2" s="4569"/>
      <c r="AA2" s="4569"/>
      <c r="AB2" s="4569"/>
      <c r="AC2" s="4569"/>
      <c r="AD2" s="4569"/>
      <c r="AE2" s="4569"/>
      <c r="AF2" s="4569"/>
      <c r="AG2" s="4569"/>
      <c r="AH2" s="4569"/>
      <c r="AI2" s="4569"/>
      <c r="AJ2" s="4569"/>
      <c r="AK2" s="4569"/>
      <c r="AL2" s="4569"/>
      <c r="AM2" s="4569"/>
      <c r="AN2" s="4569"/>
      <c r="AO2" s="3491"/>
      <c r="AP2" s="3491"/>
      <c r="AQ2" s="3491"/>
      <c r="AR2" s="3491"/>
      <c r="AS2" s="3491"/>
      <c r="AT2" s="3491"/>
      <c r="AU2" s="3491"/>
      <c r="AV2" s="3491"/>
      <c r="AW2" s="3491"/>
      <c r="AX2" s="3491"/>
      <c r="AY2" s="3491"/>
      <c r="AZ2" s="3491"/>
      <c r="BA2" s="3491"/>
      <c r="BB2" s="3491"/>
      <c r="BC2" s="3491"/>
      <c r="BD2" s="2543"/>
      <c r="BE2" s="2543"/>
      <c r="BF2" s="2387"/>
    </row>
    <row r="3" spans="1:59" ht="15.75" x14ac:dyDescent="0.25">
      <c r="A3" s="583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4"/>
      <c r="AG3" s="584"/>
      <c r="AH3" s="584"/>
      <c r="AI3" s="584"/>
      <c r="AJ3" s="584"/>
      <c r="AK3" s="584"/>
      <c r="AL3" s="584"/>
      <c r="AM3" s="584"/>
      <c r="AN3" s="584"/>
      <c r="AO3" s="179"/>
    </row>
    <row r="4" spans="1:59" s="2621" customFormat="1" ht="32.25" customHeight="1" x14ac:dyDescent="0.2">
      <c r="A4" s="4584" t="s">
        <v>17</v>
      </c>
      <c r="B4" s="4577" t="s">
        <v>58</v>
      </c>
      <c r="C4" s="4577" t="s">
        <v>73</v>
      </c>
      <c r="D4" s="4577" t="s">
        <v>74</v>
      </c>
      <c r="E4" s="4584" t="s">
        <v>67</v>
      </c>
      <c r="F4" s="4584"/>
      <c r="G4" s="4584" t="s">
        <v>95</v>
      </c>
      <c r="H4" s="4584"/>
      <c r="I4" s="4577" t="s">
        <v>298</v>
      </c>
      <c r="J4" s="4577"/>
      <c r="K4" s="4577"/>
      <c r="L4" s="4577"/>
      <c r="M4" s="4577"/>
      <c r="N4" s="4577" t="s">
        <v>159</v>
      </c>
      <c r="O4" s="4577"/>
      <c r="P4" s="4577"/>
      <c r="Q4" s="4577"/>
      <c r="R4" s="4577" t="s">
        <v>235</v>
      </c>
      <c r="S4" s="4583"/>
      <c r="T4" s="4583"/>
      <c r="U4" s="4583"/>
      <c r="V4" s="4583"/>
      <c r="W4" s="4583"/>
      <c r="X4" s="4583"/>
      <c r="Y4" s="4583"/>
      <c r="Z4" s="4583"/>
      <c r="AA4" s="4583"/>
      <c r="AB4" s="4577" t="s">
        <v>373</v>
      </c>
      <c r="AC4" s="4577"/>
      <c r="AD4" s="4577"/>
      <c r="AE4" s="4577"/>
      <c r="AF4" s="4577"/>
      <c r="AG4" s="4577"/>
      <c r="AH4" s="3779"/>
      <c r="AI4" s="3779"/>
      <c r="AJ4" s="4566" t="s">
        <v>658</v>
      </c>
      <c r="AK4" s="3974"/>
      <c r="AL4" s="3974"/>
      <c r="AM4" s="3974"/>
      <c r="AN4" s="3974"/>
      <c r="AO4" s="4566" t="s">
        <v>829</v>
      </c>
      <c r="AP4" s="4566"/>
      <c r="AQ4" s="4566"/>
      <c r="AR4" s="4566"/>
      <c r="AS4" s="4566"/>
      <c r="AT4" s="4566"/>
      <c r="AU4" s="4534" t="s">
        <v>908</v>
      </c>
      <c r="AV4" s="4535"/>
      <c r="AW4" s="4535"/>
      <c r="AX4" s="4535" t="s">
        <v>1819</v>
      </c>
      <c r="AY4" s="4535"/>
      <c r="AZ4" s="4535"/>
      <c r="BA4" s="4535"/>
      <c r="BB4" s="4535"/>
      <c r="BC4" s="4535"/>
      <c r="BD4" s="2619"/>
      <c r="BE4" s="2619"/>
      <c r="BF4" s="3999" t="s">
        <v>1925</v>
      </c>
      <c r="BG4" s="2620"/>
    </row>
    <row r="5" spans="1:59" s="2621" customFormat="1" ht="21.75" customHeight="1" x14ac:dyDescent="0.2">
      <c r="A5" s="4584"/>
      <c r="B5" s="4577"/>
      <c r="C5" s="4577"/>
      <c r="D5" s="4577"/>
      <c r="E5" s="4577" t="s">
        <v>61</v>
      </c>
      <c r="F5" s="4577" t="s">
        <v>66</v>
      </c>
      <c r="G5" s="4577" t="s">
        <v>61</v>
      </c>
      <c r="H5" s="4577" t="s">
        <v>112</v>
      </c>
      <c r="I5" s="4577" t="s">
        <v>299</v>
      </c>
      <c r="J5" s="4577" t="s">
        <v>110</v>
      </c>
      <c r="K5" s="4577" t="s">
        <v>64</v>
      </c>
      <c r="L5" s="4577" t="s">
        <v>300</v>
      </c>
      <c r="M5" s="4577" t="s">
        <v>119</v>
      </c>
      <c r="N5" s="4577" t="s">
        <v>299</v>
      </c>
      <c r="O5" s="4577" t="s">
        <v>301</v>
      </c>
      <c r="P5" s="4577" t="s">
        <v>302</v>
      </c>
      <c r="Q5" s="4577" t="s">
        <v>300</v>
      </c>
      <c r="R5" s="4577" t="s">
        <v>304</v>
      </c>
      <c r="S5" s="4577" t="s">
        <v>305</v>
      </c>
      <c r="T5" s="2622"/>
      <c r="U5" s="4574" t="s">
        <v>122</v>
      </c>
      <c r="V5" s="4574"/>
      <c r="W5" s="4574" t="s">
        <v>123</v>
      </c>
      <c r="X5" s="4574"/>
      <c r="Y5" s="4574" t="s">
        <v>385</v>
      </c>
      <c r="Z5" s="4574" t="s">
        <v>387</v>
      </c>
      <c r="AA5" s="4574" t="s">
        <v>653</v>
      </c>
      <c r="AB5" s="4577" t="s">
        <v>304</v>
      </c>
      <c r="AC5" s="4577" t="s">
        <v>305</v>
      </c>
      <c r="AD5" s="4574" t="s">
        <v>123</v>
      </c>
      <c r="AE5" s="4574"/>
      <c r="AF5" s="4575" t="s">
        <v>240</v>
      </c>
      <c r="AG5" s="4575"/>
      <c r="AH5" s="4574" t="s">
        <v>385</v>
      </c>
      <c r="AI5" s="4574" t="s">
        <v>387</v>
      </c>
      <c r="AJ5" s="4577" t="s">
        <v>656</v>
      </c>
      <c r="AK5" s="4574" t="s">
        <v>50</v>
      </c>
      <c r="AL5" s="3779"/>
      <c r="AM5" s="4575" t="s">
        <v>240</v>
      </c>
      <c r="AN5" s="4575"/>
      <c r="AO5" s="4555" t="s">
        <v>1602</v>
      </c>
      <c r="AP5" s="4556"/>
      <c r="AQ5" s="4557"/>
      <c r="AR5" s="4555" t="s">
        <v>61</v>
      </c>
      <c r="AS5" s="4556"/>
      <c r="AT5" s="4557"/>
      <c r="AU5" s="4555" t="s">
        <v>61</v>
      </c>
      <c r="AV5" s="4556"/>
      <c r="AW5" s="4557"/>
      <c r="AX5" s="4555" t="s">
        <v>122</v>
      </c>
      <c r="AY5" s="4556"/>
      <c r="AZ5" s="4557"/>
      <c r="BA5" s="4562" t="s">
        <v>1537</v>
      </c>
      <c r="BB5" s="4563"/>
      <c r="BC5" s="4563"/>
      <c r="BD5" s="4563"/>
      <c r="BE5" s="4564"/>
      <c r="BF5" s="3999"/>
    </row>
    <row r="6" spans="1:59" s="2621" customFormat="1" ht="15.75" customHeight="1" x14ac:dyDescent="0.2">
      <c r="A6" s="4584"/>
      <c r="B6" s="4577"/>
      <c r="C6" s="4577"/>
      <c r="D6" s="4577"/>
      <c r="E6" s="4577"/>
      <c r="F6" s="4577"/>
      <c r="G6" s="4577"/>
      <c r="H6" s="4577"/>
      <c r="I6" s="4577"/>
      <c r="J6" s="4577"/>
      <c r="K6" s="4577"/>
      <c r="L6" s="4577"/>
      <c r="M6" s="4577"/>
      <c r="N6" s="4577"/>
      <c r="O6" s="4577"/>
      <c r="P6" s="4577"/>
      <c r="Q6" s="4577"/>
      <c r="R6" s="4577"/>
      <c r="S6" s="4577"/>
      <c r="T6" s="2622"/>
      <c r="U6" s="4574" t="s">
        <v>368</v>
      </c>
      <c r="V6" s="4574" t="s">
        <v>369</v>
      </c>
      <c r="W6" s="4574" t="s">
        <v>368</v>
      </c>
      <c r="X6" s="4574" t="s">
        <v>369</v>
      </c>
      <c r="Y6" s="4574"/>
      <c r="Z6" s="4574"/>
      <c r="AA6" s="4574"/>
      <c r="AB6" s="4577"/>
      <c r="AC6" s="4577"/>
      <c r="AD6" s="4574" t="s">
        <v>368</v>
      </c>
      <c r="AE6" s="4574" t="s">
        <v>369</v>
      </c>
      <c r="AF6" s="4574" t="s">
        <v>368</v>
      </c>
      <c r="AG6" s="4574" t="s">
        <v>369</v>
      </c>
      <c r="AH6" s="4574"/>
      <c r="AI6" s="4574"/>
      <c r="AJ6" s="4577"/>
      <c r="AK6" s="4574" t="s">
        <v>46</v>
      </c>
      <c r="AL6" s="4574" t="s">
        <v>47</v>
      </c>
      <c r="AM6" s="4574" t="s">
        <v>368</v>
      </c>
      <c r="AN6" s="4574" t="s">
        <v>369</v>
      </c>
      <c r="AO6" s="4567" t="s">
        <v>456</v>
      </c>
      <c r="AP6" s="4560" t="s">
        <v>50</v>
      </c>
      <c r="AQ6" s="4561"/>
      <c r="AR6" s="4558" t="s">
        <v>456</v>
      </c>
      <c r="AS6" s="4560" t="s">
        <v>50</v>
      </c>
      <c r="AT6" s="4561"/>
      <c r="AU6" s="4558" t="s">
        <v>456</v>
      </c>
      <c r="AV6" s="4560" t="s">
        <v>50</v>
      </c>
      <c r="AW6" s="4561"/>
      <c r="AX6" s="4558" t="s">
        <v>456</v>
      </c>
      <c r="AY6" s="4560" t="s">
        <v>50</v>
      </c>
      <c r="AZ6" s="4561"/>
      <c r="BA6" s="4558" t="s">
        <v>456</v>
      </c>
      <c r="BB6" s="4560" t="s">
        <v>50</v>
      </c>
      <c r="BC6" s="4565"/>
      <c r="BD6" s="4565"/>
      <c r="BE6" s="4561"/>
      <c r="BF6" s="3999"/>
    </row>
    <row r="7" spans="1:59" s="2621" customFormat="1" ht="28.5" customHeight="1" x14ac:dyDescent="0.2">
      <c r="A7" s="4584"/>
      <c r="B7" s="4577"/>
      <c r="C7" s="4577"/>
      <c r="D7" s="4577"/>
      <c r="E7" s="4577"/>
      <c r="F7" s="4577"/>
      <c r="G7" s="4577"/>
      <c r="H7" s="4577"/>
      <c r="I7" s="4577"/>
      <c r="J7" s="4577"/>
      <c r="K7" s="4577"/>
      <c r="L7" s="4577"/>
      <c r="M7" s="4577"/>
      <c r="N7" s="4577"/>
      <c r="O7" s="4577"/>
      <c r="P7" s="4577"/>
      <c r="Q7" s="4577"/>
      <c r="R7" s="4577"/>
      <c r="S7" s="4577"/>
      <c r="T7" s="2622"/>
      <c r="U7" s="4574"/>
      <c r="V7" s="4574"/>
      <c r="W7" s="4574"/>
      <c r="X7" s="4574"/>
      <c r="Y7" s="4574"/>
      <c r="Z7" s="4574"/>
      <c r="AA7" s="4574"/>
      <c r="AB7" s="4577"/>
      <c r="AC7" s="4577"/>
      <c r="AD7" s="4574"/>
      <c r="AE7" s="4574"/>
      <c r="AF7" s="4574"/>
      <c r="AG7" s="4574"/>
      <c r="AH7" s="4574"/>
      <c r="AI7" s="4574"/>
      <c r="AJ7" s="4577"/>
      <c r="AK7" s="3779"/>
      <c r="AL7" s="3779"/>
      <c r="AM7" s="4574"/>
      <c r="AN7" s="4574"/>
      <c r="AO7" s="4568"/>
      <c r="AP7" s="2623" t="s">
        <v>368</v>
      </c>
      <c r="AQ7" s="2623" t="s">
        <v>369</v>
      </c>
      <c r="AR7" s="4559"/>
      <c r="AS7" s="2623" t="s">
        <v>368</v>
      </c>
      <c r="AT7" s="2623" t="s">
        <v>369</v>
      </c>
      <c r="AU7" s="4559"/>
      <c r="AV7" s="2623" t="s">
        <v>368</v>
      </c>
      <c r="AW7" s="2623" t="s">
        <v>369</v>
      </c>
      <c r="AX7" s="4559"/>
      <c r="AY7" s="2623" t="s">
        <v>368</v>
      </c>
      <c r="AZ7" s="2623" t="s">
        <v>369</v>
      </c>
      <c r="BA7" s="4559"/>
      <c r="BB7" s="2623" t="s">
        <v>368</v>
      </c>
      <c r="BC7" s="2623" t="s">
        <v>369</v>
      </c>
      <c r="BD7" s="2623" t="s">
        <v>1960</v>
      </c>
      <c r="BE7" s="2623" t="s">
        <v>1963</v>
      </c>
      <c r="BF7" s="3999"/>
    </row>
    <row r="8" spans="1:59" ht="15" x14ac:dyDescent="0.2">
      <c r="A8" s="2624" t="s">
        <v>30</v>
      </c>
      <c r="B8" s="2597">
        <v>6</v>
      </c>
      <c r="C8" s="2597">
        <v>6.5</v>
      </c>
      <c r="D8" s="2598">
        <f>C8/B8*100</f>
        <v>108.33333333333333</v>
      </c>
      <c r="E8" s="2597">
        <v>13.7</v>
      </c>
      <c r="F8" s="2598">
        <f>E8/C8*100</f>
        <v>210.76923076923077</v>
      </c>
      <c r="G8" s="2599">
        <v>6.4</v>
      </c>
      <c r="H8" s="2598">
        <f>G8/E8*100</f>
        <v>46.715328467153292</v>
      </c>
      <c r="I8" s="2600">
        <v>9.8000000000000007</v>
      </c>
      <c r="J8" s="2600">
        <v>10.7</v>
      </c>
      <c r="K8" s="2600">
        <v>10.7</v>
      </c>
      <c r="L8" s="2599">
        <v>11.9</v>
      </c>
      <c r="M8" s="2598">
        <f>K8/G8*100</f>
        <v>167.18749999999997</v>
      </c>
      <c r="N8" s="2600">
        <v>11.224299999999998</v>
      </c>
      <c r="O8" s="2600">
        <v>34.700000000000003</v>
      </c>
      <c r="P8" s="2600">
        <v>51.447620000000001</v>
      </c>
      <c r="Q8" s="2599">
        <v>55.6</v>
      </c>
      <c r="R8" s="2597">
        <v>12.36</v>
      </c>
      <c r="S8" s="2601">
        <f>R8</f>
        <v>12.36</v>
      </c>
      <c r="T8" s="2602">
        <f>S8/N8</f>
        <v>1.1011822563545166</v>
      </c>
      <c r="U8" s="2603" t="e">
        <f>R8*#REF!</f>
        <v>#REF!</v>
      </c>
      <c r="V8" s="2603" t="e">
        <f>R8*#REF!</f>
        <v>#REF!</v>
      </c>
      <c r="W8" s="2603">
        <f>S8*$Y$57</f>
        <v>7.0573012718600943</v>
      </c>
      <c r="X8" s="2603">
        <f>S8*$Y$58</f>
        <v>5.0126530206677247</v>
      </c>
      <c r="Y8" s="2603">
        <v>111.34</v>
      </c>
      <c r="Z8" s="2603">
        <v>125.94</v>
      </c>
      <c r="AA8" s="2603">
        <v>144.41</v>
      </c>
      <c r="AB8" s="2597">
        <v>13.2</v>
      </c>
      <c r="AC8" s="2601">
        <f>S8/S13*AC13*1.049</f>
        <v>12.706327199999999</v>
      </c>
      <c r="AD8" s="2603">
        <f>AC8*$AG$57</f>
        <v>7.522135289083125</v>
      </c>
      <c r="AE8" s="2603">
        <f>AC8*$AG$58</f>
        <v>5.082539079462105</v>
      </c>
      <c r="AF8" s="2604">
        <f t="shared" ref="AF8:AF24" si="0">AD8/W8</f>
        <v>1.0658656899169778</v>
      </c>
      <c r="AG8" s="2604">
        <f t="shared" ref="AG8:AG24" si="1">AE8/X8</f>
        <v>1.0139419302525494</v>
      </c>
      <c r="AH8" s="2603">
        <v>3.67</v>
      </c>
      <c r="AI8" s="2603">
        <v>9</v>
      </c>
      <c r="AJ8" s="2601">
        <f>AA8/AA13*AJ13*1.1</f>
        <v>158.851</v>
      </c>
      <c r="AK8" s="2603">
        <f>AJ8*AI57</f>
        <v>94.675196</v>
      </c>
      <c r="AL8" s="2603">
        <f>AJ8*AI58</f>
        <v>64.175803999999999</v>
      </c>
      <c r="AM8" s="2604">
        <f t="shared" ref="AM8:AM19" si="2">AK8/AD8</f>
        <v>12.586212871949021</v>
      </c>
      <c r="AN8" s="2604">
        <f t="shared" ref="AN8:AN19" si="3">AL8/AE8</f>
        <v>12.626721210925121</v>
      </c>
      <c r="AO8" s="2675">
        <f>AI8/3*4*1.062</f>
        <v>12.744</v>
      </c>
      <c r="AP8" s="2629">
        <f>AO8*$AL$57</f>
        <v>6.9347111022409402</v>
      </c>
      <c r="AQ8" s="2629">
        <f>AO8*$AL$58</f>
        <v>5.7406127877638191</v>
      </c>
      <c r="AR8" s="2671">
        <f>AS8+AT8</f>
        <v>22.740000000000002</v>
      </c>
      <c r="AS8" s="2629">
        <v>13.42</v>
      </c>
      <c r="AT8" s="2629">
        <v>9.32</v>
      </c>
      <c r="AU8" s="2671">
        <f>AV8+AW8</f>
        <v>5.9642599999999995</v>
      </c>
      <c r="AV8" s="2629">
        <v>3.4592700000000001</v>
      </c>
      <c r="AW8" s="2629">
        <v>2.5049899999999998</v>
      </c>
      <c r="AX8" s="2629">
        <f>AY8+AZ8</f>
        <v>14.33</v>
      </c>
      <c r="AY8" s="2629">
        <v>8.33</v>
      </c>
      <c r="AZ8" s="2629">
        <v>6</v>
      </c>
      <c r="BA8" s="2629">
        <v>14.33</v>
      </c>
      <c r="BB8" s="2629">
        <f>BA8*$BB$51</f>
        <v>8.3301039524426859</v>
      </c>
      <c r="BC8" s="2629">
        <f>BA8*$BC$51</f>
        <v>5.3938666568807951</v>
      </c>
      <c r="BD8" s="2629">
        <f>BA8*$BD$51</f>
        <v>0.57177231235186354</v>
      </c>
      <c r="BE8" s="2629">
        <f>BA8*$BE$51</f>
        <v>3.4257078324653648E-2</v>
      </c>
      <c r="BF8" s="2630" t="s">
        <v>2100</v>
      </c>
    </row>
    <row r="9" spans="1:59" ht="15" x14ac:dyDescent="0.2">
      <c r="A9" s="2624" t="s">
        <v>31</v>
      </c>
      <c r="B9" s="2597">
        <v>82.2</v>
      </c>
      <c r="C9" s="2597">
        <v>99.2</v>
      </c>
      <c r="D9" s="2598">
        <f>C9/B9*100</f>
        <v>120.68126520681265</v>
      </c>
      <c r="E9" s="2597">
        <v>80.400000000000006</v>
      </c>
      <c r="F9" s="2598">
        <f>E9/C9*100</f>
        <v>81.048387096774206</v>
      </c>
      <c r="G9" s="2599">
        <v>53.9</v>
      </c>
      <c r="H9" s="2598">
        <f>G9/E9*100</f>
        <v>67.039800995024862</v>
      </c>
      <c r="I9" s="2600">
        <v>99.9</v>
      </c>
      <c r="J9" s="2600">
        <v>44.9</v>
      </c>
      <c r="K9" s="2600">
        <f>J9/9*12</f>
        <v>59.866666666666667</v>
      </c>
      <c r="L9" s="2599">
        <v>52.1</v>
      </c>
      <c r="M9" s="2598">
        <f>K9/G9*100</f>
        <v>111.06988249845394</v>
      </c>
      <c r="N9" s="2600">
        <v>56.873333333333328</v>
      </c>
      <c r="O9" s="2599">
        <v>8.1</v>
      </c>
      <c r="P9" s="2599">
        <v>8.0765999999999991</v>
      </c>
      <c r="Q9" s="2599">
        <v>14.7</v>
      </c>
      <c r="R9" s="2599">
        <v>65</v>
      </c>
      <c r="S9" s="2599">
        <f>P9/9*12*1.03</f>
        <v>11.091863999999999</v>
      </c>
      <c r="T9" s="2602">
        <f>S9/N9</f>
        <v>0.19502749970695113</v>
      </c>
      <c r="U9" s="2603" t="e">
        <f>R9*#REF!</f>
        <v>#REF!</v>
      </c>
      <c r="V9" s="2603" t="e">
        <f>R9*#REF!</f>
        <v>#REF!</v>
      </c>
      <c r="W9" s="2603">
        <f>S9*$Y$57</f>
        <v>6.3332221613672486</v>
      </c>
      <c r="X9" s="2603">
        <f>S9*$Y$58</f>
        <v>4.4983548207472159</v>
      </c>
      <c r="Y9" s="2603"/>
      <c r="Z9" s="2603"/>
      <c r="AA9" s="2603"/>
      <c r="AB9" s="2599">
        <v>15.5</v>
      </c>
      <c r="AC9" s="2599">
        <f>AB9</f>
        <v>15.5</v>
      </c>
      <c r="AD9" s="2603">
        <f>AC9*$AG$57</f>
        <v>9.1759872971623508</v>
      </c>
      <c r="AE9" s="2603">
        <f>AC9*$AG$58</f>
        <v>6.2000100022343698</v>
      </c>
      <c r="AF9" s="2604">
        <f t="shared" si="0"/>
        <v>1.4488655321671822</v>
      </c>
      <c r="AG9" s="2604">
        <f t="shared" si="1"/>
        <v>1.3782838947338738</v>
      </c>
      <c r="AH9" s="2603">
        <v>0</v>
      </c>
      <c r="AI9" s="2603">
        <v>0</v>
      </c>
      <c r="AJ9" s="2599">
        <v>17.05</v>
      </c>
      <c r="AK9" s="2603">
        <f>AJ9*AI57</f>
        <v>10.161799999999999</v>
      </c>
      <c r="AL9" s="2603">
        <f>AJ9*AI58</f>
        <v>6.8882000000000003</v>
      </c>
      <c r="AM9" s="2604">
        <f t="shared" si="2"/>
        <v>1.1074339655137173</v>
      </c>
      <c r="AN9" s="2604">
        <f t="shared" si="3"/>
        <v>1.1109982076670231</v>
      </c>
      <c r="AO9" s="2676"/>
      <c r="AP9" s="2629">
        <f>AO9*$AL$57</f>
        <v>0</v>
      </c>
      <c r="AQ9" s="2629">
        <f>AO9*$AL$58</f>
        <v>0</v>
      </c>
      <c r="AR9" s="2629">
        <f t="shared" ref="AR9:AR49" si="4">AS9+AT9</f>
        <v>0</v>
      </c>
      <c r="AS9" s="2629">
        <v>0</v>
      </c>
      <c r="AT9" s="2629">
        <v>0</v>
      </c>
      <c r="AU9" s="2629">
        <f t="shared" ref="AU9:AU51" si="5">AV9+AW9</f>
        <v>0</v>
      </c>
      <c r="AV9" s="2629">
        <v>0</v>
      </c>
      <c r="AW9" s="2629">
        <v>0</v>
      </c>
      <c r="AX9" s="2629">
        <f t="shared" ref="AX9:AX49" si="6">AY9+AZ9</f>
        <v>0</v>
      </c>
      <c r="AY9" s="2629">
        <v>0</v>
      </c>
      <c r="AZ9" s="2629">
        <v>0</v>
      </c>
      <c r="BA9" s="2629">
        <v>0</v>
      </c>
      <c r="BB9" s="2629">
        <f t="shared" ref="BB9:BB11" si="7">BA9*$BB$51</f>
        <v>0</v>
      </c>
      <c r="BC9" s="2629">
        <f t="shared" ref="BC9:BC11" si="8">BA9*$BC$51</f>
        <v>0</v>
      </c>
      <c r="BD9" s="2629">
        <f t="shared" ref="BD9:BD11" si="9">BA9*$BD$51</f>
        <v>0</v>
      </c>
      <c r="BE9" s="2629">
        <f t="shared" ref="BE9:BE11" si="10">BA9*$BE$51</f>
        <v>0</v>
      </c>
      <c r="BF9" s="2630"/>
    </row>
    <row r="10" spans="1:59" ht="15" x14ac:dyDescent="0.2">
      <c r="A10" s="2624" t="s">
        <v>306</v>
      </c>
      <c r="B10" s="2597">
        <v>10325.299999999999</v>
      </c>
      <c r="C10" s="2597">
        <v>12193.1</v>
      </c>
      <c r="D10" s="2598">
        <f>C10/B10*100</f>
        <v>118.089547034953</v>
      </c>
      <c r="E10" s="2597">
        <v>12095</v>
      </c>
      <c r="F10" s="2598">
        <f>E10/C10*100</f>
        <v>99.19544660504711</v>
      </c>
      <c r="G10" s="2599">
        <v>12881.2</v>
      </c>
      <c r="H10" s="2598">
        <f>G10/E10*100</f>
        <v>106.50020669698223</v>
      </c>
      <c r="I10" s="2600">
        <v>12960.8</v>
      </c>
      <c r="J10" s="2600">
        <v>10117.200000000001</v>
      </c>
      <c r="K10" s="2600">
        <v>14921</v>
      </c>
      <c r="L10" s="2600">
        <v>14265.4</v>
      </c>
      <c r="M10" s="2598">
        <f>K10/G10*100</f>
        <v>115.83548116635096</v>
      </c>
      <c r="N10" s="2600">
        <v>13881.016799999999</v>
      </c>
      <c r="O10" s="2600">
        <v>8199.1</v>
      </c>
      <c r="P10" s="2600">
        <v>12742.602274999999</v>
      </c>
      <c r="Q10" s="2600">
        <v>17158.3</v>
      </c>
      <c r="R10" s="2600">
        <v>18101.8</v>
      </c>
      <c r="S10" s="2600">
        <f>N10*1.056</f>
        <v>14658.353740799999</v>
      </c>
      <c r="T10" s="2602">
        <f>S10/N10</f>
        <v>1.056</v>
      </c>
      <c r="U10" s="2603" t="e">
        <f>R10*#REF!</f>
        <v>#REF!</v>
      </c>
      <c r="V10" s="2603" t="e">
        <f>R10*#REF!</f>
        <v>#REF!</v>
      </c>
      <c r="W10" s="2603">
        <f>S10*$Y$57</f>
        <v>8369.6131471135122</v>
      </c>
      <c r="X10" s="2603">
        <f>S10*$Y$58</f>
        <v>5944.7606113945931</v>
      </c>
      <c r="Y10" s="2603">
        <v>7870.29</v>
      </c>
      <c r="Z10" s="2603">
        <v>11609.64</v>
      </c>
      <c r="AA10" s="2603">
        <v>15326</v>
      </c>
      <c r="AB10" s="2600">
        <v>17000</v>
      </c>
      <c r="AC10" s="2600">
        <f>AC14*AC13*12/1000</f>
        <v>15327.654172604925</v>
      </c>
      <c r="AD10" s="2600">
        <f>AD14*AD13*12/1000</f>
        <v>9073.958708588405</v>
      </c>
      <c r="AE10" s="2600">
        <f>AE14*AE13*12/1000</f>
        <v>6131.07156006064</v>
      </c>
      <c r="AF10" s="2604">
        <f t="shared" si="0"/>
        <v>1.0841550916505389</v>
      </c>
      <c r="AG10" s="2604">
        <f t="shared" si="1"/>
        <v>1.0313403618488752</v>
      </c>
      <c r="AH10" s="2603">
        <v>7441.55</v>
      </c>
      <c r="AI10" s="2603">
        <v>11108.4</v>
      </c>
      <c r="AJ10" s="2600">
        <v>18700</v>
      </c>
      <c r="AK10" s="2600">
        <f>AK14*AK13*12/1000</f>
        <v>11145.2</v>
      </c>
      <c r="AL10" s="2600">
        <f>AL14*AL13*12/1000</f>
        <v>7554.8000000000011</v>
      </c>
      <c r="AM10" s="2604">
        <f t="shared" si="2"/>
        <v>1.2282621464269159</v>
      </c>
      <c r="AN10" s="2604">
        <f t="shared" si="3"/>
        <v>1.2322152703638121</v>
      </c>
      <c r="AO10" s="2677">
        <f>AO13*AO14*12/1000</f>
        <v>16797.857736099682</v>
      </c>
      <c r="AP10" s="2628">
        <f>AO10*$AL$57</f>
        <v>9140.6379893592548</v>
      </c>
      <c r="AQ10" s="2628">
        <f>AO10*$AL$58</f>
        <v>7566.6978128445726</v>
      </c>
      <c r="AR10" s="2672">
        <f t="shared" si="4"/>
        <v>13787.45</v>
      </c>
      <c r="AS10" s="2628">
        <v>8134.6</v>
      </c>
      <c r="AT10" s="2628">
        <v>5652.85</v>
      </c>
      <c r="AU10" s="2628">
        <f t="shared" si="5"/>
        <v>15420.200430000001</v>
      </c>
      <c r="AV10" s="2628">
        <v>8943.7186999999994</v>
      </c>
      <c r="AW10" s="2628">
        <v>6476.4817300000004</v>
      </c>
      <c r="AX10" s="2628">
        <f t="shared" si="6"/>
        <v>21200.989999999998</v>
      </c>
      <c r="AY10" s="2628">
        <v>12319.34</v>
      </c>
      <c r="AZ10" s="2628">
        <v>8881.65</v>
      </c>
      <c r="BA10" s="2628">
        <f>BA13*BA14*12/1000</f>
        <v>16565.02695032406</v>
      </c>
      <c r="BB10" s="2628">
        <f t="shared" si="7"/>
        <v>9629.3368088774641</v>
      </c>
      <c r="BC10" s="2628">
        <f t="shared" si="8"/>
        <v>6235.1393257281725</v>
      </c>
      <c r="BD10" s="2628">
        <f t="shared" si="9"/>
        <v>660.95071622873184</v>
      </c>
      <c r="BE10" s="2628">
        <f t="shared" si="10"/>
        <v>39.600099489689455</v>
      </c>
      <c r="BF10" s="2630"/>
    </row>
    <row r="11" spans="1:59" ht="25.5" x14ac:dyDescent="0.2">
      <c r="A11" s="2624" t="s">
        <v>117</v>
      </c>
      <c r="B11" s="2597">
        <v>2324</v>
      </c>
      <c r="C11" s="2597">
        <v>2475.9</v>
      </c>
      <c r="D11" s="2598">
        <f>C11/B11*100</f>
        <v>106.53614457831327</v>
      </c>
      <c r="E11" s="2597">
        <v>2575.3000000000002</v>
      </c>
      <c r="F11" s="2598">
        <f>E11/C11*100</f>
        <v>104.0147017246254</v>
      </c>
      <c r="G11" s="2599">
        <v>3451.8</v>
      </c>
      <c r="H11" s="2598">
        <f>G11/E11*100</f>
        <v>134.03486972391565</v>
      </c>
      <c r="I11" s="2600">
        <f>I10*30.2/100</f>
        <v>3914.1615999999999</v>
      </c>
      <c r="J11" s="2600">
        <v>2906</v>
      </c>
      <c r="K11" s="2600">
        <v>4506.1000000000004</v>
      </c>
      <c r="L11" s="2600">
        <v>3778.4</v>
      </c>
      <c r="M11" s="2605">
        <f>K11/G11*100</f>
        <v>130.54348455878093</v>
      </c>
      <c r="N11" s="2600">
        <v>4192.0670736000002</v>
      </c>
      <c r="O11" s="2600">
        <v>2372.5</v>
      </c>
      <c r="P11" s="2600">
        <v>3474.6754099999998</v>
      </c>
      <c r="Q11" s="2600">
        <v>4427.2</v>
      </c>
      <c r="R11" s="2600">
        <v>5466.7</v>
      </c>
      <c r="S11" s="2600">
        <f>S10*S12</f>
        <v>3997.0659206844994</v>
      </c>
      <c r="T11" s="2602">
        <f>S11/N11</f>
        <v>0.95348329368498375</v>
      </c>
      <c r="U11" s="2603" t="e">
        <f>R11*#REF!</f>
        <v>#REF!</v>
      </c>
      <c r="V11" s="2603" t="e">
        <f>R11*#REF!</f>
        <v>#REF!</v>
      </c>
      <c r="W11" s="2603">
        <f>S11*$Y$57</f>
        <v>2282.24097133943</v>
      </c>
      <c r="X11" s="2603">
        <f>S11*$Y$58</f>
        <v>1621.0278771138494</v>
      </c>
      <c r="Y11" s="2603">
        <v>2366.94</v>
      </c>
      <c r="Z11" s="2603">
        <v>3391.7</v>
      </c>
      <c r="AA11" s="2603">
        <v>4288.66</v>
      </c>
      <c r="AB11" s="2600">
        <v>5134</v>
      </c>
      <c r="AC11" s="2600">
        <f>AC10*AC12</f>
        <v>4477.8998019942155</v>
      </c>
      <c r="AD11" s="2600">
        <f>AD10*AD12</f>
        <v>2650.9130129719174</v>
      </c>
      <c r="AE11" s="2600">
        <f>AE10*AE12</f>
        <v>1791.1628104108026</v>
      </c>
      <c r="AF11" s="2604">
        <f t="shared" si="0"/>
        <v>1.1615394895904076</v>
      </c>
      <c r="AG11" s="2604">
        <f t="shared" si="1"/>
        <v>1.1049549706695168</v>
      </c>
      <c r="AH11" s="2603">
        <v>2092.0300000000002</v>
      </c>
      <c r="AI11" s="2603">
        <v>3102.56</v>
      </c>
      <c r="AJ11" s="2600">
        <f>AJ10*AJ12</f>
        <v>5232.8032102309808</v>
      </c>
      <c r="AK11" s="2600">
        <f>AK10*AK12</f>
        <v>3118.7507132976643</v>
      </c>
      <c r="AL11" s="2600">
        <f>AL10*AL12</f>
        <v>2114.0524969333164</v>
      </c>
      <c r="AM11" s="2604">
        <f t="shared" si="2"/>
        <v>1.1764817246120263</v>
      </c>
      <c r="AN11" s="2604">
        <f t="shared" si="3"/>
        <v>1.1802681948540787</v>
      </c>
      <c r="AO11" s="2677">
        <f>AO10*AO12</f>
        <v>4700.5285500783812</v>
      </c>
      <c r="AP11" s="2628">
        <f>AO11*$AL$57</f>
        <v>2557.8160328491103</v>
      </c>
      <c r="AQ11" s="2628">
        <f>AO11*$AL$58</f>
        <v>2117.3818505829313</v>
      </c>
      <c r="AR11" s="2672">
        <f t="shared" si="4"/>
        <v>4121.75</v>
      </c>
      <c r="AS11" s="2628">
        <v>2431.83</v>
      </c>
      <c r="AT11" s="2628">
        <v>1689.92</v>
      </c>
      <c r="AU11" s="2628">
        <f t="shared" si="5"/>
        <v>4548.1656299999995</v>
      </c>
      <c r="AV11" s="2628">
        <v>2637.9358999999999</v>
      </c>
      <c r="AW11" s="2628">
        <v>1910.22973</v>
      </c>
      <c r="AX11" s="2628">
        <f t="shared" si="6"/>
        <v>6360.3</v>
      </c>
      <c r="AY11" s="2628">
        <v>3695.8</v>
      </c>
      <c r="AZ11" s="2628">
        <v>2664.5</v>
      </c>
      <c r="BA11" s="2628">
        <f>BA10*AU12</f>
        <v>4885.8305427024588</v>
      </c>
      <c r="BB11" s="2628">
        <f t="shared" si="7"/>
        <v>2840.1588495974142</v>
      </c>
      <c r="BC11" s="2628">
        <f t="shared" si="8"/>
        <v>1839.0452516017162</v>
      </c>
      <c r="BD11" s="2628">
        <f t="shared" si="9"/>
        <v>194.94644990651398</v>
      </c>
      <c r="BE11" s="2628">
        <f t="shared" si="10"/>
        <v>11.679991596813899</v>
      </c>
      <c r="BF11" s="2638" t="s">
        <v>2124</v>
      </c>
    </row>
    <row r="12" spans="1:59" s="178" customFormat="1" ht="15" x14ac:dyDescent="0.2">
      <c r="A12" s="2625" t="s">
        <v>307</v>
      </c>
      <c r="B12" s="2606"/>
      <c r="C12" s="2606"/>
      <c r="D12" s="2598"/>
      <c r="E12" s="2606"/>
      <c r="F12" s="2598"/>
      <c r="G12" s="2598"/>
      <c r="H12" s="2598"/>
      <c r="I12" s="2602">
        <f t="shared" ref="I12:R12" si="11">I11/I10</f>
        <v>0.30199999999999999</v>
      </c>
      <c r="J12" s="2602">
        <f t="shared" si="11"/>
        <v>0.28723362195073732</v>
      </c>
      <c r="K12" s="2602">
        <f t="shared" si="11"/>
        <v>0.30199718517525637</v>
      </c>
      <c r="L12" s="2602">
        <f t="shared" si="11"/>
        <v>0.2648646375145457</v>
      </c>
      <c r="M12" s="2602">
        <f t="shared" si="11"/>
        <v>1.1269732144618785</v>
      </c>
      <c r="N12" s="2602">
        <f t="shared" si="11"/>
        <v>0.30200000000000005</v>
      </c>
      <c r="O12" s="2607">
        <f t="shared" si="11"/>
        <v>0.28936102742983982</v>
      </c>
      <c r="P12" s="2607">
        <f t="shared" si="11"/>
        <v>0.27268177527733439</v>
      </c>
      <c r="Q12" s="2607">
        <f t="shared" si="11"/>
        <v>0.25802089950636137</v>
      </c>
      <c r="R12" s="2602">
        <f t="shared" si="11"/>
        <v>0.3019975913997503</v>
      </c>
      <c r="S12" s="2602">
        <f>P12</f>
        <v>0.27268177527733439</v>
      </c>
      <c r="T12" s="2602">
        <f>S12/N12</f>
        <v>0.90291978568653763</v>
      </c>
      <c r="U12" s="2608">
        <f>R12</f>
        <v>0.3019975913997503</v>
      </c>
      <c r="V12" s="2608">
        <f>R12</f>
        <v>0.3019975913997503</v>
      </c>
      <c r="W12" s="2609">
        <f>S12</f>
        <v>0.27268177527733439</v>
      </c>
      <c r="X12" s="2609">
        <f>S12</f>
        <v>0.27268177527733439</v>
      </c>
      <c r="Y12" s="2602">
        <f>Y11/Y10</f>
        <v>0.30074368288843234</v>
      </c>
      <c r="Z12" s="2602">
        <f>Z11/Z10</f>
        <v>0.2921451483422397</v>
      </c>
      <c r="AA12" s="2602">
        <f>AA11/AA10</f>
        <v>0.2798290486754535</v>
      </c>
      <c r="AB12" s="2602">
        <f>AB11/AB10</f>
        <v>0.30199999999999999</v>
      </c>
      <c r="AC12" s="2602">
        <f>Z12</f>
        <v>0.2921451483422397</v>
      </c>
      <c r="AD12" s="2609">
        <f>AC12</f>
        <v>0.2921451483422397</v>
      </c>
      <c r="AE12" s="2609">
        <f>AC12</f>
        <v>0.2921451483422397</v>
      </c>
      <c r="AF12" s="2604">
        <f t="shared" si="0"/>
        <v>1.07137760873498</v>
      </c>
      <c r="AG12" s="2604">
        <f t="shared" si="1"/>
        <v>1.07137760873498</v>
      </c>
      <c r="AH12" s="2602">
        <f>AH11/AH10</f>
        <v>0.28112825956957893</v>
      </c>
      <c r="AI12" s="2602">
        <f>AI11/AI10</f>
        <v>0.27929854884591843</v>
      </c>
      <c r="AJ12" s="2602">
        <f>AA12</f>
        <v>0.2798290486754535</v>
      </c>
      <c r="AK12" s="2609">
        <f>AJ12</f>
        <v>0.2798290486754535</v>
      </c>
      <c r="AL12" s="2609">
        <f>AJ12</f>
        <v>0.2798290486754535</v>
      </c>
      <c r="AM12" s="2604">
        <f t="shared" si="2"/>
        <v>0.95784253225948413</v>
      </c>
      <c r="AN12" s="2604">
        <f t="shared" si="3"/>
        <v>0.95784253225948413</v>
      </c>
      <c r="AO12" s="2678">
        <f>AA12</f>
        <v>0.2798290486754535</v>
      </c>
      <c r="AP12" s="2633">
        <f>AO12</f>
        <v>0.2798290486754535</v>
      </c>
      <c r="AQ12" s="2633">
        <f>AP12</f>
        <v>0.2798290486754535</v>
      </c>
      <c r="AR12" s="2631">
        <f>AR11/AR10</f>
        <v>0.29894940688814825</v>
      </c>
      <c r="AS12" s="2631">
        <f t="shared" ref="AS12:AT12" si="12">AS11/AS10</f>
        <v>0.29894893418238139</v>
      </c>
      <c r="AT12" s="2631">
        <f t="shared" si="12"/>
        <v>0.29895008712419396</v>
      </c>
      <c r="AU12" s="2631">
        <f>AU11/AU10</f>
        <v>0.29494854172916862</v>
      </c>
      <c r="AV12" s="2631">
        <f t="shared" ref="AV12:AW12" si="13">AV11/AV10</f>
        <v>0.29494844241914719</v>
      </c>
      <c r="AW12" s="2631">
        <f t="shared" si="13"/>
        <v>0.29494867887166876</v>
      </c>
      <c r="AX12" s="2631">
        <f>AX11/AX10</f>
        <v>0.30000014150282611</v>
      </c>
      <c r="AY12" s="2631">
        <f t="shared" ref="AY12:AZ12" si="14">AY11/AY10</f>
        <v>0.29999983765364052</v>
      </c>
      <c r="AZ12" s="2631">
        <f t="shared" si="14"/>
        <v>0.30000056295845928</v>
      </c>
      <c r="BA12" s="2631">
        <f>BA11/BA10</f>
        <v>0.29494854172916862</v>
      </c>
      <c r="BB12" s="2631">
        <f t="shared" ref="BB12:BC12" si="15">BB11/BB10</f>
        <v>0.29494854172916862</v>
      </c>
      <c r="BC12" s="2631">
        <f t="shared" si="15"/>
        <v>0.29494854172916862</v>
      </c>
      <c r="BD12" s="2631">
        <f t="shared" ref="BD12" si="16">BD11/BD10</f>
        <v>0.29494854172916857</v>
      </c>
      <c r="BE12" s="2631">
        <f t="shared" ref="BE12" si="17">BE11/BE10</f>
        <v>0.29494854172916862</v>
      </c>
      <c r="BF12" s="2630" t="s">
        <v>1916</v>
      </c>
    </row>
    <row r="13" spans="1:59" s="179" customFormat="1" ht="15" x14ac:dyDescent="0.2">
      <c r="A13" s="2624" t="s">
        <v>308</v>
      </c>
      <c r="B13" s="2597"/>
      <c r="C13" s="2597"/>
      <c r="D13" s="2599"/>
      <c r="E13" s="2597"/>
      <c r="F13" s="2599"/>
      <c r="G13" s="2599"/>
      <c r="H13" s="2599"/>
      <c r="I13" s="2607"/>
      <c r="J13" s="2607"/>
      <c r="K13" s="2607"/>
      <c r="L13" s="2607"/>
      <c r="M13" s="2607"/>
      <c r="N13" s="2599">
        <v>29</v>
      </c>
      <c r="O13" s="2599">
        <v>29</v>
      </c>
      <c r="P13" s="2599">
        <v>29</v>
      </c>
      <c r="Q13" s="2599">
        <v>29</v>
      </c>
      <c r="R13" s="2599">
        <v>29</v>
      </c>
      <c r="S13" s="2599">
        <v>29</v>
      </c>
      <c r="T13" s="2602"/>
      <c r="U13" s="2603" t="e">
        <f>R13*#REF!</f>
        <v>#REF!</v>
      </c>
      <c r="V13" s="2603" t="e">
        <f>R13*#REF!</f>
        <v>#REF!</v>
      </c>
      <c r="W13" s="2603">
        <f>S13*$Y$57</f>
        <v>16.558392951775303</v>
      </c>
      <c r="X13" s="2603">
        <f>S13*$Y$58</f>
        <v>11.76107909379968</v>
      </c>
      <c r="Y13" s="2603">
        <v>29</v>
      </c>
      <c r="Z13" s="2603">
        <v>29</v>
      </c>
      <c r="AA13" s="2603">
        <v>29</v>
      </c>
      <c r="AB13" s="2599">
        <v>29</v>
      </c>
      <c r="AC13" s="2599">
        <f>29-29*Y59</f>
        <v>28.42</v>
      </c>
      <c r="AD13" s="2603">
        <f>AC13*AG57</f>
        <v>16.824616708732517</v>
      </c>
      <c r="AE13" s="2603">
        <f>AC13*AG58</f>
        <v>11.368018339580697</v>
      </c>
      <c r="AF13" s="2604">
        <f t="shared" si="0"/>
        <v>1.0160778740867284</v>
      </c>
      <c r="AG13" s="2604">
        <f t="shared" si="1"/>
        <v>0.96657953312921774</v>
      </c>
      <c r="AH13" s="2603">
        <v>27</v>
      </c>
      <c r="AI13" s="2603">
        <v>27</v>
      </c>
      <c r="AJ13" s="2599">
        <f>29-29*AD59</f>
        <v>29</v>
      </c>
      <c r="AK13" s="2603">
        <f>AJ13*AI57</f>
        <v>17.283999999999999</v>
      </c>
      <c r="AL13" s="2603">
        <f>AJ13*AI58</f>
        <v>11.716000000000001</v>
      </c>
      <c r="AM13" s="2604">
        <f t="shared" si="2"/>
        <v>1.0273042351704242</v>
      </c>
      <c r="AN13" s="2604">
        <f t="shared" si="3"/>
        <v>1.0306105822514129</v>
      </c>
      <c r="AO13" s="2679">
        <v>29</v>
      </c>
      <c r="AP13" s="2632">
        <f>AO13*$AL$57</f>
        <v>15.780494504471694</v>
      </c>
      <c r="AQ13" s="2632">
        <f>AO13*$AL$58</f>
        <v>13.063227467447485</v>
      </c>
      <c r="AR13" s="2632">
        <v>26</v>
      </c>
      <c r="AS13" s="2632">
        <f>AS10/AS14/12*1000</f>
        <v>15.34000848597819</v>
      </c>
      <c r="AT13" s="2632">
        <f>AT10/AT14/12*1000</f>
        <v>10.65999151402181</v>
      </c>
      <c r="AU13" s="2632">
        <v>26</v>
      </c>
      <c r="AV13" s="2632">
        <f>AV10/AV14/12*1000</f>
        <v>15.080004131956667</v>
      </c>
      <c r="AW13" s="2632">
        <f>AW10/AW14/12*1000</f>
        <v>10.919995868043332</v>
      </c>
      <c r="AX13" s="2632">
        <v>29</v>
      </c>
      <c r="AY13" s="2632">
        <f>AY10/AY14/12*1000</f>
        <v>16.85114044202653</v>
      </c>
      <c r="AZ13" s="2632">
        <f>AZ10/AZ14/12*1000</f>
        <v>12.148859557973473</v>
      </c>
      <c r="BA13" s="2632">
        <f>AU13</f>
        <v>26</v>
      </c>
      <c r="BB13" s="2632">
        <f>BA13*$BB$51</f>
        <v>15.113935991870889</v>
      </c>
      <c r="BC13" s="2632">
        <f>BA13*$BC$51</f>
        <v>9.7864991681019315</v>
      </c>
      <c r="BD13" s="2632">
        <f>BA13*$BD$51</f>
        <v>1.0374096386007294</v>
      </c>
      <c r="BE13" s="2632">
        <f>BA13*$BE$51</f>
        <v>6.2155201426447655E-2</v>
      </c>
      <c r="BF13" s="2630"/>
    </row>
    <row r="14" spans="1:59" s="180" customFormat="1" ht="38.25" x14ac:dyDescent="0.2">
      <c r="A14" s="2622" t="s">
        <v>309</v>
      </c>
      <c r="B14" s="2597"/>
      <c r="C14" s="2597"/>
      <c r="D14" s="2599"/>
      <c r="E14" s="2597"/>
      <c r="F14" s="2599"/>
      <c r="G14" s="2599"/>
      <c r="H14" s="2599"/>
      <c r="I14" s="2607"/>
      <c r="J14" s="2607"/>
      <c r="K14" s="2607"/>
      <c r="L14" s="2607"/>
      <c r="M14" s="2607"/>
      <c r="N14" s="2600">
        <f t="shared" ref="N14:S14" si="18">N10/N13/12*1000</f>
        <v>39887.979310344825</v>
      </c>
      <c r="O14" s="2600">
        <f t="shared" si="18"/>
        <v>23560.632183908045</v>
      </c>
      <c r="P14" s="2600">
        <f t="shared" si="18"/>
        <v>36616.673204022991</v>
      </c>
      <c r="Q14" s="2600">
        <f t="shared" si="18"/>
        <v>49305.45977011494</v>
      </c>
      <c r="R14" s="2600">
        <f t="shared" si="18"/>
        <v>52016.666666666657</v>
      </c>
      <c r="S14" s="2600">
        <f t="shared" si="18"/>
        <v>42121.706151724131</v>
      </c>
      <c r="T14" s="2602"/>
      <c r="U14" s="2603">
        <f>R14</f>
        <v>52016.666666666657</v>
      </c>
      <c r="V14" s="2603">
        <f>R14</f>
        <v>52016.666666666657</v>
      </c>
      <c r="W14" s="2603">
        <f>S14</f>
        <v>42121.706151724131</v>
      </c>
      <c r="X14" s="2603">
        <f>S14</f>
        <v>42121.706151724131</v>
      </c>
      <c r="Y14" s="2600">
        <f>Y10/Y13/6*1000</f>
        <v>45231.551724137935</v>
      </c>
      <c r="Z14" s="2600">
        <f>Z10/Z13/9*1000</f>
        <v>44481.379310344826</v>
      </c>
      <c r="AA14" s="2600">
        <f>SUM(AA10/AA13/12)*1000</f>
        <v>44040.229885057473</v>
      </c>
      <c r="AB14" s="2600">
        <f>AB10/AB13/12*1000</f>
        <v>48850.574712643684</v>
      </c>
      <c r="AC14" s="2600">
        <f>S14*1.067</f>
        <v>44943.860463889643</v>
      </c>
      <c r="AD14" s="2603">
        <f>W14*1.067</f>
        <v>44943.860463889643</v>
      </c>
      <c r="AE14" s="2603">
        <f>AD14</f>
        <v>44943.860463889643</v>
      </c>
      <c r="AF14" s="2604">
        <f t="shared" si="0"/>
        <v>1.0669999999999999</v>
      </c>
      <c r="AG14" s="2604">
        <f t="shared" si="1"/>
        <v>1.0669999999999999</v>
      </c>
      <c r="AH14" s="2600">
        <f>AH10/AH13/6*1000</f>
        <v>45935.493827160491</v>
      </c>
      <c r="AI14" s="2600">
        <f>AI10/AI13/9*1000</f>
        <v>45713.580246913582</v>
      </c>
      <c r="AJ14" s="2600">
        <f>SUM(AJ10/AJ13/12)*1000</f>
        <v>53735.632183908048</v>
      </c>
      <c r="AK14" s="2603">
        <f>SUM(AJ14)</f>
        <v>53735.632183908048</v>
      </c>
      <c r="AL14" s="2603">
        <f>AK14</f>
        <v>53735.632183908048</v>
      </c>
      <c r="AM14" s="2604">
        <f t="shared" si="2"/>
        <v>1.1956167456305227</v>
      </c>
      <c r="AN14" s="2604">
        <f t="shared" si="3"/>
        <v>1.1956167456305227</v>
      </c>
      <c r="AO14" s="2673">
        <f>AC14*1.074</f>
        <v>48269.70613821748</v>
      </c>
      <c r="AP14" s="2632">
        <f>AO14</f>
        <v>48269.70613821748</v>
      </c>
      <c r="AQ14" s="2632">
        <f>AP14</f>
        <v>48269.70613821748</v>
      </c>
      <c r="AR14" s="2632">
        <f>AR10/AR13/12*1000</f>
        <v>44190.544871794875</v>
      </c>
      <c r="AS14" s="2632">
        <f>AR14</f>
        <v>44190.544871794875</v>
      </c>
      <c r="AT14" s="2632">
        <f>AS14</f>
        <v>44190.544871794875</v>
      </c>
      <c r="AU14" s="2632">
        <f>AU10/AU13/12*1000</f>
        <v>49423.719326923077</v>
      </c>
      <c r="AV14" s="2632">
        <f>AU14</f>
        <v>49423.719326923077</v>
      </c>
      <c r="AW14" s="2632">
        <f>AV14</f>
        <v>49423.719326923077</v>
      </c>
      <c r="AX14" s="2632">
        <f>AX10/AX13/12*1000</f>
        <v>60922.385057471256</v>
      </c>
      <c r="AY14" s="2632">
        <f>AX14</f>
        <v>60922.385057471256</v>
      </c>
      <c r="AZ14" s="2632">
        <f>AY14</f>
        <v>60922.385057471256</v>
      </c>
      <c r="BA14" s="2632">
        <f>AU14*1.027*1.046</f>
        <v>53093.0350971925</v>
      </c>
      <c r="BB14" s="2632">
        <f>BB10/BB13/12*1000</f>
        <v>53093.035097192493</v>
      </c>
      <c r="BC14" s="2632">
        <f t="shared" ref="BC14:BE14" si="19">BC10/BC13/12*1000</f>
        <v>53093.035097192507</v>
      </c>
      <c r="BD14" s="2632">
        <f t="shared" si="19"/>
        <v>53093.035097192507</v>
      </c>
      <c r="BE14" s="2632">
        <f t="shared" si="19"/>
        <v>53093.035097192507</v>
      </c>
      <c r="BF14" s="2638" t="s">
        <v>1951</v>
      </c>
      <c r="BG14" s="180">
        <f>AI14*1.074</f>
        <v>49096.385185185187</v>
      </c>
    </row>
    <row r="15" spans="1:59" s="180" customFormat="1" ht="15" x14ac:dyDescent="0.2">
      <c r="A15" s="2622" t="s">
        <v>1956</v>
      </c>
      <c r="B15" s="2597"/>
      <c r="C15" s="2597"/>
      <c r="D15" s="2599"/>
      <c r="E15" s="2597"/>
      <c r="F15" s="2599"/>
      <c r="G15" s="2599"/>
      <c r="H15" s="2599"/>
      <c r="I15" s="2607"/>
      <c r="J15" s="2607"/>
      <c r="K15" s="2607"/>
      <c r="L15" s="2607"/>
      <c r="M15" s="2607"/>
      <c r="N15" s="2600"/>
      <c r="O15" s="2600"/>
      <c r="P15" s="2600"/>
      <c r="Q15" s="2600"/>
      <c r="R15" s="2600"/>
      <c r="S15" s="2600"/>
      <c r="T15" s="2602"/>
      <c r="U15" s="2603"/>
      <c r="V15" s="2603"/>
      <c r="W15" s="2603"/>
      <c r="X15" s="2603"/>
      <c r="Y15" s="2600"/>
      <c r="Z15" s="2600"/>
      <c r="AA15" s="2600"/>
      <c r="AB15" s="2600"/>
      <c r="AC15" s="2600"/>
      <c r="AD15" s="2603"/>
      <c r="AE15" s="2603"/>
      <c r="AF15" s="2604"/>
      <c r="AG15" s="2604"/>
      <c r="AH15" s="2600"/>
      <c r="AI15" s="2600"/>
      <c r="AJ15" s="2600"/>
      <c r="AK15" s="2603"/>
      <c r="AL15" s="2603"/>
      <c r="AM15" s="2604"/>
      <c r="AN15" s="2604"/>
      <c r="AO15" s="2673"/>
      <c r="AP15" s="2632"/>
      <c r="AQ15" s="2632"/>
      <c r="AR15" s="2632"/>
      <c r="AS15" s="2632"/>
      <c r="AT15" s="2632"/>
      <c r="AU15" s="2632">
        <f>AV15+AW15</f>
        <v>51</v>
      </c>
      <c r="AV15" s="2632">
        <v>29.58</v>
      </c>
      <c r="AW15" s="2632">
        <v>21.42</v>
      </c>
      <c r="AX15" s="2632"/>
      <c r="AY15" s="2632"/>
      <c r="AZ15" s="2632"/>
      <c r="BA15" s="2632"/>
      <c r="BB15" s="2632"/>
      <c r="BC15" s="2632"/>
      <c r="BD15" s="2632"/>
      <c r="BE15" s="2632"/>
      <c r="BF15" s="2638"/>
    </row>
    <row r="16" spans="1:59" ht="15" x14ac:dyDescent="0.2">
      <c r="A16" s="2624" t="s">
        <v>32</v>
      </c>
      <c r="B16" s="2597">
        <v>142.5</v>
      </c>
      <c r="C16" s="2597">
        <v>344.3</v>
      </c>
      <c r="D16" s="2598">
        <f t="shared" ref="D16:D25" si="20">C16/B16*100</f>
        <v>241.61403508771932</v>
      </c>
      <c r="E16" s="2597">
        <v>436.2</v>
      </c>
      <c r="F16" s="2598">
        <f>E16/C16*100</f>
        <v>126.69183851292476</v>
      </c>
      <c r="G16" s="2599">
        <f>219.6+211.5+61.1</f>
        <v>492.20000000000005</v>
      </c>
      <c r="H16" s="2598">
        <f t="shared" ref="H16:H25" si="21">G16/E16*100</f>
        <v>112.83814763869786</v>
      </c>
      <c r="I16" s="2600">
        <v>371.4</v>
      </c>
      <c r="J16" s="2600">
        <f>205.9+142</f>
        <v>347.9</v>
      </c>
      <c r="K16" s="2600">
        <f>J16/9*12</f>
        <v>463.86666666666662</v>
      </c>
      <c r="L16" s="2600">
        <v>473.9</v>
      </c>
      <c r="M16" s="2605">
        <f t="shared" ref="M16:M24" si="22">K16/G16*100</f>
        <v>94.243532439387764</v>
      </c>
      <c r="N16" s="2600">
        <v>486.59613333333323</v>
      </c>
      <c r="O16" s="2600">
        <f>221.8+105.4</f>
        <v>327.20000000000005</v>
      </c>
      <c r="P16" s="2600">
        <f>318.79145+167.22607</f>
        <v>486.01751999999999</v>
      </c>
      <c r="Q16" s="2600">
        <v>654.70000000000005</v>
      </c>
      <c r="R16" s="2600">
        <v>679.8</v>
      </c>
      <c r="S16" s="2599">
        <f>N16*1.048</f>
        <v>509.95274773333324</v>
      </c>
      <c r="T16" s="2602">
        <f>S16/N16</f>
        <v>1.048</v>
      </c>
      <c r="U16" s="2603" t="e">
        <f>R16*#REF!</f>
        <v>#REF!</v>
      </c>
      <c r="V16" s="2603" t="e">
        <f>R16*#REF!</f>
        <v>#REF!</v>
      </c>
      <c r="W16" s="2603">
        <f t="shared" ref="W16:W48" si="23">S16*$Y$57</f>
        <v>291.17234426917497</v>
      </c>
      <c r="X16" s="2603">
        <f t="shared" ref="X16:X48" si="24">S16*$Y$58</f>
        <v>206.81360690317956</v>
      </c>
      <c r="Y16" s="2603">
        <v>313.62</v>
      </c>
      <c r="Z16" s="2603">
        <v>419.82</v>
      </c>
      <c r="AA16" s="2603">
        <v>568.21</v>
      </c>
      <c r="AB16" s="2600">
        <v>525.29999999999995</v>
      </c>
      <c r="AC16" s="2599">
        <f>AB16</f>
        <v>525.29999999999995</v>
      </c>
      <c r="AD16" s="2603">
        <f t="shared" ref="AD16:AD42" si="25">AC16*$AG$57</f>
        <v>310.97716949673435</v>
      </c>
      <c r="AE16" s="2603">
        <f t="shared" ref="AE16:AE42" si="26">AC16*$AG$58</f>
        <v>210.12033897894929</v>
      </c>
      <c r="AF16" s="2604">
        <f t="shared" si="0"/>
        <v>1.0680175353784656</v>
      </c>
      <c r="AG16" s="2604">
        <f t="shared" si="1"/>
        <v>1.0159889483350957</v>
      </c>
      <c r="AH16" s="2603">
        <v>230.39</v>
      </c>
      <c r="AI16" s="2603">
        <v>322.31</v>
      </c>
      <c r="AJ16" s="2599">
        <f>SUM(AA16*1.1)</f>
        <v>625.03100000000006</v>
      </c>
      <c r="AK16" s="2603">
        <f>AJ16*AI57</f>
        <v>372.51847600000002</v>
      </c>
      <c r="AL16" s="2603">
        <f>AJ16*AI58</f>
        <v>252.51252400000004</v>
      </c>
      <c r="AM16" s="2604">
        <f t="shared" si="2"/>
        <v>1.1978965420608214</v>
      </c>
      <c r="AN16" s="2604">
        <f t="shared" si="3"/>
        <v>1.2017519352341126</v>
      </c>
      <c r="AO16" s="2676">
        <f>AH16*2*1.062</f>
        <v>489.34836000000001</v>
      </c>
      <c r="AP16" s="2629">
        <f t="shared" ref="AP16:AP49" si="27">AO16*$AL$57</f>
        <v>266.28134847421506</v>
      </c>
      <c r="AQ16" s="2629">
        <f t="shared" ref="AQ16:AQ49" si="28">AO16*$AL$58</f>
        <v>220.42996336215103</v>
      </c>
      <c r="AR16" s="2671">
        <f t="shared" si="4"/>
        <v>484.67999999999995</v>
      </c>
      <c r="AS16" s="2629">
        <v>285.95999999999998</v>
      </c>
      <c r="AT16" s="2629">
        <v>198.72</v>
      </c>
      <c r="AU16" s="2629">
        <f>626.72396+160.47375</f>
        <v>787.19771000000003</v>
      </c>
      <c r="AV16" s="2629">
        <f>363.4999+93.07478</f>
        <v>456.57468000000006</v>
      </c>
      <c r="AW16" s="2629">
        <f>263.22406+67.39898</f>
        <v>330.62304</v>
      </c>
      <c r="AX16" s="2629">
        <f t="shared" si="6"/>
        <v>835.14</v>
      </c>
      <c r="AY16" s="2629">
        <v>485.28</v>
      </c>
      <c r="AZ16" s="2629">
        <v>349.86</v>
      </c>
      <c r="BA16" s="2629">
        <f>AX16</f>
        <v>835.14</v>
      </c>
      <c r="BB16" s="2629">
        <f>BA16*$BB$51</f>
        <v>485.47125016350208</v>
      </c>
      <c r="BC16" s="2629">
        <f>BA16*$BC$51</f>
        <v>314.34988135571717</v>
      </c>
      <c r="BD16" s="2629">
        <f>BA16*$BD$51</f>
        <v>33.32239559926974</v>
      </c>
      <c r="BE16" s="2629">
        <f>BA16*$BE$51</f>
        <v>1.9964728815109036</v>
      </c>
      <c r="BF16" s="2638"/>
      <c r="BG16" s="177">
        <f>AI16/3*4*1.062</f>
        <v>456.39096000000001</v>
      </c>
    </row>
    <row r="17" spans="1:59" ht="38.25" x14ac:dyDescent="0.2">
      <c r="A17" s="2624" t="s">
        <v>75</v>
      </c>
      <c r="B17" s="2597">
        <v>44.6</v>
      </c>
      <c r="C17" s="2597">
        <v>51.8</v>
      </c>
      <c r="D17" s="2598">
        <f t="shared" si="20"/>
        <v>116.14349775784751</v>
      </c>
      <c r="E17" s="2597">
        <v>70</v>
      </c>
      <c r="F17" s="2598">
        <f>E17/C17*100</f>
        <v>135.13513513513513</v>
      </c>
      <c r="G17" s="2599">
        <v>78.5</v>
      </c>
      <c r="H17" s="2598">
        <f t="shared" si="21"/>
        <v>112.14285714285714</v>
      </c>
      <c r="I17" s="2600">
        <v>73.900000000000006</v>
      </c>
      <c r="J17" s="2600">
        <v>49.3</v>
      </c>
      <c r="K17" s="2600">
        <f>J17/9*12</f>
        <v>65.733333333333334</v>
      </c>
      <c r="L17" s="2600">
        <v>82</v>
      </c>
      <c r="M17" s="2605">
        <f t="shared" si="22"/>
        <v>83.736730360934189</v>
      </c>
      <c r="N17" s="2600">
        <v>68.954266666666669</v>
      </c>
      <c r="O17" s="2600">
        <v>53.5</v>
      </c>
      <c r="P17" s="2600">
        <v>54.917679999999997</v>
      </c>
      <c r="Q17" s="2600">
        <v>87.8</v>
      </c>
      <c r="R17" s="2600">
        <v>94.6</v>
      </c>
      <c r="S17" s="2599">
        <f>P17/9*12*1.073</f>
        <v>78.568894186666668</v>
      </c>
      <c r="T17" s="2602">
        <f>S17/N17</f>
        <v>1.1394348455111309</v>
      </c>
      <c r="U17" s="2603" t="e">
        <f>R17*#REF!</f>
        <v>#REF!</v>
      </c>
      <c r="V17" s="2603" t="e">
        <f>R17*#REF!</f>
        <v>#REF!</v>
      </c>
      <c r="W17" s="2603">
        <f t="shared" si="23"/>
        <v>44.861193921699339</v>
      </c>
      <c r="X17" s="2603">
        <f t="shared" si="24"/>
        <v>31.863964787647053</v>
      </c>
      <c r="Y17" s="2603">
        <v>57.93</v>
      </c>
      <c r="Z17" s="2603">
        <v>59.6</v>
      </c>
      <c r="AA17" s="2603">
        <v>94.03</v>
      </c>
      <c r="AB17" s="2600">
        <v>93.9</v>
      </c>
      <c r="AC17" s="2599">
        <f>AB17</f>
        <v>93.9</v>
      </c>
      <c r="AD17" s="2603">
        <f t="shared" si="25"/>
        <v>55.588723045389983</v>
      </c>
      <c r="AE17" s="2603">
        <f t="shared" si="26"/>
        <v>37.560060594181117</v>
      </c>
      <c r="AF17" s="2604">
        <f t="shared" si="0"/>
        <v>1.2391271427687469</v>
      </c>
      <c r="AG17" s="2604">
        <f t="shared" si="1"/>
        <v>1.1787629331282186</v>
      </c>
      <c r="AH17" s="2603">
        <v>54.59</v>
      </c>
      <c r="AI17" s="2603">
        <v>56.06</v>
      </c>
      <c r="AJ17" s="2599">
        <f>SUM(AA17*1.15)</f>
        <v>108.13449999999999</v>
      </c>
      <c r="AK17" s="2603">
        <f>AJ17*AI57</f>
        <v>64.448161999999996</v>
      </c>
      <c r="AL17" s="2603">
        <f>AJ17*AI58</f>
        <v>43.686337999999999</v>
      </c>
      <c r="AM17" s="2604">
        <f t="shared" si="2"/>
        <v>1.159374752094521</v>
      </c>
      <c r="AN17" s="2604">
        <f t="shared" si="3"/>
        <v>1.1631061640717368</v>
      </c>
      <c r="AO17" s="2676">
        <f>AJ17</f>
        <v>108.13449999999999</v>
      </c>
      <c r="AP17" s="2629">
        <f t="shared" si="27"/>
        <v>58.841926999786011</v>
      </c>
      <c r="AQ17" s="2629">
        <f t="shared" si="28"/>
        <v>48.709847261334481</v>
      </c>
      <c r="AR17" s="2671">
        <f t="shared" si="4"/>
        <v>103.75999999999999</v>
      </c>
      <c r="AS17" s="2629">
        <v>61.22</v>
      </c>
      <c r="AT17" s="2629">
        <v>42.54</v>
      </c>
      <c r="AU17" s="2671">
        <f t="shared" si="5"/>
        <v>106</v>
      </c>
      <c r="AV17" s="2629">
        <v>61.4</v>
      </c>
      <c r="AW17" s="2629">
        <v>44.6</v>
      </c>
      <c r="AX17" s="2629">
        <f t="shared" si="6"/>
        <v>112.52</v>
      </c>
      <c r="AY17" s="2629">
        <v>65.38</v>
      </c>
      <c r="AZ17" s="2629">
        <v>47.14</v>
      </c>
      <c r="BA17" s="2629">
        <f>AU17*1.034*1.014</f>
        <v>111.13845600000001</v>
      </c>
      <c r="BB17" s="2629">
        <f t="shared" ref="BB17:BB49" si="29">BA17*$BB$51</f>
        <v>64.605365777667672</v>
      </c>
      <c r="BC17" s="2629">
        <f t="shared" ref="BC17:BC49" si="30">BA17*$BC$51</f>
        <v>41.832938738005119</v>
      </c>
      <c r="BD17" s="2629">
        <f t="shared" ref="BD17:BD49" si="31">BA17*$BD$51</f>
        <v>4.4344655951385796</v>
      </c>
      <c r="BE17" s="2629">
        <f t="shared" ref="BE17:BE49" si="32">BA17*$BE$51</f>
        <v>0.2656858891886304</v>
      </c>
      <c r="BF17" s="2638" t="s">
        <v>1949</v>
      </c>
    </row>
    <row r="18" spans="1:59" ht="15" x14ac:dyDescent="0.2">
      <c r="A18" s="2624" t="s">
        <v>33</v>
      </c>
      <c r="B18" s="2597">
        <v>190.4</v>
      </c>
      <c r="C18" s="2597">
        <v>231.2</v>
      </c>
      <c r="D18" s="2598">
        <f t="shared" si="20"/>
        <v>121.42857142857142</v>
      </c>
      <c r="E18" s="2597">
        <v>260.8</v>
      </c>
      <c r="F18" s="2598">
        <f>E18/C18*100</f>
        <v>112.80276816608999</v>
      </c>
      <c r="G18" s="2599">
        <v>260</v>
      </c>
      <c r="H18" s="2598">
        <f t="shared" si="21"/>
        <v>99.693251533742327</v>
      </c>
      <c r="I18" s="2600">
        <v>267.8</v>
      </c>
      <c r="J18" s="2600">
        <v>218.7</v>
      </c>
      <c r="K18" s="2600">
        <f>J18/9*12</f>
        <v>291.59999999999997</v>
      </c>
      <c r="L18" s="2600">
        <v>292.10000000000002</v>
      </c>
      <c r="M18" s="2605">
        <f t="shared" si="22"/>
        <v>112.15384615384613</v>
      </c>
      <c r="N18" s="2600">
        <v>293.7</v>
      </c>
      <c r="O18" s="2600">
        <v>149</v>
      </c>
      <c r="P18" s="2600">
        <v>215.84181000000001</v>
      </c>
      <c r="Q18" s="2600">
        <v>284.7</v>
      </c>
      <c r="R18" s="2600">
        <v>330.84</v>
      </c>
      <c r="S18" s="2599">
        <f>P18/9*12*1.048</f>
        <v>301.60295584000005</v>
      </c>
      <c r="T18" s="2602">
        <f>S18/N18</f>
        <v>1.0269082595846104</v>
      </c>
      <c r="U18" s="2603" t="e">
        <f>R18*#REF!</f>
        <v>#REF!</v>
      </c>
      <c r="V18" s="2603" t="e">
        <f>R18*#REF!</f>
        <v>#REF!</v>
      </c>
      <c r="W18" s="2603">
        <f t="shared" si="23"/>
        <v>172.20897442122947</v>
      </c>
      <c r="X18" s="2603">
        <f t="shared" si="24"/>
        <v>122.31642132958663</v>
      </c>
      <c r="Y18" s="2603">
        <v>125.67</v>
      </c>
      <c r="Z18" s="2603">
        <v>186.94</v>
      </c>
      <c r="AA18" s="2603">
        <v>248.97</v>
      </c>
      <c r="AB18" s="2600">
        <v>318.5</v>
      </c>
      <c r="AC18" s="2599">
        <f>AB18</f>
        <v>318.5</v>
      </c>
      <c r="AD18" s="2603">
        <f t="shared" si="25"/>
        <v>188.55173897717475</v>
      </c>
      <c r="AE18" s="2603">
        <f t="shared" si="26"/>
        <v>127.40020552978366</v>
      </c>
      <c r="AF18" s="2604">
        <f t="shared" si="0"/>
        <v>1.0949007716402182</v>
      </c>
      <c r="AG18" s="2604">
        <f t="shared" si="1"/>
        <v>1.0415625649028641</v>
      </c>
      <c r="AH18" s="2603">
        <v>117.99</v>
      </c>
      <c r="AI18" s="2603">
        <v>174.17</v>
      </c>
      <c r="AJ18" s="2599">
        <f t="shared" ref="AJ18:AJ23" si="33">SUM(AA18*1.1)</f>
        <v>273.86700000000002</v>
      </c>
      <c r="AK18" s="2603">
        <f>AJ18*AI57</f>
        <v>163.22473200000002</v>
      </c>
      <c r="AL18" s="2603">
        <f>AJ18*AI58</f>
        <v>110.64226800000002</v>
      </c>
      <c r="AM18" s="2604">
        <f t="shared" si="2"/>
        <v>0.86567608914898042</v>
      </c>
      <c r="AN18" s="2604">
        <f t="shared" si="3"/>
        <v>0.8684622410136853</v>
      </c>
      <c r="AO18" s="2676">
        <f>AH18*2*1.062</f>
        <v>250.61076</v>
      </c>
      <c r="AP18" s="2629">
        <f t="shared" si="27"/>
        <v>136.3710938255681</v>
      </c>
      <c r="AQ18" s="2629">
        <f t="shared" si="28"/>
        <v>112.8891504713755</v>
      </c>
      <c r="AR18" s="2671">
        <f t="shared" si="4"/>
        <v>240.87</v>
      </c>
      <c r="AS18" s="2629">
        <v>142.11000000000001</v>
      </c>
      <c r="AT18" s="2629">
        <v>98.76</v>
      </c>
      <c r="AU18" s="2671">
        <f t="shared" si="5"/>
        <v>246.98326</v>
      </c>
      <c r="AV18" s="2629">
        <v>143.25029000000001</v>
      </c>
      <c r="AW18" s="2629">
        <v>103.73296999999999</v>
      </c>
      <c r="AX18" s="2629">
        <f t="shared" si="6"/>
        <v>281.79000000000002</v>
      </c>
      <c r="AY18" s="2629">
        <v>163.74</v>
      </c>
      <c r="AZ18" s="2629">
        <v>118.05</v>
      </c>
      <c r="BA18" s="2629">
        <f>AU18*1.034*1.014</f>
        <v>258.95602051176002</v>
      </c>
      <c r="BB18" s="2629">
        <f t="shared" si="29"/>
        <v>150.53248918170561</v>
      </c>
      <c r="BC18" s="2629">
        <f t="shared" si="30"/>
        <v>97.472033819743302</v>
      </c>
      <c r="BD18" s="2629">
        <f t="shared" si="31"/>
        <v>10.332441217407233</v>
      </c>
      <c r="BE18" s="2629">
        <f t="shared" si="32"/>
        <v>0.61905629290383668</v>
      </c>
      <c r="BF18" s="2638"/>
      <c r="BG18" s="177">
        <f>AI18/3*4*1.062</f>
        <v>246.62472</v>
      </c>
    </row>
    <row r="19" spans="1:59" ht="15" x14ac:dyDescent="0.2">
      <c r="A19" s="2624" t="s">
        <v>34</v>
      </c>
      <c r="B19" s="2597">
        <v>36</v>
      </c>
      <c r="C19" s="2597">
        <v>59.4</v>
      </c>
      <c r="D19" s="2598">
        <f t="shared" si="20"/>
        <v>165</v>
      </c>
      <c r="E19" s="2597">
        <v>28.1</v>
      </c>
      <c r="F19" s="2598">
        <f>E19/C19*100</f>
        <v>47.306397306397308</v>
      </c>
      <c r="G19" s="2599">
        <v>89.5</v>
      </c>
      <c r="H19" s="2598">
        <f t="shared" si="21"/>
        <v>318.5053380782918</v>
      </c>
      <c r="I19" s="2600">
        <v>48.5</v>
      </c>
      <c r="J19" s="2600">
        <v>60.2</v>
      </c>
      <c r="K19" s="2600">
        <v>60.2</v>
      </c>
      <c r="L19" s="2600">
        <v>82.6</v>
      </c>
      <c r="M19" s="2605">
        <f t="shared" si="22"/>
        <v>67.262569832402235</v>
      </c>
      <c r="N19" s="2600">
        <v>53.4</v>
      </c>
      <c r="O19" s="2600">
        <v>57.2</v>
      </c>
      <c r="P19" s="2600">
        <v>72.839410000000001</v>
      </c>
      <c r="Q19" s="2600">
        <v>111.2</v>
      </c>
      <c r="R19" s="2600">
        <v>93.73</v>
      </c>
      <c r="S19" s="2599">
        <f>R19</f>
        <v>93.73</v>
      </c>
      <c r="T19" s="2602">
        <f>S19/N19</f>
        <v>1.755243445692884</v>
      </c>
      <c r="U19" s="2603" t="e">
        <f>R19*#REF!</f>
        <v>#REF!</v>
      </c>
      <c r="V19" s="2603" t="e">
        <f>R19*#REF!</f>
        <v>#REF!</v>
      </c>
      <c r="W19" s="2603">
        <f t="shared" si="23"/>
        <v>53.517867978272385</v>
      </c>
      <c r="X19" s="2603">
        <f t="shared" si="24"/>
        <v>38.012618740063587</v>
      </c>
      <c r="Y19" s="2603">
        <v>27.94</v>
      </c>
      <c r="Z19" s="2603">
        <v>42.12</v>
      </c>
      <c r="AA19" s="2603">
        <v>111.36</v>
      </c>
      <c r="AB19" s="2600">
        <v>97.9</v>
      </c>
      <c r="AC19" s="2599">
        <f>AB19</f>
        <v>97.9</v>
      </c>
      <c r="AD19" s="2603">
        <f t="shared" si="25"/>
        <v>57.956719767238333</v>
      </c>
      <c r="AE19" s="2603">
        <f t="shared" si="26"/>
        <v>39.16006317540289</v>
      </c>
      <c r="AF19" s="2604">
        <f t="shared" si="0"/>
        <v>1.0829414914429714</v>
      </c>
      <c r="AG19" s="2604">
        <f t="shared" si="1"/>
        <v>1.0301858823036032</v>
      </c>
      <c r="AH19" s="2603">
        <v>23.89</v>
      </c>
      <c r="AI19" s="2603">
        <v>48.14</v>
      </c>
      <c r="AJ19" s="2599">
        <f t="shared" si="33"/>
        <v>122.49600000000001</v>
      </c>
      <c r="AK19" s="2603">
        <f>AJ19*AI57</f>
        <v>73.007615999999999</v>
      </c>
      <c r="AL19" s="2603">
        <f>AJ19*AI58</f>
        <v>49.488384000000003</v>
      </c>
      <c r="AM19" s="2604">
        <f t="shared" si="2"/>
        <v>1.2596919959101898</v>
      </c>
      <c r="AN19" s="2604">
        <f t="shared" si="3"/>
        <v>1.2637462758508651</v>
      </c>
      <c r="AO19" s="2676">
        <f>AI19/3*4*1.062</f>
        <v>68.166240000000002</v>
      </c>
      <c r="AP19" s="2629">
        <f t="shared" si="27"/>
        <v>37.092999162430985</v>
      </c>
      <c r="AQ19" s="2629">
        <f t="shared" si="28"/>
        <v>30.705899955883361</v>
      </c>
      <c r="AR19" s="2671">
        <f t="shared" si="4"/>
        <v>225.19</v>
      </c>
      <c r="AS19" s="2629">
        <v>132.86000000000001</v>
      </c>
      <c r="AT19" s="2629">
        <v>92.33</v>
      </c>
      <c r="AU19" s="2671">
        <f t="shared" si="5"/>
        <v>449.15568999999994</v>
      </c>
      <c r="AV19" s="2629">
        <v>260.51029999999997</v>
      </c>
      <c r="AW19" s="2629">
        <v>188.64538999999999</v>
      </c>
      <c r="AX19" s="2629">
        <f t="shared" si="6"/>
        <v>476.51</v>
      </c>
      <c r="AY19" s="2629">
        <v>276.89</v>
      </c>
      <c r="AZ19" s="2629">
        <v>199.62</v>
      </c>
      <c r="BA19" s="2629">
        <f>(AR19+AU19)/2</f>
        <v>337.17284499999994</v>
      </c>
      <c r="BB19" s="2629">
        <f t="shared" si="29"/>
        <v>196.00033836642322</v>
      </c>
      <c r="BC19" s="2629">
        <f t="shared" si="30"/>
        <v>126.91314488842541</v>
      </c>
      <c r="BD19" s="2629">
        <f t="shared" si="31"/>
        <v>13.453321510670373</v>
      </c>
      <c r="BE19" s="2629">
        <f t="shared" si="32"/>
        <v>0.80604023448090034</v>
      </c>
      <c r="BF19" s="2638" t="s">
        <v>1954</v>
      </c>
    </row>
    <row r="20" spans="1:59" ht="15" x14ac:dyDescent="0.2">
      <c r="A20" s="2624" t="s">
        <v>9</v>
      </c>
      <c r="B20" s="2597">
        <v>154.6</v>
      </c>
      <c r="C20" s="2597"/>
      <c r="D20" s="2598">
        <f t="shared" si="20"/>
        <v>0</v>
      </c>
      <c r="E20" s="2597">
        <v>191.2</v>
      </c>
      <c r="F20" s="2598"/>
      <c r="G20" s="2599">
        <v>6.6</v>
      </c>
      <c r="H20" s="2598">
        <f t="shared" si="21"/>
        <v>3.4518828451882846</v>
      </c>
      <c r="I20" s="2600">
        <f>C20*1.03</f>
        <v>0</v>
      </c>
      <c r="J20" s="2600">
        <v>2</v>
      </c>
      <c r="K20" s="2600">
        <v>30</v>
      </c>
      <c r="L20" s="2600">
        <v>29.2</v>
      </c>
      <c r="M20" s="2605">
        <f t="shared" si="22"/>
        <v>454.54545454545456</v>
      </c>
      <c r="N20" s="2600">
        <v>0</v>
      </c>
      <c r="O20" s="2600">
        <v>0.3</v>
      </c>
      <c r="P20" s="2600">
        <v>0.57765</v>
      </c>
      <c r="Q20" s="2600">
        <v>0.6</v>
      </c>
      <c r="R20" s="2600">
        <v>30.08</v>
      </c>
      <c r="S20" s="2599">
        <f>P20/9*12*1.048</f>
        <v>0.80716960000000004</v>
      </c>
      <c r="T20" s="2602"/>
      <c r="U20" s="2603" t="e">
        <f>R20*#REF!</f>
        <v>#REF!</v>
      </c>
      <c r="V20" s="2603" t="e">
        <f>R20*#REF!</f>
        <v>#REF!</v>
      </c>
      <c r="W20" s="2603">
        <f t="shared" si="23"/>
        <v>0.46087694536300999</v>
      </c>
      <c r="X20" s="2603">
        <f t="shared" si="24"/>
        <v>0.32735122440381553</v>
      </c>
      <c r="Y20" s="2603"/>
      <c r="Z20" s="2603"/>
      <c r="AA20" s="2603">
        <v>19.600000000000001</v>
      </c>
      <c r="AB20" s="2600">
        <v>1</v>
      </c>
      <c r="AC20" s="2599">
        <v>0</v>
      </c>
      <c r="AD20" s="2603">
        <f t="shared" si="25"/>
        <v>0</v>
      </c>
      <c r="AE20" s="2603">
        <f t="shared" si="26"/>
        <v>0</v>
      </c>
      <c r="AF20" s="2604">
        <f t="shared" si="0"/>
        <v>0</v>
      </c>
      <c r="AG20" s="2604">
        <f t="shared" si="1"/>
        <v>0</v>
      </c>
      <c r="AH20" s="2603">
        <v>0</v>
      </c>
      <c r="AI20" s="2603">
        <v>0</v>
      </c>
      <c r="AJ20" s="2599">
        <f t="shared" si="33"/>
        <v>21.560000000000002</v>
      </c>
      <c r="AK20" s="2603">
        <f>AJ20*AI57</f>
        <v>12.849760000000002</v>
      </c>
      <c r="AL20" s="2603">
        <f>AJ20*AI58</f>
        <v>8.7102400000000006</v>
      </c>
      <c r="AM20" s="2604"/>
      <c r="AN20" s="2604"/>
      <c r="AO20" s="2676">
        <f>AH20*2*1.071</f>
        <v>0</v>
      </c>
      <c r="AP20" s="2629">
        <f t="shared" si="27"/>
        <v>0</v>
      </c>
      <c r="AQ20" s="2629">
        <f t="shared" si="28"/>
        <v>0</v>
      </c>
      <c r="AR20" s="2671">
        <f t="shared" si="4"/>
        <v>2.2200000000000002</v>
      </c>
      <c r="AS20" s="2629">
        <v>1.31</v>
      </c>
      <c r="AT20" s="2629">
        <v>0.91</v>
      </c>
      <c r="AU20" s="2671">
        <f t="shared" si="5"/>
        <v>52.954920000000001</v>
      </c>
      <c r="AV20" s="2629">
        <f>0.56083+30.15303</f>
        <v>30.71386</v>
      </c>
      <c r="AW20" s="2629">
        <f>21.83495+0.40611</f>
        <v>22.241060000000001</v>
      </c>
      <c r="AX20" s="2629">
        <f t="shared" si="6"/>
        <v>56.17</v>
      </c>
      <c r="AY20" s="2629">
        <v>32.64</v>
      </c>
      <c r="AZ20" s="2629">
        <v>23.53</v>
      </c>
      <c r="BA20" s="2629">
        <v>0</v>
      </c>
      <c r="BB20" s="2629">
        <f t="shared" si="29"/>
        <v>0</v>
      </c>
      <c r="BC20" s="2629">
        <f t="shared" si="30"/>
        <v>0</v>
      </c>
      <c r="BD20" s="2629">
        <f t="shared" si="31"/>
        <v>0</v>
      </c>
      <c r="BE20" s="2629">
        <f t="shared" si="32"/>
        <v>0</v>
      </c>
      <c r="BF20" s="2630" t="s">
        <v>1953</v>
      </c>
    </row>
    <row r="21" spans="1:59" ht="51" x14ac:dyDescent="0.2">
      <c r="A21" s="2624" t="s">
        <v>1</v>
      </c>
      <c r="B21" s="2597">
        <v>121.5</v>
      </c>
      <c r="C21" s="2597">
        <v>143.30000000000001</v>
      </c>
      <c r="D21" s="2598">
        <f t="shared" si="20"/>
        <v>117.94238683127574</v>
      </c>
      <c r="E21" s="2597">
        <v>133</v>
      </c>
      <c r="F21" s="2598">
        <f>E21/C21*100</f>
        <v>92.8122819260293</v>
      </c>
      <c r="G21" s="2599">
        <v>159.6</v>
      </c>
      <c r="H21" s="2598">
        <f t="shared" si="21"/>
        <v>120</v>
      </c>
      <c r="I21" s="2600">
        <v>164.8</v>
      </c>
      <c r="J21" s="2600">
        <v>96</v>
      </c>
      <c r="K21" s="2600">
        <f>J21/9*12</f>
        <v>128</v>
      </c>
      <c r="L21" s="2600">
        <v>138.1</v>
      </c>
      <c r="M21" s="2605">
        <f t="shared" si="22"/>
        <v>80.200501253132842</v>
      </c>
      <c r="N21" s="2600">
        <v>135.68</v>
      </c>
      <c r="O21" s="2600">
        <v>67</v>
      </c>
      <c r="P21" s="2600">
        <v>102.06036</v>
      </c>
      <c r="Q21" s="2600">
        <v>114.5</v>
      </c>
      <c r="R21" s="2600">
        <v>164.3</v>
      </c>
      <c r="S21" s="2599">
        <f>P21/9*12*1.073</f>
        <v>146.01435504</v>
      </c>
      <c r="T21" s="2602">
        <f>S21/N21</f>
        <v>1.0761671214622641</v>
      </c>
      <c r="U21" s="2603" t="e">
        <f>R21*#REF!</f>
        <v>#REF!</v>
      </c>
      <c r="V21" s="2603" t="e">
        <f>R21*#REF!</f>
        <v>#REF!</v>
      </c>
      <c r="W21" s="2603">
        <f t="shared" si="23"/>
        <v>83.371140253529404</v>
      </c>
      <c r="X21" s="2603">
        <f t="shared" si="24"/>
        <v>59.216771670882338</v>
      </c>
      <c r="Y21" s="2603"/>
      <c r="Z21" s="2603"/>
      <c r="AA21" s="2603">
        <v>6.61</v>
      </c>
      <c r="AB21" s="2600">
        <v>156.9</v>
      </c>
      <c r="AC21" s="2599">
        <v>0</v>
      </c>
      <c r="AD21" s="2603">
        <f t="shared" si="25"/>
        <v>0</v>
      </c>
      <c r="AE21" s="2603">
        <f t="shared" si="26"/>
        <v>0</v>
      </c>
      <c r="AF21" s="2604">
        <f t="shared" si="0"/>
        <v>0</v>
      </c>
      <c r="AG21" s="2604">
        <f t="shared" si="1"/>
        <v>0</v>
      </c>
      <c r="AH21" s="2603">
        <v>66.040000000000006</v>
      </c>
      <c r="AI21" s="2603">
        <v>99.61</v>
      </c>
      <c r="AJ21" s="2599">
        <f t="shared" si="33"/>
        <v>7.2710000000000008</v>
      </c>
      <c r="AK21" s="2603">
        <f>AJ21*AI57</f>
        <v>4.3335160000000004</v>
      </c>
      <c r="AL21" s="2603">
        <f>AJ21*AI58</f>
        <v>2.9374840000000004</v>
      </c>
      <c r="AM21" s="2604"/>
      <c r="AN21" s="2604"/>
      <c r="AO21" s="2676">
        <f>AJ21</f>
        <v>7.2710000000000008</v>
      </c>
      <c r="AP21" s="2629">
        <f t="shared" si="27"/>
        <v>3.9565508807590932</v>
      </c>
      <c r="AQ21" s="2629">
        <f t="shared" si="28"/>
        <v>3.275266445372782</v>
      </c>
      <c r="AR21" s="2671">
        <f t="shared" si="4"/>
        <v>39.950000000000003</v>
      </c>
      <c r="AS21" s="2629">
        <v>23.57</v>
      </c>
      <c r="AT21" s="2629">
        <v>16.38</v>
      </c>
      <c r="AU21" s="2671">
        <f t="shared" si="5"/>
        <v>1.7742599999999999</v>
      </c>
      <c r="AV21" s="2629">
        <v>1.0290699999999999</v>
      </c>
      <c r="AW21" s="2629">
        <v>0.74519000000000002</v>
      </c>
      <c r="AX21" s="2629">
        <f t="shared" si="6"/>
        <v>27.05</v>
      </c>
      <c r="AY21" s="2629">
        <v>15.72</v>
      </c>
      <c r="AZ21" s="2629">
        <v>11.33</v>
      </c>
      <c r="BA21" s="2674">
        <f>(5000*4.865866*1.039*1.059)/1000</f>
        <v>26.769586128329994</v>
      </c>
      <c r="BB21" s="2629">
        <f t="shared" si="29"/>
        <v>15.561300433555939</v>
      </c>
      <c r="BC21" s="2629">
        <f t="shared" si="30"/>
        <v>10.076174322128249</v>
      </c>
      <c r="BD21" s="2629">
        <f t="shared" si="31"/>
        <v>1.0681164104185354</v>
      </c>
      <c r="BE21" s="2629">
        <f t="shared" si="32"/>
        <v>6.3994962227268845E-2</v>
      </c>
      <c r="BF21" s="2638" t="s">
        <v>1948</v>
      </c>
    </row>
    <row r="22" spans="1:59" ht="15" x14ac:dyDescent="0.2">
      <c r="A22" s="2624" t="s">
        <v>35</v>
      </c>
      <c r="B22" s="2597">
        <v>52.8</v>
      </c>
      <c r="C22" s="2597">
        <v>88.4</v>
      </c>
      <c r="D22" s="2598">
        <f t="shared" si="20"/>
        <v>167.42424242424246</v>
      </c>
      <c r="E22" s="2597">
        <v>34.1</v>
      </c>
      <c r="F22" s="2598">
        <f>E22/C22*100</f>
        <v>38.574660633484164</v>
      </c>
      <c r="G22" s="2599">
        <v>140.9</v>
      </c>
      <c r="H22" s="2598">
        <f t="shared" si="21"/>
        <v>413.19648093841641</v>
      </c>
      <c r="I22" s="2600">
        <v>33.1</v>
      </c>
      <c r="J22" s="2600">
        <v>12.2</v>
      </c>
      <c r="K22" s="2600">
        <v>33.1</v>
      </c>
      <c r="L22" s="2600">
        <v>12.1</v>
      </c>
      <c r="M22" s="2605">
        <f t="shared" si="22"/>
        <v>23.491838183108587</v>
      </c>
      <c r="N22" s="2600">
        <v>34.721899999999998</v>
      </c>
      <c r="O22" s="2600">
        <v>5.3</v>
      </c>
      <c r="P22" s="2600">
        <v>7.43</v>
      </c>
      <c r="Q22" s="2600">
        <v>7.4</v>
      </c>
      <c r="R22" s="2600">
        <v>36.049999999999997</v>
      </c>
      <c r="S22" s="2599">
        <f>P22/9*12*1.073</f>
        <v>10.629853333333333</v>
      </c>
      <c r="T22" s="2602">
        <f>S22/N22</f>
        <v>0.30614261700348583</v>
      </c>
      <c r="U22" s="2603" t="e">
        <f>R22*#REF!</f>
        <v>#REF!</v>
      </c>
      <c r="V22" s="2603" t="e">
        <f>R22*#REF!</f>
        <v>#REF!</v>
      </c>
      <c r="W22" s="2603">
        <f t="shared" si="23"/>
        <v>6.0694237418300645</v>
      </c>
      <c r="X22" s="2603">
        <f t="shared" si="24"/>
        <v>4.3109843382352926</v>
      </c>
      <c r="Y22" s="2603"/>
      <c r="Z22" s="2603"/>
      <c r="AA22" s="2603">
        <v>0.34</v>
      </c>
      <c r="AB22" s="2600">
        <v>21.8</v>
      </c>
      <c r="AC22" s="2599">
        <v>0</v>
      </c>
      <c r="AD22" s="2603">
        <f t="shared" si="25"/>
        <v>0</v>
      </c>
      <c r="AE22" s="2603">
        <f t="shared" si="26"/>
        <v>0</v>
      </c>
      <c r="AF22" s="2604">
        <f t="shared" si="0"/>
        <v>0</v>
      </c>
      <c r="AG22" s="2604">
        <f t="shared" si="1"/>
        <v>0</v>
      </c>
      <c r="AH22" s="2603">
        <v>0</v>
      </c>
      <c r="AI22" s="2603">
        <v>0</v>
      </c>
      <c r="AJ22" s="2599">
        <f t="shared" si="33"/>
        <v>0.37400000000000005</v>
      </c>
      <c r="AK22" s="2603">
        <f>AJ22*AI57</f>
        <v>0.22290400000000002</v>
      </c>
      <c r="AL22" s="2603">
        <f>AJ22*AI58</f>
        <v>0.15109600000000004</v>
      </c>
      <c r="AM22" s="2604"/>
      <c r="AN22" s="2604"/>
      <c r="AO22" s="2676">
        <v>0</v>
      </c>
      <c r="AP22" s="2629">
        <f t="shared" si="27"/>
        <v>0</v>
      </c>
      <c r="AQ22" s="2629">
        <f t="shared" si="28"/>
        <v>0</v>
      </c>
      <c r="AR22" s="2629">
        <f t="shared" si="4"/>
        <v>0</v>
      </c>
      <c r="AS22" s="2629">
        <v>0</v>
      </c>
      <c r="AT22" s="2629">
        <v>0</v>
      </c>
      <c r="AU22" s="2629">
        <f t="shared" si="5"/>
        <v>0</v>
      </c>
      <c r="AV22" s="2629">
        <v>0</v>
      </c>
      <c r="AW22" s="2629">
        <v>0</v>
      </c>
      <c r="AX22" s="2629">
        <f t="shared" si="6"/>
        <v>0</v>
      </c>
      <c r="AY22" s="2629">
        <v>0</v>
      </c>
      <c r="AZ22" s="2629">
        <v>0</v>
      </c>
      <c r="BA22" s="2629">
        <v>0</v>
      </c>
      <c r="BB22" s="2629">
        <f t="shared" si="29"/>
        <v>0</v>
      </c>
      <c r="BC22" s="2629">
        <f t="shared" si="30"/>
        <v>0</v>
      </c>
      <c r="BD22" s="2629">
        <f t="shared" si="31"/>
        <v>0</v>
      </c>
      <c r="BE22" s="2629">
        <f t="shared" si="32"/>
        <v>0</v>
      </c>
      <c r="BF22" s="2630"/>
    </row>
    <row r="23" spans="1:59" ht="15" x14ac:dyDescent="0.2">
      <c r="A23" s="2624" t="s">
        <v>76</v>
      </c>
      <c r="B23" s="2597">
        <v>162.5</v>
      </c>
      <c r="C23" s="2597">
        <v>130</v>
      </c>
      <c r="D23" s="2598">
        <f t="shared" si="20"/>
        <v>80</v>
      </c>
      <c r="E23" s="2597">
        <v>161</v>
      </c>
      <c r="F23" s="2598">
        <f>E23/C23*100</f>
        <v>123.84615384615385</v>
      </c>
      <c r="G23" s="2599">
        <v>121</v>
      </c>
      <c r="H23" s="2598">
        <f t="shared" si="21"/>
        <v>75.155279503105589</v>
      </c>
      <c r="I23" s="2600">
        <v>165.3</v>
      </c>
      <c r="J23" s="2600">
        <v>109.1</v>
      </c>
      <c r="K23" s="2600">
        <f>J23/9*12</f>
        <v>145.46666666666667</v>
      </c>
      <c r="L23" s="2600">
        <v>189.7</v>
      </c>
      <c r="M23" s="2605">
        <f t="shared" si="22"/>
        <v>120.22038567493114</v>
      </c>
      <c r="N23" s="2600">
        <v>152.59453333333332</v>
      </c>
      <c r="O23" s="2600">
        <v>109.3</v>
      </c>
      <c r="P23" s="2600">
        <v>155.21807999999999</v>
      </c>
      <c r="Q23" s="2600">
        <v>205.2</v>
      </c>
      <c r="R23" s="2600">
        <v>195.7</v>
      </c>
      <c r="S23" s="2599">
        <f>R23</f>
        <v>195.7</v>
      </c>
      <c r="T23" s="2602">
        <f>S23/N23</f>
        <v>1.2824836887996862</v>
      </c>
      <c r="U23" s="2603" t="e">
        <f>R23*#REF!</f>
        <v>#REF!</v>
      </c>
      <c r="V23" s="2603" t="e">
        <f>R23*#REF!</f>
        <v>#REF!</v>
      </c>
      <c r="W23" s="2603">
        <f t="shared" si="23"/>
        <v>111.74060347111815</v>
      </c>
      <c r="X23" s="2603">
        <f t="shared" si="24"/>
        <v>79.367006160572316</v>
      </c>
      <c r="Y23" s="2603">
        <v>130.79</v>
      </c>
      <c r="Z23" s="2603">
        <v>191.71</v>
      </c>
      <c r="AA23" s="2603">
        <v>266.32</v>
      </c>
      <c r="AB23" s="2600">
        <v>206</v>
      </c>
      <c r="AC23" s="2599">
        <f>AB23</f>
        <v>206</v>
      </c>
      <c r="AD23" s="2603">
        <f t="shared" si="25"/>
        <v>121.95183117518994</v>
      </c>
      <c r="AE23" s="2603">
        <f t="shared" si="26"/>
        <v>82.400132932921309</v>
      </c>
      <c r="AF23" s="2604">
        <f t="shared" si="0"/>
        <v>1.0913833234014267</v>
      </c>
      <c r="AG23" s="2604">
        <f t="shared" si="1"/>
        <v>1.0382164695265497</v>
      </c>
      <c r="AH23" s="2603">
        <v>151.34</v>
      </c>
      <c r="AI23" s="2603">
        <v>182.55</v>
      </c>
      <c r="AJ23" s="2599">
        <f t="shared" si="33"/>
        <v>292.952</v>
      </c>
      <c r="AK23" s="2603">
        <f>AJ23*AI57</f>
        <v>174.59939199999999</v>
      </c>
      <c r="AL23" s="2603">
        <f>AJ23*AI58</f>
        <v>118.352608</v>
      </c>
      <c r="AM23" s="2604">
        <f>AK23/AD23</f>
        <v>1.4317078334738507</v>
      </c>
      <c r="AN23" s="2604">
        <f>AL23/AE23</f>
        <v>1.4363157410965124</v>
      </c>
      <c r="AO23" s="2676">
        <f>AI23/3*4*1.062</f>
        <v>258.49080000000004</v>
      </c>
      <c r="AP23" s="2629">
        <f t="shared" si="27"/>
        <v>140.65905685712042</v>
      </c>
      <c r="AQ23" s="2629">
        <f t="shared" si="28"/>
        <v>116.43876271180947</v>
      </c>
      <c r="AR23" s="2671">
        <f t="shared" si="4"/>
        <v>175.97</v>
      </c>
      <c r="AS23" s="2629">
        <v>103.82</v>
      </c>
      <c r="AT23" s="2629">
        <v>72.150000000000006</v>
      </c>
      <c r="AU23" s="2671">
        <f t="shared" si="5"/>
        <v>8.8337699999999995</v>
      </c>
      <c r="AV23" s="2629">
        <v>5.1235900000000001</v>
      </c>
      <c r="AW23" s="2629">
        <v>3.7101799999999998</v>
      </c>
      <c r="AX23" s="2629">
        <f t="shared" si="6"/>
        <v>290.64999999999998</v>
      </c>
      <c r="AY23" s="2629">
        <v>168.89</v>
      </c>
      <c r="AZ23" s="2629">
        <v>121.76</v>
      </c>
      <c r="BA23" s="2629">
        <f>AR23</f>
        <v>175.97</v>
      </c>
      <c r="BB23" s="2629">
        <f t="shared" si="29"/>
        <v>102.2922814034431</v>
      </c>
      <c r="BC23" s="2629">
        <f t="shared" si="30"/>
        <v>66.235779177342181</v>
      </c>
      <c r="BD23" s="2629">
        <f t="shared" si="31"/>
        <v>7.0212682347911679</v>
      </c>
      <c r="BE23" s="2629">
        <f t="shared" si="32"/>
        <v>0.42067118442353824</v>
      </c>
      <c r="BF23" s="2638" t="s">
        <v>1950</v>
      </c>
    </row>
    <row r="24" spans="1:59" ht="15" x14ac:dyDescent="0.2">
      <c r="A24" s="2624" t="s">
        <v>2</v>
      </c>
      <c r="B24" s="2597">
        <v>273.60000000000002</v>
      </c>
      <c r="C24" s="2597">
        <v>282.3</v>
      </c>
      <c r="D24" s="2598">
        <f t="shared" si="20"/>
        <v>103.17982456140351</v>
      </c>
      <c r="E24" s="2597">
        <v>261.5</v>
      </c>
      <c r="F24" s="2598">
        <f>E24/C24*100</f>
        <v>92.631951824300387</v>
      </c>
      <c r="G24" s="2599">
        <v>230.4</v>
      </c>
      <c r="H24" s="2598">
        <f t="shared" si="21"/>
        <v>88.107074569789674</v>
      </c>
      <c r="I24" s="2600">
        <v>299.7</v>
      </c>
      <c r="J24" s="2600">
        <v>155.1</v>
      </c>
      <c r="K24" s="2600">
        <f>J24/9*12</f>
        <v>206.8</v>
      </c>
      <c r="L24" s="2600">
        <v>206.6</v>
      </c>
      <c r="M24" s="2605">
        <f t="shared" si="22"/>
        <v>89.756944444444443</v>
      </c>
      <c r="N24" s="2600">
        <v>216.9332</v>
      </c>
      <c r="O24" s="2600">
        <v>98.2</v>
      </c>
      <c r="P24" s="2600">
        <v>145.27706000000001</v>
      </c>
      <c r="Q24" s="2600">
        <v>192.4</v>
      </c>
      <c r="R24" s="2600">
        <v>216.9</v>
      </c>
      <c r="S24" s="2599">
        <f>P24/9*12</f>
        <v>193.70274666666668</v>
      </c>
      <c r="T24" s="2602">
        <f>S24/N24</f>
        <v>0.89291425501798105</v>
      </c>
      <c r="U24" s="2603" t="e">
        <f>R24*#REF!</f>
        <v>#REF!</v>
      </c>
      <c r="V24" s="2603" t="e">
        <f>R24*#REF!</f>
        <v>#REF!</v>
      </c>
      <c r="W24" s="2603">
        <f t="shared" si="23"/>
        <v>110.6002136256845</v>
      </c>
      <c r="X24" s="2603">
        <f t="shared" si="24"/>
        <v>78.557011180445144</v>
      </c>
      <c r="Y24" s="2603">
        <v>93.6</v>
      </c>
      <c r="Z24" s="2603">
        <v>137.56</v>
      </c>
      <c r="AA24" s="2603">
        <v>182.16</v>
      </c>
      <c r="AB24" s="2600">
        <v>193.7</v>
      </c>
      <c r="AC24" s="2599">
        <f>AB24</f>
        <v>193.7</v>
      </c>
      <c r="AD24" s="2603">
        <f t="shared" si="25"/>
        <v>114.67024125550627</v>
      </c>
      <c r="AE24" s="2603">
        <f t="shared" si="26"/>
        <v>77.48012499566434</v>
      </c>
      <c r="AF24" s="2604">
        <f t="shared" si="0"/>
        <v>1.0367994554115092</v>
      </c>
      <c r="AG24" s="2604">
        <f t="shared" si="1"/>
        <v>0.9862916604310823</v>
      </c>
      <c r="AH24" s="2603">
        <v>79.34</v>
      </c>
      <c r="AI24" s="2603">
        <v>112.52</v>
      </c>
      <c r="AJ24" s="2599">
        <v>193.7</v>
      </c>
      <c r="AK24" s="2603">
        <f>AJ24*AI57</f>
        <v>115.44519999999999</v>
      </c>
      <c r="AL24" s="2603">
        <f>AJ24*AI58</f>
        <v>78.254800000000003</v>
      </c>
      <c r="AM24" s="2604">
        <f>AK24/AD24</f>
        <v>1.0067581504670158</v>
      </c>
      <c r="AN24" s="2604">
        <f>AL24/AE24</f>
        <v>1.0099983706063846</v>
      </c>
      <c r="AO24" s="2676">
        <f>AJ24</f>
        <v>193.7</v>
      </c>
      <c r="AP24" s="2629">
        <f t="shared" si="27"/>
        <v>105.40282019021265</v>
      </c>
      <c r="AQ24" s="2629">
        <f t="shared" si="28"/>
        <v>87.253350360157853</v>
      </c>
      <c r="AR24" s="2629">
        <f t="shared" si="4"/>
        <v>111.28</v>
      </c>
      <c r="AS24" s="2629">
        <v>77.459999999999994</v>
      </c>
      <c r="AT24" s="2629">
        <v>33.82</v>
      </c>
      <c r="AU24" s="2671">
        <f t="shared" si="5"/>
        <v>131.28384</v>
      </c>
      <c r="AV24" s="2629">
        <v>76.144630000000006</v>
      </c>
      <c r="AW24" s="2629">
        <v>55.139209999999999</v>
      </c>
      <c r="AX24" s="2629">
        <f t="shared" si="6"/>
        <v>585.04999999999995</v>
      </c>
      <c r="AY24" s="2629">
        <v>339.96</v>
      </c>
      <c r="AZ24" s="2629">
        <v>245.09</v>
      </c>
      <c r="BA24" s="2629">
        <f>AU24</f>
        <v>131.28384</v>
      </c>
      <c r="BB24" s="2629">
        <f t="shared" si="29"/>
        <v>76.315982866423809</v>
      </c>
      <c r="BC24" s="2629">
        <f t="shared" si="30"/>
        <v>49.415738113277961</v>
      </c>
      <c r="BD24" s="2629">
        <f t="shared" si="31"/>
        <v>5.2382738849429229</v>
      </c>
      <c r="BE24" s="2629">
        <f t="shared" si="32"/>
        <v>0.31384513535528946</v>
      </c>
      <c r="BF24" s="2630" t="s">
        <v>1955</v>
      </c>
    </row>
    <row r="25" spans="1:59" ht="15" x14ac:dyDescent="0.2">
      <c r="A25" s="2624" t="s">
        <v>36</v>
      </c>
      <c r="B25" s="2597">
        <v>355.7</v>
      </c>
      <c r="C25" s="2597">
        <v>201.4</v>
      </c>
      <c r="D25" s="2598">
        <f t="shared" si="20"/>
        <v>56.620747821197639</v>
      </c>
      <c r="E25" s="2597">
        <v>15.5</v>
      </c>
      <c r="F25" s="2598">
        <f>E25/C25*100</f>
        <v>7.6961271102284012</v>
      </c>
      <c r="G25" s="2599">
        <v>0</v>
      </c>
      <c r="H25" s="2598">
        <f t="shared" si="21"/>
        <v>0</v>
      </c>
      <c r="I25" s="2600">
        <v>0</v>
      </c>
      <c r="J25" s="2600">
        <v>0</v>
      </c>
      <c r="K25" s="2600">
        <v>0</v>
      </c>
      <c r="L25" s="2600"/>
      <c r="M25" s="2605"/>
      <c r="N25" s="2600">
        <v>0</v>
      </c>
      <c r="O25" s="2600"/>
      <c r="P25" s="2600"/>
      <c r="Q25" s="2600"/>
      <c r="R25" s="2600"/>
      <c r="S25" s="2599">
        <f>K25*1.049</f>
        <v>0</v>
      </c>
      <c r="T25" s="2602"/>
      <c r="U25" s="2603" t="e">
        <f>R25*#REF!</f>
        <v>#REF!</v>
      </c>
      <c r="V25" s="2603" t="e">
        <f>R25*#REF!</f>
        <v>#REF!</v>
      </c>
      <c r="W25" s="2603">
        <f t="shared" si="23"/>
        <v>0</v>
      </c>
      <c r="X25" s="2603">
        <f t="shared" si="24"/>
        <v>0</v>
      </c>
      <c r="Y25" s="2603"/>
      <c r="Z25" s="2603"/>
      <c r="AA25" s="2603"/>
      <c r="AB25" s="2600">
        <v>0</v>
      </c>
      <c r="AC25" s="2599">
        <f>R25*1.049</f>
        <v>0</v>
      </c>
      <c r="AD25" s="2603">
        <f t="shared" si="25"/>
        <v>0</v>
      </c>
      <c r="AE25" s="2603">
        <f t="shared" si="26"/>
        <v>0</v>
      </c>
      <c r="AF25" s="2604"/>
      <c r="AG25" s="2604"/>
      <c r="AH25" s="2603">
        <v>0</v>
      </c>
      <c r="AI25" s="2603">
        <v>0</v>
      </c>
      <c r="AJ25" s="2599">
        <f t="shared" ref="AJ25:AJ37" si="34">SUM(AA25*1.1)</f>
        <v>0</v>
      </c>
      <c r="AK25" s="2603">
        <f>AJ25*AI57</f>
        <v>0</v>
      </c>
      <c r="AL25" s="2603">
        <f>AJ25*AI58</f>
        <v>0</v>
      </c>
      <c r="AM25" s="2604"/>
      <c r="AN25" s="2604"/>
      <c r="AO25" s="2676">
        <v>0</v>
      </c>
      <c r="AP25" s="2629">
        <f t="shared" si="27"/>
        <v>0</v>
      </c>
      <c r="AQ25" s="2629">
        <f t="shared" si="28"/>
        <v>0</v>
      </c>
      <c r="AR25" s="2629">
        <f t="shared" si="4"/>
        <v>0</v>
      </c>
      <c r="AS25" s="2629">
        <v>0</v>
      </c>
      <c r="AT25" s="2629">
        <v>0</v>
      </c>
      <c r="AU25" s="2629">
        <f t="shared" si="5"/>
        <v>0</v>
      </c>
      <c r="AV25" s="2629">
        <v>0</v>
      </c>
      <c r="AW25" s="2629">
        <v>0</v>
      </c>
      <c r="AX25" s="2629">
        <f t="shared" si="6"/>
        <v>0</v>
      </c>
      <c r="AY25" s="2629">
        <v>0</v>
      </c>
      <c r="AZ25" s="2629">
        <v>0</v>
      </c>
      <c r="BA25" s="2629">
        <f>'цех вода'!AK37+'цех стоки'!AL36</f>
        <v>1291.1299999999999</v>
      </c>
      <c r="BB25" s="2629">
        <f t="shared" si="29"/>
        <v>750.54062219939465</v>
      </c>
      <c r="BC25" s="2629">
        <f t="shared" si="30"/>
        <v>485.9862565735171</v>
      </c>
      <c r="BD25" s="2629">
        <f t="shared" si="31"/>
        <v>51.516565641790756</v>
      </c>
      <c r="BE25" s="2629">
        <f t="shared" si="32"/>
        <v>3.0865555852972828</v>
      </c>
      <c r="BF25" s="2630" t="s">
        <v>2111</v>
      </c>
    </row>
    <row r="26" spans="1:59" ht="38.25" x14ac:dyDescent="0.2">
      <c r="A26" s="2624" t="s">
        <v>171</v>
      </c>
      <c r="B26" s="2597"/>
      <c r="C26" s="2597"/>
      <c r="D26" s="2598"/>
      <c r="E26" s="2597"/>
      <c r="F26" s="2598"/>
      <c r="G26" s="2599">
        <v>6</v>
      </c>
      <c r="H26" s="2598"/>
      <c r="I26" s="2600"/>
      <c r="J26" s="2600">
        <v>10.5</v>
      </c>
      <c r="K26" s="2600">
        <v>10.5</v>
      </c>
      <c r="L26" s="2600">
        <v>10.5</v>
      </c>
      <c r="M26" s="2605">
        <f>K26/G26*100</f>
        <v>175</v>
      </c>
      <c r="N26" s="2600">
        <v>0</v>
      </c>
      <c r="O26" s="2600"/>
      <c r="P26" s="2600">
        <v>12.746</v>
      </c>
      <c r="Q26" s="2600">
        <v>12.7</v>
      </c>
      <c r="R26" s="2600">
        <v>12.36</v>
      </c>
      <c r="S26" s="2599">
        <f>R26</f>
        <v>12.36</v>
      </c>
      <c r="T26" s="2602"/>
      <c r="U26" s="2603" t="e">
        <f>R26*#REF!</f>
        <v>#REF!</v>
      </c>
      <c r="V26" s="2603" t="e">
        <f>R26*#REF!</f>
        <v>#REF!</v>
      </c>
      <c r="W26" s="2603">
        <f t="shared" si="23"/>
        <v>7.0573012718600943</v>
      </c>
      <c r="X26" s="2603">
        <f t="shared" si="24"/>
        <v>5.0126530206677247</v>
      </c>
      <c r="Y26" s="2603"/>
      <c r="Z26" s="2603">
        <v>11.9</v>
      </c>
      <c r="AA26" s="2603">
        <v>11.9</v>
      </c>
      <c r="AB26" s="2600">
        <v>13.2</v>
      </c>
      <c r="AC26" s="2599">
        <f>AB26</f>
        <v>13.2</v>
      </c>
      <c r="AD26" s="2603">
        <f t="shared" si="25"/>
        <v>7.814389182099549</v>
      </c>
      <c r="AE26" s="2603">
        <f t="shared" si="26"/>
        <v>5.2800085180318499</v>
      </c>
      <c r="AF26" s="2604">
        <f t="shared" ref="AF26:AF39" si="35">AD26/W26</f>
        <v>1.1072772552956223</v>
      </c>
      <c r="AG26" s="2604">
        <f t="shared" ref="AG26:AG39" si="36">AE26/X26</f>
        <v>1.0533361268497519</v>
      </c>
      <c r="AH26" s="2603">
        <v>5.82</v>
      </c>
      <c r="AI26" s="2603">
        <v>6.39</v>
      </c>
      <c r="AJ26" s="2599">
        <f t="shared" si="34"/>
        <v>13.090000000000002</v>
      </c>
      <c r="AK26" s="2603">
        <f>AJ26*AI57</f>
        <v>7.8016400000000008</v>
      </c>
      <c r="AL26" s="2603">
        <f>AJ26*AI58</f>
        <v>5.2883600000000008</v>
      </c>
      <c r="AM26" s="2604">
        <f t="shared" ref="AM26:AN31" si="37">AK26/AD26</f>
        <v>0.99836849921312432</v>
      </c>
      <c r="AN26" s="2604">
        <f t="shared" si="37"/>
        <v>1.0015817175179982</v>
      </c>
      <c r="AO26" s="2676">
        <f>AJ26</f>
        <v>13.090000000000002</v>
      </c>
      <c r="AP26" s="2629">
        <f t="shared" si="27"/>
        <v>7.1229887263287761</v>
      </c>
      <c r="AQ26" s="2629">
        <f t="shared" si="28"/>
        <v>5.8964706051340547</v>
      </c>
      <c r="AR26" s="2671">
        <f t="shared" si="4"/>
        <v>4.5600000000000005</v>
      </c>
      <c r="AS26" s="2629">
        <v>2.69</v>
      </c>
      <c r="AT26" s="2629">
        <v>1.87</v>
      </c>
      <c r="AU26" s="2671">
        <f t="shared" si="5"/>
        <v>5.0889699999999998</v>
      </c>
      <c r="AV26" s="2629">
        <v>2.9516</v>
      </c>
      <c r="AW26" s="2629">
        <v>2.1373700000000002</v>
      </c>
      <c r="AX26" s="2629">
        <f t="shared" si="6"/>
        <v>50.35</v>
      </c>
      <c r="AY26" s="2629">
        <v>29.26</v>
      </c>
      <c r="AZ26" s="2629">
        <v>21.09</v>
      </c>
      <c r="BA26" s="2629">
        <f>AU26*1.027*1.046</f>
        <v>5.4667853107399997</v>
      </c>
      <c r="BB26" s="2629">
        <f t="shared" si="29"/>
        <v>3.1778708949163219</v>
      </c>
      <c r="BC26" s="2629">
        <f t="shared" si="30"/>
        <v>2.0577188421441872</v>
      </c>
      <c r="BD26" s="2629">
        <f t="shared" si="31"/>
        <v>0.21812676052009844</v>
      </c>
      <c r="BE26" s="2629">
        <f t="shared" si="32"/>
        <v>1.306881315939192E-2</v>
      </c>
      <c r="BF26" s="2638" t="s">
        <v>1951</v>
      </c>
    </row>
    <row r="27" spans="1:59" ht="25.5" x14ac:dyDescent="0.2">
      <c r="A27" s="2624" t="s">
        <v>37</v>
      </c>
      <c r="B27" s="2597">
        <v>131.4</v>
      </c>
      <c r="C27" s="2597">
        <v>189</v>
      </c>
      <c r="D27" s="2598">
        <f t="shared" ref="D27:D40" si="38">C27/B27*100</f>
        <v>143.83561643835617</v>
      </c>
      <c r="E27" s="2597">
        <v>188</v>
      </c>
      <c r="F27" s="2598">
        <f t="shared" ref="F27:F39" si="39">E27/C27*100</f>
        <v>99.470899470899468</v>
      </c>
      <c r="G27" s="2599">
        <f>166.8+12.3+1</f>
        <v>180.10000000000002</v>
      </c>
      <c r="H27" s="2598">
        <f t="shared" ref="H27:H39" si="40">G27/E27*100</f>
        <v>95.797872340425556</v>
      </c>
      <c r="I27" s="2600">
        <v>145.4</v>
      </c>
      <c r="J27" s="2600">
        <f>149.1+8.8</f>
        <v>157.9</v>
      </c>
      <c r="K27" s="2600">
        <v>170</v>
      </c>
      <c r="L27" s="2600">
        <v>164.9</v>
      </c>
      <c r="M27" s="2605">
        <f>K27/G27*100</f>
        <v>94.392004441976667</v>
      </c>
      <c r="N27" s="2600">
        <v>170</v>
      </c>
      <c r="O27" s="2600">
        <f>42.4+13.5</f>
        <v>55.9</v>
      </c>
      <c r="P27" s="2600">
        <f>116.0149+23.8634</f>
        <v>139.8783</v>
      </c>
      <c r="Q27" s="2600">
        <v>206.9</v>
      </c>
      <c r="R27" s="2600">
        <v>175.1</v>
      </c>
      <c r="S27" s="2599">
        <f>R27</f>
        <v>175.1</v>
      </c>
      <c r="T27" s="2602">
        <f t="shared" ref="T27:T33" si="41">S27/N27</f>
        <v>1.03</v>
      </c>
      <c r="U27" s="2603" t="e">
        <f>R27*#REF!</f>
        <v>#REF!</v>
      </c>
      <c r="V27" s="2603" t="e">
        <f>R27*#REF!</f>
        <v>#REF!</v>
      </c>
      <c r="W27" s="2603">
        <f t="shared" si="23"/>
        <v>99.978434684684672</v>
      </c>
      <c r="X27" s="2603">
        <f t="shared" si="24"/>
        <v>71.012584459459433</v>
      </c>
      <c r="Y27" s="2603">
        <v>83.42</v>
      </c>
      <c r="Z27" s="2603">
        <v>235.47</v>
      </c>
      <c r="AA27" s="2603">
        <v>324.43</v>
      </c>
      <c r="AB27" s="2600">
        <v>187.7</v>
      </c>
      <c r="AC27" s="2599">
        <f>AB27</f>
        <v>187.7</v>
      </c>
      <c r="AD27" s="2603">
        <f t="shared" si="25"/>
        <v>111.11824617273375</v>
      </c>
      <c r="AE27" s="2603">
        <f t="shared" si="26"/>
        <v>75.080121123831688</v>
      </c>
      <c r="AF27" s="2604">
        <f t="shared" si="35"/>
        <v>1.1114221434170497</v>
      </c>
      <c r="AG27" s="2604">
        <f t="shared" si="36"/>
        <v>1.0572790963085477</v>
      </c>
      <c r="AH27" s="2603">
        <v>67.86</v>
      </c>
      <c r="AI27" s="2603">
        <v>217.83</v>
      </c>
      <c r="AJ27" s="2599">
        <f t="shared" si="34"/>
        <v>356.87300000000005</v>
      </c>
      <c r="AK27" s="2603">
        <f>AJ27*AI57</f>
        <v>212.69630800000002</v>
      </c>
      <c r="AL27" s="2603">
        <f>AJ27*AI58</f>
        <v>144.17669200000003</v>
      </c>
      <c r="AM27" s="2604">
        <f t="shared" si="37"/>
        <v>1.914143854190812</v>
      </c>
      <c r="AN27" s="2604">
        <f t="shared" si="37"/>
        <v>1.9203044673064058</v>
      </c>
      <c r="AO27" s="2676">
        <f>AI27/3*4*1.062</f>
        <v>308.44728000000003</v>
      </c>
      <c r="AP27" s="2629">
        <f t="shared" si="27"/>
        <v>167.84312437790493</v>
      </c>
      <c r="AQ27" s="2629">
        <f t="shared" si="28"/>
        <v>138.94196483984365</v>
      </c>
      <c r="AR27" s="2629">
        <f t="shared" si="4"/>
        <v>244.73</v>
      </c>
      <c r="AS27" s="2629">
        <v>144.38999999999999</v>
      </c>
      <c r="AT27" s="2629">
        <v>100.34</v>
      </c>
      <c r="AU27" s="2671">
        <f t="shared" si="5"/>
        <v>433</v>
      </c>
      <c r="AV27" s="2629">
        <v>249.5</v>
      </c>
      <c r="AW27" s="2629">
        <v>183.5</v>
      </c>
      <c r="AX27" s="2629">
        <f t="shared" si="6"/>
        <v>459.44000000000005</v>
      </c>
      <c r="AY27" s="2629">
        <v>266.97000000000003</v>
      </c>
      <c r="AZ27" s="2629">
        <v>192.47</v>
      </c>
      <c r="BA27" s="2629">
        <f>(AR27+AU27)/2*1.027*1.046</f>
        <v>364.02301532999996</v>
      </c>
      <c r="BB27" s="2629">
        <f t="shared" si="29"/>
        <v>211.60848281790211</v>
      </c>
      <c r="BC27" s="2629">
        <f t="shared" si="30"/>
        <v>137.01965141142313</v>
      </c>
      <c r="BD27" s="2629">
        <f t="shared" si="31"/>
        <v>14.524653260609348</v>
      </c>
      <c r="BE27" s="2629">
        <f t="shared" si="32"/>
        <v>0.87022784006534581</v>
      </c>
      <c r="BF27" s="2638" t="s">
        <v>1947</v>
      </c>
    </row>
    <row r="28" spans="1:59" ht="15" x14ac:dyDescent="0.2">
      <c r="A28" s="2624" t="s">
        <v>38</v>
      </c>
      <c r="B28" s="2597">
        <v>111.5</v>
      </c>
      <c r="C28" s="2597">
        <v>122</v>
      </c>
      <c r="D28" s="2598">
        <f t="shared" si="38"/>
        <v>109.4170403587444</v>
      </c>
      <c r="E28" s="2597">
        <v>101</v>
      </c>
      <c r="F28" s="2598">
        <f t="shared" si="39"/>
        <v>82.786885245901644</v>
      </c>
      <c r="G28" s="2599">
        <v>0</v>
      </c>
      <c r="H28" s="2598">
        <f t="shared" si="40"/>
        <v>0</v>
      </c>
      <c r="I28" s="2600">
        <v>56.2</v>
      </c>
      <c r="J28" s="2600">
        <v>7</v>
      </c>
      <c r="K28" s="2600">
        <f>J28/9*12</f>
        <v>9.3333333333333339</v>
      </c>
      <c r="L28" s="2600">
        <v>7</v>
      </c>
      <c r="M28" s="2605"/>
      <c r="N28" s="2600">
        <v>9.7906666666666666</v>
      </c>
      <c r="O28" s="2600">
        <v>27.7</v>
      </c>
      <c r="P28" s="2600"/>
      <c r="Q28" s="2600">
        <v>27.7</v>
      </c>
      <c r="R28" s="2600">
        <v>10.3</v>
      </c>
      <c r="S28" s="2599">
        <f>R28</f>
        <v>10.3</v>
      </c>
      <c r="T28" s="2602">
        <f t="shared" si="41"/>
        <v>1.0520223341958328</v>
      </c>
      <c r="U28" s="2603" t="e">
        <f>R28*#REF!</f>
        <v>#REF!</v>
      </c>
      <c r="V28" s="2603" t="e">
        <f>R28*#REF!</f>
        <v>#REF!</v>
      </c>
      <c r="W28" s="2603">
        <f t="shared" si="23"/>
        <v>5.8810843932167458</v>
      </c>
      <c r="X28" s="2603">
        <f t="shared" si="24"/>
        <v>4.1772108505564383</v>
      </c>
      <c r="Y28" s="2603">
        <v>12.2</v>
      </c>
      <c r="Z28" s="2603">
        <v>12.2</v>
      </c>
      <c r="AA28" s="2603">
        <v>12.11</v>
      </c>
      <c r="AB28" s="2600">
        <v>41.2</v>
      </c>
      <c r="AC28" s="2599">
        <f>Q28*1.063*1.049</f>
        <v>30.887909899999993</v>
      </c>
      <c r="AD28" s="2603">
        <f t="shared" si="25"/>
        <v>18.285617346986783</v>
      </c>
      <c r="AE28" s="2603">
        <f t="shared" si="26"/>
        <v>12.355183892136385</v>
      </c>
      <c r="AF28" s="2604">
        <f t="shared" si="35"/>
        <v>3.1092254632627698</v>
      </c>
      <c r="AG28" s="2604">
        <f t="shared" si="36"/>
        <v>2.9577592164136446</v>
      </c>
      <c r="AH28" s="2603">
        <v>2</v>
      </c>
      <c r="AI28" s="2603">
        <v>5.5</v>
      </c>
      <c r="AJ28" s="2599">
        <f t="shared" si="34"/>
        <v>13.321</v>
      </c>
      <c r="AK28" s="2603">
        <f>AJ28*AI57</f>
        <v>7.9393159999999998</v>
      </c>
      <c r="AL28" s="2603">
        <f>AJ28*AI58</f>
        <v>5.3816839999999999</v>
      </c>
      <c r="AM28" s="2604">
        <f t="shared" si="37"/>
        <v>0.43418364550367722</v>
      </c>
      <c r="AN28" s="2604">
        <f t="shared" si="37"/>
        <v>0.43558105221122945</v>
      </c>
      <c r="AO28" s="2676">
        <f>AI28/3*4*1.062</f>
        <v>7.7880000000000003</v>
      </c>
      <c r="AP28" s="2629">
        <f t="shared" si="27"/>
        <v>4.2378790069250192</v>
      </c>
      <c r="AQ28" s="2629">
        <f t="shared" si="28"/>
        <v>3.5081522591890004</v>
      </c>
      <c r="AR28" s="2671">
        <f t="shared" si="4"/>
        <v>112.44999999999999</v>
      </c>
      <c r="AS28" s="2629">
        <v>66.349999999999994</v>
      </c>
      <c r="AT28" s="2629">
        <v>46.1</v>
      </c>
      <c r="AU28" s="2671">
        <f t="shared" si="5"/>
        <v>89.95</v>
      </c>
      <c r="AV28" s="2629">
        <v>52.170999999999999</v>
      </c>
      <c r="AW28" s="2629">
        <v>37.779000000000003</v>
      </c>
      <c r="AX28" s="2629">
        <f t="shared" si="6"/>
        <v>95.43</v>
      </c>
      <c r="AY28" s="2629">
        <v>55.45</v>
      </c>
      <c r="AZ28" s="2629">
        <v>39.979999999999997</v>
      </c>
      <c r="BA28" s="2629">
        <v>95.43</v>
      </c>
      <c r="BB28" s="2629">
        <f t="shared" si="29"/>
        <v>55.473958142470735</v>
      </c>
      <c r="BC28" s="2629">
        <f t="shared" si="30"/>
        <v>35.920215985075664</v>
      </c>
      <c r="BD28" s="2629">
        <f t="shared" si="31"/>
        <v>3.8076923773718314</v>
      </c>
      <c r="BE28" s="2629">
        <f t="shared" si="32"/>
        <v>0.22813349508176539</v>
      </c>
      <c r="BF28" s="2638" t="s">
        <v>2100</v>
      </c>
    </row>
    <row r="29" spans="1:59" ht="15" x14ac:dyDescent="0.2">
      <c r="A29" s="2624" t="s">
        <v>78</v>
      </c>
      <c r="B29" s="2597">
        <v>137.4</v>
      </c>
      <c r="C29" s="2597">
        <v>94</v>
      </c>
      <c r="D29" s="2598">
        <f t="shared" si="38"/>
        <v>68.413391557496368</v>
      </c>
      <c r="E29" s="2597">
        <v>244.8</v>
      </c>
      <c r="F29" s="2598">
        <f t="shared" si="39"/>
        <v>260.42553191489361</v>
      </c>
      <c r="G29" s="2599">
        <v>193</v>
      </c>
      <c r="H29" s="2598">
        <f t="shared" si="40"/>
        <v>78.83986928104575</v>
      </c>
      <c r="I29" s="2600">
        <v>173</v>
      </c>
      <c r="J29" s="2600">
        <v>160.1</v>
      </c>
      <c r="K29" s="2600">
        <v>173</v>
      </c>
      <c r="L29" s="2600">
        <v>260.3</v>
      </c>
      <c r="M29" s="2605">
        <f t="shared" ref="M29:M42" si="42">K29/G29*100</f>
        <v>89.637305699481857</v>
      </c>
      <c r="N29" s="2600">
        <v>181.47699999999998</v>
      </c>
      <c r="O29" s="2600">
        <v>149</v>
      </c>
      <c r="P29" s="2600">
        <v>248.34370000000001</v>
      </c>
      <c r="Q29" s="2600">
        <v>301.60000000000002</v>
      </c>
      <c r="R29" s="2600">
        <v>267.8</v>
      </c>
      <c r="S29" s="2599">
        <f>R29</f>
        <v>267.8</v>
      </c>
      <c r="T29" s="2602">
        <f t="shared" si="41"/>
        <v>1.4756690930531144</v>
      </c>
      <c r="U29" s="2603" t="e">
        <f>R29*#REF!</f>
        <v>#REF!</v>
      </c>
      <c r="V29" s="2603" t="e">
        <f>R29*#REF!</f>
        <v>#REF!</v>
      </c>
      <c r="W29" s="2603">
        <f t="shared" si="23"/>
        <v>152.90819422363538</v>
      </c>
      <c r="X29" s="2603">
        <f t="shared" si="24"/>
        <v>108.60748211446739</v>
      </c>
      <c r="Y29" s="2603">
        <v>116.11</v>
      </c>
      <c r="Z29" s="2603">
        <v>154.02000000000001</v>
      </c>
      <c r="AA29" s="2603">
        <v>224.47</v>
      </c>
      <c r="AB29" s="2600">
        <v>279.7</v>
      </c>
      <c r="AC29" s="2599">
        <f>AB29</f>
        <v>279.7</v>
      </c>
      <c r="AD29" s="2603">
        <f t="shared" si="25"/>
        <v>165.58217077524574</v>
      </c>
      <c r="AE29" s="2603">
        <f t="shared" si="26"/>
        <v>111.88018049193246</v>
      </c>
      <c r="AF29" s="2604">
        <f t="shared" si="35"/>
        <v>1.0828861828887606</v>
      </c>
      <c r="AG29" s="2604">
        <f t="shared" si="36"/>
        <v>1.030133268111453</v>
      </c>
      <c r="AH29" s="2603">
        <v>23.43</v>
      </c>
      <c r="AI29" s="2603">
        <v>23.43</v>
      </c>
      <c r="AJ29" s="2599">
        <f t="shared" si="34"/>
        <v>246.91700000000003</v>
      </c>
      <c r="AK29" s="2603">
        <f>AJ29*AI57</f>
        <v>147.162532</v>
      </c>
      <c r="AL29" s="2603">
        <f>AJ29*AI58</f>
        <v>99.754468000000017</v>
      </c>
      <c r="AM29" s="2604">
        <f t="shared" si="37"/>
        <v>0.88875832048217451</v>
      </c>
      <c r="AN29" s="2604">
        <f t="shared" si="37"/>
        <v>0.89161876179841504</v>
      </c>
      <c r="AO29" s="2676">
        <f>AH29*2*1.062</f>
        <v>49.765320000000003</v>
      </c>
      <c r="AP29" s="2629">
        <f t="shared" si="27"/>
        <v>27.080046854250874</v>
      </c>
      <c r="AQ29" s="2629">
        <f t="shared" si="28"/>
        <v>22.417092936217713</v>
      </c>
      <c r="AR29" s="2671">
        <f t="shared" si="4"/>
        <v>217.63</v>
      </c>
      <c r="AS29" s="2629">
        <v>128.4</v>
      </c>
      <c r="AT29" s="2629">
        <v>89.23</v>
      </c>
      <c r="AU29" s="2671">
        <f t="shared" si="5"/>
        <v>56.614000000000004</v>
      </c>
      <c r="AV29" s="2629">
        <v>32.836120000000001</v>
      </c>
      <c r="AW29" s="2629">
        <v>23.77788</v>
      </c>
      <c r="AX29" s="2629">
        <f t="shared" si="6"/>
        <v>60.06</v>
      </c>
      <c r="AY29" s="2629">
        <v>34.9</v>
      </c>
      <c r="AZ29" s="2629">
        <v>25.16</v>
      </c>
      <c r="BA29" s="2629">
        <v>60.06</v>
      </c>
      <c r="BB29" s="2629">
        <f t="shared" si="29"/>
        <v>34.913192141221757</v>
      </c>
      <c r="BC29" s="2629">
        <f t="shared" si="30"/>
        <v>22.606813078315461</v>
      </c>
      <c r="BD29" s="2629">
        <f t="shared" si="31"/>
        <v>2.396416265167685</v>
      </c>
      <c r="BE29" s="2629">
        <f t="shared" si="32"/>
        <v>0.14357851529509408</v>
      </c>
      <c r="BF29" s="2638" t="s">
        <v>2100</v>
      </c>
    </row>
    <row r="30" spans="1:59" ht="15" x14ac:dyDescent="0.2">
      <c r="A30" s="2624" t="s">
        <v>39</v>
      </c>
      <c r="B30" s="2597">
        <v>58.4</v>
      </c>
      <c r="C30" s="2597">
        <v>137.5</v>
      </c>
      <c r="D30" s="2598">
        <f t="shared" si="38"/>
        <v>235.44520547945206</v>
      </c>
      <c r="E30" s="2597">
        <v>37.6</v>
      </c>
      <c r="F30" s="2598">
        <f t="shared" si="39"/>
        <v>27.345454545454544</v>
      </c>
      <c r="G30" s="2599">
        <f>54.2</f>
        <v>54.2</v>
      </c>
      <c r="H30" s="2598">
        <f t="shared" si="40"/>
        <v>144.14893617021275</v>
      </c>
      <c r="I30" s="2600">
        <v>44</v>
      </c>
      <c r="J30" s="2600">
        <v>19.100000000000001</v>
      </c>
      <c r="K30" s="2600">
        <v>54.2</v>
      </c>
      <c r="L30" s="2600">
        <v>41.7</v>
      </c>
      <c r="M30" s="2605">
        <f t="shared" si="42"/>
        <v>100</v>
      </c>
      <c r="N30" s="2600">
        <v>46.155999999999999</v>
      </c>
      <c r="O30" s="2600">
        <v>49</v>
      </c>
      <c r="P30" s="2600">
        <v>48.979590000000002</v>
      </c>
      <c r="Q30" s="2600">
        <v>55.7</v>
      </c>
      <c r="R30" s="2600">
        <v>48.51</v>
      </c>
      <c r="S30" s="2599">
        <f>R30</f>
        <v>48.51</v>
      </c>
      <c r="T30" s="2602">
        <f t="shared" si="41"/>
        <v>1.0510009532888465</v>
      </c>
      <c r="U30" s="2603" t="e">
        <f>R30*#REF!</f>
        <v>#REF!</v>
      </c>
      <c r="V30" s="2603" t="e">
        <f>R30*#REF!</f>
        <v>#REF!</v>
      </c>
      <c r="W30" s="2603">
        <f t="shared" si="23"/>
        <v>27.698194554848961</v>
      </c>
      <c r="X30" s="2603">
        <f t="shared" si="24"/>
        <v>19.673446442766291</v>
      </c>
      <c r="Y30" s="2603">
        <v>30.64</v>
      </c>
      <c r="Z30" s="2603">
        <v>42.99</v>
      </c>
      <c r="AA30" s="2603">
        <v>35.770000000000003</v>
      </c>
      <c r="AB30" s="2600">
        <v>52.5</v>
      </c>
      <c r="AC30" s="2599">
        <f>AB30</f>
        <v>52.5</v>
      </c>
      <c r="AD30" s="2603">
        <f t="shared" si="25"/>
        <v>31.079956974259574</v>
      </c>
      <c r="AE30" s="2603">
        <f t="shared" si="26"/>
        <v>21.000033878535767</v>
      </c>
      <c r="AF30" s="2604">
        <f t="shared" si="35"/>
        <v>1.1220932437568782</v>
      </c>
      <c r="AG30" s="2604">
        <f t="shared" si="36"/>
        <v>1.0674303528682056</v>
      </c>
      <c r="AH30" s="2603">
        <v>5.1100000000000003</v>
      </c>
      <c r="AI30" s="2603">
        <v>14.88</v>
      </c>
      <c r="AJ30" s="2599">
        <f t="shared" si="34"/>
        <v>39.347000000000008</v>
      </c>
      <c r="AK30" s="2603">
        <f>AJ30*AI57</f>
        <v>23.450812000000003</v>
      </c>
      <c r="AL30" s="2603">
        <f>AJ30*AI58</f>
        <v>15.896188000000004</v>
      </c>
      <c r="AM30" s="2604">
        <f t="shared" si="37"/>
        <v>0.75453167517001296</v>
      </c>
      <c r="AN30" s="2604">
        <f t="shared" si="37"/>
        <v>0.75696011215713188</v>
      </c>
      <c r="AO30" s="2676">
        <f>AI30/3*4*1.062</f>
        <v>21.070080000000001</v>
      </c>
      <c r="AP30" s="2629">
        <f t="shared" si="27"/>
        <v>11.465389022371689</v>
      </c>
      <c r="AQ30" s="2629">
        <f t="shared" si="28"/>
        <v>9.491146475769515</v>
      </c>
      <c r="AR30" s="2671">
        <f t="shared" si="4"/>
        <v>34.229999999999997</v>
      </c>
      <c r="AS30" s="2629">
        <v>20.2</v>
      </c>
      <c r="AT30" s="2629">
        <v>14.03</v>
      </c>
      <c r="AU30" s="2671">
        <f t="shared" si="5"/>
        <v>67.195779999999999</v>
      </c>
      <c r="AV30" s="2629">
        <v>38.973550000000003</v>
      </c>
      <c r="AW30" s="2629">
        <v>28.22223</v>
      </c>
      <c r="AX30" s="2629">
        <f t="shared" si="6"/>
        <v>71.28</v>
      </c>
      <c r="AY30" s="2629">
        <v>41.42</v>
      </c>
      <c r="AZ30" s="2629">
        <v>29.86</v>
      </c>
      <c r="BA30" s="2629">
        <f>AX30</f>
        <v>71.28</v>
      </c>
      <c r="BB30" s="2629">
        <f t="shared" si="29"/>
        <v>41.435436826944503</v>
      </c>
      <c r="BC30" s="2629">
        <f t="shared" si="30"/>
        <v>26.830063873165603</v>
      </c>
      <c r="BD30" s="2629">
        <f t="shared" si="31"/>
        <v>2.8440984245946153</v>
      </c>
      <c r="BE30" s="2629">
        <f t="shared" si="32"/>
        <v>0.1704008752952765</v>
      </c>
      <c r="BF30" s="2638" t="s">
        <v>2100</v>
      </c>
    </row>
    <row r="31" spans="1:59" ht="38.25" x14ac:dyDescent="0.2">
      <c r="A31" s="2624" t="s">
        <v>40</v>
      </c>
      <c r="B31" s="2597">
        <v>63</v>
      </c>
      <c r="C31" s="2597">
        <v>70</v>
      </c>
      <c r="D31" s="2598">
        <f t="shared" si="38"/>
        <v>111.11111111111111</v>
      </c>
      <c r="E31" s="2597">
        <v>77</v>
      </c>
      <c r="F31" s="2598">
        <f t="shared" si="39"/>
        <v>110.00000000000001</v>
      </c>
      <c r="G31" s="2599">
        <v>85</v>
      </c>
      <c r="H31" s="2598">
        <f t="shared" si="40"/>
        <v>110.3896103896104</v>
      </c>
      <c r="I31" s="2600">
        <v>84.9</v>
      </c>
      <c r="J31" s="2600">
        <v>91.5</v>
      </c>
      <c r="K31" s="2600">
        <v>91.5</v>
      </c>
      <c r="L31" s="2600">
        <v>161.5</v>
      </c>
      <c r="M31" s="2605">
        <f t="shared" si="42"/>
        <v>107.64705882352941</v>
      </c>
      <c r="N31" s="2600">
        <v>93.5</v>
      </c>
      <c r="O31" s="2600">
        <v>32</v>
      </c>
      <c r="P31" s="2600">
        <v>32</v>
      </c>
      <c r="Q31" s="2600">
        <v>32</v>
      </c>
      <c r="R31" s="2600">
        <v>98.7</v>
      </c>
      <c r="S31" s="2599">
        <f>P31/9*12*1.048</f>
        <v>44.714666666666666</v>
      </c>
      <c r="T31" s="2602">
        <f t="shared" si="41"/>
        <v>0.47823172905525846</v>
      </c>
      <c r="U31" s="2603" t="e">
        <f>R31*#REF!</f>
        <v>#REF!</v>
      </c>
      <c r="V31" s="2603" t="e">
        <f>R31*#REF!</f>
        <v>#REF!</v>
      </c>
      <c r="W31" s="2603">
        <f t="shared" si="23"/>
        <v>25.531138668079841</v>
      </c>
      <c r="X31" s="2603">
        <f t="shared" si="24"/>
        <v>18.134232114467405</v>
      </c>
      <c r="Y31" s="2603">
        <v>100</v>
      </c>
      <c r="Z31" s="2603">
        <v>100</v>
      </c>
      <c r="AA31" s="2603">
        <v>99.33</v>
      </c>
      <c r="AB31" s="2600">
        <v>50</v>
      </c>
      <c r="AC31" s="2599">
        <f>AB31</f>
        <v>50</v>
      </c>
      <c r="AD31" s="2603">
        <f t="shared" si="25"/>
        <v>29.599959023104354</v>
      </c>
      <c r="AE31" s="2603">
        <f t="shared" si="26"/>
        <v>20.000032265272161</v>
      </c>
      <c r="AF31" s="2604">
        <f t="shared" si="35"/>
        <v>1.1593669756731819</v>
      </c>
      <c r="AG31" s="2604">
        <f t="shared" si="36"/>
        <v>1.1028882909972366</v>
      </c>
      <c r="AH31" s="2603">
        <v>100</v>
      </c>
      <c r="AI31" s="2603">
        <v>100</v>
      </c>
      <c r="AJ31" s="2599">
        <f t="shared" si="34"/>
        <v>109.26300000000001</v>
      </c>
      <c r="AK31" s="2603">
        <f>AJ31*AI57</f>
        <v>65.120748000000006</v>
      </c>
      <c r="AL31" s="2603">
        <f>AJ31*AI58</f>
        <v>44.142252000000006</v>
      </c>
      <c r="AM31" s="2604">
        <f t="shared" si="37"/>
        <v>2.2000283158895515</v>
      </c>
      <c r="AN31" s="2604">
        <f t="shared" si="37"/>
        <v>2.207109039351308</v>
      </c>
      <c r="AO31" s="2676">
        <f>AJ31</f>
        <v>109.26300000000001</v>
      </c>
      <c r="AP31" s="2629">
        <f t="shared" si="27"/>
        <v>59.456005898003134</v>
      </c>
      <c r="AQ31" s="2629">
        <f t="shared" si="28"/>
        <v>49.21818699226602</v>
      </c>
      <c r="AR31" s="2671">
        <f t="shared" si="4"/>
        <v>174.98</v>
      </c>
      <c r="AS31" s="2629">
        <v>103.24</v>
      </c>
      <c r="AT31" s="2629">
        <v>71.739999999999995</v>
      </c>
      <c r="AU31" s="2671">
        <f t="shared" si="5"/>
        <v>25</v>
      </c>
      <c r="AV31" s="2629">
        <v>14.5</v>
      </c>
      <c r="AW31" s="2629">
        <v>10.5</v>
      </c>
      <c r="AX31" s="2629">
        <f t="shared" si="6"/>
        <v>122.86</v>
      </c>
      <c r="AY31" s="2629">
        <v>71.39</v>
      </c>
      <c r="AZ31" s="2629">
        <v>51.47</v>
      </c>
      <c r="BA31" s="2629">
        <f>AU31*1.027*1.046</f>
        <v>26.85605</v>
      </c>
      <c r="BB31" s="2629">
        <f t="shared" si="29"/>
        <v>15.611562334403239</v>
      </c>
      <c r="BC31" s="2629">
        <f t="shared" si="30"/>
        <v>10.108719653211686</v>
      </c>
      <c r="BD31" s="2629">
        <f t="shared" si="31"/>
        <v>1.0715663509516584</v>
      </c>
      <c r="BE31" s="2629">
        <f t="shared" si="32"/>
        <v>6.4201661433413437E-2</v>
      </c>
      <c r="BF31" s="2638" t="s">
        <v>1951</v>
      </c>
    </row>
    <row r="32" spans="1:59" ht="15" x14ac:dyDescent="0.2">
      <c r="A32" s="2624" t="s">
        <v>79</v>
      </c>
      <c r="B32" s="2597">
        <v>3.9</v>
      </c>
      <c r="C32" s="2597">
        <v>39.799999999999997</v>
      </c>
      <c r="D32" s="2598">
        <f t="shared" si="38"/>
        <v>1020.5128205128204</v>
      </c>
      <c r="E32" s="2597">
        <v>47.7</v>
      </c>
      <c r="F32" s="2598">
        <f t="shared" si="39"/>
        <v>119.8492462311558</v>
      </c>
      <c r="G32" s="2599">
        <v>102.2</v>
      </c>
      <c r="H32" s="2598">
        <f t="shared" si="40"/>
        <v>214.2557651991614</v>
      </c>
      <c r="I32" s="2600">
        <v>43.9</v>
      </c>
      <c r="J32" s="2600">
        <v>76.5</v>
      </c>
      <c r="K32" s="2600">
        <v>76.5</v>
      </c>
      <c r="L32" s="2600">
        <v>102</v>
      </c>
      <c r="M32" s="2605">
        <f t="shared" si="42"/>
        <v>74.853228962817994</v>
      </c>
      <c r="N32" s="2600">
        <v>48.4</v>
      </c>
      <c r="O32" s="2600"/>
      <c r="P32" s="2600">
        <v>0.3</v>
      </c>
      <c r="Q32" s="2600">
        <v>0.9</v>
      </c>
      <c r="R32" s="2600">
        <v>117.6</v>
      </c>
      <c r="S32" s="2599">
        <f>P32/9*12*1.048</f>
        <v>0.41920000000000002</v>
      </c>
      <c r="T32" s="2602">
        <f t="shared" si="41"/>
        <v>8.6611570247933888E-3</v>
      </c>
      <c r="U32" s="2603" t="e">
        <f>R32*#REF!</f>
        <v>#REF!</v>
      </c>
      <c r="V32" s="2603" t="e">
        <f>R32*#REF!</f>
        <v>#REF!</v>
      </c>
      <c r="W32" s="2603">
        <f t="shared" si="23"/>
        <v>0.23935442501324852</v>
      </c>
      <c r="X32" s="2603">
        <f t="shared" si="24"/>
        <v>0.17000842607313191</v>
      </c>
      <c r="Y32" s="2603"/>
      <c r="Z32" s="2603"/>
      <c r="AA32" s="2603"/>
      <c r="AB32" s="2600">
        <v>0</v>
      </c>
      <c r="AC32" s="2599">
        <v>0</v>
      </c>
      <c r="AD32" s="2603">
        <f t="shared" si="25"/>
        <v>0</v>
      </c>
      <c r="AE32" s="2603">
        <f t="shared" si="26"/>
        <v>0</v>
      </c>
      <c r="AF32" s="2604">
        <f t="shared" si="35"/>
        <v>0</v>
      </c>
      <c r="AG32" s="2604">
        <f t="shared" si="36"/>
        <v>0</v>
      </c>
      <c r="AH32" s="2603">
        <v>0.42</v>
      </c>
      <c r="AI32" s="2603">
        <v>0.42</v>
      </c>
      <c r="AJ32" s="2599">
        <f t="shared" si="34"/>
        <v>0</v>
      </c>
      <c r="AK32" s="2603">
        <f>AJ32*AI57</f>
        <v>0</v>
      </c>
      <c r="AL32" s="2603">
        <f>AJ32*AI58</f>
        <v>0</v>
      </c>
      <c r="AM32" s="2604"/>
      <c r="AN32" s="2604"/>
      <c r="AO32" s="2676">
        <f t="shared" ref="AO32:AO33" si="43">AJ32</f>
        <v>0</v>
      </c>
      <c r="AP32" s="2629">
        <f t="shared" si="27"/>
        <v>0</v>
      </c>
      <c r="AQ32" s="2629">
        <f t="shared" si="28"/>
        <v>0</v>
      </c>
      <c r="AR32" s="2629">
        <f t="shared" si="4"/>
        <v>0</v>
      </c>
      <c r="AS32" s="2629">
        <v>0</v>
      </c>
      <c r="AT32" s="2629">
        <v>0</v>
      </c>
      <c r="AU32" s="2629">
        <f t="shared" si="5"/>
        <v>0</v>
      </c>
      <c r="AV32" s="2629">
        <v>0</v>
      </c>
      <c r="AW32" s="2629">
        <v>0</v>
      </c>
      <c r="AX32" s="2629">
        <f t="shared" si="6"/>
        <v>0</v>
      </c>
      <c r="AY32" s="2629">
        <v>0</v>
      </c>
      <c r="AZ32" s="2629">
        <v>0</v>
      </c>
      <c r="BA32" s="2629">
        <v>0</v>
      </c>
      <c r="BB32" s="2629">
        <f t="shared" si="29"/>
        <v>0</v>
      </c>
      <c r="BC32" s="2629">
        <f t="shared" si="30"/>
        <v>0</v>
      </c>
      <c r="BD32" s="2629">
        <f t="shared" si="31"/>
        <v>0</v>
      </c>
      <c r="BE32" s="2629">
        <f t="shared" si="32"/>
        <v>0</v>
      </c>
      <c r="BF32" s="2630"/>
    </row>
    <row r="33" spans="1:58" ht="15" x14ac:dyDescent="0.2">
      <c r="A33" s="2624" t="s">
        <v>99</v>
      </c>
      <c r="B33" s="2597">
        <v>6.6</v>
      </c>
      <c r="C33" s="2597">
        <v>7.8</v>
      </c>
      <c r="D33" s="2598">
        <f t="shared" si="38"/>
        <v>118.18181818181819</v>
      </c>
      <c r="E33" s="2597">
        <v>7</v>
      </c>
      <c r="F33" s="2598">
        <f t="shared" si="39"/>
        <v>89.743589743589752</v>
      </c>
      <c r="G33" s="2599">
        <v>6.7</v>
      </c>
      <c r="H33" s="2598">
        <f t="shared" si="40"/>
        <v>95.714285714285722</v>
      </c>
      <c r="I33" s="2600">
        <v>10.6</v>
      </c>
      <c r="J33" s="2600">
        <v>5</v>
      </c>
      <c r="K33" s="2600">
        <v>7</v>
      </c>
      <c r="L33" s="2600">
        <v>6.6</v>
      </c>
      <c r="M33" s="2605">
        <f t="shared" si="42"/>
        <v>104.4776119402985</v>
      </c>
      <c r="N33" s="2600">
        <v>7.343</v>
      </c>
      <c r="O33" s="2600">
        <v>3.3</v>
      </c>
      <c r="P33" s="2600">
        <v>5.3182299999999998</v>
      </c>
      <c r="Q33" s="2600">
        <v>7</v>
      </c>
      <c r="R33" s="2600">
        <v>7.84</v>
      </c>
      <c r="S33" s="2599">
        <f>P33/9*12*1.048</f>
        <v>7.4313400533333329</v>
      </c>
      <c r="T33" s="2602">
        <f t="shared" si="41"/>
        <v>1.0120305125062417</v>
      </c>
      <c r="U33" s="2603" t="e">
        <f>R33*#REF!</f>
        <v>#REF!</v>
      </c>
      <c r="V33" s="2603" t="e">
        <f>R33*#REF!</f>
        <v>#REF!</v>
      </c>
      <c r="W33" s="2603">
        <f t="shared" si="23"/>
        <v>4.2431396124606948</v>
      </c>
      <c r="X33" s="2603">
        <f t="shared" si="24"/>
        <v>3.0138130393163745</v>
      </c>
      <c r="Y33" s="2603">
        <v>3.46</v>
      </c>
      <c r="Z33" s="2603">
        <v>5.85</v>
      </c>
      <c r="AA33" s="2603">
        <v>7.8</v>
      </c>
      <c r="AB33" s="2600">
        <v>7.83</v>
      </c>
      <c r="AC33" s="2599">
        <f>AB33</f>
        <v>7.83</v>
      </c>
      <c r="AD33" s="2603">
        <f t="shared" si="25"/>
        <v>4.6353535830181425</v>
      </c>
      <c r="AE33" s="2603">
        <f t="shared" si="26"/>
        <v>3.1320050527416203</v>
      </c>
      <c r="AF33" s="2604">
        <f t="shared" si="35"/>
        <v>1.0924348492813305</v>
      </c>
      <c r="AG33" s="2604">
        <f t="shared" si="36"/>
        <v>1.039216770212148</v>
      </c>
      <c r="AH33" s="2603">
        <v>3.4</v>
      </c>
      <c r="AI33" s="2603">
        <v>5.25</v>
      </c>
      <c r="AJ33" s="2599">
        <f t="shared" si="34"/>
        <v>8.58</v>
      </c>
      <c r="AK33" s="2603">
        <f>AJ33*AI57</f>
        <v>5.1136799999999996</v>
      </c>
      <c r="AL33" s="2603">
        <f>AJ33*AI58</f>
        <v>3.4663200000000001</v>
      </c>
      <c r="AM33" s="2604">
        <f>AK33/AD33</f>
        <v>1.1031909235002548</v>
      </c>
      <c r="AN33" s="2604">
        <f>AL33/AE33</f>
        <v>1.1067415095533562</v>
      </c>
      <c r="AO33" s="2676">
        <f t="shared" si="43"/>
        <v>8.58</v>
      </c>
      <c r="AP33" s="2629">
        <f t="shared" si="27"/>
        <v>4.6688497533919699</v>
      </c>
      <c r="AQ33" s="2629">
        <f t="shared" si="28"/>
        <v>3.8649135058861868</v>
      </c>
      <c r="AR33" s="2671">
        <f t="shared" si="4"/>
        <v>6.83</v>
      </c>
      <c r="AS33" s="2629">
        <v>4.03</v>
      </c>
      <c r="AT33" s="2629">
        <v>2.8</v>
      </c>
      <c r="AU33" s="2671">
        <f t="shared" si="5"/>
        <v>0.55743999999999994</v>
      </c>
      <c r="AV33" s="2629">
        <v>0.32332</v>
      </c>
      <c r="AW33" s="2629">
        <v>0.23411999999999999</v>
      </c>
      <c r="AX33" s="2629">
        <f t="shared" si="6"/>
        <v>9.65</v>
      </c>
      <c r="AY33" s="2629">
        <v>5.61</v>
      </c>
      <c r="AZ33" s="2629">
        <v>4.04</v>
      </c>
      <c r="BA33" s="2629">
        <f>AR33</f>
        <v>6.83</v>
      </c>
      <c r="BB33" s="2629">
        <f t="shared" si="29"/>
        <v>3.9703147240183916</v>
      </c>
      <c r="BC33" s="2629">
        <f t="shared" si="30"/>
        <v>2.5708380506975459</v>
      </c>
      <c r="BD33" s="2629">
        <f t="shared" si="31"/>
        <v>0.27251953198626855</v>
      </c>
      <c r="BE33" s="2629">
        <f t="shared" si="32"/>
        <v>1.6327693297793749E-2</v>
      </c>
      <c r="BF33" s="2630" t="s">
        <v>1928</v>
      </c>
    </row>
    <row r="34" spans="1:58" ht="15" x14ac:dyDescent="0.2">
      <c r="A34" s="2624" t="s">
        <v>217</v>
      </c>
      <c r="B34" s="2597">
        <v>105.1</v>
      </c>
      <c r="C34" s="2597">
        <v>13</v>
      </c>
      <c r="D34" s="2598">
        <f t="shared" si="38"/>
        <v>12.369172216936251</v>
      </c>
      <c r="E34" s="2597">
        <v>28.1</v>
      </c>
      <c r="F34" s="2598">
        <f t="shared" si="39"/>
        <v>216.15384615384619</v>
      </c>
      <c r="G34" s="2599">
        <v>117.6</v>
      </c>
      <c r="H34" s="2598">
        <f t="shared" si="40"/>
        <v>418.5053380782918</v>
      </c>
      <c r="I34" s="2600">
        <v>108.2</v>
      </c>
      <c r="J34" s="2600">
        <v>58.5</v>
      </c>
      <c r="K34" s="2600">
        <v>108.2</v>
      </c>
      <c r="L34" s="2600">
        <v>103</v>
      </c>
      <c r="M34" s="2605">
        <f t="shared" si="42"/>
        <v>92.006802721088448</v>
      </c>
      <c r="N34" s="2600">
        <v>0</v>
      </c>
      <c r="O34" s="2600">
        <v>141.4</v>
      </c>
      <c r="P34" s="2600">
        <v>256.79226</v>
      </c>
      <c r="Q34" s="2600">
        <v>266</v>
      </c>
      <c r="R34" s="2600">
        <v>103</v>
      </c>
      <c r="S34" s="2599">
        <v>103</v>
      </c>
      <c r="T34" s="2602"/>
      <c r="U34" s="2603" t="e">
        <f>R34*#REF!</f>
        <v>#REF!</v>
      </c>
      <c r="V34" s="2603" t="e">
        <f>R34*#REF!</f>
        <v>#REF!</v>
      </c>
      <c r="W34" s="2603">
        <f t="shared" si="23"/>
        <v>58.810843932167451</v>
      </c>
      <c r="X34" s="2603">
        <f t="shared" si="24"/>
        <v>41.772108505564375</v>
      </c>
      <c r="Y34" s="2603">
        <v>246.24</v>
      </c>
      <c r="Z34" s="2603">
        <v>378.14</v>
      </c>
      <c r="AA34" s="2603">
        <v>344.26</v>
      </c>
      <c r="AB34" s="2600">
        <v>106.3</v>
      </c>
      <c r="AC34" s="2599">
        <v>0</v>
      </c>
      <c r="AD34" s="2603">
        <f t="shared" si="25"/>
        <v>0</v>
      </c>
      <c r="AE34" s="2603">
        <f t="shared" si="26"/>
        <v>0</v>
      </c>
      <c r="AF34" s="2604">
        <f t="shared" si="35"/>
        <v>0</v>
      </c>
      <c r="AG34" s="2604">
        <f t="shared" si="36"/>
        <v>0</v>
      </c>
      <c r="AH34" s="2603">
        <v>137.71</v>
      </c>
      <c r="AI34" s="2603">
        <v>296.42</v>
      </c>
      <c r="AJ34" s="2599">
        <f t="shared" si="34"/>
        <v>378.68600000000004</v>
      </c>
      <c r="AK34" s="2603">
        <f>AJ34*AI57</f>
        <v>225.69685600000003</v>
      </c>
      <c r="AL34" s="2603">
        <f>AJ34*AI58</f>
        <v>152.98914400000001</v>
      </c>
      <c r="AM34" s="2604"/>
      <c r="AN34" s="2604"/>
      <c r="AO34" s="2676"/>
      <c r="AP34" s="2629">
        <f t="shared" si="27"/>
        <v>0</v>
      </c>
      <c r="AQ34" s="2629">
        <f t="shared" si="28"/>
        <v>0</v>
      </c>
      <c r="AR34" s="2671">
        <f t="shared" si="4"/>
        <v>172.10000000000002</v>
      </c>
      <c r="AS34" s="2629">
        <v>101.54</v>
      </c>
      <c r="AT34" s="2629">
        <v>70.56</v>
      </c>
      <c r="AU34" s="2671">
        <f t="shared" si="5"/>
        <v>453.76526000000001</v>
      </c>
      <c r="AV34" s="2629">
        <v>263.18385000000001</v>
      </c>
      <c r="AW34" s="2629">
        <v>190.58141000000001</v>
      </c>
      <c r="AX34" s="2629">
        <f t="shared" si="6"/>
        <v>0</v>
      </c>
      <c r="AY34" s="2629">
        <v>0</v>
      </c>
      <c r="AZ34" s="2629">
        <v>0</v>
      </c>
      <c r="BA34" s="2629">
        <f>(AR34+AU34)/2</f>
        <v>312.93263000000002</v>
      </c>
      <c r="BB34" s="2629">
        <f t="shared" si="29"/>
        <v>181.90937459953139</v>
      </c>
      <c r="BC34" s="2629">
        <f t="shared" si="30"/>
        <v>117.78903550642114</v>
      </c>
      <c r="BD34" s="2629">
        <f t="shared" si="31"/>
        <v>12.48612794594907</v>
      </c>
      <c r="BE34" s="2629">
        <f t="shared" si="32"/>
        <v>0.74809194809838531</v>
      </c>
      <c r="BF34" s="2638" t="s">
        <v>1954</v>
      </c>
    </row>
    <row r="35" spans="1:58" ht="15" x14ac:dyDescent="0.2">
      <c r="A35" s="2624" t="s">
        <v>41</v>
      </c>
      <c r="B35" s="2597">
        <v>8.1</v>
      </c>
      <c r="C35" s="2597">
        <v>11.6</v>
      </c>
      <c r="D35" s="2598">
        <f t="shared" si="38"/>
        <v>143.20987654320987</v>
      </c>
      <c r="E35" s="2597">
        <v>17.600000000000001</v>
      </c>
      <c r="F35" s="2598">
        <f t="shared" si="39"/>
        <v>151.72413793103451</v>
      </c>
      <c r="G35" s="2599">
        <v>14.6</v>
      </c>
      <c r="H35" s="2598">
        <f t="shared" si="40"/>
        <v>82.954545454545453</v>
      </c>
      <c r="I35" s="2600">
        <v>19.600000000000001</v>
      </c>
      <c r="J35" s="2600">
        <v>12.2</v>
      </c>
      <c r="K35" s="2600">
        <f>J35/9*12</f>
        <v>16.266666666666666</v>
      </c>
      <c r="L35" s="2600">
        <v>16.600000000000001</v>
      </c>
      <c r="M35" s="2605">
        <f t="shared" si="42"/>
        <v>111.41552511415524</v>
      </c>
      <c r="N35" s="2600">
        <v>17.063733333333332</v>
      </c>
      <c r="O35" s="2600">
        <v>1.1000000000000001</v>
      </c>
      <c r="P35" s="2600">
        <v>1.1040000000000001</v>
      </c>
      <c r="Q35" s="2600">
        <v>1.1000000000000001</v>
      </c>
      <c r="R35" s="2600">
        <v>17.850000000000001</v>
      </c>
      <c r="S35" s="2599">
        <f>P35/9*12*1.048</f>
        <v>1.542656</v>
      </c>
      <c r="T35" s="2602">
        <f>S35/N35</f>
        <v>9.0405538451921438E-2</v>
      </c>
      <c r="U35" s="2603" t="e">
        <f>R35*#REF!</f>
        <v>#REF!</v>
      </c>
      <c r="V35" s="2603" t="e">
        <f>R35*#REF!</f>
        <v>#REF!</v>
      </c>
      <c r="W35" s="2603">
        <f t="shared" si="23"/>
        <v>0.88082428404875446</v>
      </c>
      <c r="X35" s="2603">
        <f t="shared" si="24"/>
        <v>0.62563100794912541</v>
      </c>
      <c r="Y35" s="2603"/>
      <c r="Z35" s="2603">
        <v>4.8</v>
      </c>
      <c r="AA35" s="2603">
        <v>4.76</v>
      </c>
      <c r="AB35" s="2600">
        <v>1.9</v>
      </c>
      <c r="AC35" s="2599">
        <f>AB35</f>
        <v>1.9</v>
      </c>
      <c r="AD35" s="2603">
        <f t="shared" si="25"/>
        <v>1.1247984428779654</v>
      </c>
      <c r="AE35" s="2603">
        <f t="shared" si="26"/>
        <v>0.76000122608034204</v>
      </c>
      <c r="AF35" s="2604">
        <f t="shared" si="35"/>
        <v>1.2769839152342293</v>
      </c>
      <c r="AG35" s="2604">
        <f t="shared" si="36"/>
        <v>1.2147755089244925</v>
      </c>
      <c r="AH35" s="2603">
        <v>0</v>
      </c>
      <c r="AI35" s="2603">
        <v>0</v>
      </c>
      <c r="AJ35" s="2599">
        <f t="shared" si="34"/>
        <v>5.2359999999999998</v>
      </c>
      <c r="AK35" s="2603">
        <f>AJ35*AI57</f>
        <v>3.1206559999999999</v>
      </c>
      <c r="AL35" s="2603">
        <f>AJ35*AI58</f>
        <v>2.1153439999999999</v>
      </c>
      <c r="AM35" s="2604">
        <f t="shared" ref="AM35:AN39" si="44">AK35/AD35</f>
        <v>2.7744135136027874</v>
      </c>
      <c r="AN35" s="2604">
        <f t="shared" si="44"/>
        <v>2.7833428781552789</v>
      </c>
      <c r="AO35" s="2676">
        <v>0</v>
      </c>
      <c r="AP35" s="2629">
        <f t="shared" si="27"/>
        <v>0</v>
      </c>
      <c r="AQ35" s="2629">
        <f t="shared" si="28"/>
        <v>0</v>
      </c>
      <c r="AR35" s="2629">
        <f t="shared" si="4"/>
        <v>0</v>
      </c>
      <c r="AS35" s="2629">
        <v>0</v>
      </c>
      <c r="AT35" s="2629">
        <v>0</v>
      </c>
      <c r="AU35" s="2629">
        <f t="shared" si="5"/>
        <v>0</v>
      </c>
      <c r="AV35" s="2629">
        <v>0</v>
      </c>
      <c r="AW35" s="2629">
        <v>0</v>
      </c>
      <c r="AX35" s="2629">
        <f t="shared" si="6"/>
        <v>0</v>
      </c>
      <c r="AY35" s="2629">
        <v>0</v>
      </c>
      <c r="AZ35" s="2629">
        <v>0</v>
      </c>
      <c r="BA35" s="2629">
        <v>0</v>
      </c>
      <c r="BB35" s="2629">
        <f t="shared" si="29"/>
        <v>0</v>
      </c>
      <c r="BC35" s="2629">
        <f t="shared" si="30"/>
        <v>0</v>
      </c>
      <c r="BD35" s="2629">
        <f t="shared" si="31"/>
        <v>0</v>
      </c>
      <c r="BE35" s="2629">
        <f t="shared" si="32"/>
        <v>0</v>
      </c>
      <c r="BF35" s="2630"/>
    </row>
    <row r="36" spans="1:58" ht="38.25" x14ac:dyDescent="0.2">
      <c r="A36" s="2624" t="s">
        <v>42</v>
      </c>
      <c r="B36" s="2597">
        <v>26.2</v>
      </c>
      <c r="C36" s="2597">
        <v>19.3</v>
      </c>
      <c r="D36" s="2598">
        <f t="shared" si="38"/>
        <v>73.66412213740459</v>
      </c>
      <c r="E36" s="2597">
        <v>20.3</v>
      </c>
      <c r="F36" s="2598">
        <f t="shared" si="39"/>
        <v>105.18134715025906</v>
      </c>
      <c r="G36" s="2599">
        <v>23.4</v>
      </c>
      <c r="H36" s="2598">
        <f t="shared" si="40"/>
        <v>115.27093596059113</v>
      </c>
      <c r="I36" s="2600">
        <v>25.3</v>
      </c>
      <c r="J36" s="2600">
        <v>20.8</v>
      </c>
      <c r="K36" s="2600">
        <v>25.3</v>
      </c>
      <c r="L36" s="2600">
        <v>23.5</v>
      </c>
      <c r="M36" s="2605">
        <f t="shared" si="42"/>
        <v>108.11965811965814</v>
      </c>
      <c r="N36" s="2600">
        <v>26.5397</v>
      </c>
      <c r="O36" s="2600">
        <v>8.3000000000000007</v>
      </c>
      <c r="P36" s="2600">
        <v>8.2553599999999996</v>
      </c>
      <c r="Q36" s="2600">
        <v>23.5</v>
      </c>
      <c r="R36" s="2600">
        <v>29.03</v>
      </c>
      <c r="S36" s="2599">
        <f>23.5197*1.048</f>
        <v>24.648645600000002</v>
      </c>
      <c r="T36" s="2602">
        <f>S36/N36</f>
        <v>0.9287462028583594</v>
      </c>
      <c r="U36" s="2603" t="e">
        <f>R36*#REF!</f>
        <v>#REF!</v>
      </c>
      <c r="V36" s="2603" t="e">
        <f>R36*#REF!</f>
        <v>#REF!</v>
      </c>
      <c r="W36" s="2603">
        <f t="shared" si="23"/>
        <v>14.073860674960253</v>
      </c>
      <c r="X36" s="2603">
        <f t="shared" si="24"/>
        <v>9.9963679467806017</v>
      </c>
      <c r="Y36" s="2603">
        <v>9.32</v>
      </c>
      <c r="Z36" s="2603">
        <v>22.54</v>
      </c>
      <c r="AA36" s="2603">
        <v>25.47</v>
      </c>
      <c r="AB36" s="2600">
        <v>26</v>
      </c>
      <c r="AC36" s="2599">
        <f>AB36</f>
        <v>26</v>
      </c>
      <c r="AD36" s="2603">
        <f t="shared" si="25"/>
        <v>15.391978692014264</v>
      </c>
      <c r="AE36" s="2603">
        <f t="shared" si="26"/>
        <v>10.400016777941524</v>
      </c>
      <c r="AF36" s="2604">
        <f t="shared" si="35"/>
        <v>1.0936571739266372</v>
      </c>
      <c r="AG36" s="2604">
        <f t="shared" si="36"/>
        <v>1.040379549183253</v>
      </c>
      <c r="AH36" s="2603">
        <v>8.99</v>
      </c>
      <c r="AI36" s="2603">
        <v>22.81</v>
      </c>
      <c r="AJ36" s="2599">
        <f t="shared" si="34"/>
        <v>28.016999999999999</v>
      </c>
      <c r="AK36" s="2603">
        <f>AJ36*AI57</f>
        <v>16.698131999999998</v>
      </c>
      <c r="AL36" s="2603">
        <f>AJ36*AI58</f>
        <v>11.318868</v>
      </c>
      <c r="AM36" s="2604">
        <f t="shared" si="44"/>
        <v>1.0848593500628607</v>
      </c>
      <c r="AN36" s="2604">
        <f t="shared" si="44"/>
        <v>1.0883509365107338</v>
      </c>
      <c r="AO36" s="2676">
        <f>AJ36</f>
        <v>28.016999999999999</v>
      </c>
      <c r="AP36" s="2629">
        <f t="shared" si="27"/>
        <v>15.245590156268396</v>
      </c>
      <c r="AQ36" s="2629">
        <f t="shared" si="28"/>
        <v>12.620429101912972</v>
      </c>
      <c r="AR36" s="2671">
        <f t="shared" si="4"/>
        <v>27.509999999999998</v>
      </c>
      <c r="AS36" s="2629">
        <v>16.23</v>
      </c>
      <c r="AT36" s="2629">
        <v>11.28</v>
      </c>
      <c r="AU36" s="2671">
        <f t="shared" si="5"/>
        <v>28.88336</v>
      </c>
      <c r="AV36" s="2629">
        <v>16.75235</v>
      </c>
      <c r="AW36" s="2629">
        <v>12.13101</v>
      </c>
      <c r="AX36" s="2629">
        <f t="shared" si="6"/>
        <v>31.509999999999998</v>
      </c>
      <c r="AY36" s="2629">
        <v>18.309999999999999</v>
      </c>
      <c r="AZ36" s="2629">
        <v>13.2</v>
      </c>
      <c r="BA36" s="2629">
        <f>AU36*1.027*1.046</f>
        <v>31.027718413119999</v>
      </c>
      <c r="BB36" s="2629">
        <f t="shared" si="29"/>
        <v>18.036575002680365</v>
      </c>
      <c r="BC36" s="2629">
        <f t="shared" si="30"/>
        <v>11.678951555311532</v>
      </c>
      <c r="BD36" s="2629">
        <f t="shared" si="31"/>
        <v>1.2380174671369237</v>
      </c>
      <c r="BE36" s="2629">
        <f t="shared" si="32"/>
        <v>7.4174387991175858E-2</v>
      </c>
      <c r="BF36" s="2638" t="s">
        <v>1951</v>
      </c>
    </row>
    <row r="37" spans="1:58" ht="15" x14ac:dyDescent="0.2">
      <c r="A37" s="2624" t="s">
        <v>77</v>
      </c>
      <c r="B37" s="2597">
        <f>136.6+89.7</f>
        <v>226.3</v>
      </c>
      <c r="C37" s="2597">
        <v>10.5</v>
      </c>
      <c r="D37" s="2598">
        <f t="shared" si="38"/>
        <v>4.6398585947856823</v>
      </c>
      <c r="E37" s="2597">
        <v>12.3</v>
      </c>
      <c r="F37" s="2598">
        <f t="shared" si="39"/>
        <v>117.14285714285715</v>
      </c>
      <c r="G37" s="2599">
        <v>45.4</v>
      </c>
      <c r="H37" s="2598">
        <f t="shared" si="40"/>
        <v>369.10569105691053</v>
      </c>
      <c r="I37" s="2600">
        <v>10.5</v>
      </c>
      <c r="J37" s="2600">
        <v>34.299999999999997</v>
      </c>
      <c r="K37" s="2600">
        <v>45.4</v>
      </c>
      <c r="L37" s="2600">
        <v>38.1</v>
      </c>
      <c r="M37" s="2605">
        <f t="shared" si="42"/>
        <v>100</v>
      </c>
      <c r="N37" s="2600">
        <v>11.6</v>
      </c>
      <c r="O37" s="2600">
        <v>19.100000000000001</v>
      </c>
      <c r="P37" s="2600">
        <v>29.655380000000001</v>
      </c>
      <c r="Q37" s="2600">
        <v>37.9</v>
      </c>
      <c r="R37" s="2600">
        <v>47.38</v>
      </c>
      <c r="S37" s="2599">
        <f>N37*1.048</f>
        <v>12.1568</v>
      </c>
      <c r="T37" s="2602">
        <f>S37/N37</f>
        <v>1.048</v>
      </c>
      <c r="U37" s="2603" t="e">
        <f>R37*#REF!</f>
        <v>#REF!</v>
      </c>
      <c r="V37" s="2603" t="e">
        <f>R37*#REF!</f>
        <v>#REF!</v>
      </c>
      <c r="W37" s="2603">
        <f t="shared" si="23"/>
        <v>6.9412783253842072</v>
      </c>
      <c r="X37" s="2603">
        <f t="shared" si="24"/>
        <v>4.9302443561208253</v>
      </c>
      <c r="Y37" s="2603">
        <v>22.95</v>
      </c>
      <c r="Z37" s="2603">
        <v>58.17</v>
      </c>
      <c r="AA37" s="2603">
        <v>93.35</v>
      </c>
      <c r="AB37" s="2600">
        <v>13.6</v>
      </c>
      <c r="AC37" s="2599">
        <f>AB37</f>
        <v>13.6</v>
      </c>
      <c r="AD37" s="2603">
        <f t="shared" si="25"/>
        <v>8.0511888542843852</v>
      </c>
      <c r="AE37" s="2603">
        <f t="shared" si="26"/>
        <v>5.4400087761540279</v>
      </c>
      <c r="AF37" s="2604">
        <f t="shared" si="35"/>
        <v>1.1599000179608479</v>
      </c>
      <c r="AG37" s="2604">
        <f t="shared" si="36"/>
        <v>1.1033953660735574</v>
      </c>
      <c r="AH37" s="2603">
        <v>66.69</v>
      </c>
      <c r="AI37" s="2603">
        <v>67.36</v>
      </c>
      <c r="AJ37" s="2599">
        <f t="shared" si="34"/>
        <v>102.685</v>
      </c>
      <c r="AK37" s="2603">
        <f>AJ37*AI57</f>
        <v>61.20026</v>
      </c>
      <c r="AL37" s="2603">
        <f>AJ37*AI58</f>
        <v>41.484740000000002</v>
      </c>
      <c r="AM37" s="2604">
        <f t="shared" si="44"/>
        <v>7.6013941676989356</v>
      </c>
      <c r="AN37" s="2604">
        <f t="shared" si="44"/>
        <v>7.6258590210085737</v>
      </c>
      <c r="AO37" s="2676">
        <f t="shared" ref="AO37:AO47" si="45">AJ37</f>
        <v>102.685</v>
      </c>
      <c r="AP37" s="2629">
        <f t="shared" si="27"/>
        <v>55.87655442040262</v>
      </c>
      <c r="AQ37" s="2629">
        <f t="shared" si="28"/>
        <v>46.255086637753273</v>
      </c>
      <c r="AR37" s="2671">
        <f t="shared" si="4"/>
        <v>2.99</v>
      </c>
      <c r="AS37" s="2629">
        <v>1.76</v>
      </c>
      <c r="AT37" s="2629">
        <v>1.23</v>
      </c>
      <c r="AU37" s="2671">
        <f t="shared" si="5"/>
        <v>2.8190499999999998</v>
      </c>
      <c r="AV37" s="2629">
        <v>1.63679</v>
      </c>
      <c r="AW37" s="2629">
        <v>1.1822600000000001</v>
      </c>
      <c r="AX37" s="2629">
        <f t="shared" si="6"/>
        <v>115.46000000000001</v>
      </c>
      <c r="AY37" s="2629">
        <v>67.09</v>
      </c>
      <c r="AZ37" s="2629">
        <v>48.37</v>
      </c>
      <c r="BA37" s="2629">
        <f>AU37*1.027*1.046</f>
        <v>3.0283419100999995</v>
      </c>
      <c r="BB37" s="2629">
        <f t="shared" si="29"/>
        <v>1.7603909919519778</v>
      </c>
      <c r="BC37" s="2629">
        <f t="shared" si="30"/>
        <v>1.1398794455354562</v>
      </c>
      <c r="BD37" s="2629">
        <f t="shared" si="31"/>
        <v>0.12083196486601089</v>
      </c>
      <c r="BE37" s="2629">
        <f t="shared" si="32"/>
        <v>7.2395077465545656E-3</v>
      </c>
      <c r="BF37" s="2638" t="s">
        <v>1946</v>
      </c>
    </row>
    <row r="38" spans="1:58" ht="15" x14ac:dyDescent="0.2">
      <c r="A38" s="2624" t="s">
        <v>43</v>
      </c>
      <c r="B38" s="2597">
        <v>71.8</v>
      </c>
      <c r="C38" s="2597">
        <v>46</v>
      </c>
      <c r="D38" s="2598">
        <f t="shared" si="38"/>
        <v>64.066852367688014</v>
      </c>
      <c r="E38" s="2597">
        <v>85</v>
      </c>
      <c r="F38" s="2598">
        <f t="shared" si="39"/>
        <v>184.78260869565219</v>
      </c>
      <c r="G38" s="2599">
        <v>95.8</v>
      </c>
      <c r="H38" s="2598">
        <f t="shared" si="40"/>
        <v>112.70588235294116</v>
      </c>
      <c r="I38" s="2600">
        <v>56.2</v>
      </c>
      <c r="J38" s="2600">
        <v>84.5</v>
      </c>
      <c r="K38" s="2600">
        <v>84.5</v>
      </c>
      <c r="L38" s="2600">
        <v>112.9</v>
      </c>
      <c r="M38" s="2605">
        <f t="shared" si="42"/>
        <v>88.204592901878925</v>
      </c>
      <c r="N38" s="2600">
        <v>58.953800000000001</v>
      </c>
      <c r="O38" s="2600">
        <v>62.2</v>
      </c>
      <c r="P38" s="2600">
        <v>91.305689999999998</v>
      </c>
      <c r="Q38" s="2600">
        <v>120.4</v>
      </c>
      <c r="R38" s="2600">
        <v>116.39</v>
      </c>
      <c r="S38" s="2599">
        <f>N38*1.048</f>
        <v>61.7835824</v>
      </c>
      <c r="T38" s="2602">
        <f>S38/N38</f>
        <v>1.048</v>
      </c>
      <c r="U38" s="2603" t="e">
        <f>R38*#REF!</f>
        <v>#REF!</v>
      </c>
      <c r="V38" s="2603" t="e">
        <f>R38*#REF!</f>
        <v>#REF!</v>
      </c>
      <c r="W38" s="2603">
        <f t="shared" si="23"/>
        <v>35.277132253365124</v>
      </c>
      <c r="X38" s="2603">
        <f t="shared" si="24"/>
        <v>25.056606872575511</v>
      </c>
      <c r="Y38" s="2603">
        <v>61.1</v>
      </c>
      <c r="Z38" s="2603">
        <v>61.1</v>
      </c>
      <c r="AA38" s="2603">
        <v>61.4</v>
      </c>
      <c r="AB38" s="2600">
        <v>124</v>
      </c>
      <c r="AC38" s="2599">
        <f>S38*1.049</f>
        <v>64.810977937600001</v>
      </c>
      <c r="AD38" s="2603">
        <f t="shared" si="25"/>
        <v>38.368045824005605</v>
      </c>
      <c r="AE38" s="2603">
        <f t="shared" si="26"/>
        <v>25.924432997916842</v>
      </c>
      <c r="AF38" s="2604">
        <f t="shared" si="35"/>
        <v>1.0876180509356919</v>
      </c>
      <c r="AG38" s="2604">
        <f t="shared" si="36"/>
        <v>1.0346346227066829</v>
      </c>
      <c r="AH38" s="2603">
        <v>28.52</v>
      </c>
      <c r="AI38" s="2603">
        <v>28.87</v>
      </c>
      <c r="AJ38" s="2599">
        <f t="shared" ref="AJ38:AJ42" si="46">SUM(AA38*1.1)</f>
        <v>67.540000000000006</v>
      </c>
      <c r="AK38" s="2603">
        <f>AJ38*AI57</f>
        <v>40.253840000000004</v>
      </c>
      <c r="AL38" s="2603">
        <f>AJ38*AI58</f>
        <v>27.286160000000006</v>
      </c>
      <c r="AM38" s="2604">
        <f t="shared" si="44"/>
        <v>1.0491501231166305</v>
      </c>
      <c r="AN38" s="2604">
        <f t="shared" si="44"/>
        <v>1.0525267805159937</v>
      </c>
      <c r="AO38" s="2676">
        <f t="shared" si="45"/>
        <v>67.540000000000006</v>
      </c>
      <c r="AP38" s="2629">
        <f t="shared" si="27"/>
        <v>36.752227545931667</v>
      </c>
      <c r="AQ38" s="2629">
        <f t="shared" si="28"/>
        <v>30.423806315565628</v>
      </c>
      <c r="AR38" s="2629">
        <f t="shared" si="4"/>
        <v>0</v>
      </c>
      <c r="AS38" s="2629">
        <v>0</v>
      </c>
      <c r="AT38" s="2629">
        <v>0</v>
      </c>
      <c r="AU38" s="2629">
        <f t="shared" si="5"/>
        <v>0</v>
      </c>
      <c r="AV38" s="2629">
        <v>0</v>
      </c>
      <c r="AW38" s="2629">
        <v>0</v>
      </c>
      <c r="AX38" s="2629">
        <f t="shared" si="6"/>
        <v>0</v>
      </c>
      <c r="AY38" s="2629">
        <v>0</v>
      </c>
      <c r="AZ38" s="2629">
        <v>0</v>
      </c>
      <c r="BA38" s="2629">
        <v>0</v>
      </c>
      <c r="BB38" s="2629">
        <f t="shared" si="29"/>
        <v>0</v>
      </c>
      <c r="BC38" s="2629">
        <f t="shared" si="30"/>
        <v>0</v>
      </c>
      <c r="BD38" s="2629">
        <f t="shared" si="31"/>
        <v>0</v>
      </c>
      <c r="BE38" s="2629">
        <f t="shared" si="32"/>
        <v>0</v>
      </c>
      <c r="BF38" s="2630"/>
    </row>
    <row r="39" spans="1:58" ht="38.25" x14ac:dyDescent="0.2">
      <c r="A39" s="2624" t="s">
        <v>71</v>
      </c>
      <c r="B39" s="2597">
        <v>10.7</v>
      </c>
      <c r="C39" s="2597">
        <v>5.6</v>
      </c>
      <c r="D39" s="2598">
        <f t="shared" si="38"/>
        <v>52.336448598130836</v>
      </c>
      <c r="E39" s="2597">
        <v>17.7</v>
      </c>
      <c r="F39" s="2598">
        <f t="shared" si="39"/>
        <v>316.07142857142856</v>
      </c>
      <c r="G39" s="2599">
        <v>14.1</v>
      </c>
      <c r="H39" s="2598">
        <f t="shared" si="40"/>
        <v>79.66101694915254</v>
      </c>
      <c r="I39" s="2600">
        <v>10.3</v>
      </c>
      <c r="J39" s="2600">
        <v>24.1</v>
      </c>
      <c r="K39" s="2600">
        <v>24.1</v>
      </c>
      <c r="L39" s="2600">
        <v>40.5</v>
      </c>
      <c r="M39" s="2605">
        <f t="shared" si="42"/>
        <v>170.92198581560285</v>
      </c>
      <c r="N39" s="2600">
        <v>11.3</v>
      </c>
      <c r="O39" s="2600">
        <f>3.7+5.6+16.1</f>
        <v>25.400000000000002</v>
      </c>
      <c r="P39" s="2600">
        <f>16.81452+5.48046+16.14343</f>
        <v>38.438410000000005</v>
      </c>
      <c r="Q39" s="2600">
        <v>51.5</v>
      </c>
      <c r="R39" s="2600">
        <v>45.94</v>
      </c>
      <c r="S39" s="2599">
        <f>P39/9*12*1.048</f>
        <v>53.711271573333342</v>
      </c>
      <c r="T39" s="2602">
        <f>S39/N39</f>
        <v>4.7532098737463135</v>
      </c>
      <c r="U39" s="2603" t="e">
        <f>R39*#REF!</f>
        <v>#REF!</v>
      </c>
      <c r="V39" s="2603" t="e">
        <f>R39*#REF!</f>
        <v>#REF!</v>
      </c>
      <c r="W39" s="2603">
        <f t="shared" si="23"/>
        <v>30.668011746578344</v>
      </c>
      <c r="X39" s="2603">
        <f t="shared" si="24"/>
        <v>21.782845282845784</v>
      </c>
      <c r="Y39" s="2603">
        <v>21.73</v>
      </c>
      <c r="Z39" s="2603">
        <v>30.27</v>
      </c>
      <c r="AA39" s="2603">
        <v>46.23</v>
      </c>
      <c r="AB39" s="2600">
        <v>52.2</v>
      </c>
      <c r="AC39" s="2599">
        <f>AB39</f>
        <v>52.2</v>
      </c>
      <c r="AD39" s="2603">
        <f t="shared" si="25"/>
        <v>30.902357220120948</v>
      </c>
      <c r="AE39" s="2603">
        <f t="shared" si="26"/>
        <v>20.880033684944138</v>
      </c>
      <c r="AF39" s="2604">
        <f t="shared" si="35"/>
        <v>1.0076413650639986</v>
      </c>
      <c r="AG39" s="2604">
        <f t="shared" si="36"/>
        <v>0.95855400953462133</v>
      </c>
      <c r="AH39" s="2603">
        <v>16.350000000000001</v>
      </c>
      <c r="AI39" s="2603">
        <v>16.350000000000001</v>
      </c>
      <c r="AJ39" s="2599">
        <f t="shared" si="46"/>
        <v>50.853000000000002</v>
      </c>
      <c r="AK39" s="2603">
        <f>AJ39*AI57</f>
        <v>30.308388000000001</v>
      </c>
      <c r="AL39" s="2603">
        <f>AJ39*AI58</f>
        <v>20.544612000000001</v>
      </c>
      <c r="AM39" s="2604">
        <f t="shared" si="44"/>
        <v>0.98077916141186128</v>
      </c>
      <c r="AN39" s="2604">
        <f t="shared" si="44"/>
        <v>0.98393576897407031</v>
      </c>
      <c r="AO39" s="2676">
        <f t="shared" si="45"/>
        <v>50.853000000000002</v>
      </c>
      <c r="AP39" s="2629">
        <f t="shared" si="27"/>
        <v>27.671913346065487</v>
      </c>
      <c r="AQ39" s="2629">
        <f t="shared" si="28"/>
        <v>22.907045048348515</v>
      </c>
      <c r="AR39" s="2671">
        <f t="shared" si="4"/>
        <v>20.04</v>
      </c>
      <c r="AS39" s="2629">
        <v>11.82</v>
      </c>
      <c r="AT39" s="2629">
        <v>8.2200000000000006</v>
      </c>
      <c r="AU39" s="2671">
        <f t="shared" si="5"/>
        <v>10.015689999999999</v>
      </c>
      <c r="AV39" s="2629">
        <v>5.8090999999999999</v>
      </c>
      <c r="AW39" s="2629">
        <v>4.2065900000000003</v>
      </c>
      <c r="AX39" s="2629">
        <f t="shared" si="6"/>
        <v>46.274338638159996</v>
      </c>
      <c r="AY39" s="2629">
        <f>AR39*1.037*1.027*1.046</f>
        <v>22.324338638159997</v>
      </c>
      <c r="AZ39" s="2629">
        <v>23.95</v>
      </c>
      <c r="BA39" s="2629">
        <f>AU39*1.027*1.046</f>
        <v>10.759274856979999</v>
      </c>
      <c r="BB39" s="2629">
        <f t="shared" si="29"/>
        <v>6.2544227502823668</v>
      </c>
      <c r="BC39" s="2629">
        <f t="shared" si="30"/>
        <v>4.0498320937390302</v>
      </c>
      <c r="BD39" s="2629">
        <f t="shared" si="31"/>
        <v>0.42929905542252061</v>
      </c>
      <c r="BE39" s="2629">
        <f t="shared" si="32"/>
        <v>2.5720957536080988E-2</v>
      </c>
      <c r="BF39" s="2638" t="s">
        <v>1952</v>
      </c>
    </row>
    <row r="40" spans="1:58" ht="15" x14ac:dyDescent="0.2">
      <c r="A40" s="2624" t="s">
        <v>167</v>
      </c>
      <c r="B40" s="2597">
        <v>514.20000000000005</v>
      </c>
      <c r="C40" s="2597"/>
      <c r="D40" s="2598">
        <f t="shared" si="38"/>
        <v>0</v>
      </c>
      <c r="E40" s="2597"/>
      <c r="F40" s="2598"/>
      <c r="G40" s="2599">
        <v>0.5</v>
      </c>
      <c r="H40" s="2598"/>
      <c r="I40" s="2600"/>
      <c r="J40" s="2600"/>
      <c r="K40" s="2600"/>
      <c r="L40" s="2600"/>
      <c r="M40" s="2605">
        <f t="shared" si="42"/>
        <v>0</v>
      </c>
      <c r="N40" s="2600">
        <v>0</v>
      </c>
      <c r="O40" s="2600">
        <v>0.6</v>
      </c>
      <c r="P40" s="2600">
        <v>0.6</v>
      </c>
      <c r="Q40" s="2600"/>
      <c r="R40" s="2600"/>
      <c r="S40" s="2599"/>
      <c r="T40" s="2602"/>
      <c r="U40" s="2603" t="e">
        <f>R40*#REF!</f>
        <v>#REF!</v>
      </c>
      <c r="V40" s="2603" t="e">
        <f>R40*#REF!</f>
        <v>#REF!</v>
      </c>
      <c r="W40" s="2603">
        <f t="shared" si="23"/>
        <v>0</v>
      </c>
      <c r="X40" s="2603">
        <f t="shared" si="24"/>
        <v>0</v>
      </c>
      <c r="Y40" s="2603">
        <v>0.6</v>
      </c>
      <c r="Z40" s="2603">
        <v>0.6</v>
      </c>
      <c r="AA40" s="2603">
        <v>0.6</v>
      </c>
      <c r="AB40" s="2600">
        <v>0</v>
      </c>
      <c r="AC40" s="2599">
        <v>0</v>
      </c>
      <c r="AD40" s="2603">
        <f t="shared" si="25"/>
        <v>0</v>
      </c>
      <c r="AE40" s="2603">
        <f t="shared" si="26"/>
        <v>0</v>
      </c>
      <c r="AF40" s="2604"/>
      <c r="AG40" s="2604"/>
      <c r="AH40" s="2603">
        <v>0</v>
      </c>
      <c r="AI40" s="2603">
        <v>0</v>
      </c>
      <c r="AJ40" s="2599">
        <f t="shared" si="46"/>
        <v>0.66</v>
      </c>
      <c r="AK40" s="2603">
        <f>AJ40*AI57</f>
        <v>0.39335999999999999</v>
      </c>
      <c r="AL40" s="2603">
        <f>AJ40*AI58</f>
        <v>0.26664000000000004</v>
      </c>
      <c r="AM40" s="2604"/>
      <c r="AN40" s="2604"/>
      <c r="AO40" s="2676">
        <f t="shared" si="45"/>
        <v>0.66</v>
      </c>
      <c r="AP40" s="2629">
        <f t="shared" si="27"/>
        <v>0.35914228872245929</v>
      </c>
      <c r="AQ40" s="2629">
        <f t="shared" si="28"/>
        <v>0.29730103891432208</v>
      </c>
      <c r="AR40" s="2629">
        <f t="shared" si="4"/>
        <v>0</v>
      </c>
      <c r="AS40" s="2629">
        <v>0</v>
      </c>
      <c r="AT40" s="2629">
        <v>0</v>
      </c>
      <c r="AU40" s="2629">
        <f t="shared" si="5"/>
        <v>0</v>
      </c>
      <c r="AV40" s="2629">
        <v>0</v>
      </c>
      <c r="AW40" s="2629">
        <v>0</v>
      </c>
      <c r="AX40" s="2629">
        <f t="shared" si="6"/>
        <v>0.74</v>
      </c>
      <c r="AY40" s="2629">
        <v>0.43</v>
      </c>
      <c r="AZ40" s="2629">
        <v>0.31</v>
      </c>
      <c r="BA40" s="2629">
        <v>0.74</v>
      </c>
      <c r="BB40" s="2629">
        <f t="shared" si="29"/>
        <v>0.43016587053786376</v>
      </c>
      <c r="BC40" s="2629">
        <f t="shared" si="30"/>
        <v>0.27853882247674727</v>
      </c>
      <c r="BD40" s="2629">
        <f t="shared" si="31"/>
        <v>2.9526274329405376E-2</v>
      </c>
      <c r="BE40" s="2629">
        <f t="shared" si="32"/>
        <v>1.7690326559835102E-3</v>
      </c>
      <c r="BF40" s="2630"/>
    </row>
    <row r="41" spans="1:58" ht="15" x14ac:dyDescent="0.2">
      <c r="A41" s="2624" t="s">
        <v>170</v>
      </c>
      <c r="B41" s="2597"/>
      <c r="C41" s="2597"/>
      <c r="D41" s="2598"/>
      <c r="E41" s="2597"/>
      <c r="F41" s="2598"/>
      <c r="G41" s="2599">
        <v>36.5</v>
      </c>
      <c r="H41" s="2598"/>
      <c r="I41" s="2600"/>
      <c r="J41" s="2600">
        <v>9</v>
      </c>
      <c r="K41" s="2600">
        <f>J41/9*12</f>
        <v>12</v>
      </c>
      <c r="L41" s="2600">
        <v>18</v>
      </c>
      <c r="M41" s="2605">
        <f t="shared" si="42"/>
        <v>32.87671232876712</v>
      </c>
      <c r="N41" s="2600">
        <v>12.587999999999999</v>
      </c>
      <c r="O41" s="2600">
        <v>11</v>
      </c>
      <c r="P41" s="2600">
        <v>11</v>
      </c>
      <c r="Q41" s="2600">
        <v>21</v>
      </c>
      <c r="R41" s="2600">
        <v>21</v>
      </c>
      <c r="S41" s="2599">
        <f>P41/9*12*1.048</f>
        <v>15.370666666666668</v>
      </c>
      <c r="T41" s="2602">
        <f>S41/N41</f>
        <v>1.2210570914098084</v>
      </c>
      <c r="U41" s="2603" t="e">
        <f>R41*#REF!</f>
        <v>#REF!</v>
      </c>
      <c r="V41" s="2603" t="e">
        <f>R41*#REF!</f>
        <v>#REF!</v>
      </c>
      <c r="W41" s="2603">
        <f t="shared" si="23"/>
        <v>8.7763289171524459</v>
      </c>
      <c r="X41" s="2603">
        <f t="shared" si="24"/>
        <v>6.2336422893481709</v>
      </c>
      <c r="Y41" s="2603">
        <v>18.5</v>
      </c>
      <c r="Z41" s="2603">
        <v>19.37</v>
      </c>
      <c r="AA41" s="2603">
        <v>35.74</v>
      </c>
      <c r="AB41" s="2600">
        <v>18.100000000000001</v>
      </c>
      <c r="AC41" s="2599">
        <f>S41*1.049</f>
        <v>16.123829333333333</v>
      </c>
      <c r="AD41" s="2603">
        <f t="shared" si="25"/>
        <v>9.5452937512438929</v>
      </c>
      <c r="AE41" s="2603">
        <f t="shared" si="26"/>
        <v>6.4495421381281677</v>
      </c>
      <c r="AF41" s="2604">
        <f>AD41/W41</f>
        <v>1.0876180509356916</v>
      </c>
      <c r="AG41" s="2604">
        <f>AE41/X41</f>
        <v>1.0346346227066829</v>
      </c>
      <c r="AH41" s="2603">
        <v>5</v>
      </c>
      <c r="AI41" s="2603">
        <v>13</v>
      </c>
      <c r="AJ41" s="2599">
        <f t="shared" si="46"/>
        <v>39.314000000000007</v>
      </c>
      <c r="AK41" s="2603">
        <f>AJ41*AI57</f>
        <v>23.431144000000003</v>
      </c>
      <c r="AL41" s="2603">
        <f>AJ41*AI58</f>
        <v>15.882856000000004</v>
      </c>
      <c r="AM41" s="2604">
        <f>AK41/AD41</f>
        <v>2.4547326264261464</v>
      </c>
      <c r="AN41" s="2604">
        <f>AL41/AE41</f>
        <v>2.4626331078766532</v>
      </c>
      <c r="AO41" s="2676">
        <f>AI41/3*4</f>
        <v>17.333333333333332</v>
      </c>
      <c r="AP41" s="2629">
        <f t="shared" si="27"/>
        <v>9.4320197038221618</v>
      </c>
      <c r="AQ41" s="2629">
        <f t="shared" si="28"/>
        <v>7.8079060724973468</v>
      </c>
      <c r="AR41" s="2671">
        <f t="shared" si="4"/>
        <v>39.51</v>
      </c>
      <c r="AS41" s="2629">
        <v>23.31</v>
      </c>
      <c r="AT41" s="2629">
        <v>16.2</v>
      </c>
      <c r="AU41" s="2671">
        <f t="shared" si="5"/>
        <v>45.5</v>
      </c>
      <c r="AV41" s="2629">
        <v>26.39</v>
      </c>
      <c r="AW41" s="2629">
        <v>19.11</v>
      </c>
      <c r="AX41" s="2629">
        <f t="shared" si="6"/>
        <v>48.269999999999996</v>
      </c>
      <c r="AY41" s="2629">
        <v>28.05</v>
      </c>
      <c r="AZ41" s="2629">
        <v>20.22</v>
      </c>
      <c r="BA41" s="2629">
        <f>AU41</f>
        <v>45.5</v>
      </c>
      <c r="BB41" s="2629">
        <f t="shared" si="29"/>
        <v>26.449387985774056</v>
      </c>
      <c r="BC41" s="2629">
        <f t="shared" si="30"/>
        <v>17.126373544178378</v>
      </c>
      <c r="BD41" s="2629">
        <f t="shared" si="31"/>
        <v>1.8154668675512766</v>
      </c>
      <c r="BE41" s="2629">
        <f t="shared" si="32"/>
        <v>0.1087716024962834</v>
      </c>
      <c r="BF41" s="2630" t="s">
        <v>1955</v>
      </c>
    </row>
    <row r="42" spans="1:58" ht="15" x14ac:dyDescent="0.2">
      <c r="A42" s="2624" t="s">
        <v>168</v>
      </c>
      <c r="B42" s="2597">
        <v>25.7</v>
      </c>
      <c r="C42" s="2597"/>
      <c r="D42" s="2598">
        <f>C42/B42*100</f>
        <v>0</v>
      </c>
      <c r="E42" s="2597"/>
      <c r="F42" s="2598"/>
      <c r="G42" s="2599">
        <v>58.8</v>
      </c>
      <c r="H42" s="2598"/>
      <c r="I42" s="2600"/>
      <c r="J42" s="2600">
        <v>7.8</v>
      </c>
      <c r="K42" s="2600">
        <f>J42/9*12</f>
        <v>10.4</v>
      </c>
      <c r="L42" s="2600">
        <v>30.5</v>
      </c>
      <c r="M42" s="2605">
        <f t="shared" si="42"/>
        <v>17.687074829931973</v>
      </c>
      <c r="N42" s="2600">
        <v>10.909599999999999</v>
      </c>
      <c r="O42" s="2600">
        <v>3.8</v>
      </c>
      <c r="P42" s="2600">
        <v>3.77</v>
      </c>
      <c r="Q42" s="2600">
        <v>26.1</v>
      </c>
      <c r="R42" s="2600">
        <v>31.5</v>
      </c>
      <c r="S42" s="2599">
        <f>P42/9*12*1.048</f>
        <v>5.267946666666667</v>
      </c>
      <c r="T42" s="2602">
        <f>S42/N42</f>
        <v>0.48287257705751513</v>
      </c>
      <c r="U42" s="2603" t="e">
        <f>R42*#REF!</f>
        <v>#REF!</v>
      </c>
      <c r="V42" s="2603" t="e">
        <f>R42*#REF!</f>
        <v>#REF!</v>
      </c>
      <c r="W42" s="2603">
        <f t="shared" si="23"/>
        <v>3.0078872743331564</v>
      </c>
      <c r="X42" s="2603">
        <f t="shared" si="24"/>
        <v>2.1364392209856913</v>
      </c>
      <c r="Y42" s="2603">
        <v>18.16</v>
      </c>
      <c r="Z42" s="2603"/>
      <c r="AA42" s="2603">
        <v>53.94</v>
      </c>
      <c r="AB42" s="2600">
        <v>27.2</v>
      </c>
      <c r="AC42" s="2599">
        <f>S42*1.049</f>
        <v>5.5260760533333331</v>
      </c>
      <c r="AD42" s="2603">
        <f t="shared" si="25"/>
        <v>3.2714324947444977</v>
      </c>
      <c r="AE42" s="2603">
        <f t="shared" si="26"/>
        <v>2.2104339873402901</v>
      </c>
      <c r="AF42" s="2604">
        <f>AD42/W42</f>
        <v>1.0876180509356916</v>
      </c>
      <c r="AG42" s="2604">
        <f>AE42/X42</f>
        <v>1.0346346227066827</v>
      </c>
      <c r="AH42" s="2603">
        <v>7.11</v>
      </c>
      <c r="AI42" s="2603">
        <v>35.159999999999997</v>
      </c>
      <c r="AJ42" s="2599">
        <f t="shared" si="46"/>
        <v>59.334000000000003</v>
      </c>
      <c r="AK42" s="2603">
        <f>AJ42*AI57</f>
        <v>35.363064000000001</v>
      </c>
      <c r="AL42" s="2603">
        <f>AJ42*AI58</f>
        <v>23.970936000000002</v>
      </c>
      <c r="AM42" s="2604">
        <f>AK42/AD42</f>
        <v>10.809657254676715</v>
      </c>
      <c r="AN42" s="2604">
        <f>AL42/AE42</f>
        <v>10.844447804045524</v>
      </c>
      <c r="AO42" s="2676">
        <f t="shared" si="45"/>
        <v>59.334000000000003</v>
      </c>
      <c r="AP42" s="2629">
        <f t="shared" si="27"/>
        <v>32.286891756149089</v>
      </c>
      <c r="AQ42" s="2629">
        <f t="shared" si="28"/>
        <v>26.727363398397554</v>
      </c>
      <c r="AR42" s="2671">
        <f t="shared" si="4"/>
        <v>161.08000000000001</v>
      </c>
      <c r="AS42" s="2629">
        <v>95.04</v>
      </c>
      <c r="AT42" s="2629">
        <v>66.040000000000006</v>
      </c>
      <c r="AU42" s="2671">
        <f t="shared" si="5"/>
        <v>136.79410999999999</v>
      </c>
      <c r="AV42" s="2629">
        <v>79.340580000000003</v>
      </c>
      <c r="AW42" s="2629">
        <v>57.453530000000001</v>
      </c>
      <c r="AX42" s="2629">
        <f t="shared" si="6"/>
        <v>145.12</v>
      </c>
      <c r="AY42" s="2629">
        <v>84.33</v>
      </c>
      <c r="AZ42" s="2629">
        <v>60.79</v>
      </c>
      <c r="BA42" s="2629">
        <f>AU42</f>
        <v>136.79410999999999</v>
      </c>
      <c r="BB42" s="2629">
        <f t="shared" si="29"/>
        <v>79.519131638651743</v>
      </c>
      <c r="BC42" s="2629">
        <f t="shared" si="30"/>
        <v>51.489824758317077</v>
      </c>
      <c r="BD42" s="2629">
        <f t="shared" si="31"/>
        <v>5.4581357006849389</v>
      </c>
      <c r="BE42" s="2629">
        <f t="shared" si="32"/>
        <v>0.3270179023462168</v>
      </c>
      <c r="BF42" s="2630" t="s">
        <v>1955</v>
      </c>
    </row>
    <row r="43" spans="1:58" ht="15" x14ac:dyDescent="0.2">
      <c r="A43" s="2624" t="s">
        <v>310</v>
      </c>
      <c r="B43" s="2597"/>
      <c r="C43" s="2597"/>
      <c r="D43" s="2598"/>
      <c r="E43" s="2597"/>
      <c r="F43" s="2598"/>
      <c r="G43" s="2599"/>
      <c r="H43" s="2598"/>
      <c r="I43" s="2600"/>
      <c r="J43" s="2600"/>
      <c r="K43" s="2600"/>
      <c r="L43" s="2600"/>
      <c r="M43" s="2605"/>
      <c r="N43" s="2600"/>
      <c r="O43" s="2600">
        <v>3.6</v>
      </c>
      <c r="P43" s="2600">
        <v>3.57308</v>
      </c>
      <c r="Q43" s="2600">
        <v>3.6</v>
      </c>
      <c r="R43" s="2600"/>
      <c r="S43" s="2599"/>
      <c r="T43" s="2602"/>
      <c r="U43" s="2603" t="e">
        <f>R43*#REF!</f>
        <v>#REF!</v>
      </c>
      <c r="V43" s="2603" t="e">
        <f>R43*#REF!</f>
        <v>#REF!</v>
      </c>
      <c r="W43" s="2603">
        <f t="shared" si="23"/>
        <v>0</v>
      </c>
      <c r="X43" s="2603">
        <f t="shared" si="24"/>
        <v>0</v>
      </c>
      <c r="Y43" s="2603"/>
      <c r="Z43" s="2603"/>
      <c r="AA43" s="2603"/>
      <c r="AB43" s="2600">
        <v>3.3</v>
      </c>
      <c r="AC43" s="2599">
        <v>0</v>
      </c>
      <c r="AD43" s="2603"/>
      <c r="AE43" s="2603"/>
      <c r="AF43" s="2604"/>
      <c r="AG43" s="2604"/>
      <c r="AH43" s="2603"/>
      <c r="AI43" s="2603"/>
      <c r="AJ43" s="2599"/>
      <c r="AK43" s="2603">
        <f>AJ43*AI57</f>
        <v>0</v>
      </c>
      <c r="AL43" s="2603">
        <f>AJ43*AI58</f>
        <v>0</v>
      </c>
      <c r="AM43" s="2604"/>
      <c r="AN43" s="2604"/>
      <c r="AO43" s="2676">
        <f t="shared" si="45"/>
        <v>0</v>
      </c>
      <c r="AP43" s="2629">
        <f t="shared" si="27"/>
        <v>0</v>
      </c>
      <c r="AQ43" s="2629">
        <f t="shared" si="28"/>
        <v>0</v>
      </c>
      <c r="AR43" s="2629">
        <f t="shared" si="4"/>
        <v>0</v>
      </c>
      <c r="AS43" s="2629">
        <v>0</v>
      </c>
      <c r="AT43" s="2629">
        <v>0</v>
      </c>
      <c r="AU43" s="2629">
        <f t="shared" si="5"/>
        <v>0</v>
      </c>
      <c r="AV43" s="2629">
        <v>0</v>
      </c>
      <c r="AW43" s="2629">
        <v>0</v>
      </c>
      <c r="AX43" s="2629">
        <f t="shared" si="6"/>
        <v>0</v>
      </c>
      <c r="AY43" s="2629">
        <v>0</v>
      </c>
      <c r="AZ43" s="2629">
        <v>0</v>
      </c>
      <c r="BA43" s="2629">
        <v>0</v>
      </c>
      <c r="BB43" s="2629">
        <f t="shared" si="29"/>
        <v>0</v>
      </c>
      <c r="BC43" s="2629">
        <f t="shared" si="30"/>
        <v>0</v>
      </c>
      <c r="BD43" s="2629">
        <f t="shared" si="31"/>
        <v>0</v>
      </c>
      <c r="BE43" s="2629">
        <f t="shared" si="32"/>
        <v>0</v>
      </c>
      <c r="BF43" s="2630"/>
    </row>
    <row r="44" spans="1:58" ht="15" x14ac:dyDescent="0.2">
      <c r="A44" s="2624" t="s">
        <v>311</v>
      </c>
      <c r="B44" s="2597"/>
      <c r="C44" s="2597"/>
      <c r="D44" s="2598"/>
      <c r="E44" s="2597"/>
      <c r="F44" s="2598"/>
      <c r="G44" s="2599"/>
      <c r="H44" s="2598"/>
      <c r="I44" s="2600"/>
      <c r="J44" s="2600"/>
      <c r="K44" s="2600"/>
      <c r="L44" s="2600"/>
      <c r="M44" s="2605"/>
      <c r="N44" s="2600"/>
      <c r="O44" s="2600">
        <v>2</v>
      </c>
      <c r="P44" s="2600">
        <v>3.0381499999999999</v>
      </c>
      <c r="Q44" s="2600">
        <v>3.1</v>
      </c>
      <c r="R44" s="2600"/>
      <c r="S44" s="2599"/>
      <c r="T44" s="2602"/>
      <c r="U44" s="2603" t="e">
        <f>R44*#REF!</f>
        <v>#REF!</v>
      </c>
      <c r="V44" s="2603" t="e">
        <f>R44*#REF!</f>
        <v>#REF!</v>
      </c>
      <c r="W44" s="2603">
        <f t="shared" si="23"/>
        <v>0</v>
      </c>
      <c r="X44" s="2603">
        <f t="shared" si="24"/>
        <v>0</v>
      </c>
      <c r="Y44" s="2603"/>
      <c r="Z44" s="2603"/>
      <c r="AA44" s="2603"/>
      <c r="AB44" s="2600"/>
      <c r="AC44" s="2599"/>
      <c r="AD44" s="2603"/>
      <c r="AE44" s="2603"/>
      <c r="AF44" s="2604"/>
      <c r="AG44" s="2604"/>
      <c r="AH44" s="2603"/>
      <c r="AI44" s="2603"/>
      <c r="AJ44" s="2599"/>
      <c r="AK44" s="2603">
        <f>AJ44*AI57</f>
        <v>0</v>
      </c>
      <c r="AL44" s="2603">
        <f>AJ44*AI58</f>
        <v>0</v>
      </c>
      <c r="AM44" s="2604"/>
      <c r="AN44" s="2604"/>
      <c r="AO44" s="2676">
        <f t="shared" si="45"/>
        <v>0</v>
      </c>
      <c r="AP44" s="2629">
        <f t="shared" si="27"/>
        <v>0</v>
      </c>
      <c r="AQ44" s="2629">
        <f t="shared" si="28"/>
        <v>0</v>
      </c>
      <c r="AR44" s="2629">
        <f t="shared" si="4"/>
        <v>0</v>
      </c>
      <c r="AS44" s="2629">
        <v>0</v>
      </c>
      <c r="AT44" s="2629">
        <v>0</v>
      </c>
      <c r="AU44" s="2629">
        <f t="shared" si="5"/>
        <v>0</v>
      </c>
      <c r="AV44" s="2629">
        <v>0</v>
      </c>
      <c r="AW44" s="2629">
        <v>0</v>
      </c>
      <c r="AX44" s="2629">
        <f t="shared" si="6"/>
        <v>0</v>
      </c>
      <c r="AY44" s="2629">
        <v>0</v>
      </c>
      <c r="AZ44" s="2629">
        <v>0</v>
      </c>
      <c r="BA44" s="2629">
        <v>0</v>
      </c>
      <c r="BB44" s="2629">
        <f t="shared" si="29"/>
        <v>0</v>
      </c>
      <c r="BC44" s="2629">
        <f t="shared" si="30"/>
        <v>0</v>
      </c>
      <c r="BD44" s="2629">
        <f t="shared" si="31"/>
        <v>0</v>
      </c>
      <c r="BE44" s="2629">
        <f t="shared" si="32"/>
        <v>0</v>
      </c>
      <c r="BF44" s="2630"/>
    </row>
    <row r="45" spans="1:58" ht="15" x14ac:dyDescent="0.2">
      <c r="A45" s="2624" t="s">
        <v>169</v>
      </c>
      <c r="B45" s="2597">
        <v>64.7</v>
      </c>
      <c r="C45" s="2597"/>
      <c r="D45" s="2598">
        <f>C45/B45*100</f>
        <v>0</v>
      </c>
      <c r="E45" s="2597"/>
      <c r="F45" s="2598"/>
      <c r="G45" s="2599">
        <v>1.5</v>
      </c>
      <c r="H45" s="2598"/>
      <c r="I45" s="2600"/>
      <c r="J45" s="2600"/>
      <c r="K45" s="2600"/>
      <c r="L45" s="2600"/>
      <c r="M45" s="2605">
        <f>K45/G45*100</f>
        <v>0</v>
      </c>
      <c r="N45" s="2600">
        <v>0</v>
      </c>
      <c r="O45" s="2600"/>
      <c r="P45" s="2600"/>
      <c r="Q45" s="2600">
        <v>0</v>
      </c>
      <c r="R45" s="2600"/>
      <c r="S45" s="2599"/>
      <c r="T45" s="2602"/>
      <c r="U45" s="2603" t="e">
        <f>R45*#REF!</f>
        <v>#REF!</v>
      </c>
      <c r="V45" s="2603" t="e">
        <f>R45*#REF!</f>
        <v>#REF!</v>
      </c>
      <c r="W45" s="2603">
        <f t="shared" si="23"/>
        <v>0</v>
      </c>
      <c r="X45" s="2603">
        <f t="shared" si="24"/>
        <v>0</v>
      </c>
      <c r="Y45" s="2603"/>
      <c r="Z45" s="2603"/>
      <c r="AA45" s="2603"/>
      <c r="AB45" s="2600"/>
      <c r="AC45" s="2599"/>
      <c r="AD45" s="2603"/>
      <c r="AE45" s="2603"/>
      <c r="AF45" s="2604"/>
      <c r="AG45" s="2604"/>
      <c r="AH45" s="2603"/>
      <c r="AI45" s="2603"/>
      <c r="AJ45" s="2599"/>
      <c r="AK45" s="2603">
        <f>AJ45*AI57</f>
        <v>0</v>
      </c>
      <c r="AL45" s="2603">
        <f>AJ45*AI58</f>
        <v>0</v>
      </c>
      <c r="AM45" s="2604"/>
      <c r="AN45" s="2604"/>
      <c r="AO45" s="2676">
        <f t="shared" si="45"/>
        <v>0</v>
      </c>
      <c r="AP45" s="2629">
        <f t="shared" si="27"/>
        <v>0</v>
      </c>
      <c r="AQ45" s="2629">
        <f t="shared" si="28"/>
        <v>0</v>
      </c>
      <c r="AR45" s="2629">
        <f t="shared" si="4"/>
        <v>0</v>
      </c>
      <c r="AS45" s="2629">
        <v>0</v>
      </c>
      <c r="AT45" s="2629">
        <v>0</v>
      </c>
      <c r="AU45" s="2629">
        <f t="shared" si="5"/>
        <v>0</v>
      </c>
      <c r="AV45" s="2629">
        <v>0</v>
      </c>
      <c r="AW45" s="2629">
        <v>0</v>
      </c>
      <c r="AX45" s="2629">
        <f t="shared" si="6"/>
        <v>0</v>
      </c>
      <c r="AY45" s="2629">
        <v>0</v>
      </c>
      <c r="AZ45" s="2629">
        <v>0</v>
      </c>
      <c r="BA45" s="2629">
        <v>0</v>
      </c>
      <c r="BB45" s="2629">
        <f t="shared" si="29"/>
        <v>0</v>
      </c>
      <c r="BC45" s="2629">
        <f t="shared" si="30"/>
        <v>0</v>
      </c>
      <c r="BD45" s="2629">
        <f t="shared" si="31"/>
        <v>0</v>
      </c>
      <c r="BE45" s="2629">
        <f t="shared" si="32"/>
        <v>0</v>
      </c>
      <c r="BF45" s="2630"/>
    </row>
    <row r="46" spans="1:58" ht="15" x14ac:dyDescent="0.2">
      <c r="A46" s="2624" t="s">
        <v>312</v>
      </c>
      <c r="B46" s="2597"/>
      <c r="C46" s="2597"/>
      <c r="D46" s="2598"/>
      <c r="E46" s="2597"/>
      <c r="F46" s="2598"/>
      <c r="G46" s="2599"/>
      <c r="H46" s="2598"/>
      <c r="I46" s="2600"/>
      <c r="J46" s="2600"/>
      <c r="K46" s="2600"/>
      <c r="L46" s="2600"/>
      <c r="M46" s="2605"/>
      <c r="N46" s="2600"/>
      <c r="O46" s="2600"/>
      <c r="P46" s="2600">
        <v>2.84</v>
      </c>
      <c r="Q46" s="2600"/>
      <c r="R46" s="2600"/>
      <c r="S46" s="2599"/>
      <c r="T46" s="2602"/>
      <c r="U46" s="2603" t="e">
        <f>R46*#REF!</f>
        <v>#REF!</v>
      </c>
      <c r="V46" s="2603" t="e">
        <f>R46*#REF!</f>
        <v>#REF!</v>
      </c>
      <c r="W46" s="2603">
        <f t="shared" si="23"/>
        <v>0</v>
      </c>
      <c r="X46" s="2603">
        <f t="shared" si="24"/>
        <v>0</v>
      </c>
      <c r="Y46" s="2603"/>
      <c r="Z46" s="2603"/>
      <c r="AA46" s="2603"/>
      <c r="AB46" s="2600"/>
      <c r="AC46" s="2599"/>
      <c r="AD46" s="2603"/>
      <c r="AE46" s="2603"/>
      <c r="AF46" s="2604"/>
      <c r="AG46" s="2604"/>
      <c r="AH46" s="2603"/>
      <c r="AI46" s="2603"/>
      <c r="AJ46" s="2599"/>
      <c r="AK46" s="2603">
        <f>AJ46*AI57</f>
        <v>0</v>
      </c>
      <c r="AL46" s="2603">
        <f>AJ46*AI58</f>
        <v>0</v>
      </c>
      <c r="AM46" s="2604"/>
      <c r="AN46" s="2604"/>
      <c r="AO46" s="2676">
        <f t="shared" si="45"/>
        <v>0</v>
      </c>
      <c r="AP46" s="2629">
        <f t="shared" si="27"/>
        <v>0</v>
      </c>
      <c r="AQ46" s="2629">
        <f t="shared" si="28"/>
        <v>0</v>
      </c>
      <c r="AR46" s="2629">
        <f t="shared" si="4"/>
        <v>0</v>
      </c>
      <c r="AS46" s="2629">
        <v>0</v>
      </c>
      <c r="AT46" s="2629">
        <v>0</v>
      </c>
      <c r="AU46" s="2629">
        <f t="shared" si="5"/>
        <v>0</v>
      </c>
      <c r="AV46" s="2629">
        <v>0</v>
      </c>
      <c r="AW46" s="2629">
        <v>0</v>
      </c>
      <c r="AX46" s="2629">
        <f t="shared" si="6"/>
        <v>0</v>
      </c>
      <c r="AY46" s="2629">
        <v>0</v>
      </c>
      <c r="AZ46" s="2629">
        <v>0</v>
      </c>
      <c r="BA46" s="2629">
        <v>0</v>
      </c>
      <c r="BB46" s="2629">
        <f t="shared" si="29"/>
        <v>0</v>
      </c>
      <c r="BC46" s="2629">
        <f t="shared" si="30"/>
        <v>0</v>
      </c>
      <c r="BD46" s="2629">
        <f t="shared" si="31"/>
        <v>0</v>
      </c>
      <c r="BE46" s="2629">
        <f t="shared" si="32"/>
        <v>0</v>
      </c>
      <c r="BF46" s="2630"/>
    </row>
    <row r="47" spans="1:58" ht="15" x14ac:dyDescent="0.2">
      <c r="A47" s="2624" t="s">
        <v>313</v>
      </c>
      <c r="B47" s="2597"/>
      <c r="C47" s="2597"/>
      <c r="D47" s="2598"/>
      <c r="E47" s="2597"/>
      <c r="F47" s="2598"/>
      <c r="G47" s="2599"/>
      <c r="H47" s="2598"/>
      <c r="I47" s="2600"/>
      <c r="J47" s="2600"/>
      <c r="K47" s="2600"/>
      <c r="L47" s="2600"/>
      <c r="M47" s="2605"/>
      <c r="N47" s="2600"/>
      <c r="O47" s="2600"/>
      <c r="P47" s="2600">
        <v>27.65</v>
      </c>
      <c r="Q47" s="2600"/>
      <c r="R47" s="2600"/>
      <c r="S47" s="2599"/>
      <c r="T47" s="2602"/>
      <c r="U47" s="2603" t="e">
        <f>R47*#REF!</f>
        <v>#REF!</v>
      </c>
      <c r="V47" s="2603" t="e">
        <f>R47*#REF!</f>
        <v>#REF!</v>
      </c>
      <c r="W47" s="2603">
        <f t="shared" si="23"/>
        <v>0</v>
      </c>
      <c r="X47" s="2603">
        <f t="shared" si="24"/>
        <v>0</v>
      </c>
      <c r="Y47" s="2603"/>
      <c r="Z47" s="2603">
        <v>439.22</v>
      </c>
      <c r="AA47" s="2603"/>
      <c r="AB47" s="2600"/>
      <c r="AC47" s="2599"/>
      <c r="AD47" s="2603"/>
      <c r="AE47" s="2603"/>
      <c r="AF47" s="2604"/>
      <c r="AG47" s="2604"/>
      <c r="AH47" s="2603"/>
      <c r="AI47" s="2603"/>
      <c r="AJ47" s="2599"/>
      <c r="AK47" s="2603">
        <f>AJ47*AI57</f>
        <v>0</v>
      </c>
      <c r="AL47" s="2603">
        <f>AJ47*AI58</f>
        <v>0</v>
      </c>
      <c r="AM47" s="2604"/>
      <c r="AN47" s="2604"/>
      <c r="AO47" s="2676">
        <f t="shared" si="45"/>
        <v>0</v>
      </c>
      <c r="AP47" s="2629">
        <f t="shared" si="27"/>
        <v>0</v>
      </c>
      <c r="AQ47" s="2629">
        <f t="shared" si="28"/>
        <v>0</v>
      </c>
      <c r="AR47" s="2629">
        <f t="shared" si="4"/>
        <v>0</v>
      </c>
      <c r="AS47" s="2629">
        <v>0</v>
      </c>
      <c r="AT47" s="2629">
        <v>0</v>
      </c>
      <c r="AU47" s="2629">
        <f t="shared" si="5"/>
        <v>0</v>
      </c>
      <c r="AV47" s="2629">
        <v>0</v>
      </c>
      <c r="AW47" s="2629">
        <v>0</v>
      </c>
      <c r="AX47" s="2629">
        <f t="shared" si="6"/>
        <v>0</v>
      </c>
      <c r="AY47" s="2629">
        <v>0</v>
      </c>
      <c r="AZ47" s="2629">
        <v>0</v>
      </c>
      <c r="BA47" s="2629">
        <v>0</v>
      </c>
      <c r="BB47" s="2629">
        <f t="shared" si="29"/>
        <v>0</v>
      </c>
      <c r="BC47" s="2629">
        <f t="shared" si="30"/>
        <v>0</v>
      </c>
      <c r="BD47" s="2629">
        <f t="shared" si="31"/>
        <v>0</v>
      </c>
      <c r="BE47" s="2629">
        <f t="shared" si="32"/>
        <v>0</v>
      </c>
      <c r="BF47" s="2630"/>
    </row>
    <row r="48" spans="1:58" ht="15" x14ac:dyDescent="0.2">
      <c r="A48" s="2624" t="s">
        <v>98</v>
      </c>
      <c r="B48" s="2597">
        <v>2</v>
      </c>
      <c r="C48" s="2597"/>
      <c r="D48" s="2598">
        <f>C48/B48*100</f>
        <v>0</v>
      </c>
      <c r="E48" s="2597"/>
      <c r="F48" s="2598"/>
      <c r="G48" s="2599">
        <v>1.5</v>
      </c>
      <c r="H48" s="2598"/>
      <c r="I48" s="2600"/>
      <c r="J48" s="2600"/>
      <c r="K48" s="2600"/>
      <c r="L48" s="2600">
        <v>109.5</v>
      </c>
      <c r="M48" s="2605">
        <f>K48/G48*100</f>
        <v>0</v>
      </c>
      <c r="N48" s="2600">
        <v>0</v>
      </c>
      <c r="O48" s="2600"/>
      <c r="P48" s="2600"/>
      <c r="Q48" s="2600">
        <v>0</v>
      </c>
      <c r="R48" s="2600">
        <v>115.5</v>
      </c>
      <c r="S48" s="2599">
        <v>12.215999999999999</v>
      </c>
      <c r="T48" s="2602"/>
      <c r="U48" s="2603" t="e">
        <f>R48*#REF!</f>
        <v>#REF!</v>
      </c>
      <c r="V48" s="2603" t="e">
        <f>R48*#REF!</f>
        <v>#REF!</v>
      </c>
      <c r="W48" s="2603">
        <f t="shared" si="23"/>
        <v>6.9750802861685202</v>
      </c>
      <c r="X48" s="2603">
        <f t="shared" si="24"/>
        <v>4.9542531796502365</v>
      </c>
      <c r="Y48" s="2603">
        <v>2.94</v>
      </c>
      <c r="Z48" s="2603">
        <v>8.73</v>
      </c>
      <c r="AA48" s="2603">
        <v>11.6</v>
      </c>
      <c r="AB48" s="2600">
        <v>12.2</v>
      </c>
      <c r="AC48" s="2599">
        <v>12.215999999999999</v>
      </c>
      <c r="AD48" s="2603">
        <f>W48</f>
        <v>6.9750802861685202</v>
      </c>
      <c r="AE48" s="2603">
        <f>X48</f>
        <v>4.9542531796502365</v>
      </c>
      <c r="AF48" s="2604">
        <f>AD48/W48</f>
        <v>1</v>
      </c>
      <c r="AG48" s="2604">
        <f>AE48/X48</f>
        <v>1</v>
      </c>
      <c r="AH48" s="2603">
        <v>6.17</v>
      </c>
      <c r="AI48" s="2603">
        <v>9.26</v>
      </c>
      <c r="AJ48" s="2599">
        <f t="shared" ref="AJ48" si="47">SUM(AA48*1.1)</f>
        <v>12.76</v>
      </c>
      <c r="AK48" s="2603">
        <f>AJ48*AI57</f>
        <v>7.6049599999999993</v>
      </c>
      <c r="AL48" s="2603">
        <f>AJ48*AI58</f>
        <v>5.1550400000000005</v>
      </c>
      <c r="AM48" s="2604">
        <f>AK48/AD48</f>
        <v>1.0903042958631632</v>
      </c>
      <c r="AN48" s="2604">
        <f>AL48/AE48</f>
        <v>1.0405281710620893</v>
      </c>
      <c r="AO48" s="2676">
        <f>AJ48</f>
        <v>12.76</v>
      </c>
      <c r="AP48" s="2629">
        <f t="shared" si="27"/>
        <v>6.9434175819675454</v>
      </c>
      <c r="AQ48" s="2629">
        <f t="shared" si="28"/>
        <v>5.7478200856768931</v>
      </c>
      <c r="AR48" s="2629">
        <f t="shared" si="4"/>
        <v>13.190000000000001</v>
      </c>
      <c r="AS48" s="2629">
        <v>7.78</v>
      </c>
      <c r="AT48" s="2629">
        <v>5.41</v>
      </c>
      <c r="AU48" s="2671">
        <f>AV48+AW48</f>
        <v>13.942</v>
      </c>
      <c r="AV48" s="2629">
        <v>8.0863600000000009</v>
      </c>
      <c r="AW48" s="2629">
        <v>5.8556400000000002</v>
      </c>
      <c r="AX48" s="2629">
        <f t="shared" si="6"/>
        <v>14.35</v>
      </c>
      <c r="AY48" s="2629">
        <v>8.34</v>
      </c>
      <c r="AZ48" s="2629">
        <v>6.01</v>
      </c>
      <c r="BA48" s="2629">
        <f>'Аренда земли'!D30/1000</f>
        <v>14.946957999999999</v>
      </c>
      <c r="BB48" s="2629">
        <f t="shared" si="29"/>
        <v>8.6887448648147121</v>
      </c>
      <c r="BC48" s="2629">
        <f t="shared" si="30"/>
        <v>5.6260920012559419</v>
      </c>
      <c r="BD48" s="2629">
        <f t="shared" si="31"/>
        <v>0.59638916526770314</v>
      </c>
      <c r="BE48" s="2629">
        <f t="shared" si="32"/>
        <v>3.5731968661640502E-2</v>
      </c>
      <c r="BF48" s="2630" t="s">
        <v>2163</v>
      </c>
    </row>
    <row r="49" spans="1:59" ht="48.75" customHeight="1" x14ac:dyDescent="0.2">
      <c r="A49" s="2622" t="s">
        <v>655</v>
      </c>
      <c r="B49" s="2597"/>
      <c r="C49" s="2597"/>
      <c r="D49" s="2598"/>
      <c r="E49" s="2597"/>
      <c r="F49" s="2598"/>
      <c r="G49" s="2599"/>
      <c r="H49" s="2598"/>
      <c r="I49" s="2600"/>
      <c r="J49" s="2600"/>
      <c r="K49" s="2600"/>
      <c r="L49" s="2600"/>
      <c r="M49" s="2605"/>
      <c r="N49" s="2600"/>
      <c r="O49" s="2600"/>
      <c r="P49" s="2600"/>
      <c r="Q49" s="2600"/>
      <c r="R49" s="2600"/>
      <c r="S49" s="2599"/>
      <c r="T49" s="2602"/>
      <c r="U49" s="2603"/>
      <c r="V49" s="2603"/>
      <c r="W49" s="2603"/>
      <c r="X49" s="2603"/>
      <c r="Y49" s="2603"/>
      <c r="Z49" s="2603"/>
      <c r="AA49" s="2603">
        <v>1148.98</v>
      </c>
      <c r="AB49" s="2600"/>
      <c r="AC49" s="2599"/>
      <c r="AD49" s="2603"/>
      <c r="AE49" s="2603"/>
      <c r="AF49" s="2604"/>
      <c r="AG49" s="2604"/>
      <c r="AH49" s="2603">
        <v>270</v>
      </c>
      <c r="AI49" s="2603">
        <v>405</v>
      </c>
      <c r="AJ49" s="2599">
        <v>249</v>
      </c>
      <c r="AK49" s="2603">
        <f>AJ49*AI57</f>
        <v>148.404</v>
      </c>
      <c r="AL49" s="2603">
        <f>AJ49*AI58</f>
        <v>100.596</v>
      </c>
      <c r="AM49" s="2604"/>
      <c r="AN49" s="2604"/>
      <c r="AO49" s="2676">
        <f>'налог на имущ'!E15</f>
        <v>65.63542333333335</v>
      </c>
      <c r="AP49" s="2629">
        <f t="shared" si="27"/>
        <v>35.715842662425523</v>
      </c>
      <c r="AQ49" s="2629">
        <f t="shared" si="28"/>
        <v>29.56587810088082</v>
      </c>
      <c r="AR49" s="2629">
        <f t="shared" si="4"/>
        <v>0</v>
      </c>
      <c r="AS49" s="2629">
        <v>0</v>
      </c>
      <c r="AT49" s="2629">
        <v>0</v>
      </c>
      <c r="AU49" s="2671">
        <f t="shared" si="5"/>
        <v>143.71559999999999</v>
      </c>
      <c r="AV49" s="2629">
        <f>24.57627+58.77878</f>
        <v>83.355050000000006</v>
      </c>
      <c r="AW49" s="2629">
        <f>17.79661+42.56394</f>
        <v>60.360550000000003</v>
      </c>
      <c r="AX49" s="2629">
        <f t="shared" si="6"/>
        <v>161.63</v>
      </c>
      <c r="AY49" s="2629">
        <v>93.92</v>
      </c>
      <c r="AZ49" s="2629">
        <v>67.709999999999994</v>
      </c>
      <c r="BA49" s="2629">
        <f>AU49*1.027*1.046</f>
        <v>154.38533357520001</v>
      </c>
      <c r="BB49" s="2629">
        <f t="shared" si="29"/>
        <v>89.745001913046494</v>
      </c>
      <c r="BC49" s="2629">
        <f t="shared" si="30"/>
        <v>58.111228407724383</v>
      </c>
      <c r="BD49" s="2629">
        <f t="shared" si="31"/>
        <v>6.1600320426731274</v>
      </c>
      <c r="BE49" s="2629">
        <f t="shared" si="32"/>
        <v>0.36907121175599494</v>
      </c>
      <c r="BF49" s="2638" t="s">
        <v>1951</v>
      </c>
      <c r="BG49" s="1438" t="s">
        <v>247</v>
      </c>
    </row>
    <row r="50" spans="1:59" ht="15" x14ac:dyDescent="0.2">
      <c r="A50" s="2626" t="s">
        <v>12</v>
      </c>
      <c r="B50" s="2610">
        <f>SUM(B8:B48)</f>
        <v>15838.700000000003</v>
      </c>
      <c r="C50" s="2610">
        <f>SUM(C8:C39)</f>
        <v>17072.899999999991</v>
      </c>
      <c r="D50" s="2598">
        <f>C50/B50*100</f>
        <v>107.79230618674505</v>
      </c>
      <c r="E50" s="2610">
        <f>SUM(E8:E48)</f>
        <v>17239.899999999998</v>
      </c>
      <c r="F50" s="2610">
        <f>SUM(F8:F48)</f>
        <v>3153.2029134533927</v>
      </c>
      <c r="G50" s="2610">
        <f>SUM(G8:G48)</f>
        <v>19008.899999999998</v>
      </c>
      <c r="H50" s="2598">
        <f>G50/E50*100</f>
        <v>110.26108040069838</v>
      </c>
      <c r="I50" s="2611">
        <f>SUM(I8:I48)</f>
        <v>19197.563600000001</v>
      </c>
      <c r="J50" s="2611">
        <f>SUM(J8:J48)</f>
        <v>14908.387233621954</v>
      </c>
      <c r="K50" s="2611">
        <f>SUM(K8:K48)</f>
        <v>21840.935330518507</v>
      </c>
      <c r="L50" s="2611">
        <f>SUM(L16:L48)+L8+L9+L10+L11</f>
        <v>20861.2</v>
      </c>
      <c r="M50" s="2605">
        <f>K50/G50*100</f>
        <v>114.89847035082781</v>
      </c>
      <c r="N50" s="2611">
        <f t="shared" ref="N50:S50" si="48">SUM(N16:N48)+N8+N9+N10+N11</f>
        <v>20289.383040266664</v>
      </c>
      <c r="O50" s="2611">
        <f t="shared" si="48"/>
        <v>12076.8</v>
      </c>
      <c r="P50" s="2611">
        <f t="shared" si="48"/>
        <v>18482.569625</v>
      </c>
      <c r="Q50" s="2611">
        <f t="shared" si="48"/>
        <v>24513</v>
      </c>
      <c r="R50" s="2611">
        <f t="shared" si="48"/>
        <v>26753.66</v>
      </c>
      <c r="S50" s="2611">
        <f t="shared" si="48"/>
        <v>21065.913023511166</v>
      </c>
      <c r="T50" s="2612">
        <f>S50/N50</f>
        <v>1.0382727252821531</v>
      </c>
      <c r="U50" s="2613" t="e">
        <f t="shared" ref="U50:Z50" si="49">SUM(U8:U48)-U12-U14-U13</f>
        <v>#REF!</v>
      </c>
      <c r="V50" s="2613" t="e">
        <f t="shared" si="49"/>
        <v>#REF!</v>
      </c>
      <c r="W50" s="2613">
        <f t="shared" si="49"/>
        <v>12028.195370042011</v>
      </c>
      <c r="X50" s="2613">
        <f t="shared" si="49"/>
        <v>8543.374801814467</v>
      </c>
      <c r="Y50" s="2613">
        <f t="shared" si="49"/>
        <v>11845.489999999998</v>
      </c>
      <c r="Z50" s="2613">
        <f t="shared" si="49"/>
        <v>17750.399999999994</v>
      </c>
      <c r="AA50" s="2613">
        <f>SUM(AA8:AA49)-AA12-AA14-AA13</f>
        <v>23798.809999999998</v>
      </c>
      <c r="AB50" s="2611">
        <f>SUM(AB16:AB48)+AB8+AB9+AB10+AB11</f>
        <v>24794.63</v>
      </c>
      <c r="AC50" s="2611">
        <f>SUM(AC16:AC48)+AC8+AC9+AC10+AC11</f>
        <v>22083.255095023407</v>
      </c>
      <c r="AD50" s="2611">
        <f>SUM(AD16:AD48)+AD8+AD9+AD10+AD11</f>
        <v>13073.01213648671</v>
      </c>
      <c r="AE50" s="2611">
        <f>SUM(AE16:AE48)+AE8+AE9+AE10+AE11</f>
        <v>8833.3841337506801</v>
      </c>
      <c r="AF50" s="2604">
        <f>AD50/W50</f>
        <v>1.0868639670625047</v>
      </c>
      <c r="AG50" s="2604">
        <f>AE50/X50</f>
        <v>1.0339455237144248</v>
      </c>
      <c r="AH50" s="2611">
        <f>SUM(AH8:AH49)-AH12-AH14-AH13</f>
        <v>11015.409999999982</v>
      </c>
      <c r="AI50" s="2614">
        <f>SUM(AI8:AI49)-AI12-AI14-AI13</f>
        <v>16483.249999999993</v>
      </c>
      <c r="AJ50" s="2611">
        <f>SUM(AJ16:AJ49)+AJ8+AJ9+AJ10+AJ11</f>
        <v>27535.565710230981</v>
      </c>
      <c r="AK50" s="2611">
        <f>SUM(AK16:AK49)+AK8+AK9+AK10+AK11</f>
        <v>16411.197163297664</v>
      </c>
      <c r="AL50" s="2611">
        <f>SUM(AL16:AL49)+AL8+AL9+AL10+AL11</f>
        <v>11124.368546933318</v>
      </c>
      <c r="AM50" s="2604">
        <f>AK50/AD50</f>
        <v>1.255349340454913</v>
      </c>
      <c r="AN50" s="2604">
        <f>AL50/AE50</f>
        <v>1.2593552344711494</v>
      </c>
      <c r="AO50" s="2680">
        <f>SUM(AO16:AO48)+AO8+AO9+AO10+AO11</f>
        <v>23744.037959511399</v>
      </c>
      <c r="AP50" s="2627">
        <f>SUM(AP16:AP49)+AP8+AP9+AP10+AP11</f>
        <v>12956.15241280163</v>
      </c>
      <c r="AQ50" s="2627">
        <f>SUM(AQ16:AQ49)+AQ8+AQ9+AQ10+AQ11</f>
        <v>10725.213080197605</v>
      </c>
      <c r="AR50" s="2627">
        <f t="shared" ref="AR50:AT50" si="50">SUM(AR16:AR49)+AR8+AR9+AR10+AR11</f>
        <v>20547.690000000002</v>
      </c>
      <c r="AS50" s="2627">
        <f t="shared" si="50"/>
        <v>12134.94</v>
      </c>
      <c r="AT50" s="2627">
        <f t="shared" si="50"/>
        <v>8412.75</v>
      </c>
      <c r="AU50" s="2627">
        <f>SUM(AU15:AU49)+AU8+AU9+AU10+AU11</f>
        <v>23322.355029999999</v>
      </c>
      <c r="AV50" s="2627">
        <f t="shared" ref="AV50:AW50" si="51">SUM(AV15:AV49)+AV8+AV9+AV10+AV11</f>
        <v>13525.249959999999</v>
      </c>
      <c r="AW50" s="2627">
        <f t="shared" si="51"/>
        <v>9797.1050800000012</v>
      </c>
      <c r="AX50" s="2627">
        <f t="shared" ref="AX50" si="52">SUM(AX16:AX49)+AX8+AX9+AX10+AX11</f>
        <v>31672.924338638157</v>
      </c>
      <c r="AY50" s="2627">
        <f t="shared" ref="AY50" si="53">SUM(AY16:AY49)+AY8+AY9+AY10+AY11</f>
        <v>18399.764338638161</v>
      </c>
      <c r="AZ50" s="2627">
        <f t="shared" ref="AZ50" si="54">SUM(AZ16:AZ49)+AZ8+AZ9+AZ10+AZ11</f>
        <v>13273.16</v>
      </c>
      <c r="BA50" s="2627">
        <f>SUM(BA16:BA49)+BA8+BA9+BA10+BA11</f>
        <v>25972.808458062747</v>
      </c>
      <c r="BB50" s="2627">
        <f t="shared" ref="BB50" si="55">SUM(BB16:BB49)+BB8+BB9+BB10+BB11</f>
        <v>15098.129406318585</v>
      </c>
      <c r="BC50" s="2627">
        <f t="shared" ref="BC50:BE50" si="56">SUM(BC16:BC49)+BC8+BC9+BC10+BC11</f>
        <v>9776.2641680039196</v>
      </c>
      <c r="BD50" s="2627">
        <f t="shared" si="56"/>
        <v>1036.3246859971096</v>
      </c>
      <c r="BE50" s="2627">
        <f t="shared" si="56"/>
        <v>62.090197743132059</v>
      </c>
      <c r="BF50" s="2630"/>
    </row>
    <row r="51" spans="1:59" s="2637" customFormat="1" ht="38.25" x14ac:dyDescent="0.2">
      <c r="A51" s="2634" t="s">
        <v>44</v>
      </c>
      <c r="B51" s="2634"/>
      <c r="C51" s="2634"/>
      <c r="D51" s="2634"/>
      <c r="E51" s="2634"/>
      <c r="F51" s="2634"/>
      <c r="G51" s="2634"/>
      <c r="H51" s="2634"/>
      <c r="I51" s="2634"/>
      <c r="J51" s="2634"/>
      <c r="K51" s="2634"/>
      <c r="L51" s="2634"/>
      <c r="M51" s="2634"/>
      <c r="N51" s="2634"/>
      <c r="O51" s="2634"/>
      <c r="P51" s="2634"/>
      <c r="Q51" s="2634"/>
      <c r="R51" s="2634"/>
      <c r="S51" s="2634"/>
      <c r="T51" s="2634"/>
      <c r="U51" s="2634"/>
      <c r="V51" s="2634"/>
      <c r="W51" s="2634"/>
      <c r="X51" s="2634"/>
      <c r="Y51" s="2634"/>
      <c r="Z51" s="2634"/>
      <c r="AA51" s="2634"/>
      <c r="AB51" s="2634"/>
      <c r="AC51" s="2635">
        <f>AC50/S50</f>
        <v>1.0482932816810175</v>
      </c>
      <c r="AD51" s="2635">
        <f>AD50/W50</f>
        <v>1.0868639670625047</v>
      </c>
      <c r="AE51" s="2635">
        <f>AE50/X50</f>
        <v>1.0339455237144248</v>
      </c>
      <c r="AF51" s="2634"/>
      <c r="AG51" s="2634"/>
      <c r="AH51" s="2634"/>
      <c r="AI51" s="2634"/>
      <c r="AJ51" s="2635">
        <f>SUM(AJ50/AC50)</f>
        <v>1.2468979591888283</v>
      </c>
      <c r="AK51" s="2635">
        <f t="shared" ref="AK51:AL51" si="57">SUM(AK50/AD50)</f>
        <v>1.255349340454913</v>
      </c>
      <c r="AL51" s="2635">
        <f t="shared" si="57"/>
        <v>1.2593552344711494</v>
      </c>
      <c r="AM51" s="2634"/>
      <c r="AN51" s="2634"/>
      <c r="AO51" s="2635">
        <f>AO50/AC50</f>
        <v>1.0752055282313095</v>
      </c>
      <c r="AP51" s="2635">
        <f>AP50/AD50</f>
        <v>0.99106099478337317</v>
      </c>
      <c r="AQ51" s="2635">
        <f>AQ50/AE50</f>
        <v>1.2141680830134634</v>
      </c>
      <c r="AR51" s="2635">
        <f>AS51+AT51</f>
        <v>1</v>
      </c>
      <c r="AS51" s="2635">
        <f>AS50/AR50</f>
        <v>0.59057441493423346</v>
      </c>
      <c r="AT51" s="2635">
        <f>AT50/AR50</f>
        <v>0.40942558506576648</v>
      </c>
      <c r="AU51" s="2636">
        <f t="shared" si="5"/>
        <v>1.0000000004287732</v>
      </c>
      <c r="AV51" s="2635">
        <f>AV50/AU50</f>
        <v>0.57992642435132336</v>
      </c>
      <c r="AW51" s="2635">
        <f>AW50/AU50</f>
        <v>0.42007357607744994</v>
      </c>
      <c r="AX51" s="2636">
        <f t="shared" ref="AX51" si="58">AY51+AZ51</f>
        <v>1</v>
      </c>
      <c r="AY51" s="2635">
        <f>AY50/AX50</f>
        <v>0.5809303915834535</v>
      </c>
      <c r="AZ51" s="2635">
        <f>AZ50/AX50</f>
        <v>0.41906960841654656</v>
      </c>
      <c r="BA51" s="2635">
        <f>BB51+BC51+BD51+BE51</f>
        <v>0.99999999999999989</v>
      </c>
      <c r="BB51" s="2635">
        <f>'распределение ОХР'!E18</f>
        <v>0.58130523045657267</v>
      </c>
      <c r="BC51" s="2635">
        <f>'распределение ОХР'!E19</f>
        <v>0.37640381415776658</v>
      </c>
      <c r="BD51" s="2635">
        <f>'распределение ОХР'!E17</f>
        <v>3.9900370715412671E-2</v>
      </c>
      <c r="BE51" s="2635">
        <f>'распределение ОХР'!E15+'распределение ОХР'!E16</f>
        <v>2.3905846702479867E-3</v>
      </c>
      <c r="BF51" s="2837" t="s">
        <v>2123</v>
      </c>
    </row>
    <row r="52" spans="1:59" ht="27" hidden="1" customHeight="1" x14ac:dyDescent="0.2">
      <c r="A52" s="4585" t="s">
        <v>314</v>
      </c>
      <c r="B52" s="4585"/>
      <c r="C52" s="4585"/>
      <c r="D52" s="4585"/>
      <c r="E52" s="4585"/>
      <c r="F52" s="4585"/>
      <c r="G52" s="4585"/>
      <c r="H52" s="4585"/>
      <c r="I52" s="4585"/>
      <c r="J52" s="4585"/>
      <c r="K52" s="4585"/>
      <c r="L52" s="4585"/>
      <c r="M52" s="4585"/>
      <c r="N52" s="4585"/>
      <c r="O52" s="4585"/>
      <c r="P52" s="4585"/>
      <c r="Q52" s="4585"/>
      <c r="R52" s="4585"/>
      <c r="S52" s="4585"/>
      <c r="T52" s="4585"/>
      <c r="U52" s="4585"/>
      <c r="V52" s="4585"/>
      <c r="W52" s="4585"/>
      <c r="X52" s="4585"/>
      <c r="Y52" s="4585"/>
      <c r="Z52" s="4585"/>
      <c r="AA52" s="4585"/>
      <c r="AB52" s="4585"/>
      <c r="AC52" s="4585"/>
      <c r="AD52" s="4585"/>
      <c r="AE52" s="4585"/>
      <c r="AF52" s="4585"/>
      <c r="AG52" s="4585"/>
      <c r="AH52" s="4585"/>
      <c r="AI52" s="4585"/>
      <c r="AJ52" s="4585"/>
      <c r="AK52" s="658"/>
      <c r="AL52" s="658"/>
      <c r="AM52" s="658"/>
      <c r="AN52" s="658"/>
      <c r="AO52" s="2681">
        <f>AO50/AC50</f>
        <v>1.0752055282313095</v>
      </c>
      <c r="AP52" s="654"/>
      <c r="AQ52" s="654"/>
      <c r="AR52" s="654"/>
      <c r="AS52" s="654"/>
      <c r="AT52" s="654"/>
      <c r="AU52" s="2616"/>
      <c r="AV52" s="2616"/>
      <c r="AW52" s="2616"/>
      <c r="AX52" s="2616"/>
      <c r="AY52" s="2616"/>
      <c r="AZ52" s="2616"/>
      <c r="BA52" s="2616"/>
      <c r="BB52" s="2616"/>
      <c r="BC52" s="2616"/>
      <c r="BD52" s="2616"/>
      <c r="BE52" s="2616"/>
      <c r="BF52" s="2616"/>
    </row>
    <row r="53" spans="1:59" ht="38.25" hidden="1" customHeight="1" x14ac:dyDescent="0.2">
      <c r="A53" s="4578" t="s">
        <v>315</v>
      </c>
      <c r="B53" s="4578">
        <v>2008</v>
      </c>
      <c r="C53" s="4578"/>
      <c r="D53" s="4578" t="s">
        <v>67</v>
      </c>
      <c r="E53" s="4578"/>
      <c r="F53" s="2682" t="s">
        <v>67</v>
      </c>
      <c r="G53" s="4578" t="s">
        <v>95</v>
      </c>
      <c r="H53" s="4578"/>
      <c r="I53" s="4579" t="s">
        <v>298</v>
      </c>
      <c r="J53" s="4579"/>
      <c r="K53" s="4579"/>
      <c r="L53" s="4579"/>
      <c r="M53" s="4579"/>
      <c r="N53" s="4579"/>
      <c r="O53" s="4581" t="str">
        <f>N4</f>
        <v>2013 год</v>
      </c>
      <c r="P53" s="4581"/>
      <c r="Q53" s="4581"/>
      <c r="R53" s="4581"/>
      <c r="S53" s="4581"/>
      <c r="T53" s="4581"/>
      <c r="U53" s="4581"/>
      <c r="V53" s="4581"/>
      <c r="W53" s="4581"/>
      <c r="X53" s="4581"/>
      <c r="Y53" s="4582" t="s">
        <v>235</v>
      </c>
      <c r="Z53" s="4573"/>
      <c r="AA53" s="4573"/>
      <c r="AB53" s="4573"/>
      <c r="AC53" s="4573"/>
      <c r="AD53" s="4573"/>
      <c r="AE53" s="4570" t="s">
        <v>373</v>
      </c>
      <c r="AF53" s="4571"/>
      <c r="AG53" s="4571"/>
      <c r="AH53" s="4571"/>
      <c r="AI53" s="4579" t="s">
        <v>657</v>
      </c>
      <c r="AJ53" s="4579"/>
      <c r="AK53" s="4579"/>
      <c r="AL53" s="4579"/>
      <c r="AM53" s="4579"/>
      <c r="AN53" s="2683"/>
      <c r="AO53" s="2684"/>
      <c r="AP53" s="2685"/>
      <c r="AQ53" s="2685"/>
      <c r="AR53" s="2685"/>
      <c r="AS53" s="2685"/>
      <c r="AT53" s="2685"/>
      <c r="AU53" s="2686"/>
      <c r="AV53" s="2686"/>
      <c r="AW53" s="2686"/>
      <c r="AX53" s="2687"/>
      <c r="AY53" s="2686"/>
      <c r="AZ53" s="2686"/>
      <c r="BA53" s="2686"/>
      <c r="BB53" s="2686"/>
      <c r="BC53" s="2686"/>
      <c r="BD53" s="2686"/>
      <c r="BE53" s="2686"/>
      <c r="BF53" s="2686"/>
    </row>
    <row r="54" spans="1:59" ht="12.75" hidden="1" customHeight="1" x14ac:dyDescent="0.2">
      <c r="A54" s="4578"/>
      <c r="B54" s="4578"/>
      <c r="C54" s="4578"/>
      <c r="D54" s="4578"/>
      <c r="E54" s="4578"/>
      <c r="F54" s="2682"/>
      <c r="G54" s="4578"/>
      <c r="H54" s="4578"/>
      <c r="I54" s="4572" t="s">
        <v>299</v>
      </c>
      <c r="J54" s="4578" t="s">
        <v>130</v>
      </c>
      <c r="K54" s="4578" t="s">
        <v>316</v>
      </c>
      <c r="L54" s="4578" t="s">
        <v>300</v>
      </c>
      <c r="M54" s="4578"/>
      <c r="N54" s="4578"/>
      <c r="O54" s="4572" t="s">
        <v>299</v>
      </c>
      <c r="P54" s="4572"/>
      <c r="Q54" s="4572" t="s">
        <v>301</v>
      </c>
      <c r="R54" s="4572"/>
      <c r="S54" s="4572" t="s">
        <v>317</v>
      </c>
      <c r="T54" s="4572"/>
      <c r="U54" s="4578" t="s">
        <v>303</v>
      </c>
      <c r="V54" s="4578"/>
      <c r="W54" s="4580" t="s">
        <v>159</v>
      </c>
      <c r="X54" s="4580"/>
      <c r="Y54" s="4572" t="s">
        <v>299</v>
      </c>
      <c r="Z54" s="4572"/>
      <c r="AA54" s="4572" t="s">
        <v>426</v>
      </c>
      <c r="AB54" s="4573"/>
      <c r="AC54" s="4572" t="s">
        <v>654</v>
      </c>
      <c r="AD54" s="4573"/>
      <c r="AE54" s="4572" t="s">
        <v>278</v>
      </c>
      <c r="AF54" s="4573"/>
      <c r="AG54" s="4572" t="s">
        <v>386</v>
      </c>
      <c r="AH54" s="4573"/>
      <c r="AI54" s="4572" t="s">
        <v>278</v>
      </c>
      <c r="AJ54" s="4576"/>
      <c r="AK54" s="4572" t="s">
        <v>386</v>
      </c>
      <c r="AL54" s="4572"/>
      <c r="AM54" s="4572"/>
      <c r="AN54" s="2683"/>
      <c r="AO54" s="2684"/>
      <c r="AP54" s="2686"/>
      <c r="AQ54" s="2686"/>
      <c r="AR54" s="2686"/>
      <c r="AS54" s="2686"/>
      <c r="AT54" s="2686"/>
      <c r="AU54" s="2686"/>
      <c r="AV54" s="2686"/>
      <c r="AW54" s="2686"/>
      <c r="AX54" s="2686"/>
      <c r="AY54" s="2686"/>
      <c r="AZ54" s="2686"/>
      <c r="BA54" s="2686"/>
      <c r="BB54" s="2686"/>
      <c r="BC54" s="2686"/>
      <c r="BD54" s="2686"/>
      <c r="BE54" s="2686"/>
      <c r="BF54" s="2686"/>
    </row>
    <row r="55" spans="1:59" ht="15.75" hidden="1" customHeight="1" x14ac:dyDescent="0.2">
      <c r="A55" s="4578"/>
      <c r="B55" s="2597" t="s">
        <v>44</v>
      </c>
      <c r="C55" s="2597" t="s">
        <v>45</v>
      </c>
      <c r="D55" s="4578"/>
      <c r="E55" s="4578"/>
      <c r="F55" s="2597" t="s">
        <v>44</v>
      </c>
      <c r="G55" s="4578"/>
      <c r="H55" s="4578"/>
      <c r="I55" s="4572"/>
      <c r="J55" s="4578"/>
      <c r="K55" s="4578"/>
      <c r="L55" s="4578"/>
      <c r="M55" s="4578"/>
      <c r="N55" s="4578"/>
      <c r="O55" s="4572"/>
      <c r="P55" s="4572"/>
      <c r="Q55" s="4572"/>
      <c r="R55" s="4572"/>
      <c r="S55" s="4572"/>
      <c r="T55" s="4572"/>
      <c r="U55" s="4578"/>
      <c r="V55" s="4578"/>
      <c r="W55" s="4580"/>
      <c r="X55" s="4580"/>
      <c r="Y55" s="4572"/>
      <c r="Z55" s="4572"/>
      <c r="AA55" s="4573"/>
      <c r="AB55" s="4573"/>
      <c r="AC55" s="4573"/>
      <c r="AD55" s="4573"/>
      <c r="AE55" s="4573"/>
      <c r="AF55" s="4573"/>
      <c r="AG55" s="4573"/>
      <c r="AH55" s="4573"/>
      <c r="AI55" s="4576"/>
      <c r="AJ55" s="4576"/>
      <c r="AK55" s="4572"/>
      <c r="AL55" s="4572"/>
      <c r="AM55" s="4572"/>
      <c r="AN55" s="2683"/>
      <c r="AO55" s="2684"/>
      <c r="AP55" s="2688"/>
      <c r="AQ55" s="2688"/>
      <c r="AR55" s="2688"/>
      <c r="AS55" s="2688"/>
      <c r="AT55" s="2688"/>
      <c r="AU55" s="2688"/>
      <c r="AV55" s="2688"/>
      <c r="AW55" s="2688"/>
      <c r="AX55" s="2688"/>
      <c r="AY55" s="2688"/>
      <c r="AZ55" s="2688"/>
      <c r="BA55" s="2688"/>
      <c r="BB55" s="2688"/>
      <c r="BC55" s="2688"/>
      <c r="BD55" s="2688"/>
      <c r="BE55" s="2688"/>
      <c r="BF55" s="2686"/>
    </row>
    <row r="56" spans="1:59" ht="12.75" hidden="1" customHeight="1" x14ac:dyDescent="0.2">
      <c r="A56" s="4578"/>
      <c r="B56" s="2597"/>
      <c r="C56" s="2597"/>
      <c r="D56" s="2597"/>
      <c r="E56" s="2597"/>
      <c r="F56" s="2597"/>
      <c r="G56" s="2597"/>
      <c r="H56" s="2597"/>
      <c r="I56" s="4572"/>
      <c r="J56" s="4578"/>
      <c r="K56" s="4578"/>
      <c r="L56" s="2597" t="s">
        <v>44</v>
      </c>
      <c r="M56" s="2682"/>
      <c r="N56" s="2597" t="s">
        <v>45</v>
      </c>
      <c r="O56" s="2683" t="s">
        <v>44</v>
      </c>
      <c r="P56" s="2683" t="s">
        <v>45</v>
      </c>
      <c r="Q56" s="2683" t="s">
        <v>44</v>
      </c>
      <c r="R56" s="2683" t="s">
        <v>45</v>
      </c>
      <c r="S56" s="2683"/>
      <c r="T56" s="2683"/>
      <c r="U56" s="2683" t="s">
        <v>44</v>
      </c>
      <c r="V56" s="2683" t="s">
        <v>45</v>
      </c>
      <c r="W56" s="2683" t="s">
        <v>44</v>
      </c>
      <c r="X56" s="2683" t="s">
        <v>45</v>
      </c>
      <c r="Y56" s="2597" t="s">
        <v>44</v>
      </c>
      <c r="Z56" s="2597" t="s">
        <v>45</v>
      </c>
      <c r="AA56" s="2597" t="s">
        <v>44</v>
      </c>
      <c r="AB56" s="2597" t="s">
        <v>45</v>
      </c>
      <c r="AC56" s="2597" t="s">
        <v>44</v>
      </c>
      <c r="AD56" s="2597" t="s">
        <v>45</v>
      </c>
      <c r="AE56" s="2597" t="s">
        <v>44</v>
      </c>
      <c r="AF56" s="2597" t="s">
        <v>45</v>
      </c>
      <c r="AG56" s="2597" t="s">
        <v>44</v>
      </c>
      <c r="AH56" s="2597" t="s">
        <v>45</v>
      </c>
      <c r="AI56" s="2597" t="s">
        <v>44</v>
      </c>
      <c r="AJ56" s="2597" t="s">
        <v>45</v>
      </c>
      <c r="AK56" s="2597" t="s">
        <v>1468</v>
      </c>
      <c r="AL56" s="2597" t="s">
        <v>44</v>
      </c>
      <c r="AM56" s="2597" t="s">
        <v>45</v>
      </c>
      <c r="AN56" s="2597"/>
      <c r="AO56" s="2689"/>
      <c r="AP56" s="2597"/>
      <c r="AQ56" s="2688"/>
      <c r="AR56" s="2688"/>
      <c r="AS56" s="2688"/>
      <c r="AT56" s="2688"/>
      <c r="AU56" s="2688"/>
      <c r="AV56" s="2688"/>
      <c r="AW56" s="2688"/>
      <c r="AX56" s="2688"/>
      <c r="AY56" s="2688"/>
      <c r="AZ56" s="2688"/>
      <c r="BA56" s="2688"/>
      <c r="BB56" s="2688"/>
      <c r="BC56" s="2688"/>
      <c r="BD56" s="2688"/>
      <c r="BE56" s="2688"/>
      <c r="BF56" s="2688"/>
      <c r="BG56" s="654"/>
    </row>
    <row r="57" spans="1:59" ht="15" hidden="1" x14ac:dyDescent="0.2">
      <c r="A57" s="2682" t="s">
        <v>46</v>
      </c>
      <c r="B57" s="2599">
        <f>C57/C61*100</f>
        <v>54.85172394199018</v>
      </c>
      <c r="C57" s="2599">
        <v>8687.7999999999993</v>
      </c>
      <c r="D57" s="2599">
        <v>55.3</v>
      </c>
      <c r="E57" s="2600">
        <v>9716.4</v>
      </c>
      <c r="F57" s="2600">
        <v>56.36</v>
      </c>
      <c r="G57" s="2600">
        <v>10985.6</v>
      </c>
      <c r="H57" s="2599">
        <f>G57/G61*100</f>
        <v>57.791572413067485</v>
      </c>
      <c r="I57" s="2600">
        <v>10819.5</v>
      </c>
      <c r="J57" s="2600">
        <v>8579.1</v>
      </c>
      <c r="K57" s="2599"/>
      <c r="L57" s="2690">
        <f>N57/N61</f>
        <v>0.57561885222326603</v>
      </c>
      <c r="M57" s="2600"/>
      <c r="N57" s="2600">
        <v>12008.1</v>
      </c>
      <c r="O57" s="2691">
        <v>58</v>
      </c>
      <c r="P57" s="2600">
        <f>P61*O57/100</f>
        <v>11767.842163354666</v>
      </c>
      <c r="Q57" s="2692">
        <f>R57/R61</f>
        <v>0.57097906730259662</v>
      </c>
      <c r="R57" s="2600">
        <v>6895.6</v>
      </c>
      <c r="S57" s="2600"/>
      <c r="T57" s="2600"/>
      <c r="U57" s="2690">
        <f>V57/V61</f>
        <v>0.57999859604497617</v>
      </c>
      <c r="V57" s="2600">
        <v>14046</v>
      </c>
      <c r="W57" s="2693">
        <f>X57/X61</f>
        <v>0.56516134296087783</v>
      </c>
      <c r="X57" s="2600">
        <v>13853.8</v>
      </c>
      <c r="Y57" s="2694">
        <f>Q57</f>
        <v>0.57097906730259662</v>
      </c>
      <c r="Z57" s="2600">
        <f>Y57*Z61</f>
        <v>12028.195370042029</v>
      </c>
      <c r="AA57" s="2607">
        <f>SUM(AB57/Y50)</f>
        <v>0.58919301776456701</v>
      </c>
      <c r="AB57" s="2600">
        <v>6979.28</v>
      </c>
      <c r="AC57" s="2695">
        <f>SUM(AD57/AD61)</f>
        <v>0.59696430199661255</v>
      </c>
      <c r="AD57" s="2696">
        <v>14207.04</v>
      </c>
      <c r="AE57" s="2695">
        <f>AF57/AF61</f>
        <v>0.5919991804620871</v>
      </c>
      <c r="AF57" s="2600">
        <v>14678.3</v>
      </c>
      <c r="AG57" s="2693">
        <f>AE57</f>
        <v>0.5919991804620871</v>
      </c>
      <c r="AH57" s="2600">
        <f>SUM(AD50)</f>
        <v>13073.01213648671</v>
      </c>
      <c r="AI57" s="2695">
        <v>0.59599999999999997</v>
      </c>
      <c r="AJ57" s="2600">
        <f>SUM(AK50)</f>
        <v>16411.197163297664</v>
      </c>
      <c r="AK57" s="2600">
        <f>ЗП!BO24</f>
        <v>47999.930000000008</v>
      </c>
      <c r="AL57" s="2693">
        <f>AK57/AK61</f>
        <v>0.54415498291281705</v>
      </c>
      <c r="AM57" s="2600">
        <f>AL57*AO50</f>
        <v>12920.436570139205</v>
      </c>
      <c r="AN57" s="2600"/>
      <c r="AO57" s="2697"/>
      <c r="AP57" s="2600"/>
      <c r="AQ57" s="2698"/>
      <c r="AR57" s="2698"/>
      <c r="AS57" s="2698"/>
      <c r="AT57" s="2698"/>
      <c r="AU57" s="2698"/>
      <c r="AV57" s="2698"/>
      <c r="AW57" s="2698"/>
      <c r="AX57" s="2698"/>
      <c r="AY57" s="2698"/>
      <c r="AZ57" s="2698"/>
      <c r="BA57" s="2698"/>
      <c r="BB57" s="2698"/>
      <c r="BC57" s="2698"/>
      <c r="BD57" s="2698"/>
      <c r="BE57" s="2698"/>
      <c r="BF57" s="2698"/>
      <c r="BG57" s="654"/>
    </row>
    <row r="58" spans="1:59" ht="15" hidden="1" x14ac:dyDescent="0.2">
      <c r="A58" s="2682" t="s">
        <v>47</v>
      </c>
      <c r="B58" s="2599">
        <f>C58/C61*100</f>
        <v>41.456685207750631</v>
      </c>
      <c r="C58" s="2599">
        <v>6566.2</v>
      </c>
      <c r="D58" s="2599">
        <v>41.2</v>
      </c>
      <c r="E58" s="2600">
        <v>7171.8</v>
      </c>
      <c r="F58" s="2600">
        <v>41.6</v>
      </c>
      <c r="G58" s="2600">
        <v>7614.1</v>
      </c>
      <c r="H58" s="2599">
        <f>G58/G61*100</f>
        <v>40.055236993003305</v>
      </c>
      <c r="I58" s="2600">
        <v>7986</v>
      </c>
      <c r="J58" s="2600">
        <v>6062.9</v>
      </c>
      <c r="K58" s="2599"/>
      <c r="L58" s="2692">
        <f>N58/N61</f>
        <v>0.40499587751423688</v>
      </c>
      <c r="M58" s="2600"/>
      <c r="N58" s="2600">
        <v>8448.7000000000007</v>
      </c>
      <c r="O58" s="2691">
        <v>40</v>
      </c>
      <c r="P58" s="2600">
        <f>P61*O58/100</f>
        <v>8115.7532161066656</v>
      </c>
      <c r="Q58" s="2692">
        <f>R58/R61</f>
        <v>0.40555445151033376</v>
      </c>
      <c r="R58" s="2600">
        <v>4897.8</v>
      </c>
      <c r="S58" s="2600"/>
      <c r="T58" s="2600"/>
      <c r="U58" s="2690">
        <f>V58/V61</f>
        <v>0.39999917414410358</v>
      </c>
      <c r="V58" s="2600">
        <v>9686.9</v>
      </c>
      <c r="W58" s="2693">
        <f>X58/X61</f>
        <v>0.40896667074613469</v>
      </c>
      <c r="X58" s="2600">
        <v>10025</v>
      </c>
      <c r="Y58" s="2694">
        <f>Q58</f>
        <v>0.40555445151033376</v>
      </c>
      <c r="Z58" s="2600">
        <f>Y58*Z61</f>
        <v>8543.374801814467</v>
      </c>
      <c r="AA58" s="2607">
        <f>SUM(AB58/Y50)</f>
        <v>0.40432941144688828</v>
      </c>
      <c r="AB58" s="2600">
        <v>4789.4799999999996</v>
      </c>
      <c r="AC58" s="2695">
        <f>SUM(AD58/AD61)</f>
        <v>0.40303569800338762</v>
      </c>
      <c r="AD58" s="2696">
        <v>9591.77</v>
      </c>
      <c r="AE58" s="2695">
        <f>AF58/AF61</f>
        <v>0.40000064530544321</v>
      </c>
      <c r="AF58" s="2600">
        <v>9917.7999999999993</v>
      </c>
      <c r="AG58" s="2693">
        <f>AE58</f>
        <v>0.40000064530544321</v>
      </c>
      <c r="AH58" s="2600">
        <f>SUM(AE50)</f>
        <v>8833.3841337506801</v>
      </c>
      <c r="AI58" s="2695">
        <v>0.40400000000000003</v>
      </c>
      <c r="AJ58" s="2600">
        <f>SUM(AL50)</f>
        <v>11124.368546933318</v>
      </c>
      <c r="AK58" s="2600">
        <f>ЗП!BO30</f>
        <v>39734.75</v>
      </c>
      <c r="AL58" s="2693">
        <f>AK58/AK61</f>
        <v>0.45045611956715464</v>
      </c>
      <c r="AM58" s="2600">
        <f>AL58*AO50</f>
        <v>10695.647202096725</v>
      </c>
      <c r="AN58" s="2600"/>
      <c r="AO58" s="2697"/>
      <c r="AP58" s="2600"/>
      <c r="AQ58" s="2698"/>
      <c r="AR58" s="2698"/>
      <c r="AS58" s="2698"/>
      <c r="AT58" s="2698"/>
      <c r="AU58" s="2698"/>
      <c r="AV58" s="2698"/>
      <c r="AW58" s="2698"/>
      <c r="AX58" s="2698"/>
      <c r="AY58" s="2698"/>
      <c r="AZ58" s="2698"/>
      <c r="BA58" s="2698"/>
      <c r="BB58" s="2698"/>
      <c r="BC58" s="2698"/>
      <c r="BD58" s="2698"/>
      <c r="BE58" s="2698"/>
      <c r="BF58" s="2698"/>
      <c r="BG58" s="654"/>
    </row>
    <row r="59" spans="1:59" s="181" customFormat="1" ht="15" hidden="1" x14ac:dyDescent="0.2">
      <c r="A59" s="2699" t="s">
        <v>48</v>
      </c>
      <c r="B59" s="2700">
        <f>C59/C61*100</f>
        <v>1.9540745136911488</v>
      </c>
      <c r="C59" s="2700">
        <v>309.5</v>
      </c>
      <c r="D59" s="2701">
        <v>0.9</v>
      </c>
      <c r="E59" s="2611">
        <v>351.7</v>
      </c>
      <c r="F59" s="2611">
        <v>2.04</v>
      </c>
      <c r="G59" s="2611">
        <v>405.9</v>
      </c>
      <c r="H59" s="2701">
        <f>G59/G61*100</f>
        <v>2.1353043295281178</v>
      </c>
      <c r="I59" s="2600">
        <v>299.53499999999997</v>
      </c>
      <c r="J59" s="2611">
        <v>266.10000000000002</v>
      </c>
      <c r="K59" s="2701"/>
      <c r="L59" s="2702">
        <f>N59/N61</f>
        <v>1.9385270262496878E-2</v>
      </c>
      <c r="M59" s="2611"/>
      <c r="N59" s="2600">
        <v>404.4</v>
      </c>
      <c r="O59" s="2600">
        <v>2</v>
      </c>
      <c r="P59" s="2600">
        <f>O59*P61/100</f>
        <v>405.7876608053333</v>
      </c>
      <c r="Q59" s="2607">
        <f>R59/R61</f>
        <v>1.9599562798092204E-2</v>
      </c>
      <c r="R59" s="2600">
        <v>236.7</v>
      </c>
      <c r="S59" s="2690">
        <v>0.02</v>
      </c>
      <c r="T59" s="2600">
        <v>357.5</v>
      </c>
      <c r="U59" s="2600">
        <f>V59/V61</f>
        <v>1.999810053143827E-2</v>
      </c>
      <c r="V59" s="2600">
        <v>484.3</v>
      </c>
      <c r="W59" s="2693">
        <f>X59/X61</f>
        <v>2.0062823807775465E-2</v>
      </c>
      <c r="X59" s="2600">
        <v>491.8</v>
      </c>
      <c r="Y59" s="2694">
        <f>S59</f>
        <v>0.02</v>
      </c>
      <c r="Z59" s="2600">
        <f>Y59*Z61</f>
        <v>421.31826047022332</v>
      </c>
      <c r="AA59" s="2607"/>
      <c r="AB59" s="2600"/>
      <c r="AC59" s="2695"/>
      <c r="AD59" s="2696"/>
      <c r="AE59" s="2695">
        <v>0</v>
      </c>
      <c r="AF59" s="2600">
        <v>0</v>
      </c>
      <c r="AG59" s="2693">
        <f>AC59</f>
        <v>0</v>
      </c>
      <c r="AH59" s="2600">
        <v>0</v>
      </c>
      <c r="AI59" s="2695">
        <v>0</v>
      </c>
      <c r="AJ59" s="2600">
        <v>0</v>
      </c>
      <c r="AK59" s="2600">
        <v>0</v>
      </c>
      <c r="AL59" s="2693">
        <f>AG59</f>
        <v>0</v>
      </c>
      <c r="AM59" s="2600"/>
      <c r="AN59" s="2600"/>
      <c r="AO59" s="2697"/>
      <c r="AP59" s="2600"/>
      <c r="AQ59" s="2703"/>
      <c r="AR59" s="2703"/>
      <c r="AS59" s="2703"/>
      <c r="AT59" s="2703"/>
      <c r="AU59" s="2703"/>
      <c r="AV59" s="2703"/>
      <c r="AW59" s="2703"/>
      <c r="AX59" s="2703"/>
      <c r="AY59" s="2703"/>
      <c r="AZ59" s="2703"/>
      <c r="BA59" s="2703"/>
      <c r="BB59" s="2703"/>
      <c r="BC59" s="2703"/>
      <c r="BD59" s="2703"/>
      <c r="BE59" s="2703"/>
      <c r="BF59" s="2703"/>
      <c r="BG59" s="655"/>
    </row>
    <row r="60" spans="1:59" ht="15" hidden="1" x14ac:dyDescent="0.2">
      <c r="A60" s="2682" t="s">
        <v>80</v>
      </c>
      <c r="B60" s="2601">
        <f>C60/C61*100</f>
        <v>1.7375163365680262</v>
      </c>
      <c r="C60" s="2601">
        <v>275.2</v>
      </c>
      <c r="D60" s="2599">
        <v>2.6</v>
      </c>
      <c r="E60" s="2600"/>
      <c r="F60" s="2600"/>
      <c r="G60" s="2600">
        <v>3.4</v>
      </c>
      <c r="H60" s="2601">
        <f>G60/G61*100</f>
        <v>1.788626440107317E-2</v>
      </c>
      <c r="I60" s="2600"/>
      <c r="J60" s="2704"/>
      <c r="K60" s="2597"/>
      <c r="L60" s="2597"/>
      <c r="M60" s="2597"/>
      <c r="N60" s="2682"/>
      <c r="O60" s="2682"/>
      <c r="P60" s="2682"/>
      <c r="Q60" s="2607">
        <f>R60/R61</f>
        <v>3.866918388977212E-3</v>
      </c>
      <c r="R60" s="2600">
        <v>46.7</v>
      </c>
      <c r="S60" s="2600"/>
      <c r="T60" s="2600"/>
      <c r="U60" s="2682"/>
      <c r="V60" s="2600"/>
      <c r="W60" s="2693">
        <f>X60/X61</f>
        <v>5.8091624852119285E-3</v>
      </c>
      <c r="X60" s="2600">
        <v>142.4</v>
      </c>
      <c r="Y60" s="2694">
        <f>Q60</f>
        <v>3.866918388977212E-3</v>
      </c>
      <c r="Z60" s="2600">
        <f>Y60*Z61</f>
        <v>81.460166451209872</v>
      </c>
      <c r="AA60" s="2607">
        <f>SUM(AB60/Y50)</f>
        <v>6.4801033980021105E-3</v>
      </c>
      <c r="AB60" s="2600">
        <v>76.760000000000005</v>
      </c>
      <c r="AC60" s="2695"/>
      <c r="AD60" s="2696"/>
      <c r="AE60" s="2695">
        <f>AF60/AF61</f>
        <v>8.0001742324696742E-3</v>
      </c>
      <c r="AF60" s="2600">
        <v>198.36</v>
      </c>
      <c r="AG60" s="2693">
        <f>AE60</f>
        <v>8.0001742324696742E-3</v>
      </c>
      <c r="AH60" s="2600">
        <f>AC50*AG60</f>
        <v>176.66988838026091</v>
      </c>
      <c r="AI60" s="2695">
        <v>0</v>
      </c>
      <c r="AJ60" s="2600">
        <v>0</v>
      </c>
      <c r="AK60" s="2600">
        <f>414.81*1.067*1.074</f>
        <v>475.35483798000001</v>
      </c>
      <c r="AL60" s="2693">
        <f>AK60/AK61</f>
        <v>5.3888975200282949E-3</v>
      </c>
      <c r="AM60" s="2600">
        <f>AL60*AO50</f>
        <v>127.95418727546867</v>
      </c>
      <c r="AN60" s="2600"/>
      <c r="AO60" s="2697"/>
      <c r="AP60" s="2600"/>
      <c r="AQ60" s="2686"/>
      <c r="AR60" s="2686"/>
      <c r="AS60" s="2686"/>
      <c r="AT60" s="2686"/>
      <c r="AU60" s="2686"/>
      <c r="AV60" s="2686"/>
      <c r="AW60" s="2686"/>
      <c r="AX60" s="2686"/>
      <c r="AY60" s="2686"/>
      <c r="AZ60" s="2686"/>
      <c r="BA60" s="2686"/>
      <c r="BB60" s="2686"/>
      <c r="BC60" s="2686"/>
      <c r="BD60" s="2686"/>
      <c r="BE60" s="2686"/>
      <c r="BF60" s="2686"/>
      <c r="BG60" s="654"/>
    </row>
    <row r="61" spans="1:59" ht="14.25" hidden="1" x14ac:dyDescent="0.2">
      <c r="A61" s="2699" t="s">
        <v>49</v>
      </c>
      <c r="B61" s="2701">
        <f t="shared" ref="B61:G61" si="59">SUM(B57:B60)</f>
        <v>99.999999999999986</v>
      </c>
      <c r="C61" s="2701">
        <f t="shared" si="59"/>
        <v>15838.7</v>
      </c>
      <c r="D61" s="2701">
        <f t="shared" si="59"/>
        <v>100</v>
      </c>
      <c r="E61" s="2611">
        <f t="shared" si="59"/>
        <v>17239.900000000001</v>
      </c>
      <c r="F61" s="2611">
        <f t="shared" si="59"/>
        <v>100.00000000000001</v>
      </c>
      <c r="G61" s="2611">
        <f t="shared" si="59"/>
        <v>19009.000000000004</v>
      </c>
      <c r="H61" s="2610"/>
      <c r="I61" s="2611">
        <f>SUM(I57:I60)</f>
        <v>19105.035</v>
      </c>
      <c r="J61" s="2611">
        <f>SUM(J57:J60)</f>
        <v>14908.1</v>
      </c>
      <c r="K61" s="2611">
        <f>SUM(K57:K60)</f>
        <v>0</v>
      </c>
      <c r="L61" s="2611"/>
      <c r="M61" s="2611">
        <f>SUM(M57:M60)</f>
        <v>0</v>
      </c>
      <c r="N61" s="2611">
        <f>SUM(N57:N60)</f>
        <v>20861.200000000004</v>
      </c>
      <c r="O61" s="2699"/>
      <c r="P61" s="2611">
        <f>N50</f>
        <v>20289.383040266664</v>
      </c>
      <c r="Q61" s="2611"/>
      <c r="R61" s="2611">
        <f>SUM(R57:R60)</f>
        <v>12076.800000000003</v>
      </c>
      <c r="S61" s="2611"/>
      <c r="T61" s="2611">
        <f>P50</f>
        <v>18482.569625</v>
      </c>
      <c r="U61" s="2611"/>
      <c r="V61" s="2611">
        <f>SUM(V57:V60)+0.1</f>
        <v>24217.3</v>
      </c>
      <c r="W61" s="2705">
        <f>SUM(W57:W60)</f>
        <v>0.99999999999999989</v>
      </c>
      <c r="X61" s="2611">
        <f>SUM(X57:X60)</f>
        <v>24513</v>
      </c>
      <c r="Y61" s="2610"/>
      <c r="Z61" s="2611">
        <f>S50</f>
        <v>21065.913023511166</v>
      </c>
      <c r="AA61" s="2611"/>
      <c r="AB61" s="2611">
        <f>SUM(AB57:AB60)</f>
        <v>11845.519999999999</v>
      </c>
      <c r="AC61" s="2706">
        <f>SUM(AC57:AC60)</f>
        <v>1.0000000000000002</v>
      </c>
      <c r="AD61" s="2707">
        <f>SUM(AA50)</f>
        <v>23798.809999999998</v>
      </c>
      <c r="AE61" s="2706">
        <f>SUM(AE57:AE60)</f>
        <v>1</v>
      </c>
      <c r="AF61" s="2611">
        <f>SUM(AF57:AF60)</f>
        <v>24794.46</v>
      </c>
      <c r="AG61" s="2611"/>
      <c r="AH61" s="2611">
        <f t="shared" ref="AH61:AM61" si="60">SUM(AH57:AH60)</f>
        <v>22083.06615861765</v>
      </c>
      <c r="AI61" s="2706">
        <f t="shared" si="60"/>
        <v>1</v>
      </c>
      <c r="AJ61" s="2611">
        <f t="shared" si="60"/>
        <v>27535.565710230981</v>
      </c>
      <c r="AK61" s="2611">
        <f t="shared" si="60"/>
        <v>88210.034837980013</v>
      </c>
      <c r="AL61" s="2706">
        <f t="shared" si="60"/>
        <v>1</v>
      </c>
      <c r="AM61" s="2611">
        <f t="shared" si="60"/>
        <v>23744.037959511395</v>
      </c>
      <c r="AN61" s="2611"/>
      <c r="AO61" s="2708"/>
      <c r="AP61" s="2611"/>
      <c r="AQ61" s="2703"/>
      <c r="AR61" s="2703"/>
      <c r="AS61" s="2703"/>
      <c r="AT61" s="2703"/>
      <c r="AU61" s="2703"/>
      <c r="AV61" s="2703"/>
      <c r="AW61" s="2703"/>
      <c r="AX61" s="2703"/>
      <c r="AY61" s="2703"/>
      <c r="AZ61" s="2703"/>
      <c r="BA61" s="2703"/>
      <c r="BB61" s="2703"/>
      <c r="BC61" s="2703"/>
      <c r="BD61" s="2703"/>
      <c r="BE61" s="2703"/>
      <c r="BF61" s="2703"/>
      <c r="BG61" s="654"/>
    </row>
    <row r="62" spans="1:59" s="270" customFormat="1" hidden="1" x14ac:dyDescent="0.2">
      <c r="A62" s="653"/>
      <c r="B62" s="653"/>
      <c r="C62" s="653"/>
      <c r="D62" s="656"/>
      <c r="E62" s="653"/>
      <c r="F62" s="653"/>
      <c r="G62" s="653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  <c r="Z62" s="653"/>
      <c r="AA62" s="653"/>
      <c r="AB62" s="653"/>
      <c r="AC62" s="653"/>
      <c r="AD62" s="653"/>
      <c r="AE62" s="653"/>
      <c r="AF62" s="653"/>
      <c r="AG62" s="653"/>
      <c r="AH62" s="653"/>
      <c r="AI62" s="653"/>
      <c r="AJ62" s="653"/>
      <c r="AK62" s="653"/>
      <c r="AL62" s="653"/>
      <c r="AM62" s="653"/>
      <c r="AN62" s="653"/>
      <c r="AO62" s="2681"/>
      <c r="AP62" s="657"/>
      <c r="AQ62" s="657"/>
      <c r="AR62" s="657"/>
      <c r="AS62" s="657"/>
      <c r="AT62" s="657"/>
      <c r="AU62" s="2617"/>
      <c r="AV62" s="2617"/>
      <c r="AW62" s="2617"/>
      <c r="AX62" s="2617"/>
      <c r="AY62" s="2617"/>
      <c r="AZ62" s="2617"/>
      <c r="BA62" s="2617"/>
      <c r="BB62" s="2617"/>
      <c r="BC62" s="2617"/>
      <c r="BD62" s="2617"/>
      <c r="BE62" s="2617"/>
      <c r="BF62" s="2617"/>
    </row>
    <row r="63" spans="1:59" s="270" customFormat="1" x14ac:dyDescent="0.2">
      <c r="D63" s="271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O63" s="179"/>
      <c r="AU63" s="2618"/>
      <c r="AV63" s="2618"/>
      <c r="AW63" s="2618"/>
      <c r="AX63" s="2618"/>
      <c r="AY63" s="2618"/>
      <c r="AZ63" s="2618"/>
      <c r="BA63" s="2618"/>
      <c r="BB63" s="2618"/>
      <c r="BC63" s="2618"/>
      <c r="BD63" s="2618"/>
      <c r="BE63" s="2618"/>
      <c r="BF63" s="2618"/>
    </row>
    <row r="64" spans="1:59" s="270" customFormat="1" x14ac:dyDescent="0.2">
      <c r="D64" s="271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179"/>
      <c r="AG64" s="179"/>
      <c r="AH64" s="179"/>
      <c r="AI64" s="179"/>
      <c r="AO64" s="179"/>
      <c r="AU64" s="2618"/>
      <c r="AV64" s="2618"/>
      <c r="AW64" s="2618"/>
      <c r="AX64" s="2618"/>
      <c r="AY64" s="2618"/>
      <c r="AZ64" s="2618"/>
      <c r="BA64" s="2618"/>
      <c r="BB64" s="2618"/>
      <c r="BC64" s="2618"/>
      <c r="BD64" s="2618"/>
      <c r="BE64" s="2618"/>
      <c r="BF64" s="2618"/>
    </row>
    <row r="65" spans="4:58" s="270" customFormat="1" x14ac:dyDescent="0.2">
      <c r="D65" s="271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272"/>
      <c r="AG65" s="272"/>
      <c r="AH65" s="272"/>
      <c r="AI65" s="272"/>
      <c r="AJ65" s="272"/>
      <c r="AK65" s="272"/>
      <c r="AL65" s="272"/>
      <c r="AM65" s="272"/>
      <c r="AN65" s="272"/>
      <c r="AO65" s="179"/>
      <c r="AU65" s="2618"/>
      <c r="AV65" s="2618"/>
      <c r="AW65" s="2618"/>
      <c r="AX65" s="2618"/>
      <c r="AY65" s="2618"/>
      <c r="AZ65" s="2618"/>
      <c r="BA65" s="2618"/>
      <c r="BB65" s="2618"/>
      <c r="BC65" s="2618"/>
      <c r="BD65" s="2618"/>
      <c r="BE65" s="2618"/>
      <c r="BF65" s="2618"/>
    </row>
    <row r="66" spans="4:58" s="270" customFormat="1" x14ac:dyDescent="0.2"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272"/>
      <c r="AG66" s="272"/>
      <c r="AH66" s="272"/>
      <c r="AI66" s="272"/>
      <c r="AJ66" s="272"/>
      <c r="AK66" s="272"/>
      <c r="AL66" s="272"/>
      <c r="AM66" s="272"/>
      <c r="AN66" s="272"/>
      <c r="AO66" s="179"/>
      <c r="AU66" s="2618"/>
      <c r="AV66" s="2618"/>
      <c r="AW66" s="2618"/>
      <c r="AX66" s="2618"/>
      <c r="AY66" s="2618"/>
      <c r="AZ66" s="2618"/>
      <c r="BA66" s="2618"/>
      <c r="BB66" s="2618"/>
      <c r="BC66" s="2618"/>
      <c r="BD66" s="2618"/>
      <c r="BE66" s="2618"/>
      <c r="BF66" s="2618"/>
    </row>
    <row r="67" spans="4:58" s="270" customFormat="1" x14ac:dyDescent="0.2"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84"/>
      <c r="AA67" s="584"/>
      <c r="AB67" s="584"/>
      <c r="AC67" s="584"/>
      <c r="AD67" s="584"/>
      <c r="AE67" s="584"/>
      <c r="AF67" s="272"/>
      <c r="AG67" s="272"/>
      <c r="AH67" s="272"/>
      <c r="AI67" s="272"/>
      <c r="AJ67" s="272"/>
      <c r="AK67" s="272"/>
      <c r="AL67" s="272"/>
      <c r="AM67" s="272"/>
      <c r="AN67" s="272"/>
      <c r="AO67" s="179"/>
      <c r="AU67" s="2618"/>
      <c r="AV67" s="2618"/>
      <c r="AW67" s="2618"/>
      <c r="AX67" s="2618"/>
      <c r="AY67" s="2618"/>
      <c r="AZ67" s="2618"/>
      <c r="BA67" s="2618"/>
      <c r="BB67" s="2618"/>
      <c r="BC67" s="2618"/>
      <c r="BD67" s="2618"/>
      <c r="BE67" s="2618"/>
      <c r="BF67" s="2618"/>
    </row>
  </sheetData>
  <mergeCells count="99">
    <mergeCell ref="E4:F4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A53:A56"/>
    <mergeCell ref="B53:C54"/>
    <mergeCell ref="D53:E55"/>
    <mergeCell ref="E5:E7"/>
    <mergeCell ref="A4:A7"/>
    <mergeCell ref="B4:B7"/>
    <mergeCell ref="C4:C7"/>
    <mergeCell ref="D4:D7"/>
    <mergeCell ref="A52:AJ52"/>
    <mergeCell ref="G5:G7"/>
    <mergeCell ref="O54:P55"/>
    <mergeCell ref="Q54:R55"/>
    <mergeCell ref="S54:T55"/>
    <mergeCell ref="U54:V55"/>
    <mergeCell ref="W5:X5"/>
    <mergeCell ref="U6:U7"/>
    <mergeCell ref="R4:AA4"/>
    <mergeCell ref="AA5:AA7"/>
    <mergeCell ref="AB4:AI4"/>
    <mergeCell ref="AH5:AH7"/>
    <mergeCell ref="AI5:AI7"/>
    <mergeCell ref="AF5:AG5"/>
    <mergeCell ref="AF6:AF7"/>
    <mergeCell ref="AG6:AG7"/>
    <mergeCell ref="S5:S7"/>
    <mergeCell ref="AD6:AD7"/>
    <mergeCell ref="AE6:AE7"/>
    <mergeCell ref="Y5:Y7"/>
    <mergeCell ref="Z5:Z7"/>
    <mergeCell ref="X6:X7"/>
    <mergeCell ref="W6:W7"/>
    <mergeCell ref="AB5:AB7"/>
    <mergeCell ref="G53:G55"/>
    <mergeCell ref="H53:H55"/>
    <mergeCell ref="AI53:AM53"/>
    <mergeCell ref="AK54:AM55"/>
    <mergeCell ref="AA54:AB55"/>
    <mergeCell ref="I53:N53"/>
    <mergeCell ref="Y54:Z55"/>
    <mergeCell ref="W54:X55"/>
    <mergeCell ref="O53:X53"/>
    <mergeCell ref="Y53:AD53"/>
    <mergeCell ref="AC54:AD55"/>
    <mergeCell ref="L54:N55"/>
    <mergeCell ref="K54:K56"/>
    <mergeCell ref="R5:R7"/>
    <mergeCell ref="U5:V5"/>
    <mergeCell ref="V6:V7"/>
    <mergeCell ref="AC5:AC7"/>
    <mergeCell ref="AD5:AE5"/>
    <mergeCell ref="BF4:BF7"/>
    <mergeCell ref="A2:BC2"/>
    <mergeCell ref="AE53:AH53"/>
    <mergeCell ref="AE54:AF55"/>
    <mergeCell ref="AG54:AH55"/>
    <mergeCell ref="AK5:AL5"/>
    <mergeCell ref="AM5:AN5"/>
    <mergeCell ref="AK6:AK7"/>
    <mergeCell ref="AL6:AL7"/>
    <mergeCell ref="AM6:AM7"/>
    <mergeCell ref="AN6:AN7"/>
    <mergeCell ref="AI54:AJ55"/>
    <mergeCell ref="AJ4:AN4"/>
    <mergeCell ref="AJ5:AJ7"/>
    <mergeCell ref="J54:J56"/>
    <mergeCell ref="I54:I56"/>
    <mergeCell ref="AO4:AT4"/>
    <mergeCell ref="AU4:AW4"/>
    <mergeCell ref="AU5:AW5"/>
    <mergeCell ref="AU6:AU7"/>
    <mergeCell ref="AV6:AW6"/>
    <mergeCell ref="AO5:AQ5"/>
    <mergeCell ref="AP6:AQ6"/>
    <mergeCell ref="AO6:AO7"/>
    <mergeCell ref="AR5:AT5"/>
    <mergeCell ref="AR6:AR7"/>
    <mergeCell ref="AS6:AT6"/>
    <mergeCell ref="AX4:BC4"/>
    <mergeCell ref="AX5:AZ5"/>
    <mergeCell ref="AX6:AX7"/>
    <mergeCell ref="AY6:AZ6"/>
    <mergeCell ref="BA6:BA7"/>
    <mergeCell ref="BA5:BE5"/>
    <mergeCell ref="BB6:BE6"/>
  </mergeCells>
  <phoneticPr fontId="0" type="noConversion"/>
  <printOptions horizontalCentered="1" verticalCentered="1"/>
  <pageMargins left="0.35433070866141736" right="0.31496062992125984" top="0.15748031496062992" bottom="0.11811023622047245" header="0.51181102362204722" footer="0.51181102362204722"/>
  <pageSetup paperSize="9" scale="48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1521</v>
      </c>
    </row>
    <row r="2" spans="1:6" ht="18.75" x14ac:dyDescent="0.3">
      <c r="A2" s="3782" t="s">
        <v>1493</v>
      </c>
      <c r="B2" s="3782"/>
      <c r="C2" s="3782"/>
      <c r="D2" s="3782"/>
      <c r="E2" s="3782"/>
      <c r="F2" s="3782"/>
    </row>
    <row r="3" spans="1:6" ht="18.75" x14ac:dyDescent="0.3">
      <c r="A3" s="1648"/>
      <c r="B3" s="1648"/>
      <c r="C3" s="1648"/>
      <c r="D3" s="1648"/>
      <c r="E3" s="1648"/>
    </row>
    <row r="4" spans="1:6" ht="27.75" customHeight="1" x14ac:dyDescent="0.2">
      <c r="A4" s="4599"/>
      <c r="B4" s="4601" t="s">
        <v>1494</v>
      </c>
      <c r="C4" s="4602"/>
      <c r="D4" s="4603"/>
      <c r="E4" s="4604" t="s">
        <v>1496</v>
      </c>
      <c r="F4" s="4586" t="s">
        <v>1498</v>
      </c>
    </row>
    <row r="5" spans="1:6" ht="33.75" customHeight="1" x14ac:dyDescent="0.2">
      <c r="A5" s="4600"/>
      <c r="B5" s="1832" t="s">
        <v>988</v>
      </c>
      <c r="C5" s="1832" t="s">
        <v>989</v>
      </c>
      <c r="D5" s="1832" t="s">
        <v>54</v>
      </c>
      <c r="E5" s="4604"/>
      <c r="F5" s="4587"/>
    </row>
    <row r="6" spans="1:6" ht="18.75" x14ac:dyDescent="0.3">
      <c r="A6" s="4588" t="s">
        <v>980</v>
      </c>
      <c r="B6" s="4589"/>
      <c r="C6" s="4589"/>
      <c r="D6" s="4589"/>
      <c r="E6" s="4589"/>
      <c r="F6" s="4590"/>
    </row>
    <row r="7" spans="1:6" x14ac:dyDescent="0.2">
      <c r="A7" s="1833" t="s">
        <v>985</v>
      </c>
      <c r="B7" s="1834">
        <v>19.14</v>
      </c>
      <c r="C7" s="1834">
        <v>22.66</v>
      </c>
      <c r="D7" s="1834"/>
      <c r="E7" s="1833"/>
      <c r="F7" s="4594">
        <f>$E$38*D10/$D$38</f>
        <v>395.92549126618718</v>
      </c>
    </row>
    <row r="8" spans="1:6" x14ac:dyDescent="0.2">
      <c r="A8" s="1833" t="s">
        <v>986</v>
      </c>
      <c r="B8" s="1834">
        <f>2780.7/2</f>
        <v>1390.35</v>
      </c>
      <c r="C8" s="1834">
        <f>B8</f>
        <v>1390.35</v>
      </c>
      <c r="D8" s="1834">
        <f>C8+B8</f>
        <v>2780.7</v>
      </c>
      <c r="E8" s="1833"/>
      <c r="F8" s="4595"/>
    </row>
    <row r="9" spans="1:6" x14ac:dyDescent="0.2">
      <c r="A9" s="1833" t="s">
        <v>987</v>
      </c>
      <c r="B9" s="1834">
        <f>B7*B8</f>
        <v>26611.298999999999</v>
      </c>
      <c r="C9" s="1834">
        <f>C7*C8</f>
        <v>31505.330999999998</v>
      </c>
      <c r="D9" s="1834">
        <f>C9+B9</f>
        <v>58116.63</v>
      </c>
      <c r="E9" s="1833"/>
      <c r="F9" s="4595"/>
    </row>
    <row r="10" spans="1:6" x14ac:dyDescent="0.2">
      <c r="A10" s="1833" t="s">
        <v>984</v>
      </c>
      <c r="B10" s="1834">
        <f>B9*0.02</f>
        <v>532.22597999999994</v>
      </c>
      <c r="C10" s="1834">
        <f>C9*0.02</f>
        <v>630.10662000000002</v>
      </c>
      <c r="D10" s="1834">
        <f>C10+B10</f>
        <v>1162.3326</v>
      </c>
      <c r="E10" s="1833"/>
      <c r="F10" s="4596"/>
    </row>
    <row r="11" spans="1:6" ht="18.75" x14ac:dyDescent="0.3">
      <c r="A11" s="4588" t="s">
        <v>981</v>
      </c>
      <c r="B11" s="4589"/>
      <c r="C11" s="4589"/>
      <c r="D11" s="4589"/>
      <c r="E11" s="4589"/>
      <c r="F11" s="4590"/>
    </row>
    <row r="12" spans="1:6" x14ac:dyDescent="0.2">
      <c r="A12" s="1833" t="s">
        <v>338</v>
      </c>
      <c r="B12" s="1834">
        <v>15.5</v>
      </c>
      <c r="C12" s="1834">
        <v>18.350000000000001</v>
      </c>
      <c r="D12" s="1834"/>
      <c r="E12" s="1833"/>
      <c r="F12" s="4594">
        <f>$E$39*D15/$D$39</f>
        <v>286.40476017160813</v>
      </c>
    </row>
    <row r="13" spans="1:6" x14ac:dyDescent="0.2">
      <c r="A13" s="1833" t="s">
        <v>978</v>
      </c>
      <c r="B13" s="1834">
        <f>2448.7/2</f>
        <v>1224.3499999999999</v>
      </c>
      <c r="C13" s="1834">
        <f>B13</f>
        <v>1224.3499999999999</v>
      </c>
      <c r="D13" s="1834">
        <f>C13+B13</f>
        <v>2448.6999999999998</v>
      </c>
      <c r="E13" s="1833"/>
      <c r="F13" s="4595"/>
    </row>
    <row r="14" spans="1:6" x14ac:dyDescent="0.2">
      <c r="A14" s="1833" t="s">
        <v>979</v>
      </c>
      <c r="B14" s="1834">
        <f>B12*B13</f>
        <v>18977.424999999999</v>
      </c>
      <c r="C14" s="1834">
        <f>C12*C13</f>
        <v>22466.822499999998</v>
      </c>
      <c r="D14" s="1834">
        <f>C14+B14</f>
        <v>41444.247499999998</v>
      </c>
      <c r="E14" s="1833"/>
      <c r="F14" s="4595"/>
    </row>
    <row r="15" spans="1:6" x14ac:dyDescent="0.2">
      <c r="A15" s="1833" t="s">
        <v>984</v>
      </c>
      <c r="B15" s="1834">
        <f>B14*0.02</f>
        <v>379.54849999999999</v>
      </c>
      <c r="C15" s="1834">
        <f>C14*0.02</f>
        <v>449.33644999999996</v>
      </c>
      <c r="D15" s="1834">
        <f>C15+B15</f>
        <v>828.88494999999989</v>
      </c>
      <c r="E15" s="1833"/>
      <c r="F15" s="4596"/>
    </row>
    <row r="16" spans="1:6" ht="18.75" x14ac:dyDescent="0.3">
      <c r="A16" s="4591" t="s">
        <v>982</v>
      </c>
      <c r="B16" s="4592"/>
      <c r="C16" s="4592"/>
      <c r="D16" s="4592"/>
      <c r="E16" s="4592"/>
      <c r="F16" s="4593"/>
    </row>
    <row r="17" spans="1:7" x14ac:dyDescent="0.2">
      <c r="A17" s="1842" t="s">
        <v>990</v>
      </c>
      <c r="B17" s="1843">
        <v>22.66</v>
      </c>
      <c r="C17" s="1843">
        <v>25.95</v>
      </c>
      <c r="D17" s="1843"/>
      <c r="E17" s="1842"/>
      <c r="F17" s="4605">
        <f>$E$38*D20/$D$38</f>
        <v>404.91337869180882</v>
      </c>
    </row>
    <row r="18" spans="1:7" x14ac:dyDescent="0.2">
      <c r="A18" s="1842" t="s">
        <v>991</v>
      </c>
      <c r="B18" s="1843">
        <f>объемы!M49/2</f>
        <v>1222.71</v>
      </c>
      <c r="C18" s="1843">
        <f>B18</f>
        <v>1222.71</v>
      </c>
      <c r="D18" s="1843">
        <f>C18+B18</f>
        <v>2445.42</v>
      </c>
      <c r="E18" s="1842"/>
      <c r="F18" s="4606"/>
    </row>
    <row r="19" spans="1:7" x14ac:dyDescent="0.2">
      <c r="A19" s="1842" t="s">
        <v>992</v>
      </c>
      <c r="B19" s="1843">
        <f>B17*B18</f>
        <v>27706.6086</v>
      </c>
      <c r="C19" s="1843">
        <f>C17*C18</f>
        <v>31729.324499999999</v>
      </c>
      <c r="D19" s="1843">
        <f>C19+B19</f>
        <v>59435.933099999995</v>
      </c>
      <c r="E19" s="1842"/>
      <c r="F19" s="4606"/>
    </row>
    <row r="20" spans="1:7" x14ac:dyDescent="0.2">
      <c r="A20" s="1842" t="s">
        <v>984</v>
      </c>
      <c r="B20" s="1843">
        <f>B19*0.02</f>
        <v>554.13217199999997</v>
      </c>
      <c r="C20" s="1843">
        <f>C19*0.02</f>
        <v>634.58649000000003</v>
      </c>
      <c r="D20" s="1843">
        <f>C20+B20</f>
        <v>1188.718662</v>
      </c>
      <c r="E20" s="1842"/>
      <c r="F20" s="4607"/>
    </row>
    <row r="21" spans="1:7" ht="18.75" x14ac:dyDescent="0.3">
      <c r="A21" s="4591" t="s">
        <v>983</v>
      </c>
      <c r="B21" s="4592"/>
      <c r="C21" s="4592"/>
      <c r="D21" s="4592"/>
      <c r="E21" s="4592"/>
      <c r="F21" s="4593"/>
    </row>
    <row r="22" spans="1:7" x14ac:dyDescent="0.2">
      <c r="A22" s="1842" t="s">
        <v>990</v>
      </c>
      <c r="B22" s="1843">
        <v>18.350000000000001</v>
      </c>
      <c r="C22" s="1843">
        <v>21.01</v>
      </c>
      <c r="D22" s="1843"/>
      <c r="E22" s="1842"/>
      <c r="F22" s="4605">
        <f>$E$39*D25/$D$39</f>
        <v>353.60175784252925</v>
      </c>
    </row>
    <row r="23" spans="1:7" x14ac:dyDescent="0.2">
      <c r="A23" s="1842" t="s">
        <v>991</v>
      </c>
      <c r="B23" s="1843">
        <f>объемы!M59/2</f>
        <v>1300</v>
      </c>
      <c r="C23" s="1843">
        <f>B23</f>
        <v>1300</v>
      </c>
      <c r="D23" s="1843">
        <f>C23+B23</f>
        <v>2600</v>
      </c>
      <c r="E23" s="1842"/>
      <c r="F23" s="4606"/>
    </row>
    <row r="24" spans="1:7" x14ac:dyDescent="0.2">
      <c r="A24" s="1842" t="s">
        <v>992</v>
      </c>
      <c r="B24" s="1843">
        <f>B22*B23</f>
        <v>23855.000000000004</v>
      </c>
      <c r="C24" s="1843">
        <f>C22*C23</f>
        <v>27313.000000000004</v>
      </c>
      <c r="D24" s="1843">
        <f>C24+B24</f>
        <v>51168.000000000007</v>
      </c>
      <c r="E24" s="1842"/>
      <c r="F24" s="4606"/>
      <c r="G24" s="1860"/>
    </row>
    <row r="25" spans="1:7" x14ac:dyDescent="0.2">
      <c r="A25" s="1842" t="s">
        <v>984</v>
      </c>
      <c r="B25" s="1843">
        <f>B24*0.02</f>
        <v>477.10000000000008</v>
      </c>
      <c r="C25" s="1843">
        <f>C24*0.02</f>
        <v>546.2600000000001</v>
      </c>
      <c r="D25" s="1843">
        <f>C25+B25</f>
        <v>1023.3600000000001</v>
      </c>
      <c r="E25" s="1842"/>
      <c r="F25" s="4607"/>
    </row>
    <row r="26" spans="1:7" ht="18.75" x14ac:dyDescent="0.3">
      <c r="A26" s="4588" t="s">
        <v>993</v>
      </c>
      <c r="B26" s="4589"/>
      <c r="C26" s="4589"/>
      <c r="D26" s="4589"/>
      <c r="E26" s="4589"/>
      <c r="F26" s="4590"/>
    </row>
    <row r="27" spans="1:7" x14ac:dyDescent="0.2">
      <c r="A27" s="1833" t="s">
        <v>995</v>
      </c>
      <c r="B27" s="1834">
        <f>C17</f>
        <v>25.95</v>
      </c>
      <c r="C27" s="1834">
        <v>28.6</v>
      </c>
      <c r="D27" s="1834"/>
      <c r="E27" s="1833"/>
      <c r="F27" s="4594">
        <f>$E$38*D30/$D$38</f>
        <v>451.25979124939289</v>
      </c>
    </row>
    <row r="28" spans="1:7" x14ac:dyDescent="0.2">
      <c r="A28" s="1833" t="s">
        <v>991</v>
      </c>
      <c r="B28" s="1834">
        <f>объемы!AA49/2</f>
        <v>1214.28</v>
      </c>
      <c r="C28" s="1834">
        <f>B28</f>
        <v>1214.28</v>
      </c>
      <c r="D28" s="1834">
        <f>C28+B28</f>
        <v>2428.56</v>
      </c>
      <c r="E28" s="1833"/>
      <c r="F28" s="4595"/>
    </row>
    <row r="29" spans="1:7" x14ac:dyDescent="0.2">
      <c r="A29" s="1833" t="s">
        <v>992</v>
      </c>
      <c r="B29" s="1834">
        <f>B27*B28</f>
        <v>31510.565999999999</v>
      </c>
      <c r="C29" s="1834">
        <f>C27*C28</f>
        <v>34728.408000000003</v>
      </c>
      <c r="D29" s="1834">
        <f>C29+B29</f>
        <v>66238.974000000002</v>
      </c>
      <c r="E29" s="1833"/>
      <c r="F29" s="4595"/>
    </row>
    <row r="30" spans="1:7" x14ac:dyDescent="0.2">
      <c r="A30" s="1833" t="s">
        <v>984</v>
      </c>
      <c r="B30" s="1834">
        <f>B29*0.02</f>
        <v>630.21132</v>
      </c>
      <c r="C30" s="1834">
        <f>C29*0.02</f>
        <v>694.56816000000003</v>
      </c>
      <c r="D30" s="1834">
        <f>C30+B30</f>
        <v>1324.7794800000001</v>
      </c>
      <c r="E30" s="1833"/>
      <c r="F30" s="4596"/>
    </row>
    <row r="31" spans="1:7" ht="18.75" x14ac:dyDescent="0.3">
      <c r="A31" s="4588" t="s">
        <v>994</v>
      </c>
      <c r="B31" s="4589"/>
      <c r="C31" s="4589"/>
      <c r="D31" s="4589"/>
      <c r="E31" s="4589"/>
      <c r="F31" s="4590"/>
    </row>
    <row r="32" spans="1:7" x14ac:dyDescent="0.2">
      <c r="A32" s="1833" t="s">
        <v>995</v>
      </c>
      <c r="B32" s="1834">
        <f>C22</f>
        <v>21.01</v>
      </c>
      <c r="C32" s="1834">
        <v>23.2</v>
      </c>
      <c r="D32" s="1834"/>
      <c r="E32" s="1833"/>
      <c r="F32" s="4594">
        <f>$E$39*D35/$D$39</f>
        <v>373.95376145643951</v>
      </c>
    </row>
    <row r="33" spans="1:7" x14ac:dyDescent="0.2">
      <c r="A33" s="1833" t="s">
        <v>991</v>
      </c>
      <c r="B33" s="1834">
        <f>объемы!AA59/2</f>
        <v>1224</v>
      </c>
      <c r="C33" s="1834">
        <f>B33</f>
        <v>1224</v>
      </c>
      <c r="D33" s="1834">
        <f>C33+B33</f>
        <v>2448</v>
      </c>
      <c r="E33" s="1833"/>
      <c r="F33" s="4595"/>
    </row>
    <row r="34" spans="1:7" x14ac:dyDescent="0.2">
      <c r="A34" s="1833" t="s">
        <v>992</v>
      </c>
      <c r="B34" s="1834">
        <f>B32*B33</f>
        <v>25716.240000000002</v>
      </c>
      <c r="C34" s="1834">
        <f>C32*C33</f>
        <v>28396.799999999999</v>
      </c>
      <c r="D34" s="1834">
        <f>C34+B34</f>
        <v>54113.04</v>
      </c>
      <c r="E34" s="1833"/>
      <c r="F34" s="4595"/>
      <c r="G34" s="1860">
        <f>F32</f>
        <v>373.95376145643951</v>
      </c>
    </row>
    <row r="35" spans="1:7" x14ac:dyDescent="0.2">
      <c r="A35" s="1833" t="s">
        <v>984</v>
      </c>
      <c r="B35" s="1834">
        <f>B34*0.02</f>
        <v>514.3248000000001</v>
      </c>
      <c r="C35" s="1834">
        <f>C34*0.02</f>
        <v>567.93600000000004</v>
      </c>
      <c r="D35" s="1834">
        <f>C35+B35</f>
        <v>1082.2608</v>
      </c>
      <c r="E35" s="1833"/>
      <c r="F35" s="4596"/>
    </row>
    <row r="36" spans="1:7" ht="18.75" customHeight="1" x14ac:dyDescent="0.2">
      <c r="A36" s="1835" t="s">
        <v>627</v>
      </c>
      <c r="B36" s="1836"/>
      <c r="C36" s="1836"/>
      <c r="D36" s="1837">
        <f>D10+D15+D20+D25+D30+D35</f>
        <v>6610.3364919999995</v>
      </c>
      <c r="E36" s="1837">
        <f>(1993.71255+680.237)/1.18</f>
        <v>2266.0589406779659</v>
      </c>
      <c r="F36" s="1837">
        <f>F7+F12+F17+F22+F27+F32</f>
        <v>2266.0589406779659</v>
      </c>
    </row>
    <row r="37" spans="1:7" x14ac:dyDescent="0.2">
      <c r="A37" s="1838" t="s">
        <v>236</v>
      </c>
      <c r="B37" s="1833"/>
      <c r="C37" s="1833"/>
      <c r="D37" s="1839"/>
      <c r="E37" s="1839"/>
      <c r="F37" s="1833"/>
    </row>
    <row r="38" spans="1:7" ht="19.5" customHeight="1" x14ac:dyDescent="0.2">
      <c r="A38" s="1838" t="s">
        <v>46</v>
      </c>
      <c r="B38" s="1833"/>
      <c r="C38" s="1833"/>
      <c r="D38" s="1840">
        <f>D10+D20+D30</f>
        <v>3675.8307420000001</v>
      </c>
      <c r="E38" s="1840">
        <f>E36*D43/(D43+D44)</f>
        <v>1252.0986612073889</v>
      </c>
      <c r="F38" s="4597" t="s">
        <v>1497</v>
      </c>
    </row>
    <row r="39" spans="1:7" ht="19.5" customHeight="1" x14ac:dyDescent="0.2">
      <c r="A39" s="1838" t="s">
        <v>47</v>
      </c>
      <c r="B39" s="1833"/>
      <c r="C39" s="1833"/>
      <c r="D39" s="1840">
        <f>D15+D25+D35</f>
        <v>2934.5057500000003</v>
      </c>
      <c r="E39" s="1840">
        <f>E36-E38</f>
        <v>1013.960279470577</v>
      </c>
      <c r="F39" s="4598"/>
    </row>
    <row r="42" spans="1:7" x14ac:dyDescent="0.2">
      <c r="C42" s="5" t="s">
        <v>1495</v>
      </c>
    </row>
    <row r="43" spans="1:7" x14ac:dyDescent="0.2">
      <c r="C43" s="5" t="s">
        <v>294</v>
      </c>
      <c r="D43" s="1841">
        <f>(19.14+22.66)/2</f>
        <v>20.9</v>
      </c>
    </row>
    <row r="44" spans="1:7" x14ac:dyDescent="0.2">
      <c r="C44" s="5" t="s">
        <v>324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1522</v>
      </c>
    </row>
    <row r="2" spans="1:9" ht="18" x14ac:dyDescent="0.25">
      <c r="A2" s="4621" t="s">
        <v>516</v>
      </c>
      <c r="B2" s="4621"/>
      <c r="C2" s="4621"/>
      <c r="D2" s="4621"/>
      <c r="E2" s="4621"/>
      <c r="F2" s="4622"/>
      <c r="G2" s="4622"/>
      <c r="H2" s="4622"/>
      <c r="I2" s="4622"/>
    </row>
    <row r="3" spans="1:9" ht="13.5" thickBot="1" x14ac:dyDescent="0.25">
      <c r="A3" s="904"/>
      <c r="B3" s="904"/>
      <c r="C3" s="904"/>
      <c r="D3" s="904"/>
      <c r="E3" s="904"/>
      <c r="F3" s="850"/>
      <c r="G3" s="850"/>
      <c r="H3" s="850"/>
      <c r="I3" s="850"/>
    </row>
    <row r="4" spans="1:9" ht="13.5" thickBot="1" x14ac:dyDescent="0.25">
      <c r="A4" s="4616" t="s">
        <v>395</v>
      </c>
      <c r="B4" s="4623"/>
      <c r="C4" s="4623"/>
      <c r="D4" s="4623"/>
      <c r="E4" s="4623"/>
      <c r="F4" s="4623"/>
      <c r="G4" s="4623"/>
      <c r="H4" s="4623"/>
      <c r="I4" s="4624"/>
    </row>
    <row r="5" spans="1:9" ht="51" x14ac:dyDescent="0.2">
      <c r="A5" s="905" t="s">
        <v>395</v>
      </c>
      <c r="B5" s="908" t="s">
        <v>517</v>
      </c>
      <c r="C5" s="849" t="s">
        <v>518</v>
      </c>
      <c r="D5" s="4612" t="s">
        <v>243</v>
      </c>
      <c r="E5" s="4613"/>
      <c r="F5" s="908" t="s">
        <v>864</v>
      </c>
      <c r="G5" s="849" t="s">
        <v>852</v>
      </c>
      <c r="H5" s="4612" t="s">
        <v>243</v>
      </c>
      <c r="I5" s="4613"/>
    </row>
    <row r="6" spans="1:9" x14ac:dyDescent="0.2">
      <c r="A6" s="906" t="s">
        <v>280</v>
      </c>
      <c r="B6" s="909">
        <v>2243</v>
      </c>
      <c r="C6" s="887"/>
      <c r="D6" s="4608"/>
      <c r="E6" s="4609"/>
      <c r="F6" s="927">
        <v>0</v>
      </c>
      <c r="G6" s="887"/>
      <c r="H6" s="4608"/>
      <c r="I6" s="4609"/>
    </row>
    <row r="7" spans="1:9" x14ac:dyDescent="0.2">
      <c r="A7" s="906" t="s">
        <v>281</v>
      </c>
      <c r="B7" s="909">
        <v>3073.1</v>
      </c>
      <c r="C7" s="902">
        <v>1287.3</v>
      </c>
      <c r="D7" s="4614" t="s">
        <v>247</v>
      </c>
      <c r="E7" s="4615"/>
      <c r="F7" s="927">
        <v>0</v>
      </c>
      <c r="G7" s="902">
        <f>B7-C7</f>
        <v>1785.8</v>
      </c>
      <c r="H7" s="4614" t="s">
        <v>247</v>
      </c>
      <c r="I7" s="4615"/>
    </row>
    <row r="8" spans="1:9" x14ac:dyDescent="0.2">
      <c r="A8" s="906" t="s">
        <v>282</v>
      </c>
      <c r="B8" s="909">
        <v>212.2</v>
      </c>
      <c r="C8" s="887"/>
      <c r="D8" s="4608"/>
      <c r="E8" s="4609"/>
      <c r="F8" s="927">
        <v>0</v>
      </c>
      <c r="G8" s="887"/>
      <c r="H8" s="4608"/>
      <c r="I8" s="4609"/>
    </row>
    <row r="9" spans="1:9" x14ac:dyDescent="0.2">
      <c r="A9" s="906" t="s">
        <v>283</v>
      </c>
      <c r="B9" s="909">
        <v>475.4</v>
      </c>
      <c r="C9" s="887"/>
      <c r="D9" s="4608"/>
      <c r="E9" s="4609"/>
      <c r="F9" s="927">
        <v>0</v>
      </c>
      <c r="G9" s="887"/>
      <c r="H9" s="4608"/>
      <c r="I9" s="4609"/>
    </row>
    <row r="10" spans="1:9" ht="52.5" customHeight="1" x14ac:dyDescent="0.2">
      <c r="A10" s="906" t="s">
        <v>284</v>
      </c>
      <c r="B10" s="909">
        <v>2249.5</v>
      </c>
      <c r="C10" s="887"/>
      <c r="D10" s="4608"/>
      <c r="E10" s="4609"/>
      <c r="F10" s="927">
        <v>2840.9</v>
      </c>
      <c r="G10" s="887"/>
      <c r="H10" s="4619" t="s">
        <v>996</v>
      </c>
      <c r="I10" s="4620"/>
    </row>
    <row r="11" spans="1:9" x14ac:dyDescent="0.2">
      <c r="A11" s="906" t="s">
        <v>285</v>
      </c>
      <c r="B11" s="909">
        <v>3333.9</v>
      </c>
      <c r="C11" s="887"/>
      <c r="D11" s="4608"/>
      <c r="E11" s="4609"/>
      <c r="F11" s="927">
        <v>0</v>
      </c>
      <c r="G11" s="887"/>
      <c r="H11" s="4608"/>
      <c r="I11" s="4609"/>
    </row>
    <row r="12" spans="1:9" x14ac:dyDescent="0.2">
      <c r="A12" s="906" t="s">
        <v>286</v>
      </c>
      <c r="B12" s="909">
        <v>2188.5</v>
      </c>
      <c r="C12" s="887"/>
      <c r="D12" s="4608"/>
      <c r="E12" s="4609"/>
      <c r="F12" s="927">
        <v>0</v>
      </c>
      <c r="G12" s="887"/>
      <c r="H12" s="4608"/>
      <c r="I12" s="4609"/>
    </row>
    <row r="13" spans="1:9" x14ac:dyDescent="0.2">
      <c r="A13" s="906" t="s">
        <v>287</v>
      </c>
      <c r="B13" s="909">
        <v>557.1</v>
      </c>
      <c r="C13" s="887"/>
      <c r="D13" s="4608"/>
      <c r="E13" s="4609"/>
      <c r="F13" s="927">
        <v>0</v>
      </c>
      <c r="G13" s="902"/>
      <c r="H13" s="4608"/>
      <c r="I13" s="4609"/>
    </row>
    <row r="14" spans="1:9" ht="13.5" thickBot="1" x14ac:dyDescent="0.25">
      <c r="A14" s="907" t="s">
        <v>288</v>
      </c>
      <c r="B14" s="910">
        <f>SUM(B6:B13)</f>
        <v>14332.7</v>
      </c>
      <c r="C14" s="903">
        <f>SUM(C6:C13)</f>
        <v>1287.3</v>
      </c>
      <c r="D14" s="4610"/>
      <c r="E14" s="4611"/>
      <c r="F14" s="910">
        <f>SUM(F6:F13)</f>
        <v>2840.9</v>
      </c>
      <c r="G14" s="903">
        <f>SUM(G6:G13)</f>
        <v>1785.8</v>
      </c>
      <c r="H14" s="4610"/>
      <c r="I14" s="4611"/>
    </row>
    <row r="15" spans="1:9" ht="13.5" thickBot="1" x14ac:dyDescent="0.25">
      <c r="A15" s="4616" t="s">
        <v>399</v>
      </c>
      <c r="B15" s="4617"/>
      <c r="C15" s="4617"/>
      <c r="D15" s="4617"/>
      <c r="E15" s="4617"/>
      <c r="F15" s="4617"/>
      <c r="G15" s="4617"/>
      <c r="H15" s="4617"/>
      <c r="I15" s="4618"/>
    </row>
    <row r="16" spans="1:9" ht="51" x14ac:dyDescent="0.2">
      <c r="A16" s="905" t="s">
        <v>399</v>
      </c>
      <c r="B16" s="908" t="s">
        <v>517</v>
      </c>
      <c r="C16" s="849" t="s">
        <v>518</v>
      </c>
      <c r="D16" s="4612" t="s">
        <v>243</v>
      </c>
      <c r="E16" s="4613"/>
      <c r="F16" s="908" t="s">
        <v>517</v>
      </c>
      <c r="G16" s="926" t="s">
        <v>852</v>
      </c>
      <c r="H16" s="4612" t="s">
        <v>243</v>
      </c>
      <c r="I16" s="4613"/>
    </row>
    <row r="17" spans="1:9" x14ac:dyDescent="0.2">
      <c r="A17" s="906" t="s">
        <v>280</v>
      </c>
      <c r="B17" s="909">
        <v>0</v>
      </c>
      <c r="C17" s="887"/>
      <c r="D17" s="4608"/>
      <c r="E17" s="4609"/>
      <c r="F17" s="927">
        <v>0</v>
      </c>
      <c r="G17" s="887"/>
      <c r="H17" s="4608"/>
      <c r="I17" s="4609"/>
    </row>
    <row r="18" spans="1:9" x14ac:dyDescent="0.2">
      <c r="A18" s="906" t="s">
        <v>281</v>
      </c>
      <c r="B18" s="909">
        <v>1355.2</v>
      </c>
      <c r="C18" s="902">
        <f>B18</f>
        <v>1355.2</v>
      </c>
      <c r="D18" s="4614" t="s">
        <v>247</v>
      </c>
      <c r="E18" s="4615"/>
      <c r="F18" s="927">
        <v>0</v>
      </c>
      <c r="G18" s="887"/>
      <c r="H18" s="4614" t="s">
        <v>247</v>
      </c>
      <c r="I18" s="4615"/>
    </row>
    <row r="19" spans="1:9" x14ac:dyDescent="0.2">
      <c r="A19" s="906" t="s">
        <v>282</v>
      </c>
      <c r="B19" s="909">
        <v>93.8</v>
      </c>
      <c r="C19" s="887"/>
      <c r="D19" s="4608"/>
      <c r="E19" s="4609"/>
      <c r="F19" s="927">
        <v>0</v>
      </c>
      <c r="G19" s="887"/>
      <c r="H19" s="4608"/>
      <c r="I19" s="4609"/>
    </row>
    <row r="20" spans="1:9" x14ac:dyDescent="0.2">
      <c r="A20" s="906" t="s">
        <v>283</v>
      </c>
      <c r="B20" s="909">
        <v>0</v>
      </c>
      <c r="C20" s="887"/>
      <c r="D20" s="4608"/>
      <c r="E20" s="4609"/>
      <c r="F20" s="927">
        <v>0</v>
      </c>
      <c r="G20" s="887"/>
      <c r="H20" s="4608"/>
      <c r="I20" s="4609"/>
    </row>
    <row r="21" spans="1:9" x14ac:dyDescent="0.2">
      <c r="A21" s="906" t="s">
        <v>284</v>
      </c>
      <c r="B21" s="909">
        <v>0</v>
      </c>
      <c r="C21" s="887"/>
      <c r="D21" s="4608"/>
      <c r="E21" s="4609"/>
      <c r="F21" s="927">
        <v>0</v>
      </c>
      <c r="G21" s="887"/>
      <c r="H21" s="4608"/>
      <c r="I21" s="4609"/>
    </row>
    <row r="22" spans="1:9" x14ac:dyDescent="0.2">
      <c r="A22" s="906" t="s">
        <v>285</v>
      </c>
      <c r="B22" s="909">
        <v>1153.4000000000001</v>
      </c>
      <c r="C22" s="887"/>
      <c r="D22" s="4608"/>
      <c r="E22" s="4609"/>
      <c r="F22" s="927">
        <v>0</v>
      </c>
      <c r="G22" s="887"/>
      <c r="H22" s="4608"/>
      <c r="I22" s="4609"/>
    </row>
    <row r="23" spans="1:9" x14ac:dyDescent="0.2">
      <c r="A23" s="906" t="s">
        <v>286</v>
      </c>
      <c r="B23" s="909">
        <v>0</v>
      </c>
      <c r="C23" s="887"/>
      <c r="D23" s="4608"/>
      <c r="E23" s="4609"/>
      <c r="F23" s="927">
        <f>SUM('ОХР '!AD58-'ОХР '!Z58)</f>
        <v>1048.3951981855334</v>
      </c>
      <c r="G23" s="887"/>
      <c r="H23" s="4608"/>
      <c r="I23" s="4609"/>
    </row>
    <row r="24" spans="1:9" x14ac:dyDescent="0.2">
      <c r="A24" s="906" t="s">
        <v>287</v>
      </c>
      <c r="B24" s="909">
        <v>121.2</v>
      </c>
      <c r="C24" s="887">
        <f>95.1</f>
        <v>95.1</v>
      </c>
      <c r="D24" s="4608"/>
      <c r="E24" s="4609"/>
      <c r="F24" s="909">
        <v>0</v>
      </c>
      <c r="G24" s="902">
        <f>B24-C24</f>
        <v>26.100000000000009</v>
      </c>
      <c r="H24" s="4608"/>
      <c r="I24" s="4609"/>
    </row>
    <row r="25" spans="1:9" ht="13.5" thickBot="1" x14ac:dyDescent="0.25">
      <c r="A25" s="907" t="s">
        <v>288</v>
      </c>
      <c r="B25" s="910">
        <f>SUM(B17:B24)</f>
        <v>2723.6</v>
      </c>
      <c r="C25" s="903">
        <f>SUM(C17:C24)</f>
        <v>1450.3</v>
      </c>
      <c r="D25" s="4610"/>
      <c r="E25" s="4611"/>
      <c r="F25" s="910">
        <f>SUM(F17:F24)</f>
        <v>1048.3951981855334</v>
      </c>
      <c r="G25" s="903">
        <f>SUM(G17:G24)</f>
        <v>26.100000000000009</v>
      </c>
      <c r="H25" s="4610"/>
      <c r="I25" s="4611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8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4502" t="s">
        <v>803</v>
      </c>
      <c r="B1" s="4503"/>
      <c r="C1" s="4503"/>
      <c r="D1" s="4503"/>
      <c r="E1" s="4503"/>
      <c r="F1" s="4503"/>
      <c r="G1" s="4503"/>
      <c r="H1" s="4503"/>
      <c r="I1" s="4503"/>
      <c r="J1" s="4503"/>
      <c r="K1" s="4508"/>
    </row>
    <row r="2" spans="1:11" ht="13.5" x14ac:dyDescent="0.25">
      <c r="A2" s="4504" t="s">
        <v>664</v>
      </c>
      <c r="B2" s="4347"/>
      <c r="C2" s="4347"/>
      <c r="D2" s="4347"/>
      <c r="E2" s="4347"/>
      <c r="F2" s="4347"/>
      <c r="G2" s="4347"/>
      <c r="H2" s="4347"/>
      <c r="I2" s="4347"/>
      <c r="J2" s="4347"/>
      <c r="K2" s="4348"/>
    </row>
    <row r="3" spans="1:11" ht="18.75" x14ac:dyDescent="0.3">
      <c r="A3" s="685"/>
      <c r="B3" s="280"/>
      <c r="C3" s="280"/>
      <c r="D3" s="280"/>
      <c r="E3" s="280"/>
      <c r="F3" s="280"/>
      <c r="G3" s="280"/>
      <c r="H3" s="280"/>
      <c r="I3" s="280"/>
      <c r="J3" s="280"/>
      <c r="K3" s="686"/>
    </row>
    <row r="4" spans="1:11" ht="18.75" x14ac:dyDescent="0.3">
      <c r="A4" s="4505" t="s">
        <v>804</v>
      </c>
      <c r="B4" s="4347"/>
      <c r="C4" s="4347"/>
      <c r="D4" s="4347"/>
      <c r="E4" s="4347"/>
      <c r="F4" s="4347"/>
      <c r="G4" s="4347"/>
      <c r="H4" s="4347"/>
      <c r="I4" s="4347"/>
      <c r="J4" s="4347"/>
      <c r="K4" s="4348"/>
    </row>
    <row r="5" spans="1:11" ht="18" x14ac:dyDescent="0.25">
      <c r="A5" s="687" t="s">
        <v>666</v>
      </c>
      <c r="B5" s="280"/>
      <c r="C5" s="280"/>
      <c r="D5" s="280"/>
      <c r="E5" s="280"/>
      <c r="F5" s="280"/>
      <c r="G5" s="280"/>
      <c r="H5" s="280"/>
      <c r="I5" s="280"/>
      <c r="J5" s="280"/>
      <c r="K5" s="686"/>
    </row>
    <row r="6" spans="1:11" ht="15" x14ac:dyDescent="0.2">
      <c r="A6" s="4492" t="s">
        <v>498</v>
      </c>
      <c r="B6" s="4347"/>
      <c r="C6" s="4347"/>
      <c r="D6" s="4347"/>
      <c r="E6" s="4347"/>
      <c r="F6" s="4347"/>
      <c r="G6" s="4347"/>
      <c r="H6" s="4347"/>
      <c r="I6" s="4347"/>
      <c r="J6" s="4347"/>
      <c r="K6" s="4348"/>
    </row>
    <row r="7" spans="1:11" ht="18.75" x14ac:dyDescent="0.3">
      <c r="A7" s="688"/>
      <c r="B7" s="280"/>
      <c r="C7" s="280"/>
      <c r="D7" s="280"/>
      <c r="E7" s="280"/>
      <c r="F7" s="280"/>
      <c r="G7" s="280"/>
      <c r="H7" s="280"/>
      <c r="I7" s="280"/>
      <c r="J7" s="280"/>
      <c r="K7" s="686"/>
    </row>
    <row r="8" spans="1:11" x14ac:dyDescent="0.2">
      <c r="A8" s="4489" t="s">
        <v>667</v>
      </c>
      <c r="B8" s="4347"/>
      <c r="C8" s="4347"/>
      <c r="D8" s="4347"/>
      <c r="E8" s="4347"/>
      <c r="F8" s="4347"/>
      <c r="G8" s="4347"/>
      <c r="H8" s="4347"/>
      <c r="I8" s="4347"/>
      <c r="J8" s="4347"/>
      <c r="K8" s="4348"/>
    </row>
    <row r="9" spans="1:11" ht="13.5" x14ac:dyDescent="0.2">
      <c r="A9" s="707"/>
      <c r="B9" s="701"/>
      <c r="C9" s="280"/>
      <c r="D9" s="280"/>
      <c r="E9" s="280"/>
      <c r="F9" s="280"/>
      <c r="G9" s="280"/>
      <c r="H9" s="280"/>
      <c r="I9" s="280"/>
      <c r="J9" s="280"/>
      <c r="K9" s="686"/>
    </row>
    <row r="10" spans="1:11" x14ac:dyDescent="0.2">
      <c r="A10" s="4489" t="s">
        <v>668</v>
      </c>
      <c r="B10" s="4347"/>
      <c r="C10" s="4347"/>
      <c r="D10" s="4491" t="s">
        <v>805</v>
      </c>
      <c r="E10" s="4347"/>
      <c r="F10" s="4347"/>
      <c r="G10" s="4347"/>
      <c r="H10" s="4347"/>
      <c r="I10" s="4347"/>
      <c r="J10" s="4347"/>
      <c r="K10" s="4348"/>
    </row>
    <row r="11" spans="1:11" ht="18.75" x14ac:dyDescent="0.3">
      <c r="A11" s="688"/>
      <c r="B11" s="280"/>
      <c r="C11" s="280"/>
      <c r="D11" s="280"/>
      <c r="E11" s="280"/>
      <c r="F11" s="280"/>
      <c r="G11" s="280"/>
      <c r="H11" s="280"/>
      <c r="I11" s="280"/>
      <c r="J11" s="280"/>
      <c r="K11" s="686"/>
    </row>
    <row r="12" spans="1:11" ht="12.75" customHeight="1" x14ac:dyDescent="0.2">
      <c r="A12" s="4499" t="s">
        <v>670</v>
      </c>
      <c r="B12" s="4347"/>
      <c r="C12" s="4347"/>
      <c r="D12" s="4347"/>
      <c r="E12" s="4347"/>
      <c r="F12" s="4347"/>
      <c r="G12" s="4500" t="s">
        <v>806</v>
      </c>
      <c r="H12" s="4501" t="s">
        <v>672</v>
      </c>
      <c r="I12" s="280"/>
      <c r="J12" s="280"/>
      <c r="K12" s="686"/>
    </row>
    <row r="13" spans="1:11" x14ac:dyDescent="0.2">
      <c r="A13" s="4499"/>
      <c r="B13" s="4347"/>
      <c r="C13" s="4347"/>
      <c r="D13" s="4347"/>
      <c r="E13" s="4347"/>
      <c r="F13" s="4347"/>
      <c r="G13" s="4500"/>
      <c r="H13" s="4501"/>
      <c r="I13" s="280"/>
      <c r="J13" s="280"/>
      <c r="K13" s="686"/>
    </row>
    <row r="14" spans="1:11" ht="15" customHeight="1" x14ac:dyDescent="0.2">
      <c r="A14" s="4489" t="s">
        <v>673</v>
      </c>
      <c r="B14" s="4347"/>
      <c r="C14" s="4347"/>
      <c r="D14" s="4347"/>
      <c r="E14" s="4347"/>
      <c r="F14" s="4347"/>
      <c r="G14" s="4490">
        <v>854</v>
      </c>
      <c r="H14" s="4491" t="s">
        <v>674</v>
      </c>
      <c r="I14" s="280"/>
      <c r="J14" s="280"/>
      <c r="K14" s="686"/>
    </row>
    <row r="15" spans="1:11" x14ac:dyDescent="0.2">
      <c r="A15" s="4489"/>
      <c r="B15" s="4347"/>
      <c r="C15" s="4347"/>
      <c r="D15" s="4347"/>
      <c r="E15" s="4347"/>
      <c r="F15" s="4347"/>
      <c r="G15" s="4490"/>
      <c r="H15" s="4491"/>
      <c r="I15" s="280"/>
      <c r="J15" s="280"/>
      <c r="K15" s="686"/>
    </row>
    <row r="16" spans="1:11" ht="13.5" customHeight="1" x14ac:dyDescent="0.2">
      <c r="A16" s="4489" t="s">
        <v>675</v>
      </c>
      <c r="B16" s="4347"/>
      <c r="C16" s="4347"/>
      <c r="D16" s="4347"/>
      <c r="E16" s="4347"/>
      <c r="F16" s="4347"/>
      <c r="G16" s="4490" t="s">
        <v>807</v>
      </c>
      <c r="H16" s="4491" t="s">
        <v>672</v>
      </c>
      <c r="I16" s="280"/>
      <c r="J16" s="280"/>
      <c r="K16" s="686"/>
    </row>
    <row r="17" spans="1:11" ht="3.75" customHeight="1" x14ac:dyDescent="0.2">
      <c r="A17" s="4489"/>
      <c r="B17" s="4347"/>
      <c r="C17" s="4347"/>
      <c r="D17" s="4347"/>
      <c r="E17" s="4347"/>
      <c r="F17" s="4347"/>
      <c r="G17" s="4490"/>
      <c r="H17" s="4491"/>
      <c r="I17" s="280"/>
      <c r="J17" s="280"/>
      <c r="K17" s="686"/>
    </row>
    <row r="18" spans="1:11" ht="19.5" thickBot="1" x14ac:dyDescent="0.35">
      <c r="A18" s="708" t="s">
        <v>247</v>
      </c>
      <c r="B18" s="280"/>
      <c r="C18" s="280"/>
      <c r="D18" s="280"/>
      <c r="E18" s="280"/>
      <c r="F18" s="280"/>
      <c r="G18" s="280"/>
      <c r="H18" s="280"/>
      <c r="I18" s="280"/>
      <c r="J18" s="280"/>
      <c r="K18" s="686"/>
    </row>
    <row r="19" spans="1:11" ht="13.5" thickBot="1" x14ac:dyDescent="0.25">
      <c r="A19" s="650" t="s">
        <v>172</v>
      </c>
      <c r="B19" s="650" t="s">
        <v>448</v>
      </c>
      <c r="C19" s="650" t="s">
        <v>367</v>
      </c>
      <c r="D19" s="339"/>
      <c r="E19" s="4479" t="s">
        <v>449</v>
      </c>
      <c r="F19" s="4480"/>
      <c r="G19" s="4479" t="s">
        <v>450</v>
      </c>
      <c r="H19" s="4481"/>
      <c r="I19" s="4480"/>
      <c r="J19" s="4482" t="s">
        <v>451</v>
      </c>
      <c r="K19" s="4483"/>
    </row>
    <row r="20" spans="1:11" ht="13.5" thickBot="1" x14ac:dyDescent="0.25">
      <c r="A20" s="342" t="s">
        <v>452</v>
      </c>
      <c r="B20" s="342" t="s">
        <v>453</v>
      </c>
      <c r="C20" s="342" t="s">
        <v>454</v>
      </c>
      <c r="D20" s="343" t="s">
        <v>455</v>
      </c>
      <c r="E20" s="652" t="s">
        <v>456</v>
      </c>
      <c r="F20" s="649" t="s">
        <v>457</v>
      </c>
      <c r="G20" s="342" t="s">
        <v>456</v>
      </c>
      <c r="H20" s="343" t="s">
        <v>458</v>
      </c>
      <c r="I20" s="345" t="s">
        <v>457</v>
      </c>
      <c r="J20" s="4484" t="s">
        <v>459</v>
      </c>
      <c r="K20" s="4485"/>
    </row>
    <row r="21" spans="1:11" ht="13.5" thickBot="1" x14ac:dyDescent="0.25">
      <c r="A21" s="651"/>
      <c r="B21" s="651" t="s">
        <v>460</v>
      </c>
      <c r="C21" s="651"/>
      <c r="D21" s="347"/>
      <c r="E21" s="652" t="s">
        <v>458</v>
      </c>
      <c r="F21" s="345" t="s">
        <v>461</v>
      </c>
      <c r="G21" s="648"/>
      <c r="H21" s="348"/>
      <c r="I21" s="345" t="s">
        <v>461</v>
      </c>
      <c r="J21" s="651" t="s">
        <v>462</v>
      </c>
      <c r="K21" s="347" t="s">
        <v>456</v>
      </c>
    </row>
    <row r="22" spans="1:11" ht="13.5" thickBot="1" x14ac:dyDescent="0.25">
      <c r="A22" s="692"/>
      <c r="B22" s="280"/>
      <c r="C22" s="280"/>
      <c r="D22" s="280"/>
      <c r="E22" s="280"/>
      <c r="F22" s="280"/>
      <c r="G22" s="280"/>
      <c r="H22" s="280"/>
      <c r="I22" s="280"/>
      <c r="J22" s="280"/>
      <c r="K22" s="686"/>
    </row>
    <row r="23" spans="1:11" ht="13.5" thickBot="1" x14ac:dyDescent="0.25">
      <c r="A23" s="350">
        <v>1</v>
      </c>
      <c r="B23" s="351">
        <v>2</v>
      </c>
      <c r="C23" s="351">
        <v>3</v>
      </c>
      <c r="D23" s="351">
        <v>4</v>
      </c>
      <c r="E23" s="351">
        <v>5</v>
      </c>
      <c r="F23" s="351">
        <v>6</v>
      </c>
      <c r="G23" s="351">
        <v>7</v>
      </c>
      <c r="H23" s="351">
        <v>8</v>
      </c>
      <c r="I23" s="351">
        <v>9</v>
      </c>
      <c r="J23" s="351">
        <v>10</v>
      </c>
      <c r="K23" s="351">
        <v>11</v>
      </c>
    </row>
    <row r="24" spans="1:11" ht="13.5" thickBot="1" x14ac:dyDescent="0.25">
      <c r="A24" s="678"/>
      <c r="B24" s="679"/>
      <c r="C24" s="679"/>
      <c r="D24" s="679"/>
      <c r="E24" s="679"/>
      <c r="F24" s="679"/>
      <c r="G24" s="679"/>
      <c r="H24" s="679"/>
      <c r="I24" s="679"/>
      <c r="J24" s="679"/>
      <c r="K24" s="679"/>
    </row>
    <row r="25" spans="1:11" ht="13.5" thickBot="1" x14ac:dyDescent="0.25">
      <c r="A25" s="4462"/>
      <c r="B25" s="4463"/>
      <c r="C25" s="4463"/>
      <c r="D25" s="4463"/>
      <c r="E25" s="4463"/>
      <c r="F25" s="4463"/>
      <c r="G25" s="4463"/>
      <c r="H25" s="4463"/>
      <c r="I25" s="4463"/>
      <c r="J25" s="4463"/>
      <c r="K25" s="4464"/>
    </row>
    <row r="26" spans="1:11" ht="13.5" thickBot="1" x14ac:dyDescent="0.25">
      <c r="A26" s="4486" t="s">
        <v>808</v>
      </c>
      <c r="B26" s="4487"/>
      <c r="C26" s="4487"/>
      <c r="D26" s="4487"/>
      <c r="E26" s="4487"/>
      <c r="F26" s="4487"/>
      <c r="G26" s="4487"/>
      <c r="H26" s="4487"/>
      <c r="I26" s="4487"/>
      <c r="J26" s="4487"/>
      <c r="K26" s="4488"/>
    </row>
    <row r="27" spans="1:11" ht="13.5" thickBot="1" x14ac:dyDescent="0.25">
      <c r="A27" s="4462"/>
      <c r="B27" s="4463"/>
      <c r="C27" s="4463"/>
      <c r="D27" s="4463"/>
      <c r="E27" s="4463"/>
      <c r="F27" s="4463"/>
      <c r="G27" s="4463"/>
      <c r="H27" s="4463"/>
      <c r="I27" s="4463"/>
      <c r="J27" s="4463"/>
      <c r="K27" s="4464"/>
    </row>
    <row r="28" spans="1:11" x14ac:dyDescent="0.2">
      <c r="A28" s="4472">
        <v>1</v>
      </c>
      <c r="B28" s="4474" t="s">
        <v>685</v>
      </c>
      <c r="C28" s="357" t="s">
        <v>749</v>
      </c>
      <c r="D28" s="358">
        <v>0.8</v>
      </c>
      <c r="E28" s="359">
        <v>21330.04</v>
      </c>
      <c r="F28" s="359">
        <v>21330.04</v>
      </c>
      <c r="G28" s="4472">
        <v>17064</v>
      </c>
      <c r="H28" s="4472">
        <v>0</v>
      </c>
      <c r="I28" s="359">
        <v>17064</v>
      </c>
      <c r="J28" s="359">
        <v>0</v>
      </c>
      <c r="K28" s="359">
        <v>0</v>
      </c>
    </row>
    <row r="29" spans="1:11" ht="34.5" customHeight="1" thickBot="1" x14ac:dyDescent="0.25">
      <c r="A29" s="4473"/>
      <c r="B29" s="4475"/>
      <c r="C29" s="355" t="s">
        <v>809</v>
      </c>
      <c r="D29" s="356" t="s">
        <v>687</v>
      </c>
      <c r="E29" s="356">
        <v>0</v>
      </c>
      <c r="F29" s="356">
        <v>24389.57</v>
      </c>
      <c r="G29" s="4473"/>
      <c r="H29" s="4473"/>
      <c r="I29" s="356">
        <v>19512</v>
      </c>
      <c r="J29" s="356">
        <v>97.21</v>
      </c>
      <c r="K29" s="356">
        <v>77.77</v>
      </c>
    </row>
    <row r="30" spans="1:11" ht="22.5" customHeight="1" x14ac:dyDescent="0.2">
      <c r="A30" s="4472">
        <v>2</v>
      </c>
      <c r="B30" s="4474" t="s">
        <v>759</v>
      </c>
      <c r="C30" s="357" t="s">
        <v>760</v>
      </c>
      <c r="D30" s="358">
        <v>20</v>
      </c>
      <c r="E30" s="359">
        <v>1300.8599999999999</v>
      </c>
      <c r="F30" s="359">
        <v>30.67</v>
      </c>
      <c r="G30" s="4472">
        <v>26017</v>
      </c>
      <c r="H30" s="4472">
        <v>25404</v>
      </c>
      <c r="I30" s="359">
        <v>613</v>
      </c>
      <c r="J30" s="359">
        <v>6.58</v>
      </c>
      <c r="K30" s="359">
        <v>131.6</v>
      </c>
    </row>
    <row r="31" spans="1:11" ht="33" customHeight="1" thickBot="1" x14ac:dyDescent="0.25">
      <c r="A31" s="4473"/>
      <c r="B31" s="4475"/>
      <c r="C31" s="355" t="s">
        <v>809</v>
      </c>
      <c r="D31" s="356" t="s">
        <v>761</v>
      </c>
      <c r="E31" s="356">
        <v>1270.19</v>
      </c>
      <c r="F31" s="356">
        <v>0</v>
      </c>
      <c r="G31" s="4473"/>
      <c r="H31" s="4473"/>
      <c r="I31" s="356">
        <v>0</v>
      </c>
      <c r="J31" s="356">
        <v>0</v>
      </c>
      <c r="K31" s="356">
        <v>0</v>
      </c>
    </row>
    <row r="32" spans="1:11" ht="22.5" customHeight="1" x14ac:dyDescent="0.2">
      <c r="A32" s="4472">
        <v>3</v>
      </c>
      <c r="B32" s="4474" t="s">
        <v>750</v>
      </c>
      <c r="C32" s="357" t="s">
        <v>751</v>
      </c>
      <c r="D32" s="358">
        <v>0.2</v>
      </c>
      <c r="E32" s="359">
        <v>115674.66</v>
      </c>
      <c r="F32" s="359">
        <v>55153.06</v>
      </c>
      <c r="G32" s="4472">
        <v>23135</v>
      </c>
      <c r="H32" s="4472">
        <v>12104</v>
      </c>
      <c r="I32" s="359">
        <v>11031</v>
      </c>
      <c r="J32" s="359">
        <v>292.02</v>
      </c>
      <c r="K32" s="359">
        <v>58.4</v>
      </c>
    </row>
    <row r="33" spans="1:11" ht="33.75" customHeight="1" x14ac:dyDescent="0.2">
      <c r="A33" s="4476"/>
      <c r="B33" s="4477"/>
      <c r="C33" s="357" t="s">
        <v>502</v>
      </c>
      <c r="D33" s="359" t="s">
        <v>753</v>
      </c>
      <c r="E33" s="359">
        <v>60521.599999999999</v>
      </c>
      <c r="F33" s="359">
        <v>12684.38</v>
      </c>
      <c r="G33" s="4476"/>
      <c r="H33" s="4476"/>
      <c r="I33" s="359">
        <v>2537</v>
      </c>
      <c r="J33" s="359">
        <v>49.67</v>
      </c>
      <c r="K33" s="359">
        <v>9.93</v>
      </c>
    </row>
    <row r="34" spans="1:11" ht="33.75" customHeight="1" thickBot="1" x14ac:dyDescent="0.25">
      <c r="A34" s="4473"/>
      <c r="B34" s="4475"/>
      <c r="C34" s="355" t="s">
        <v>810</v>
      </c>
      <c r="D34" s="360"/>
      <c r="E34" s="360"/>
      <c r="F34" s="360"/>
      <c r="G34" s="4473"/>
      <c r="H34" s="4473"/>
      <c r="I34" s="360"/>
      <c r="J34" s="360"/>
      <c r="K34" s="360"/>
    </row>
    <row r="35" spans="1:11" ht="10.5" customHeight="1" x14ac:dyDescent="0.2">
      <c r="A35" s="4472">
        <v>4</v>
      </c>
      <c r="B35" s="4474" t="s">
        <v>754</v>
      </c>
      <c r="C35" s="357" t="s">
        <v>755</v>
      </c>
      <c r="D35" s="358">
        <v>20</v>
      </c>
      <c r="E35" s="359">
        <v>534.51</v>
      </c>
      <c r="F35" s="359">
        <v>0</v>
      </c>
      <c r="G35" s="4472">
        <v>10690</v>
      </c>
      <c r="H35" s="4472">
        <v>10690</v>
      </c>
      <c r="I35" s="359">
        <v>0</v>
      </c>
      <c r="J35" s="359">
        <v>2.72</v>
      </c>
      <c r="K35" s="359">
        <v>54.48</v>
      </c>
    </row>
    <row r="36" spans="1:11" ht="10.5" customHeight="1" x14ac:dyDescent="0.2">
      <c r="A36" s="4476"/>
      <c r="B36" s="4477"/>
      <c r="C36" s="357" t="s">
        <v>502</v>
      </c>
      <c r="D36" s="359" t="s">
        <v>466</v>
      </c>
      <c r="E36" s="359">
        <v>534.51</v>
      </c>
      <c r="F36" s="359">
        <v>0</v>
      </c>
      <c r="G36" s="4476"/>
      <c r="H36" s="4476"/>
      <c r="I36" s="359">
        <v>0</v>
      </c>
      <c r="J36" s="359">
        <v>0</v>
      </c>
      <c r="K36" s="359">
        <v>0</v>
      </c>
    </row>
    <row r="37" spans="1:11" ht="33.75" customHeight="1" thickBot="1" x14ac:dyDescent="0.25">
      <c r="A37" s="4473"/>
      <c r="B37" s="4475"/>
      <c r="C37" s="355" t="s">
        <v>810</v>
      </c>
      <c r="D37" s="360"/>
      <c r="E37" s="360"/>
      <c r="F37" s="360"/>
      <c r="G37" s="4473"/>
      <c r="H37" s="4473"/>
      <c r="I37" s="360"/>
      <c r="J37" s="360"/>
      <c r="K37" s="360"/>
    </row>
    <row r="38" spans="1:11" ht="10.5" customHeight="1" x14ac:dyDescent="0.2">
      <c r="A38" s="4472">
        <v>5</v>
      </c>
      <c r="B38" s="4474" t="s">
        <v>756</v>
      </c>
      <c r="C38" s="357" t="s">
        <v>757</v>
      </c>
      <c r="D38" s="358">
        <v>12</v>
      </c>
      <c r="E38" s="359">
        <v>352.65</v>
      </c>
      <c r="F38" s="359">
        <v>70.33</v>
      </c>
      <c r="G38" s="4472">
        <v>4232</v>
      </c>
      <c r="H38" s="4472">
        <v>3388</v>
      </c>
      <c r="I38" s="359">
        <v>844</v>
      </c>
      <c r="J38" s="359">
        <v>1.31</v>
      </c>
      <c r="K38" s="359">
        <v>15.72</v>
      </c>
    </row>
    <row r="39" spans="1:11" ht="33" customHeight="1" thickBot="1" x14ac:dyDescent="0.25">
      <c r="A39" s="4473"/>
      <c r="B39" s="4475"/>
      <c r="C39" s="355" t="s">
        <v>809</v>
      </c>
      <c r="D39" s="356" t="s">
        <v>758</v>
      </c>
      <c r="E39" s="356">
        <v>282.32</v>
      </c>
      <c r="F39" s="356">
        <v>0</v>
      </c>
      <c r="G39" s="4473"/>
      <c r="H39" s="4473"/>
      <c r="I39" s="356">
        <v>0</v>
      </c>
      <c r="J39" s="356">
        <v>7.0000000000000007E-2</v>
      </c>
      <c r="K39" s="356">
        <v>0.84</v>
      </c>
    </row>
    <row r="40" spans="1:11" ht="9.75" customHeight="1" x14ac:dyDescent="0.2">
      <c r="A40" s="4472">
        <v>6</v>
      </c>
      <c r="B40" s="4474" t="s">
        <v>463</v>
      </c>
      <c r="C40" s="357" t="s">
        <v>464</v>
      </c>
      <c r="D40" s="358">
        <v>8</v>
      </c>
      <c r="E40" s="359">
        <v>7190.9</v>
      </c>
      <c r="F40" s="359">
        <v>100.54</v>
      </c>
      <c r="G40" s="4472">
        <v>57527</v>
      </c>
      <c r="H40" s="4472">
        <v>7709</v>
      </c>
      <c r="I40" s="359">
        <v>804</v>
      </c>
      <c r="J40" s="359">
        <v>4.53</v>
      </c>
      <c r="K40" s="359">
        <v>36.24</v>
      </c>
    </row>
    <row r="41" spans="1:11" ht="34.5" customHeight="1" thickBot="1" x14ac:dyDescent="0.25">
      <c r="A41" s="4473"/>
      <c r="B41" s="4475"/>
      <c r="C41" s="355" t="s">
        <v>809</v>
      </c>
      <c r="D41" s="356" t="s">
        <v>466</v>
      </c>
      <c r="E41" s="356">
        <v>963.68</v>
      </c>
      <c r="F41" s="356">
        <v>0</v>
      </c>
      <c r="G41" s="4473"/>
      <c r="H41" s="4473"/>
      <c r="I41" s="356">
        <v>0</v>
      </c>
      <c r="J41" s="356">
        <v>0.1</v>
      </c>
      <c r="K41" s="356">
        <v>0.8</v>
      </c>
    </row>
    <row r="42" spans="1:11" ht="23.25" customHeight="1" x14ac:dyDescent="0.2">
      <c r="A42" s="4472">
        <v>7</v>
      </c>
      <c r="B42" s="4474" t="s">
        <v>500</v>
      </c>
      <c r="C42" s="357" t="s">
        <v>501</v>
      </c>
      <c r="D42" s="358">
        <v>0.5</v>
      </c>
      <c r="E42" s="359">
        <v>87722.08</v>
      </c>
      <c r="F42" s="359">
        <v>9577.9699999999993</v>
      </c>
      <c r="G42" s="4472">
        <v>43861</v>
      </c>
      <c r="H42" s="4472">
        <v>9936</v>
      </c>
      <c r="I42" s="359">
        <v>4789</v>
      </c>
      <c r="J42" s="359">
        <v>95.88</v>
      </c>
      <c r="K42" s="359">
        <v>47.94</v>
      </c>
    </row>
    <row r="43" spans="1:11" ht="10.5" customHeight="1" x14ac:dyDescent="0.2">
      <c r="A43" s="4476"/>
      <c r="B43" s="4477"/>
      <c r="C43" s="357" t="s">
        <v>502</v>
      </c>
      <c r="D43" s="359" t="s">
        <v>503</v>
      </c>
      <c r="E43" s="359">
        <v>19871.29</v>
      </c>
      <c r="F43" s="359">
        <v>2421.77</v>
      </c>
      <c r="G43" s="4476"/>
      <c r="H43" s="4476"/>
      <c r="I43" s="359">
        <v>1211</v>
      </c>
      <c r="J43" s="359">
        <v>7.81</v>
      </c>
      <c r="K43" s="359">
        <v>3.91</v>
      </c>
    </row>
    <row r="44" spans="1:11" ht="32.25" customHeight="1" thickBot="1" x14ac:dyDescent="0.25">
      <c r="A44" s="4473"/>
      <c r="B44" s="4475"/>
      <c r="C44" s="355" t="s">
        <v>810</v>
      </c>
      <c r="D44" s="360"/>
      <c r="E44" s="360"/>
      <c r="F44" s="360"/>
      <c r="G44" s="4473"/>
      <c r="H44" s="4473"/>
      <c r="I44" s="360"/>
      <c r="J44" s="360"/>
      <c r="K44" s="360"/>
    </row>
    <row r="45" spans="1:11" ht="10.5" customHeight="1" x14ac:dyDescent="0.2">
      <c r="A45" s="4472">
        <v>8</v>
      </c>
      <c r="B45" s="4474" t="s">
        <v>505</v>
      </c>
      <c r="C45" s="357" t="s">
        <v>506</v>
      </c>
      <c r="D45" s="358">
        <v>3.5</v>
      </c>
      <c r="E45" s="359">
        <v>14398.96</v>
      </c>
      <c r="F45" s="359">
        <v>341.17</v>
      </c>
      <c r="G45" s="4472">
        <v>50396</v>
      </c>
      <c r="H45" s="4472">
        <v>27253</v>
      </c>
      <c r="I45" s="359">
        <v>1194</v>
      </c>
      <c r="J45" s="359">
        <v>38.93</v>
      </c>
      <c r="K45" s="359">
        <v>136.25</v>
      </c>
    </row>
    <row r="46" spans="1:11" ht="12.75" customHeight="1" x14ac:dyDescent="0.2">
      <c r="A46" s="4476"/>
      <c r="B46" s="4477"/>
      <c r="C46" s="357" t="s">
        <v>507</v>
      </c>
      <c r="D46" s="359" t="s">
        <v>508</v>
      </c>
      <c r="E46" s="359">
        <v>7786.59</v>
      </c>
      <c r="F46" s="359">
        <v>133.93</v>
      </c>
      <c r="G46" s="4476"/>
      <c r="H46" s="4476"/>
      <c r="I46" s="359">
        <v>469</v>
      </c>
      <c r="J46" s="359">
        <v>0.43</v>
      </c>
      <c r="K46" s="359">
        <v>1.51</v>
      </c>
    </row>
    <row r="47" spans="1:11" ht="32.25" customHeight="1" thickBot="1" x14ac:dyDescent="0.25">
      <c r="A47" s="4473"/>
      <c r="B47" s="4475"/>
      <c r="C47" s="355" t="s">
        <v>810</v>
      </c>
      <c r="D47" s="360"/>
      <c r="E47" s="360"/>
      <c r="F47" s="360"/>
      <c r="G47" s="4473"/>
      <c r="H47" s="4473"/>
      <c r="I47" s="360"/>
      <c r="J47" s="360"/>
      <c r="K47" s="360"/>
    </row>
    <row r="48" spans="1:11" ht="11.25" customHeight="1" x14ac:dyDescent="0.2">
      <c r="A48" s="4472">
        <v>9</v>
      </c>
      <c r="B48" s="4474" t="s">
        <v>509</v>
      </c>
      <c r="C48" s="357" t="s">
        <v>510</v>
      </c>
      <c r="D48" s="358">
        <v>2.5</v>
      </c>
      <c r="E48" s="359">
        <v>17601.82</v>
      </c>
      <c r="F48" s="359">
        <v>60.3</v>
      </c>
      <c r="G48" s="4472">
        <v>44005</v>
      </c>
      <c r="H48" s="4472">
        <v>18429</v>
      </c>
      <c r="I48" s="359">
        <v>151</v>
      </c>
      <c r="J48" s="359">
        <v>34.65</v>
      </c>
      <c r="K48" s="359">
        <v>86.63</v>
      </c>
    </row>
    <row r="49" spans="1:11" ht="12.75" customHeight="1" x14ac:dyDescent="0.2">
      <c r="A49" s="4476"/>
      <c r="B49" s="4477"/>
      <c r="C49" s="357" t="s">
        <v>507</v>
      </c>
      <c r="D49" s="359" t="s">
        <v>503</v>
      </c>
      <c r="E49" s="359">
        <v>7371.52</v>
      </c>
      <c r="F49" s="359">
        <v>0</v>
      </c>
      <c r="G49" s="4476"/>
      <c r="H49" s="4476"/>
      <c r="I49" s="359">
        <v>0</v>
      </c>
      <c r="J49" s="359">
        <v>0.06</v>
      </c>
      <c r="K49" s="359">
        <v>0.15</v>
      </c>
    </row>
    <row r="50" spans="1:11" ht="33.75" customHeight="1" thickBot="1" x14ac:dyDescent="0.25">
      <c r="A50" s="4473"/>
      <c r="B50" s="4475"/>
      <c r="C50" s="355" t="s">
        <v>810</v>
      </c>
      <c r="D50" s="360"/>
      <c r="E50" s="360"/>
      <c r="F50" s="360"/>
      <c r="G50" s="4473"/>
      <c r="H50" s="4473"/>
      <c r="I50" s="360"/>
      <c r="J50" s="360"/>
      <c r="K50" s="360"/>
    </row>
    <row r="51" spans="1:11" ht="24.75" customHeight="1" x14ac:dyDescent="0.2">
      <c r="A51" s="4472">
        <v>10</v>
      </c>
      <c r="B51" s="4474" t="s">
        <v>511</v>
      </c>
      <c r="C51" s="357" t="s">
        <v>512</v>
      </c>
      <c r="D51" s="358">
        <v>2.2000000000000002</v>
      </c>
      <c r="E51" s="359">
        <v>182869.16</v>
      </c>
      <c r="F51" s="359">
        <v>149723.85</v>
      </c>
      <c r="G51" s="4472">
        <v>402312</v>
      </c>
      <c r="H51" s="4472">
        <v>69900</v>
      </c>
      <c r="I51" s="359">
        <v>329392</v>
      </c>
      <c r="J51" s="359">
        <v>130.53</v>
      </c>
      <c r="K51" s="359">
        <v>287.17</v>
      </c>
    </row>
    <row r="52" spans="1:11" ht="33.75" customHeight="1" thickBot="1" x14ac:dyDescent="0.25">
      <c r="A52" s="4473"/>
      <c r="B52" s="4475"/>
      <c r="C52" s="355" t="s">
        <v>809</v>
      </c>
      <c r="D52" s="356" t="s">
        <v>513</v>
      </c>
      <c r="E52" s="356">
        <v>31772.81</v>
      </c>
      <c r="F52" s="356">
        <v>10028.870000000001</v>
      </c>
      <c r="G52" s="4473"/>
      <c r="H52" s="4473"/>
      <c r="I52" s="356">
        <v>22064</v>
      </c>
      <c r="J52" s="356">
        <v>47.81</v>
      </c>
      <c r="K52" s="356">
        <v>105.18</v>
      </c>
    </row>
    <row r="53" spans="1:11" ht="13.5" thickBot="1" x14ac:dyDescent="0.25">
      <c r="A53" s="4462"/>
      <c r="B53" s="4463"/>
      <c r="C53" s="4463"/>
      <c r="D53" s="4463"/>
      <c r="E53" s="4463"/>
      <c r="F53" s="4463"/>
      <c r="G53" s="4463"/>
      <c r="H53" s="4463"/>
      <c r="I53" s="4463"/>
      <c r="J53" s="4463"/>
      <c r="K53" s="4464"/>
    </row>
    <row r="54" spans="1:11" x14ac:dyDescent="0.2">
      <c r="A54" s="4465" t="s">
        <v>705</v>
      </c>
      <c r="B54" s="4466"/>
      <c r="C54" s="4466"/>
      <c r="D54" s="4466"/>
      <c r="E54" s="4466"/>
      <c r="F54" s="4468"/>
      <c r="G54" s="4468">
        <v>679239</v>
      </c>
      <c r="H54" s="4468">
        <v>184813</v>
      </c>
      <c r="I54" s="693">
        <v>365882</v>
      </c>
      <c r="J54" s="4468"/>
      <c r="K54" s="359">
        <v>854.43</v>
      </c>
    </row>
    <row r="55" spans="1:11" ht="13.5" thickBot="1" x14ac:dyDescent="0.25">
      <c r="A55" s="4467"/>
      <c r="B55" s="4460"/>
      <c r="C55" s="4460"/>
      <c r="D55" s="4460"/>
      <c r="E55" s="4460"/>
      <c r="F55" s="4469"/>
      <c r="G55" s="4469"/>
      <c r="H55" s="4469"/>
      <c r="I55" s="683">
        <v>45793</v>
      </c>
      <c r="J55" s="4469"/>
      <c r="K55" s="356">
        <v>200.08</v>
      </c>
    </row>
    <row r="56" spans="1:11" ht="13.5" thickBot="1" x14ac:dyDescent="0.25">
      <c r="A56" s="4462"/>
      <c r="B56" s="4463"/>
      <c r="C56" s="4463"/>
      <c r="D56" s="4463"/>
      <c r="E56" s="4463"/>
      <c r="F56" s="4463"/>
      <c r="G56" s="4463"/>
      <c r="H56" s="4463"/>
      <c r="I56" s="4463"/>
      <c r="J56" s="4463"/>
      <c r="K56" s="4464"/>
    </row>
    <row r="57" spans="1:11" x14ac:dyDescent="0.2">
      <c r="A57" s="4465" t="s">
        <v>706</v>
      </c>
      <c r="B57" s="4466"/>
      <c r="C57" s="4466"/>
      <c r="D57" s="4466"/>
      <c r="E57" s="4466"/>
      <c r="F57" s="4468"/>
      <c r="G57" s="4468">
        <v>679239</v>
      </c>
      <c r="H57" s="4468">
        <v>184813</v>
      </c>
      <c r="I57" s="693">
        <v>365882</v>
      </c>
      <c r="J57" s="4468"/>
      <c r="K57" s="359">
        <v>854.43</v>
      </c>
    </row>
    <row r="58" spans="1:11" ht="13.5" thickBot="1" x14ac:dyDescent="0.25">
      <c r="A58" s="4467"/>
      <c r="B58" s="4460"/>
      <c r="C58" s="4460"/>
      <c r="D58" s="4460"/>
      <c r="E58" s="4460"/>
      <c r="F58" s="4469"/>
      <c r="G58" s="4469"/>
      <c r="H58" s="4469"/>
      <c r="I58" s="683">
        <v>45793</v>
      </c>
      <c r="J58" s="4469"/>
      <c r="K58" s="356">
        <v>200.08</v>
      </c>
    </row>
    <row r="59" spans="1:11" ht="13.5" thickBot="1" x14ac:dyDescent="0.25">
      <c r="A59" s="678"/>
      <c r="B59" s="679"/>
      <c r="C59" s="679"/>
      <c r="D59" s="679"/>
      <c r="E59" s="679"/>
      <c r="F59" s="679"/>
      <c r="G59" s="679"/>
      <c r="H59" s="679"/>
      <c r="I59" s="679"/>
      <c r="J59" s="679"/>
      <c r="K59" s="679"/>
    </row>
    <row r="60" spans="1:11" x14ac:dyDescent="0.2">
      <c r="A60" s="709"/>
      <c r="B60" s="280"/>
      <c r="C60" s="280"/>
      <c r="D60" s="280"/>
      <c r="E60" s="280"/>
      <c r="F60" s="280"/>
      <c r="G60" s="280"/>
      <c r="H60" s="280"/>
      <c r="I60" s="280"/>
      <c r="J60" s="280"/>
      <c r="K60" s="686"/>
    </row>
    <row r="61" spans="1:11" x14ac:dyDescent="0.2">
      <c r="A61" s="695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x14ac:dyDescent="0.2">
      <c r="A62" s="695"/>
      <c r="B62" s="280"/>
      <c r="C62" s="4457" t="s">
        <v>707</v>
      </c>
      <c r="D62" s="4347"/>
      <c r="E62" s="4347"/>
      <c r="F62" s="4347"/>
      <c r="G62" s="4347"/>
      <c r="H62" s="4347"/>
      <c r="I62" s="4457" t="s">
        <v>708</v>
      </c>
      <c r="J62" s="4457" t="s">
        <v>709</v>
      </c>
      <c r="K62" s="357" t="s">
        <v>570</v>
      </c>
    </row>
    <row r="63" spans="1:11" x14ac:dyDescent="0.2">
      <c r="A63" s="695"/>
      <c r="B63" s="280"/>
      <c r="C63" s="4457"/>
      <c r="D63" s="4347"/>
      <c r="E63" s="4347"/>
      <c r="F63" s="4347"/>
      <c r="G63" s="4347"/>
      <c r="H63" s="4347"/>
      <c r="I63" s="4457"/>
      <c r="J63" s="4457"/>
      <c r="K63" s="357" t="s">
        <v>710</v>
      </c>
    </row>
    <row r="64" spans="1:11" ht="13.5" thickBot="1" x14ac:dyDescent="0.25">
      <c r="A64" s="695"/>
      <c r="B64" s="280"/>
      <c r="C64" s="684"/>
      <c r="D64" s="684"/>
      <c r="E64" s="684"/>
      <c r="F64" s="684"/>
      <c r="G64" s="280"/>
      <c r="H64" s="280"/>
      <c r="I64" s="684"/>
      <c r="J64" s="684"/>
      <c r="K64" s="355"/>
    </row>
    <row r="65" spans="1:11" ht="13.5" thickBot="1" x14ac:dyDescent="0.25">
      <c r="A65" s="695"/>
      <c r="B65" s="280"/>
      <c r="C65" s="4457" t="s">
        <v>54</v>
      </c>
      <c r="D65" s="4347"/>
      <c r="E65" s="4347"/>
      <c r="F65" s="4347"/>
      <c r="G65" s="4347"/>
      <c r="H65" s="4347"/>
      <c r="I65" s="683"/>
      <c r="J65" s="683"/>
      <c r="K65" s="356" t="s">
        <v>811</v>
      </c>
    </row>
    <row r="66" spans="1:11" ht="13.5" thickBot="1" x14ac:dyDescent="0.25">
      <c r="A66" s="695"/>
      <c r="B66" s="280"/>
      <c r="C66" s="4457" t="s">
        <v>716</v>
      </c>
      <c r="D66" s="4347"/>
      <c r="E66" s="4347"/>
      <c r="F66" s="4347"/>
      <c r="G66" s="4347"/>
      <c r="H66" s="4347"/>
      <c r="I66" s="683">
        <v>0.6</v>
      </c>
      <c r="J66" s="683">
        <v>71</v>
      </c>
      <c r="K66" s="356" t="s">
        <v>770</v>
      </c>
    </row>
    <row r="67" spans="1:11" ht="13.5" thickBot="1" x14ac:dyDescent="0.25">
      <c r="A67" s="695"/>
      <c r="B67" s="280"/>
      <c r="C67" s="4457" t="s">
        <v>779</v>
      </c>
      <c r="D67" s="4347"/>
      <c r="E67" s="4347"/>
      <c r="F67" s="4347"/>
      <c r="G67" s="4347"/>
      <c r="H67" s="4347"/>
      <c r="I67" s="683">
        <v>0.7</v>
      </c>
      <c r="J67" s="683">
        <v>66</v>
      </c>
      <c r="K67" s="356" t="s">
        <v>780</v>
      </c>
    </row>
    <row r="68" spans="1:11" ht="13.5" thickBot="1" x14ac:dyDescent="0.25">
      <c r="A68" s="695"/>
      <c r="B68" s="280"/>
      <c r="C68" s="4457" t="s">
        <v>771</v>
      </c>
      <c r="D68" s="4347"/>
      <c r="E68" s="4347"/>
      <c r="F68" s="4347"/>
      <c r="G68" s="4347"/>
      <c r="H68" s="4347"/>
      <c r="I68" s="683">
        <v>0.6</v>
      </c>
      <c r="J68" s="683">
        <v>93</v>
      </c>
      <c r="K68" s="356" t="s">
        <v>812</v>
      </c>
    </row>
    <row r="69" spans="1:11" ht="13.5" thickBot="1" x14ac:dyDescent="0.25">
      <c r="A69" s="695"/>
      <c r="B69" s="280"/>
      <c r="C69" s="4457" t="s">
        <v>720</v>
      </c>
      <c r="D69" s="4347"/>
      <c r="E69" s="4347"/>
      <c r="F69" s="4347"/>
      <c r="G69" s="4347"/>
      <c r="H69" s="4347"/>
      <c r="I69" s="683">
        <v>0.6</v>
      </c>
      <c r="J69" s="683">
        <v>92</v>
      </c>
      <c r="K69" s="356" t="s">
        <v>813</v>
      </c>
    </row>
    <row r="70" spans="1:11" ht="13.5" thickBot="1" x14ac:dyDescent="0.25">
      <c r="A70" s="695"/>
      <c r="B70" s="280"/>
      <c r="C70" s="4457" t="s">
        <v>718</v>
      </c>
      <c r="D70" s="4347"/>
      <c r="E70" s="4347"/>
      <c r="F70" s="4347"/>
      <c r="G70" s="4347"/>
      <c r="H70" s="4347"/>
      <c r="I70" s="683">
        <v>0.6</v>
      </c>
      <c r="J70" s="683">
        <v>116</v>
      </c>
      <c r="K70" s="356" t="s">
        <v>814</v>
      </c>
    </row>
    <row r="71" spans="1:11" ht="13.5" thickBot="1" x14ac:dyDescent="0.25">
      <c r="A71" s="695"/>
      <c r="B71" s="280"/>
      <c r="C71" s="4457" t="s">
        <v>775</v>
      </c>
      <c r="D71" s="4347"/>
      <c r="E71" s="4347"/>
      <c r="F71" s="4347"/>
      <c r="G71" s="4347"/>
      <c r="H71" s="4347"/>
      <c r="I71" s="683">
        <v>0.6</v>
      </c>
      <c r="J71" s="683">
        <v>77</v>
      </c>
      <c r="K71" s="356" t="s">
        <v>815</v>
      </c>
    </row>
    <row r="72" spans="1:11" ht="13.5" thickBot="1" x14ac:dyDescent="0.25">
      <c r="A72" s="695"/>
      <c r="B72" s="280"/>
      <c r="C72" s="4457" t="s">
        <v>777</v>
      </c>
      <c r="D72" s="4347"/>
      <c r="E72" s="4347"/>
      <c r="F72" s="4347"/>
      <c r="G72" s="4347"/>
      <c r="H72" s="4347"/>
      <c r="I72" s="683">
        <v>0.6</v>
      </c>
      <c r="J72" s="683">
        <v>83</v>
      </c>
      <c r="K72" s="356" t="s">
        <v>816</v>
      </c>
    </row>
    <row r="73" spans="1:11" ht="13.5" thickBot="1" x14ac:dyDescent="0.25">
      <c r="A73" s="695"/>
      <c r="B73" s="280"/>
      <c r="C73" s="4457" t="s">
        <v>722</v>
      </c>
      <c r="D73" s="4347"/>
      <c r="E73" s="4347"/>
      <c r="F73" s="4347"/>
      <c r="G73" s="4347"/>
      <c r="H73" s="4347"/>
      <c r="I73" s="683"/>
      <c r="J73" s="683"/>
      <c r="K73" s="356" t="s">
        <v>817</v>
      </c>
    </row>
    <row r="74" spans="1:11" ht="13.5" thickBot="1" x14ac:dyDescent="0.25">
      <c r="A74" s="695"/>
      <c r="B74" s="280"/>
      <c r="C74" s="4457" t="s">
        <v>54</v>
      </c>
      <c r="D74" s="4347"/>
      <c r="E74" s="4347"/>
      <c r="F74" s="4347"/>
      <c r="G74" s="4347"/>
      <c r="H74" s="4347"/>
      <c r="I74" s="683"/>
      <c r="J74" s="683"/>
      <c r="K74" s="356" t="s">
        <v>818</v>
      </c>
    </row>
    <row r="75" spans="1:11" ht="13.5" thickBot="1" x14ac:dyDescent="0.25">
      <c r="A75" s="695"/>
      <c r="B75" s="280"/>
      <c r="C75" s="4457" t="s">
        <v>729</v>
      </c>
      <c r="D75" s="4347"/>
      <c r="E75" s="4347"/>
      <c r="F75" s="4347"/>
      <c r="G75" s="4347"/>
      <c r="H75" s="4347"/>
      <c r="I75" s="683"/>
      <c r="J75" s="683">
        <v>36</v>
      </c>
      <c r="K75" s="356" t="s">
        <v>785</v>
      </c>
    </row>
    <row r="76" spans="1:11" ht="13.5" thickBot="1" x14ac:dyDescent="0.25">
      <c r="A76" s="695"/>
      <c r="B76" s="280"/>
      <c r="C76" s="4457" t="s">
        <v>794</v>
      </c>
      <c r="D76" s="4347"/>
      <c r="E76" s="4347"/>
      <c r="F76" s="4347"/>
      <c r="G76" s="4347"/>
      <c r="H76" s="4347"/>
      <c r="I76" s="683"/>
      <c r="J76" s="683">
        <v>40</v>
      </c>
      <c r="K76" s="356" t="s">
        <v>795</v>
      </c>
    </row>
    <row r="77" spans="1:11" ht="13.5" thickBot="1" x14ac:dyDescent="0.25">
      <c r="A77" s="695"/>
      <c r="B77" s="280"/>
      <c r="C77" s="4457" t="s">
        <v>786</v>
      </c>
      <c r="D77" s="4347"/>
      <c r="E77" s="4347"/>
      <c r="F77" s="4347"/>
      <c r="G77" s="4347"/>
      <c r="H77" s="4347"/>
      <c r="I77" s="683"/>
      <c r="J77" s="683">
        <v>48</v>
      </c>
      <c r="K77" s="356" t="s">
        <v>819</v>
      </c>
    </row>
    <row r="78" spans="1:11" ht="13.5" thickBot="1" x14ac:dyDescent="0.25">
      <c r="A78" s="695"/>
      <c r="B78" s="280"/>
      <c r="C78" s="4457" t="s">
        <v>733</v>
      </c>
      <c r="D78" s="4347"/>
      <c r="E78" s="4347"/>
      <c r="F78" s="4347"/>
      <c r="G78" s="4347"/>
      <c r="H78" s="4347"/>
      <c r="I78" s="683"/>
      <c r="J78" s="683">
        <v>54</v>
      </c>
      <c r="K78" s="356" t="s">
        <v>820</v>
      </c>
    </row>
    <row r="79" spans="1:11" ht="13.5" thickBot="1" x14ac:dyDescent="0.25">
      <c r="A79" s="695"/>
      <c r="B79" s="280"/>
      <c r="C79" s="4457" t="s">
        <v>731</v>
      </c>
      <c r="D79" s="4347"/>
      <c r="E79" s="4347"/>
      <c r="F79" s="4347"/>
      <c r="G79" s="4347"/>
      <c r="H79" s="4347"/>
      <c r="I79" s="683"/>
      <c r="J79" s="683">
        <v>61</v>
      </c>
      <c r="K79" s="356" t="s">
        <v>821</v>
      </c>
    </row>
    <row r="80" spans="1:11" ht="13.5" thickBot="1" x14ac:dyDescent="0.25">
      <c r="A80" s="695"/>
      <c r="B80" s="280"/>
      <c r="C80" s="4457" t="s">
        <v>790</v>
      </c>
      <c r="D80" s="4347"/>
      <c r="E80" s="4347"/>
      <c r="F80" s="4347"/>
      <c r="G80" s="4347"/>
      <c r="H80" s="4347"/>
      <c r="I80" s="683"/>
      <c r="J80" s="683">
        <v>56</v>
      </c>
      <c r="K80" s="356" t="s">
        <v>822</v>
      </c>
    </row>
    <row r="81" spans="1:11" ht="13.5" thickBot="1" x14ac:dyDescent="0.25">
      <c r="A81" s="695"/>
      <c r="B81" s="280"/>
      <c r="C81" s="4457" t="s">
        <v>792</v>
      </c>
      <c r="D81" s="4347"/>
      <c r="E81" s="4347"/>
      <c r="F81" s="4347"/>
      <c r="G81" s="4347"/>
      <c r="H81" s="4347"/>
      <c r="I81" s="683"/>
      <c r="J81" s="683">
        <v>60</v>
      </c>
      <c r="K81" s="356" t="s">
        <v>823</v>
      </c>
    </row>
    <row r="82" spans="1:11" ht="13.5" thickBot="1" x14ac:dyDescent="0.25">
      <c r="A82" s="695"/>
      <c r="B82" s="280"/>
      <c r="C82" s="4457" t="s">
        <v>735</v>
      </c>
      <c r="D82" s="4347"/>
      <c r="E82" s="4347"/>
      <c r="F82" s="4347"/>
      <c r="G82" s="4347"/>
      <c r="H82" s="4347"/>
      <c r="I82" s="683"/>
      <c r="J82" s="683"/>
      <c r="K82" s="356" t="s">
        <v>824</v>
      </c>
    </row>
    <row r="83" spans="1:11" ht="13.5" thickBot="1" x14ac:dyDescent="0.25">
      <c r="A83" s="695"/>
      <c r="B83" s="280"/>
      <c r="C83" s="4457" t="s">
        <v>54</v>
      </c>
      <c r="D83" s="4347"/>
      <c r="E83" s="4347"/>
      <c r="F83" s="4347"/>
      <c r="G83" s="4347"/>
      <c r="H83" s="4347"/>
      <c r="I83" s="683"/>
      <c r="J83" s="683"/>
      <c r="K83" s="356" t="s">
        <v>825</v>
      </c>
    </row>
    <row r="84" spans="1:11" ht="13.5" thickBot="1" x14ac:dyDescent="0.25">
      <c r="A84" s="695"/>
      <c r="B84" s="280"/>
      <c r="C84" s="4457" t="s">
        <v>288</v>
      </c>
      <c r="D84" s="4347"/>
      <c r="E84" s="4347"/>
      <c r="F84" s="4347"/>
      <c r="G84" s="4347"/>
      <c r="H84" s="4347"/>
      <c r="I84" s="683"/>
      <c r="J84" s="683"/>
      <c r="K84" s="356" t="s">
        <v>825</v>
      </c>
    </row>
    <row r="85" spans="1:11" ht="13.5" thickBot="1" x14ac:dyDescent="0.25">
      <c r="A85" s="695"/>
      <c r="B85" s="280"/>
      <c r="C85" s="4457" t="s">
        <v>738</v>
      </c>
      <c r="D85" s="4347"/>
      <c r="E85" s="4347"/>
      <c r="F85" s="4347"/>
      <c r="G85" s="4347"/>
      <c r="H85" s="4347"/>
      <c r="I85" s="683"/>
      <c r="J85" s="683">
        <v>18</v>
      </c>
      <c r="K85" s="356" t="s">
        <v>826</v>
      </c>
    </row>
    <row r="86" spans="1:11" ht="13.5" thickBot="1" x14ac:dyDescent="0.25">
      <c r="A86" s="695"/>
      <c r="B86" s="280"/>
      <c r="C86" s="4457" t="s">
        <v>288</v>
      </c>
      <c r="D86" s="4347"/>
      <c r="E86" s="4347"/>
      <c r="F86" s="4347"/>
      <c r="G86" s="4347"/>
      <c r="H86" s="4347"/>
      <c r="I86" s="683"/>
      <c r="J86" s="683"/>
      <c r="K86" s="356" t="s">
        <v>806</v>
      </c>
    </row>
    <row r="87" spans="1:11" ht="13.5" thickBot="1" x14ac:dyDescent="0.25">
      <c r="A87" s="682"/>
      <c r="B87" s="681"/>
      <c r="C87" s="4460" t="s">
        <v>740</v>
      </c>
      <c r="D87" s="3492"/>
      <c r="E87" s="3492"/>
      <c r="F87" s="3492"/>
      <c r="G87" s="3492"/>
      <c r="H87" s="3492"/>
      <c r="I87" s="683"/>
      <c r="J87" s="683"/>
      <c r="K87" s="356" t="s">
        <v>806</v>
      </c>
    </row>
    <row r="88" spans="1:11" ht="15.75" x14ac:dyDescent="0.25">
      <c r="A88" s="710" t="s">
        <v>827</v>
      </c>
      <c r="B88" s="391"/>
      <c r="C88" s="391"/>
      <c r="D88" s="391"/>
      <c r="E88" s="391"/>
      <c r="F88" s="391"/>
      <c r="G88" s="391"/>
      <c r="H88" s="391"/>
      <c r="I88" s="391"/>
      <c r="J88" s="391"/>
      <c r="K88" s="706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4502" t="s">
        <v>663</v>
      </c>
      <c r="B1" s="4503"/>
      <c r="C1" s="4503"/>
      <c r="D1" s="4503"/>
      <c r="E1" s="4503"/>
      <c r="F1" s="4503"/>
      <c r="G1" s="4503"/>
      <c r="H1" s="4503"/>
      <c r="I1" s="4503"/>
      <c r="J1" s="4503"/>
      <c r="K1" s="4508"/>
    </row>
    <row r="2" spans="1:11" ht="13.5" x14ac:dyDescent="0.25">
      <c r="A2" s="4504" t="s">
        <v>664</v>
      </c>
      <c r="B2" s="4347"/>
      <c r="C2" s="4347"/>
      <c r="D2" s="4347"/>
      <c r="E2" s="4347"/>
      <c r="F2" s="4347"/>
      <c r="G2" s="4347"/>
      <c r="H2" s="4347"/>
      <c r="I2" s="4347"/>
      <c r="J2" s="4347"/>
      <c r="K2" s="4348"/>
    </row>
    <row r="3" spans="1:11" ht="18.75" x14ac:dyDescent="0.3">
      <c r="A3" s="685"/>
      <c r="B3" s="280"/>
      <c r="C3" s="280"/>
      <c r="D3" s="280"/>
      <c r="E3" s="280"/>
      <c r="F3" s="280"/>
      <c r="G3" s="280"/>
      <c r="H3" s="280"/>
      <c r="I3" s="280"/>
      <c r="J3" s="280"/>
      <c r="K3" s="686"/>
    </row>
    <row r="4" spans="1:11" ht="18.75" x14ac:dyDescent="0.3">
      <c r="A4" s="4505" t="s">
        <v>665</v>
      </c>
      <c r="B4" s="4347"/>
      <c r="C4" s="4347"/>
      <c r="D4" s="4347"/>
      <c r="E4" s="4347"/>
      <c r="F4" s="4347"/>
      <c r="G4" s="4347"/>
      <c r="H4" s="4347"/>
      <c r="I4" s="4347"/>
      <c r="J4" s="4347"/>
      <c r="K4" s="4348"/>
    </row>
    <row r="5" spans="1:11" ht="18" x14ac:dyDescent="0.25">
      <c r="A5" s="687" t="s">
        <v>666</v>
      </c>
      <c r="B5" s="280"/>
      <c r="C5" s="280"/>
      <c r="D5" s="280"/>
      <c r="E5" s="280"/>
      <c r="F5" s="280"/>
      <c r="G5" s="280"/>
      <c r="H5" s="280"/>
      <c r="I5" s="280"/>
      <c r="J5" s="280"/>
      <c r="K5" s="686"/>
    </row>
    <row r="6" spans="1:11" ht="15" x14ac:dyDescent="0.2">
      <c r="A6" s="4492" t="s">
        <v>486</v>
      </c>
      <c r="B6" s="4347"/>
      <c r="C6" s="4347"/>
      <c r="D6" s="4347"/>
      <c r="E6" s="4347"/>
      <c r="F6" s="4347"/>
      <c r="G6" s="4347"/>
      <c r="H6" s="4347"/>
      <c r="I6" s="4347"/>
      <c r="J6" s="4347"/>
      <c r="K6" s="4348"/>
    </row>
    <row r="7" spans="1:11" ht="18.75" x14ac:dyDescent="0.3">
      <c r="A7" s="688"/>
      <c r="B7" s="280"/>
      <c r="C7" s="280"/>
      <c r="D7" s="280"/>
      <c r="E7" s="280"/>
      <c r="F7" s="280"/>
      <c r="G7" s="280"/>
      <c r="H7" s="280"/>
      <c r="I7" s="280"/>
      <c r="J7" s="280"/>
      <c r="K7" s="686"/>
    </row>
    <row r="8" spans="1:11" x14ac:dyDescent="0.2">
      <c r="A8" s="4509" t="s">
        <v>667</v>
      </c>
      <c r="B8" s="4347"/>
      <c r="C8" s="4347"/>
      <c r="D8" s="4347"/>
      <c r="E8" s="4347"/>
      <c r="F8" s="4347"/>
      <c r="G8" s="4347"/>
      <c r="H8" s="4347"/>
      <c r="I8" s="4347"/>
      <c r="J8" s="4347"/>
      <c r="K8" s="4348"/>
    </row>
    <row r="9" spans="1:11" ht="15" customHeight="1" x14ac:dyDescent="0.2">
      <c r="A9" s="4489" t="s">
        <v>668</v>
      </c>
      <c r="B9" s="4347"/>
      <c r="C9" s="4347"/>
      <c r="D9" s="689" t="s">
        <v>669</v>
      </c>
      <c r="E9" s="690"/>
      <c r="F9" s="690"/>
      <c r="G9" s="690"/>
      <c r="H9" s="690"/>
      <c r="I9" s="690"/>
      <c r="J9" s="690"/>
      <c r="K9" s="691"/>
    </row>
    <row r="10" spans="1:11" ht="15" customHeight="1" x14ac:dyDescent="0.2">
      <c r="A10" s="4499" t="s">
        <v>670</v>
      </c>
      <c r="B10" s="4347"/>
      <c r="C10" s="4347"/>
      <c r="D10" s="4347"/>
      <c r="E10" s="4347"/>
      <c r="F10" s="4347"/>
      <c r="G10" s="4500" t="s">
        <v>671</v>
      </c>
      <c r="H10" s="4501" t="s">
        <v>672</v>
      </c>
      <c r="I10" s="280"/>
      <c r="J10" s="280"/>
      <c r="K10" s="686"/>
    </row>
    <row r="11" spans="1:11" ht="5.25" customHeight="1" x14ac:dyDescent="0.2">
      <c r="A11" s="4499"/>
      <c r="B11" s="4347"/>
      <c r="C11" s="4347"/>
      <c r="D11" s="4347"/>
      <c r="E11" s="4347"/>
      <c r="F11" s="4347"/>
      <c r="G11" s="4500"/>
      <c r="H11" s="4501"/>
      <c r="I11" s="280"/>
      <c r="J11" s="280"/>
      <c r="K11" s="686"/>
    </row>
    <row r="12" spans="1:11" ht="11.25" customHeight="1" x14ac:dyDescent="0.2">
      <c r="A12" s="4489" t="s">
        <v>673</v>
      </c>
      <c r="B12" s="4347"/>
      <c r="C12" s="4347"/>
      <c r="D12" s="4347"/>
      <c r="E12" s="4347"/>
      <c r="F12" s="4347"/>
      <c r="G12" s="4490">
        <v>584</v>
      </c>
      <c r="H12" s="4491" t="s">
        <v>674</v>
      </c>
      <c r="I12" s="280"/>
      <c r="J12" s="280"/>
      <c r="K12" s="686"/>
    </row>
    <row r="13" spans="1:11" ht="6.75" customHeight="1" x14ac:dyDescent="0.2">
      <c r="A13" s="4489"/>
      <c r="B13" s="4347"/>
      <c r="C13" s="4347"/>
      <c r="D13" s="4347"/>
      <c r="E13" s="4347"/>
      <c r="F13" s="4347"/>
      <c r="G13" s="4490"/>
      <c r="H13" s="4491"/>
      <c r="I13" s="280"/>
      <c r="J13" s="280"/>
      <c r="K13" s="686"/>
    </row>
    <row r="14" spans="1:11" ht="15.75" customHeight="1" x14ac:dyDescent="0.2">
      <c r="A14" s="4489" t="s">
        <v>675</v>
      </c>
      <c r="B14" s="4347"/>
      <c r="C14" s="4347"/>
      <c r="D14" s="4347"/>
      <c r="E14" s="4347"/>
      <c r="F14" s="4347"/>
      <c r="G14" s="4490" t="s">
        <v>676</v>
      </c>
      <c r="H14" s="4491" t="s">
        <v>672</v>
      </c>
      <c r="I14" s="280"/>
      <c r="J14" s="280"/>
      <c r="K14" s="686"/>
    </row>
    <row r="15" spans="1:11" ht="13.5" thickBot="1" x14ac:dyDescent="0.25">
      <c r="A15" s="4489"/>
      <c r="B15" s="4347"/>
      <c r="C15" s="4347"/>
      <c r="D15" s="4347"/>
      <c r="E15" s="4347"/>
      <c r="F15" s="4347"/>
      <c r="G15" s="4490"/>
      <c r="H15" s="4491"/>
      <c r="I15" s="280"/>
      <c r="J15" s="280"/>
      <c r="K15" s="686"/>
    </row>
    <row r="16" spans="1:11" ht="23.25" customHeight="1" thickBot="1" x14ac:dyDescent="0.25">
      <c r="A16" s="650" t="s">
        <v>172</v>
      </c>
      <c r="B16" s="650" t="s">
        <v>448</v>
      </c>
      <c r="C16" s="650" t="s">
        <v>367</v>
      </c>
      <c r="D16" s="339"/>
      <c r="E16" s="4479" t="s">
        <v>449</v>
      </c>
      <c r="F16" s="4480"/>
      <c r="G16" s="4479" t="s">
        <v>450</v>
      </c>
      <c r="H16" s="4481"/>
      <c r="I16" s="4480"/>
      <c r="J16" s="4482" t="s">
        <v>451</v>
      </c>
      <c r="K16" s="4483"/>
    </row>
    <row r="17" spans="1:11" ht="23.25" customHeight="1" thickBot="1" x14ac:dyDescent="0.25">
      <c r="A17" s="342" t="s">
        <v>452</v>
      </c>
      <c r="B17" s="342" t="s">
        <v>453</v>
      </c>
      <c r="C17" s="342" t="s">
        <v>454</v>
      </c>
      <c r="D17" s="343" t="s">
        <v>455</v>
      </c>
      <c r="E17" s="652" t="s">
        <v>456</v>
      </c>
      <c r="F17" s="649" t="s">
        <v>457</v>
      </c>
      <c r="G17" s="342" t="s">
        <v>456</v>
      </c>
      <c r="H17" s="343" t="s">
        <v>458</v>
      </c>
      <c r="I17" s="345" t="s">
        <v>457</v>
      </c>
      <c r="J17" s="4484" t="s">
        <v>459</v>
      </c>
      <c r="K17" s="4485"/>
    </row>
    <row r="18" spans="1:11" ht="13.5" thickBot="1" x14ac:dyDescent="0.25">
      <c r="A18" s="651"/>
      <c r="B18" s="651" t="s">
        <v>460</v>
      </c>
      <c r="C18" s="651"/>
      <c r="D18" s="347"/>
      <c r="E18" s="652" t="s">
        <v>458</v>
      </c>
      <c r="F18" s="345" t="s">
        <v>461</v>
      </c>
      <c r="G18" s="648"/>
      <c r="H18" s="348"/>
      <c r="I18" s="345" t="s">
        <v>461</v>
      </c>
      <c r="J18" s="651" t="s">
        <v>462</v>
      </c>
      <c r="K18" s="347" t="s">
        <v>456</v>
      </c>
    </row>
    <row r="19" spans="1:11" ht="13.5" thickBot="1" x14ac:dyDescent="0.25">
      <c r="A19" s="692"/>
      <c r="B19" s="280"/>
      <c r="C19" s="280"/>
      <c r="D19" s="280"/>
      <c r="E19" s="280"/>
      <c r="F19" s="280"/>
      <c r="G19" s="280"/>
      <c r="H19" s="280"/>
      <c r="I19" s="280"/>
      <c r="J19" s="280"/>
      <c r="K19" s="686"/>
    </row>
    <row r="20" spans="1:11" ht="13.5" thickBot="1" x14ac:dyDescent="0.25">
      <c r="A20" s="350">
        <v>1</v>
      </c>
      <c r="B20" s="351">
        <v>2</v>
      </c>
      <c r="C20" s="351">
        <v>3</v>
      </c>
      <c r="D20" s="351">
        <v>4</v>
      </c>
      <c r="E20" s="351">
        <v>5</v>
      </c>
      <c r="F20" s="351">
        <v>6</v>
      </c>
      <c r="G20" s="351">
        <v>7</v>
      </c>
      <c r="H20" s="351">
        <v>8</v>
      </c>
      <c r="I20" s="351">
        <v>9</v>
      </c>
      <c r="J20" s="351">
        <v>10</v>
      </c>
      <c r="K20" s="351">
        <v>11</v>
      </c>
    </row>
    <row r="21" spans="1:11" ht="13.5" thickBot="1" x14ac:dyDescent="0.25">
      <c r="A21" s="678"/>
      <c r="B21" s="679"/>
      <c r="C21" s="679"/>
      <c r="D21" s="679"/>
      <c r="E21" s="679"/>
      <c r="F21" s="679"/>
      <c r="G21" s="679"/>
      <c r="H21" s="679"/>
      <c r="I21" s="679"/>
      <c r="J21" s="679"/>
      <c r="K21" s="679"/>
    </row>
    <row r="22" spans="1:11" ht="13.5" thickBot="1" x14ac:dyDescent="0.25">
      <c r="A22" s="4462"/>
      <c r="B22" s="4463"/>
      <c r="C22" s="4463"/>
      <c r="D22" s="4463"/>
      <c r="E22" s="4463"/>
      <c r="F22" s="4463"/>
      <c r="G22" s="4463"/>
      <c r="H22" s="4463"/>
      <c r="I22" s="4463"/>
      <c r="J22" s="4463"/>
      <c r="K22" s="4464"/>
    </row>
    <row r="23" spans="1:11" ht="13.5" thickBot="1" x14ac:dyDescent="0.25">
      <c r="A23" s="4486" t="s">
        <v>677</v>
      </c>
      <c r="B23" s="4487"/>
      <c r="C23" s="4487"/>
      <c r="D23" s="4487"/>
      <c r="E23" s="4487"/>
      <c r="F23" s="4487"/>
      <c r="G23" s="4487"/>
      <c r="H23" s="4487"/>
      <c r="I23" s="4487"/>
      <c r="J23" s="4487"/>
      <c r="K23" s="4488"/>
    </row>
    <row r="24" spans="1:11" ht="13.5" thickBot="1" x14ac:dyDescent="0.25">
      <c r="A24" s="4462"/>
      <c r="B24" s="4463"/>
      <c r="C24" s="4463"/>
      <c r="D24" s="4463"/>
      <c r="E24" s="4463"/>
      <c r="F24" s="4463"/>
      <c r="G24" s="4463"/>
      <c r="H24" s="4463"/>
      <c r="I24" s="4463"/>
      <c r="J24" s="4463"/>
      <c r="K24" s="4464"/>
    </row>
    <row r="25" spans="1:11" ht="34.5" customHeight="1" x14ac:dyDescent="0.2">
      <c r="A25" s="4472">
        <v>1</v>
      </c>
      <c r="B25" s="4474" t="s">
        <v>678</v>
      </c>
      <c r="C25" s="357" t="s">
        <v>679</v>
      </c>
      <c r="D25" s="358">
        <v>0.26</v>
      </c>
      <c r="E25" s="359">
        <v>40328.97</v>
      </c>
      <c r="F25" s="359">
        <v>37757.160000000003</v>
      </c>
      <c r="G25" s="4472">
        <v>10486</v>
      </c>
      <c r="H25" s="4472">
        <v>669</v>
      </c>
      <c r="I25" s="359">
        <v>9817</v>
      </c>
      <c r="J25" s="359">
        <v>13.22</v>
      </c>
      <c r="K25" s="359">
        <v>3.44</v>
      </c>
    </row>
    <row r="26" spans="1:11" ht="35.25" customHeight="1" thickBot="1" x14ac:dyDescent="0.25">
      <c r="A26" s="4473"/>
      <c r="B26" s="4475"/>
      <c r="C26" s="355" t="s">
        <v>680</v>
      </c>
      <c r="D26" s="356" t="s">
        <v>681</v>
      </c>
      <c r="E26" s="356">
        <v>2571.81</v>
      </c>
      <c r="F26" s="356">
        <v>9733.83</v>
      </c>
      <c r="G26" s="4473"/>
      <c r="H26" s="4473"/>
      <c r="I26" s="356">
        <v>2531</v>
      </c>
      <c r="J26" s="356">
        <v>28.91</v>
      </c>
      <c r="K26" s="356">
        <v>7.52</v>
      </c>
    </row>
    <row r="27" spans="1:11" ht="24" customHeight="1" x14ac:dyDescent="0.2">
      <c r="A27" s="4472">
        <v>2</v>
      </c>
      <c r="B27" s="4474" t="s">
        <v>682</v>
      </c>
      <c r="C27" s="357" t="s">
        <v>683</v>
      </c>
      <c r="D27" s="358">
        <v>0.16</v>
      </c>
      <c r="E27" s="359">
        <v>79627.929999999993</v>
      </c>
      <c r="F27" s="359">
        <v>0</v>
      </c>
      <c r="G27" s="4472">
        <v>12740</v>
      </c>
      <c r="H27" s="4472">
        <v>12740</v>
      </c>
      <c r="I27" s="359">
        <v>0</v>
      </c>
      <c r="J27" s="359">
        <v>381</v>
      </c>
      <c r="K27" s="359">
        <v>60.96</v>
      </c>
    </row>
    <row r="28" spans="1:11" ht="34.5" customHeight="1" thickBot="1" x14ac:dyDescent="0.25">
      <c r="A28" s="4473"/>
      <c r="B28" s="4475"/>
      <c r="C28" s="355" t="s">
        <v>680</v>
      </c>
      <c r="D28" s="356" t="s">
        <v>684</v>
      </c>
      <c r="E28" s="356">
        <v>79627.929999999993</v>
      </c>
      <c r="F28" s="356">
        <v>0</v>
      </c>
      <c r="G28" s="4473"/>
      <c r="H28" s="4473"/>
      <c r="I28" s="356">
        <v>0</v>
      </c>
      <c r="J28" s="356">
        <v>0</v>
      </c>
      <c r="K28" s="356">
        <v>0</v>
      </c>
    </row>
    <row r="29" spans="1:11" ht="12" customHeight="1" x14ac:dyDescent="0.2">
      <c r="A29" s="4472">
        <v>3</v>
      </c>
      <c r="B29" s="4474" t="s">
        <v>685</v>
      </c>
      <c r="C29" s="357" t="s">
        <v>686</v>
      </c>
      <c r="D29" s="358">
        <v>0.5</v>
      </c>
      <c r="E29" s="359">
        <v>19221.080000000002</v>
      </c>
      <c r="F29" s="359">
        <v>19221.080000000002</v>
      </c>
      <c r="G29" s="4472">
        <v>9611</v>
      </c>
      <c r="H29" s="4472">
        <v>0</v>
      </c>
      <c r="I29" s="359">
        <v>9611</v>
      </c>
      <c r="J29" s="359">
        <v>0</v>
      </c>
      <c r="K29" s="359">
        <v>0</v>
      </c>
    </row>
    <row r="30" spans="1:11" ht="34.5" customHeight="1" thickBot="1" x14ac:dyDescent="0.25">
      <c r="A30" s="4473"/>
      <c r="B30" s="4475"/>
      <c r="C30" s="355" t="s">
        <v>680</v>
      </c>
      <c r="D30" s="356" t="s">
        <v>687</v>
      </c>
      <c r="E30" s="356">
        <v>0</v>
      </c>
      <c r="F30" s="356">
        <v>24389.57</v>
      </c>
      <c r="G30" s="4473"/>
      <c r="H30" s="4473"/>
      <c r="I30" s="356">
        <v>12195</v>
      </c>
      <c r="J30" s="356">
        <v>97.21</v>
      </c>
      <c r="K30" s="356">
        <v>48.61</v>
      </c>
    </row>
    <row r="31" spans="1:11" ht="21" customHeight="1" x14ac:dyDescent="0.2">
      <c r="A31" s="4472">
        <v>4</v>
      </c>
      <c r="B31" s="4474" t="s">
        <v>688</v>
      </c>
      <c r="C31" s="357" t="s">
        <v>689</v>
      </c>
      <c r="D31" s="358">
        <v>1</v>
      </c>
      <c r="E31" s="359">
        <v>12431.39</v>
      </c>
      <c r="F31" s="359">
        <v>726.88</v>
      </c>
      <c r="G31" s="4472">
        <v>12431</v>
      </c>
      <c r="H31" s="4472">
        <v>5531</v>
      </c>
      <c r="I31" s="359">
        <v>727</v>
      </c>
      <c r="J31" s="359">
        <v>26</v>
      </c>
      <c r="K31" s="359">
        <v>26</v>
      </c>
    </row>
    <row r="32" spans="1:11" ht="33" customHeight="1" thickBot="1" x14ac:dyDescent="0.25">
      <c r="A32" s="4473"/>
      <c r="B32" s="4475"/>
      <c r="C32" s="355" t="s">
        <v>680</v>
      </c>
      <c r="D32" s="356" t="s">
        <v>690</v>
      </c>
      <c r="E32" s="356">
        <v>5531.19</v>
      </c>
      <c r="F32" s="356">
        <v>97.76</v>
      </c>
      <c r="G32" s="4473"/>
      <c r="H32" s="4473"/>
      <c r="I32" s="356">
        <v>98</v>
      </c>
      <c r="J32" s="356">
        <v>0.72</v>
      </c>
      <c r="K32" s="356">
        <v>0.72</v>
      </c>
    </row>
    <row r="33" spans="1:11" ht="11.25" customHeight="1" x14ac:dyDescent="0.2">
      <c r="A33" s="4472">
        <v>5</v>
      </c>
      <c r="B33" s="4474" t="s">
        <v>691</v>
      </c>
      <c r="C33" s="357" t="s">
        <v>692</v>
      </c>
      <c r="D33" s="358">
        <v>2</v>
      </c>
      <c r="E33" s="359">
        <v>5195.62</v>
      </c>
      <c r="F33" s="359">
        <v>327.29000000000002</v>
      </c>
      <c r="G33" s="4472">
        <v>10391</v>
      </c>
      <c r="H33" s="4472">
        <v>4156</v>
      </c>
      <c r="I33" s="359">
        <v>655</v>
      </c>
      <c r="J33" s="359">
        <v>10.199999999999999</v>
      </c>
      <c r="K33" s="359">
        <v>20.399999999999999</v>
      </c>
    </row>
    <row r="34" spans="1:11" ht="32.25" customHeight="1" thickBot="1" x14ac:dyDescent="0.25">
      <c r="A34" s="4473"/>
      <c r="B34" s="4475"/>
      <c r="C34" s="355" t="s">
        <v>680</v>
      </c>
      <c r="D34" s="356" t="s">
        <v>693</v>
      </c>
      <c r="E34" s="356">
        <v>2078.25</v>
      </c>
      <c r="F34" s="356">
        <v>87.79</v>
      </c>
      <c r="G34" s="4473"/>
      <c r="H34" s="4473"/>
      <c r="I34" s="356">
        <v>176</v>
      </c>
      <c r="J34" s="356">
        <v>0.35</v>
      </c>
      <c r="K34" s="356">
        <v>0.7</v>
      </c>
    </row>
    <row r="35" spans="1:11" ht="32.25" customHeight="1" x14ac:dyDescent="0.2">
      <c r="A35" s="4472">
        <v>6</v>
      </c>
      <c r="B35" s="4474" t="s">
        <v>694</v>
      </c>
      <c r="C35" s="357" t="s">
        <v>695</v>
      </c>
      <c r="D35" s="358">
        <v>6</v>
      </c>
      <c r="E35" s="359">
        <v>904.33</v>
      </c>
      <c r="F35" s="359">
        <v>310.14</v>
      </c>
      <c r="G35" s="4472">
        <v>5426</v>
      </c>
      <c r="H35" s="4472">
        <v>1634</v>
      </c>
      <c r="I35" s="359">
        <v>1861</v>
      </c>
      <c r="J35" s="359">
        <v>1.28</v>
      </c>
      <c r="K35" s="359">
        <v>7.68</v>
      </c>
    </row>
    <row r="36" spans="1:11" ht="34.5" customHeight="1" thickBot="1" x14ac:dyDescent="0.25">
      <c r="A36" s="4473"/>
      <c r="B36" s="4475"/>
      <c r="C36" s="355" t="s">
        <v>680</v>
      </c>
      <c r="D36" s="356" t="s">
        <v>696</v>
      </c>
      <c r="E36" s="356">
        <v>272.33999999999997</v>
      </c>
      <c r="F36" s="356">
        <v>39.409999999999997</v>
      </c>
      <c r="G36" s="4473"/>
      <c r="H36" s="4473"/>
      <c r="I36" s="356">
        <v>236</v>
      </c>
      <c r="J36" s="356">
        <v>0.26</v>
      </c>
      <c r="K36" s="356">
        <v>1.56</v>
      </c>
    </row>
    <row r="37" spans="1:11" ht="33" customHeight="1" x14ac:dyDescent="0.2">
      <c r="A37" s="4472">
        <v>7</v>
      </c>
      <c r="B37" s="4474" t="s">
        <v>697</v>
      </c>
      <c r="C37" s="357" t="s">
        <v>698</v>
      </c>
      <c r="D37" s="358">
        <v>0.27</v>
      </c>
      <c r="E37" s="359">
        <v>7223.86</v>
      </c>
      <c r="F37" s="359">
        <v>7223.86</v>
      </c>
      <c r="G37" s="4472">
        <v>1950</v>
      </c>
      <c r="H37" s="4472">
        <v>0</v>
      </c>
      <c r="I37" s="359">
        <v>1950</v>
      </c>
      <c r="J37" s="359">
        <v>0</v>
      </c>
      <c r="K37" s="359">
        <v>0</v>
      </c>
    </row>
    <row r="38" spans="1:11" ht="33.75" customHeight="1" thickBot="1" x14ac:dyDescent="0.25">
      <c r="A38" s="4473"/>
      <c r="B38" s="4475"/>
      <c r="C38" s="355" t="s">
        <v>680</v>
      </c>
      <c r="D38" s="356" t="s">
        <v>681</v>
      </c>
      <c r="E38" s="356">
        <v>0</v>
      </c>
      <c r="F38" s="356">
        <v>2650.37</v>
      </c>
      <c r="G38" s="4473"/>
      <c r="H38" s="4473"/>
      <c r="I38" s="356">
        <v>716</v>
      </c>
      <c r="J38" s="356">
        <v>7.38</v>
      </c>
      <c r="K38" s="356">
        <v>1.99</v>
      </c>
    </row>
    <row r="39" spans="1:11" ht="24" customHeight="1" x14ac:dyDescent="0.2">
      <c r="A39" s="4472">
        <v>8</v>
      </c>
      <c r="B39" s="4474" t="s">
        <v>699</v>
      </c>
      <c r="C39" s="357" t="s">
        <v>700</v>
      </c>
      <c r="D39" s="358">
        <v>0.16500000000000001</v>
      </c>
      <c r="E39" s="359">
        <v>22633.05</v>
      </c>
      <c r="F39" s="359">
        <v>0</v>
      </c>
      <c r="G39" s="4472">
        <v>3734</v>
      </c>
      <c r="H39" s="4472">
        <v>3734</v>
      </c>
      <c r="I39" s="359">
        <v>0</v>
      </c>
      <c r="J39" s="359">
        <v>121</v>
      </c>
      <c r="K39" s="359">
        <v>19.97</v>
      </c>
    </row>
    <row r="40" spans="1:11" ht="34.5" customHeight="1" thickBot="1" x14ac:dyDescent="0.25">
      <c r="A40" s="4473"/>
      <c r="B40" s="4475"/>
      <c r="C40" s="355" t="s">
        <v>680</v>
      </c>
      <c r="D40" s="356" t="s">
        <v>684</v>
      </c>
      <c r="E40" s="356">
        <v>22633.05</v>
      </c>
      <c r="F40" s="356">
        <v>0</v>
      </c>
      <c r="G40" s="4473"/>
      <c r="H40" s="4473"/>
      <c r="I40" s="356">
        <v>0</v>
      </c>
      <c r="J40" s="356">
        <v>0</v>
      </c>
      <c r="K40" s="356">
        <v>0</v>
      </c>
    </row>
    <row r="41" spans="1:11" ht="12" customHeight="1" x14ac:dyDescent="0.2">
      <c r="A41" s="4472">
        <v>9</v>
      </c>
      <c r="B41" s="4474" t="s">
        <v>487</v>
      </c>
      <c r="C41" s="357" t="s">
        <v>488</v>
      </c>
      <c r="D41" s="358">
        <v>15</v>
      </c>
      <c r="E41" s="359">
        <v>4006.63</v>
      </c>
      <c r="F41" s="359">
        <v>751.4</v>
      </c>
      <c r="G41" s="4472">
        <v>60099</v>
      </c>
      <c r="H41" s="4472">
        <v>20123</v>
      </c>
      <c r="I41" s="359">
        <v>11271</v>
      </c>
      <c r="J41" s="359">
        <v>5.86</v>
      </c>
      <c r="K41" s="359">
        <v>87.9</v>
      </c>
    </row>
    <row r="42" spans="1:11" ht="33.75" customHeight="1" thickBot="1" x14ac:dyDescent="0.25">
      <c r="A42" s="4473"/>
      <c r="B42" s="4475"/>
      <c r="C42" s="355" t="s">
        <v>680</v>
      </c>
      <c r="D42" s="356" t="s">
        <v>489</v>
      </c>
      <c r="E42" s="356">
        <v>1341.52</v>
      </c>
      <c r="F42" s="356">
        <v>138.16999999999999</v>
      </c>
      <c r="G42" s="4473"/>
      <c r="H42" s="4473"/>
      <c r="I42" s="356">
        <v>2073</v>
      </c>
      <c r="J42" s="356">
        <v>0.55000000000000004</v>
      </c>
      <c r="K42" s="356">
        <v>8.25</v>
      </c>
    </row>
    <row r="43" spans="1:11" ht="10.5" customHeight="1" x14ac:dyDescent="0.2">
      <c r="A43" s="4472">
        <v>10</v>
      </c>
      <c r="B43" s="4474" t="s">
        <v>490</v>
      </c>
      <c r="C43" s="357" t="s">
        <v>491</v>
      </c>
      <c r="D43" s="358">
        <v>12</v>
      </c>
      <c r="E43" s="359">
        <v>8765.59</v>
      </c>
      <c r="F43" s="359">
        <v>936.14</v>
      </c>
      <c r="G43" s="4472">
        <v>105187</v>
      </c>
      <c r="H43" s="4472">
        <v>26923</v>
      </c>
      <c r="I43" s="359">
        <v>11234</v>
      </c>
      <c r="J43" s="359">
        <v>9.8000000000000007</v>
      </c>
      <c r="K43" s="359">
        <v>117.6</v>
      </c>
    </row>
    <row r="44" spans="1:11" ht="35.25" customHeight="1" thickBot="1" x14ac:dyDescent="0.25">
      <c r="A44" s="4473"/>
      <c r="B44" s="4475"/>
      <c r="C44" s="355" t="s">
        <v>680</v>
      </c>
      <c r="D44" s="356" t="s">
        <v>489</v>
      </c>
      <c r="E44" s="356">
        <v>2243.6</v>
      </c>
      <c r="F44" s="356">
        <v>138.16999999999999</v>
      </c>
      <c r="G44" s="4473"/>
      <c r="H44" s="4473"/>
      <c r="I44" s="356">
        <v>1658</v>
      </c>
      <c r="J44" s="356">
        <v>0.55000000000000004</v>
      </c>
      <c r="K44" s="356">
        <v>6.6</v>
      </c>
    </row>
    <row r="45" spans="1:11" ht="12" customHeight="1" x14ac:dyDescent="0.2">
      <c r="A45" s="4472">
        <v>11</v>
      </c>
      <c r="B45" s="4474" t="s">
        <v>492</v>
      </c>
      <c r="C45" s="357" t="s">
        <v>493</v>
      </c>
      <c r="D45" s="358">
        <v>3</v>
      </c>
      <c r="E45" s="359">
        <v>14254.95</v>
      </c>
      <c r="F45" s="359">
        <v>1157.76</v>
      </c>
      <c r="G45" s="4472">
        <v>42765</v>
      </c>
      <c r="H45" s="4472">
        <v>9272</v>
      </c>
      <c r="I45" s="359">
        <v>3473</v>
      </c>
      <c r="J45" s="359">
        <v>13.5</v>
      </c>
      <c r="K45" s="359">
        <v>40.5</v>
      </c>
    </row>
    <row r="46" spans="1:11" ht="34.5" customHeight="1" thickBot="1" x14ac:dyDescent="0.25">
      <c r="A46" s="4473"/>
      <c r="B46" s="4475"/>
      <c r="C46" s="355" t="s">
        <v>680</v>
      </c>
      <c r="D46" s="356" t="s">
        <v>489</v>
      </c>
      <c r="E46" s="356">
        <v>3090.81</v>
      </c>
      <c r="F46" s="356">
        <v>138.16999999999999</v>
      </c>
      <c r="G46" s="4473"/>
      <c r="H46" s="4473"/>
      <c r="I46" s="356">
        <v>415</v>
      </c>
      <c r="J46" s="356">
        <v>0.55000000000000004</v>
      </c>
      <c r="K46" s="356">
        <v>1.65</v>
      </c>
    </row>
    <row r="47" spans="1:11" ht="10.5" customHeight="1" x14ac:dyDescent="0.2">
      <c r="A47" s="4472">
        <v>12</v>
      </c>
      <c r="B47" s="4474" t="s">
        <v>701</v>
      </c>
      <c r="C47" s="357" t="s">
        <v>702</v>
      </c>
      <c r="D47" s="358">
        <v>0.6</v>
      </c>
      <c r="E47" s="359">
        <v>145994.18</v>
      </c>
      <c r="F47" s="359">
        <v>103149.95</v>
      </c>
      <c r="G47" s="4472">
        <v>87597</v>
      </c>
      <c r="H47" s="4472">
        <v>24932</v>
      </c>
      <c r="I47" s="359">
        <v>61890</v>
      </c>
      <c r="J47" s="359">
        <v>128.96</v>
      </c>
      <c r="K47" s="359">
        <v>77.38</v>
      </c>
    </row>
    <row r="48" spans="1:11" ht="36" customHeight="1" thickBot="1" x14ac:dyDescent="0.25">
      <c r="A48" s="4473"/>
      <c r="B48" s="4475"/>
      <c r="C48" s="355" t="s">
        <v>680</v>
      </c>
      <c r="D48" s="356" t="s">
        <v>513</v>
      </c>
      <c r="E48" s="356">
        <v>41554.03</v>
      </c>
      <c r="F48" s="356">
        <v>12446.06</v>
      </c>
      <c r="G48" s="4473"/>
      <c r="H48" s="4473"/>
      <c r="I48" s="356">
        <v>7468</v>
      </c>
      <c r="J48" s="356">
        <v>55.8</v>
      </c>
      <c r="K48" s="356">
        <v>33.479999999999997</v>
      </c>
    </row>
    <row r="49" spans="1:11" ht="12.75" customHeight="1" x14ac:dyDescent="0.2">
      <c r="A49" s="4472">
        <v>13</v>
      </c>
      <c r="B49" s="4474" t="s">
        <v>703</v>
      </c>
      <c r="C49" s="357" t="s">
        <v>704</v>
      </c>
      <c r="D49" s="358">
        <v>0.72</v>
      </c>
      <c r="E49" s="359">
        <v>190490.87</v>
      </c>
      <c r="F49" s="359">
        <v>134224.35999999999</v>
      </c>
      <c r="G49" s="4472">
        <v>137153</v>
      </c>
      <c r="H49" s="4472">
        <v>39273</v>
      </c>
      <c r="I49" s="359">
        <v>96642</v>
      </c>
      <c r="J49" s="359">
        <v>169.28</v>
      </c>
      <c r="K49" s="359">
        <v>121.88</v>
      </c>
    </row>
    <row r="50" spans="1:11" ht="33.75" customHeight="1" thickBot="1" x14ac:dyDescent="0.25">
      <c r="A50" s="4473"/>
      <c r="B50" s="4475"/>
      <c r="C50" s="355" t="s">
        <v>680</v>
      </c>
      <c r="D50" s="356" t="s">
        <v>513</v>
      </c>
      <c r="E50" s="356">
        <v>54546.27</v>
      </c>
      <c r="F50" s="356">
        <v>16418</v>
      </c>
      <c r="G50" s="4473"/>
      <c r="H50" s="4473"/>
      <c r="I50" s="356">
        <v>11821</v>
      </c>
      <c r="J50" s="356">
        <v>73.400000000000006</v>
      </c>
      <c r="K50" s="356">
        <v>52.85</v>
      </c>
    </row>
    <row r="51" spans="1:11" ht="13.5" thickBot="1" x14ac:dyDescent="0.25">
      <c r="A51" s="4462"/>
      <c r="B51" s="4463"/>
      <c r="C51" s="4463"/>
      <c r="D51" s="4463"/>
      <c r="E51" s="4463"/>
      <c r="F51" s="4463"/>
      <c r="G51" s="4463"/>
      <c r="H51" s="4463"/>
      <c r="I51" s="4463"/>
      <c r="J51" s="4463"/>
      <c r="K51" s="4464"/>
    </row>
    <row r="52" spans="1:11" x14ac:dyDescent="0.2">
      <c r="A52" s="4465" t="s">
        <v>705</v>
      </c>
      <c r="B52" s="4466"/>
      <c r="C52" s="4466"/>
      <c r="D52" s="4466"/>
      <c r="E52" s="4466"/>
      <c r="F52" s="4468"/>
      <c r="G52" s="4468">
        <v>499570</v>
      </c>
      <c r="H52" s="4468">
        <v>148987</v>
      </c>
      <c r="I52" s="693">
        <v>209131</v>
      </c>
      <c r="J52" s="4468"/>
      <c r="K52" s="359">
        <v>583.70000000000005</v>
      </c>
    </row>
    <row r="53" spans="1:11" ht="13.5" thickBot="1" x14ac:dyDescent="0.25">
      <c r="A53" s="4467"/>
      <c r="B53" s="4460"/>
      <c r="C53" s="4460"/>
      <c r="D53" s="4460"/>
      <c r="E53" s="4460"/>
      <c r="F53" s="4469"/>
      <c r="G53" s="4469"/>
      <c r="H53" s="4469"/>
      <c r="I53" s="683">
        <v>39387</v>
      </c>
      <c r="J53" s="4469"/>
      <c r="K53" s="356">
        <v>163.92</v>
      </c>
    </row>
    <row r="54" spans="1:11" ht="13.5" thickBot="1" x14ac:dyDescent="0.25">
      <c r="A54" s="4462"/>
      <c r="B54" s="4463"/>
      <c r="C54" s="4463"/>
      <c r="D54" s="4463"/>
      <c r="E54" s="4463"/>
      <c r="F54" s="4463"/>
      <c r="G54" s="4463"/>
      <c r="H54" s="4463"/>
      <c r="I54" s="4463"/>
      <c r="J54" s="4463"/>
      <c r="K54" s="4464"/>
    </row>
    <row r="55" spans="1:11" x14ac:dyDescent="0.2">
      <c r="A55" s="4465" t="s">
        <v>706</v>
      </c>
      <c r="B55" s="4466"/>
      <c r="C55" s="4466"/>
      <c r="D55" s="4466"/>
      <c r="E55" s="4466"/>
      <c r="F55" s="4468"/>
      <c r="G55" s="4468">
        <v>499570</v>
      </c>
      <c r="H55" s="4468">
        <v>148987</v>
      </c>
      <c r="I55" s="693">
        <v>209131</v>
      </c>
      <c r="J55" s="4468"/>
      <c r="K55" s="359">
        <v>583.70000000000005</v>
      </c>
    </row>
    <row r="56" spans="1:11" ht="13.5" thickBot="1" x14ac:dyDescent="0.25">
      <c r="A56" s="4467"/>
      <c r="B56" s="4460"/>
      <c r="C56" s="4460"/>
      <c r="D56" s="4460"/>
      <c r="E56" s="4460"/>
      <c r="F56" s="4469"/>
      <c r="G56" s="4469"/>
      <c r="H56" s="4469"/>
      <c r="I56" s="683">
        <v>39387</v>
      </c>
      <c r="J56" s="4469"/>
      <c r="K56" s="356">
        <v>163.92</v>
      </c>
    </row>
    <row r="57" spans="1:11" ht="13.5" thickBot="1" x14ac:dyDescent="0.25">
      <c r="A57" s="678"/>
      <c r="B57" s="679"/>
      <c r="C57" s="679"/>
      <c r="D57" s="679"/>
      <c r="E57" s="679"/>
      <c r="F57" s="679"/>
      <c r="G57" s="679"/>
      <c r="H57" s="679"/>
      <c r="I57" s="679"/>
      <c r="J57" s="679"/>
      <c r="K57" s="679"/>
    </row>
    <row r="58" spans="1:11" x14ac:dyDescent="0.2">
      <c r="A58" s="694"/>
      <c r="B58" s="280"/>
      <c r="C58" s="280"/>
      <c r="D58" s="280"/>
      <c r="E58" s="280"/>
      <c r="F58" s="280"/>
      <c r="G58" s="280"/>
      <c r="H58" s="280"/>
      <c r="I58" s="280"/>
      <c r="J58" s="280"/>
      <c r="K58" s="686"/>
    </row>
    <row r="59" spans="1:11" x14ac:dyDescent="0.2">
      <c r="A59" s="695"/>
      <c r="B59" s="280"/>
      <c r="C59" s="280"/>
      <c r="D59" s="280"/>
      <c r="E59" s="280"/>
      <c r="F59" s="280"/>
      <c r="G59" s="280"/>
      <c r="H59" s="280"/>
      <c r="I59" s="280"/>
      <c r="J59" s="280"/>
      <c r="K59" s="686"/>
    </row>
    <row r="60" spans="1:11" x14ac:dyDescent="0.2">
      <c r="A60" s="695"/>
      <c r="B60" s="280"/>
      <c r="C60" s="4457" t="s">
        <v>707</v>
      </c>
      <c r="D60" s="4347"/>
      <c r="E60" s="4347"/>
      <c r="F60" s="4347"/>
      <c r="G60" s="4347"/>
      <c r="H60" s="4347"/>
      <c r="I60" s="4457" t="s">
        <v>708</v>
      </c>
      <c r="J60" s="4457" t="s">
        <v>709</v>
      </c>
      <c r="K60" s="357" t="s">
        <v>570</v>
      </c>
    </row>
    <row r="61" spans="1:11" x14ac:dyDescent="0.2">
      <c r="A61" s="695"/>
      <c r="B61" s="280"/>
      <c r="C61" s="4457"/>
      <c r="D61" s="4347"/>
      <c r="E61" s="4347"/>
      <c r="F61" s="4347"/>
      <c r="G61" s="4347"/>
      <c r="H61" s="4347"/>
      <c r="I61" s="4457"/>
      <c r="J61" s="4457"/>
      <c r="K61" s="357" t="s">
        <v>710</v>
      </c>
    </row>
    <row r="62" spans="1:11" ht="13.5" thickBot="1" x14ac:dyDescent="0.25">
      <c r="A62" s="695"/>
      <c r="B62" s="280"/>
      <c r="C62" s="4457" t="s">
        <v>54</v>
      </c>
      <c r="D62" s="4347"/>
      <c r="E62" s="4347"/>
      <c r="F62" s="4347"/>
      <c r="G62" s="4347"/>
      <c r="H62" s="4347"/>
      <c r="I62" s="683"/>
      <c r="J62" s="683"/>
      <c r="K62" s="356" t="s">
        <v>711</v>
      </c>
    </row>
    <row r="63" spans="1:11" ht="13.5" thickBot="1" x14ac:dyDescent="0.25">
      <c r="A63" s="695"/>
      <c r="B63" s="280"/>
      <c r="C63" s="4457" t="s">
        <v>712</v>
      </c>
      <c r="D63" s="4347"/>
      <c r="E63" s="4347"/>
      <c r="F63" s="4347"/>
      <c r="G63" s="4347"/>
      <c r="H63" s="4347"/>
      <c r="I63" s="683">
        <v>0.6</v>
      </c>
      <c r="J63" s="683">
        <v>85</v>
      </c>
      <c r="K63" s="356" t="s">
        <v>713</v>
      </c>
    </row>
    <row r="64" spans="1:11" ht="13.5" thickBot="1" x14ac:dyDescent="0.25">
      <c r="A64" s="695"/>
      <c r="B64" s="280"/>
      <c r="C64" s="4457" t="s">
        <v>714</v>
      </c>
      <c r="D64" s="4347"/>
      <c r="E64" s="4347"/>
      <c r="F64" s="4347"/>
      <c r="G64" s="4347"/>
      <c r="H64" s="4347"/>
      <c r="I64" s="683">
        <v>0.6</v>
      </c>
      <c r="J64" s="683">
        <v>71</v>
      </c>
      <c r="K64" s="356" t="s">
        <v>715</v>
      </c>
    </row>
    <row r="65" spans="1:11" ht="13.5" thickBot="1" x14ac:dyDescent="0.25">
      <c r="A65" s="695"/>
      <c r="B65" s="280"/>
      <c r="C65" s="4457" t="s">
        <v>716</v>
      </c>
      <c r="D65" s="4347"/>
      <c r="E65" s="4347"/>
      <c r="F65" s="4347"/>
      <c r="G65" s="4347"/>
      <c r="H65" s="4347"/>
      <c r="I65" s="683">
        <v>0.6</v>
      </c>
      <c r="J65" s="683">
        <v>71</v>
      </c>
      <c r="K65" s="356" t="s">
        <v>717</v>
      </c>
    </row>
    <row r="66" spans="1:11" ht="13.5" thickBot="1" x14ac:dyDescent="0.25">
      <c r="A66" s="695"/>
      <c r="B66" s="280"/>
      <c r="C66" s="4457" t="s">
        <v>718</v>
      </c>
      <c r="D66" s="4347"/>
      <c r="E66" s="4347"/>
      <c r="F66" s="4347"/>
      <c r="G66" s="4347"/>
      <c r="H66" s="4347"/>
      <c r="I66" s="683">
        <v>0.6</v>
      </c>
      <c r="J66" s="683">
        <v>116</v>
      </c>
      <c r="K66" s="356" t="s">
        <v>719</v>
      </c>
    </row>
    <row r="67" spans="1:11" ht="13.5" thickBot="1" x14ac:dyDescent="0.25">
      <c r="A67" s="695"/>
      <c r="B67" s="280"/>
      <c r="C67" s="4457" t="s">
        <v>720</v>
      </c>
      <c r="D67" s="4347"/>
      <c r="E67" s="4347"/>
      <c r="F67" s="4347"/>
      <c r="G67" s="4347"/>
      <c r="H67" s="4347"/>
      <c r="I67" s="683">
        <v>0.6</v>
      </c>
      <c r="J67" s="683">
        <v>92</v>
      </c>
      <c r="K67" s="356" t="s">
        <v>721</v>
      </c>
    </row>
    <row r="68" spans="1:11" ht="13.5" thickBot="1" x14ac:dyDescent="0.25">
      <c r="A68" s="695"/>
      <c r="B68" s="280"/>
      <c r="C68" s="4457" t="s">
        <v>722</v>
      </c>
      <c r="D68" s="4347"/>
      <c r="E68" s="4347"/>
      <c r="F68" s="4347"/>
      <c r="G68" s="4347"/>
      <c r="H68" s="4347"/>
      <c r="I68" s="683"/>
      <c r="J68" s="683"/>
      <c r="K68" s="356" t="s">
        <v>723</v>
      </c>
    </row>
    <row r="69" spans="1:11" ht="13.5" thickBot="1" x14ac:dyDescent="0.25">
      <c r="A69" s="695"/>
      <c r="B69" s="280"/>
      <c r="C69" s="4457" t="s">
        <v>54</v>
      </c>
      <c r="D69" s="4347"/>
      <c r="E69" s="4347"/>
      <c r="F69" s="4347"/>
      <c r="G69" s="4347"/>
      <c r="H69" s="4347"/>
      <c r="I69" s="683"/>
      <c r="J69" s="683"/>
      <c r="K69" s="356" t="s">
        <v>724</v>
      </c>
    </row>
    <row r="70" spans="1:11" ht="13.5" thickBot="1" x14ac:dyDescent="0.25">
      <c r="A70" s="695"/>
      <c r="B70" s="280"/>
      <c r="C70" s="4457" t="s">
        <v>725</v>
      </c>
      <c r="D70" s="4347"/>
      <c r="E70" s="4347"/>
      <c r="F70" s="4347"/>
      <c r="G70" s="4347"/>
      <c r="H70" s="4347"/>
      <c r="I70" s="683"/>
      <c r="J70" s="683">
        <v>40</v>
      </c>
      <c r="K70" s="356" t="s">
        <v>726</v>
      </c>
    </row>
    <row r="71" spans="1:11" ht="13.5" thickBot="1" x14ac:dyDescent="0.25">
      <c r="A71" s="695"/>
      <c r="B71" s="280"/>
      <c r="C71" s="4457" t="s">
        <v>727</v>
      </c>
      <c r="D71" s="4347"/>
      <c r="E71" s="4347"/>
      <c r="F71" s="4347"/>
      <c r="G71" s="4347"/>
      <c r="H71" s="4347"/>
      <c r="I71" s="683"/>
      <c r="J71" s="683">
        <v>36</v>
      </c>
      <c r="K71" s="356" t="s">
        <v>728</v>
      </c>
    </row>
    <row r="72" spans="1:11" ht="13.5" thickBot="1" x14ac:dyDescent="0.25">
      <c r="A72" s="695"/>
      <c r="B72" s="280"/>
      <c r="C72" s="4457" t="s">
        <v>729</v>
      </c>
      <c r="D72" s="4347"/>
      <c r="E72" s="4347"/>
      <c r="F72" s="4347"/>
      <c r="G72" s="4347"/>
      <c r="H72" s="4347"/>
      <c r="I72" s="683"/>
      <c r="J72" s="683">
        <v>36</v>
      </c>
      <c r="K72" s="356" t="s">
        <v>730</v>
      </c>
    </row>
    <row r="73" spans="1:11" ht="13.5" thickBot="1" x14ac:dyDescent="0.25">
      <c r="A73" s="695"/>
      <c r="B73" s="280"/>
      <c r="C73" s="4457" t="s">
        <v>731</v>
      </c>
      <c r="D73" s="4347"/>
      <c r="E73" s="4347"/>
      <c r="F73" s="4347"/>
      <c r="G73" s="4347"/>
      <c r="H73" s="4347"/>
      <c r="I73" s="683"/>
      <c r="J73" s="683">
        <v>71</v>
      </c>
      <c r="K73" s="356" t="s">
        <v>732</v>
      </c>
    </row>
    <row r="74" spans="1:11" ht="13.5" thickBot="1" x14ac:dyDescent="0.25">
      <c r="A74" s="695"/>
      <c r="B74" s="280"/>
      <c r="C74" s="4457" t="s">
        <v>733</v>
      </c>
      <c r="D74" s="4347"/>
      <c r="E74" s="4347"/>
      <c r="F74" s="4347"/>
      <c r="G74" s="4347"/>
      <c r="H74" s="4347"/>
      <c r="I74" s="683"/>
      <c r="J74" s="683">
        <v>54</v>
      </c>
      <c r="K74" s="356" t="s">
        <v>734</v>
      </c>
    </row>
    <row r="75" spans="1:11" ht="13.5" thickBot="1" x14ac:dyDescent="0.25">
      <c r="A75" s="695"/>
      <c r="B75" s="280"/>
      <c r="C75" s="4457" t="s">
        <v>735</v>
      </c>
      <c r="D75" s="4347"/>
      <c r="E75" s="4347"/>
      <c r="F75" s="4347"/>
      <c r="G75" s="4347"/>
      <c r="H75" s="4347"/>
      <c r="I75" s="683"/>
      <c r="J75" s="683"/>
      <c r="K75" s="356" t="s">
        <v>736</v>
      </c>
    </row>
    <row r="76" spans="1:11" ht="13.5" thickBot="1" x14ac:dyDescent="0.25">
      <c r="A76" s="695"/>
      <c r="B76" s="280"/>
      <c r="C76" s="4457" t="s">
        <v>54</v>
      </c>
      <c r="D76" s="4347"/>
      <c r="E76" s="4347"/>
      <c r="F76" s="4347"/>
      <c r="G76" s="4347"/>
      <c r="H76" s="4347"/>
      <c r="I76" s="683"/>
      <c r="J76" s="683"/>
      <c r="K76" s="356" t="s">
        <v>737</v>
      </c>
    </row>
    <row r="77" spans="1:11" ht="13.5" thickBot="1" x14ac:dyDescent="0.25">
      <c r="A77" s="695"/>
      <c r="B77" s="280"/>
      <c r="C77" s="4457" t="s">
        <v>738</v>
      </c>
      <c r="D77" s="4347"/>
      <c r="E77" s="4347"/>
      <c r="F77" s="4347"/>
      <c r="G77" s="4347"/>
      <c r="H77" s="4347"/>
      <c r="I77" s="683"/>
      <c r="J77" s="683">
        <v>18</v>
      </c>
      <c r="K77" s="356" t="s">
        <v>739</v>
      </c>
    </row>
    <row r="78" spans="1:11" ht="13.5" thickBot="1" x14ac:dyDescent="0.25">
      <c r="A78" s="695"/>
      <c r="B78" s="280"/>
      <c r="C78" s="4457" t="s">
        <v>288</v>
      </c>
      <c r="D78" s="4347"/>
      <c r="E78" s="4347"/>
      <c r="F78" s="4347"/>
      <c r="G78" s="4347"/>
      <c r="H78" s="4347"/>
      <c r="I78" s="683"/>
      <c r="J78" s="683"/>
      <c r="K78" s="356" t="s">
        <v>671</v>
      </c>
    </row>
    <row r="79" spans="1:11" ht="13.5" thickBot="1" x14ac:dyDescent="0.25">
      <c r="A79" s="682"/>
      <c r="B79" s="681"/>
      <c r="C79" s="4460" t="s">
        <v>740</v>
      </c>
      <c r="D79" s="3492"/>
      <c r="E79" s="3492"/>
      <c r="F79" s="3492"/>
      <c r="G79" s="3492"/>
      <c r="H79" s="3492"/>
      <c r="I79" s="683"/>
      <c r="J79" s="683"/>
      <c r="K79" s="356" t="s">
        <v>671</v>
      </c>
    </row>
    <row r="80" spans="1:11" ht="15.75" x14ac:dyDescent="0.25">
      <c r="K80" s="705">
        <v>821297</v>
      </c>
    </row>
    <row r="81" spans="1:12" ht="13.5" thickBot="1" x14ac:dyDescent="0.25"/>
    <row r="82" spans="1:12" ht="18.75" x14ac:dyDescent="0.3">
      <c r="A82" s="4502" t="s">
        <v>741</v>
      </c>
      <c r="B82" s="4503"/>
      <c r="C82" s="4503"/>
      <c r="D82" s="4503"/>
      <c r="E82" s="4503"/>
      <c r="F82" s="4503"/>
      <c r="G82" s="4503"/>
      <c r="H82" s="4503"/>
      <c r="I82" s="4503"/>
      <c r="J82" s="4503"/>
      <c r="K82" s="4503"/>
      <c r="L82" s="696"/>
    </row>
    <row r="83" spans="1:12" ht="13.5" x14ac:dyDescent="0.25">
      <c r="A83" s="4504" t="s">
        <v>664</v>
      </c>
      <c r="B83" s="4493"/>
      <c r="C83" s="4493"/>
      <c r="D83" s="4493"/>
      <c r="E83" s="4493"/>
      <c r="F83" s="4493"/>
      <c r="G83" s="4493"/>
      <c r="H83" s="4493"/>
      <c r="I83" s="4493"/>
      <c r="J83" s="4493"/>
      <c r="K83" s="4493"/>
      <c r="L83" s="697"/>
    </row>
    <row r="84" spans="1:12" ht="18.75" x14ac:dyDescent="0.3">
      <c r="A84" s="698"/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7"/>
    </row>
    <row r="85" spans="1:12" ht="18.75" x14ac:dyDescent="0.3">
      <c r="A85" s="4505" t="s">
        <v>742</v>
      </c>
      <c r="B85" s="4493"/>
      <c r="C85" s="4493"/>
      <c r="D85" s="4493"/>
      <c r="E85" s="4493"/>
      <c r="F85" s="4493"/>
      <c r="G85" s="4493"/>
      <c r="H85" s="4493"/>
      <c r="I85" s="4493"/>
      <c r="J85" s="4493"/>
      <c r="K85" s="4493"/>
      <c r="L85" s="4494"/>
    </row>
    <row r="86" spans="1:12" ht="18" x14ac:dyDescent="0.25">
      <c r="A86" s="687" t="s">
        <v>666</v>
      </c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7"/>
    </row>
    <row r="87" spans="1:12" x14ac:dyDescent="0.2">
      <c r="A87" s="4492" t="s">
        <v>743</v>
      </c>
      <c r="B87" s="4493"/>
      <c r="C87" s="4493"/>
      <c r="D87" s="4493"/>
      <c r="E87" s="4493"/>
      <c r="F87" s="4493"/>
      <c r="G87" s="4493"/>
      <c r="H87" s="4493"/>
      <c r="I87" s="4493"/>
      <c r="J87" s="4493"/>
      <c r="K87" s="4493"/>
      <c r="L87" s="4494"/>
    </row>
    <row r="88" spans="1:12" x14ac:dyDescent="0.2">
      <c r="A88" s="4495"/>
      <c r="B88" s="4493"/>
      <c r="C88" s="4493"/>
      <c r="D88" s="4493"/>
      <c r="E88" s="4493"/>
      <c r="F88" s="4493"/>
      <c r="G88" s="4493"/>
      <c r="H88" s="4493"/>
      <c r="I88" s="4493"/>
      <c r="J88" s="4493"/>
      <c r="K88" s="4493"/>
      <c r="L88" s="4494"/>
    </row>
    <row r="89" spans="1:12" x14ac:dyDescent="0.2">
      <c r="A89" s="4496" t="s">
        <v>667</v>
      </c>
      <c r="B89" s="4497"/>
      <c r="C89" s="699"/>
      <c r="D89" s="699"/>
      <c r="E89" s="699"/>
      <c r="F89" s="699"/>
      <c r="G89" s="699"/>
      <c r="H89" s="699"/>
      <c r="I89" s="699"/>
      <c r="J89" s="699"/>
      <c r="K89" s="699"/>
      <c r="L89" s="697"/>
    </row>
    <row r="90" spans="1:12" ht="13.5" x14ac:dyDescent="0.2">
      <c r="A90" s="700"/>
      <c r="B90" s="701"/>
      <c r="C90" s="699"/>
      <c r="D90" s="699"/>
      <c r="E90" s="699"/>
      <c r="F90" s="699"/>
      <c r="G90" s="699"/>
      <c r="H90" s="699"/>
      <c r="I90" s="699"/>
      <c r="J90" s="699"/>
      <c r="K90" s="699"/>
      <c r="L90" s="697"/>
    </row>
    <row r="91" spans="1:12" x14ac:dyDescent="0.2">
      <c r="A91" s="4496" t="s">
        <v>668</v>
      </c>
      <c r="B91" s="4493"/>
      <c r="C91" s="4493"/>
      <c r="D91" s="4498" t="s">
        <v>744</v>
      </c>
      <c r="E91" s="4493"/>
      <c r="F91" s="4493"/>
      <c r="G91" s="4493"/>
      <c r="H91" s="4493"/>
      <c r="I91" s="4493"/>
      <c r="J91" s="4493"/>
      <c r="K91" s="4493"/>
      <c r="L91" s="4494"/>
    </row>
    <row r="92" spans="1:12" ht="18.75" x14ac:dyDescent="0.3">
      <c r="A92" s="688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686"/>
    </row>
    <row r="93" spans="1:12" ht="12.75" customHeight="1" x14ac:dyDescent="0.2">
      <c r="A93" s="4499" t="s">
        <v>670</v>
      </c>
      <c r="B93" s="4347"/>
      <c r="C93" s="4347"/>
      <c r="D93" s="4347"/>
      <c r="E93" s="4347"/>
      <c r="F93" s="4500" t="s">
        <v>745</v>
      </c>
      <c r="G93" s="4501" t="s">
        <v>672</v>
      </c>
      <c r="H93" s="280"/>
      <c r="I93" s="280"/>
      <c r="J93" s="280"/>
      <c r="K93" s="280"/>
      <c r="L93" s="686"/>
    </row>
    <row r="94" spans="1:12" x14ac:dyDescent="0.2">
      <c r="A94" s="4499"/>
      <c r="B94" s="4347"/>
      <c r="C94" s="4347"/>
      <c r="D94" s="4347"/>
      <c r="E94" s="4347"/>
      <c r="F94" s="4500"/>
      <c r="G94" s="4501"/>
      <c r="H94" s="280"/>
      <c r="I94" s="280"/>
      <c r="J94" s="280"/>
      <c r="K94" s="280"/>
      <c r="L94" s="686"/>
    </row>
    <row r="95" spans="1:12" ht="13.5" customHeight="1" x14ac:dyDescent="0.2">
      <c r="A95" s="4489" t="s">
        <v>673</v>
      </c>
      <c r="B95" s="4347"/>
      <c r="C95" s="4347"/>
      <c r="D95" s="4347"/>
      <c r="E95" s="4347"/>
      <c r="F95" s="4490">
        <v>951</v>
      </c>
      <c r="G95" s="4491" t="s">
        <v>674</v>
      </c>
      <c r="H95" s="280"/>
      <c r="I95" s="280"/>
      <c r="J95" s="280"/>
      <c r="K95" s="280"/>
      <c r="L95" s="686"/>
    </row>
    <row r="96" spans="1:12" x14ac:dyDescent="0.2">
      <c r="A96" s="4489"/>
      <c r="B96" s="4347"/>
      <c r="C96" s="4347"/>
      <c r="D96" s="4347"/>
      <c r="E96" s="4347"/>
      <c r="F96" s="4490"/>
      <c r="G96" s="4491"/>
      <c r="H96" s="280"/>
      <c r="I96" s="280"/>
      <c r="J96" s="280"/>
      <c r="K96" s="280"/>
      <c r="L96" s="686"/>
    </row>
    <row r="97" spans="1:12" ht="13.5" customHeight="1" x14ac:dyDescent="0.2">
      <c r="A97" s="4489" t="s">
        <v>675</v>
      </c>
      <c r="B97" s="4347"/>
      <c r="C97" s="4347"/>
      <c r="D97" s="4347"/>
      <c r="E97" s="4347"/>
      <c r="F97" s="4490" t="s">
        <v>746</v>
      </c>
      <c r="G97" s="4491" t="s">
        <v>672</v>
      </c>
      <c r="H97" s="280"/>
      <c r="I97" s="280"/>
      <c r="J97" s="280"/>
      <c r="K97" s="280"/>
      <c r="L97" s="686"/>
    </row>
    <row r="98" spans="1:12" ht="13.5" thickBot="1" x14ac:dyDescent="0.25">
      <c r="A98" s="4489"/>
      <c r="B98" s="4347"/>
      <c r="C98" s="4347"/>
      <c r="D98" s="4347"/>
      <c r="E98" s="4347"/>
      <c r="F98" s="4490"/>
      <c r="G98" s="4491"/>
      <c r="H98" s="280"/>
      <c r="I98" s="280"/>
      <c r="J98" s="280"/>
      <c r="K98" s="280"/>
      <c r="L98" s="686"/>
    </row>
    <row r="99" spans="1:12" ht="13.5" thickBot="1" x14ac:dyDescent="0.25">
      <c r="A99" s="650" t="s">
        <v>172</v>
      </c>
      <c r="B99" s="650" t="s">
        <v>448</v>
      </c>
      <c r="C99" s="650" t="s">
        <v>367</v>
      </c>
      <c r="D99" s="339"/>
      <c r="E99" s="4479" t="s">
        <v>449</v>
      </c>
      <c r="F99" s="4480"/>
      <c r="G99" s="4479" t="s">
        <v>450</v>
      </c>
      <c r="H99" s="4481"/>
      <c r="I99" s="4480"/>
      <c r="J99" s="4482" t="s">
        <v>451</v>
      </c>
      <c r="K99" s="4483"/>
      <c r="L99" s="686"/>
    </row>
    <row r="100" spans="1:12" ht="13.5" thickBot="1" x14ac:dyDescent="0.25">
      <c r="A100" s="342" t="s">
        <v>452</v>
      </c>
      <c r="B100" s="342" t="s">
        <v>453</v>
      </c>
      <c r="C100" s="342" t="s">
        <v>454</v>
      </c>
      <c r="D100" s="343" t="s">
        <v>455</v>
      </c>
      <c r="E100" s="652" t="s">
        <v>456</v>
      </c>
      <c r="F100" s="649" t="s">
        <v>457</v>
      </c>
      <c r="G100" s="342" t="s">
        <v>456</v>
      </c>
      <c r="H100" s="343" t="s">
        <v>458</v>
      </c>
      <c r="I100" s="345" t="s">
        <v>457</v>
      </c>
      <c r="J100" s="4484" t="s">
        <v>459</v>
      </c>
      <c r="K100" s="4485"/>
      <c r="L100" s="686"/>
    </row>
    <row r="101" spans="1:12" ht="13.5" thickBot="1" x14ac:dyDescent="0.25">
      <c r="A101" s="651"/>
      <c r="B101" s="651" t="s">
        <v>460</v>
      </c>
      <c r="C101" s="651"/>
      <c r="D101" s="347"/>
      <c r="E101" s="652" t="s">
        <v>458</v>
      </c>
      <c r="F101" s="345" t="s">
        <v>461</v>
      </c>
      <c r="G101" s="648"/>
      <c r="H101" s="348"/>
      <c r="I101" s="345" t="s">
        <v>461</v>
      </c>
      <c r="J101" s="651" t="s">
        <v>462</v>
      </c>
      <c r="K101" s="347" t="s">
        <v>456</v>
      </c>
      <c r="L101" s="686"/>
    </row>
    <row r="102" spans="1:12" ht="13.5" thickBot="1" x14ac:dyDescent="0.25">
      <c r="A102" s="692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686"/>
    </row>
    <row r="103" spans="1:12" ht="13.5" thickBot="1" x14ac:dyDescent="0.25">
      <c r="A103" s="350">
        <v>1</v>
      </c>
      <c r="B103" s="351">
        <v>2</v>
      </c>
      <c r="C103" s="351">
        <v>3</v>
      </c>
      <c r="D103" s="351">
        <v>4</v>
      </c>
      <c r="E103" s="351">
        <v>5</v>
      </c>
      <c r="F103" s="351">
        <v>6</v>
      </c>
      <c r="G103" s="351">
        <v>7</v>
      </c>
      <c r="H103" s="351">
        <v>8</v>
      </c>
      <c r="I103" s="351">
        <v>9</v>
      </c>
      <c r="J103" s="351">
        <v>10</v>
      </c>
      <c r="K103" s="351">
        <v>11</v>
      </c>
      <c r="L103" s="702"/>
    </row>
    <row r="104" spans="1:12" ht="13.5" thickBot="1" x14ac:dyDescent="0.25">
      <c r="A104" s="678"/>
      <c r="B104" s="679"/>
      <c r="C104" s="679"/>
      <c r="D104" s="679"/>
      <c r="E104" s="679"/>
      <c r="F104" s="679"/>
      <c r="G104" s="679"/>
      <c r="H104" s="679"/>
      <c r="I104" s="679"/>
      <c r="J104" s="679"/>
      <c r="K104" s="679"/>
      <c r="L104" s="702"/>
    </row>
    <row r="105" spans="1:12" ht="13.5" thickBot="1" x14ac:dyDescent="0.25">
      <c r="A105" s="4462"/>
      <c r="B105" s="4463"/>
      <c r="C105" s="4463"/>
      <c r="D105" s="4463"/>
      <c r="E105" s="4463"/>
      <c r="F105" s="4463"/>
      <c r="G105" s="4463"/>
      <c r="H105" s="4463"/>
      <c r="I105" s="4463"/>
      <c r="J105" s="4463"/>
      <c r="K105" s="4464"/>
      <c r="L105" s="702"/>
    </row>
    <row r="106" spans="1:12" ht="13.5" thickBot="1" x14ac:dyDescent="0.25">
      <c r="A106" s="4486" t="s">
        <v>747</v>
      </c>
      <c r="B106" s="4487"/>
      <c r="C106" s="4487"/>
      <c r="D106" s="4487"/>
      <c r="E106" s="4487"/>
      <c r="F106" s="4487"/>
      <c r="G106" s="4487"/>
      <c r="H106" s="4487"/>
      <c r="I106" s="4487"/>
      <c r="J106" s="4487"/>
      <c r="K106" s="4488"/>
      <c r="L106" s="702"/>
    </row>
    <row r="107" spans="1:12" ht="13.5" thickBot="1" x14ac:dyDescent="0.25">
      <c r="A107" s="4462"/>
      <c r="B107" s="4463"/>
      <c r="C107" s="4463"/>
      <c r="D107" s="4463"/>
      <c r="E107" s="4463"/>
      <c r="F107" s="4463"/>
      <c r="G107" s="4463"/>
      <c r="H107" s="4463"/>
      <c r="I107" s="4463"/>
      <c r="J107" s="4463"/>
      <c r="K107" s="4464"/>
      <c r="L107" s="703"/>
    </row>
    <row r="108" spans="1:12" ht="33.75" x14ac:dyDescent="0.2">
      <c r="A108" s="4472">
        <v>1</v>
      </c>
      <c r="B108" s="4474" t="s">
        <v>748</v>
      </c>
      <c r="C108" s="4474" t="s">
        <v>685</v>
      </c>
      <c r="D108" s="357" t="s">
        <v>749</v>
      </c>
      <c r="E108" s="358">
        <v>0.8</v>
      </c>
      <c r="F108" s="359">
        <v>19221.080000000002</v>
      </c>
      <c r="G108" s="359">
        <v>19221.080000000002</v>
      </c>
      <c r="H108" s="4472">
        <v>15377</v>
      </c>
      <c r="I108" s="4472">
        <v>0</v>
      </c>
      <c r="J108" s="359">
        <v>15377</v>
      </c>
      <c r="K108" s="359">
        <v>0</v>
      </c>
      <c r="L108" s="359">
        <v>0</v>
      </c>
    </row>
    <row r="109" spans="1:12" ht="169.5" thickBot="1" x14ac:dyDescent="0.25">
      <c r="A109" s="4473"/>
      <c r="B109" s="4475"/>
      <c r="C109" s="4475"/>
      <c r="D109" s="355" t="s">
        <v>680</v>
      </c>
      <c r="E109" s="356" t="s">
        <v>687</v>
      </c>
      <c r="F109" s="356">
        <v>0</v>
      </c>
      <c r="G109" s="356">
        <v>24389.57</v>
      </c>
      <c r="H109" s="4473"/>
      <c r="I109" s="4473"/>
      <c r="J109" s="356">
        <v>19512</v>
      </c>
      <c r="K109" s="356">
        <v>97.21</v>
      </c>
      <c r="L109" s="356">
        <v>77.77</v>
      </c>
    </row>
    <row r="110" spans="1:12" ht="22.5" x14ac:dyDescent="0.2">
      <c r="A110" s="4472">
        <v>2</v>
      </c>
      <c r="B110" s="4474" t="s">
        <v>750</v>
      </c>
      <c r="C110" s="357" t="s">
        <v>751</v>
      </c>
      <c r="D110" s="358">
        <v>0.2</v>
      </c>
      <c r="E110" s="359">
        <v>110221.54</v>
      </c>
      <c r="F110" s="359">
        <v>49699.94</v>
      </c>
      <c r="G110" s="4472">
        <v>22044</v>
      </c>
      <c r="H110" s="4472">
        <v>12104</v>
      </c>
      <c r="I110" s="359">
        <v>9940</v>
      </c>
      <c r="J110" s="359">
        <v>292.02</v>
      </c>
      <c r="K110" s="359">
        <v>58.4</v>
      </c>
      <c r="L110" s="4478"/>
    </row>
    <row r="111" spans="1:12" ht="33.75" x14ac:dyDescent="0.2">
      <c r="A111" s="4476"/>
      <c r="B111" s="4477"/>
      <c r="C111" s="357" t="s">
        <v>502</v>
      </c>
      <c r="D111" s="359" t="s">
        <v>753</v>
      </c>
      <c r="E111" s="359">
        <v>60521.599999999999</v>
      </c>
      <c r="F111" s="359">
        <v>12684.38</v>
      </c>
      <c r="G111" s="4476"/>
      <c r="H111" s="4476"/>
      <c r="I111" s="359">
        <v>2537</v>
      </c>
      <c r="J111" s="359">
        <v>49.67</v>
      </c>
      <c r="K111" s="359">
        <v>9.93</v>
      </c>
      <c r="L111" s="4461"/>
    </row>
    <row r="112" spans="1:12" ht="34.5" thickBot="1" x14ac:dyDescent="0.25">
      <c r="A112" s="4473"/>
      <c r="B112" s="4475"/>
      <c r="C112" s="355" t="s">
        <v>752</v>
      </c>
      <c r="D112" s="360"/>
      <c r="E112" s="360"/>
      <c r="F112" s="360"/>
      <c r="G112" s="4473"/>
      <c r="H112" s="4473"/>
      <c r="I112" s="360"/>
      <c r="J112" s="360"/>
      <c r="K112" s="360"/>
      <c r="L112" s="4461"/>
    </row>
    <row r="113" spans="1:12" x14ac:dyDescent="0.2">
      <c r="A113" s="4472">
        <v>3</v>
      </c>
      <c r="B113" s="4474" t="s">
        <v>754</v>
      </c>
      <c r="C113" s="357" t="s">
        <v>755</v>
      </c>
      <c r="D113" s="358">
        <v>20</v>
      </c>
      <c r="E113" s="359">
        <v>534.51</v>
      </c>
      <c r="F113" s="359">
        <v>0</v>
      </c>
      <c r="G113" s="4472">
        <v>10690</v>
      </c>
      <c r="H113" s="4472">
        <v>10690</v>
      </c>
      <c r="I113" s="359">
        <v>0</v>
      </c>
      <c r="J113" s="359">
        <v>2.72</v>
      </c>
      <c r="K113" s="359">
        <v>54.48</v>
      </c>
      <c r="L113" s="4461"/>
    </row>
    <row r="114" spans="1:12" x14ac:dyDescent="0.2">
      <c r="A114" s="4476"/>
      <c r="B114" s="4477"/>
      <c r="C114" s="357" t="s">
        <v>502</v>
      </c>
      <c r="D114" s="359" t="s">
        <v>466</v>
      </c>
      <c r="E114" s="359">
        <v>534.51</v>
      </c>
      <c r="F114" s="359">
        <v>0</v>
      </c>
      <c r="G114" s="4476"/>
      <c r="H114" s="4476"/>
      <c r="I114" s="359">
        <v>0</v>
      </c>
      <c r="J114" s="359">
        <v>0</v>
      </c>
      <c r="K114" s="359">
        <v>0</v>
      </c>
      <c r="L114" s="4461"/>
    </row>
    <row r="115" spans="1:12" ht="34.5" thickBot="1" x14ac:dyDescent="0.25">
      <c r="A115" s="4473"/>
      <c r="B115" s="4475"/>
      <c r="C115" s="355" t="s">
        <v>752</v>
      </c>
      <c r="D115" s="360"/>
      <c r="E115" s="360"/>
      <c r="F115" s="360"/>
      <c r="G115" s="4473"/>
      <c r="H115" s="4473"/>
      <c r="I115" s="360"/>
      <c r="J115" s="360"/>
      <c r="K115" s="360"/>
      <c r="L115" s="4461"/>
    </row>
    <row r="116" spans="1:12" x14ac:dyDescent="0.2">
      <c r="A116" s="4472">
        <v>4</v>
      </c>
      <c r="B116" s="4474" t="s">
        <v>756</v>
      </c>
      <c r="C116" s="357" t="s">
        <v>757</v>
      </c>
      <c r="D116" s="358">
        <v>10</v>
      </c>
      <c r="E116" s="359">
        <v>345.7</v>
      </c>
      <c r="F116" s="359">
        <v>63.38</v>
      </c>
      <c r="G116" s="4472">
        <v>3457</v>
      </c>
      <c r="H116" s="4472">
        <v>2823</v>
      </c>
      <c r="I116" s="359">
        <v>634</v>
      </c>
      <c r="J116" s="359">
        <v>1.31</v>
      </c>
      <c r="K116" s="359">
        <v>13.1</v>
      </c>
      <c r="L116" s="4461"/>
    </row>
    <row r="117" spans="1:12" ht="34.5" thickBot="1" x14ac:dyDescent="0.25">
      <c r="A117" s="4473"/>
      <c r="B117" s="4475"/>
      <c r="C117" s="355" t="s">
        <v>680</v>
      </c>
      <c r="D117" s="356" t="s">
        <v>758</v>
      </c>
      <c r="E117" s="356">
        <v>282.32</v>
      </c>
      <c r="F117" s="356">
        <v>0</v>
      </c>
      <c r="G117" s="4473"/>
      <c r="H117" s="4473"/>
      <c r="I117" s="356">
        <v>0</v>
      </c>
      <c r="J117" s="356">
        <v>7.0000000000000007E-2</v>
      </c>
      <c r="K117" s="356">
        <v>0.7</v>
      </c>
      <c r="L117" s="4461"/>
    </row>
    <row r="118" spans="1:12" ht="33.75" x14ac:dyDescent="0.2">
      <c r="A118" s="4472">
        <v>5</v>
      </c>
      <c r="B118" s="4474" t="s">
        <v>500</v>
      </c>
      <c r="C118" s="357" t="s">
        <v>501</v>
      </c>
      <c r="D118" s="358">
        <v>0.8</v>
      </c>
      <c r="E118" s="359">
        <v>64165.23</v>
      </c>
      <c r="F118" s="359">
        <v>8630.9699999999993</v>
      </c>
      <c r="G118" s="4472">
        <v>51332</v>
      </c>
      <c r="H118" s="4472">
        <v>15897</v>
      </c>
      <c r="I118" s="359">
        <v>6905</v>
      </c>
      <c r="J118" s="359">
        <v>95.88</v>
      </c>
      <c r="K118" s="359">
        <v>76.7</v>
      </c>
      <c r="L118" s="4461"/>
    </row>
    <row r="119" spans="1:12" x14ac:dyDescent="0.2">
      <c r="A119" s="4476"/>
      <c r="B119" s="4477"/>
      <c r="C119" s="357" t="s">
        <v>502</v>
      </c>
      <c r="D119" s="359" t="s">
        <v>503</v>
      </c>
      <c r="E119" s="359">
        <v>19871.29</v>
      </c>
      <c r="F119" s="359">
        <v>2421.77</v>
      </c>
      <c r="G119" s="4476"/>
      <c r="H119" s="4476"/>
      <c r="I119" s="359">
        <v>1937</v>
      </c>
      <c r="J119" s="359">
        <v>7.81</v>
      </c>
      <c r="K119" s="359">
        <v>6.25</v>
      </c>
      <c r="L119" s="4461"/>
    </row>
    <row r="120" spans="1:12" ht="34.5" thickBot="1" x14ac:dyDescent="0.25">
      <c r="A120" s="4473"/>
      <c r="B120" s="4475"/>
      <c r="C120" s="355" t="s">
        <v>752</v>
      </c>
      <c r="D120" s="360"/>
      <c r="E120" s="360"/>
      <c r="F120" s="360"/>
      <c r="G120" s="4473"/>
      <c r="H120" s="4473"/>
      <c r="I120" s="360"/>
      <c r="J120" s="360"/>
      <c r="K120" s="360"/>
      <c r="L120" s="4461"/>
    </row>
    <row r="121" spans="1:12" x14ac:dyDescent="0.2">
      <c r="A121" s="4472">
        <v>6</v>
      </c>
      <c r="B121" s="4474" t="s">
        <v>505</v>
      </c>
      <c r="C121" s="357" t="s">
        <v>506</v>
      </c>
      <c r="D121" s="358">
        <v>4.5</v>
      </c>
      <c r="E121" s="359">
        <v>11932</v>
      </c>
      <c r="F121" s="359">
        <v>307.44</v>
      </c>
      <c r="G121" s="4472">
        <v>53694</v>
      </c>
      <c r="H121" s="4472">
        <v>35040</v>
      </c>
      <c r="I121" s="359">
        <v>1383</v>
      </c>
      <c r="J121" s="359">
        <v>38.93</v>
      </c>
      <c r="K121" s="359">
        <v>175.18</v>
      </c>
      <c r="L121" s="4461"/>
    </row>
    <row r="122" spans="1:12" x14ac:dyDescent="0.2">
      <c r="A122" s="4476"/>
      <c r="B122" s="4477"/>
      <c r="C122" s="357" t="s">
        <v>507</v>
      </c>
      <c r="D122" s="359" t="s">
        <v>508</v>
      </c>
      <c r="E122" s="359">
        <v>7786.59</v>
      </c>
      <c r="F122" s="359">
        <v>133.93</v>
      </c>
      <c r="G122" s="4476"/>
      <c r="H122" s="4476"/>
      <c r="I122" s="359">
        <v>603</v>
      </c>
      <c r="J122" s="359">
        <v>0.43</v>
      </c>
      <c r="K122" s="359">
        <v>1.94</v>
      </c>
      <c r="L122" s="4461"/>
    </row>
    <row r="123" spans="1:12" ht="34.5" thickBot="1" x14ac:dyDescent="0.25">
      <c r="A123" s="4473"/>
      <c r="B123" s="4475"/>
      <c r="C123" s="355" t="s">
        <v>752</v>
      </c>
      <c r="D123" s="360"/>
      <c r="E123" s="360"/>
      <c r="F123" s="360"/>
      <c r="G123" s="4473"/>
      <c r="H123" s="4473"/>
      <c r="I123" s="360"/>
      <c r="J123" s="360"/>
      <c r="K123" s="360"/>
      <c r="L123" s="4461"/>
    </row>
    <row r="124" spans="1:12" x14ac:dyDescent="0.2">
      <c r="A124" s="4472">
        <v>7</v>
      </c>
      <c r="B124" s="4474" t="s">
        <v>509</v>
      </c>
      <c r="C124" s="357" t="s">
        <v>510</v>
      </c>
      <c r="D124" s="358">
        <v>3.4</v>
      </c>
      <c r="E124" s="359">
        <v>13649.9</v>
      </c>
      <c r="F124" s="359">
        <v>54.34</v>
      </c>
      <c r="G124" s="4472">
        <v>46410</v>
      </c>
      <c r="H124" s="4472">
        <v>25063</v>
      </c>
      <c r="I124" s="359">
        <v>185</v>
      </c>
      <c r="J124" s="359">
        <v>34.65</v>
      </c>
      <c r="K124" s="359">
        <v>117.81</v>
      </c>
      <c r="L124" s="4461"/>
    </row>
    <row r="125" spans="1:12" x14ac:dyDescent="0.2">
      <c r="A125" s="4476"/>
      <c r="B125" s="4477"/>
      <c r="C125" s="357" t="s">
        <v>507</v>
      </c>
      <c r="D125" s="359" t="s">
        <v>503</v>
      </c>
      <c r="E125" s="359">
        <v>7371.52</v>
      </c>
      <c r="F125" s="359">
        <v>0</v>
      </c>
      <c r="G125" s="4476"/>
      <c r="H125" s="4476"/>
      <c r="I125" s="359">
        <v>0</v>
      </c>
      <c r="J125" s="359">
        <v>0.06</v>
      </c>
      <c r="K125" s="359">
        <v>0.2</v>
      </c>
      <c r="L125" s="4461"/>
    </row>
    <row r="126" spans="1:12" ht="34.5" thickBot="1" x14ac:dyDescent="0.25">
      <c r="A126" s="4473"/>
      <c r="B126" s="4475"/>
      <c r="C126" s="355" t="s">
        <v>752</v>
      </c>
      <c r="D126" s="360"/>
      <c r="E126" s="360"/>
      <c r="F126" s="360"/>
      <c r="G126" s="4473"/>
      <c r="H126" s="4473"/>
      <c r="I126" s="360"/>
      <c r="J126" s="360"/>
      <c r="K126" s="360"/>
      <c r="L126" s="4461"/>
    </row>
    <row r="127" spans="1:12" ht="22.5" x14ac:dyDescent="0.2">
      <c r="A127" s="4472">
        <v>8</v>
      </c>
      <c r="B127" s="4474" t="s">
        <v>759</v>
      </c>
      <c r="C127" s="357" t="s">
        <v>760</v>
      </c>
      <c r="D127" s="358">
        <v>20</v>
      </c>
      <c r="E127" s="359">
        <v>1297.83</v>
      </c>
      <c r="F127" s="359">
        <v>27.64</v>
      </c>
      <c r="G127" s="4472">
        <v>25957</v>
      </c>
      <c r="H127" s="4472">
        <v>25404</v>
      </c>
      <c r="I127" s="359">
        <v>553</v>
      </c>
      <c r="J127" s="359">
        <v>6.58</v>
      </c>
      <c r="K127" s="359">
        <v>131.6</v>
      </c>
      <c r="L127" s="4461"/>
    </row>
    <row r="128" spans="1:12" ht="34.5" thickBot="1" x14ac:dyDescent="0.25">
      <c r="A128" s="4473"/>
      <c r="B128" s="4475"/>
      <c r="C128" s="355" t="s">
        <v>680</v>
      </c>
      <c r="D128" s="356" t="s">
        <v>761</v>
      </c>
      <c r="E128" s="356">
        <v>1270.19</v>
      </c>
      <c r="F128" s="356">
        <v>0</v>
      </c>
      <c r="G128" s="4473"/>
      <c r="H128" s="4473"/>
      <c r="I128" s="356">
        <v>0</v>
      </c>
      <c r="J128" s="356">
        <v>0</v>
      </c>
      <c r="K128" s="356">
        <v>0</v>
      </c>
      <c r="L128" s="4461"/>
    </row>
    <row r="129" spans="1:12" x14ac:dyDescent="0.2">
      <c r="A129" s="4472">
        <v>9</v>
      </c>
      <c r="B129" s="4474" t="s">
        <v>762</v>
      </c>
      <c r="C129" s="357" t="s">
        <v>763</v>
      </c>
      <c r="D129" s="358">
        <v>25</v>
      </c>
      <c r="E129" s="359">
        <v>336.26</v>
      </c>
      <c r="F129" s="359">
        <v>90.6</v>
      </c>
      <c r="G129" s="4472">
        <v>8406</v>
      </c>
      <c r="H129" s="4472">
        <v>6142</v>
      </c>
      <c r="I129" s="359">
        <v>2265</v>
      </c>
      <c r="J129" s="359">
        <v>1.1399999999999999</v>
      </c>
      <c r="K129" s="359">
        <v>28.5</v>
      </c>
      <c r="L129" s="4461"/>
    </row>
    <row r="130" spans="1:12" ht="34.5" thickBot="1" x14ac:dyDescent="0.25">
      <c r="A130" s="4473"/>
      <c r="B130" s="4475"/>
      <c r="C130" s="355" t="s">
        <v>680</v>
      </c>
      <c r="D130" s="356" t="s">
        <v>764</v>
      </c>
      <c r="E130" s="356">
        <v>245.66</v>
      </c>
      <c r="F130" s="356">
        <v>0</v>
      </c>
      <c r="G130" s="4473"/>
      <c r="H130" s="4473"/>
      <c r="I130" s="356">
        <v>0</v>
      </c>
      <c r="J130" s="356">
        <v>0.1</v>
      </c>
      <c r="K130" s="356">
        <v>2.5</v>
      </c>
      <c r="L130" s="4461"/>
    </row>
    <row r="131" spans="1:12" x14ac:dyDescent="0.2">
      <c r="A131" s="4472">
        <v>10</v>
      </c>
      <c r="B131" s="4474" t="s">
        <v>765</v>
      </c>
      <c r="C131" s="357" t="s">
        <v>766</v>
      </c>
      <c r="D131" s="358">
        <v>10</v>
      </c>
      <c r="E131" s="359">
        <v>491.39</v>
      </c>
      <c r="F131" s="359">
        <v>90.6</v>
      </c>
      <c r="G131" s="4472">
        <v>4914</v>
      </c>
      <c r="H131" s="4472">
        <v>4008</v>
      </c>
      <c r="I131" s="359">
        <v>906</v>
      </c>
      <c r="J131" s="359">
        <v>1.86</v>
      </c>
      <c r="K131" s="359">
        <v>18.600000000000001</v>
      </c>
      <c r="L131" s="4461"/>
    </row>
    <row r="132" spans="1:12" ht="34.5" thickBot="1" x14ac:dyDescent="0.25">
      <c r="A132" s="4473"/>
      <c r="B132" s="4475"/>
      <c r="C132" s="355" t="s">
        <v>680</v>
      </c>
      <c r="D132" s="356" t="s">
        <v>764</v>
      </c>
      <c r="E132" s="356">
        <v>400.79</v>
      </c>
      <c r="F132" s="356">
        <v>0</v>
      </c>
      <c r="G132" s="4473"/>
      <c r="H132" s="4473"/>
      <c r="I132" s="356">
        <v>0</v>
      </c>
      <c r="J132" s="356">
        <v>0.1</v>
      </c>
      <c r="K132" s="356">
        <v>1</v>
      </c>
      <c r="L132" s="4461"/>
    </row>
    <row r="133" spans="1:12" x14ac:dyDescent="0.2">
      <c r="A133" s="4472">
        <v>11</v>
      </c>
      <c r="B133" s="4474" t="s">
        <v>767</v>
      </c>
      <c r="C133" s="357" t="s">
        <v>768</v>
      </c>
      <c r="D133" s="358">
        <v>10</v>
      </c>
      <c r="E133" s="359">
        <v>1049.04</v>
      </c>
      <c r="F133" s="359">
        <v>521.05999999999995</v>
      </c>
      <c r="G133" s="4472">
        <v>10490</v>
      </c>
      <c r="H133" s="4472">
        <v>5280</v>
      </c>
      <c r="I133" s="359">
        <v>5211</v>
      </c>
      <c r="J133" s="359">
        <v>2.4500000000000002</v>
      </c>
      <c r="K133" s="359">
        <v>24.5</v>
      </c>
      <c r="L133" s="4461"/>
    </row>
    <row r="134" spans="1:12" ht="34.5" thickBot="1" x14ac:dyDescent="0.25">
      <c r="A134" s="4473"/>
      <c r="B134" s="4475"/>
      <c r="C134" s="355" t="s">
        <v>680</v>
      </c>
      <c r="D134" s="356" t="s">
        <v>764</v>
      </c>
      <c r="E134" s="356">
        <v>527.98</v>
      </c>
      <c r="F134" s="356">
        <v>124.7</v>
      </c>
      <c r="G134" s="4473"/>
      <c r="H134" s="4473"/>
      <c r="I134" s="356">
        <v>1247</v>
      </c>
      <c r="J134" s="356">
        <v>0.47</v>
      </c>
      <c r="K134" s="356">
        <v>4.7</v>
      </c>
      <c r="L134" s="4461"/>
    </row>
    <row r="135" spans="1:12" ht="22.5" x14ac:dyDescent="0.2">
      <c r="A135" s="4472">
        <v>12</v>
      </c>
      <c r="B135" s="4474" t="s">
        <v>463</v>
      </c>
      <c r="C135" s="357" t="s">
        <v>464</v>
      </c>
      <c r="D135" s="358">
        <v>10</v>
      </c>
      <c r="E135" s="359">
        <v>4803.8100000000004</v>
      </c>
      <c r="F135" s="359">
        <v>90.6</v>
      </c>
      <c r="G135" s="4472">
        <v>48038</v>
      </c>
      <c r="H135" s="4472">
        <v>9637</v>
      </c>
      <c r="I135" s="359">
        <v>906</v>
      </c>
      <c r="J135" s="359">
        <v>4.53</v>
      </c>
      <c r="K135" s="359">
        <v>45.3</v>
      </c>
      <c r="L135" s="4461"/>
    </row>
    <row r="136" spans="1:12" ht="34.5" thickBot="1" x14ac:dyDescent="0.25">
      <c r="A136" s="4473"/>
      <c r="B136" s="4475"/>
      <c r="C136" s="355" t="s">
        <v>680</v>
      </c>
      <c r="D136" s="356" t="s">
        <v>466</v>
      </c>
      <c r="E136" s="356">
        <v>963.68</v>
      </c>
      <c r="F136" s="356">
        <v>0</v>
      </c>
      <c r="G136" s="4473"/>
      <c r="H136" s="4473"/>
      <c r="I136" s="356">
        <v>0</v>
      </c>
      <c r="J136" s="356">
        <v>0.1</v>
      </c>
      <c r="K136" s="356">
        <v>1</v>
      </c>
      <c r="L136" s="4461"/>
    </row>
    <row r="137" spans="1:12" ht="22.5" x14ac:dyDescent="0.2">
      <c r="A137" s="4472">
        <v>13</v>
      </c>
      <c r="B137" s="4474" t="s">
        <v>467</v>
      </c>
      <c r="C137" s="357" t="s">
        <v>468</v>
      </c>
      <c r="D137" s="358">
        <v>6</v>
      </c>
      <c r="E137" s="359">
        <v>1472.01</v>
      </c>
      <c r="F137" s="359">
        <v>9.0399999999999991</v>
      </c>
      <c r="G137" s="4472">
        <v>8832</v>
      </c>
      <c r="H137" s="4472">
        <v>1339</v>
      </c>
      <c r="I137" s="359">
        <v>54</v>
      </c>
      <c r="J137" s="359">
        <v>1.01</v>
      </c>
      <c r="K137" s="359">
        <v>6.06</v>
      </c>
      <c r="L137" s="4461"/>
    </row>
    <row r="138" spans="1:12" ht="57" thickBot="1" x14ac:dyDescent="0.25">
      <c r="A138" s="4473"/>
      <c r="B138" s="4475"/>
      <c r="C138" s="355" t="s">
        <v>680</v>
      </c>
      <c r="D138" s="356" t="s">
        <v>469</v>
      </c>
      <c r="E138" s="356">
        <v>223.21</v>
      </c>
      <c r="F138" s="356">
        <v>0</v>
      </c>
      <c r="G138" s="4473"/>
      <c r="H138" s="4473"/>
      <c r="I138" s="356">
        <v>0</v>
      </c>
      <c r="J138" s="356">
        <v>0.01</v>
      </c>
      <c r="K138" s="356">
        <v>0.06</v>
      </c>
      <c r="L138" s="4461"/>
    </row>
    <row r="139" spans="1:12" ht="22.5" x14ac:dyDescent="0.2">
      <c r="A139" s="4472">
        <v>14</v>
      </c>
      <c r="B139" s="4474" t="s">
        <v>470</v>
      </c>
      <c r="C139" s="357" t="s">
        <v>471</v>
      </c>
      <c r="D139" s="358">
        <v>6</v>
      </c>
      <c r="E139" s="359">
        <v>2364.29</v>
      </c>
      <c r="F139" s="359">
        <v>27.22</v>
      </c>
      <c r="G139" s="4472">
        <v>14186</v>
      </c>
      <c r="H139" s="4472">
        <v>2215</v>
      </c>
      <c r="I139" s="359">
        <v>163</v>
      </c>
      <c r="J139" s="359">
        <v>1.67</v>
      </c>
      <c r="K139" s="359">
        <v>10.02</v>
      </c>
      <c r="L139" s="4461"/>
    </row>
    <row r="140" spans="1:12" ht="57" thickBot="1" x14ac:dyDescent="0.25">
      <c r="A140" s="4473"/>
      <c r="B140" s="4475"/>
      <c r="C140" s="355" t="s">
        <v>680</v>
      </c>
      <c r="D140" s="356" t="s">
        <v>469</v>
      </c>
      <c r="E140" s="356">
        <v>369.11</v>
      </c>
      <c r="F140" s="356">
        <v>0</v>
      </c>
      <c r="G140" s="4473"/>
      <c r="H140" s="4473"/>
      <c r="I140" s="356">
        <v>0</v>
      </c>
      <c r="J140" s="356">
        <v>0.03</v>
      </c>
      <c r="K140" s="356">
        <v>0.18</v>
      </c>
      <c r="L140" s="4461"/>
    </row>
    <row r="141" spans="1:12" ht="22.5" x14ac:dyDescent="0.2">
      <c r="A141" s="4472">
        <v>15</v>
      </c>
      <c r="B141" s="4474" t="s">
        <v>472</v>
      </c>
      <c r="C141" s="357" t="s">
        <v>473</v>
      </c>
      <c r="D141" s="358">
        <v>5</v>
      </c>
      <c r="E141" s="359">
        <v>2703.56</v>
      </c>
      <c r="F141" s="359">
        <v>27.22</v>
      </c>
      <c r="G141" s="4472">
        <v>13518</v>
      </c>
      <c r="H141" s="4472">
        <v>1878</v>
      </c>
      <c r="I141" s="359">
        <v>136</v>
      </c>
      <c r="J141" s="359">
        <v>1.7</v>
      </c>
      <c r="K141" s="359">
        <v>8.5</v>
      </c>
      <c r="L141" s="4461"/>
    </row>
    <row r="142" spans="1:12" ht="57" thickBot="1" x14ac:dyDescent="0.25">
      <c r="A142" s="4473"/>
      <c r="B142" s="4475"/>
      <c r="C142" s="355" t="s">
        <v>680</v>
      </c>
      <c r="D142" s="356" t="s">
        <v>469</v>
      </c>
      <c r="E142" s="356">
        <v>375.6</v>
      </c>
      <c r="F142" s="356">
        <v>0</v>
      </c>
      <c r="G142" s="4473"/>
      <c r="H142" s="4473"/>
      <c r="I142" s="356">
        <v>0</v>
      </c>
      <c r="J142" s="356">
        <v>0.03</v>
      </c>
      <c r="K142" s="356">
        <v>0.15</v>
      </c>
      <c r="L142" s="4461"/>
    </row>
    <row r="143" spans="1:12" ht="22.5" x14ac:dyDescent="0.2">
      <c r="A143" s="4472">
        <v>16</v>
      </c>
      <c r="B143" s="4474" t="s">
        <v>474</v>
      </c>
      <c r="C143" s="357" t="s">
        <v>475</v>
      </c>
      <c r="D143" s="358">
        <v>4</v>
      </c>
      <c r="E143" s="359">
        <v>4736.55</v>
      </c>
      <c r="F143" s="359">
        <v>63.38</v>
      </c>
      <c r="G143" s="4472">
        <v>18946</v>
      </c>
      <c r="H143" s="4472">
        <v>2515</v>
      </c>
      <c r="I143" s="359">
        <v>254</v>
      </c>
      <c r="J143" s="359">
        <v>2.78</v>
      </c>
      <c r="K143" s="359">
        <v>11.12</v>
      </c>
      <c r="L143" s="4461"/>
    </row>
    <row r="144" spans="1:12" ht="57" thickBot="1" x14ac:dyDescent="0.25">
      <c r="A144" s="4473"/>
      <c r="B144" s="4475"/>
      <c r="C144" s="355" t="s">
        <v>680</v>
      </c>
      <c r="D144" s="356" t="s">
        <v>469</v>
      </c>
      <c r="E144" s="356">
        <v>628.74</v>
      </c>
      <c r="F144" s="356">
        <v>0</v>
      </c>
      <c r="G144" s="4473"/>
      <c r="H144" s="4473"/>
      <c r="I144" s="356">
        <v>0</v>
      </c>
      <c r="J144" s="356">
        <v>7.0000000000000007E-2</v>
      </c>
      <c r="K144" s="356">
        <v>0.28000000000000003</v>
      </c>
      <c r="L144" s="4461"/>
    </row>
    <row r="145" spans="1:12" ht="22.5" x14ac:dyDescent="0.2">
      <c r="A145" s="4472">
        <v>17</v>
      </c>
      <c r="B145" s="4474" t="s">
        <v>476</v>
      </c>
      <c r="C145" s="357" t="s">
        <v>477</v>
      </c>
      <c r="D145" s="358">
        <v>4</v>
      </c>
      <c r="E145" s="359">
        <v>7296.17</v>
      </c>
      <c r="F145" s="359">
        <v>500.38</v>
      </c>
      <c r="G145" s="4472">
        <v>29185</v>
      </c>
      <c r="H145" s="4472">
        <v>3599</v>
      </c>
      <c r="I145" s="359">
        <v>2002</v>
      </c>
      <c r="J145" s="359">
        <v>3.93</v>
      </c>
      <c r="K145" s="359">
        <v>15.72</v>
      </c>
      <c r="L145" s="4461"/>
    </row>
    <row r="146" spans="1:12" ht="57" thickBot="1" x14ac:dyDescent="0.25">
      <c r="A146" s="4473"/>
      <c r="B146" s="4475"/>
      <c r="C146" s="355" t="s">
        <v>680</v>
      </c>
      <c r="D146" s="356" t="s">
        <v>469</v>
      </c>
      <c r="E146" s="356">
        <v>899.84</v>
      </c>
      <c r="F146" s="356">
        <v>89.04</v>
      </c>
      <c r="G146" s="4473"/>
      <c r="H146" s="4473"/>
      <c r="I146" s="356">
        <v>356</v>
      </c>
      <c r="J146" s="356">
        <v>0.36</v>
      </c>
      <c r="K146" s="356">
        <v>1.44</v>
      </c>
      <c r="L146" s="4461"/>
    </row>
    <row r="147" spans="1:12" ht="22.5" x14ac:dyDescent="0.2">
      <c r="A147" s="4472">
        <v>18</v>
      </c>
      <c r="B147" s="4474" t="s">
        <v>478</v>
      </c>
      <c r="C147" s="357" t="s">
        <v>479</v>
      </c>
      <c r="D147" s="358">
        <v>0.1</v>
      </c>
      <c r="E147" s="359">
        <v>127224.66</v>
      </c>
      <c r="F147" s="359">
        <v>36.26</v>
      </c>
      <c r="G147" s="4472">
        <v>12722</v>
      </c>
      <c r="H147" s="4472">
        <v>11222</v>
      </c>
      <c r="I147" s="359">
        <v>4</v>
      </c>
      <c r="J147" s="359">
        <v>520.79999999999995</v>
      </c>
      <c r="K147" s="359">
        <v>52.08</v>
      </c>
      <c r="L147" s="4461"/>
    </row>
    <row r="148" spans="1:12" ht="34.5" thickBot="1" x14ac:dyDescent="0.25">
      <c r="A148" s="4473"/>
      <c r="B148" s="4475"/>
      <c r="C148" s="355" t="s">
        <v>680</v>
      </c>
      <c r="D148" s="356" t="s">
        <v>480</v>
      </c>
      <c r="E148" s="356">
        <v>112222.52</v>
      </c>
      <c r="F148" s="356">
        <v>0</v>
      </c>
      <c r="G148" s="4473"/>
      <c r="H148" s="4473"/>
      <c r="I148" s="356">
        <v>0</v>
      </c>
      <c r="J148" s="356">
        <v>0.04</v>
      </c>
      <c r="K148" s="356">
        <v>0</v>
      </c>
      <c r="L148" s="4461"/>
    </row>
    <row r="149" spans="1:12" ht="22.5" x14ac:dyDescent="0.2">
      <c r="A149" s="4472">
        <v>19</v>
      </c>
      <c r="B149" s="4474" t="s">
        <v>481</v>
      </c>
      <c r="C149" s="357" t="s">
        <v>482</v>
      </c>
      <c r="D149" s="358">
        <v>0.06</v>
      </c>
      <c r="E149" s="359">
        <v>184530.95</v>
      </c>
      <c r="F149" s="359">
        <v>63.38</v>
      </c>
      <c r="G149" s="4472">
        <v>11072</v>
      </c>
      <c r="H149" s="4472">
        <v>9479</v>
      </c>
      <c r="I149" s="359">
        <v>4</v>
      </c>
      <c r="J149" s="359">
        <v>733.2</v>
      </c>
      <c r="K149" s="359">
        <v>43.99</v>
      </c>
      <c r="L149" s="4461"/>
    </row>
    <row r="150" spans="1:12" ht="34.5" thickBot="1" x14ac:dyDescent="0.25">
      <c r="A150" s="4473"/>
      <c r="B150" s="4475"/>
      <c r="C150" s="355" t="s">
        <v>680</v>
      </c>
      <c r="D150" s="356" t="s">
        <v>480</v>
      </c>
      <c r="E150" s="356">
        <v>157991.16</v>
      </c>
      <c r="F150" s="356">
        <v>0</v>
      </c>
      <c r="G150" s="4473"/>
      <c r="H150" s="4473"/>
      <c r="I150" s="356">
        <v>0</v>
      </c>
      <c r="J150" s="356">
        <v>7.0000000000000007E-2</v>
      </c>
      <c r="K150" s="356">
        <v>0</v>
      </c>
      <c r="L150" s="4461"/>
    </row>
    <row r="151" spans="1:12" ht="22.5" x14ac:dyDescent="0.2">
      <c r="A151" s="4472">
        <v>20</v>
      </c>
      <c r="B151" s="4474" t="s">
        <v>483</v>
      </c>
      <c r="C151" s="357" t="s">
        <v>484</v>
      </c>
      <c r="D151" s="358">
        <v>0.06</v>
      </c>
      <c r="E151" s="359">
        <v>249630.38</v>
      </c>
      <c r="F151" s="359">
        <v>81.56</v>
      </c>
      <c r="G151" s="4472">
        <v>14978</v>
      </c>
      <c r="H151" s="4472">
        <v>12766</v>
      </c>
      <c r="I151" s="359">
        <v>5</v>
      </c>
      <c r="J151" s="359">
        <v>987.4</v>
      </c>
      <c r="K151" s="359">
        <v>59.24</v>
      </c>
      <c r="L151" s="4461"/>
    </row>
    <row r="152" spans="1:12" ht="34.5" thickBot="1" x14ac:dyDescent="0.25">
      <c r="A152" s="4473"/>
      <c r="B152" s="4475"/>
      <c r="C152" s="355" t="s">
        <v>680</v>
      </c>
      <c r="D152" s="356" t="s">
        <v>480</v>
      </c>
      <c r="E152" s="356">
        <v>212766.63</v>
      </c>
      <c r="F152" s="356">
        <v>0</v>
      </c>
      <c r="G152" s="4473"/>
      <c r="H152" s="4473"/>
      <c r="I152" s="356">
        <v>0</v>
      </c>
      <c r="J152" s="356">
        <v>0.09</v>
      </c>
      <c r="K152" s="356">
        <v>0.01</v>
      </c>
      <c r="L152" s="4461"/>
    </row>
    <row r="153" spans="1:12" ht="13.5" thickBot="1" x14ac:dyDescent="0.25">
      <c r="A153" s="4462"/>
      <c r="B153" s="4463"/>
      <c r="C153" s="4463"/>
      <c r="D153" s="4463"/>
      <c r="E153" s="4463"/>
      <c r="F153" s="4463"/>
      <c r="G153" s="4463"/>
      <c r="H153" s="4463"/>
      <c r="I153" s="4463"/>
      <c r="J153" s="4463"/>
      <c r="K153" s="4464"/>
      <c r="L153" s="702"/>
    </row>
    <row r="154" spans="1:12" x14ac:dyDescent="0.2">
      <c r="A154" s="4465" t="s">
        <v>705</v>
      </c>
      <c r="B154" s="4466"/>
      <c r="C154" s="4466"/>
      <c r="D154" s="4466"/>
      <c r="E154" s="4466"/>
      <c r="F154" s="4468"/>
      <c r="G154" s="4468">
        <v>424248</v>
      </c>
      <c r="H154" s="4468">
        <v>197101</v>
      </c>
      <c r="I154" s="693">
        <v>46887</v>
      </c>
      <c r="J154" s="4468"/>
      <c r="K154" s="359">
        <v>950.91</v>
      </c>
      <c r="L154" s="4461"/>
    </row>
    <row r="155" spans="1:12" ht="13.5" thickBot="1" x14ac:dyDescent="0.25">
      <c r="A155" s="4467"/>
      <c r="B155" s="4460"/>
      <c r="C155" s="4460"/>
      <c r="D155" s="4460"/>
      <c r="E155" s="4460"/>
      <c r="F155" s="4469"/>
      <c r="G155" s="4469"/>
      <c r="H155" s="4469"/>
      <c r="I155" s="683">
        <v>26192</v>
      </c>
      <c r="J155" s="4469"/>
      <c r="K155" s="356">
        <v>108.11</v>
      </c>
      <c r="L155" s="4461"/>
    </row>
    <row r="156" spans="1:12" ht="13.5" thickBot="1" x14ac:dyDescent="0.25">
      <c r="A156" s="4462"/>
      <c r="B156" s="4463"/>
      <c r="C156" s="4463"/>
      <c r="D156" s="4463"/>
      <c r="E156" s="4463"/>
      <c r="F156" s="4463"/>
      <c r="G156" s="4463"/>
      <c r="H156" s="4463"/>
      <c r="I156" s="4463"/>
      <c r="J156" s="4463"/>
      <c r="K156" s="4464"/>
      <c r="L156" s="702"/>
    </row>
    <row r="157" spans="1:12" x14ac:dyDescent="0.2">
      <c r="A157" s="4465" t="s">
        <v>706</v>
      </c>
      <c r="B157" s="4466"/>
      <c r="C157" s="4466"/>
      <c r="D157" s="4466"/>
      <c r="E157" s="4466"/>
      <c r="F157" s="4468"/>
      <c r="G157" s="4468">
        <v>424248</v>
      </c>
      <c r="H157" s="4468">
        <v>197101</v>
      </c>
      <c r="I157" s="693">
        <v>46887</v>
      </c>
      <c r="J157" s="4468"/>
      <c r="K157" s="359">
        <v>950.91</v>
      </c>
      <c r="L157" s="4461"/>
    </row>
    <row r="158" spans="1:12" ht="13.5" thickBot="1" x14ac:dyDescent="0.25">
      <c r="A158" s="4467"/>
      <c r="B158" s="4460"/>
      <c r="C158" s="4460"/>
      <c r="D158" s="4460"/>
      <c r="E158" s="4460"/>
      <c r="F158" s="4469"/>
      <c r="G158" s="4469"/>
      <c r="H158" s="4469"/>
      <c r="I158" s="683">
        <v>26192</v>
      </c>
      <c r="J158" s="4469"/>
      <c r="K158" s="356">
        <v>108.11</v>
      </c>
      <c r="L158" s="4461"/>
    </row>
    <row r="159" spans="1:12" ht="13.5" thickBot="1" x14ac:dyDescent="0.25">
      <c r="A159" s="678"/>
      <c r="B159" s="679"/>
      <c r="C159" s="679"/>
      <c r="D159" s="679"/>
      <c r="E159" s="679"/>
      <c r="F159" s="679"/>
      <c r="G159" s="679"/>
      <c r="H159" s="679"/>
      <c r="I159" s="679"/>
      <c r="J159" s="679"/>
      <c r="K159" s="679"/>
      <c r="L159" s="702"/>
    </row>
    <row r="160" spans="1:12" x14ac:dyDescent="0.2">
      <c r="A160" s="695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686"/>
    </row>
    <row r="161" spans="1:12" x14ac:dyDescent="0.2">
      <c r="A161" s="695"/>
      <c r="B161" s="280"/>
      <c r="C161" s="4457" t="s">
        <v>707</v>
      </c>
      <c r="D161" s="4347"/>
      <c r="E161" s="4347"/>
      <c r="F161" s="4347"/>
      <c r="G161" s="4347"/>
      <c r="H161" s="4347"/>
      <c r="I161" s="4457" t="s">
        <v>708</v>
      </c>
      <c r="J161" s="4457" t="s">
        <v>709</v>
      </c>
      <c r="K161" s="704" t="s">
        <v>570</v>
      </c>
      <c r="L161" s="686"/>
    </row>
    <row r="162" spans="1:12" x14ac:dyDescent="0.2">
      <c r="A162" s="695"/>
      <c r="B162" s="280"/>
      <c r="C162" s="4457"/>
      <c r="D162" s="4347"/>
      <c r="E162" s="4347"/>
      <c r="F162" s="4347"/>
      <c r="G162" s="4347"/>
      <c r="H162" s="4347"/>
      <c r="I162" s="4457"/>
      <c r="J162" s="4457"/>
      <c r="K162" s="704" t="s">
        <v>710</v>
      </c>
      <c r="L162" s="686"/>
    </row>
    <row r="163" spans="1:12" ht="13.5" thickBot="1" x14ac:dyDescent="0.25">
      <c r="A163" s="695"/>
      <c r="B163" s="280"/>
      <c r="C163" s="684"/>
      <c r="D163" s="684"/>
      <c r="E163" s="684"/>
      <c r="F163" s="684"/>
      <c r="G163" s="280"/>
      <c r="H163" s="280"/>
      <c r="I163" s="684"/>
      <c r="J163" s="684"/>
      <c r="K163" s="684"/>
      <c r="L163" s="686"/>
    </row>
    <row r="164" spans="1:12" ht="13.5" thickBot="1" x14ac:dyDescent="0.25">
      <c r="A164" s="695"/>
      <c r="B164" s="280"/>
      <c r="C164" s="4457" t="s">
        <v>54</v>
      </c>
      <c r="D164" s="4347"/>
      <c r="E164" s="4347"/>
      <c r="F164" s="4347"/>
      <c r="G164" s="4347"/>
      <c r="H164" s="4347"/>
      <c r="I164" s="683"/>
      <c r="J164" s="683"/>
      <c r="K164" s="683" t="s">
        <v>769</v>
      </c>
      <c r="L164" s="686"/>
    </row>
    <row r="165" spans="1:12" ht="13.5" thickBot="1" x14ac:dyDescent="0.25">
      <c r="A165" s="695"/>
      <c r="B165" s="280"/>
      <c r="C165" s="4457" t="s">
        <v>716</v>
      </c>
      <c r="D165" s="4347"/>
      <c r="E165" s="4347"/>
      <c r="F165" s="4347"/>
      <c r="G165" s="4347"/>
      <c r="H165" s="4347"/>
      <c r="I165" s="683">
        <v>0.6</v>
      </c>
      <c r="J165" s="683">
        <v>71</v>
      </c>
      <c r="K165" s="683" t="s">
        <v>770</v>
      </c>
      <c r="L165" s="686"/>
    </row>
    <row r="166" spans="1:12" ht="13.5" thickBot="1" x14ac:dyDescent="0.25">
      <c r="A166" s="695"/>
      <c r="B166" s="280"/>
      <c r="C166" s="4457" t="s">
        <v>771</v>
      </c>
      <c r="D166" s="4347"/>
      <c r="E166" s="4347"/>
      <c r="F166" s="4347"/>
      <c r="G166" s="4347"/>
      <c r="H166" s="4347"/>
      <c r="I166" s="683">
        <v>0.6</v>
      </c>
      <c r="J166" s="683">
        <v>93</v>
      </c>
      <c r="K166" s="683" t="s">
        <v>772</v>
      </c>
      <c r="L166" s="686"/>
    </row>
    <row r="167" spans="1:12" ht="13.5" thickBot="1" x14ac:dyDescent="0.25">
      <c r="A167" s="695"/>
      <c r="B167" s="280"/>
      <c r="C167" s="4457" t="s">
        <v>720</v>
      </c>
      <c r="D167" s="4347"/>
      <c r="E167" s="4347"/>
      <c r="F167" s="4347"/>
      <c r="G167" s="4347"/>
      <c r="H167" s="4347"/>
      <c r="I167" s="683">
        <v>0.6</v>
      </c>
      <c r="J167" s="683">
        <v>92</v>
      </c>
      <c r="K167" s="683" t="s">
        <v>773</v>
      </c>
      <c r="L167" s="686"/>
    </row>
    <row r="168" spans="1:12" ht="13.5" thickBot="1" x14ac:dyDescent="0.25">
      <c r="A168" s="695"/>
      <c r="B168" s="280"/>
      <c r="C168" s="4457" t="s">
        <v>718</v>
      </c>
      <c r="D168" s="4347"/>
      <c r="E168" s="4347"/>
      <c r="F168" s="4347"/>
      <c r="G168" s="4347"/>
      <c r="H168" s="4347"/>
      <c r="I168" s="683">
        <v>0.6</v>
      </c>
      <c r="J168" s="683">
        <v>116</v>
      </c>
      <c r="K168" s="683" t="s">
        <v>774</v>
      </c>
      <c r="L168" s="686"/>
    </row>
    <row r="169" spans="1:12" ht="13.5" thickBot="1" x14ac:dyDescent="0.25">
      <c r="A169" s="695"/>
      <c r="B169" s="280"/>
      <c r="C169" s="4457" t="s">
        <v>775</v>
      </c>
      <c r="D169" s="4347"/>
      <c r="E169" s="4347"/>
      <c r="F169" s="4347"/>
      <c r="G169" s="4347"/>
      <c r="H169" s="4347"/>
      <c r="I169" s="683">
        <v>0.6</v>
      </c>
      <c r="J169" s="683">
        <v>77</v>
      </c>
      <c r="K169" s="683" t="s">
        <v>776</v>
      </c>
      <c r="L169" s="686"/>
    </row>
    <row r="170" spans="1:12" ht="13.5" thickBot="1" x14ac:dyDescent="0.25">
      <c r="A170" s="695"/>
      <c r="B170" s="280"/>
      <c r="C170" s="4457" t="s">
        <v>777</v>
      </c>
      <c r="D170" s="4347"/>
      <c r="E170" s="4347"/>
      <c r="F170" s="4347"/>
      <c r="G170" s="4347"/>
      <c r="H170" s="4347"/>
      <c r="I170" s="683">
        <v>0.6</v>
      </c>
      <c r="J170" s="683">
        <v>83</v>
      </c>
      <c r="K170" s="683" t="s">
        <v>778</v>
      </c>
      <c r="L170" s="686"/>
    </row>
    <row r="171" spans="1:12" ht="13.5" thickBot="1" x14ac:dyDescent="0.25">
      <c r="A171" s="695"/>
      <c r="B171" s="280"/>
      <c r="C171" s="4457" t="s">
        <v>779</v>
      </c>
      <c r="D171" s="4347"/>
      <c r="E171" s="4347"/>
      <c r="F171" s="4347"/>
      <c r="G171" s="4347"/>
      <c r="H171" s="4347"/>
      <c r="I171" s="683">
        <v>0.7</v>
      </c>
      <c r="J171" s="683">
        <v>66</v>
      </c>
      <c r="K171" s="683" t="s">
        <v>780</v>
      </c>
      <c r="L171" s="686"/>
    </row>
    <row r="172" spans="1:12" ht="13.5" thickBot="1" x14ac:dyDescent="0.25">
      <c r="A172" s="695"/>
      <c r="B172" s="280"/>
      <c r="C172" s="4457" t="s">
        <v>781</v>
      </c>
      <c r="D172" s="4347"/>
      <c r="E172" s="4347"/>
      <c r="F172" s="4347"/>
      <c r="G172" s="4347"/>
      <c r="H172" s="4347"/>
      <c r="I172" s="683">
        <v>0.6</v>
      </c>
      <c r="J172" s="683">
        <v>92</v>
      </c>
      <c r="K172" s="683" t="s">
        <v>782</v>
      </c>
      <c r="L172" s="686"/>
    </row>
    <row r="173" spans="1:12" ht="13.5" thickBot="1" x14ac:dyDescent="0.25">
      <c r="A173" s="695"/>
      <c r="B173" s="280"/>
      <c r="C173" s="4457" t="s">
        <v>722</v>
      </c>
      <c r="D173" s="4347"/>
      <c r="E173" s="4347"/>
      <c r="F173" s="4347"/>
      <c r="G173" s="4347"/>
      <c r="H173" s="4347"/>
      <c r="I173" s="683"/>
      <c r="J173" s="683"/>
      <c r="K173" s="683" t="s">
        <v>783</v>
      </c>
      <c r="L173" s="686"/>
    </row>
    <row r="174" spans="1:12" ht="13.5" thickBot="1" x14ac:dyDescent="0.25">
      <c r="A174" s="695"/>
      <c r="B174" s="280"/>
      <c r="C174" s="4457" t="s">
        <v>54</v>
      </c>
      <c r="D174" s="4347"/>
      <c r="E174" s="4347"/>
      <c r="F174" s="4347"/>
      <c r="G174" s="4347"/>
      <c r="H174" s="4347"/>
      <c r="I174" s="683"/>
      <c r="J174" s="683"/>
      <c r="K174" s="683" t="s">
        <v>784</v>
      </c>
      <c r="L174" s="686"/>
    </row>
    <row r="175" spans="1:12" ht="13.5" thickBot="1" x14ac:dyDescent="0.25">
      <c r="A175" s="695"/>
      <c r="B175" s="280"/>
      <c r="C175" s="4457" t="s">
        <v>729</v>
      </c>
      <c r="D175" s="4347"/>
      <c r="E175" s="4347"/>
      <c r="F175" s="4347"/>
      <c r="G175" s="4347"/>
      <c r="H175" s="4347"/>
      <c r="I175" s="683"/>
      <c r="J175" s="683">
        <v>36</v>
      </c>
      <c r="K175" s="683" t="s">
        <v>785</v>
      </c>
      <c r="L175" s="686"/>
    </row>
    <row r="176" spans="1:12" ht="13.5" thickBot="1" x14ac:dyDescent="0.25">
      <c r="A176" s="695"/>
      <c r="B176" s="280"/>
      <c r="C176" s="4457" t="s">
        <v>786</v>
      </c>
      <c r="D176" s="4347"/>
      <c r="E176" s="4347"/>
      <c r="F176" s="4347"/>
      <c r="G176" s="4347"/>
      <c r="H176" s="4347"/>
      <c r="I176" s="683"/>
      <c r="J176" s="683">
        <v>48</v>
      </c>
      <c r="K176" s="683" t="s">
        <v>787</v>
      </c>
      <c r="L176" s="686"/>
    </row>
    <row r="177" spans="1:12" ht="13.5" thickBot="1" x14ac:dyDescent="0.25">
      <c r="A177" s="695"/>
      <c r="B177" s="280"/>
      <c r="C177" s="4457" t="s">
        <v>733</v>
      </c>
      <c r="D177" s="4347"/>
      <c r="E177" s="4347"/>
      <c r="F177" s="4347"/>
      <c r="G177" s="4347"/>
      <c r="H177" s="4347"/>
      <c r="I177" s="683"/>
      <c r="J177" s="683">
        <v>54</v>
      </c>
      <c r="K177" s="683" t="s">
        <v>788</v>
      </c>
      <c r="L177" s="686"/>
    </row>
    <row r="178" spans="1:12" ht="13.5" thickBot="1" x14ac:dyDescent="0.25">
      <c r="A178" s="695"/>
      <c r="B178" s="280"/>
      <c r="C178" s="4457" t="s">
        <v>731</v>
      </c>
      <c r="D178" s="4347"/>
      <c r="E178" s="4347"/>
      <c r="F178" s="4347"/>
      <c r="G178" s="4347"/>
      <c r="H178" s="4347"/>
      <c r="I178" s="683"/>
      <c r="J178" s="683">
        <v>61</v>
      </c>
      <c r="K178" s="683" t="s">
        <v>789</v>
      </c>
      <c r="L178" s="686"/>
    </row>
    <row r="179" spans="1:12" ht="13.5" thickBot="1" x14ac:dyDescent="0.25">
      <c r="A179" s="695"/>
      <c r="B179" s="280"/>
      <c r="C179" s="4457" t="s">
        <v>790</v>
      </c>
      <c r="D179" s="4347"/>
      <c r="E179" s="4347"/>
      <c r="F179" s="4347"/>
      <c r="G179" s="4347"/>
      <c r="H179" s="4347"/>
      <c r="I179" s="683"/>
      <c r="J179" s="683">
        <v>56</v>
      </c>
      <c r="K179" s="683" t="s">
        <v>791</v>
      </c>
      <c r="L179" s="686"/>
    </row>
    <row r="180" spans="1:12" ht="13.5" thickBot="1" x14ac:dyDescent="0.25">
      <c r="A180" s="695"/>
      <c r="B180" s="280"/>
      <c r="C180" s="4457" t="s">
        <v>792</v>
      </c>
      <c r="D180" s="4347"/>
      <c r="E180" s="4347"/>
      <c r="F180" s="4347"/>
      <c r="G180" s="4347"/>
      <c r="H180" s="4347"/>
      <c r="I180" s="683"/>
      <c r="J180" s="683">
        <v>60</v>
      </c>
      <c r="K180" s="683" t="s">
        <v>793</v>
      </c>
      <c r="L180" s="686"/>
    </row>
    <row r="181" spans="1:12" ht="13.5" thickBot="1" x14ac:dyDescent="0.25">
      <c r="A181" s="695"/>
      <c r="B181" s="280"/>
      <c r="C181" s="4457" t="s">
        <v>794</v>
      </c>
      <c r="D181" s="4347"/>
      <c r="E181" s="4347"/>
      <c r="F181" s="4347"/>
      <c r="G181" s="4347"/>
      <c r="H181" s="4347"/>
      <c r="I181" s="683"/>
      <c r="J181" s="683">
        <v>40</v>
      </c>
      <c r="K181" s="683" t="s">
        <v>795</v>
      </c>
      <c r="L181" s="686"/>
    </row>
    <row r="182" spans="1:12" ht="13.5" thickBot="1" x14ac:dyDescent="0.25">
      <c r="A182" s="695"/>
      <c r="B182" s="280"/>
      <c r="C182" s="4457" t="s">
        <v>731</v>
      </c>
      <c r="D182" s="4347"/>
      <c r="E182" s="4347"/>
      <c r="F182" s="4347"/>
      <c r="G182" s="4347"/>
      <c r="H182" s="4347"/>
      <c r="I182" s="683"/>
      <c r="J182" s="683">
        <v>71</v>
      </c>
      <c r="K182" s="683" t="s">
        <v>796</v>
      </c>
      <c r="L182" s="686"/>
    </row>
    <row r="183" spans="1:12" ht="13.5" thickBot="1" x14ac:dyDescent="0.25">
      <c r="A183" s="695"/>
      <c r="B183" s="280"/>
      <c r="C183" s="4457" t="s">
        <v>797</v>
      </c>
      <c r="D183" s="4347"/>
      <c r="E183" s="4347"/>
      <c r="F183" s="4347"/>
      <c r="G183" s="4347"/>
      <c r="H183" s="4347"/>
      <c r="I183" s="683"/>
      <c r="J183" s="683">
        <v>48</v>
      </c>
      <c r="K183" s="683" t="s">
        <v>798</v>
      </c>
      <c r="L183" s="686"/>
    </row>
    <row r="184" spans="1:12" ht="13.5" thickBot="1" x14ac:dyDescent="0.25">
      <c r="A184" s="695"/>
      <c r="B184" s="280"/>
      <c r="C184" s="4457" t="s">
        <v>735</v>
      </c>
      <c r="D184" s="4347"/>
      <c r="E184" s="4347"/>
      <c r="F184" s="4347"/>
      <c r="G184" s="4347"/>
      <c r="H184" s="4347"/>
      <c r="I184" s="683"/>
      <c r="J184" s="683"/>
      <c r="K184" s="683" t="s">
        <v>799</v>
      </c>
      <c r="L184" s="686"/>
    </row>
    <row r="185" spans="1:12" ht="13.5" thickBot="1" x14ac:dyDescent="0.25">
      <c r="A185" s="695"/>
      <c r="B185" s="280"/>
      <c r="C185" s="4457" t="s">
        <v>54</v>
      </c>
      <c r="D185" s="4347"/>
      <c r="E185" s="4347"/>
      <c r="F185" s="4347"/>
      <c r="G185" s="4347"/>
      <c r="H185" s="4347"/>
      <c r="I185" s="683"/>
      <c r="J185" s="683"/>
      <c r="K185" s="683" t="s">
        <v>800</v>
      </c>
      <c r="L185" s="686"/>
    </row>
    <row r="186" spans="1:12" ht="13.5" thickBot="1" x14ac:dyDescent="0.25">
      <c r="A186" s="695"/>
      <c r="B186" s="280"/>
      <c r="C186" s="4457" t="s">
        <v>288</v>
      </c>
      <c r="D186" s="4347"/>
      <c r="E186" s="4347"/>
      <c r="F186" s="4347"/>
      <c r="G186" s="4347"/>
      <c r="H186" s="4347"/>
      <c r="I186" s="683"/>
      <c r="J186" s="683"/>
      <c r="K186" s="683" t="s">
        <v>800</v>
      </c>
      <c r="L186" s="686"/>
    </row>
    <row r="187" spans="1:12" ht="13.5" thickBot="1" x14ac:dyDescent="0.25">
      <c r="A187" s="695"/>
      <c r="B187" s="280"/>
      <c r="C187" s="4457" t="s">
        <v>738</v>
      </c>
      <c r="D187" s="4347"/>
      <c r="E187" s="4347"/>
      <c r="F187" s="4347"/>
      <c r="G187" s="4347"/>
      <c r="H187" s="4347"/>
      <c r="I187" s="683"/>
      <c r="J187" s="683">
        <v>18</v>
      </c>
      <c r="K187" s="683" t="s">
        <v>801</v>
      </c>
      <c r="L187" s="686"/>
    </row>
    <row r="188" spans="1:12" ht="13.5" thickBot="1" x14ac:dyDescent="0.25">
      <c r="A188" s="695"/>
      <c r="B188" s="280"/>
      <c r="C188" s="4457" t="s">
        <v>288</v>
      </c>
      <c r="D188" s="4347"/>
      <c r="E188" s="4347"/>
      <c r="F188" s="4347"/>
      <c r="G188" s="4347"/>
      <c r="H188" s="4347"/>
      <c r="I188" s="683"/>
      <c r="J188" s="683"/>
      <c r="K188" s="683" t="s">
        <v>745</v>
      </c>
      <c r="L188" s="686"/>
    </row>
    <row r="189" spans="1:12" ht="13.5" thickBot="1" x14ac:dyDescent="0.25">
      <c r="A189" s="682"/>
      <c r="B189" s="681"/>
      <c r="C189" s="4460" t="s">
        <v>740</v>
      </c>
      <c r="D189" s="3492"/>
      <c r="E189" s="3492"/>
      <c r="F189" s="3492"/>
      <c r="G189" s="3492"/>
      <c r="H189" s="3492"/>
      <c r="I189" s="683"/>
      <c r="J189" s="683"/>
      <c r="K189" s="683" t="s">
        <v>745</v>
      </c>
      <c r="L189" s="677"/>
    </row>
    <row r="190" spans="1:12" ht="15.75" x14ac:dyDescent="0.25">
      <c r="C190" s="680"/>
      <c r="D190" s="680"/>
      <c r="E190" s="680"/>
      <c r="F190" s="680"/>
      <c r="K190" s="705">
        <v>772319</v>
      </c>
    </row>
    <row r="191" spans="1:12" ht="15.75" x14ac:dyDescent="0.25">
      <c r="A191" s="706" t="s">
        <v>802</v>
      </c>
      <c r="B191" s="706"/>
      <c r="C191" s="706"/>
      <c r="D191" s="706"/>
      <c r="E191" s="706"/>
      <c r="F191" s="706"/>
      <c r="G191" s="706"/>
      <c r="H191" s="706"/>
      <c r="I191" s="706"/>
      <c r="J191" s="706"/>
      <c r="K191" s="706">
        <f>SUM(K80+K190)</f>
        <v>1593616</v>
      </c>
      <c r="L191" s="706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889</v>
      </c>
    </row>
    <row r="3" spans="1:7" x14ac:dyDescent="0.2">
      <c r="A3" s="4628" t="s">
        <v>516</v>
      </c>
      <c r="B3" s="4628"/>
      <c r="C3" s="4628"/>
      <c r="D3" s="4628"/>
      <c r="E3" s="4628"/>
      <c r="F3" s="4628"/>
      <c r="G3" s="4628"/>
    </row>
    <row r="4" spans="1:7" ht="51" x14ac:dyDescent="0.2">
      <c r="A4" s="1043" t="s">
        <v>395</v>
      </c>
      <c r="B4" s="1069" t="s">
        <v>517</v>
      </c>
      <c r="C4" s="1069" t="s">
        <v>518</v>
      </c>
      <c r="D4" s="1069" t="s">
        <v>900</v>
      </c>
      <c r="E4" s="1069" t="s">
        <v>852</v>
      </c>
      <c r="F4" s="4625" t="s">
        <v>243</v>
      </c>
      <c r="G4" s="4625"/>
    </row>
    <row r="5" spans="1:7" x14ac:dyDescent="0.2">
      <c r="A5" s="1043" t="s">
        <v>280</v>
      </c>
      <c r="B5" s="1070">
        <v>2243</v>
      </c>
      <c r="C5" s="1043"/>
      <c r="D5" s="1258"/>
      <c r="E5" s="1248"/>
      <c r="F5" s="4625"/>
      <c r="G5" s="4625"/>
    </row>
    <row r="6" spans="1:7" x14ac:dyDescent="0.2">
      <c r="A6" s="1043" t="s">
        <v>281</v>
      </c>
      <c r="B6" s="1070">
        <v>3073.1</v>
      </c>
      <c r="C6" s="1070">
        <v>1287.3</v>
      </c>
      <c r="D6" s="1262"/>
      <c r="E6" s="1249">
        <f>B6-C6</f>
        <v>1785.8</v>
      </c>
      <c r="F6" s="4626" t="s">
        <v>247</v>
      </c>
      <c r="G6" s="4627"/>
    </row>
    <row r="7" spans="1:7" x14ac:dyDescent="0.2">
      <c r="A7" s="1043" t="s">
        <v>282</v>
      </c>
      <c r="B7" s="1070">
        <v>212.2</v>
      </c>
      <c r="C7" s="1043"/>
      <c r="D7" s="1258"/>
      <c r="E7" s="1248"/>
      <c r="F7" s="4625"/>
      <c r="G7" s="4625"/>
    </row>
    <row r="8" spans="1:7" x14ac:dyDescent="0.2">
      <c r="A8" s="1043" t="s">
        <v>283</v>
      </c>
      <c r="B8" s="1070">
        <v>475.4</v>
      </c>
      <c r="C8" s="1043"/>
      <c r="D8" s="1258"/>
      <c r="E8" s="1248"/>
      <c r="F8" s="4625"/>
      <c r="G8" s="4625"/>
    </row>
    <row r="9" spans="1:7" x14ac:dyDescent="0.2">
      <c r="A9" s="1043" t="s">
        <v>284</v>
      </c>
      <c r="B9" s="1070">
        <v>2249.5</v>
      </c>
      <c r="C9" s="1043"/>
      <c r="D9" s="1258"/>
      <c r="E9" s="1248"/>
      <c r="F9" s="4625"/>
      <c r="G9" s="4625"/>
    </row>
    <row r="10" spans="1:7" x14ac:dyDescent="0.2">
      <c r="A10" s="1043" t="s">
        <v>285</v>
      </c>
      <c r="B10" s="1070">
        <v>3333.9</v>
      </c>
      <c r="C10" s="1043"/>
      <c r="D10" s="1258"/>
      <c r="E10" s="1248"/>
      <c r="F10" s="4625"/>
      <c r="G10" s="4625"/>
    </row>
    <row r="11" spans="1:7" x14ac:dyDescent="0.2">
      <c r="A11" s="1043" t="s">
        <v>286</v>
      </c>
      <c r="B11" s="1070">
        <v>2188.5</v>
      </c>
      <c r="C11" s="1043"/>
      <c r="D11" s="1258"/>
      <c r="E11" s="1248"/>
      <c r="F11" s="4625"/>
      <c r="G11" s="4625"/>
    </row>
    <row r="12" spans="1:7" x14ac:dyDescent="0.2">
      <c r="A12" s="1043" t="s">
        <v>287</v>
      </c>
      <c r="B12" s="1070">
        <v>557.1</v>
      </c>
      <c r="C12" s="1043"/>
      <c r="D12" s="1258"/>
      <c r="E12" s="1250">
        <v>0</v>
      </c>
      <c r="F12" s="4625"/>
      <c r="G12" s="4625"/>
    </row>
    <row r="13" spans="1:7" ht="25.5" x14ac:dyDescent="0.2">
      <c r="A13" s="1261" t="s">
        <v>899</v>
      </c>
      <c r="B13" s="1259"/>
      <c r="C13" s="1258"/>
      <c r="D13" s="1258"/>
      <c r="E13" s="1259"/>
      <c r="F13" s="1260"/>
      <c r="G13" s="1260"/>
    </row>
    <row r="14" spans="1:7" x14ac:dyDescent="0.2">
      <c r="A14" s="1043" t="s">
        <v>288</v>
      </c>
      <c r="B14" s="1070">
        <f>SUM(B5:B12)</f>
        <v>14332.7</v>
      </c>
      <c r="C14" s="1070">
        <f>SUM(C5:C12)</f>
        <v>1287.3</v>
      </c>
      <c r="D14" s="1259"/>
      <c r="E14" s="1070">
        <f>SUM(E5:E12)</f>
        <v>1785.8</v>
      </c>
      <c r="F14" s="4625"/>
      <c r="G14" s="4625"/>
    </row>
    <row r="17" spans="1:7" ht="51" x14ac:dyDescent="0.2">
      <c r="A17" s="1043" t="s">
        <v>399</v>
      </c>
      <c r="B17" s="1069" t="s">
        <v>517</v>
      </c>
      <c r="C17" s="1069" t="s">
        <v>518</v>
      </c>
      <c r="D17" s="1069" t="s">
        <v>900</v>
      </c>
      <c r="E17" s="1069" t="s">
        <v>852</v>
      </c>
      <c r="F17" s="4625" t="s">
        <v>243</v>
      </c>
      <c r="G17" s="4625"/>
    </row>
    <row r="18" spans="1:7" x14ac:dyDescent="0.2">
      <c r="A18" s="1043" t="s">
        <v>280</v>
      </c>
      <c r="B18" s="1070">
        <v>0</v>
      </c>
      <c r="C18" s="1043"/>
      <c r="D18" s="1258"/>
      <c r="E18" s="1248"/>
      <c r="F18" s="4625"/>
      <c r="G18" s="4625"/>
    </row>
    <row r="19" spans="1:7" x14ac:dyDescent="0.2">
      <c r="A19" s="1043" t="s">
        <v>281</v>
      </c>
      <c r="B19" s="1070">
        <v>1355.2</v>
      </c>
      <c r="C19" s="1043">
        <v>1355.2</v>
      </c>
      <c r="D19" s="1263"/>
      <c r="E19" s="1251"/>
      <c r="F19" s="4626" t="s">
        <v>247</v>
      </c>
      <c r="G19" s="4627"/>
    </row>
    <row r="20" spans="1:7" x14ac:dyDescent="0.2">
      <c r="A20" s="1043" t="s">
        <v>282</v>
      </c>
      <c r="B20" s="1070">
        <v>93.8</v>
      </c>
      <c r="C20" s="1043"/>
      <c r="D20" s="1258"/>
      <c r="E20" s="1248"/>
      <c r="F20" s="4625"/>
      <c r="G20" s="4625"/>
    </row>
    <row r="21" spans="1:7" x14ac:dyDescent="0.2">
      <c r="A21" s="1043" t="s">
        <v>283</v>
      </c>
      <c r="B21" s="1070">
        <v>0</v>
      </c>
      <c r="C21" s="1043"/>
      <c r="D21" s="1258"/>
      <c r="E21" s="1248"/>
      <c r="F21" s="4625"/>
      <c r="G21" s="4625"/>
    </row>
    <row r="22" spans="1:7" x14ac:dyDescent="0.2">
      <c r="A22" s="1043" t="s">
        <v>284</v>
      </c>
      <c r="B22" s="1070">
        <v>0</v>
      </c>
      <c r="C22" s="1043"/>
      <c r="D22" s="1258"/>
      <c r="E22" s="1248"/>
      <c r="F22" s="4625"/>
      <c r="G22" s="4625"/>
    </row>
    <row r="23" spans="1:7" x14ac:dyDescent="0.2">
      <c r="A23" s="1043" t="s">
        <v>285</v>
      </c>
      <c r="B23" s="1070">
        <v>1153.4000000000001</v>
      </c>
      <c r="C23" s="1043"/>
      <c r="D23" s="1258"/>
      <c r="E23" s="1248"/>
      <c r="F23" s="4625"/>
      <c r="G23" s="4625"/>
    </row>
    <row r="24" spans="1:7" x14ac:dyDescent="0.2">
      <c r="A24" s="1043" t="s">
        <v>286</v>
      </c>
      <c r="B24" s="1070">
        <v>0</v>
      </c>
      <c r="C24" s="1043"/>
      <c r="D24" s="1258"/>
      <c r="E24" s="1248"/>
      <c r="F24" s="4625"/>
      <c r="G24" s="4625"/>
    </row>
    <row r="25" spans="1:7" x14ac:dyDescent="0.2">
      <c r="A25" s="1043" t="s">
        <v>287</v>
      </c>
      <c r="B25" s="1070">
        <v>121.2</v>
      </c>
      <c r="C25" s="1043">
        <v>95.1</v>
      </c>
      <c r="D25" s="1258"/>
      <c r="E25" s="1250">
        <f>B25-C25</f>
        <v>26.100000000000009</v>
      </c>
      <c r="F25" s="4625"/>
      <c r="G25" s="4625"/>
    </row>
    <row r="26" spans="1:7" x14ac:dyDescent="0.2">
      <c r="A26" s="1043" t="s">
        <v>288</v>
      </c>
      <c r="B26" s="1070">
        <f>SUM(B18:B25)</f>
        <v>2723.6</v>
      </c>
      <c r="C26" s="1070">
        <f>SUM(C18:C25)</f>
        <v>1450.3</v>
      </c>
      <c r="D26" s="1259"/>
      <c r="E26" s="1070">
        <f>SUM(E18:E25)</f>
        <v>26.100000000000009</v>
      </c>
      <c r="F26" s="4625"/>
      <c r="G26" s="4625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5" customWidth="1"/>
    <col min="2" max="2" width="9.140625" style="335"/>
    <col min="3" max="3" width="87.140625" style="335" customWidth="1"/>
    <col min="4" max="6" width="9.28515625" style="335" bestFit="1" customWidth="1"/>
    <col min="7" max="7" width="9.5703125" style="335" bestFit="1" customWidth="1"/>
    <col min="8" max="15" width="9.28515625" style="335" bestFit="1" customWidth="1"/>
    <col min="16" max="16384" width="9.140625" style="335"/>
  </cols>
  <sheetData>
    <row r="2" spans="1:11" ht="23.25" x14ac:dyDescent="0.35">
      <c r="A2" s="4629" t="s">
        <v>445</v>
      </c>
      <c r="B2" s="4629"/>
      <c r="C2" s="4629"/>
      <c r="D2" s="4629"/>
      <c r="E2" s="4629"/>
      <c r="F2" s="4629"/>
      <c r="G2" s="4629"/>
      <c r="H2" s="4629"/>
      <c r="I2" s="4629"/>
      <c r="J2" s="4629"/>
      <c r="K2" s="4629"/>
    </row>
    <row r="4" spans="1:11" ht="15.75" x14ac:dyDescent="0.25">
      <c r="A4" s="4630" t="s">
        <v>355</v>
      </c>
      <c r="B4" s="4630"/>
      <c r="C4" s="4630"/>
      <c r="D4" s="4630"/>
      <c r="E4" s="4630"/>
      <c r="F4" s="4630"/>
      <c r="G4" s="4630"/>
      <c r="H4" s="4630"/>
      <c r="I4" s="4630"/>
      <c r="J4" s="4630"/>
      <c r="K4" s="4630"/>
    </row>
    <row r="5" spans="1:11" ht="18.75" x14ac:dyDescent="0.3">
      <c r="A5" s="3782" t="s">
        <v>446</v>
      </c>
      <c r="B5" s="3782"/>
      <c r="C5" s="3782"/>
      <c r="D5" s="3782"/>
      <c r="E5" s="3782"/>
      <c r="F5" s="3782"/>
      <c r="G5" s="3782"/>
    </row>
    <row r="6" spans="1:11" ht="18" x14ac:dyDescent="0.25">
      <c r="A6" s="336" t="s">
        <v>495</v>
      </c>
    </row>
    <row r="7" spans="1:11" ht="15.75" thickBot="1" x14ac:dyDescent="0.25">
      <c r="A7" s="337" t="s">
        <v>447</v>
      </c>
    </row>
    <row r="8" spans="1:11" ht="13.5" thickBot="1" x14ac:dyDescent="0.25">
      <c r="A8" s="338" t="s">
        <v>172</v>
      </c>
      <c r="B8" s="338" t="s">
        <v>448</v>
      </c>
      <c r="C8" s="338" t="s">
        <v>367</v>
      </c>
      <c r="D8" s="339"/>
      <c r="E8" s="4479" t="s">
        <v>449</v>
      </c>
      <c r="F8" s="4480"/>
      <c r="G8" s="4479" t="s">
        <v>450</v>
      </c>
      <c r="H8" s="4481"/>
      <c r="I8" s="4480"/>
      <c r="J8" s="4482" t="s">
        <v>451</v>
      </c>
      <c r="K8" s="4483"/>
    </row>
    <row r="9" spans="1:11" ht="13.5" thickBot="1" x14ac:dyDescent="0.25">
      <c r="A9" s="342" t="s">
        <v>452</v>
      </c>
      <c r="B9" s="342" t="s">
        <v>453</v>
      </c>
      <c r="C9" s="342" t="s">
        <v>454</v>
      </c>
      <c r="D9" s="343" t="s">
        <v>455</v>
      </c>
      <c r="E9" s="344" t="s">
        <v>456</v>
      </c>
      <c r="F9" s="341" t="s">
        <v>457</v>
      </c>
      <c r="G9" s="342" t="s">
        <v>456</v>
      </c>
      <c r="H9" s="343" t="s">
        <v>458</v>
      </c>
      <c r="I9" s="345" t="s">
        <v>457</v>
      </c>
      <c r="J9" s="4484" t="s">
        <v>459</v>
      </c>
      <c r="K9" s="4485"/>
    </row>
    <row r="10" spans="1:11" ht="13.5" thickBot="1" x14ac:dyDescent="0.25">
      <c r="A10" s="346"/>
      <c r="B10" s="346" t="s">
        <v>460</v>
      </c>
      <c r="C10" s="346"/>
      <c r="D10" s="347"/>
      <c r="E10" s="344" t="s">
        <v>458</v>
      </c>
      <c r="F10" s="345" t="s">
        <v>461</v>
      </c>
      <c r="G10" s="340"/>
      <c r="H10" s="348"/>
      <c r="I10" s="345" t="s">
        <v>461</v>
      </c>
      <c r="J10" s="346" t="s">
        <v>462</v>
      </c>
      <c r="K10" s="347" t="s">
        <v>456</v>
      </c>
    </row>
    <row r="11" spans="1:11" ht="13.5" thickBot="1" x14ac:dyDescent="0.25">
      <c r="A11" s="349"/>
    </row>
    <row r="12" spans="1:11" ht="25.5" customHeight="1" thickBot="1" x14ac:dyDescent="0.25">
      <c r="A12" s="350">
        <v>1</v>
      </c>
      <c r="B12" s="351">
        <v>2</v>
      </c>
      <c r="C12" s="351">
        <v>3</v>
      </c>
      <c r="D12" s="351">
        <v>4</v>
      </c>
      <c r="E12" s="351">
        <v>5</v>
      </c>
      <c r="F12" s="351">
        <v>6</v>
      </c>
      <c r="G12" s="351">
        <v>7</v>
      </c>
      <c r="H12" s="351">
        <v>8</v>
      </c>
      <c r="I12" s="351">
        <v>9</v>
      </c>
      <c r="J12" s="351">
        <v>10</v>
      </c>
      <c r="K12" s="351">
        <v>11</v>
      </c>
    </row>
    <row r="13" spans="1:11" ht="25.5" customHeight="1" x14ac:dyDescent="0.2">
      <c r="A13" s="4472">
        <v>12</v>
      </c>
      <c r="B13" s="4474" t="s">
        <v>463</v>
      </c>
      <c r="C13" s="352" t="s">
        <v>464</v>
      </c>
      <c r="D13" s="353">
        <v>10</v>
      </c>
      <c r="E13" s="354">
        <v>4852.8999999999996</v>
      </c>
      <c r="F13" s="354">
        <v>86.76</v>
      </c>
      <c r="G13" s="4472">
        <v>48529</v>
      </c>
      <c r="H13" s="4472">
        <v>9594</v>
      </c>
      <c r="I13" s="354">
        <v>868</v>
      </c>
      <c r="J13" s="354">
        <v>4.53</v>
      </c>
      <c r="K13" s="354">
        <v>45.3</v>
      </c>
    </row>
    <row r="14" spans="1:11" ht="25.5" customHeight="1" thickBot="1" x14ac:dyDescent="0.25">
      <c r="A14" s="4473"/>
      <c r="B14" s="4475"/>
      <c r="C14" s="355" t="s">
        <v>465</v>
      </c>
      <c r="D14" s="356" t="s">
        <v>466</v>
      </c>
      <c r="E14" s="356">
        <v>959.43</v>
      </c>
      <c r="F14" s="356">
        <v>0</v>
      </c>
      <c r="G14" s="4473"/>
      <c r="H14" s="4473"/>
      <c r="I14" s="356">
        <v>0</v>
      </c>
      <c r="J14" s="356">
        <v>0.1</v>
      </c>
      <c r="K14" s="356">
        <v>1</v>
      </c>
    </row>
    <row r="15" spans="1:11" ht="23.25" customHeight="1" x14ac:dyDescent="0.2">
      <c r="A15" s="4472">
        <v>13</v>
      </c>
      <c r="B15" s="4474" t="s">
        <v>467</v>
      </c>
      <c r="C15" s="357" t="s">
        <v>468</v>
      </c>
      <c r="D15" s="358">
        <v>6</v>
      </c>
      <c r="E15" s="359">
        <v>1489.56</v>
      </c>
      <c r="F15" s="359">
        <v>8.66</v>
      </c>
      <c r="G15" s="4472">
        <v>8937</v>
      </c>
      <c r="H15" s="4472">
        <v>1333</v>
      </c>
      <c r="I15" s="359">
        <v>52</v>
      </c>
      <c r="J15" s="359">
        <v>1.01</v>
      </c>
      <c r="K15" s="359">
        <v>6.06</v>
      </c>
    </row>
    <row r="16" spans="1:11" ht="36" customHeight="1" thickBot="1" x14ac:dyDescent="0.25">
      <c r="A16" s="4473"/>
      <c r="B16" s="4475"/>
      <c r="C16" s="355" t="s">
        <v>465</v>
      </c>
      <c r="D16" s="356" t="s">
        <v>469</v>
      </c>
      <c r="E16" s="356">
        <v>222.23</v>
      </c>
      <c r="F16" s="356">
        <v>0</v>
      </c>
      <c r="G16" s="4473"/>
      <c r="H16" s="4473"/>
      <c r="I16" s="356">
        <v>0</v>
      </c>
      <c r="J16" s="356">
        <v>0.01</v>
      </c>
      <c r="K16" s="356">
        <v>0.06</v>
      </c>
    </row>
    <row r="17" spans="1:11" ht="27" customHeight="1" x14ac:dyDescent="0.2">
      <c r="A17" s="4472">
        <v>14</v>
      </c>
      <c r="B17" s="4474" t="s">
        <v>470</v>
      </c>
      <c r="C17" s="357" t="s">
        <v>471</v>
      </c>
      <c r="D17" s="358">
        <v>6</v>
      </c>
      <c r="E17" s="359">
        <v>2391.5300000000002</v>
      </c>
      <c r="F17" s="359">
        <v>26.07</v>
      </c>
      <c r="G17" s="4472">
        <v>14349</v>
      </c>
      <c r="H17" s="4472">
        <v>2205</v>
      </c>
      <c r="I17" s="359">
        <v>156</v>
      </c>
      <c r="J17" s="359">
        <v>1.67</v>
      </c>
      <c r="K17" s="359">
        <v>10.02</v>
      </c>
    </row>
    <row r="18" spans="1:11" ht="44.25" customHeight="1" thickBot="1" x14ac:dyDescent="0.25">
      <c r="A18" s="4473"/>
      <c r="B18" s="4475"/>
      <c r="C18" s="355" t="s">
        <v>465</v>
      </c>
      <c r="D18" s="356" t="s">
        <v>469</v>
      </c>
      <c r="E18" s="356">
        <v>367.48</v>
      </c>
      <c r="F18" s="356">
        <v>0</v>
      </c>
      <c r="G18" s="4473"/>
      <c r="H18" s="4473"/>
      <c r="I18" s="356">
        <v>0</v>
      </c>
      <c r="J18" s="356">
        <v>0.03</v>
      </c>
      <c r="K18" s="356">
        <v>0.18</v>
      </c>
    </row>
    <row r="19" spans="1:11" ht="28.5" customHeight="1" x14ac:dyDescent="0.2">
      <c r="A19" s="4472">
        <v>15</v>
      </c>
      <c r="B19" s="4474" t="s">
        <v>472</v>
      </c>
      <c r="C19" s="357" t="s">
        <v>473</v>
      </c>
      <c r="D19" s="358">
        <v>5</v>
      </c>
      <c r="E19" s="359">
        <v>2735.83</v>
      </c>
      <c r="F19" s="359">
        <v>26.07</v>
      </c>
      <c r="G19" s="4472">
        <v>13679</v>
      </c>
      <c r="H19" s="4472">
        <v>1870</v>
      </c>
      <c r="I19" s="359">
        <v>130</v>
      </c>
      <c r="J19" s="359">
        <v>1.7</v>
      </c>
      <c r="K19" s="359">
        <v>8.5</v>
      </c>
    </row>
    <row r="20" spans="1:11" ht="42" customHeight="1" thickBot="1" x14ac:dyDescent="0.25">
      <c r="A20" s="4473"/>
      <c r="B20" s="4475"/>
      <c r="C20" s="355" t="s">
        <v>465</v>
      </c>
      <c r="D20" s="356" t="s">
        <v>469</v>
      </c>
      <c r="E20" s="356">
        <v>373.94</v>
      </c>
      <c r="F20" s="356">
        <v>0</v>
      </c>
      <c r="G20" s="4473"/>
      <c r="H20" s="4473"/>
      <c r="I20" s="356">
        <v>0</v>
      </c>
      <c r="J20" s="356">
        <v>0.03</v>
      </c>
      <c r="K20" s="356">
        <v>0.15</v>
      </c>
    </row>
    <row r="21" spans="1:11" ht="33" customHeight="1" x14ac:dyDescent="0.2">
      <c r="A21" s="4472">
        <v>16</v>
      </c>
      <c r="B21" s="4474" t="s">
        <v>474</v>
      </c>
      <c r="C21" s="357" t="s">
        <v>475</v>
      </c>
      <c r="D21" s="358">
        <v>4</v>
      </c>
      <c r="E21" s="359">
        <v>4792.7700000000004</v>
      </c>
      <c r="F21" s="359">
        <v>60.7</v>
      </c>
      <c r="G21" s="4472">
        <v>19171</v>
      </c>
      <c r="H21" s="4472">
        <v>2504</v>
      </c>
      <c r="I21" s="359">
        <v>243</v>
      </c>
      <c r="J21" s="359">
        <v>2.78</v>
      </c>
      <c r="K21" s="359">
        <v>11.12</v>
      </c>
    </row>
    <row r="22" spans="1:11" ht="42" customHeight="1" thickBot="1" x14ac:dyDescent="0.25">
      <c r="A22" s="4473"/>
      <c r="B22" s="4475"/>
      <c r="C22" s="355" t="s">
        <v>465</v>
      </c>
      <c r="D22" s="356" t="s">
        <v>469</v>
      </c>
      <c r="E22" s="356">
        <v>625.96</v>
      </c>
      <c r="F22" s="356">
        <v>0</v>
      </c>
      <c r="G22" s="4473"/>
      <c r="H22" s="4473"/>
      <c r="I22" s="356">
        <v>0</v>
      </c>
      <c r="J22" s="356">
        <v>7.0000000000000007E-2</v>
      </c>
      <c r="K22" s="356">
        <v>0.28000000000000003</v>
      </c>
    </row>
    <row r="23" spans="1:11" ht="30.75" customHeight="1" x14ac:dyDescent="0.2">
      <c r="A23" s="4472">
        <v>17</v>
      </c>
      <c r="B23" s="4474" t="s">
        <v>476</v>
      </c>
      <c r="C23" s="357" t="s">
        <v>477</v>
      </c>
      <c r="D23" s="358">
        <v>4</v>
      </c>
      <c r="E23" s="359">
        <v>7360.92</v>
      </c>
      <c r="F23" s="359">
        <v>479.19</v>
      </c>
      <c r="G23" s="4472">
        <v>29444</v>
      </c>
      <c r="H23" s="4472">
        <v>3583</v>
      </c>
      <c r="I23" s="359">
        <v>1917</v>
      </c>
      <c r="J23" s="359">
        <v>3.93</v>
      </c>
      <c r="K23" s="359">
        <v>15.72</v>
      </c>
    </row>
    <row r="24" spans="1:11" ht="35.25" customHeight="1" thickBot="1" x14ac:dyDescent="0.25">
      <c r="A24" s="4473"/>
      <c r="B24" s="4475"/>
      <c r="C24" s="355" t="s">
        <v>465</v>
      </c>
      <c r="D24" s="356" t="s">
        <v>469</v>
      </c>
      <c r="E24" s="356">
        <v>895.87</v>
      </c>
      <c r="F24" s="356">
        <v>88.64</v>
      </c>
      <c r="G24" s="4473"/>
      <c r="H24" s="4473"/>
      <c r="I24" s="356">
        <v>355</v>
      </c>
      <c r="J24" s="356">
        <v>0.36</v>
      </c>
      <c r="K24" s="356">
        <v>1.44</v>
      </c>
    </row>
    <row r="25" spans="1:11" ht="27.75" customHeight="1" x14ac:dyDescent="0.2">
      <c r="A25" s="4472">
        <v>18</v>
      </c>
      <c r="B25" s="4474" t="s">
        <v>478</v>
      </c>
      <c r="C25" s="357" t="s">
        <v>479</v>
      </c>
      <c r="D25" s="358">
        <v>0.1</v>
      </c>
      <c r="E25" s="359">
        <v>126956.4</v>
      </c>
      <c r="F25" s="359">
        <v>34.729999999999997</v>
      </c>
      <c r="G25" s="4472">
        <v>12696</v>
      </c>
      <c r="H25" s="4472">
        <v>11173</v>
      </c>
      <c r="I25" s="359">
        <v>3</v>
      </c>
      <c r="J25" s="359">
        <v>520.79999999999995</v>
      </c>
      <c r="K25" s="359">
        <v>52.08</v>
      </c>
    </row>
    <row r="26" spans="1:11" ht="40.5" customHeight="1" thickBot="1" x14ac:dyDescent="0.25">
      <c r="A26" s="4473"/>
      <c r="B26" s="4475"/>
      <c r="C26" s="355" t="s">
        <v>465</v>
      </c>
      <c r="D26" s="356" t="s">
        <v>480</v>
      </c>
      <c r="E26" s="356">
        <v>111727.55</v>
      </c>
      <c r="F26" s="356">
        <v>0</v>
      </c>
      <c r="G26" s="4473"/>
      <c r="H26" s="4473"/>
      <c r="I26" s="356">
        <v>0</v>
      </c>
      <c r="J26" s="356">
        <v>0.04</v>
      </c>
      <c r="K26" s="356">
        <v>0</v>
      </c>
    </row>
    <row r="27" spans="1:11" ht="27" customHeight="1" x14ac:dyDescent="0.2">
      <c r="A27" s="4472">
        <v>19</v>
      </c>
      <c r="B27" s="4474" t="s">
        <v>481</v>
      </c>
      <c r="C27" s="357" t="s">
        <v>482</v>
      </c>
      <c r="D27" s="358">
        <v>0.06</v>
      </c>
      <c r="E27" s="359">
        <v>184235.21</v>
      </c>
      <c r="F27" s="359">
        <v>60.7</v>
      </c>
      <c r="G27" s="4472">
        <v>11054</v>
      </c>
      <c r="H27" s="4472">
        <v>9438</v>
      </c>
      <c r="I27" s="359">
        <v>4</v>
      </c>
      <c r="J27" s="359">
        <v>733.2</v>
      </c>
      <c r="K27" s="359">
        <v>43.99</v>
      </c>
    </row>
    <row r="28" spans="1:11" ht="30.75" customHeight="1" thickBot="1" x14ac:dyDescent="0.25">
      <c r="A28" s="4473"/>
      <c r="B28" s="4475"/>
      <c r="C28" s="355" t="s">
        <v>465</v>
      </c>
      <c r="D28" s="356" t="s">
        <v>480</v>
      </c>
      <c r="E28" s="356">
        <v>157294.32999999999</v>
      </c>
      <c r="F28" s="356">
        <v>0</v>
      </c>
      <c r="G28" s="4473"/>
      <c r="H28" s="4473"/>
      <c r="I28" s="356">
        <v>0</v>
      </c>
      <c r="J28" s="356">
        <v>7.0000000000000007E-2</v>
      </c>
      <c r="K28" s="356">
        <v>0</v>
      </c>
    </row>
    <row r="29" spans="1:11" ht="27" customHeight="1" x14ac:dyDescent="0.2">
      <c r="A29" s="4472">
        <v>20</v>
      </c>
      <c r="B29" s="4474" t="s">
        <v>483</v>
      </c>
      <c r="C29" s="357" t="s">
        <v>484</v>
      </c>
      <c r="D29" s="358">
        <v>0.06</v>
      </c>
      <c r="E29" s="359">
        <v>249249.46</v>
      </c>
      <c r="F29" s="359">
        <v>78.11</v>
      </c>
      <c r="G29" s="4472">
        <v>14955</v>
      </c>
      <c r="H29" s="4472">
        <v>12710</v>
      </c>
      <c r="I29" s="359">
        <v>5</v>
      </c>
      <c r="J29" s="359">
        <v>987.4</v>
      </c>
      <c r="K29" s="359">
        <v>59.24</v>
      </c>
    </row>
    <row r="30" spans="1:11" ht="27.75" customHeight="1" thickBot="1" x14ac:dyDescent="0.25">
      <c r="A30" s="4473"/>
      <c r="B30" s="4475"/>
      <c r="C30" s="355" t="s">
        <v>465</v>
      </c>
      <c r="D30" s="356" t="s">
        <v>480</v>
      </c>
      <c r="E30" s="356">
        <v>211828.21</v>
      </c>
      <c r="F30" s="356">
        <v>0</v>
      </c>
      <c r="G30" s="4473"/>
      <c r="H30" s="4473"/>
      <c r="I30" s="356">
        <v>0</v>
      </c>
      <c r="J30" s="356">
        <v>0.09</v>
      </c>
      <c r="K30" s="356">
        <v>0.01</v>
      </c>
    </row>
    <row r="31" spans="1:11" x14ac:dyDescent="0.2">
      <c r="A31" s="4631" t="s">
        <v>485</v>
      </c>
      <c r="B31" s="4631"/>
      <c r="C31" s="4631"/>
      <c r="D31" s="4631"/>
      <c r="E31" s="4631"/>
      <c r="F31" s="4631"/>
      <c r="G31" s="335">
        <f>SUM(G13:G30)</f>
        <v>172814</v>
      </c>
    </row>
    <row r="33" spans="1:11" ht="18.75" x14ac:dyDescent="0.3">
      <c r="A33" s="3782" t="s">
        <v>496</v>
      </c>
      <c r="B33" s="3782"/>
      <c r="C33" s="3782"/>
      <c r="D33" s="3782"/>
      <c r="E33" s="3782"/>
      <c r="F33" s="3782"/>
      <c r="G33" s="3782"/>
      <c r="H33" s="3782"/>
      <c r="I33" s="3782"/>
      <c r="J33" s="3782"/>
      <c r="K33" s="3782"/>
    </row>
    <row r="34" spans="1:11" ht="18" x14ac:dyDescent="0.25">
      <c r="A34" s="4632" t="s">
        <v>497</v>
      </c>
      <c r="B34" s="4632"/>
    </row>
    <row r="35" spans="1:11" ht="15" x14ac:dyDescent="0.2">
      <c r="A35" s="4633" t="s">
        <v>486</v>
      </c>
      <c r="B35" s="4633"/>
      <c r="C35" s="4633"/>
      <c r="D35" s="4633"/>
      <c r="E35" s="4633"/>
      <c r="F35" s="4633"/>
      <c r="G35" s="4633"/>
      <c r="H35" s="4633"/>
      <c r="I35" s="4633"/>
      <c r="J35" s="4633"/>
      <c r="K35" s="4633"/>
    </row>
    <row r="36" spans="1:11" ht="13.5" thickBot="1" x14ac:dyDescent="0.25"/>
    <row r="37" spans="1:11" ht="13.5" thickBot="1" x14ac:dyDescent="0.25">
      <c r="A37" s="338" t="s">
        <v>172</v>
      </c>
      <c r="B37" s="338" t="s">
        <v>448</v>
      </c>
      <c r="C37" s="338" t="s">
        <v>367</v>
      </c>
      <c r="D37" s="339"/>
      <c r="E37" s="4479" t="s">
        <v>449</v>
      </c>
      <c r="F37" s="4480"/>
      <c r="G37" s="4479" t="s">
        <v>450</v>
      </c>
      <c r="H37" s="4481"/>
      <c r="I37" s="4480"/>
      <c r="J37" s="4482" t="s">
        <v>451</v>
      </c>
      <c r="K37" s="4483"/>
    </row>
    <row r="38" spans="1:11" ht="13.5" thickBot="1" x14ac:dyDescent="0.25">
      <c r="A38" s="342" t="s">
        <v>452</v>
      </c>
      <c r="B38" s="342" t="s">
        <v>453</v>
      </c>
      <c r="C38" s="342" t="s">
        <v>454</v>
      </c>
      <c r="D38" s="343" t="s">
        <v>455</v>
      </c>
      <c r="E38" s="344" t="s">
        <v>456</v>
      </c>
      <c r="F38" s="341" t="s">
        <v>457</v>
      </c>
      <c r="G38" s="342" t="s">
        <v>456</v>
      </c>
      <c r="H38" s="343" t="s">
        <v>458</v>
      </c>
      <c r="I38" s="345" t="s">
        <v>457</v>
      </c>
      <c r="J38" s="4484" t="s">
        <v>459</v>
      </c>
      <c r="K38" s="4485"/>
    </row>
    <row r="39" spans="1:11" ht="13.5" thickBot="1" x14ac:dyDescent="0.25">
      <c r="A39" s="346"/>
      <c r="B39" s="346" t="s">
        <v>460</v>
      </c>
      <c r="C39" s="346"/>
      <c r="D39" s="347"/>
      <c r="E39" s="344" t="s">
        <v>458</v>
      </c>
      <c r="F39" s="345" t="s">
        <v>461</v>
      </c>
      <c r="G39" s="340"/>
      <c r="H39" s="348"/>
      <c r="I39" s="345" t="s">
        <v>461</v>
      </c>
      <c r="J39" s="346" t="s">
        <v>462</v>
      </c>
      <c r="K39" s="347" t="s">
        <v>456</v>
      </c>
    </row>
    <row r="40" spans="1:11" ht="13.5" thickBot="1" x14ac:dyDescent="0.25">
      <c r="A40" s="349"/>
    </row>
    <row r="41" spans="1:11" ht="13.5" thickBot="1" x14ac:dyDescent="0.25">
      <c r="A41" s="350">
        <v>1</v>
      </c>
      <c r="B41" s="351">
        <v>2</v>
      </c>
      <c r="C41" s="351">
        <v>3</v>
      </c>
      <c r="D41" s="351">
        <v>4</v>
      </c>
      <c r="E41" s="351">
        <v>5</v>
      </c>
      <c r="F41" s="351">
        <v>6</v>
      </c>
      <c r="G41" s="351">
        <v>7</v>
      </c>
      <c r="H41" s="351">
        <v>8</v>
      </c>
      <c r="I41" s="351">
        <v>9</v>
      </c>
      <c r="J41" s="351">
        <v>10</v>
      </c>
      <c r="K41" s="351">
        <v>11</v>
      </c>
    </row>
    <row r="42" spans="1:11" x14ac:dyDescent="0.2">
      <c r="A42" s="4472">
        <v>9</v>
      </c>
      <c r="B42" s="4474" t="s">
        <v>487</v>
      </c>
      <c r="C42" s="352" t="s">
        <v>488</v>
      </c>
      <c r="D42" s="353">
        <v>15</v>
      </c>
      <c r="E42" s="354">
        <v>3998.08</v>
      </c>
      <c r="F42" s="354">
        <v>719.58</v>
      </c>
      <c r="G42" s="4472">
        <v>59971</v>
      </c>
      <c r="H42" s="4472">
        <v>20034</v>
      </c>
      <c r="I42" s="354">
        <v>10794</v>
      </c>
      <c r="J42" s="354">
        <v>5.86</v>
      </c>
      <c r="K42" s="354">
        <v>87.9</v>
      </c>
    </row>
    <row r="43" spans="1:11" ht="23.25" thickBot="1" x14ac:dyDescent="0.25">
      <c r="A43" s="4473"/>
      <c r="B43" s="4475"/>
      <c r="C43" s="355" t="s">
        <v>465</v>
      </c>
      <c r="D43" s="356" t="s">
        <v>489</v>
      </c>
      <c r="E43" s="356">
        <v>1335.61</v>
      </c>
      <c r="F43" s="356">
        <v>137.56</v>
      </c>
      <c r="G43" s="4473"/>
      <c r="H43" s="4473"/>
      <c r="I43" s="356">
        <v>2063</v>
      </c>
      <c r="J43" s="356">
        <v>0.55000000000000004</v>
      </c>
      <c r="K43" s="356">
        <v>8.25</v>
      </c>
    </row>
    <row r="44" spans="1:11" x14ac:dyDescent="0.2">
      <c r="A44" s="4472">
        <v>10</v>
      </c>
      <c r="B44" s="4474" t="s">
        <v>490</v>
      </c>
      <c r="C44" s="357" t="s">
        <v>491</v>
      </c>
      <c r="D44" s="358">
        <v>12</v>
      </c>
      <c r="E44" s="359">
        <v>8801.24</v>
      </c>
      <c r="F44" s="359">
        <v>896.5</v>
      </c>
      <c r="G44" s="4472">
        <v>105615</v>
      </c>
      <c r="H44" s="4472">
        <v>26805</v>
      </c>
      <c r="I44" s="359">
        <v>10758</v>
      </c>
      <c r="J44" s="359">
        <v>9.8000000000000007</v>
      </c>
      <c r="K44" s="359">
        <v>117.6</v>
      </c>
    </row>
    <row r="45" spans="1:11" ht="23.25" thickBot="1" x14ac:dyDescent="0.25">
      <c r="A45" s="4473"/>
      <c r="B45" s="4475"/>
      <c r="C45" s="355" t="s">
        <v>465</v>
      </c>
      <c r="D45" s="356" t="s">
        <v>489</v>
      </c>
      <c r="E45" s="356">
        <v>2233.71</v>
      </c>
      <c r="F45" s="356">
        <v>137.56</v>
      </c>
      <c r="G45" s="4473"/>
      <c r="H45" s="4473"/>
      <c r="I45" s="356">
        <v>1651</v>
      </c>
      <c r="J45" s="356">
        <v>0.55000000000000004</v>
      </c>
      <c r="K45" s="356">
        <v>6.6</v>
      </c>
    </row>
    <row r="46" spans="1:11" x14ac:dyDescent="0.2">
      <c r="A46" s="4472">
        <v>11</v>
      </c>
      <c r="B46" s="4474" t="s">
        <v>492</v>
      </c>
      <c r="C46" s="357" t="s">
        <v>493</v>
      </c>
      <c r="D46" s="358">
        <v>3</v>
      </c>
      <c r="E46" s="359">
        <v>14344.9</v>
      </c>
      <c r="F46" s="359">
        <v>1108.73</v>
      </c>
      <c r="G46" s="4472">
        <v>43035</v>
      </c>
      <c r="H46" s="4472">
        <v>9232</v>
      </c>
      <c r="I46" s="359">
        <v>3326</v>
      </c>
      <c r="J46" s="359">
        <v>13.5</v>
      </c>
      <c r="K46" s="359">
        <v>40.5</v>
      </c>
    </row>
    <row r="47" spans="1:11" ht="23.25" thickBot="1" x14ac:dyDescent="0.25">
      <c r="A47" s="4473"/>
      <c r="B47" s="4475"/>
      <c r="C47" s="355" t="s">
        <v>465</v>
      </c>
      <c r="D47" s="356" t="s">
        <v>489</v>
      </c>
      <c r="E47" s="356">
        <v>3077.18</v>
      </c>
      <c r="F47" s="356">
        <v>137.56</v>
      </c>
      <c r="G47" s="4473"/>
      <c r="H47" s="4473"/>
      <c r="I47" s="356">
        <v>413</v>
      </c>
      <c r="J47" s="356">
        <v>0.55000000000000004</v>
      </c>
      <c r="K47" s="356">
        <v>1.65</v>
      </c>
    </row>
    <row r="48" spans="1:11" x14ac:dyDescent="0.2">
      <c r="G48" s="335">
        <f>SUM(G46)</f>
        <v>43035</v>
      </c>
    </row>
    <row r="49" spans="3:17" x14ac:dyDescent="0.2">
      <c r="C49" s="335" t="s">
        <v>494</v>
      </c>
      <c r="G49" s="335">
        <f>G31+G48</f>
        <v>215849</v>
      </c>
    </row>
    <row r="54" spans="3:17" x14ac:dyDescent="0.2">
      <c r="D54" s="335">
        <v>1</v>
      </c>
      <c r="E54" s="335">
        <v>2</v>
      </c>
      <c r="F54" s="335">
        <v>3</v>
      </c>
      <c r="G54" s="627">
        <v>4</v>
      </c>
      <c r="H54" s="627">
        <v>5</v>
      </c>
      <c r="I54" s="627">
        <v>6</v>
      </c>
      <c r="J54" s="627">
        <v>7</v>
      </c>
      <c r="K54" s="627">
        <v>8</v>
      </c>
      <c r="L54" s="627">
        <v>9</v>
      </c>
      <c r="M54" s="627">
        <v>10</v>
      </c>
      <c r="N54" s="627">
        <v>11</v>
      </c>
      <c r="O54" s="627">
        <v>12</v>
      </c>
      <c r="P54" t="s">
        <v>54</v>
      </c>
      <c r="Q54" t="s">
        <v>597</v>
      </c>
    </row>
    <row r="55" spans="3:17" x14ac:dyDescent="0.2">
      <c r="C55" t="s">
        <v>613</v>
      </c>
      <c r="D55" s="335">
        <f>SUM(P55*D56)</f>
        <v>0</v>
      </c>
      <c r="E55" s="335">
        <f>SUM(P55*E56)</f>
        <v>0</v>
      </c>
      <c r="F55" s="335">
        <f>SUM(P55*F56)</f>
        <v>0</v>
      </c>
      <c r="G55" s="628">
        <f>SUM(P55*G56)</f>
        <v>5.3962250000000003</v>
      </c>
      <c r="H55" s="628">
        <f>SUM(P55*H56)</f>
        <v>43.169800000000002</v>
      </c>
      <c r="I55" s="335">
        <f>SUM(P55*I56)</f>
        <v>59.358474999999999</v>
      </c>
      <c r="J55" s="335">
        <f>SUM(P55*J56)</f>
        <v>59.358474999999999</v>
      </c>
      <c r="K55" s="628">
        <f>SUM(P55*K56)</f>
        <v>43.169800000000002</v>
      </c>
      <c r="L55" s="628">
        <f>SUM(P55*L56)</f>
        <v>5.3962250000000003</v>
      </c>
      <c r="M55" s="335">
        <f>SUM(P55*M56)</f>
        <v>0</v>
      </c>
      <c r="N55" s="335">
        <f>SUM(P55*N56)</f>
        <v>0</v>
      </c>
      <c r="O55" s="335">
        <f>SUM(P55*O56)</f>
        <v>0</v>
      </c>
      <c r="P55" s="335">
        <f>SUM(G49/1000)</f>
        <v>215.84899999999999</v>
      </c>
      <c r="Q55" s="335">
        <f>SUM(D55:O55)</f>
        <v>215.84899999999999</v>
      </c>
    </row>
    <row r="56" spans="3:17" x14ac:dyDescent="0.2">
      <c r="C56" t="s">
        <v>614</v>
      </c>
      <c r="D56" s="630">
        <v>0</v>
      </c>
      <c r="E56" s="630">
        <v>0</v>
      </c>
      <c r="F56" s="630">
        <v>0</v>
      </c>
      <c r="G56" s="630">
        <v>2.5000000000000001E-2</v>
      </c>
      <c r="H56" s="630">
        <v>0.2</v>
      </c>
      <c r="I56" s="630">
        <v>0.27500000000000002</v>
      </c>
      <c r="J56" s="630">
        <v>0.27500000000000002</v>
      </c>
      <c r="K56" s="630">
        <v>0.2</v>
      </c>
      <c r="L56" s="630">
        <v>2.5000000000000001E-2</v>
      </c>
      <c r="M56" s="630">
        <v>0</v>
      </c>
      <c r="N56" s="630">
        <v>0</v>
      </c>
      <c r="O56" s="630">
        <v>0</v>
      </c>
      <c r="P56" s="629">
        <f>SUM(D56:O56)</f>
        <v>1</v>
      </c>
    </row>
  </sheetData>
  <sheetProtection sheet="1" objects="1" scenarios="1"/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8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3782" t="s">
        <v>514</v>
      </c>
      <c r="B2" s="3782"/>
      <c r="C2" s="3782"/>
      <c r="D2" s="3782"/>
      <c r="E2" s="3782"/>
    </row>
    <row r="3" spans="1:14" ht="18" x14ac:dyDescent="0.25">
      <c r="A3" s="4632" t="s">
        <v>495</v>
      </c>
      <c r="B3" s="4632"/>
    </row>
    <row r="4" spans="1:14" ht="15" x14ac:dyDescent="0.2">
      <c r="A4" s="4633" t="s">
        <v>498</v>
      </c>
      <c r="B4" s="4633"/>
      <c r="C4" s="4633"/>
      <c r="D4" s="4633"/>
      <c r="E4" s="4633"/>
      <c r="F4" s="4633"/>
      <c r="G4" s="4633"/>
      <c r="H4" s="4633"/>
      <c r="I4" s="4633"/>
      <c r="J4" s="4633"/>
      <c r="K4" s="4633"/>
      <c r="L4" s="4633"/>
      <c r="M4" s="4633"/>
      <c r="N4" s="4633"/>
    </row>
    <row r="5" spans="1:14" ht="13.5" thickBot="1" x14ac:dyDescent="0.25"/>
    <row r="6" spans="1:14" ht="23.25" customHeight="1" x14ac:dyDescent="0.2">
      <c r="A6" s="4472">
        <v>6</v>
      </c>
      <c r="B6" s="4474" t="s">
        <v>463</v>
      </c>
      <c r="C6" s="352" t="s">
        <v>464</v>
      </c>
      <c r="D6" s="353">
        <v>8</v>
      </c>
      <c r="E6" s="354">
        <v>7034.2</v>
      </c>
      <c r="F6" s="354">
        <v>95.14</v>
      </c>
      <c r="G6" s="4472">
        <v>56274</v>
      </c>
      <c r="H6" s="4472">
        <v>7675</v>
      </c>
      <c r="I6" s="354">
        <v>761</v>
      </c>
      <c r="J6" s="354">
        <v>4.53</v>
      </c>
      <c r="K6" s="354">
        <v>36.24</v>
      </c>
    </row>
    <row r="7" spans="1:14" ht="39" customHeight="1" thickBot="1" x14ac:dyDescent="0.25">
      <c r="A7" s="4473"/>
      <c r="B7" s="4475"/>
      <c r="C7" s="355" t="s">
        <v>499</v>
      </c>
      <c r="D7" s="356" t="s">
        <v>466</v>
      </c>
      <c r="E7" s="356">
        <v>959.43</v>
      </c>
      <c r="F7" s="356">
        <v>0</v>
      </c>
      <c r="G7" s="4473"/>
      <c r="H7" s="4473"/>
      <c r="I7" s="356">
        <v>0</v>
      </c>
      <c r="J7" s="356">
        <v>0.1</v>
      </c>
      <c r="K7" s="356">
        <v>0.8</v>
      </c>
    </row>
    <row r="8" spans="1:14" ht="18.75" customHeight="1" x14ac:dyDescent="0.2">
      <c r="A8" s="4472">
        <v>7</v>
      </c>
      <c r="B8" s="4474" t="s">
        <v>500</v>
      </c>
      <c r="C8" s="357" t="s">
        <v>501</v>
      </c>
      <c r="D8" s="358">
        <v>0.5</v>
      </c>
      <c r="E8" s="359">
        <v>85720.87</v>
      </c>
      <c r="F8" s="359">
        <v>9062.94</v>
      </c>
      <c r="G8" s="4472">
        <v>42860</v>
      </c>
      <c r="H8" s="4472">
        <v>9892</v>
      </c>
      <c r="I8" s="359">
        <v>4531</v>
      </c>
      <c r="J8" s="359">
        <v>95.88</v>
      </c>
      <c r="K8" s="359">
        <v>47.94</v>
      </c>
    </row>
    <row r="9" spans="1:14" x14ac:dyDescent="0.2">
      <c r="A9" s="4476"/>
      <c r="B9" s="4477"/>
      <c r="C9" s="357" t="s">
        <v>502</v>
      </c>
      <c r="D9" s="359" t="s">
        <v>503</v>
      </c>
      <c r="E9" s="359">
        <v>19783.650000000001</v>
      </c>
      <c r="F9" s="359">
        <v>2411.09</v>
      </c>
      <c r="G9" s="4476"/>
      <c r="H9" s="4476"/>
      <c r="I9" s="359">
        <v>1206</v>
      </c>
      <c r="J9" s="359">
        <v>7.81</v>
      </c>
      <c r="K9" s="359">
        <v>3.91</v>
      </c>
    </row>
    <row r="10" spans="1:14" ht="36.75" customHeight="1" thickBot="1" x14ac:dyDescent="0.25">
      <c r="A10" s="4473"/>
      <c r="B10" s="4475"/>
      <c r="C10" s="355" t="s">
        <v>504</v>
      </c>
      <c r="D10" s="360"/>
      <c r="E10" s="360"/>
      <c r="F10" s="360"/>
      <c r="G10" s="4473"/>
      <c r="H10" s="4473"/>
      <c r="I10" s="360"/>
      <c r="J10" s="360"/>
      <c r="K10" s="360"/>
    </row>
    <row r="11" spans="1:14" ht="21" customHeight="1" x14ac:dyDescent="0.2">
      <c r="A11" s="4472">
        <v>8</v>
      </c>
      <c r="B11" s="4474" t="s">
        <v>505</v>
      </c>
      <c r="C11" s="357" t="s">
        <v>506</v>
      </c>
      <c r="D11" s="358">
        <v>3.5</v>
      </c>
      <c r="E11" s="359">
        <v>14195.77</v>
      </c>
      <c r="F11" s="359">
        <v>322.83</v>
      </c>
      <c r="G11" s="4472">
        <v>49685</v>
      </c>
      <c r="H11" s="4472">
        <v>27133</v>
      </c>
      <c r="I11" s="359">
        <v>1130</v>
      </c>
      <c r="J11" s="359">
        <v>38.93</v>
      </c>
      <c r="K11" s="359">
        <v>136.25</v>
      </c>
    </row>
    <row r="12" spans="1:14" x14ac:dyDescent="0.2">
      <c r="A12" s="4476"/>
      <c r="B12" s="4477"/>
      <c r="C12" s="357" t="s">
        <v>507</v>
      </c>
      <c r="D12" s="359" t="s">
        <v>508</v>
      </c>
      <c r="E12" s="359">
        <v>7752.25</v>
      </c>
      <c r="F12" s="359">
        <v>133.34</v>
      </c>
      <c r="G12" s="4476"/>
      <c r="H12" s="4476"/>
      <c r="I12" s="359">
        <v>467</v>
      </c>
      <c r="J12" s="359">
        <v>0.43</v>
      </c>
      <c r="K12" s="359">
        <v>1.51</v>
      </c>
    </row>
    <row r="13" spans="1:14" ht="32.25" customHeight="1" thickBot="1" x14ac:dyDescent="0.25">
      <c r="A13" s="4473"/>
      <c r="B13" s="4475"/>
      <c r="C13" s="355" t="s">
        <v>504</v>
      </c>
      <c r="D13" s="360"/>
      <c r="E13" s="360"/>
      <c r="F13" s="360"/>
      <c r="G13" s="4473"/>
      <c r="H13" s="4473"/>
      <c r="I13" s="360"/>
      <c r="J13" s="360"/>
      <c r="K13" s="360"/>
    </row>
    <row r="14" spans="1:14" ht="16.5" customHeight="1" x14ac:dyDescent="0.2">
      <c r="A14" s="4472">
        <v>9</v>
      </c>
      <c r="B14" s="4474" t="s">
        <v>509</v>
      </c>
      <c r="C14" s="357" t="s">
        <v>510</v>
      </c>
      <c r="D14" s="358">
        <v>2.5</v>
      </c>
      <c r="E14" s="359">
        <v>17321.98</v>
      </c>
      <c r="F14" s="359">
        <v>57.06</v>
      </c>
      <c r="G14" s="4472">
        <v>43305</v>
      </c>
      <c r="H14" s="4472">
        <v>18348</v>
      </c>
      <c r="I14" s="359">
        <v>143</v>
      </c>
      <c r="J14" s="359">
        <v>34.65</v>
      </c>
      <c r="K14" s="359">
        <v>86.63</v>
      </c>
    </row>
    <row r="15" spans="1:14" x14ac:dyDescent="0.2">
      <c r="A15" s="4476"/>
      <c r="B15" s="4477"/>
      <c r="C15" s="357" t="s">
        <v>507</v>
      </c>
      <c r="D15" s="359" t="s">
        <v>503</v>
      </c>
      <c r="E15" s="359">
        <v>7339</v>
      </c>
      <c r="F15" s="359">
        <v>0</v>
      </c>
      <c r="G15" s="4476"/>
      <c r="H15" s="4476"/>
      <c r="I15" s="359">
        <v>0</v>
      </c>
      <c r="J15" s="359">
        <v>0.06</v>
      </c>
      <c r="K15" s="359">
        <v>0.15</v>
      </c>
    </row>
    <row r="16" spans="1:14" ht="31.5" customHeight="1" thickBot="1" x14ac:dyDescent="0.25">
      <c r="A16" s="4473"/>
      <c r="B16" s="4475"/>
      <c r="C16" s="355" t="s">
        <v>504</v>
      </c>
      <c r="D16" s="360"/>
      <c r="E16" s="360"/>
      <c r="F16" s="360"/>
      <c r="G16" s="4473"/>
      <c r="H16" s="4473"/>
      <c r="I16" s="360"/>
      <c r="J16" s="360"/>
      <c r="K16" s="360"/>
    </row>
    <row r="17" spans="1:17" ht="21" customHeight="1" x14ac:dyDescent="0.2">
      <c r="A17" s="4472">
        <v>10</v>
      </c>
      <c r="B17" s="4474" t="s">
        <v>511</v>
      </c>
      <c r="C17" s="357" t="s">
        <v>512</v>
      </c>
      <c r="D17" s="358">
        <v>0.97</v>
      </c>
      <c r="E17" s="359">
        <v>174645.03</v>
      </c>
      <c r="F17" s="359">
        <v>141672.79</v>
      </c>
      <c r="G17" s="4472">
        <v>169406</v>
      </c>
      <c r="H17" s="4472">
        <v>30684</v>
      </c>
      <c r="I17" s="359">
        <v>137423</v>
      </c>
      <c r="J17" s="359">
        <v>130.53</v>
      </c>
      <c r="K17" s="359">
        <v>126.61</v>
      </c>
    </row>
    <row r="18" spans="1:17" ht="35.25" customHeight="1" thickBot="1" x14ac:dyDescent="0.25">
      <c r="A18" s="4473"/>
      <c r="B18" s="4475"/>
      <c r="C18" s="355" t="s">
        <v>499</v>
      </c>
      <c r="D18" s="356" t="s">
        <v>513</v>
      </c>
      <c r="E18" s="356">
        <v>31632.68</v>
      </c>
      <c r="F18" s="356">
        <v>9984.64</v>
      </c>
      <c r="G18" s="4473"/>
      <c r="H18" s="4473"/>
      <c r="I18" s="356">
        <v>9685</v>
      </c>
      <c r="J18" s="356">
        <v>47.81</v>
      </c>
      <c r="K18" s="356">
        <v>46.38</v>
      </c>
    </row>
    <row r="19" spans="1:17" x14ac:dyDescent="0.2">
      <c r="G19">
        <f>SUM(G6:G18)</f>
        <v>361530</v>
      </c>
    </row>
    <row r="23" spans="1:17" x14ac:dyDescent="0.2">
      <c r="A23" s="335"/>
      <c r="B23" s="335"/>
      <c r="C23" s="335"/>
      <c r="D23" s="335">
        <v>1</v>
      </c>
      <c r="E23" s="335">
        <v>2</v>
      </c>
      <c r="F23" s="335">
        <v>3</v>
      </c>
      <c r="G23" s="627">
        <v>4</v>
      </c>
      <c r="H23" s="627">
        <v>5</v>
      </c>
      <c r="I23" s="627">
        <v>6</v>
      </c>
      <c r="J23" s="627">
        <v>7</v>
      </c>
      <c r="K23" s="627">
        <v>8</v>
      </c>
      <c r="L23" s="627">
        <v>9</v>
      </c>
      <c r="M23" s="627">
        <v>10</v>
      </c>
      <c r="N23" s="627">
        <v>11</v>
      </c>
      <c r="O23" s="627">
        <v>12</v>
      </c>
      <c r="P23" t="s">
        <v>54</v>
      </c>
      <c r="Q23" t="s">
        <v>597</v>
      </c>
    </row>
    <row r="24" spans="1:17" x14ac:dyDescent="0.2">
      <c r="A24" s="335"/>
      <c r="B24" s="335"/>
      <c r="C24" t="s">
        <v>613</v>
      </c>
      <c r="D24" s="335">
        <f>SUM(P24*D25)</f>
        <v>0</v>
      </c>
      <c r="E24" s="335">
        <f>SUM(P24*E25)</f>
        <v>0</v>
      </c>
      <c r="F24" s="335">
        <f>SUM(P24*F25)</f>
        <v>0</v>
      </c>
      <c r="G24" s="628">
        <f>SUM(P24*G25)</f>
        <v>9.0382499999999997</v>
      </c>
      <c r="H24" s="628">
        <f>SUM(P24*H25)</f>
        <v>72.305999999999997</v>
      </c>
      <c r="I24" s="335">
        <f>SUM(P24*I25)</f>
        <v>99.420749999999998</v>
      </c>
      <c r="J24" s="335">
        <f>SUM(P24*J25)</f>
        <v>99.420749999999998</v>
      </c>
      <c r="K24" s="628">
        <f>SUM(P24*K25)</f>
        <v>72.305999999999997</v>
      </c>
      <c r="L24" s="628">
        <f>SUM(P24*L25)</f>
        <v>9.0382499999999997</v>
      </c>
      <c r="M24" s="335">
        <f>SUM(P24*M25)</f>
        <v>0</v>
      </c>
      <c r="N24" s="335">
        <f>SUM(P24*N25)</f>
        <v>0</v>
      </c>
      <c r="O24" s="335">
        <f>SUM(P24*O25)</f>
        <v>0</v>
      </c>
      <c r="P24" s="335">
        <f>SUM(G19/1000)</f>
        <v>361.53</v>
      </c>
      <c r="Q24" s="335">
        <f>SUM(D24:O24)</f>
        <v>361.53</v>
      </c>
    </row>
    <row r="25" spans="1:17" x14ac:dyDescent="0.2">
      <c r="A25" s="335"/>
      <c r="B25" s="335"/>
      <c r="C25" t="s">
        <v>614</v>
      </c>
      <c r="D25" s="630">
        <v>0</v>
      </c>
      <c r="E25" s="630">
        <v>0</v>
      </c>
      <c r="F25" s="630">
        <v>0</v>
      </c>
      <c r="G25" s="630">
        <v>2.5000000000000001E-2</v>
      </c>
      <c r="H25" s="630">
        <v>0.2</v>
      </c>
      <c r="I25" s="630">
        <v>0.27500000000000002</v>
      </c>
      <c r="J25" s="630">
        <v>0.27500000000000002</v>
      </c>
      <c r="K25" s="630">
        <v>0.2</v>
      </c>
      <c r="L25" s="630">
        <v>2.5000000000000001E-2</v>
      </c>
      <c r="M25" s="630">
        <v>0</v>
      </c>
      <c r="N25" s="630">
        <v>0</v>
      </c>
      <c r="O25" s="630">
        <v>0</v>
      </c>
      <c r="P25" s="629">
        <f>SUM(D25:O25)</f>
        <v>1</v>
      </c>
      <c r="Q25" s="335"/>
    </row>
    <row r="26" spans="1:17" x14ac:dyDescent="0.2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</row>
  </sheetData>
  <sheetProtection sheet="1" objects="1" scenarios="1"/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8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458"/>
  <sheetViews>
    <sheetView topLeftCell="A15" zoomScale="73" zoomScaleNormal="73" zoomScalePageLayoutView="90" workbookViewId="0">
      <selection activeCell="M35" sqref="M35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85"/>
      <c r="AD1" s="3577" t="s">
        <v>3683</v>
      </c>
      <c r="AE1" s="3578"/>
      <c r="AF1" s="3578"/>
      <c r="AG1" s="3578"/>
    </row>
    <row r="2" spans="1:33" ht="12" customHeight="1" x14ac:dyDescent="0.2">
      <c r="P2" s="3315"/>
      <c r="Q2" s="3316"/>
      <c r="R2" s="3316"/>
      <c r="S2" s="3316"/>
      <c r="AD2" s="3309"/>
      <c r="AE2" s="3310"/>
      <c r="AF2" s="3310"/>
      <c r="AG2" s="3310"/>
    </row>
    <row r="3" spans="1:33" ht="24" customHeight="1" x14ac:dyDescent="0.2">
      <c r="P3" s="3315"/>
      <c r="Q3" s="3316"/>
      <c r="R3" s="3316"/>
      <c r="S3" s="3316"/>
      <c r="AD3" s="3311" t="s">
        <v>3684</v>
      </c>
      <c r="AE3" s="3311"/>
      <c r="AF3" s="3311"/>
      <c r="AG3" s="3311"/>
    </row>
    <row r="4" spans="1:33" ht="18.75" x14ac:dyDescent="0.2">
      <c r="P4" s="3600"/>
      <c r="Q4" s="3600"/>
      <c r="R4" s="3600"/>
      <c r="S4" s="3600"/>
      <c r="AD4" s="3311" t="s">
        <v>3651</v>
      </c>
      <c r="AE4" s="3311"/>
      <c r="AF4" s="3311"/>
      <c r="AG4" s="3311"/>
    </row>
    <row r="5" spans="1:33" ht="23.25" customHeight="1" x14ac:dyDescent="0.2">
      <c r="P5" s="3600"/>
      <c r="Q5" s="3600"/>
      <c r="R5" s="3600"/>
      <c r="S5" s="3600"/>
      <c r="AD5" s="3311" t="s">
        <v>3722</v>
      </c>
      <c r="AE5" s="3316"/>
      <c r="AF5" s="3316"/>
      <c r="AG5" s="3311"/>
    </row>
    <row r="6" spans="1:33" ht="21" customHeight="1" x14ac:dyDescent="0.3">
      <c r="P6" s="3600"/>
      <c r="Q6" s="3600"/>
      <c r="R6" s="3601"/>
      <c r="S6" s="3600"/>
      <c r="AD6" s="3314" t="s">
        <v>3723</v>
      </c>
      <c r="AE6" s="3314"/>
      <c r="AF6" s="3314"/>
      <c r="AG6" s="3314"/>
    </row>
    <row r="7" spans="1:33" ht="21" customHeight="1" x14ac:dyDescent="0.3">
      <c r="P7" s="3602"/>
      <c r="Q7" s="3602"/>
      <c r="R7" s="3602"/>
      <c r="S7" s="3602"/>
    </row>
    <row r="8" spans="1:33" ht="12" customHeight="1" x14ac:dyDescent="0.35">
      <c r="Q8" s="3161"/>
    </row>
    <row r="10" spans="1:33" ht="43.5" customHeight="1" x14ac:dyDescent="0.4">
      <c r="A10" s="3597" t="s">
        <v>3726</v>
      </c>
      <c r="B10" s="3597"/>
      <c r="C10" s="3597"/>
      <c r="D10" s="3597"/>
      <c r="E10" s="3597"/>
      <c r="F10" s="3597"/>
      <c r="G10" s="3597"/>
      <c r="H10" s="3597"/>
      <c r="I10" s="3597"/>
      <c r="J10" s="3597"/>
      <c r="K10" s="3598"/>
      <c r="L10" s="3598"/>
      <c r="M10" s="3598"/>
      <c r="N10" s="3598"/>
      <c r="O10" s="3598"/>
      <c r="P10" s="3598"/>
      <c r="Q10" s="3598"/>
      <c r="R10" s="3598"/>
      <c r="S10" s="3599"/>
      <c r="T10" s="3599"/>
      <c r="U10" s="3599"/>
      <c r="V10" s="3599"/>
      <c r="W10" s="3599"/>
      <c r="X10" s="3599"/>
      <c r="Y10" s="3599"/>
      <c r="Z10" s="3599"/>
      <c r="AA10" s="3599"/>
      <c r="AB10" s="3599"/>
      <c r="AC10" s="3599"/>
      <c r="AD10" s="3599"/>
      <c r="AE10" s="3599"/>
      <c r="AF10" s="3599"/>
      <c r="AG10" s="3599"/>
    </row>
    <row r="11" spans="1:33" ht="16.5" customHeight="1" thickBot="1" x14ac:dyDescent="0.35">
      <c r="A11" s="3268"/>
      <c r="B11" s="3268"/>
      <c r="C11" s="3268"/>
      <c r="D11" s="3268"/>
      <c r="E11" s="3268"/>
      <c r="F11" s="3268"/>
      <c r="G11" s="3268"/>
      <c r="H11" s="3268"/>
      <c r="I11" s="3268"/>
      <c r="J11" s="3268"/>
      <c r="K11" s="3268"/>
      <c r="L11" s="3267"/>
      <c r="M11" s="3267"/>
      <c r="N11" s="3267"/>
      <c r="O11" s="3267"/>
      <c r="P11" s="3267"/>
      <c r="Q11" s="3267"/>
      <c r="R11" s="3267"/>
      <c r="S11" s="3312"/>
      <c r="AG11" s="3312" t="s">
        <v>3728</v>
      </c>
    </row>
    <row r="12" spans="1:33" ht="18.75" customHeight="1" x14ac:dyDescent="0.2">
      <c r="A12" s="3588" t="s">
        <v>3692</v>
      </c>
      <c r="B12" s="3589"/>
      <c r="C12" s="3589"/>
      <c r="D12" s="3589"/>
      <c r="E12" s="3589"/>
      <c r="F12" s="3589"/>
      <c r="G12" s="3589"/>
      <c r="H12" s="3589"/>
      <c r="I12" s="3589"/>
      <c r="J12" s="3589"/>
      <c r="K12" s="3589"/>
      <c r="L12" s="3590"/>
      <c r="M12" s="3590"/>
      <c r="N12" s="3590"/>
      <c r="O12" s="3590"/>
      <c r="P12" s="3590"/>
      <c r="Q12" s="3590"/>
      <c r="R12" s="3590"/>
      <c r="S12" s="3590"/>
      <c r="T12" s="3590"/>
      <c r="U12" s="3590"/>
      <c r="V12" s="3590"/>
      <c r="W12" s="3590"/>
      <c r="X12" s="3590"/>
      <c r="Y12" s="3590"/>
      <c r="Z12" s="3590"/>
      <c r="AA12" s="3590"/>
      <c r="AB12" s="3590"/>
      <c r="AC12" s="3590"/>
      <c r="AD12" s="3590"/>
      <c r="AE12" s="3590"/>
      <c r="AF12" s="3590"/>
      <c r="AG12" s="3591"/>
    </row>
    <row r="13" spans="1:33" ht="19.5" customHeight="1" x14ac:dyDescent="0.2">
      <c r="A13" s="3603" t="s">
        <v>536</v>
      </c>
      <c r="B13" s="3382"/>
      <c r="C13" s="3382"/>
      <c r="D13" s="3382"/>
      <c r="E13" s="3604" t="s">
        <v>238</v>
      </c>
      <c r="F13" s="3604"/>
      <c r="G13" s="3604"/>
      <c r="H13" s="3604"/>
      <c r="I13" s="3604"/>
      <c r="J13" s="3383"/>
      <c r="K13" s="3384" t="s">
        <v>371</v>
      </c>
      <c r="L13" s="3605" t="s">
        <v>3687</v>
      </c>
      <c r="M13" s="3585" t="s">
        <v>596</v>
      </c>
      <c r="N13" s="3586"/>
      <c r="O13" s="3586"/>
      <c r="P13" s="3585" t="s">
        <v>595</v>
      </c>
      <c r="Q13" s="3586"/>
      <c r="R13" s="3586"/>
      <c r="S13" s="3585" t="s">
        <v>594</v>
      </c>
      <c r="T13" s="3586"/>
      <c r="U13" s="3586"/>
      <c r="V13" s="3585" t="s">
        <v>222</v>
      </c>
      <c r="W13" s="3586"/>
      <c r="X13" s="3586"/>
      <c r="Y13" s="3585" t="s">
        <v>226</v>
      </c>
      <c r="Z13" s="3586"/>
      <c r="AA13" s="3586"/>
      <c r="AB13" s="3585" t="s">
        <v>3688</v>
      </c>
      <c r="AC13" s="3586"/>
      <c r="AD13" s="3586"/>
      <c r="AE13" s="3585" t="s">
        <v>1819</v>
      </c>
      <c r="AF13" s="3586"/>
      <c r="AG13" s="3587"/>
    </row>
    <row r="14" spans="1:33" ht="19.5" customHeight="1" x14ac:dyDescent="0.2">
      <c r="A14" s="3603"/>
      <c r="B14" s="3382"/>
      <c r="C14" s="3382"/>
      <c r="D14" s="3382"/>
      <c r="E14" s="3385" t="s">
        <v>521</v>
      </c>
      <c r="F14" s="3385" t="s">
        <v>157</v>
      </c>
      <c r="G14" s="3385" t="s">
        <v>522</v>
      </c>
      <c r="H14" s="3385" t="s">
        <v>523</v>
      </c>
      <c r="I14" s="3385" t="s">
        <v>524</v>
      </c>
      <c r="J14" s="3383"/>
      <c r="K14" s="3385" t="s">
        <v>521</v>
      </c>
      <c r="L14" s="3605"/>
      <c r="M14" s="3347" t="s">
        <v>627</v>
      </c>
      <c r="N14" s="3347" t="s">
        <v>3668</v>
      </c>
      <c r="O14" s="3347" t="s">
        <v>3669</v>
      </c>
      <c r="P14" s="3347" t="s">
        <v>627</v>
      </c>
      <c r="Q14" s="3347" t="s">
        <v>3668</v>
      </c>
      <c r="R14" s="3347" t="s">
        <v>3669</v>
      </c>
      <c r="S14" s="3347" t="s">
        <v>627</v>
      </c>
      <c r="T14" s="3347" t="s">
        <v>3668</v>
      </c>
      <c r="U14" s="3347" t="s">
        <v>3669</v>
      </c>
      <c r="V14" s="3347" t="s">
        <v>627</v>
      </c>
      <c r="W14" s="3347" t="s">
        <v>3668</v>
      </c>
      <c r="X14" s="3347" t="s">
        <v>3669</v>
      </c>
      <c r="Y14" s="3347" t="s">
        <v>627</v>
      </c>
      <c r="Z14" s="3347" t="s">
        <v>3668</v>
      </c>
      <c r="AA14" s="3347" t="s">
        <v>3669</v>
      </c>
      <c r="AB14" s="3347" t="s">
        <v>627</v>
      </c>
      <c r="AC14" s="3347" t="s">
        <v>3668</v>
      </c>
      <c r="AD14" s="3347" t="s">
        <v>3669</v>
      </c>
      <c r="AE14" s="3347" t="s">
        <v>627</v>
      </c>
      <c r="AF14" s="3347" t="s">
        <v>3668</v>
      </c>
      <c r="AG14" s="3357" t="s">
        <v>3669</v>
      </c>
    </row>
    <row r="15" spans="1:33" ht="18.75" customHeight="1" x14ac:dyDescent="0.3">
      <c r="A15" s="3358" t="s">
        <v>3665</v>
      </c>
      <c r="B15" s="3386"/>
      <c r="C15" s="3386"/>
      <c r="D15" s="3386"/>
      <c r="E15" s="3387">
        <v>3600</v>
      </c>
      <c r="F15" s="3388" t="e">
        <f>E15/#REF!*100</f>
        <v>#REF!</v>
      </c>
      <c r="G15" s="3387" t="e">
        <f>SUM(G16:G18)</f>
        <v>#REF!</v>
      </c>
      <c r="H15" s="3387">
        <f>SUM(H16:H18)</f>
        <v>1764.1999999999998</v>
      </c>
      <c r="I15" s="3387">
        <f>SUM(I16:I18)</f>
        <v>2589</v>
      </c>
      <c r="J15" s="3389"/>
      <c r="K15" s="3387">
        <f>SUM(K16:K18)</f>
        <v>3644.7</v>
      </c>
      <c r="L15" s="3390" t="s">
        <v>3689</v>
      </c>
      <c r="M15" s="3348">
        <f>SUM('ФАКТ. СЕБЕСТ. СТОКИ 9 мес. 2019'!AC9)</f>
        <v>755.00091078952471</v>
      </c>
      <c r="N15" s="3348">
        <f>SUM('ФАКТ. СЕБЕСТ. СТОКИ 9 мес. 2019'!AD9)</f>
        <v>750.58424412285808</v>
      </c>
      <c r="O15" s="3348">
        <f>SUM('ФАКТ. СЕБЕСТ. СТОКИ 9 мес. 2019'!AE9)</f>
        <v>4.416666666666667</v>
      </c>
      <c r="P15" s="3348">
        <f>SUM('ФАКТ. СЕБЕСТ. СТОКИ 9 мес. 2019'!BP9)</f>
        <v>755.00091078952471</v>
      </c>
      <c r="Q15" s="3348">
        <f>SUM('ФАКТ. СЕБЕСТ. СТОКИ 9 мес. 2019'!BQ9)</f>
        <v>750.58424412285808</v>
      </c>
      <c r="R15" s="3348">
        <f>SUM('ФАКТ. СЕБЕСТ. СТОКИ 9 мес. 2019'!BR9)</f>
        <v>4.416666666666667</v>
      </c>
      <c r="S15" s="3348">
        <f>SUM('ФАКТ. СЕБЕСТ. СТОКИ 9 мес. 2019'!CB9)</f>
        <v>1510.0018215790494</v>
      </c>
      <c r="T15" s="3348">
        <f>SUM('ФАКТ. СЕБЕСТ. СТОКИ 9 мес. 2019'!CC9)</f>
        <v>1501.1684882457162</v>
      </c>
      <c r="U15" s="3348">
        <f>SUM('ФАКТ. СЕБЕСТ. СТОКИ 9 мес. 2019'!CD9)</f>
        <v>8.8333333333333339</v>
      </c>
      <c r="V15" s="3348">
        <f>SUM('ФАКТ. СЕБЕСТ. СТОКИ 9 мес. 2019'!DO9)</f>
        <v>755.00091078952471</v>
      </c>
      <c r="W15" s="3348">
        <f>SUM('ФАКТ. СЕБЕСТ. СТОКИ 9 мес. 2019'!DP9)</f>
        <v>750.58424412285808</v>
      </c>
      <c r="X15" s="3348">
        <f>SUM('ФАКТ. СЕБЕСТ. СТОКИ 9 мес. 2019'!DQ9)</f>
        <v>4.416666666666667</v>
      </c>
      <c r="Y15" s="3348">
        <f>SUM('ФАКТ. СЕБЕСТ. СТОКИ 9 мес. 2019'!EA9)</f>
        <v>2265.0027323685745</v>
      </c>
      <c r="Z15" s="3348">
        <f>SUM('ФАКТ. СЕБЕСТ. СТОКИ 9 мес. 2019'!EB9)</f>
        <v>2251.7527323685745</v>
      </c>
      <c r="AA15" s="3348">
        <f>SUM('ФАКТ. СЕБЕСТ. СТОКИ 9 мес. 2019'!EC9)</f>
        <v>13.25</v>
      </c>
      <c r="AB15" s="3348">
        <f>SUM('ФАКТ. СЕБЕСТ. СТОКИ 9 мес. 2019'!FN9)</f>
        <v>755.00091078952471</v>
      </c>
      <c r="AC15" s="3348">
        <f>SUM('ФАКТ. СЕБЕСТ. СТОКИ 9 мес. 2019'!FO9)</f>
        <v>750.58424412285808</v>
      </c>
      <c r="AD15" s="3348">
        <f>SUM('ФАКТ. СЕБЕСТ. СТОКИ 9 мес. 2019'!FP9)</f>
        <v>4.416666666666667</v>
      </c>
      <c r="AE15" s="3348">
        <f>SUM('ФАКТ. СЕБЕСТ. СТОКИ 9 мес. 2019'!FZ9)</f>
        <v>3020.0036431580988</v>
      </c>
      <c r="AF15" s="3348">
        <f>SUM('ФАКТ. СЕБЕСТ. СТОКИ 9 мес. 2019'!GA9)</f>
        <v>3002.3369764914323</v>
      </c>
      <c r="AG15" s="3361">
        <f>SUM('ФАКТ. СЕБЕСТ. СТОКИ 9 мес. 2019'!GB9)</f>
        <v>17.666666666666668</v>
      </c>
    </row>
    <row r="16" spans="1:33" ht="18.75" customHeight="1" x14ac:dyDescent="0.3">
      <c r="A16" s="3362" t="s">
        <v>261</v>
      </c>
      <c r="B16" s="3386"/>
      <c r="C16" s="3386"/>
      <c r="D16" s="3386"/>
      <c r="E16" s="3391">
        <v>2600</v>
      </c>
      <c r="F16" s="3392" t="e">
        <f>E16/#REF!*100</f>
        <v>#REF!</v>
      </c>
      <c r="G16" s="3391">
        <f>E16</f>
        <v>2600</v>
      </c>
      <c r="H16" s="3391">
        <v>1250.8</v>
      </c>
      <c r="I16" s="3393">
        <v>1837.1</v>
      </c>
      <c r="J16" s="3393"/>
      <c r="K16" s="3391">
        <v>2600</v>
      </c>
      <c r="L16" s="3394" t="s">
        <v>3689</v>
      </c>
      <c r="M16" s="3349">
        <f>SUM('ФАКТ. СЕБЕСТ. СТОКИ 9 мес. 2019'!AC10)</f>
        <v>570</v>
      </c>
      <c r="N16" s="3349">
        <f>SUM('ФАКТ. СЕБЕСТ. СТОКИ 9 мес. 2019'!AD10)</f>
        <v>570</v>
      </c>
      <c r="O16" s="3349">
        <f>SUM('ФАКТ. СЕБЕСТ. СТОКИ 9 мес. 2019'!AE10)</f>
        <v>0</v>
      </c>
      <c r="P16" s="3349">
        <f>SUM('ФАКТ. СЕБЕСТ. СТОКИ 9 мес. 2019'!BP10)</f>
        <v>570</v>
      </c>
      <c r="Q16" s="3349">
        <f>SUM('ФАКТ. СЕБЕСТ. СТОКИ 9 мес. 2019'!BQ10)</f>
        <v>570</v>
      </c>
      <c r="R16" s="3349">
        <f>SUM('ФАКТ. СЕБЕСТ. СТОКИ 9 мес. 2019'!BR10)</f>
        <v>0</v>
      </c>
      <c r="S16" s="3349">
        <f>SUM('ФАКТ. СЕБЕСТ. СТОКИ 9 мес. 2019'!CB10)</f>
        <v>1140</v>
      </c>
      <c r="T16" s="3349">
        <f>SUM('ФАКТ. СЕБЕСТ. СТОКИ 9 мес. 2019'!CC10)</f>
        <v>1140</v>
      </c>
      <c r="U16" s="3349">
        <f>SUM('ФАКТ. СЕБЕСТ. СТОКИ 9 мес. 2019'!CD10)</f>
        <v>0</v>
      </c>
      <c r="V16" s="3349">
        <f>SUM('ФАКТ. СЕБЕСТ. СТОКИ 9 мес. 2019'!DO10)</f>
        <v>570</v>
      </c>
      <c r="W16" s="3349">
        <f>SUM('ФАКТ. СЕБЕСТ. СТОКИ 9 мес. 2019'!DP10)</f>
        <v>570</v>
      </c>
      <c r="X16" s="3349">
        <f>SUM('ФАКТ. СЕБЕСТ. СТОКИ 9 мес. 2019'!DQ10)</f>
        <v>0</v>
      </c>
      <c r="Y16" s="3349">
        <f>SUM('ФАКТ. СЕБЕСТ. СТОКИ 9 мес. 2019'!EA10)</f>
        <v>1710</v>
      </c>
      <c r="Z16" s="3349">
        <f>SUM('ФАКТ. СЕБЕСТ. СТОКИ 9 мес. 2019'!EB10)</f>
        <v>1710</v>
      </c>
      <c r="AA16" s="3349">
        <f>SUM('ФАКТ. СЕБЕСТ. СТОКИ 9 мес. 2019'!EC10)</f>
        <v>0</v>
      </c>
      <c r="AB16" s="3349">
        <f>SUM('ФАКТ. СЕБЕСТ. СТОКИ 9 мес. 2019'!FN10)</f>
        <v>570</v>
      </c>
      <c r="AC16" s="3349">
        <f>SUM('ФАКТ. СЕБЕСТ. СТОКИ 9 мес. 2019'!FO10)</f>
        <v>570</v>
      </c>
      <c r="AD16" s="3349">
        <f>SUM('ФАКТ. СЕБЕСТ. СТОКИ 9 мес. 2019'!FP10)</f>
        <v>0</v>
      </c>
      <c r="AE16" s="3349">
        <f>SUM('ФАКТ. СЕБЕСТ. СТОКИ 9 мес. 2019'!FZ10)</f>
        <v>2280</v>
      </c>
      <c r="AF16" s="3349">
        <f>SUM('ФАКТ. СЕБЕСТ. СТОКИ 9 мес. 2019'!GA10)</f>
        <v>2280</v>
      </c>
      <c r="AG16" s="3364">
        <f>SUM('ФАКТ. СЕБЕСТ. СТОКИ 9 мес. 2019'!GB10)</f>
        <v>0</v>
      </c>
    </row>
    <row r="17" spans="1:33" ht="18.75" customHeight="1" x14ac:dyDescent="0.3">
      <c r="A17" s="3362" t="s">
        <v>3675</v>
      </c>
      <c r="B17" s="3386"/>
      <c r="C17" s="3386"/>
      <c r="D17" s="3386"/>
      <c r="E17" s="3391"/>
      <c r="F17" s="3392"/>
      <c r="G17" s="3391"/>
      <c r="H17" s="3391"/>
      <c r="I17" s="3393"/>
      <c r="J17" s="3393"/>
      <c r="K17" s="3391"/>
      <c r="L17" s="3394" t="s">
        <v>3689</v>
      </c>
      <c r="M17" s="3349">
        <f>SUM('ФАКТ. СЕБЕСТ. СТОКИ 9 мес. 2019'!AC11)</f>
        <v>4.416666666666667</v>
      </c>
      <c r="N17" s="3349">
        <f>SUM('ФАКТ. СЕБЕСТ. СТОКИ 9 мес. 2019'!AD11)</f>
        <v>0</v>
      </c>
      <c r="O17" s="3349">
        <f>SUM('ФАКТ. СЕБЕСТ. СТОКИ 9 мес. 2019'!AE11)</f>
        <v>4.416666666666667</v>
      </c>
      <c r="P17" s="3349">
        <f>SUM('ФАКТ. СЕБЕСТ. СТОКИ 9 мес. 2019'!BP11)</f>
        <v>4.416666666666667</v>
      </c>
      <c r="Q17" s="3349">
        <f>SUM('ФАКТ. СЕБЕСТ. СТОКИ 9 мес. 2019'!BQ11)</f>
        <v>0</v>
      </c>
      <c r="R17" s="3349">
        <f>SUM('ФАКТ. СЕБЕСТ. СТОКИ 9 мес. 2019'!BR11)</f>
        <v>4.416666666666667</v>
      </c>
      <c r="S17" s="3349">
        <f>SUM('ФАКТ. СЕБЕСТ. СТОКИ 9 мес. 2019'!CB11)</f>
        <v>8.8333333333333339</v>
      </c>
      <c r="T17" s="3349">
        <f>SUM('ФАКТ. СЕБЕСТ. СТОКИ 9 мес. 2019'!CC11)</f>
        <v>0</v>
      </c>
      <c r="U17" s="3349">
        <f>SUM('ФАКТ. СЕБЕСТ. СТОКИ 9 мес. 2019'!CD11)</f>
        <v>8.8333333333333339</v>
      </c>
      <c r="V17" s="3349">
        <f>SUM('ФАКТ. СЕБЕСТ. СТОКИ 9 мес. 2019'!DO11)</f>
        <v>4.416666666666667</v>
      </c>
      <c r="W17" s="3349">
        <f>SUM('ФАКТ. СЕБЕСТ. СТОКИ 9 мес. 2019'!DP11)</f>
        <v>0</v>
      </c>
      <c r="X17" s="3349">
        <f>SUM('ФАКТ. СЕБЕСТ. СТОКИ 9 мес. 2019'!DQ11)</f>
        <v>4.416666666666667</v>
      </c>
      <c r="Y17" s="3349">
        <f>SUM('ФАКТ. СЕБЕСТ. СТОКИ 9 мес. 2019'!EA11)</f>
        <v>13.25</v>
      </c>
      <c r="Z17" s="3349">
        <f>SUM('ФАКТ. СЕБЕСТ. СТОКИ 9 мес. 2019'!EB11)</f>
        <v>0</v>
      </c>
      <c r="AA17" s="3349">
        <f>SUM('ФАКТ. СЕБЕСТ. СТОКИ 9 мес. 2019'!EC11)</f>
        <v>13.25</v>
      </c>
      <c r="AB17" s="3349">
        <f>SUM('ФАКТ. СЕБЕСТ. СТОКИ 9 мес. 2019'!FN11)</f>
        <v>4.416666666666667</v>
      </c>
      <c r="AC17" s="3349">
        <f>SUM('ФАКТ. СЕБЕСТ. СТОКИ 9 мес. 2019'!FO11)</f>
        <v>0</v>
      </c>
      <c r="AD17" s="3349">
        <f>SUM('ФАКТ. СЕБЕСТ. СТОКИ 9 мес. 2019'!FP11)</f>
        <v>4.416666666666667</v>
      </c>
      <c r="AE17" s="3349">
        <f>SUM('ФАКТ. СЕБЕСТ. СТОКИ 9 мес. 2019'!FZ11)</f>
        <v>17.666666666666668</v>
      </c>
      <c r="AF17" s="3349">
        <f>SUM('ФАКТ. СЕБЕСТ. СТОКИ 9 мес. 2019'!GA11)</f>
        <v>0</v>
      </c>
      <c r="AG17" s="3364">
        <f>SUM('ФАКТ. СЕБЕСТ. СТОКИ 9 мес. 2019'!GB11)</f>
        <v>17.666666666666668</v>
      </c>
    </row>
    <row r="18" spans="1:33" ht="18.75" customHeight="1" x14ac:dyDescent="0.3">
      <c r="A18" s="3362" t="s">
        <v>3659</v>
      </c>
      <c r="B18" s="3386"/>
      <c r="C18" s="3386"/>
      <c r="D18" s="3386"/>
      <c r="E18" s="3391">
        <v>972</v>
      </c>
      <c r="F18" s="3392" t="e">
        <f>E18/#REF!*100</f>
        <v>#REF!</v>
      </c>
      <c r="G18" s="3391" t="e">
        <f>#REF!+2.4</f>
        <v>#REF!</v>
      </c>
      <c r="H18" s="3391">
        <v>513.4</v>
      </c>
      <c r="I18" s="3393">
        <v>751.9</v>
      </c>
      <c r="J18" s="3393"/>
      <c r="K18" s="3391">
        <v>1044.7</v>
      </c>
      <c r="L18" s="3394" t="s">
        <v>3689</v>
      </c>
      <c r="M18" s="3349">
        <f>SUM('ФАКТ. СЕБЕСТ. СТОКИ 9 мес. 2019'!AC12)</f>
        <v>180.58424412285808</v>
      </c>
      <c r="N18" s="3349">
        <f>SUM('ФАКТ. СЕБЕСТ. СТОКИ 9 мес. 2019'!AD12)</f>
        <v>180.58424412285808</v>
      </c>
      <c r="O18" s="3349">
        <f>SUM('ФАКТ. СЕБЕСТ. СТОКИ 9 мес. 2019'!AE12)</f>
        <v>0</v>
      </c>
      <c r="P18" s="3349">
        <f>SUM('ФАКТ. СЕБЕСТ. СТОКИ 9 мес. 2019'!BP12)</f>
        <v>180.58424412285808</v>
      </c>
      <c r="Q18" s="3349">
        <f>SUM('ФАКТ. СЕБЕСТ. СТОКИ 9 мес. 2019'!BQ12)</f>
        <v>180.58424412285808</v>
      </c>
      <c r="R18" s="3349">
        <f>SUM('ФАКТ. СЕБЕСТ. СТОКИ 9 мес. 2019'!BR12)</f>
        <v>0</v>
      </c>
      <c r="S18" s="3349">
        <f>SUM('ФАКТ. СЕБЕСТ. СТОКИ 9 мес. 2019'!CB12)</f>
        <v>361.16848824571616</v>
      </c>
      <c r="T18" s="3349">
        <f>SUM('ФАКТ. СЕБЕСТ. СТОКИ 9 мес. 2019'!CC12)</f>
        <v>361.16848824571616</v>
      </c>
      <c r="U18" s="3349">
        <f>SUM('ФАКТ. СЕБЕСТ. СТОКИ 9 мес. 2019'!CD12)</f>
        <v>0</v>
      </c>
      <c r="V18" s="3349">
        <f>SUM('ФАКТ. СЕБЕСТ. СТОКИ 9 мес. 2019'!DO12)</f>
        <v>180.58424412285808</v>
      </c>
      <c r="W18" s="3349">
        <f>SUM('ФАКТ. СЕБЕСТ. СТОКИ 9 мес. 2019'!DP12)</f>
        <v>180.58424412285808</v>
      </c>
      <c r="X18" s="3349">
        <f>SUM('ФАКТ. СЕБЕСТ. СТОКИ 9 мес. 2019'!DQ12)</f>
        <v>0</v>
      </c>
      <c r="Y18" s="3349">
        <f>SUM('ФАКТ. СЕБЕСТ. СТОКИ 9 мес. 2019'!EA12)</f>
        <v>541.75273236857424</v>
      </c>
      <c r="Z18" s="3349">
        <f>SUM('ФАКТ. СЕБЕСТ. СТОКИ 9 мес. 2019'!EB12)</f>
        <v>541.75273236857424</v>
      </c>
      <c r="AA18" s="3349">
        <f>SUM('ФАКТ. СЕБЕСТ. СТОКИ 9 мес. 2019'!EC12)</f>
        <v>0</v>
      </c>
      <c r="AB18" s="3349">
        <f>SUM('ФАКТ. СЕБЕСТ. СТОКИ 9 мес. 2019'!FN12)</f>
        <v>180.58424412285808</v>
      </c>
      <c r="AC18" s="3349">
        <f>SUM('ФАКТ. СЕБЕСТ. СТОКИ 9 мес. 2019'!FO12)</f>
        <v>180.58424412285808</v>
      </c>
      <c r="AD18" s="3349">
        <f>SUM('ФАКТ. СЕБЕСТ. СТОКИ 9 мес. 2019'!FP12)</f>
        <v>0</v>
      </c>
      <c r="AE18" s="3349">
        <f>SUM('ФАКТ. СЕБЕСТ. СТОКИ 9 мес. 2019'!FZ12)</f>
        <v>722.33697649143232</v>
      </c>
      <c r="AF18" s="3349">
        <f>SUM('ФАКТ. СЕБЕСТ. СТОКИ 9 мес. 2019'!GA12)</f>
        <v>722.33697649143232</v>
      </c>
      <c r="AG18" s="3364">
        <f>SUM('ФАКТ. СЕБЕСТ. СТОКИ 9 мес. 2019'!GB12)</f>
        <v>0</v>
      </c>
    </row>
    <row r="19" spans="1:33" ht="18.75" customHeight="1" x14ac:dyDescent="0.3">
      <c r="A19" s="3592" t="s">
        <v>3672</v>
      </c>
      <c r="B19" s="3593"/>
      <c r="C19" s="3593"/>
      <c r="D19" s="3593"/>
      <c r="E19" s="3593"/>
      <c r="F19" s="3593"/>
      <c r="G19" s="3593"/>
      <c r="H19" s="3593"/>
      <c r="I19" s="3593"/>
      <c r="J19" s="3593"/>
      <c r="K19" s="3593"/>
      <c r="L19" s="3594"/>
      <c r="M19" s="3594"/>
      <c r="N19" s="3594"/>
      <c r="O19" s="3594"/>
      <c r="P19" s="3594"/>
      <c r="Q19" s="3594"/>
      <c r="R19" s="3594"/>
      <c r="S19" s="3594"/>
      <c r="T19" s="3595"/>
      <c r="U19" s="3595"/>
      <c r="V19" s="3595"/>
      <c r="W19" s="3595"/>
      <c r="X19" s="3595"/>
      <c r="Y19" s="3595"/>
      <c r="Z19" s="3595"/>
      <c r="AA19" s="3595"/>
      <c r="AB19" s="3595"/>
      <c r="AC19" s="3595"/>
      <c r="AD19" s="3595"/>
      <c r="AE19" s="3595"/>
      <c r="AF19" s="3595"/>
      <c r="AG19" s="3596"/>
    </row>
    <row r="20" spans="1:33" ht="19.5" customHeight="1" x14ac:dyDescent="0.2">
      <c r="A20" s="3603" t="s">
        <v>536</v>
      </c>
      <c r="B20" s="3382"/>
      <c r="C20" s="3382"/>
      <c r="D20" s="3382"/>
      <c r="E20" s="3604" t="s">
        <v>238</v>
      </c>
      <c r="F20" s="3604"/>
      <c r="G20" s="3604"/>
      <c r="H20" s="3604"/>
      <c r="I20" s="3604"/>
      <c r="J20" s="3383"/>
      <c r="K20" s="3384" t="s">
        <v>371</v>
      </c>
      <c r="L20" s="3585" t="s">
        <v>3687</v>
      </c>
      <c r="M20" s="3585" t="s">
        <v>596</v>
      </c>
      <c r="N20" s="3586"/>
      <c r="O20" s="3586"/>
      <c r="P20" s="3585" t="s">
        <v>595</v>
      </c>
      <c r="Q20" s="3586"/>
      <c r="R20" s="3586"/>
      <c r="S20" s="3585" t="s">
        <v>594</v>
      </c>
      <c r="T20" s="3586"/>
      <c r="U20" s="3586"/>
      <c r="V20" s="3585" t="s">
        <v>222</v>
      </c>
      <c r="W20" s="3586"/>
      <c r="X20" s="3586"/>
      <c r="Y20" s="3585" t="s">
        <v>226</v>
      </c>
      <c r="Z20" s="3586"/>
      <c r="AA20" s="3586"/>
      <c r="AB20" s="3585" t="s">
        <v>3688</v>
      </c>
      <c r="AC20" s="3586"/>
      <c r="AD20" s="3586"/>
      <c r="AE20" s="3585" t="s">
        <v>1819</v>
      </c>
      <c r="AF20" s="3586"/>
      <c r="AG20" s="3587"/>
    </row>
    <row r="21" spans="1:33" ht="41.25" customHeight="1" x14ac:dyDescent="0.2">
      <c r="A21" s="3603"/>
      <c r="B21" s="3382"/>
      <c r="C21" s="3382"/>
      <c r="D21" s="3382"/>
      <c r="E21" s="3385" t="s">
        <v>521</v>
      </c>
      <c r="F21" s="3385" t="s">
        <v>157</v>
      </c>
      <c r="G21" s="3385" t="s">
        <v>522</v>
      </c>
      <c r="H21" s="3385" t="s">
        <v>523</v>
      </c>
      <c r="I21" s="3385" t="s">
        <v>524</v>
      </c>
      <c r="J21" s="3383"/>
      <c r="K21" s="3385" t="s">
        <v>521</v>
      </c>
      <c r="L21" s="3585"/>
      <c r="M21" s="3347" t="s">
        <v>627</v>
      </c>
      <c r="N21" s="3347" t="s">
        <v>3625</v>
      </c>
      <c r="O21" s="3347" t="s">
        <v>3626</v>
      </c>
      <c r="P21" s="3347" t="s">
        <v>627</v>
      </c>
      <c r="Q21" s="3347" t="s">
        <v>3625</v>
      </c>
      <c r="R21" s="3347" t="s">
        <v>3626</v>
      </c>
      <c r="S21" s="3347" t="s">
        <v>627</v>
      </c>
      <c r="T21" s="3347" t="s">
        <v>3625</v>
      </c>
      <c r="U21" s="3347" t="s">
        <v>3626</v>
      </c>
      <c r="V21" s="3347" t="s">
        <v>627</v>
      </c>
      <c r="W21" s="3347" t="s">
        <v>3625</v>
      </c>
      <c r="X21" s="3347" t="s">
        <v>3626</v>
      </c>
      <c r="Y21" s="3347" t="s">
        <v>627</v>
      </c>
      <c r="Z21" s="3347" t="s">
        <v>3625</v>
      </c>
      <c r="AA21" s="3347" t="s">
        <v>3626</v>
      </c>
      <c r="AB21" s="3347" t="s">
        <v>627</v>
      </c>
      <c r="AC21" s="3347" t="s">
        <v>3625</v>
      </c>
      <c r="AD21" s="3347" t="s">
        <v>3626</v>
      </c>
      <c r="AE21" s="3347" t="s">
        <v>627</v>
      </c>
      <c r="AF21" s="3347" t="s">
        <v>3625</v>
      </c>
      <c r="AG21" s="3357" t="s">
        <v>3626</v>
      </c>
    </row>
    <row r="22" spans="1:33" ht="18.75" customHeight="1" x14ac:dyDescent="0.3">
      <c r="A22" s="3362" t="s">
        <v>1</v>
      </c>
      <c r="B22" s="3370"/>
      <c r="C22" s="3370"/>
      <c r="D22" s="3370"/>
      <c r="E22" s="3370"/>
      <c r="F22" s="3370"/>
      <c r="G22" s="3370"/>
      <c r="H22" s="3370"/>
      <c r="I22" s="3370"/>
      <c r="J22" s="3370"/>
      <c r="K22" s="3370"/>
      <c r="L22" s="3395" t="s">
        <v>915</v>
      </c>
      <c r="M22" s="3349">
        <f>SUM('ФАКТ. СЕБЕСТ. СТОКИ 9 мес. 2019'!AC31)</f>
        <v>2167.1369111543095</v>
      </c>
      <c r="N22" s="3349">
        <f>SUM('ФАКТ. СЕБЕСТ. СТОКИ 9 мес. 2019'!AD31)</f>
        <v>2156.8907527318474</v>
      </c>
      <c r="O22" s="3349">
        <f>SUM('ФАКТ. СЕБЕСТ. СТОКИ 9 мес. 2019'!AE31)</f>
        <v>10.246158422461928</v>
      </c>
      <c r="P22" s="3349">
        <f>SUM('ФАКТ. СЕБЕСТ. СТОКИ 9 мес. 2019'!BP31)</f>
        <v>2167.1369111543095</v>
      </c>
      <c r="Q22" s="3349">
        <f>SUM('ФАКТ. СЕБЕСТ. СТОКИ 9 мес. 2019'!BQ31)</f>
        <v>2156.8907527318474</v>
      </c>
      <c r="R22" s="3349">
        <f>SUM('ФАКТ. СЕБЕСТ. СТОКИ 9 мес. 2019'!BR31)</f>
        <v>10.246158422461928</v>
      </c>
      <c r="S22" s="3349">
        <f>SUM('ФАКТ. СЕБЕСТ. СТОКИ 9 мес. 2019'!CB31)</f>
        <v>4334.2738223086189</v>
      </c>
      <c r="T22" s="3349">
        <f>SUM('ФАКТ. СЕБЕСТ. СТОКИ 9 мес. 2019'!CC31)</f>
        <v>4313.7815054636949</v>
      </c>
      <c r="U22" s="3349">
        <f>SUM('ФАКТ. СЕБЕСТ. СТОКИ 9 мес. 2019'!CD31)</f>
        <v>20.492316844923856</v>
      </c>
      <c r="V22" s="3349">
        <f>SUM('ФАКТ. СЕБЕСТ. СТОКИ 9 мес. 2019'!DO31)</f>
        <v>2294.9979889124133</v>
      </c>
      <c r="W22" s="3349">
        <f>SUM('ФАКТ. СЕБЕСТ. СТОКИ 9 мес. 2019'!DP31)</f>
        <v>2284.1473071430264</v>
      </c>
      <c r="X22" s="3349">
        <f>SUM('ФАКТ. СЕБЕСТ. СТОКИ 9 мес. 2019'!DQ31)</f>
        <v>10.850681769387183</v>
      </c>
      <c r="Y22" s="3349">
        <f>SUM('ФАКТ. СЕБЕСТ. СТОКИ 9 мес. 2019'!EA31)</f>
        <v>6629.2718112210323</v>
      </c>
      <c r="Z22" s="3349">
        <f>SUM('ФАКТ. СЕБЕСТ. СТОКИ 9 мес. 2019'!EB31)</f>
        <v>6597.9288126067213</v>
      </c>
      <c r="AA22" s="3349">
        <f>SUM('ФАКТ. СЕБЕСТ. СТОКИ 9 мес. 2019'!EC31)</f>
        <v>31.342998614311039</v>
      </c>
      <c r="AB22" s="3349">
        <f>SUM('ФАКТ. СЕБЕСТ. СТОКИ 9 мес. 2019'!FN31)</f>
        <v>2294.9979889124133</v>
      </c>
      <c r="AC22" s="3349">
        <f>SUM('ФАКТ. СЕБЕСТ. СТОКИ 9 мес. 2019'!FO31)</f>
        <v>2284.1473071430264</v>
      </c>
      <c r="AD22" s="3349">
        <f>SUM('ФАКТ. СЕБЕСТ. СТОКИ 9 мес. 2019'!FP31)</f>
        <v>10.850681769387183</v>
      </c>
      <c r="AE22" s="3349">
        <f>SUM('ФАКТ. СЕБЕСТ. СТОКИ 9 мес. 2019'!FZ31)</f>
        <v>8924.2698001334466</v>
      </c>
      <c r="AF22" s="3349">
        <f>SUM('ФАКТ. СЕБЕСТ. СТОКИ 9 мес. 2019'!GA31)</f>
        <v>8882.0761197497486</v>
      </c>
      <c r="AG22" s="3364">
        <f>SUM('ФАКТ. СЕБЕСТ. СТОКИ 9 мес. 2019'!GB31)</f>
        <v>42.193680383698222</v>
      </c>
    </row>
    <row r="23" spans="1:33" ht="18.75" customHeight="1" x14ac:dyDescent="0.3">
      <c r="A23" s="3362" t="s">
        <v>2</v>
      </c>
      <c r="B23" s="3370"/>
      <c r="C23" s="3370"/>
      <c r="D23" s="3370"/>
      <c r="E23" s="3370"/>
      <c r="F23" s="3370"/>
      <c r="G23" s="3370"/>
      <c r="H23" s="3370"/>
      <c r="I23" s="3370"/>
      <c r="J23" s="3370"/>
      <c r="K23" s="3370"/>
      <c r="L23" s="3395" t="s">
        <v>915</v>
      </c>
      <c r="M23" s="3349">
        <f>SUM('ФАКТ. СЕБЕСТ. СТОКИ 9 мес. 2019'!AC32)</f>
        <v>1251.5725</v>
      </c>
      <c r="N23" s="3349">
        <f>SUM('ФАКТ. СЕБЕСТ. СТОКИ 9 мес. 2019'!AD32)</f>
        <v>1250.8216529477222</v>
      </c>
      <c r="O23" s="3349">
        <f>SUM('ФАКТ. СЕБЕСТ. СТОКИ 9 мес. 2019'!AE32)</f>
        <v>0.75084705227775295</v>
      </c>
      <c r="P23" s="3349">
        <f>SUM('ФАКТ. СЕБЕСТ. СТОКИ 9 мес. 2019'!BP32)</f>
        <v>1251.5725</v>
      </c>
      <c r="Q23" s="3349">
        <f>SUM('ФАКТ. СЕБЕСТ. СТОКИ 9 мес. 2019'!BQ32)</f>
        <v>1250.8216529477222</v>
      </c>
      <c r="R23" s="3349">
        <f>SUM('ФАКТ. СЕБЕСТ. СТОКИ 9 мес. 2019'!BR32)</f>
        <v>0.75084705227775295</v>
      </c>
      <c r="S23" s="3349">
        <f>SUM('ФАКТ. СЕБЕСТ. СТОКИ 9 мес. 2019'!CB32)</f>
        <v>2503.145</v>
      </c>
      <c r="T23" s="3349">
        <f>SUM('ФАКТ. СЕБЕСТ. СТОКИ 9 мес. 2019'!CC32)</f>
        <v>2501.6433058954444</v>
      </c>
      <c r="U23" s="3349">
        <f>SUM('ФАКТ. СЕБЕСТ. СТОКИ 9 мес. 2019'!CD32)</f>
        <v>1.5016941045555059</v>
      </c>
      <c r="V23" s="3349">
        <f>SUM('ФАКТ. СЕБЕСТ. СТОКИ 9 мес. 2019'!DO32)</f>
        <v>1251.5725</v>
      </c>
      <c r="W23" s="3349">
        <f>SUM('ФАКТ. СЕБЕСТ. СТОКИ 9 мес. 2019'!DP32)</f>
        <v>1250.8216529477222</v>
      </c>
      <c r="X23" s="3349">
        <f>SUM('ФАКТ. СЕБЕСТ. СТОКИ 9 мес. 2019'!DQ32)</f>
        <v>0.75084705227775295</v>
      </c>
      <c r="Y23" s="3349">
        <f>SUM('ФАКТ. СЕБЕСТ. СТОКИ 9 мес. 2019'!EA32)</f>
        <v>3754.7174999999997</v>
      </c>
      <c r="Z23" s="3349">
        <f>SUM('ФАКТ. СЕБЕСТ. СТОКИ 9 мес. 2019'!EB32)</f>
        <v>3752.4649588431666</v>
      </c>
      <c r="AA23" s="3349">
        <f>SUM('ФАКТ. СЕБЕСТ. СТОКИ 9 мес. 2019'!EC32)</f>
        <v>2.2525411568332587</v>
      </c>
      <c r="AB23" s="3349">
        <f>SUM('ФАКТ. СЕБЕСТ. СТОКИ 9 мес. 2019'!FN32)</f>
        <v>1251.5725</v>
      </c>
      <c r="AC23" s="3349">
        <f>SUM('ФАКТ. СЕБЕСТ. СТОКИ 9 мес. 2019'!FO32)</f>
        <v>1250.8216529477222</v>
      </c>
      <c r="AD23" s="3349">
        <f>SUM('ФАКТ. СЕБЕСТ. СТОКИ 9 мес. 2019'!FP32)</f>
        <v>0.75084705227775295</v>
      </c>
      <c r="AE23" s="3349">
        <f>SUM('ФАКТ. СЕБЕСТ. СТОКИ 9 мес. 2019'!FZ32)</f>
        <v>5006.29</v>
      </c>
      <c r="AF23" s="3349">
        <f>SUM('ФАКТ. СЕБЕСТ. СТОКИ 9 мес. 2019'!GA32)</f>
        <v>5003.2866117908889</v>
      </c>
      <c r="AG23" s="3364">
        <f>SUM('ФАКТ. СЕБЕСТ. СТОКИ 9 мес. 2019'!GB32)</f>
        <v>3.0033882091110118</v>
      </c>
    </row>
    <row r="24" spans="1:33" ht="18.75" customHeight="1" x14ac:dyDescent="0.3">
      <c r="A24" s="3362" t="s">
        <v>216</v>
      </c>
      <c r="B24" s="3370"/>
      <c r="C24" s="3370"/>
      <c r="D24" s="3370"/>
      <c r="E24" s="3370"/>
      <c r="F24" s="3370"/>
      <c r="G24" s="3370"/>
      <c r="H24" s="3370"/>
      <c r="I24" s="3370"/>
      <c r="J24" s="3370"/>
      <c r="K24" s="3370"/>
      <c r="L24" s="3395" t="s">
        <v>915</v>
      </c>
      <c r="M24" s="3349">
        <f>SUM('ФАКТ. СЕБЕСТ. СТОКИ 9 мес. 2019'!AC33)</f>
        <v>0</v>
      </c>
      <c r="N24" s="3349">
        <f>SUM('ФАКТ. СЕБЕСТ. СТОКИ 9 мес. 2019'!AD33)</f>
        <v>0</v>
      </c>
      <c r="O24" s="3349">
        <f>SUM('ФАКТ. СЕБЕСТ. СТОКИ 9 мес. 2019'!AE33)</f>
        <v>0</v>
      </c>
      <c r="P24" s="3349">
        <f>SUM('ФАКТ. СЕБЕСТ. СТОКИ 9 мес. 2019'!BP33)</f>
        <v>0</v>
      </c>
      <c r="Q24" s="3349">
        <f>SUM('ФАКТ. СЕБЕСТ. СТОКИ 9 мес. 2019'!BQ33)</f>
        <v>0</v>
      </c>
      <c r="R24" s="3349">
        <f>SUM('ФАКТ. СЕБЕСТ. СТОКИ 9 мес. 2019'!BR33)</f>
        <v>0</v>
      </c>
      <c r="S24" s="3349">
        <f>SUM('ФАКТ. СЕБЕСТ. СТОКИ 9 мес. 2019'!CB33)</f>
        <v>0</v>
      </c>
      <c r="T24" s="3349">
        <f>SUM('ФАКТ. СЕБЕСТ. СТОКИ 9 мес. 2019'!CC33)</f>
        <v>0</v>
      </c>
      <c r="U24" s="3349">
        <f>SUM('ФАКТ. СЕБЕСТ. СТОКИ 9 мес. 2019'!CD33)</f>
        <v>0</v>
      </c>
      <c r="V24" s="3349">
        <f>SUM('ФАКТ. СЕБЕСТ. СТОКИ 9 мес. 2019'!DO33)</f>
        <v>0</v>
      </c>
      <c r="W24" s="3349">
        <f>SUM('ФАКТ. СЕБЕСТ. СТОКИ 9 мес. 2019'!DP33)</f>
        <v>0</v>
      </c>
      <c r="X24" s="3349">
        <f>SUM('ФАКТ. СЕБЕСТ. СТОКИ 9 мес. 2019'!DQ33)</f>
        <v>0</v>
      </c>
      <c r="Y24" s="3349">
        <f>SUM('ФАКТ. СЕБЕСТ. СТОКИ 9 мес. 2019'!EA33)</f>
        <v>0</v>
      </c>
      <c r="Z24" s="3349">
        <f>SUM('ФАКТ. СЕБЕСТ. СТОКИ 9 мес. 2019'!EB33)</f>
        <v>0</v>
      </c>
      <c r="AA24" s="3349">
        <f>SUM('ФАКТ. СЕБЕСТ. СТОКИ 9 мес. 2019'!EC33)</f>
        <v>0</v>
      </c>
      <c r="AB24" s="3349">
        <f>SUM('ФАКТ. СЕБЕСТ. СТОКИ 9 мес. 2019'!FN33)</f>
        <v>0</v>
      </c>
      <c r="AC24" s="3349">
        <f>SUM('ФАКТ. СЕБЕСТ. СТОКИ 9 мес. 2019'!FO33)</f>
        <v>0</v>
      </c>
      <c r="AD24" s="3349">
        <f>SUM('ФАКТ. СЕБЕСТ. СТОКИ 9 мес. 2019'!FP33)</f>
        <v>0</v>
      </c>
      <c r="AE24" s="3349">
        <f>SUM('ФАКТ. СЕБЕСТ. СТОКИ 9 мес. 2019'!FZ33)</f>
        <v>0</v>
      </c>
      <c r="AF24" s="3349">
        <f>SUM('ФАКТ. СЕБЕСТ. СТОКИ 9 мес. 2019'!GA33)</f>
        <v>0</v>
      </c>
      <c r="AG24" s="3364">
        <f>SUM('ФАКТ. СЕБЕСТ. СТОКИ 9 мес. 2019'!GB33)</f>
        <v>0</v>
      </c>
    </row>
    <row r="25" spans="1:33" ht="18.75" customHeight="1" x14ac:dyDescent="0.3">
      <c r="A25" s="3362" t="s">
        <v>8</v>
      </c>
      <c r="B25" s="3370"/>
      <c r="C25" s="3370"/>
      <c r="D25" s="3370"/>
      <c r="E25" s="3370"/>
      <c r="F25" s="3370"/>
      <c r="G25" s="3370"/>
      <c r="H25" s="3370"/>
      <c r="I25" s="3370"/>
      <c r="J25" s="3370"/>
      <c r="K25" s="3370"/>
      <c r="L25" s="3395" t="s">
        <v>915</v>
      </c>
      <c r="M25" s="3349">
        <f>SUM('ФАКТ. СЕБЕСТ. СТОКИ 9 мес. 2019'!AC34)</f>
        <v>277.63956783514635</v>
      </c>
      <c r="N25" s="3349">
        <f>SUM('ФАКТ. СЕБЕСТ. СТОКИ 9 мес. 2019'!AD34)</f>
        <v>277.63956783514635</v>
      </c>
      <c r="O25" s="3349">
        <f>SUM('ФАКТ. СЕБЕСТ. СТОКИ 9 мес. 2019'!AE34)</f>
        <v>0</v>
      </c>
      <c r="P25" s="3349">
        <f>SUM('ФАКТ. СЕБЕСТ. СТОКИ 9 мес. 2019'!BP34)</f>
        <v>277.63956783514635</v>
      </c>
      <c r="Q25" s="3349">
        <f>SUM('ФАКТ. СЕБЕСТ. СТОКИ 9 мес. 2019'!BQ34)</f>
        <v>277.63956783514635</v>
      </c>
      <c r="R25" s="3349">
        <f>SUM('ФАКТ. СЕБЕСТ. СТОКИ 9 мес. 2019'!BR34)</f>
        <v>0</v>
      </c>
      <c r="S25" s="3349">
        <f>SUM('ФАКТ. СЕБЕСТ. СТОКИ 9 мес. 2019'!CB34)</f>
        <v>555.2791356702927</v>
      </c>
      <c r="T25" s="3349">
        <f>SUM('ФАКТ. СЕБЕСТ. СТОКИ 9 мес. 2019'!CC34)</f>
        <v>555.2791356702927</v>
      </c>
      <c r="U25" s="3349">
        <f>SUM('ФАКТ. СЕБЕСТ. СТОКИ 9 мес. 2019'!CD34)</f>
        <v>0</v>
      </c>
      <c r="V25" s="3349">
        <f>SUM('ФАКТ. СЕБЕСТ. СТОКИ 9 мес. 2019'!DO34)</f>
        <v>277.63956783514635</v>
      </c>
      <c r="W25" s="3349">
        <f>SUM('ФАКТ. СЕБЕСТ. СТОКИ 9 мес. 2019'!DP34)</f>
        <v>277.63956783514635</v>
      </c>
      <c r="X25" s="3349">
        <f>SUM('ФАКТ. СЕБЕСТ. СТОКИ 9 мес. 2019'!DQ34)</f>
        <v>0</v>
      </c>
      <c r="Y25" s="3349">
        <f>SUM('ФАКТ. СЕБЕСТ. СТОКИ 9 мес. 2019'!EA34)</f>
        <v>832.918703505439</v>
      </c>
      <c r="Z25" s="3349">
        <f>SUM('ФАКТ. СЕБЕСТ. СТОКИ 9 мес. 2019'!EB34)</f>
        <v>832.918703505439</v>
      </c>
      <c r="AA25" s="3349">
        <f>SUM('ФАКТ. СЕБЕСТ. СТОКИ 9 мес. 2019'!EC34)</f>
        <v>0</v>
      </c>
      <c r="AB25" s="3349">
        <f>SUM('ФАКТ. СЕБЕСТ. СТОКИ 9 мес. 2019'!FN34)</f>
        <v>277.63956783514635</v>
      </c>
      <c r="AC25" s="3349">
        <f>SUM('ФАКТ. СЕБЕСТ. СТОКИ 9 мес. 2019'!FO34)</f>
        <v>277.63956783514635</v>
      </c>
      <c r="AD25" s="3349">
        <f>SUM('ФАКТ. СЕБЕСТ. СТОКИ 9 мес. 2019'!FP34)</f>
        <v>0</v>
      </c>
      <c r="AE25" s="3349">
        <f>SUM('ФАКТ. СЕБЕСТ. СТОКИ 9 мес. 2019'!FZ34)</f>
        <v>1110.5582713405854</v>
      </c>
      <c r="AF25" s="3349">
        <f>SUM('ФАКТ. СЕБЕСТ. СТОКИ 9 мес. 2019'!GA34)</f>
        <v>1110.5582713405854</v>
      </c>
      <c r="AG25" s="3364">
        <f>SUM('ФАКТ. СЕБЕСТ. СТОКИ 9 мес. 2019'!GB34)</f>
        <v>0</v>
      </c>
    </row>
    <row r="26" spans="1:33" ht="18.75" customHeight="1" x14ac:dyDescent="0.3">
      <c r="A26" s="3362" t="s">
        <v>3</v>
      </c>
      <c r="B26" s="3370"/>
      <c r="C26" s="3370"/>
      <c r="D26" s="3370"/>
      <c r="E26" s="3370"/>
      <c r="F26" s="3370"/>
      <c r="G26" s="3370"/>
      <c r="H26" s="3370"/>
      <c r="I26" s="3370"/>
      <c r="J26" s="3370"/>
      <c r="K26" s="3370"/>
      <c r="L26" s="3395" t="s">
        <v>915</v>
      </c>
      <c r="M26" s="3349">
        <f>SUM('ФАКТ. СЕБЕСТ. СТОКИ 9 мес. 2019'!AC35)</f>
        <v>444.97257999999999</v>
      </c>
      <c r="N26" s="3349">
        <f>SUM('ФАКТ. СЕБЕСТ. СТОКИ 9 мес. 2019'!AD35)</f>
        <v>444.97257999999999</v>
      </c>
      <c r="O26" s="3349">
        <f>SUM('ФАКТ. СЕБЕСТ. СТОКИ 9 мес. 2019'!AE35)</f>
        <v>0</v>
      </c>
      <c r="P26" s="3349">
        <f>SUM('ФАКТ. СЕБЕСТ. СТОКИ 9 мес. 2019'!BP35)</f>
        <v>444.97257999999999</v>
      </c>
      <c r="Q26" s="3349">
        <f>SUM('ФАКТ. СЕБЕСТ. СТОКИ 9 мес. 2019'!BQ35)</f>
        <v>444.97257999999999</v>
      </c>
      <c r="R26" s="3349">
        <f>SUM('ФАКТ. СЕБЕСТ. СТОКИ 9 мес. 2019'!BR35)</f>
        <v>0</v>
      </c>
      <c r="S26" s="3349">
        <f>SUM('ФАКТ. СЕБЕСТ. СТОКИ 9 мес. 2019'!CB35)</f>
        <v>889.94515999999999</v>
      </c>
      <c r="T26" s="3349">
        <f>SUM('ФАКТ. СЕБЕСТ. СТОКИ 9 мес. 2019'!CC35)</f>
        <v>889.94515999999999</v>
      </c>
      <c r="U26" s="3349">
        <f>SUM('ФАКТ. СЕБЕСТ. СТОКИ 9 мес. 2019'!CD35)</f>
        <v>0</v>
      </c>
      <c r="V26" s="3349">
        <f>SUM('ФАКТ. СЕБЕСТ. СТОКИ 9 мес. 2019'!DO35)</f>
        <v>444.97257999999999</v>
      </c>
      <c r="W26" s="3349">
        <f>SUM('ФАКТ. СЕБЕСТ. СТОКИ 9 мес. 2019'!DP35)</f>
        <v>444.97257999999999</v>
      </c>
      <c r="X26" s="3349">
        <f>SUM('ФАКТ. СЕБЕСТ. СТОКИ 9 мес. 2019'!DQ35)</f>
        <v>0</v>
      </c>
      <c r="Y26" s="3349">
        <f>SUM('ФАКТ. СЕБЕСТ. СТОКИ 9 мес. 2019'!EA35)</f>
        <v>1334.9177399999999</v>
      </c>
      <c r="Z26" s="3349">
        <f>SUM('ФАКТ. СЕБЕСТ. СТОКИ 9 мес. 2019'!EB35)</f>
        <v>1334.9177399999999</v>
      </c>
      <c r="AA26" s="3349">
        <f>SUM('ФАКТ. СЕБЕСТ. СТОКИ 9 мес. 2019'!EC35)</f>
        <v>0</v>
      </c>
      <c r="AB26" s="3349">
        <f>SUM('ФАКТ. СЕБЕСТ. СТОКИ 9 мес. 2019'!FN35)</f>
        <v>444.97257999999999</v>
      </c>
      <c r="AC26" s="3349">
        <f>SUM('ФАКТ. СЕБЕСТ. СТОКИ 9 мес. 2019'!FO35)</f>
        <v>444.97257999999999</v>
      </c>
      <c r="AD26" s="3349">
        <f>SUM('ФАКТ. СЕБЕСТ. СТОКИ 9 мес. 2019'!FP35)</f>
        <v>0</v>
      </c>
      <c r="AE26" s="3349">
        <f>SUM('ФАКТ. СЕБЕСТ. СТОКИ 9 мес. 2019'!FZ35)</f>
        <v>1779.89032</v>
      </c>
      <c r="AF26" s="3349">
        <f>SUM('ФАКТ. СЕБЕСТ. СТОКИ 9 мес. 2019'!GA35)</f>
        <v>1779.89032</v>
      </c>
      <c r="AG26" s="3364">
        <f>SUM('ФАКТ. СЕБЕСТ. СТОКИ 9 мес. 2019'!GB35)</f>
        <v>0</v>
      </c>
    </row>
    <row r="27" spans="1:33" ht="18.75" customHeight="1" x14ac:dyDescent="0.3">
      <c r="A27" s="3362" t="s">
        <v>4</v>
      </c>
      <c r="B27" s="3370"/>
      <c r="C27" s="3370"/>
      <c r="D27" s="3370"/>
      <c r="E27" s="3370"/>
      <c r="F27" s="3370"/>
      <c r="G27" s="3370"/>
      <c r="H27" s="3370"/>
      <c r="I27" s="3370"/>
      <c r="J27" s="3370"/>
      <c r="K27" s="3370"/>
      <c r="L27" s="3395" t="s">
        <v>915</v>
      </c>
      <c r="M27" s="3349">
        <f>SUM('ФАКТ. СЕБЕСТ. СТОКИ 9 мес. 2019'!AC36)</f>
        <v>9398.2523579999997</v>
      </c>
      <c r="N27" s="3349">
        <f>SUM('ФАКТ. СЕБЕСТ. СТОКИ 9 мес. 2019'!AD36)</f>
        <v>9368.429978378028</v>
      </c>
      <c r="O27" s="3349">
        <f>SUM('ФАКТ. СЕБЕСТ. СТОКИ 9 мес. 2019'!AE36)</f>
        <v>29.822379621972239</v>
      </c>
      <c r="P27" s="3349">
        <f>SUM('ФАКТ. СЕБЕСТ. СТОКИ 9 мес. 2019'!BP36)</f>
        <v>9398.2523579999997</v>
      </c>
      <c r="Q27" s="3349">
        <f>SUM('ФАКТ. СЕБЕСТ. СТОКИ 9 мес. 2019'!BQ36)</f>
        <v>9368.429978378028</v>
      </c>
      <c r="R27" s="3349">
        <f>SUM('ФАКТ. СЕБЕСТ. СТОКИ 9 мес. 2019'!BR36)</f>
        <v>29.822379621972239</v>
      </c>
      <c r="S27" s="3349">
        <f>SUM('ФАКТ. СЕБЕСТ. СТОКИ 9 мес. 2019'!CB36)</f>
        <v>18796.504715999999</v>
      </c>
      <c r="T27" s="3349">
        <f>SUM('ФАКТ. СЕБЕСТ. СТОКИ 9 мес. 2019'!CC36)</f>
        <v>18736.859956756056</v>
      </c>
      <c r="U27" s="3349">
        <f>SUM('ФАКТ. СЕБЕСТ. СТОКИ 9 мес. 2019'!CD36)</f>
        <v>59.644759243944478</v>
      </c>
      <c r="V27" s="3349">
        <f>SUM('ФАКТ. СЕБЕСТ. СТОКИ 9 мес. 2019'!DO36)</f>
        <v>9398.2523579999997</v>
      </c>
      <c r="W27" s="3349">
        <f>SUM('ФАКТ. СЕБЕСТ. СТОКИ 9 мес. 2019'!DP36)</f>
        <v>9368.429978378028</v>
      </c>
      <c r="X27" s="3349">
        <f>SUM('ФАКТ. СЕБЕСТ. СТОКИ 9 мес. 2019'!DQ36)</f>
        <v>29.822379621972239</v>
      </c>
      <c r="Y27" s="3349">
        <f>SUM('ФАКТ. СЕБЕСТ. СТОКИ 9 мес. 2019'!EA36)</f>
        <v>28194.757074000001</v>
      </c>
      <c r="Z27" s="3349">
        <f>SUM('ФАКТ. СЕБЕСТ. СТОКИ 9 мес. 2019'!EB36)</f>
        <v>28105.289935134082</v>
      </c>
      <c r="AA27" s="3349">
        <f>SUM('ФАКТ. СЕБЕСТ. СТОКИ 9 мес. 2019'!EC36)</f>
        <v>89.467138865916723</v>
      </c>
      <c r="AB27" s="3349">
        <f>SUM('ФАКТ. СЕБЕСТ. СТОКИ 9 мес. 2019'!FN36)</f>
        <v>9398.2523579999997</v>
      </c>
      <c r="AC27" s="3349">
        <f>SUM('ФАКТ. СЕБЕСТ. СТОКИ 9 мес. 2019'!FO36)</f>
        <v>9368.429978378028</v>
      </c>
      <c r="AD27" s="3349">
        <f>SUM('ФАКТ. СЕБЕСТ. СТОКИ 9 мес. 2019'!FP36)</f>
        <v>29.822379621972239</v>
      </c>
      <c r="AE27" s="3349">
        <f>SUM('ФАКТ. СЕБЕСТ. СТОКИ 9 мес. 2019'!FZ36)</f>
        <v>37593.009431999999</v>
      </c>
      <c r="AF27" s="3349">
        <f>SUM('ФАКТ. СЕБЕСТ. СТОКИ 9 мес. 2019'!GA36)</f>
        <v>37473.719913512112</v>
      </c>
      <c r="AG27" s="3364">
        <f>SUM('ФАКТ. СЕБЕСТ. СТОКИ 9 мес. 2019'!GB36)</f>
        <v>119.28951848788896</v>
      </c>
    </row>
    <row r="28" spans="1:33" ht="18.75" customHeight="1" x14ac:dyDescent="0.3">
      <c r="A28" s="3362" t="s">
        <v>117</v>
      </c>
      <c r="B28" s="3370"/>
      <c r="C28" s="3370"/>
      <c r="D28" s="3370"/>
      <c r="E28" s="3370"/>
      <c r="F28" s="3370"/>
      <c r="G28" s="3370"/>
      <c r="H28" s="3370"/>
      <c r="I28" s="3370"/>
      <c r="J28" s="3370"/>
      <c r="K28" s="3370"/>
      <c r="L28" s="3395" t="s">
        <v>915</v>
      </c>
      <c r="M28" s="3349">
        <f>SUM('ФАКТ. СЕБЕСТ. СТОКИ 9 мес. 2019'!AC37)</f>
        <v>2831.7313528633222</v>
      </c>
      <c r="N28" s="3349">
        <f>SUM('ФАКТ. СЕБЕСТ. СТОКИ 9 мес. 2019'!AD37)</f>
        <v>2822.7460227782517</v>
      </c>
      <c r="O28" s="3349">
        <f>SUM('ФАКТ. СЕБЕСТ. СТОКИ 9 мес. 2019'!AE37)</f>
        <v>8.9853300850704869</v>
      </c>
      <c r="P28" s="3349">
        <f>SUM('ФАКТ. СЕБЕСТ. СТОКИ 9 мес. 2019'!BP37)</f>
        <v>2831.7313528633222</v>
      </c>
      <c r="Q28" s="3349">
        <f>SUM('ФАКТ. СЕБЕСТ. СТОКИ 9 мес. 2019'!BQ37)</f>
        <v>2822.7460227782517</v>
      </c>
      <c r="R28" s="3349">
        <f>SUM('ФАКТ. СЕБЕСТ. СТОКИ 9 мес. 2019'!BR37)</f>
        <v>8.9853300850704869</v>
      </c>
      <c r="S28" s="3349">
        <f>SUM('ФАКТ. СЕБЕСТ. СТОКИ 9 мес. 2019'!CB37)</f>
        <v>5663.4627057266443</v>
      </c>
      <c r="T28" s="3349">
        <f>SUM('ФАКТ. СЕБЕСТ. СТОКИ 9 мес. 2019'!CC37)</f>
        <v>5645.4920455565034</v>
      </c>
      <c r="U28" s="3349">
        <f>SUM('ФАКТ. СЕБЕСТ. СТОКИ 9 мес. 2019'!CD37)</f>
        <v>17.970660170140974</v>
      </c>
      <c r="V28" s="3349">
        <f>SUM('ФАКТ. СЕБЕСТ. СТОКИ 9 мес. 2019'!DO37)</f>
        <v>2831.7313528633222</v>
      </c>
      <c r="W28" s="3349">
        <f>SUM('ФАКТ. СЕБЕСТ. СТОКИ 9 мес. 2019'!DP37)</f>
        <v>2822.7460227782517</v>
      </c>
      <c r="X28" s="3349">
        <f>SUM('ФАКТ. СЕБЕСТ. СТОКИ 9 мес. 2019'!DQ37)</f>
        <v>8.9853300850704869</v>
      </c>
      <c r="Y28" s="3349">
        <f>SUM('ФАКТ. СЕБЕСТ. СТОКИ 9 мес. 2019'!EA37)</f>
        <v>8495.1940585899665</v>
      </c>
      <c r="Z28" s="3349">
        <f>SUM('ФАКТ. СЕБЕСТ. СТОКИ 9 мес. 2019'!EB37)</f>
        <v>8468.2380683347546</v>
      </c>
      <c r="AA28" s="3349">
        <f>SUM('ФАКТ. СЕБЕСТ. СТОКИ 9 мес. 2019'!EC37)</f>
        <v>26.955990255211461</v>
      </c>
      <c r="AB28" s="3349">
        <f>SUM('ФАКТ. СЕБЕСТ. СТОКИ 9 мес. 2019'!FN37)</f>
        <v>2831.7313528633222</v>
      </c>
      <c r="AC28" s="3349">
        <f>SUM('ФАКТ. СЕБЕСТ. СТОКИ 9 мес. 2019'!FO37)</f>
        <v>2822.7460227782517</v>
      </c>
      <c r="AD28" s="3349">
        <f>SUM('ФАКТ. СЕБЕСТ. СТОКИ 9 мес. 2019'!FP37)</f>
        <v>8.9853300850704869</v>
      </c>
      <c r="AE28" s="3349">
        <f>SUM('ФАКТ. СЕБЕСТ. СТОКИ 9 мес. 2019'!FZ37)</f>
        <v>11326.925411453289</v>
      </c>
      <c r="AF28" s="3349">
        <f>SUM('ФАКТ. СЕБЕСТ. СТОКИ 9 мес. 2019'!GA37)</f>
        <v>11290.984091113007</v>
      </c>
      <c r="AG28" s="3364">
        <f>SUM('ФАКТ. СЕБЕСТ. СТОКИ 9 мес. 2019'!GB37)</f>
        <v>35.941320340281948</v>
      </c>
    </row>
    <row r="29" spans="1:33" ht="18.75" customHeight="1" x14ac:dyDescent="0.3">
      <c r="A29" s="3365" t="s">
        <v>318</v>
      </c>
      <c r="B29" s="3370"/>
      <c r="C29" s="3370"/>
      <c r="D29" s="3370"/>
      <c r="E29" s="3370"/>
      <c r="F29" s="3370"/>
      <c r="G29" s="3370"/>
      <c r="H29" s="3370"/>
      <c r="I29" s="3370"/>
      <c r="J29" s="3370"/>
      <c r="K29" s="3370"/>
      <c r="L29" s="3395" t="s">
        <v>44</v>
      </c>
      <c r="M29" s="3378">
        <f>SUM('ФАКТ. СЕБЕСТ. СТОКИ 9 мес. 2019'!AC38)</f>
        <v>0.30130403451583104</v>
      </c>
      <c r="N29" s="3378">
        <f>SUM('ФАКТ. СЕБЕСТ. СТОКИ 9 мес. 2019'!AD38)</f>
        <v>0.30130406367908386</v>
      </c>
      <c r="O29" s="3378">
        <f>SUM('ФАКТ. СЕБЕСТ. СТОКИ 9 мес. 2019'!AE38)</f>
        <v>0.30129487314454156</v>
      </c>
      <c r="P29" s="3378">
        <f>SUM('ФАКТ. СЕБЕСТ. СТОКИ 9 мес. 2019'!BP38)</f>
        <v>0.30130403451583104</v>
      </c>
      <c r="Q29" s="3378">
        <f>SUM('ФАКТ. СЕБЕСТ. СТОКИ 9 мес. 2019'!BQ38)</f>
        <v>0.30130406367908386</v>
      </c>
      <c r="R29" s="3378">
        <f>SUM('ФАКТ. СЕБЕСТ. СТОКИ 9 мес. 2019'!BR38)</f>
        <v>0.30129487314454156</v>
      </c>
      <c r="S29" s="3378">
        <f>SUM('ФАКТ. СЕБЕСТ. СТОКИ 9 мес. 2019'!CB38)</f>
        <v>0.30130403451583104</v>
      </c>
      <c r="T29" s="3378">
        <f>SUM('ФАКТ. СЕБЕСТ. СТОКИ 9 мес. 2019'!CC38)</f>
        <v>0.30130406367908386</v>
      </c>
      <c r="U29" s="3378">
        <f>SUM('ФАКТ. СЕБЕСТ. СТОКИ 9 мес. 2019'!CD38)</f>
        <v>0.30129487314454156</v>
      </c>
      <c r="V29" s="3378">
        <f>SUM('ФАКТ. СЕБЕСТ. СТОКИ 9 мес. 2019'!DO38)</f>
        <v>0.30130403451583104</v>
      </c>
      <c r="W29" s="3378">
        <f>SUM('ФАКТ. СЕБЕСТ. СТОКИ 9 мес. 2019'!DP38)</f>
        <v>0.30130406367908386</v>
      </c>
      <c r="X29" s="3378">
        <f>SUM('ФАКТ. СЕБЕСТ. СТОКИ 9 мес. 2019'!DQ38)</f>
        <v>0.30129487314454156</v>
      </c>
      <c r="Y29" s="3378">
        <f>SUM('ФАКТ. СЕБЕСТ. СТОКИ 9 мес. 2019'!EA38)</f>
        <v>0.30130403451583099</v>
      </c>
      <c r="Z29" s="3378">
        <f>SUM('ФАКТ. СЕБЕСТ. СТОКИ 9 мес. 2019'!EB38)</f>
        <v>0.30130406367908386</v>
      </c>
      <c r="AA29" s="3378">
        <f>SUM('ФАКТ. СЕБЕСТ. СТОКИ 9 мес. 2019'!EC38)</f>
        <v>0.30129487314454151</v>
      </c>
      <c r="AB29" s="3378">
        <f>SUM('ФАКТ. СЕБЕСТ. СТОКИ 9 мес. 2019'!FN38)</f>
        <v>0.30130403451583104</v>
      </c>
      <c r="AC29" s="3378">
        <f>SUM('ФАКТ. СЕБЕСТ. СТОКИ 9 мес. 2019'!FO38)</f>
        <v>0.30130406367908386</v>
      </c>
      <c r="AD29" s="3378">
        <f>SUM('ФАКТ. СЕБЕСТ. СТОКИ 9 мес. 2019'!FP38)</f>
        <v>0.30129487314454156</v>
      </c>
      <c r="AE29" s="3378">
        <f>SUM('ФАКТ. СЕБЕСТ. СТОКИ 9 мес. 2019'!FZ38)</f>
        <v>0.30130403451583104</v>
      </c>
      <c r="AF29" s="3378">
        <f>SUM('ФАКТ. СЕБЕСТ. СТОКИ 9 мес. 2019'!GA38)</f>
        <v>0.30130406367908386</v>
      </c>
      <c r="AG29" s="3379">
        <f>SUM('ФАКТ. СЕБЕСТ. СТОКИ 9 мес. 2019'!GB38)</f>
        <v>0.30129487314454156</v>
      </c>
    </row>
    <row r="30" spans="1:33" ht="18.75" customHeight="1" x14ac:dyDescent="0.3">
      <c r="A30" s="3372" t="s">
        <v>3615</v>
      </c>
      <c r="B30" s="3370"/>
      <c r="C30" s="3370"/>
      <c r="D30" s="3370"/>
      <c r="E30" s="3370"/>
      <c r="F30" s="3370"/>
      <c r="G30" s="3370"/>
      <c r="H30" s="3370"/>
      <c r="I30" s="3370"/>
      <c r="J30" s="3370"/>
      <c r="K30" s="3370"/>
      <c r="L30" s="3395" t="s">
        <v>915</v>
      </c>
      <c r="M30" s="3349">
        <f>SUM('ФАКТ. СЕБЕСТ. СТОКИ 9 мес. 2019'!AC39)</f>
        <v>3748.5542268750005</v>
      </c>
      <c r="N30" s="3349">
        <f>SUM('ФАКТ. СЕБЕСТ. СТОКИ 9 мес. 2019'!AD39)</f>
        <v>3734.4327449037391</v>
      </c>
      <c r="O30" s="3349">
        <f>SUM('ФАКТ. СЕБЕСТ. СТОКИ 9 мес. 2019'!AE39)</f>
        <v>14.121481971261126</v>
      </c>
      <c r="P30" s="3349">
        <f>SUM('ФАКТ. СЕБЕСТ. СТОКИ 9 мес. 2019'!BP39)</f>
        <v>3748.5542268750005</v>
      </c>
      <c r="Q30" s="3349">
        <f>SUM('ФАКТ. СЕБЕСТ. СТОКИ 9 мес. 2019'!BQ39)</f>
        <v>3734.4327449037391</v>
      </c>
      <c r="R30" s="3349">
        <f>SUM('ФАКТ. СЕБЕСТ. СТОКИ 9 мес. 2019'!BR39)</f>
        <v>14.121481971261126</v>
      </c>
      <c r="S30" s="3349">
        <f>SUM('ФАКТ. СЕБЕСТ. СТОКИ 9 мес. 2019'!CB39)</f>
        <v>7497.108453750001</v>
      </c>
      <c r="T30" s="3349">
        <f>SUM('ФАКТ. СЕБЕСТ. СТОКИ 9 мес. 2019'!CC39)</f>
        <v>7468.8654898074783</v>
      </c>
      <c r="U30" s="3349">
        <f>SUM('ФАКТ. СЕБЕСТ. СТОКИ 9 мес. 2019'!CD39)</f>
        <v>28.242963942522252</v>
      </c>
      <c r="V30" s="3349">
        <f>SUM('ФАКТ. СЕБЕСТ. СТОКИ 9 мес. 2019'!DO39)</f>
        <v>3748.5542268750005</v>
      </c>
      <c r="W30" s="3349">
        <f>SUM('ФАКТ. СЕБЕСТ. СТОКИ 9 мес. 2019'!DP39)</f>
        <v>3734.4327449037391</v>
      </c>
      <c r="X30" s="3349">
        <f>SUM('ФАКТ. СЕБЕСТ. СТОКИ 9 мес. 2019'!DQ39)</f>
        <v>14.121481971261126</v>
      </c>
      <c r="Y30" s="3349">
        <f>SUM('ФАКТ. СЕБЕСТ. СТОКИ 9 мес. 2019'!EA39)</f>
        <v>11245.662680625002</v>
      </c>
      <c r="Z30" s="3349">
        <f>SUM('ФАКТ. СЕБЕСТ. СТОКИ 9 мес. 2019'!EB39)</f>
        <v>11203.298234711217</v>
      </c>
      <c r="AA30" s="3349">
        <f>SUM('ФАКТ. СЕБЕСТ. СТОКИ 9 мес. 2019'!EC39)</f>
        <v>42.364445913783378</v>
      </c>
      <c r="AB30" s="3349">
        <f>SUM('ФАКТ. СЕБЕСТ. СТОКИ 9 мес. 2019'!FN39)</f>
        <v>3748.5542268750005</v>
      </c>
      <c r="AC30" s="3349">
        <f>SUM('ФАКТ. СЕБЕСТ. СТОКИ 9 мес. 2019'!FO39)</f>
        <v>3734.4327449037391</v>
      </c>
      <c r="AD30" s="3349">
        <f>SUM('ФАКТ. СЕБЕСТ. СТОКИ 9 мес. 2019'!FP39)</f>
        <v>14.121481971261126</v>
      </c>
      <c r="AE30" s="3349">
        <f>SUM('ФАКТ. СЕБЕСТ. СТОКИ 9 мес. 2019'!FZ39)</f>
        <v>14994.216907500002</v>
      </c>
      <c r="AF30" s="3349">
        <f>SUM('ФАКТ. СЕБЕСТ. СТОКИ 9 мес. 2019'!GA39)</f>
        <v>14937.730979614957</v>
      </c>
      <c r="AG30" s="3364">
        <f>SUM('ФАКТ. СЕБЕСТ. СТОКИ 9 мес. 2019'!GB39)</f>
        <v>56.485927885044504</v>
      </c>
    </row>
    <row r="31" spans="1:33" ht="18.75" customHeight="1" x14ac:dyDescent="0.3">
      <c r="A31" s="3368" t="s">
        <v>3616</v>
      </c>
      <c r="B31" s="3396"/>
      <c r="C31" s="3396"/>
      <c r="D31" s="3396"/>
      <c r="E31" s="3396"/>
      <c r="F31" s="3396"/>
      <c r="G31" s="3396"/>
      <c r="H31" s="3396"/>
      <c r="I31" s="3396"/>
      <c r="J31" s="3396"/>
      <c r="K31" s="3396"/>
      <c r="L31" s="3395" t="s">
        <v>915</v>
      </c>
      <c r="M31" s="3351">
        <f>SUM('ФАКТ. СЕБЕСТ. СТОКИ 9 мес. 2019'!AC40)</f>
        <v>1679.91</v>
      </c>
      <c r="N31" s="3351">
        <f>SUM('ФАКТ. СЕБЕСТ. СТОКИ 9 мес. 2019'!AD40)</f>
        <v>1673.1465558963455</v>
      </c>
      <c r="O31" s="3351">
        <f>SUM('ФАКТ. СЕБЕСТ. СТОКИ 9 мес. 2019'!AE40)</f>
        <v>6.7634441036546935</v>
      </c>
      <c r="P31" s="3351">
        <f>SUM('ФАКТ. СЕБЕСТ. СТОКИ 9 мес. 2019'!BP40)</f>
        <v>1679.91</v>
      </c>
      <c r="Q31" s="3351">
        <f>SUM('ФАКТ. СЕБЕСТ. СТОКИ 9 мес. 2019'!BQ40)</f>
        <v>1673.1465558963455</v>
      </c>
      <c r="R31" s="3351">
        <f>SUM('ФАКТ. СЕБЕСТ. СТОКИ 9 мес. 2019'!BR40)</f>
        <v>6.7634441036546935</v>
      </c>
      <c r="S31" s="3351">
        <f>SUM('ФАКТ. СЕБЕСТ. СТОКИ 9 мес. 2019'!CB40)</f>
        <v>3359.82</v>
      </c>
      <c r="T31" s="3351">
        <f>SUM('ФАКТ. СЕБЕСТ. СТОКИ 9 мес. 2019'!CC40)</f>
        <v>3346.293111792691</v>
      </c>
      <c r="U31" s="3351">
        <f>SUM('ФАКТ. СЕБЕСТ. СТОКИ 9 мес. 2019'!CD40)</f>
        <v>13.526888207309387</v>
      </c>
      <c r="V31" s="3351">
        <f>SUM('ФАКТ. СЕБЕСТ. СТОКИ 9 мес. 2019'!DO40)</f>
        <v>1679.91</v>
      </c>
      <c r="W31" s="3351">
        <f>SUM('ФАКТ. СЕБЕСТ. СТОКИ 9 мес. 2019'!DP40)</f>
        <v>1673.1465558963455</v>
      </c>
      <c r="X31" s="3351">
        <f>SUM('ФАКТ. СЕБЕСТ. СТОКИ 9 мес. 2019'!DQ40)</f>
        <v>6.7634441036546935</v>
      </c>
      <c r="Y31" s="3351">
        <f>SUM('ФАКТ. СЕБЕСТ. СТОКИ 9 мес. 2019'!EA40)</f>
        <v>5039.7300000000005</v>
      </c>
      <c r="Z31" s="3351">
        <f>SUM('ФАКТ. СЕБЕСТ. СТОКИ 9 мес. 2019'!EB40)</f>
        <v>5019.4396676890365</v>
      </c>
      <c r="AA31" s="3351">
        <f>SUM('ФАКТ. СЕБЕСТ. СТОКИ 9 мес. 2019'!EC40)</f>
        <v>20.290332310964082</v>
      </c>
      <c r="AB31" s="3351">
        <f>SUM('ФАКТ. СЕБЕСТ. СТОКИ 9 мес. 2019'!FN40)</f>
        <v>1679.91</v>
      </c>
      <c r="AC31" s="3351">
        <f>SUM('ФАКТ. СЕБЕСТ. СТОКИ 9 мес. 2019'!FO40)</f>
        <v>1673.1465558963455</v>
      </c>
      <c r="AD31" s="3351">
        <f>SUM('ФАКТ. СЕБЕСТ. СТОКИ 9 мес. 2019'!FP40)</f>
        <v>6.7634441036546935</v>
      </c>
      <c r="AE31" s="3351">
        <f>SUM('ФАКТ. СЕБЕСТ. СТОКИ 9 мес. 2019'!FZ40)</f>
        <v>6719.64</v>
      </c>
      <c r="AF31" s="3351">
        <f>SUM('ФАКТ. СЕБЕСТ. СТОКИ 9 мес. 2019'!GA40)</f>
        <v>6692.586223585382</v>
      </c>
      <c r="AG31" s="3366">
        <f>SUM('ФАКТ. СЕБЕСТ. СТОКИ 9 мес. 2019'!GB40)</f>
        <v>27.053776414618774</v>
      </c>
    </row>
    <row r="32" spans="1:33" ht="18.75" customHeight="1" x14ac:dyDescent="0.3">
      <c r="A32" s="3368" t="s">
        <v>3617</v>
      </c>
      <c r="B32" s="3396"/>
      <c r="C32" s="3396"/>
      <c r="D32" s="3396"/>
      <c r="E32" s="3396"/>
      <c r="F32" s="3396"/>
      <c r="G32" s="3396"/>
      <c r="H32" s="3396"/>
      <c r="I32" s="3396"/>
      <c r="J32" s="3396"/>
      <c r="K32" s="3396"/>
      <c r="L32" s="3395" t="s">
        <v>915</v>
      </c>
      <c r="M32" s="3351">
        <f>SUM('ФАКТ. СЕБЕСТ. СТОКИ 9 мес. 2019'!AC41)</f>
        <v>503.97250000000003</v>
      </c>
      <c r="N32" s="3351">
        <f>SUM('ФАКТ. СЕБЕСТ. СТОКИ 9 мес. 2019'!AD41)</f>
        <v>501.94346823137425</v>
      </c>
      <c r="O32" s="3351">
        <f>SUM('ФАКТ. СЕБЕСТ. СТОКИ 9 мес. 2019'!AE41)</f>
        <v>2.029031768625766</v>
      </c>
      <c r="P32" s="3351">
        <f>SUM('ФАКТ. СЕБЕСТ. СТОКИ 9 мес. 2019'!BP41)</f>
        <v>503.97250000000003</v>
      </c>
      <c r="Q32" s="3351">
        <f>SUM('ФАКТ. СЕБЕСТ. СТОКИ 9 мес. 2019'!BQ41)</f>
        <v>501.94346823137425</v>
      </c>
      <c r="R32" s="3351">
        <f>SUM('ФАКТ. СЕБЕСТ. СТОКИ 9 мес. 2019'!BR41)</f>
        <v>2.029031768625766</v>
      </c>
      <c r="S32" s="3351">
        <f>SUM('ФАКТ. СЕБЕСТ. СТОКИ 9 мес. 2019'!CB41)</f>
        <v>1007.9450000000001</v>
      </c>
      <c r="T32" s="3351">
        <f>SUM('ФАКТ. СЕБЕСТ. СТОКИ 9 мес. 2019'!CC41)</f>
        <v>1003.8869364627485</v>
      </c>
      <c r="U32" s="3351">
        <f>SUM('ФАКТ. СЕБЕСТ. СТОКИ 9 мес. 2019'!CD41)</f>
        <v>4.0580635372515319</v>
      </c>
      <c r="V32" s="3351">
        <f>SUM('ФАКТ. СЕБЕСТ. СТОКИ 9 мес. 2019'!DO41)</f>
        <v>503.97250000000003</v>
      </c>
      <c r="W32" s="3351">
        <f>SUM('ФАКТ. СЕБЕСТ. СТОКИ 9 мес. 2019'!DP41)</f>
        <v>501.94346823137425</v>
      </c>
      <c r="X32" s="3351">
        <f>SUM('ФАКТ. СЕБЕСТ. СТОКИ 9 мес. 2019'!DQ41)</f>
        <v>2.029031768625766</v>
      </c>
      <c r="Y32" s="3351">
        <f>SUM('ФАКТ. СЕБЕСТ. СТОКИ 9 мес. 2019'!EA41)</f>
        <v>1511.9175</v>
      </c>
      <c r="Z32" s="3351">
        <f>SUM('ФАКТ. СЕБЕСТ. СТОКИ 9 мес. 2019'!EB41)</f>
        <v>1505.8304046941228</v>
      </c>
      <c r="AA32" s="3351">
        <f>SUM('ФАКТ. СЕБЕСТ. СТОКИ 9 мес. 2019'!EC41)</f>
        <v>6.0870953058772983</v>
      </c>
      <c r="AB32" s="3351">
        <f>SUM('ФАКТ. СЕБЕСТ. СТОКИ 9 мес. 2019'!FN41)</f>
        <v>503.97250000000003</v>
      </c>
      <c r="AC32" s="3351">
        <f>SUM('ФАКТ. СЕБЕСТ. СТОКИ 9 мес. 2019'!FO41)</f>
        <v>501.94346823137425</v>
      </c>
      <c r="AD32" s="3351">
        <f>SUM('ФАКТ. СЕБЕСТ. СТОКИ 9 мес. 2019'!FP41)</f>
        <v>2.029031768625766</v>
      </c>
      <c r="AE32" s="3351">
        <f>SUM('ФАКТ. СЕБЕСТ. СТОКИ 9 мес. 2019'!FZ41)</f>
        <v>2015.89</v>
      </c>
      <c r="AF32" s="3351">
        <f>SUM('ФАКТ. СЕБЕСТ. СТОКИ 9 мес. 2019'!GA41)</f>
        <v>2007.773872925497</v>
      </c>
      <c r="AG32" s="3366">
        <f>SUM('ФАКТ. СЕБЕСТ. СТОКИ 9 мес. 2019'!GB41)</f>
        <v>8.1161270745030638</v>
      </c>
    </row>
    <row r="33" spans="1:33" ht="18.75" customHeight="1" x14ac:dyDescent="0.3">
      <c r="A33" s="3368" t="s">
        <v>31</v>
      </c>
      <c r="B33" s="3396"/>
      <c r="C33" s="3396"/>
      <c r="D33" s="3396"/>
      <c r="E33" s="3396"/>
      <c r="F33" s="3396"/>
      <c r="G33" s="3396"/>
      <c r="H33" s="3396"/>
      <c r="I33" s="3396"/>
      <c r="J33" s="3396"/>
      <c r="K33" s="3396"/>
      <c r="L33" s="3395" t="s">
        <v>915</v>
      </c>
      <c r="M33" s="3351">
        <f>SUM('ФАКТ. СЕБЕСТ. СТОКИ 9 мес. 2019'!AC42)</f>
        <v>262.20767499999999</v>
      </c>
      <c r="N33" s="3351">
        <f>SUM('ФАКТ. СЕБЕСТ. СТОКИ 9 мес. 2019'!AD42)</f>
        <v>262.20767499999999</v>
      </c>
      <c r="O33" s="3351">
        <f>SUM('ФАКТ. СЕБЕСТ. СТОКИ 9 мес. 2019'!AE42)</f>
        <v>0</v>
      </c>
      <c r="P33" s="3351">
        <f>SUM('ФАКТ. СЕБЕСТ. СТОКИ 9 мес. 2019'!BP42)</f>
        <v>262.20767499999999</v>
      </c>
      <c r="Q33" s="3351">
        <f>SUM('ФАКТ. СЕБЕСТ. СТОКИ 9 мес. 2019'!BQ42)</f>
        <v>262.20767499999999</v>
      </c>
      <c r="R33" s="3351">
        <f>SUM('ФАКТ. СЕБЕСТ. СТОКИ 9 мес. 2019'!BR42)</f>
        <v>0</v>
      </c>
      <c r="S33" s="3351">
        <f>SUM('ФАКТ. СЕБЕСТ. СТОКИ 9 мес. 2019'!CB42)</f>
        <v>524.41534999999999</v>
      </c>
      <c r="T33" s="3351">
        <f>SUM('ФАКТ. СЕБЕСТ. СТОКИ 9 мес. 2019'!CC42)</f>
        <v>524.41534999999999</v>
      </c>
      <c r="U33" s="3351">
        <f>SUM('ФАКТ. СЕБЕСТ. СТОКИ 9 мес. 2019'!CD42)</f>
        <v>0</v>
      </c>
      <c r="V33" s="3351">
        <f>SUM('ФАКТ. СЕБЕСТ. СТОКИ 9 мес. 2019'!DO42)</f>
        <v>262.20767499999999</v>
      </c>
      <c r="W33" s="3351">
        <f>SUM('ФАКТ. СЕБЕСТ. СТОКИ 9 мес. 2019'!DP42)</f>
        <v>262.20767499999999</v>
      </c>
      <c r="X33" s="3351">
        <f>SUM('ФАКТ. СЕБЕСТ. СТОКИ 9 мес. 2019'!DQ42)</f>
        <v>0</v>
      </c>
      <c r="Y33" s="3351">
        <f>SUM('ФАКТ. СЕБЕСТ. СТОКИ 9 мес. 2019'!EA42)</f>
        <v>786.62302499999998</v>
      </c>
      <c r="Z33" s="3351">
        <f>SUM('ФАКТ. СЕБЕСТ. СТОКИ 9 мес. 2019'!EB42)</f>
        <v>786.62302499999998</v>
      </c>
      <c r="AA33" s="3351">
        <f>SUM('ФАКТ. СЕБЕСТ. СТОКИ 9 мес. 2019'!EC42)</f>
        <v>0</v>
      </c>
      <c r="AB33" s="3351">
        <f>SUM('ФАКТ. СЕБЕСТ. СТОКИ 9 мес. 2019'!FN42)</f>
        <v>262.20767499999999</v>
      </c>
      <c r="AC33" s="3351">
        <f>SUM('ФАКТ. СЕБЕСТ. СТОКИ 9 мес. 2019'!FO42)</f>
        <v>262.20767499999999</v>
      </c>
      <c r="AD33" s="3351">
        <f>SUM('ФАКТ. СЕБЕСТ. СТОКИ 9 мес. 2019'!FP42)</f>
        <v>0</v>
      </c>
      <c r="AE33" s="3351">
        <f>SUM('ФАКТ. СЕБЕСТ. СТОКИ 9 мес. 2019'!FZ42)</f>
        <v>1048.8307</v>
      </c>
      <c r="AF33" s="3351">
        <f>SUM('ФАКТ. СЕБЕСТ. СТОКИ 9 мес. 2019'!GA42)</f>
        <v>1048.8307</v>
      </c>
      <c r="AG33" s="3366">
        <f>SUM('ФАКТ. СЕБЕСТ. СТОКИ 9 мес. 2019'!GB42)</f>
        <v>0</v>
      </c>
    </row>
    <row r="34" spans="1:33" ht="18.75" customHeight="1" x14ac:dyDescent="0.3">
      <c r="A34" s="3368" t="s">
        <v>295</v>
      </c>
      <c r="B34" s="3396"/>
      <c r="C34" s="3396"/>
      <c r="D34" s="3396"/>
      <c r="E34" s="3396"/>
      <c r="F34" s="3396"/>
      <c r="G34" s="3396"/>
      <c r="H34" s="3396"/>
      <c r="I34" s="3396"/>
      <c r="J34" s="3396"/>
      <c r="K34" s="3396"/>
      <c r="L34" s="3395" t="s">
        <v>915</v>
      </c>
      <c r="M34" s="3351">
        <f>SUM('ФАКТ. СЕБЕСТ. СТОКИ 9 мес. 2019'!AC43)</f>
        <v>1302.464051875</v>
      </c>
      <c r="N34" s="3351">
        <f>SUM('ФАКТ. СЕБЕСТ. СТОКИ 9 мес. 2019'!AD43)</f>
        <v>1297.1350457760195</v>
      </c>
      <c r="O34" s="3351">
        <f>SUM('ФАКТ. СЕБЕСТ. СТОКИ 9 мес. 2019'!AE43)</f>
        <v>5.3290060989806651</v>
      </c>
      <c r="P34" s="3351">
        <f>SUM('ФАКТ. СЕБЕСТ. СТОКИ 9 мес. 2019'!BP43)</f>
        <v>1302.464051875</v>
      </c>
      <c r="Q34" s="3351">
        <f>SUM('ФАКТ. СЕБЕСТ. СТОКИ 9 мес. 2019'!BQ43)</f>
        <v>1297.1350457760195</v>
      </c>
      <c r="R34" s="3351">
        <f>SUM('ФАКТ. СЕБЕСТ. СТОКИ 9 мес. 2019'!BR43)</f>
        <v>5.3290060989806651</v>
      </c>
      <c r="S34" s="3351">
        <f>SUM('ФАКТ. СЕБЕСТ. СТОКИ 9 мес. 2019'!CB43)</f>
        <v>2604.92810375</v>
      </c>
      <c r="T34" s="3351">
        <f>SUM('ФАКТ. СЕБЕСТ. СТОКИ 9 мес. 2019'!CC43)</f>
        <v>2594.270091552039</v>
      </c>
      <c r="U34" s="3351">
        <f>SUM('ФАКТ. СЕБЕСТ. СТОКИ 9 мес. 2019'!CD43)</f>
        <v>10.65801219796133</v>
      </c>
      <c r="V34" s="3351">
        <f>SUM('ФАКТ. СЕБЕСТ. СТОКИ 9 мес. 2019'!DO43)</f>
        <v>1302.464051875</v>
      </c>
      <c r="W34" s="3351">
        <f>SUM('ФАКТ. СЕБЕСТ. СТОКИ 9 мес. 2019'!DP43)</f>
        <v>1297.1350457760195</v>
      </c>
      <c r="X34" s="3351">
        <f>SUM('ФАКТ. СЕБЕСТ. СТОКИ 9 мес. 2019'!DQ43)</f>
        <v>5.3290060989806651</v>
      </c>
      <c r="Y34" s="3351">
        <f>SUM('ФАКТ. СЕБЕСТ. СТОКИ 9 мес. 2019'!EA43)</f>
        <v>3907.3921556249998</v>
      </c>
      <c r="Z34" s="3351">
        <f>SUM('ФАКТ. СЕБЕСТ. СТОКИ 9 мес. 2019'!EB43)</f>
        <v>3891.4051373280586</v>
      </c>
      <c r="AA34" s="3351">
        <f>SUM('ФАКТ. СЕБЕСТ. СТОКИ 9 мес. 2019'!EC43)</f>
        <v>15.987018296941995</v>
      </c>
      <c r="AB34" s="3351">
        <f>SUM('ФАКТ. СЕБЕСТ. СТОКИ 9 мес. 2019'!FN43)</f>
        <v>1302.464051875</v>
      </c>
      <c r="AC34" s="3351">
        <f>SUM('ФАКТ. СЕБЕСТ. СТОКИ 9 мес. 2019'!FO43)</f>
        <v>1297.1350457760195</v>
      </c>
      <c r="AD34" s="3351">
        <f>SUM('ФАКТ. СЕБЕСТ. СТОКИ 9 мес. 2019'!FP43)</f>
        <v>5.3290060989806651</v>
      </c>
      <c r="AE34" s="3351">
        <f>SUM('ФАКТ. СЕБЕСТ. СТОКИ 9 мес. 2019'!FZ43)</f>
        <v>5209.8562075</v>
      </c>
      <c r="AF34" s="3351">
        <f>SUM('ФАКТ. СЕБЕСТ. СТОКИ 9 мес. 2019'!GA43)</f>
        <v>5188.5401831040781</v>
      </c>
      <c r="AG34" s="3366">
        <f>SUM('ФАКТ. СЕБЕСТ. СТОКИ 9 мес. 2019'!GB43)</f>
        <v>21.316024395922661</v>
      </c>
    </row>
    <row r="35" spans="1:33" ht="18.75" customHeight="1" x14ac:dyDescent="0.3">
      <c r="A35" s="3372" t="s">
        <v>3602</v>
      </c>
      <c r="B35" s="3397"/>
      <c r="C35" s="3397"/>
      <c r="D35" s="3397"/>
      <c r="E35" s="3397"/>
      <c r="F35" s="3397"/>
      <c r="G35" s="3397"/>
      <c r="H35" s="3397"/>
      <c r="I35" s="3397"/>
      <c r="J35" s="3397"/>
      <c r="K35" s="3397"/>
      <c r="L35" s="3395" t="s">
        <v>915</v>
      </c>
      <c r="M35" s="3349">
        <f>SUM('ФАКТ. СЕБЕСТ. СТОКИ 9 мес. 2019'!AC44)</f>
        <v>252.41615507494686</v>
      </c>
      <c r="N35" s="3349">
        <f>SUM('ФАКТ. СЕБЕСТ. СТОКИ 9 мес. 2019'!AD44)</f>
        <v>250.93761194363458</v>
      </c>
      <c r="O35" s="3349">
        <f>SUM('ФАКТ. СЕБЕСТ. СТОКИ 9 мес. 2019'!AE44)</f>
        <v>1.4785431313122359</v>
      </c>
      <c r="P35" s="3349">
        <f>SUM('ФАКТ. СЕБЕСТ. СТОКИ 9 мес. 2019'!BP44)</f>
        <v>252.41615507494686</v>
      </c>
      <c r="Q35" s="3349">
        <f>SUM('ФАКТ. СЕБЕСТ. СТОКИ 9 мес. 2019'!BQ44)</f>
        <v>250.93761194363458</v>
      </c>
      <c r="R35" s="3349">
        <f>SUM('ФАКТ. СЕБЕСТ. СТОКИ 9 мес. 2019'!BR44)</f>
        <v>1.4785431313122359</v>
      </c>
      <c r="S35" s="3349">
        <f>SUM('ФАКТ. СЕБЕСТ. СТОКИ 9 мес. 2019'!CB44)</f>
        <v>504.83231014989371</v>
      </c>
      <c r="T35" s="3349">
        <f>SUM('ФАКТ. СЕБЕСТ. СТОКИ 9 мес. 2019'!CC44)</f>
        <v>501.87522388726916</v>
      </c>
      <c r="U35" s="3349">
        <f>SUM('ФАКТ. СЕБЕСТ. СТОКИ 9 мес. 2019'!CD44)</f>
        <v>2.9570862626244718</v>
      </c>
      <c r="V35" s="3349">
        <f>SUM('ФАКТ. СЕБЕСТ. СТОКИ 9 мес. 2019'!DO44)</f>
        <v>252.41615507494686</v>
      </c>
      <c r="W35" s="3349">
        <f>SUM('ФАКТ. СЕБЕСТ. СТОКИ 9 мес. 2019'!DP44)</f>
        <v>250.93761194363458</v>
      </c>
      <c r="X35" s="3349">
        <f>SUM('ФАКТ. СЕБЕСТ. СТОКИ 9 мес. 2019'!DQ44)</f>
        <v>1.4785431313122359</v>
      </c>
      <c r="Y35" s="3349">
        <f>SUM('ФАКТ. СЕБЕСТ. СТОКИ 9 мес. 2019'!EA44)</f>
        <v>757.24846522484063</v>
      </c>
      <c r="Z35" s="3349">
        <f>SUM('ФАКТ. СЕБЕСТ. СТОКИ 9 мес. 2019'!EB44)</f>
        <v>752.81283583090374</v>
      </c>
      <c r="AA35" s="3349">
        <f>SUM('ФАКТ. СЕБЕСТ. СТОКИ 9 мес. 2019'!EC44)</f>
        <v>4.4356293939367077</v>
      </c>
      <c r="AB35" s="3349">
        <f>SUM('ФАКТ. СЕБЕСТ. СТОКИ 9 мес. 2019'!FN44)</f>
        <v>252.41615507494686</v>
      </c>
      <c r="AC35" s="3349">
        <f>SUM('ФАКТ. СЕБЕСТ. СТОКИ 9 мес. 2019'!FO44)</f>
        <v>250.93761194363458</v>
      </c>
      <c r="AD35" s="3349">
        <f>SUM('ФАКТ. СЕБЕСТ. СТОКИ 9 мес. 2019'!FP44)</f>
        <v>1.4785431313122359</v>
      </c>
      <c r="AE35" s="3349">
        <f>SUM('ФАКТ. СЕБЕСТ. СТОКИ 9 мес. 2019'!FZ44)</f>
        <v>1009.6646202997874</v>
      </c>
      <c r="AF35" s="3349">
        <f>SUM('ФАКТ. СЕБЕСТ. СТОКИ 9 мес. 2019'!GA44)</f>
        <v>1003.7504477745383</v>
      </c>
      <c r="AG35" s="3364">
        <f>SUM('ФАКТ. СЕБЕСТ. СТОКИ 9 мес. 2019'!GB44)</f>
        <v>5.9141725252489437</v>
      </c>
    </row>
    <row r="36" spans="1:33" ht="18.75" customHeight="1" x14ac:dyDescent="0.3">
      <c r="A36" s="3365" t="s">
        <v>3727</v>
      </c>
      <c r="B36" s="3397"/>
      <c r="C36" s="3397"/>
      <c r="D36" s="3397"/>
      <c r="E36" s="3397"/>
      <c r="F36" s="3397"/>
      <c r="G36" s="3397"/>
      <c r="H36" s="3397"/>
      <c r="I36" s="3397"/>
      <c r="J36" s="3397"/>
      <c r="K36" s="3397"/>
      <c r="L36" s="3395" t="s">
        <v>915</v>
      </c>
      <c r="M36" s="3351">
        <f>SUM('ФАКТ. СЕБЕСТ. СТОКИ 9 мес. 2019'!AC45)</f>
        <v>4.6096781699468004</v>
      </c>
      <c r="N36" s="3351">
        <f>SUM('ФАКТ. СЕБЕСТ. СТОКИ 9 мес. 2019'!AD45)</f>
        <v>4.5827120939774684</v>
      </c>
      <c r="O36" s="3351">
        <f>SUM('ФАКТ. СЕБЕСТ. СТОКИ 9 мес. 2019'!AE45)</f>
        <v>2.6966075969331808E-2</v>
      </c>
      <c r="P36" s="3351">
        <f>SUM('ФАКТ. СЕБЕСТ. СТОКИ 9 мес. 2019'!BP45)</f>
        <v>4.6096781699468004</v>
      </c>
      <c r="Q36" s="3351">
        <f>SUM('ФАКТ. СЕБЕСТ. СТОКИ 9 мес. 2019'!BQ45)</f>
        <v>4.5827120939774684</v>
      </c>
      <c r="R36" s="3351">
        <f>SUM('ФАКТ. СЕБЕСТ. СТОКИ 9 мес. 2019'!BR45)</f>
        <v>2.6966075969331808E-2</v>
      </c>
      <c r="S36" s="3351">
        <f>SUM('ФАКТ. СЕБЕСТ. СТОКИ 9 мес. 2019'!CB45)</f>
        <v>9.2193563398936007</v>
      </c>
      <c r="T36" s="3351">
        <f>SUM('ФАКТ. СЕБЕСТ. СТОКИ 9 мес. 2019'!CC45)</f>
        <v>9.1654241879549367</v>
      </c>
      <c r="U36" s="3351">
        <f>SUM('ФАКТ. СЕБЕСТ. СТОКИ 9 мес. 2019'!CD45)</f>
        <v>5.3932151938663617E-2</v>
      </c>
      <c r="V36" s="3351">
        <f>SUM('ФАКТ. СЕБЕСТ. СТОКИ 9 мес. 2019'!DO45)</f>
        <v>4.6096781699468004</v>
      </c>
      <c r="W36" s="3351">
        <f>SUM('ФАКТ. СЕБЕСТ. СТОКИ 9 мес. 2019'!DP45)</f>
        <v>4.5827120939774684</v>
      </c>
      <c r="X36" s="3351">
        <f>SUM('ФАКТ. СЕБЕСТ. СТОКИ 9 мес. 2019'!DQ45)</f>
        <v>2.6966075969331808E-2</v>
      </c>
      <c r="Y36" s="3351">
        <f>SUM('ФАКТ. СЕБЕСТ. СТОКИ 9 мес. 2019'!EA45)</f>
        <v>13.829034509840401</v>
      </c>
      <c r="Z36" s="3351">
        <f>SUM('ФАКТ. СЕБЕСТ. СТОКИ 9 мес. 2019'!EB45)</f>
        <v>13.748136281932405</v>
      </c>
      <c r="AA36" s="3351">
        <f>SUM('ФАКТ. СЕБЕСТ. СТОКИ 9 мес. 2019'!EC45)</f>
        <v>8.0898227907995418E-2</v>
      </c>
      <c r="AB36" s="3351">
        <f>SUM('ФАКТ. СЕБЕСТ. СТОКИ 9 мес. 2019'!FN45)</f>
        <v>4.6096781699468004</v>
      </c>
      <c r="AC36" s="3351">
        <f>SUM('ФАКТ. СЕБЕСТ. СТОКИ 9 мес. 2019'!FO45)</f>
        <v>4.5827120939774684</v>
      </c>
      <c r="AD36" s="3351">
        <f>SUM('ФАКТ. СЕБЕСТ. СТОКИ 9 мес. 2019'!FP45)</f>
        <v>2.6966075969331808E-2</v>
      </c>
      <c r="AE36" s="3351">
        <f>SUM('ФАКТ. СЕБЕСТ. СТОКИ 9 мес. 2019'!FZ45)</f>
        <v>18.438712679787201</v>
      </c>
      <c r="AF36" s="3351">
        <f>SUM('ФАКТ. СЕБЕСТ. СТОКИ 9 мес. 2019'!GA45)</f>
        <v>18.330848375909873</v>
      </c>
      <c r="AG36" s="3366">
        <f>SUM('ФАКТ. СЕБЕСТ. СТОКИ 9 мес. 2019'!GB45)</f>
        <v>0.10786430387732723</v>
      </c>
    </row>
    <row r="37" spans="1:33" ht="18.75" customHeight="1" x14ac:dyDescent="0.3">
      <c r="A37" s="3365" t="s">
        <v>533</v>
      </c>
      <c r="B37" s="3397"/>
      <c r="C37" s="3397"/>
      <c r="D37" s="3397"/>
      <c r="E37" s="3397"/>
      <c r="F37" s="3397"/>
      <c r="G37" s="3397"/>
      <c r="H37" s="3397"/>
      <c r="I37" s="3397"/>
      <c r="J37" s="3397"/>
      <c r="K37" s="3397"/>
      <c r="L37" s="3395" t="s">
        <v>915</v>
      </c>
      <c r="M37" s="3351">
        <f>SUM('ФАКТ. СЕБЕСТ. СТОКИ 9 мес. 2019'!AC46)</f>
        <v>10.78</v>
      </c>
      <c r="N37" s="3351">
        <f>SUM('ФАКТ. СЕБЕСТ. СТОКИ 9 мес. 2019'!AD46)</f>
        <v>10.715</v>
      </c>
      <c r="O37" s="3351">
        <f>SUM('ФАКТ. СЕБЕСТ. СТОКИ 9 мес. 2019'!AE46)</f>
        <v>6.5000000000000002E-2</v>
      </c>
      <c r="P37" s="3351">
        <f>SUM('ФАКТ. СЕБЕСТ. СТОКИ 9 мес. 2019'!BP46)</f>
        <v>10.78</v>
      </c>
      <c r="Q37" s="3351">
        <f>SUM('ФАКТ. СЕБЕСТ. СТОКИ 9 мес. 2019'!BQ46)</f>
        <v>10.715</v>
      </c>
      <c r="R37" s="3351">
        <f>SUM('ФАКТ. СЕБЕСТ. СТОКИ 9 мес. 2019'!BR46)</f>
        <v>6.5000000000000002E-2</v>
      </c>
      <c r="S37" s="3351">
        <f>SUM('ФАКТ. СЕБЕСТ. СТОКИ 9 мес. 2019'!CB46)</f>
        <v>21.56</v>
      </c>
      <c r="T37" s="3351">
        <f>SUM('ФАКТ. СЕБЕСТ. СТОКИ 9 мес. 2019'!CC46)</f>
        <v>21.43</v>
      </c>
      <c r="U37" s="3351">
        <f>SUM('ФАКТ. СЕБЕСТ. СТОКИ 9 мес. 2019'!CD46)</f>
        <v>0.13</v>
      </c>
      <c r="V37" s="3351">
        <f>SUM('ФАКТ. СЕБЕСТ. СТОКИ 9 мес. 2019'!DO46)</f>
        <v>10.78</v>
      </c>
      <c r="W37" s="3351">
        <f>SUM('ФАКТ. СЕБЕСТ. СТОКИ 9 мес. 2019'!DP46)</f>
        <v>10.715</v>
      </c>
      <c r="X37" s="3351">
        <f>SUM('ФАКТ. СЕБЕСТ. СТОКИ 9 мес. 2019'!DQ46)</f>
        <v>6.5000000000000002E-2</v>
      </c>
      <c r="Y37" s="3351">
        <f>SUM('ФАКТ. СЕБЕСТ. СТОКИ 9 мес. 2019'!EA46)</f>
        <v>32.339999999999996</v>
      </c>
      <c r="Z37" s="3351">
        <f>SUM('ФАКТ. СЕБЕСТ. СТОКИ 9 мес. 2019'!EB46)</f>
        <v>32.144999999999996</v>
      </c>
      <c r="AA37" s="3351">
        <f>SUM('ФАКТ. СЕБЕСТ. СТОКИ 9 мес. 2019'!EC46)</f>
        <v>0.19500000000000001</v>
      </c>
      <c r="AB37" s="3351">
        <f>SUM('ФАКТ. СЕБЕСТ. СТОКИ 9 мес. 2019'!FN46)</f>
        <v>10.78</v>
      </c>
      <c r="AC37" s="3351">
        <f>SUM('ФАКТ. СЕБЕСТ. СТОКИ 9 мес. 2019'!FO46)</f>
        <v>10.715</v>
      </c>
      <c r="AD37" s="3351">
        <f>SUM('ФАКТ. СЕБЕСТ. СТОКИ 9 мес. 2019'!FP46)</f>
        <v>6.5000000000000002E-2</v>
      </c>
      <c r="AE37" s="3351">
        <f>SUM('ФАКТ. СЕБЕСТ. СТОКИ 9 мес. 2019'!FZ46)</f>
        <v>43.12</v>
      </c>
      <c r="AF37" s="3351">
        <f>SUM('ФАКТ. СЕБЕСТ. СТОКИ 9 мес. 2019'!GA46)</f>
        <v>42.86</v>
      </c>
      <c r="AG37" s="3366">
        <f>SUM('ФАКТ. СЕБЕСТ. СТОКИ 9 мес. 2019'!GB46)</f>
        <v>0.26</v>
      </c>
    </row>
    <row r="38" spans="1:33" ht="18.75" customHeight="1" x14ac:dyDescent="0.3">
      <c r="A38" s="3365" t="s">
        <v>535</v>
      </c>
      <c r="B38" s="3397"/>
      <c r="C38" s="3397"/>
      <c r="D38" s="3397"/>
      <c r="E38" s="3397"/>
      <c r="F38" s="3397"/>
      <c r="G38" s="3397"/>
      <c r="H38" s="3397"/>
      <c r="I38" s="3397"/>
      <c r="J38" s="3397"/>
      <c r="K38" s="3397"/>
      <c r="L38" s="3395" t="s">
        <v>915</v>
      </c>
      <c r="M38" s="3351">
        <f>SUM('ФАКТ. СЕБЕСТ. СТОКИ 9 мес. 2019'!AC47)</f>
        <v>237.02647690500004</v>
      </c>
      <c r="N38" s="3351">
        <f>SUM('ФАКТ. СЕБЕСТ. СТОКИ 9 мес. 2019'!AD47)</f>
        <v>235.63989984965713</v>
      </c>
      <c r="O38" s="3351">
        <f>SUM('ФАКТ. СЕБЕСТ. СТОКИ 9 мес. 2019'!AE47)</f>
        <v>1.3865770553429042</v>
      </c>
      <c r="P38" s="3351">
        <f>SUM('ФАКТ. СЕБЕСТ. СТОКИ 9 мес. 2019'!BP47)</f>
        <v>237.02647690500004</v>
      </c>
      <c r="Q38" s="3351">
        <f>SUM('ФАКТ. СЕБЕСТ. СТОКИ 9 мес. 2019'!BQ47)</f>
        <v>235.63989984965713</v>
      </c>
      <c r="R38" s="3351">
        <f>SUM('ФАКТ. СЕБЕСТ. СТОКИ 9 мес. 2019'!BR47)</f>
        <v>1.3865770553429042</v>
      </c>
      <c r="S38" s="3351">
        <f>SUM('ФАКТ. СЕБЕСТ. СТОКИ 9 мес. 2019'!CB47)</f>
        <v>474.05295381000008</v>
      </c>
      <c r="T38" s="3351">
        <f>SUM('ФАКТ. СЕБЕСТ. СТОКИ 9 мес. 2019'!CC47)</f>
        <v>471.27979969931425</v>
      </c>
      <c r="U38" s="3351">
        <f>SUM('ФАКТ. СЕБЕСТ. СТОКИ 9 мес. 2019'!CD47)</f>
        <v>2.7731541106858084</v>
      </c>
      <c r="V38" s="3351">
        <f>SUM('ФАКТ. СЕБЕСТ. СТОКИ 9 мес. 2019'!DO47)</f>
        <v>237.02647690500004</v>
      </c>
      <c r="W38" s="3351">
        <f>SUM('ФАКТ. СЕБЕСТ. СТОКИ 9 мес. 2019'!DP47)</f>
        <v>235.63989984965713</v>
      </c>
      <c r="X38" s="3351">
        <f>SUM('ФАКТ. СЕБЕСТ. СТОКИ 9 мес. 2019'!DQ47)</f>
        <v>1.3865770553429042</v>
      </c>
      <c r="Y38" s="3351">
        <f>SUM('ФАКТ. СЕБЕСТ. СТОКИ 9 мес. 2019'!EA47)</f>
        <v>711.07943071500017</v>
      </c>
      <c r="Z38" s="3351">
        <f>SUM('ФАКТ. СЕБЕСТ. СТОКИ 9 мес. 2019'!EB47)</f>
        <v>706.91969954897138</v>
      </c>
      <c r="AA38" s="3351">
        <f>SUM('ФАКТ. СЕБЕСТ. СТОКИ 9 мес. 2019'!EC47)</f>
        <v>4.1597311660287124</v>
      </c>
      <c r="AB38" s="3351">
        <f>SUM('ФАКТ. СЕБЕСТ. СТОКИ 9 мес. 2019'!FN47)</f>
        <v>237.02647690500004</v>
      </c>
      <c r="AC38" s="3351">
        <f>SUM('ФАКТ. СЕБЕСТ. СТОКИ 9 мес. 2019'!FO47)</f>
        <v>235.63989984965713</v>
      </c>
      <c r="AD38" s="3351">
        <f>SUM('ФАКТ. СЕБЕСТ. СТОКИ 9 мес. 2019'!FP47)</f>
        <v>1.3865770553429042</v>
      </c>
      <c r="AE38" s="3351">
        <f>SUM('ФАКТ. СЕБЕСТ. СТОКИ 9 мес. 2019'!FZ47)</f>
        <v>948.10590762000015</v>
      </c>
      <c r="AF38" s="3351">
        <f>SUM('ФАКТ. СЕБЕСТ. СТОКИ 9 мес. 2019'!GA47)</f>
        <v>942.55959939862851</v>
      </c>
      <c r="AG38" s="3366">
        <f>SUM('ФАКТ. СЕБЕСТ. СТОКИ 9 мес. 2019'!GB47)</f>
        <v>5.5463082213716168</v>
      </c>
    </row>
    <row r="39" spans="1:33" ht="18.75" customHeight="1" x14ac:dyDescent="0.3">
      <c r="A39" s="3372" t="s">
        <v>3618</v>
      </c>
      <c r="B39" s="3370"/>
      <c r="C39" s="3370"/>
      <c r="D39" s="3370"/>
      <c r="E39" s="3370"/>
      <c r="F39" s="3370"/>
      <c r="G39" s="3370"/>
      <c r="H39" s="3370"/>
      <c r="I39" s="3370"/>
      <c r="J39" s="3370"/>
      <c r="K39" s="3370"/>
      <c r="L39" s="3395" t="s">
        <v>915</v>
      </c>
      <c r="M39" s="3349">
        <f>SUM('ФАКТ. СЕБЕСТ. СТОКИ 9 мес. 2019'!AC48)</f>
        <v>3635.6810500000001</v>
      </c>
      <c r="N39" s="3349">
        <f>SUM('ФАКТ. СЕБЕСТ. СТОКИ 9 мес. 2019'!AD48)</f>
        <v>3635.333992850482</v>
      </c>
      <c r="O39" s="3349">
        <f>SUM('ФАКТ. СЕБЕСТ. СТОКИ 9 мес. 2019'!AE48)</f>
        <v>0.34705714951827904</v>
      </c>
      <c r="P39" s="3349">
        <f>SUM('ФАКТ. СЕБЕСТ. СТОКИ 9 мес. 2019'!BP48)</f>
        <v>3635.6810500000001</v>
      </c>
      <c r="Q39" s="3349">
        <f>SUM('ФАКТ. СЕБЕСТ. СТОКИ 9 мес. 2019'!BQ48)</f>
        <v>3635.333992850482</v>
      </c>
      <c r="R39" s="3349">
        <f>SUM('ФАКТ. СЕБЕСТ. СТОКИ 9 мес. 2019'!BR48)</f>
        <v>0.34705714951827904</v>
      </c>
      <c r="S39" s="3349">
        <f>SUM('ФАКТ. СЕБЕСТ. СТОКИ 9 мес. 2019'!CB48)</f>
        <v>7271.3621000000003</v>
      </c>
      <c r="T39" s="3349">
        <f>SUM('ФАКТ. СЕБЕСТ. СТОКИ 9 мес. 2019'!CC48)</f>
        <v>7270.667985700964</v>
      </c>
      <c r="U39" s="3349">
        <f>SUM('ФАКТ. СЕБЕСТ. СТОКИ 9 мес. 2019'!CD48)</f>
        <v>0.69411429903655808</v>
      </c>
      <c r="V39" s="3349">
        <f>SUM('ФАКТ. СЕБЕСТ. СТОКИ 9 мес. 2019'!DO48)</f>
        <v>3635.6810500000001</v>
      </c>
      <c r="W39" s="3349">
        <f>SUM('ФАКТ. СЕБЕСТ. СТОКИ 9 мес. 2019'!DP48)</f>
        <v>3635.333992850482</v>
      </c>
      <c r="X39" s="3349">
        <f>SUM('ФАКТ. СЕБЕСТ. СТОКИ 9 мес. 2019'!DQ48)</f>
        <v>0.34705714951827904</v>
      </c>
      <c r="Y39" s="3349">
        <f>SUM('ФАКТ. СЕБЕСТ. СТОКИ 9 мес. 2019'!EA48)</f>
        <v>10907.043150000001</v>
      </c>
      <c r="Z39" s="3349">
        <f>SUM('ФАКТ. СЕБЕСТ. СТОКИ 9 мес. 2019'!EB48)</f>
        <v>10906.001978551445</v>
      </c>
      <c r="AA39" s="3349">
        <f>SUM('ФАКТ. СЕБЕСТ. СТОКИ 9 мес. 2019'!EC48)</f>
        <v>1.0411714485548371</v>
      </c>
      <c r="AB39" s="3349">
        <f>SUM('ФАКТ. СЕБЕСТ. СТОКИ 9 мес. 2019'!FN48)</f>
        <v>3635.6810500000001</v>
      </c>
      <c r="AC39" s="3349">
        <f>SUM('ФАКТ. СЕБЕСТ. СТОКИ 9 мес. 2019'!FO48)</f>
        <v>3635.333992850482</v>
      </c>
      <c r="AD39" s="3349">
        <f>SUM('ФАКТ. СЕБЕСТ. СТОКИ 9 мес. 2019'!FP48)</f>
        <v>0.34705714951827904</v>
      </c>
      <c r="AE39" s="3349">
        <f>SUM('ФАКТ. СЕБЕСТ. СТОКИ 9 мес. 2019'!FZ48)</f>
        <v>14542.724200000001</v>
      </c>
      <c r="AF39" s="3349">
        <f>SUM('ФАКТ. СЕБЕСТ. СТОКИ 9 мес. 2019'!GA48)</f>
        <v>14541.335971401928</v>
      </c>
      <c r="AG39" s="3364">
        <f>SUM('ФАКТ. СЕБЕСТ. СТОКИ 9 мес. 2019'!GB48)</f>
        <v>1.3882285980731162</v>
      </c>
    </row>
    <row r="40" spans="1:33" ht="18.75" customHeight="1" x14ac:dyDescent="0.3">
      <c r="A40" s="3369" t="s">
        <v>3605</v>
      </c>
      <c r="B40" s="3396"/>
      <c r="C40" s="3396"/>
      <c r="D40" s="3396"/>
      <c r="E40" s="3396"/>
      <c r="F40" s="3396"/>
      <c r="G40" s="3396"/>
      <c r="H40" s="3396"/>
      <c r="I40" s="3396"/>
      <c r="J40" s="3396"/>
      <c r="K40" s="3396"/>
      <c r="L40" s="3395" t="s">
        <v>915</v>
      </c>
      <c r="M40" s="3351">
        <f>SUM('ФАКТ. СЕБЕСТ. СТОКИ 9 мес. 2019'!AC49)</f>
        <v>2196.5475000000001</v>
      </c>
      <c r="N40" s="3351">
        <f>SUM('ФАКТ. СЕБЕСТ. СТОКИ 9 мес. 2019'!AD49)</f>
        <v>2196.5475000000001</v>
      </c>
      <c r="O40" s="3351">
        <f>SUM('ФАКТ. СЕБЕСТ. СТОКИ 9 мес. 2019'!AE49)</f>
        <v>0</v>
      </c>
      <c r="P40" s="3351">
        <f>SUM('ФАКТ. СЕБЕСТ. СТОКИ 9 мес. 2019'!BP49)</f>
        <v>2196.5475000000001</v>
      </c>
      <c r="Q40" s="3351">
        <f>SUM('ФАКТ. СЕБЕСТ. СТОКИ 9 мес. 2019'!BQ49)</f>
        <v>2196.5475000000001</v>
      </c>
      <c r="R40" s="3351">
        <f>SUM('ФАКТ. СЕБЕСТ. СТОКИ 9 мес. 2019'!BR49)</f>
        <v>0</v>
      </c>
      <c r="S40" s="3351">
        <f>SUM('ФАКТ. СЕБЕСТ. СТОКИ 9 мес. 2019'!CB49)</f>
        <v>4393.0950000000003</v>
      </c>
      <c r="T40" s="3351">
        <f>SUM('ФАКТ. СЕБЕСТ. СТОКИ 9 мес. 2019'!CC49)</f>
        <v>4393.0950000000003</v>
      </c>
      <c r="U40" s="3351">
        <f>SUM('ФАКТ. СЕБЕСТ. СТОКИ 9 мес. 2019'!CD49)</f>
        <v>0</v>
      </c>
      <c r="V40" s="3351">
        <f>SUM('ФАКТ. СЕБЕСТ. СТОКИ 9 мес. 2019'!DO49)</f>
        <v>2196.5475000000001</v>
      </c>
      <c r="W40" s="3351">
        <f>SUM('ФАКТ. СЕБЕСТ. СТОКИ 9 мес. 2019'!DP49)</f>
        <v>2196.5475000000001</v>
      </c>
      <c r="X40" s="3351">
        <f>SUM('ФАКТ. СЕБЕСТ. СТОКИ 9 мес. 2019'!DQ49)</f>
        <v>0</v>
      </c>
      <c r="Y40" s="3351">
        <f>SUM('ФАКТ. СЕБЕСТ. СТОКИ 9 мес. 2019'!EA49)</f>
        <v>6589.6424999999999</v>
      </c>
      <c r="Z40" s="3351">
        <f>SUM('ФАКТ. СЕБЕСТ. СТОКИ 9 мес. 2019'!EB49)</f>
        <v>6589.6424999999999</v>
      </c>
      <c r="AA40" s="3351">
        <f>SUM('ФАКТ. СЕБЕСТ. СТОКИ 9 мес. 2019'!EC49)</f>
        <v>0</v>
      </c>
      <c r="AB40" s="3351">
        <f>SUM('ФАКТ. СЕБЕСТ. СТОКИ 9 мес. 2019'!FN49)</f>
        <v>2196.5475000000001</v>
      </c>
      <c r="AC40" s="3351">
        <f>SUM('ФАКТ. СЕБЕСТ. СТОКИ 9 мес. 2019'!FO49)</f>
        <v>2196.5475000000001</v>
      </c>
      <c r="AD40" s="3351">
        <f>SUM('ФАКТ. СЕБЕСТ. СТОКИ 9 мес. 2019'!FP49)</f>
        <v>0</v>
      </c>
      <c r="AE40" s="3351">
        <f>SUM('ФАКТ. СЕБЕСТ. СТОКИ 9 мес. 2019'!FZ49)</f>
        <v>8786.19</v>
      </c>
      <c r="AF40" s="3351">
        <f>SUM('ФАКТ. СЕБЕСТ. СТОКИ 9 мес. 2019'!GA49)</f>
        <v>8786.19</v>
      </c>
      <c r="AG40" s="3366">
        <f>SUM('ФАКТ. СЕБЕСТ. СТОКИ 9 мес. 2019'!GB49)</f>
        <v>0</v>
      </c>
    </row>
    <row r="41" spans="1:33" ht="18.75" customHeight="1" x14ac:dyDescent="0.3">
      <c r="A41" s="3369" t="s">
        <v>3606</v>
      </c>
      <c r="B41" s="3396"/>
      <c r="C41" s="3396"/>
      <c r="D41" s="3396"/>
      <c r="E41" s="3396"/>
      <c r="F41" s="3396"/>
      <c r="G41" s="3396"/>
      <c r="H41" s="3396"/>
      <c r="I41" s="3396"/>
      <c r="J41" s="3396"/>
      <c r="K41" s="3396"/>
      <c r="L41" s="3395" t="s">
        <v>915</v>
      </c>
      <c r="M41" s="3351">
        <f>SUM('ФАКТ. СЕБЕСТ. СТОКИ 9 мес. 2019'!AC50)</f>
        <v>658.96500000000003</v>
      </c>
      <c r="N41" s="3351">
        <f>SUM('ФАКТ. СЕБЕСТ. СТОКИ 9 мес. 2019'!AD50)</f>
        <v>658.96500000000003</v>
      </c>
      <c r="O41" s="3351">
        <f>SUM('ФАКТ. СЕБЕСТ. СТОКИ 9 мес. 2019'!AE50)</f>
        <v>0</v>
      </c>
      <c r="P41" s="3351">
        <f>SUM('ФАКТ. СЕБЕСТ. СТОКИ 9 мес. 2019'!BP50)</f>
        <v>658.96500000000003</v>
      </c>
      <c r="Q41" s="3351">
        <f>SUM('ФАКТ. СЕБЕСТ. СТОКИ 9 мес. 2019'!BQ50)</f>
        <v>658.96500000000003</v>
      </c>
      <c r="R41" s="3351">
        <f>SUM('ФАКТ. СЕБЕСТ. СТОКИ 9 мес. 2019'!BR50)</f>
        <v>0</v>
      </c>
      <c r="S41" s="3351">
        <f>SUM('ФАКТ. СЕБЕСТ. СТОКИ 9 мес. 2019'!CB50)</f>
        <v>1317.93</v>
      </c>
      <c r="T41" s="3351">
        <f>SUM('ФАКТ. СЕБЕСТ. СТОКИ 9 мес. 2019'!CC50)</f>
        <v>1317.93</v>
      </c>
      <c r="U41" s="3351">
        <f>SUM('ФАКТ. СЕБЕСТ. СТОКИ 9 мес. 2019'!CD50)</f>
        <v>0</v>
      </c>
      <c r="V41" s="3351">
        <f>SUM('ФАКТ. СЕБЕСТ. СТОКИ 9 мес. 2019'!DO50)</f>
        <v>658.96500000000003</v>
      </c>
      <c r="W41" s="3351">
        <f>SUM('ФАКТ. СЕБЕСТ. СТОКИ 9 мес. 2019'!DP50)</f>
        <v>658.96500000000003</v>
      </c>
      <c r="X41" s="3351">
        <f>SUM('ФАКТ. СЕБЕСТ. СТОКИ 9 мес. 2019'!DQ50)</f>
        <v>0</v>
      </c>
      <c r="Y41" s="3351">
        <f>SUM('ФАКТ. СЕБЕСТ. СТОКИ 9 мес. 2019'!EA50)</f>
        <v>1976.895</v>
      </c>
      <c r="Z41" s="3351">
        <f>SUM('ФАКТ. СЕБЕСТ. СТОКИ 9 мес. 2019'!EB50)</f>
        <v>1976.895</v>
      </c>
      <c r="AA41" s="3351">
        <f>SUM('ФАКТ. СЕБЕСТ. СТОКИ 9 мес. 2019'!EC50)</f>
        <v>0</v>
      </c>
      <c r="AB41" s="3351">
        <f>SUM('ФАКТ. СЕБЕСТ. СТОКИ 9 мес. 2019'!FN50)</f>
        <v>658.96500000000003</v>
      </c>
      <c r="AC41" s="3351">
        <f>SUM('ФАКТ. СЕБЕСТ. СТОКИ 9 мес. 2019'!FO50)</f>
        <v>658.96500000000003</v>
      </c>
      <c r="AD41" s="3351">
        <f>SUM('ФАКТ. СЕБЕСТ. СТОКИ 9 мес. 2019'!FP50)</f>
        <v>0</v>
      </c>
      <c r="AE41" s="3351">
        <f>SUM('ФАКТ. СЕБЕСТ. СТОКИ 9 мес. 2019'!FZ50)</f>
        <v>2635.86</v>
      </c>
      <c r="AF41" s="3351">
        <f>SUM('ФАКТ. СЕБЕСТ. СТОКИ 9 мес. 2019'!GA50)</f>
        <v>2635.86</v>
      </c>
      <c r="AG41" s="3366">
        <f>SUM('ФАКТ. СЕБЕСТ. СТОКИ 9 мес. 2019'!GB50)</f>
        <v>0</v>
      </c>
    </row>
    <row r="42" spans="1:33" ht="18.75" customHeight="1" x14ac:dyDescent="0.3">
      <c r="A42" s="3369" t="s">
        <v>280</v>
      </c>
      <c r="B42" s="3396"/>
      <c r="C42" s="3396"/>
      <c r="D42" s="3396"/>
      <c r="E42" s="3396"/>
      <c r="F42" s="3396"/>
      <c r="G42" s="3396"/>
      <c r="H42" s="3396"/>
      <c r="I42" s="3396"/>
      <c r="J42" s="3396"/>
      <c r="K42" s="3396"/>
      <c r="L42" s="3395" t="s">
        <v>915</v>
      </c>
      <c r="M42" s="3351">
        <f>SUM('ФАКТ. СЕБЕСТ. СТОКИ 9 мес. 2019'!AC51)</f>
        <v>17.392499999999998</v>
      </c>
      <c r="N42" s="3351">
        <f>SUM('ФАКТ. СЕБЕСТ. СТОКИ 9 мес. 2019'!AD51)</f>
        <v>17.392499999999998</v>
      </c>
      <c r="O42" s="3351">
        <f>SUM('ФАКТ. СЕБЕСТ. СТОКИ 9 мес. 2019'!AE51)</f>
        <v>0</v>
      </c>
      <c r="P42" s="3351">
        <f>SUM('ФАКТ. СЕБЕСТ. СТОКИ 9 мес. 2019'!BP51)</f>
        <v>17.392499999999998</v>
      </c>
      <c r="Q42" s="3351">
        <f>SUM('ФАКТ. СЕБЕСТ. СТОКИ 9 мес. 2019'!BQ51)</f>
        <v>17.392499999999998</v>
      </c>
      <c r="R42" s="3351">
        <f>SUM('ФАКТ. СЕБЕСТ. СТОКИ 9 мес. 2019'!BR51)</f>
        <v>0</v>
      </c>
      <c r="S42" s="3351">
        <f>SUM('ФАКТ. СЕБЕСТ. СТОКИ 9 мес. 2019'!CB51)</f>
        <v>34.784999999999997</v>
      </c>
      <c r="T42" s="3351">
        <f>SUM('ФАКТ. СЕБЕСТ. СТОКИ 9 мес. 2019'!CC51)</f>
        <v>34.784999999999997</v>
      </c>
      <c r="U42" s="3351">
        <f>SUM('ФАКТ. СЕБЕСТ. СТОКИ 9 мес. 2019'!CD51)</f>
        <v>0</v>
      </c>
      <c r="V42" s="3351">
        <f>SUM('ФАКТ. СЕБЕСТ. СТОКИ 9 мес. 2019'!DO51)</f>
        <v>17.392499999999998</v>
      </c>
      <c r="W42" s="3351">
        <f>SUM('ФАКТ. СЕБЕСТ. СТОКИ 9 мес. 2019'!DP51)</f>
        <v>17.392499999999998</v>
      </c>
      <c r="X42" s="3351">
        <f>SUM('ФАКТ. СЕБЕСТ. СТОКИ 9 мес. 2019'!DQ51)</f>
        <v>0</v>
      </c>
      <c r="Y42" s="3351">
        <f>SUM('ФАКТ. СЕБЕСТ. СТОКИ 9 мес. 2019'!EA51)</f>
        <v>52.177499999999995</v>
      </c>
      <c r="Z42" s="3351">
        <f>SUM('ФАКТ. СЕБЕСТ. СТОКИ 9 мес. 2019'!EB51)</f>
        <v>52.177499999999995</v>
      </c>
      <c r="AA42" s="3351">
        <f>SUM('ФАКТ. СЕБЕСТ. СТОКИ 9 мес. 2019'!EC51)</f>
        <v>0</v>
      </c>
      <c r="AB42" s="3351">
        <f>SUM('ФАКТ. СЕБЕСТ. СТОКИ 9 мес. 2019'!FN51)</f>
        <v>17.392499999999998</v>
      </c>
      <c r="AC42" s="3351">
        <f>SUM('ФАКТ. СЕБЕСТ. СТОКИ 9 мес. 2019'!FO51)</f>
        <v>17.392499999999998</v>
      </c>
      <c r="AD42" s="3351">
        <f>SUM('ФАКТ. СЕБЕСТ. СТОКИ 9 мес. 2019'!FP51)</f>
        <v>0</v>
      </c>
      <c r="AE42" s="3351">
        <f>SUM('ФАКТ. СЕБЕСТ. СТОКИ 9 мес. 2019'!FZ51)</f>
        <v>69.569999999999993</v>
      </c>
      <c r="AF42" s="3351">
        <f>SUM('ФАКТ. СЕБЕСТ. СТОКИ 9 мес. 2019'!GA51)</f>
        <v>69.569999999999993</v>
      </c>
      <c r="AG42" s="3366">
        <f>SUM('ФАКТ. СЕБЕСТ. СТОКИ 9 мес. 2019'!GB51)</f>
        <v>0</v>
      </c>
    </row>
    <row r="43" spans="1:33" ht="18.75" customHeight="1" x14ac:dyDescent="0.3">
      <c r="A43" s="3369" t="s">
        <v>1560</v>
      </c>
      <c r="B43" s="3396"/>
      <c r="C43" s="3396"/>
      <c r="D43" s="3396"/>
      <c r="E43" s="3396"/>
      <c r="F43" s="3396"/>
      <c r="G43" s="3396"/>
      <c r="H43" s="3396"/>
      <c r="I43" s="3396"/>
      <c r="J43" s="3396"/>
      <c r="K43" s="3396"/>
      <c r="L43" s="3395" t="s">
        <v>915</v>
      </c>
      <c r="M43" s="3351">
        <f>SUM('ФАКТ. СЕБЕСТ. СТОКИ 9 мес. 2019'!AC52)</f>
        <v>12.445</v>
      </c>
      <c r="N43" s="3351">
        <f>SUM('ФАКТ. СЕБЕСТ. СТОКИ 9 мес. 2019'!AD52)</f>
        <v>12.445</v>
      </c>
      <c r="O43" s="3351">
        <f>SUM('ФАКТ. СЕБЕСТ. СТОКИ 9 мес. 2019'!AE52)</f>
        <v>0</v>
      </c>
      <c r="P43" s="3351">
        <f>SUM('ФАКТ. СЕБЕСТ. СТОКИ 9 мес. 2019'!BP52)</f>
        <v>12.445</v>
      </c>
      <c r="Q43" s="3351">
        <f>SUM('ФАКТ. СЕБЕСТ. СТОКИ 9 мес. 2019'!BQ52)</f>
        <v>12.445</v>
      </c>
      <c r="R43" s="3351">
        <f>SUM('ФАКТ. СЕБЕСТ. СТОКИ 9 мес. 2019'!BR52)</f>
        <v>0</v>
      </c>
      <c r="S43" s="3351">
        <f>SUM('ФАКТ. СЕБЕСТ. СТОКИ 9 мес. 2019'!CB52)</f>
        <v>24.89</v>
      </c>
      <c r="T43" s="3351">
        <f>SUM('ФАКТ. СЕБЕСТ. СТОКИ 9 мес. 2019'!CC52)</f>
        <v>24.89</v>
      </c>
      <c r="U43" s="3351">
        <f>SUM('ФАКТ. СЕБЕСТ. СТОКИ 9 мес. 2019'!CD52)</f>
        <v>0</v>
      </c>
      <c r="V43" s="3351">
        <f>SUM('ФАКТ. СЕБЕСТ. СТОКИ 9 мес. 2019'!DO52)</f>
        <v>12.445</v>
      </c>
      <c r="W43" s="3351">
        <f>SUM('ФАКТ. СЕБЕСТ. СТОКИ 9 мес. 2019'!DP52)</f>
        <v>12.445</v>
      </c>
      <c r="X43" s="3351">
        <f>SUM('ФАКТ. СЕБЕСТ. СТОКИ 9 мес. 2019'!DQ52)</f>
        <v>0</v>
      </c>
      <c r="Y43" s="3351">
        <f>SUM('ФАКТ. СЕБЕСТ. СТОКИ 9 мес. 2019'!EA52)</f>
        <v>37.335000000000001</v>
      </c>
      <c r="Z43" s="3351">
        <f>SUM('ФАКТ. СЕБЕСТ. СТОКИ 9 мес. 2019'!EB52)</f>
        <v>37.335000000000001</v>
      </c>
      <c r="AA43" s="3351">
        <f>SUM('ФАКТ. СЕБЕСТ. СТОКИ 9 мес. 2019'!EC52)</f>
        <v>0</v>
      </c>
      <c r="AB43" s="3351">
        <f>SUM('ФАКТ. СЕБЕСТ. СТОКИ 9 мес. 2019'!FN52)</f>
        <v>12.445</v>
      </c>
      <c r="AC43" s="3351">
        <f>SUM('ФАКТ. СЕБЕСТ. СТОКИ 9 мес. 2019'!FO52)</f>
        <v>12.445</v>
      </c>
      <c r="AD43" s="3351">
        <f>SUM('ФАКТ. СЕБЕСТ. СТОКИ 9 мес. 2019'!FP52)</f>
        <v>0</v>
      </c>
      <c r="AE43" s="3351">
        <f>SUM('ФАКТ. СЕБЕСТ. СТОКИ 9 мес. 2019'!FZ52)</f>
        <v>49.78</v>
      </c>
      <c r="AF43" s="3351">
        <f>SUM('ФАКТ. СЕБЕСТ. СТОКИ 9 мес. 2019'!GA52)</f>
        <v>49.78</v>
      </c>
      <c r="AG43" s="3366">
        <f>SUM('ФАКТ. СЕБЕСТ. СТОКИ 9 мес. 2019'!GB52)</f>
        <v>0</v>
      </c>
    </row>
    <row r="44" spans="1:33" ht="18.75" customHeight="1" x14ac:dyDescent="0.3">
      <c r="A44" s="3369" t="s">
        <v>281</v>
      </c>
      <c r="B44" s="3396"/>
      <c r="C44" s="3396"/>
      <c r="D44" s="3396"/>
      <c r="E44" s="3396"/>
      <c r="F44" s="3396"/>
      <c r="G44" s="3396"/>
      <c r="H44" s="3396"/>
      <c r="I44" s="3396"/>
      <c r="J44" s="3396"/>
      <c r="K44" s="3396"/>
      <c r="L44" s="3395" t="s">
        <v>915</v>
      </c>
      <c r="M44" s="3351">
        <f>SUM('ФАКТ. СЕБЕСТ. СТОКИ 9 мес. 2019'!AC53)</f>
        <v>32.157499999999999</v>
      </c>
      <c r="N44" s="3351">
        <f>SUM('ФАКТ. СЕБЕСТ. СТОКИ 9 мес. 2019'!AD53)</f>
        <v>32.157499999999999</v>
      </c>
      <c r="O44" s="3351">
        <f>SUM('ФАКТ. СЕБЕСТ. СТОКИ 9 мес. 2019'!AE53)</f>
        <v>0</v>
      </c>
      <c r="P44" s="3351">
        <f>SUM('ФАКТ. СЕБЕСТ. СТОКИ 9 мес. 2019'!BP53)</f>
        <v>32.157499999999999</v>
      </c>
      <c r="Q44" s="3351">
        <f>SUM('ФАКТ. СЕБЕСТ. СТОКИ 9 мес. 2019'!BQ53)</f>
        <v>32.157499999999999</v>
      </c>
      <c r="R44" s="3351">
        <f>SUM('ФАКТ. СЕБЕСТ. СТОКИ 9 мес. 2019'!BR53)</f>
        <v>0</v>
      </c>
      <c r="S44" s="3351">
        <f>SUM('ФАКТ. СЕБЕСТ. СТОКИ 9 мес. 2019'!CB53)</f>
        <v>64.314999999999998</v>
      </c>
      <c r="T44" s="3351">
        <f>SUM('ФАКТ. СЕБЕСТ. СТОКИ 9 мес. 2019'!CC53)</f>
        <v>64.314999999999998</v>
      </c>
      <c r="U44" s="3351">
        <f>SUM('ФАКТ. СЕБЕСТ. СТОКИ 9 мес. 2019'!CD53)</f>
        <v>0</v>
      </c>
      <c r="V44" s="3351">
        <f>SUM('ФАКТ. СЕБЕСТ. СТОКИ 9 мес. 2019'!DO53)</f>
        <v>32.157499999999999</v>
      </c>
      <c r="W44" s="3351">
        <f>SUM('ФАКТ. СЕБЕСТ. СТОКИ 9 мес. 2019'!DP53)</f>
        <v>32.157499999999999</v>
      </c>
      <c r="X44" s="3351">
        <f>SUM('ФАКТ. СЕБЕСТ. СТОКИ 9 мес. 2019'!DQ53)</f>
        <v>0</v>
      </c>
      <c r="Y44" s="3351">
        <f>SUM('ФАКТ. СЕБЕСТ. СТОКИ 9 мес. 2019'!EA53)</f>
        <v>96.472499999999997</v>
      </c>
      <c r="Z44" s="3351">
        <f>SUM('ФАКТ. СЕБЕСТ. СТОКИ 9 мес. 2019'!EB53)</f>
        <v>96.472499999999997</v>
      </c>
      <c r="AA44" s="3351">
        <f>SUM('ФАКТ. СЕБЕСТ. СТОКИ 9 мес. 2019'!EC53)</f>
        <v>0</v>
      </c>
      <c r="AB44" s="3351">
        <f>SUM('ФАКТ. СЕБЕСТ. СТОКИ 9 мес. 2019'!FN53)</f>
        <v>32.157499999999999</v>
      </c>
      <c r="AC44" s="3351">
        <f>SUM('ФАКТ. СЕБЕСТ. СТОКИ 9 мес. 2019'!FO53)</f>
        <v>32.157499999999999</v>
      </c>
      <c r="AD44" s="3351">
        <f>SUM('ФАКТ. СЕБЕСТ. СТОКИ 9 мес. 2019'!FP53)</f>
        <v>0</v>
      </c>
      <c r="AE44" s="3351">
        <f>SUM('ФАКТ. СЕБЕСТ. СТОКИ 9 мес. 2019'!FZ53)</f>
        <v>128.63</v>
      </c>
      <c r="AF44" s="3351">
        <f>SUM('ФАКТ. СЕБЕСТ. СТОКИ 9 мес. 2019'!GA53)</f>
        <v>128.63</v>
      </c>
      <c r="AG44" s="3366">
        <f>SUM('ФАКТ. СЕБЕСТ. СТОКИ 9 мес. 2019'!GB53)</f>
        <v>0</v>
      </c>
    </row>
    <row r="45" spans="1:33" ht="18.75" customHeight="1" x14ac:dyDescent="0.3">
      <c r="A45" s="3368" t="s">
        <v>3607</v>
      </c>
      <c r="B45" s="3396"/>
      <c r="C45" s="3396"/>
      <c r="D45" s="3396"/>
      <c r="E45" s="3396"/>
      <c r="F45" s="3396"/>
      <c r="G45" s="3396"/>
      <c r="H45" s="3396"/>
      <c r="I45" s="3396"/>
      <c r="J45" s="3396"/>
      <c r="K45" s="3396"/>
      <c r="L45" s="3395" t="s">
        <v>915</v>
      </c>
      <c r="M45" s="3351">
        <f>SUM('ФАКТ. СЕБЕСТ. СТОКИ 9 мес. 2019'!AC54)</f>
        <v>718.17354999999998</v>
      </c>
      <c r="N45" s="3351">
        <f>SUM('ФАКТ. СЕБЕСТ. СТОКИ 9 мес. 2019'!AD54)</f>
        <v>717.82649285048171</v>
      </c>
      <c r="O45" s="3351">
        <f>SUM('ФАКТ. СЕБЕСТ. СТОКИ 9 мес. 2019'!AE54)</f>
        <v>0.34705714951827904</v>
      </c>
      <c r="P45" s="3351">
        <f>SUM('ФАКТ. СЕБЕСТ. СТОКИ 9 мес. 2019'!BP54)</f>
        <v>718.17354999999998</v>
      </c>
      <c r="Q45" s="3351">
        <f>SUM('ФАКТ. СЕБЕСТ. СТОКИ 9 мес. 2019'!BQ54)</f>
        <v>717.82649285048171</v>
      </c>
      <c r="R45" s="3351">
        <f>SUM('ФАКТ. СЕБЕСТ. СТОКИ 9 мес. 2019'!BR54)</f>
        <v>0.34705714951827904</v>
      </c>
      <c r="S45" s="3351">
        <f>SUM('ФАКТ. СЕБЕСТ. СТОКИ 9 мес. 2019'!CB54)</f>
        <v>1436.3471</v>
      </c>
      <c r="T45" s="3351">
        <f>SUM('ФАКТ. СЕБЕСТ. СТОКИ 9 мес. 2019'!CC54)</f>
        <v>1435.6529857009634</v>
      </c>
      <c r="U45" s="3351">
        <f>SUM('ФАКТ. СЕБЕСТ. СТОКИ 9 мес. 2019'!CD54)</f>
        <v>0.69411429903655808</v>
      </c>
      <c r="V45" s="3351">
        <f>SUM('ФАКТ. СЕБЕСТ. СТОКИ 9 мес. 2019'!DO54)</f>
        <v>718.17354999999998</v>
      </c>
      <c r="W45" s="3351">
        <f>SUM('ФАКТ. СЕБЕСТ. СТОКИ 9 мес. 2019'!DP54)</f>
        <v>717.82649285048171</v>
      </c>
      <c r="X45" s="3351">
        <f>SUM('ФАКТ. СЕБЕСТ. СТОКИ 9 мес. 2019'!DQ54)</f>
        <v>0.34705714951827904</v>
      </c>
      <c r="Y45" s="3351">
        <f>SUM('ФАКТ. СЕБЕСТ. СТОКИ 9 мес. 2019'!EA54)</f>
        <v>2154.5206499999999</v>
      </c>
      <c r="Z45" s="3351">
        <f>SUM('ФАКТ. СЕБЕСТ. СТОКИ 9 мес. 2019'!EB54)</f>
        <v>2153.479478551445</v>
      </c>
      <c r="AA45" s="3351">
        <f>SUM('ФАКТ. СЕБЕСТ. СТОКИ 9 мес. 2019'!EC54)</f>
        <v>1.0411714485548371</v>
      </c>
      <c r="AB45" s="3351">
        <f>SUM('ФАКТ. СЕБЕСТ. СТОКИ 9 мес. 2019'!FN54)</f>
        <v>718.17354999999998</v>
      </c>
      <c r="AC45" s="3351">
        <f>SUM('ФАКТ. СЕБЕСТ. СТОКИ 9 мес. 2019'!FO54)</f>
        <v>717.82649285048171</v>
      </c>
      <c r="AD45" s="3351">
        <f>SUM('ФАКТ. СЕБЕСТ. СТОКИ 9 мес. 2019'!FP54)</f>
        <v>0.34705714951827904</v>
      </c>
      <c r="AE45" s="3351">
        <f>SUM('ФАКТ. СЕБЕСТ. СТОКИ 9 мес. 2019'!FZ54)</f>
        <v>2872.6941999999999</v>
      </c>
      <c r="AF45" s="3351">
        <f>SUM('ФАКТ. СЕБЕСТ. СТОКИ 9 мес. 2019'!GA54)</f>
        <v>2871.3059714019269</v>
      </c>
      <c r="AG45" s="3366">
        <f>SUM('ФАКТ. СЕБЕСТ. СТОКИ 9 мес. 2019'!GB54)</f>
        <v>1.3882285980731162</v>
      </c>
    </row>
    <row r="46" spans="1:33" ht="18.75" customHeight="1" x14ac:dyDescent="0.3">
      <c r="A46" s="3362" t="s">
        <v>515</v>
      </c>
      <c r="B46" s="3370"/>
      <c r="C46" s="3370"/>
      <c r="D46" s="3370"/>
      <c r="E46" s="3370"/>
      <c r="F46" s="3370"/>
      <c r="G46" s="3370"/>
      <c r="H46" s="3370"/>
      <c r="I46" s="3370"/>
      <c r="J46" s="3370"/>
      <c r="K46" s="3370"/>
      <c r="L46" s="3395" t="s">
        <v>915</v>
      </c>
      <c r="M46" s="3349">
        <f>SUM('ФАКТ. СЕБЕСТ. СТОКИ 9 мес. 2019'!AC55)</f>
        <v>0</v>
      </c>
      <c r="N46" s="3349">
        <f>SUM('ФАКТ. СЕБЕСТ. СТОКИ 9 мес. 2019'!AD55)</f>
        <v>0</v>
      </c>
      <c r="O46" s="3349">
        <f>SUM('ФАКТ. СЕБЕСТ. СТОКИ 9 мес. 2019'!AE55)</f>
        <v>0</v>
      </c>
      <c r="P46" s="3349">
        <f>SUM('ФАКТ. СЕБЕСТ. СТОКИ 9 мес. 2019'!BP55)</f>
        <v>0</v>
      </c>
      <c r="Q46" s="3349">
        <f>SUM('ФАКТ. СЕБЕСТ. СТОКИ 9 мес. 2019'!BQ55)</f>
        <v>0</v>
      </c>
      <c r="R46" s="3349">
        <f>SUM('ФАКТ. СЕБЕСТ. СТОКИ 9 мес. 2019'!BR55)</f>
        <v>0</v>
      </c>
      <c r="S46" s="3349">
        <f>SUM('ФАКТ. СЕБЕСТ. СТОКИ 9 мес. 2019'!CB55)</f>
        <v>0</v>
      </c>
      <c r="T46" s="3349">
        <f>SUM('ФАКТ. СЕБЕСТ. СТОКИ 9 мес. 2019'!CC55)</f>
        <v>0</v>
      </c>
      <c r="U46" s="3349">
        <f>SUM('ФАКТ. СЕБЕСТ. СТОКИ 9 мес. 2019'!CD55)</f>
        <v>0</v>
      </c>
      <c r="V46" s="3349">
        <f>SUM('ФАКТ. СЕБЕСТ. СТОКИ 9 мес. 2019'!DO55)</f>
        <v>0</v>
      </c>
      <c r="W46" s="3349">
        <f>SUM('ФАКТ. СЕБЕСТ. СТОКИ 9 мес. 2019'!DP55)</f>
        <v>0</v>
      </c>
      <c r="X46" s="3349">
        <f>SUM('ФАКТ. СЕБЕСТ. СТОКИ 9 мес. 2019'!DQ55)</f>
        <v>0</v>
      </c>
      <c r="Y46" s="3349">
        <f>SUM('ФАКТ. СЕБЕСТ. СТОКИ 9 мес. 2019'!EA55)</f>
        <v>0</v>
      </c>
      <c r="Z46" s="3349">
        <f>SUM('ФАКТ. СЕБЕСТ. СТОКИ 9 мес. 2019'!EB55)</f>
        <v>0</v>
      </c>
      <c r="AA46" s="3349">
        <f>SUM('ФАКТ. СЕБЕСТ. СТОКИ 9 мес. 2019'!EC55)</f>
        <v>0</v>
      </c>
      <c r="AB46" s="3349">
        <f>SUM('ФАКТ. СЕБЕСТ. СТОКИ 9 мес. 2019'!FN55)</f>
        <v>0</v>
      </c>
      <c r="AC46" s="3349">
        <f>SUM('ФАКТ. СЕБЕСТ. СТОКИ 9 мес. 2019'!FO55)</f>
        <v>0</v>
      </c>
      <c r="AD46" s="3349">
        <f>SUM('ФАКТ. СЕБЕСТ. СТОКИ 9 мес. 2019'!FP55)</f>
        <v>0</v>
      </c>
      <c r="AE46" s="3349">
        <f>SUM('ФАКТ. СЕБЕСТ. СТОКИ 9 мес. 2019'!FZ55)</f>
        <v>0</v>
      </c>
      <c r="AF46" s="3349">
        <f>SUM('ФАКТ. СЕБЕСТ. СТОКИ 9 мес. 2019'!GA55)</f>
        <v>0</v>
      </c>
      <c r="AG46" s="3364">
        <f>SUM('ФАКТ. СЕБЕСТ. СТОКИ 9 мес. 2019'!GB55)</f>
        <v>0</v>
      </c>
    </row>
    <row r="47" spans="1:33" ht="18.75" customHeight="1" x14ac:dyDescent="0.3">
      <c r="A47" s="3362" t="s">
        <v>3609</v>
      </c>
      <c r="B47" s="3370"/>
      <c r="C47" s="3370"/>
      <c r="D47" s="3370"/>
      <c r="E47" s="3370"/>
      <c r="F47" s="3370"/>
      <c r="G47" s="3370"/>
      <c r="H47" s="3370"/>
      <c r="I47" s="3370"/>
      <c r="J47" s="3370"/>
      <c r="K47" s="3370"/>
      <c r="L47" s="3395" t="s">
        <v>915</v>
      </c>
      <c r="M47" s="3349">
        <f>SUM('ФАКТ. СЕБЕСТ. СТОКИ 9 мес. 2019'!AC56)</f>
        <v>60.252499999999998</v>
      </c>
      <c r="N47" s="3349">
        <f>SUM('ФАКТ. СЕБЕСТ. СТОКИ 9 мес. 2019'!AD56)</f>
        <v>60.252499999999998</v>
      </c>
      <c r="O47" s="3349">
        <f>SUM('ФАКТ. СЕБЕСТ. СТОКИ 9 мес. 2019'!AE56)</f>
        <v>0</v>
      </c>
      <c r="P47" s="3349">
        <f>SUM('ФАКТ. СЕБЕСТ. СТОКИ 9 мес. 2019'!BP56)</f>
        <v>60.252499999999998</v>
      </c>
      <c r="Q47" s="3349">
        <f>SUM('ФАКТ. СЕБЕСТ. СТОКИ 9 мес. 2019'!BQ56)</f>
        <v>60.252499999999998</v>
      </c>
      <c r="R47" s="3349">
        <f>SUM('ФАКТ. СЕБЕСТ. СТОКИ 9 мес. 2019'!BR56)</f>
        <v>0</v>
      </c>
      <c r="S47" s="3349">
        <f>SUM('ФАКТ. СЕБЕСТ. СТОКИ 9 мес. 2019'!CB56)</f>
        <v>120.505</v>
      </c>
      <c r="T47" s="3349">
        <f>SUM('ФАКТ. СЕБЕСТ. СТОКИ 9 мес. 2019'!CC56)</f>
        <v>120.505</v>
      </c>
      <c r="U47" s="3349">
        <f>SUM('ФАКТ. СЕБЕСТ. СТОКИ 9 мес. 2019'!CD56)</f>
        <v>0</v>
      </c>
      <c r="V47" s="3349">
        <f>SUM('ФАКТ. СЕБЕСТ. СТОКИ 9 мес. 2019'!DO56)</f>
        <v>60.252499999999998</v>
      </c>
      <c r="W47" s="3349">
        <f>SUM('ФАКТ. СЕБЕСТ. СТОКИ 9 мес. 2019'!DP56)</f>
        <v>60.252499999999998</v>
      </c>
      <c r="X47" s="3349">
        <f>SUM('ФАКТ. СЕБЕСТ. СТОКИ 9 мес. 2019'!DQ56)</f>
        <v>0</v>
      </c>
      <c r="Y47" s="3349">
        <f>SUM('ФАКТ. СЕБЕСТ. СТОКИ 9 мес. 2019'!EA56)</f>
        <v>180.75749999999999</v>
      </c>
      <c r="Z47" s="3349">
        <f>SUM('ФАКТ. СЕБЕСТ. СТОКИ 9 мес. 2019'!EB56)</f>
        <v>180.75749999999999</v>
      </c>
      <c r="AA47" s="3349">
        <f>SUM('ФАКТ. СЕБЕСТ. СТОКИ 9 мес. 2019'!EC56)</f>
        <v>0</v>
      </c>
      <c r="AB47" s="3349">
        <f>SUM('ФАКТ. СЕБЕСТ. СТОКИ 9 мес. 2019'!FN56)</f>
        <v>60.252499999999998</v>
      </c>
      <c r="AC47" s="3349">
        <f>SUM('ФАКТ. СЕБЕСТ. СТОКИ 9 мес. 2019'!FO56)</f>
        <v>60.252499999999998</v>
      </c>
      <c r="AD47" s="3349">
        <f>SUM('ФАКТ. СЕБЕСТ. СТОКИ 9 мес. 2019'!FP56)</f>
        <v>0</v>
      </c>
      <c r="AE47" s="3349">
        <f>SUM('ФАКТ. СЕБЕСТ. СТОКИ 9 мес. 2019'!FZ56)</f>
        <v>241.01</v>
      </c>
      <c r="AF47" s="3349">
        <f>SUM('ФАКТ. СЕБЕСТ. СТОКИ 9 мес. 2019'!GA56)</f>
        <v>241.01</v>
      </c>
      <c r="AG47" s="3364">
        <f>SUM('ФАКТ. СЕБЕСТ. СТОКИ 9 мес. 2019'!GB56)</f>
        <v>0</v>
      </c>
    </row>
    <row r="48" spans="1:33" ht="18.75" customHeight="1" x14ac:dyDescent="0.3">
      <c r="A48" s="3358" t="s">
        <v>12</v>
      </c>
      <c r="B48" s="3370"/>
      <c r="C48" s="3370"/>
      <c r="D48" s="3370"/>
      <c r="E48" s="3370"/>
      <c r="F48" s="3370"/>
      <c r="G48" s="3370"/>
      <c r="H48" s="3370"/>
      <c r="I48" s="3370"/>
      <c r="J48" s="3370"/>
      <c r="K48" s="3370"/>
      <c r="L48" s="3398" t="s">
        <v>915</v>
      </c>
      <c r="M48" s="3348">
        <f>SUM('ФАКТ. СЕБЕСТ. СТОКИ 9 мес. 2019'!AC57)</f>
        <v>24068.209201802725</v>
      </c>
      <c r="N48" s="3348">
        <f>SUM('ФАКТ. СЕБЕСТ. СТОКИ 9 мес. 2019'!AD57)</f>
        <v>24002.457404368852</v>
      </c>
      <c r="O48" s="3348">
        <f>SUM('ФАКТ. СЕБЕСТ. СТОКИ 9 мес. 2019'!AE57)</f>
        <v>65.751797433874046</v>
      </c>
      <c r="P48" s="3348">
        <f>SUM('ФАКТ. СЕБЕСТ. СТОКИ 9 мес. 2019'!BP57)</f>
        <v>24068.209201802725</v>
      </c>
      <c r="Q48" s="3348">
        <f>SUM('ФАКТ. СЕБЕСТ. СТОКИ 9 мес. 2019'!BQ57)</f>
        <v>24002.457404368852</v>
      </c>
      <c r="R48" s="3348">
        <f>SUM('ФАКТ. СЕБЕСТ. СТОКИ 9 мес. 2019'!BR57)</f>
        <v>65.751797433874046</v>
      </c>
      <c r="S48" s="3348">
        <f>SUM('ФАКТ. СЕБЕСТ. СТОКИ 9 мес. 2019'!CB57)</f>
        <v>48136.41840360545</v>
      </c>
      <c r="T48" s="3348">
        <f>SUM('ФАКТ. СЕБЕСТ. СТОКИ 9 мес. 2019'!CC57)</f>
        <v>48004.914808737703</v>
      </c>
      <c r="U48" s="3348">
        <f>SUM('ФАКТ. СЕБЕСТ. СТОКИ 9 мес. 2019'!CD57)</f>
        <v>131.50359486774809</v>
      </c>
      <c r="V48" s="3348">
        <f>SUM('ФАКТ. СЕБЕСТ. СТОКИ 9 мес. 2019'!DO57)</f>
        <v>24196.07027956083</v>
      </c>
      <c r="W48" s="3348">
        <f>SUM('ФАКТ. СЕБЕСТ. СТОКИ 9 мес. 2019'!DP57)</f>
        <v>24129.71395878003</v>
      </c>
      <c r="X48" s="3348">
        <f>SUM('ФАКТ. СЕБЕСТ. СТОКИ 9 мес. 2019'!DQ57)</f>
        <v>66.356320780799294</v>
      </c>
      <c r="Y48" s="3348">
        <f>SUM('ФАКТ. СЕБЕСТ. СТОКИ 9 мес. 2019'!EA57)</f>
        <v>72332.488683166273</v>
      </c>
      <c r="Z48" s="3348">
        <f>SUM('ФАКТ. СЕБЕСТ. СТОКИ 9 мес. 2019'!EB57)</f>
        <v>72134.62876751773</v>
      </c>
      <c r="AA48" s="3348">
        <f>SUM('ФАКТ. СЕБЕСТ. СТОКИ 9 мес. 2019'!EC57)</f>
        <v>197.85991564854737</v>
      </c>
      <c r="AB48" s="3348">
        <f>SUM('ФАКТ. СЕБЕСТ. СТОКИ 9 мес. 2019'!FN57)</f>
        <v>24196.07027956083</v>
      </c>
      <c r="AC48" s="3348">
        <f>SUM('ФАКТ. СЕБЕСТ. СТОКИ 9 мес. 2019'!FO57)</f>
        <v>24129.71395878003</v>
      </c>
      <c r="AD48" s="3348">
        <f>SUM('ФАКТ. СЕБЕСТ. СТОКИ 9 мес. 2019'!FP57)</f>
        <v>66.356320780799294</v>
      </c>
      <c r="AE48" s="3348">
        <f>SUM('ФАКТ. СЕБЕСТ. СТОКИ 9 мес. 2019'!FZ57)</f>
        <v>96528.558962727111</v>
      </c>
      <c r="AF48" s="3348">
        <f>SUM('ФАКТ. СЕБЕСТ. СТОКИ 9 мес. 2019'!GA57)</f>
        <v>96264.342726297764</v>
      </c>
      <c r="AG48" s="3361">
        <f>SUM('ФАКТ. СЕБЕСТ. СТОКИ 9 мес. 2019'!GB57)</f>
        <v>264.21623642934668</v>
      </c>
    </row>
    <row r="49" spans="1:33" ht="18.75" customHeight="1" x14ac:dyDescent="0.3">
      <c r="A49" s="3358" t="s">
        <v>13</v>
      </c>
      <c r="B49" s="3370"/>
      <c r="C49" s="3370"/>
      <c r="D49" s="3370"/>
      <c r="E49" s="3370"/>
      <c r="F49" s="3370"/>
      <c r="G49" s="3370"/>
      <c r="H49" s="3370"/>
      <c r="I49" s="3370"/>
      <c r="J49" s="3370"/>
      <c r="K49" s="3370"/>
      <c r="L49" s="3399" t="s">
        <v>3689</v>
      </c>
      <c r="M49" s="3348">
        <f>SUM('ФАКТ. СЕБЕСТ. СТОКИ 9 мес. 2019'!AC58)</f>
        <v>755.00091078952482</v>
      </c>
      <c r="N49" s="3348">
        <f>SUM('ФАКТ. СЕБЕСТ. СТОКИ 9 мес. 2019'!AD58)</f>
        <v>750.58424412285808</v>
      </c>
      <c r="O49" s="3348">
        <f>SUM('ФАКТ. СЕБЕСТ. СТОКИ 9 мес. 2019'!AE58)</f>
        <v>4.416666666666667</v>
      </c>
      <c r="P49" s="3348">
        <f>SUM('ФАКТ. СЕБЕСТ. СТОКИ 9 мес. 2019'!BP58)</f>
        <v>755.00091078952482</v>
      </c>
      <c r="Q49" s="3348">
        <f>SUM('ФАКТ. СЕБЕСТ. СТОКИ 9 мес. 2019'!BQ58)</f>
        <v>750.58424412285808</v>
      </c>
      <c r="R49" s="3348">
        <f>SUM('ФАКТ. СЕБЕСТ. СТОКИ 9 мес. 2019'!BR58)</f>
        <v>4.416666666666667</v>
      </c>
      <c r="S49" s="3348">
        <f>SUM('ФАКТ. СЕБЕСТ. СТОКИ 9 мес. 2019'!CB58)</f>
        <v>1510.0018215790496</v>
      </c>
      <c r="T49" s="3348">
        <f>SUM('ФАКТ. СЕБЕСТ. СТОКИ 9 мес. 2019'!CC58)</f>
        <v>1501.1684882457162</v>
      </c>
      <c r="U49" s="3348">
        <f>SUM('ФАКТ. СЕБЕСТ. СТОКИ 9 мес. 2019'!CD58)</f>
        <v>8.8333333333333339</v>
      </c>
      <c r="V49" s="3348">
        <f>SUM('ФАКТ. СЕБЕСТ. СТОКИ 9 мес. 2019'!DO58)</f>
        <v>755.00091078952482</v>
      </c>
      <c r="W49" s="3348">
        <f>SUM('ФАКТ. СЕБЕСТ. СТОКИ 9 мес. 2019'!DP58)</f>
        <v>750.58424412285808</v>
      </c>
      <c r="X49" s="3348">
        <f>SUM('ФАКТ. СЕБЕСТ. СТОКИ 9 мес. 2019'!DQ58)</f>
        <v>4.416666666666667</v>
      </c>
      <c r="Y49" s="3348">
        <f>SUM('ФАКТ. СЕБЕСТ. СТОКИ 9 мес. 2019'!EA58)</f>
        <v>2265.0027323685745</v>
      </c>
      <c r="Z49" s="3348">
        <f>SUM('ФАКТ. СЕБЕСТ. СТОКИ 9 мес. 2019'!EB58)</f>
        <v>2251.7527323685745</v>
      </c>
      <c r="AA49" s="3348">
        <f>SUM('ФАКТ. СЕБЕСТ. СТОКИ 9 мес. 2019'!EC58)</f>
        <v>13.25</v>
      </c>
      <c r="AB49" s="3348">
        <f>SUM('ФАКТ. СЕБЕСТ. СТОКИ 9 мес. 2019'!FN58)</f>
        <v>755.00091078952482</v>
      </c>
      <c r="AC49" s="3348">
        <f>SUM('ФАКТ. СЕБЕСТ. СТОКИ 9 мес. 2019'!FO58)</f>
        <v>750.58424412285808</v>
      </c>
      <c r="AD49" s="3348">
        <f>SUM('ФАКТ. СЕБЕСТ. СТОКИ 9 мес. 2019'!FP58)</f>
        <v>4.416666666666667</v>
      </c>
      <c r="AE49" s="3348">
        <f>SUM('ФАКТ. СЕБЕСТ. СТОКИ 9 мес. 2019'!FZ58)</f>
        <v>3020.0036431580993</v>
      </c>
      <c r="AF49" s="3348">
        <f>SUM('ФАКТ. СЕБЕСТ. СТОКИ 9 мес. 2019'!GA58)</f>
        <v>3002.3369764914323</v>
      </c>
      <c r="AG49" s="3361">
        <f>SUM('ФАКТ. СЕБЕСТ. СТОКИ 9 мес. 2019'!GB58)</f>
        <v>17.666666666666668</v>
      </c>
    </row>
    <row r="50" spans="1:33" ht="18.75" customHeight="1" x14ac:dyDescent="0.3">
      <c r="A50" s="3358" t="s">
        <v>14</v>
      </c>
      <c r="B50" s="3370"/>
      <c r="C50" s="3370"/>
      <c r="D50" s="3370"/>
      <c r="E50" s="3370"/>
      <c r="F50" s="3370"/>
      <c r="G50" s="3370"/>
      <c r="H50" s="3370"/>
      <c r="I50" s="3370"/>
      <c r="J50" s="3370"/>
      <c r="K50" s="3370"/>
      <c r="L50" s="3400" t="s">
        <v>2059</v>
      </c>
      <c r="M50" s="3348">
        <f>SUM('ФАКТ. СЕБЕСТ. СТОКИ 9 мес. 2019'!AC59)</f>
        <v>31.878384327555246</v>
      </c>
      <c r="N50" s="3348">
        <f>SUM('ФАКТ. СЕБЕСТ. СТОКИ 9 мес. 2019'!AD59)</f>
        <v>31.978365642911164</v>
      </c>
      <c r="O50" s="3348">
        <f>SUM('ФАКТ. СЕБЕСТ. СТОКИ 9 мес. 2019'!AE59)</f>
        <v>14.887199418990349</v>
      </c>
      <c r="P50" s="3348">
        <f>SUM('ФАКТ. СЕБЕСТ. СТОКИ 9 мес. 2019'!BP59)</f>
        <v>31.878384327555246</v>
      </c>
      <c r="Q50" s="3348">
        <f>SUM('ФАКТ. СЕБЕСТ. СТОКИ 9 мес. 2019'!BQ59)</f>
        <v>31.978365642911164</v>
      </c>
      <c r="R50" s="3348">
        <f>SUM('ФАКТ. СЕБЕСТ. СТОКИ 9 мес. 2019'!BR59)</f>
        <v>14.887199418990349</v>
      </c>
      <c r="S50" s="3348">
        <f>SUM('ФАКТ. СЕБЕСТ. СТОКИ 9 мес. 2019'!CB59)</f>
        <v>31.878384327555246</v>
      </c>
      <c r="T50" s="3348">
        <f>SUM('ФАКТ. СЕБЕСТ. СТОКИ 9 мес. 2019'!CC59)</f>
        <v>31.978365642911164</v>
      </c>
      <c r="U50" s="3348">
        <f>SUM('ФАКТ. СЕБЕСТ. СТОКИ 9 мес. 2019'!CD59)</f>
        <v>14.887199418990349</v>
      </c>
      <c r="V50" s="3348">
        <f>SUM('ФАКТ. СЕБЕСТ. СТОКИ 9 мес. 2019'!DO59)</f>
        <v>32.047736544129926</v>
      </c>
      <c r="W50" s="3348">
        <f>SUM('ФАКТ. СЕБЕСТ. СТОКИ 9 мес. 2019'!DP59)</f>
        <v>32.147908975864937</v>
      </c>
      <c r="X50" s="3348">
        <f>SUM('ФАКТ. СЕБЕСТ. СТОКИ 9 мес. 2019'!DQ59)</f>
        <v>15.024072629614933</v>
      </c>
      <c r="Y50" s="3348">
        <f>SUM('ФАКТ. СЕБЕСТ. СТОКИ 9 мес. 2019'!EA59)</f>
        <v>31.93483506641347</v>
      </c>
      <c r="Z50" s="3348">
        <f>SUM('ФАКТ. СЕБЕСТ. СТОКИ 9 мес. 2019'!EB59)</f>
        <v>32.034880087229084</v>
      </c>
      <c r="AA50" s="3348">
        <f>SUM('ФАКТ. СЕБЕСТ. СТОКИ 9 мес. 2019'!EC59)</f>
        <v>14.932823822531876</v>
      </c>
      <c r="AB50" s="3348">
        <f>SUM('ФАКТ. СЕБЕСТ. СТОКИ 9 мес. 2019'!FN59)</f>
        <v>32.047736544129926</v>
      </c>
      <c r="AC50" s="3348">
        <f>SUM('ФАКТ. СЕБЕСТ. СТОКИ 9 мес. 2019'!FO59)</f>
        <v>32.147908975864937</v>
      </c>
      <c r="AD50" s="3348">
        <f>SUM('ФАКТ. СЕБЕСТ. СТОКИ 9 мес. 2019'!FP59)</f>
        <v>15.024072629614933</v>
      </c>
      <c r="AE50" s="3348">
        <f>SUM('ФАКТ. СЕБЕСТ. СТОКИ 9 мес. 2019'!FZ59)</f>
        <v>31.963060435842586</v>
      </c>
      <c r="AF50" s="3348">
        <f>SUM('ФАКТ. СЕБЕСТ. СТОКИ 9 мес. 2019'!GA59)</f>
        <v>32.063137309388054</v>
      </c>
      <c r="AG50" s="3361">
        <f>SUM('ФАКТ. СЕБЕСТ. СТОКИ 9 мес. 2019'!GB59)</f>
        <v>14.955636024302642</v>
      </c>
    </row>
    <row r="51" spans="1:33" ht="18.75" customHeight="1" x14ac:dyDescent="0.3">
      <c r="A51" s="3371" t="s">
        <v>3679</v>
      </c>
      <c r="B51" s="3370"/>
      <c r="C51" s="3370"/>
      <c r="D51" s="3370"/>
      <c r="E51" s="3370"/>
      <c r="F51" s="3370"/>
      <c r="G51" s="3370"/>
      <c r="H51" s="3370"/>
      <c r="I51" s="3370"/>
      <c r="J51" s="3370"/>
      <c r="K51" s="3370"/>
      <c r="L51" s="3398" t="s">
        <v>915</v>
      </c>
      <c r="M51" s="3348">
        <f>SUM('ФАКТ. СЕБЕСТ. СТОКИ 9 мес. 2019'!AC60)</f>
        <v>-2.4548143384090357</v>
      </c>
      <c r="N51" s="3348">
        <f>SUM('ФАКТ. СЕБЕСТ. СТОКИ 9 мес. 2019'!AD60)</f>
        <v>0</v>
      </c>
      <c r="O51" s="3348">
        <f>SUM('ФАКТ. СЕБЕСТ. СТОКИ 9 мес. 2019'!AE60)</f>
        <v>-2.4548143384090357</v>
      </c>
      <c r="P51" s="3348">
        <f>SUM('ФАКТ. СЕБЕСТ. СТОКИ 9 мес. 2019'!BP60)</f>
        <v>-2.4548143384090357</v>
      </c>
      <c r="Q51" s="3348">
        <f>SUM('ФАКТ. СЕБЕСТ. СТОКИ 9 мес. 2019'!BQ60)</f>
        <v>0</v>
      </c>
      <c r="R51" s="3348">
        <f>SUM('ФАКТ. СЕБЕСТ. СТОКИ 9 мес. 2019'!BR60)</f>
        <v>-2.4548143384090357</v>
      </c>
      <c r="S51" s="3348">
        <f>SUM('ФАКТ. СЕБЕСТ. СТОКИ 9 мес. 2019'!CB60)</f>
        <v>-4.9096286768180715</v>
      </c>
      <c r="T51" s="3348">
        <f>SUM('ФАКТ. СЕБЕСТ. СТОКИ 9 мес. 2019'!CC60)</f>
        <v>0</v>
      </c>
      <c r="U51" s="3348">
        <f>SUM('ФАКТ. СЕБЕСТ. СТОКИ 9 мес. 2019'!CD60)</f>
        <v>-4.9096286768180715</v>
      </c>
      <c r="V51" s="3348">
        <f>SUM('ФАКТ. СЕБЕСТ. СТОКИ 9 мес. 2019'!DO60)</f>
        <v>-2.4548143384090357</v>
      </c>
      <c r="W51" s="3348">
        <f>SUM('ФАКТ. СЕБЕСТ. СТОКИ 9 мес. 2019'!DP60)</f>
        <v>0</v>
      </c>
      <c r="X51" s="3348">
        <f>SUM('ФАКТ. СЕБЕСТ. СТОКИ 9 мес. 2019'!DQ60)</f>
        <v>-2.4548143384090357</v>
      </c>
      <c r="Y51" s="3348">
        <f>SUM('ФАКТ. СЕБЕСТ. СТОКИ 9 мес. 2019'!EA60)</f>
        <v>-7.3644430152271072</v>
      </c>
      <c r="Z51" s="3348">
        <f>SUM('ФАКТ. СЕБЕСТ. СТОКИ 9 мес. 2019'!EB60)</f>
        <v>0</v>
      </c>
      <c r="AA51" s="3348">
        <f>SUM('ФАКТ. СЕБЕСТ. СТОКИ 9 мес. 2019'!EC60)</f>
        <v>-7.3644430152271072</v>
      </c>
      <c r="AB51" s="3348">
        <f>SUM('ФАКТ. СЕБЕСТ. СТОКИ 9 мес. 2019'!FN60)</f>
        <v>-2.4548143384090357</v>
      </c>
      <c r="AC51" s="3348">
        <f>SUM('ФАКТ. СЕБЕСТ. СТОКИ 9 мес. 2019'!FO60)</f>
        <v>0</v>
      </c>
      <c r="AD51" s="3348">
        <f>SUM('ФАКТ. СЕБЕСТ. СТОКИ 9 мес. 2019'!FP60)</f>
        <v>-2.4548143384090357</v>
      </c>
      <c r="AE51" s="3348">
        <f>SUM('ФАКТ. СЕБЕСТ. СТОКИ 9 мес. 2019'!FZ60)</f>
        <v>-9.8192573536361429</v>
      </c>
      <c r="AF51" s="3348">
        <f>SUM('ФАКТ. СЕБЕСТ. СТОКИ 9 мес. 2019'!GA60)</f>
        <v>0</v>
      </c>
      <c r="AG51" s="3361">
        <f>SUM('ФАКТ. СЕБЕСТ. СТОКИ 9 мес. 2019'!GB60)</f>
        <v>-9.8192573536361429</v>
      </c>
    </row>
    <row r="52" spans="1:33" ht="18.75" customHeight="1" x14ac:dyDescent="0.3">
      <c r="A52" s="3368" t="s">
        <v>320</v>
      </c>
      <c r="B52" s="3370"/>
      <c r="C52" s="3370"/>
      <c r="D52" s="3370"/>
      <c r="E52" s="3370"/>
      <c r="F52" s="3370"/>
      <c r="G52" s="3370"/>
      <c r="H52" s="3370"/>
      <c r="I52" s="3370"/>
      <c r="J52" s="3370"/>
      <c r="K52" s="3370"/>
      <c r="L52" s="3398" t="s">
        <v>915</v>
      </c>
      <c r="M52" s="3351">
        <f>SUM('ФАКТ. СЕБЕСТ. СТОКИ 9 мес. 2019'!AC61)</f>
        <v>-892.25250000000005</v>
      </c>
      <c r="N52" s="3351">
        <f>SUM('ФАКТ. СЕБЕСТ. СТОКИ 9 мес. 2019'!AD61)</f>
        <v>-892.25250000000005</v>
      </c>
      <c r="O52" s="3351">
        <f>SUM('ФАКТ. СЕБЕСТ. СТОКИ 9 мес. 2019'!AE61)</f>
        <v>0</v>
      </c>
      <c r="P52" s="3351">
        <f>SUM('ФАКТ. СЕБЕСТ. СТОКИ 9 мес. 2019'!BP61)</f>
        <v>-892.25250000000005</v>
      </c>
      <c r="Q52" s="3351">
        <f>SUM('ФАКТ. СЕБЕСТ. СТОКИ 9 мес. 2019'!BQ61)</f>
        <v>-892.25250000000005</v>
      </c>
      <c r="R52" s="3351">
        <f>SUM('ФАКТ. СЕБЕСТ. СТОКИ 9 мес. 2019'!BR61)</f>
        <v>0</v>
      </c>
      <c r="S52" s="3351">
        <f>SUM('ФАКТ. СЕБЕСТ. СТОКИ 9 мес. 2019'!CB61)</f>
        <v>-1784.5050000000001</v>
      </c>
      <c r="T52" s="3351">
        <f>SUM('ФАКТ. СЕБЕСТ. СТОКИ 9 мес. 2019'!CC61)</f>
        <v>-1784.5050000000001</v>
      </c>
      <c r="U52" s="3351">
        <f>SUM('ФАКТ. СЕБЕСТ. СТОКИ 9 мес. 2019'!CD61)</f>
        <v>0</v>
      </c>
      <c r="V52" s="3351">
        <f>SUM('ФАКТ. СЕБЕСТ. СТОКИ 9 мес. 2019'!DO61)</f>
        <v>-892.25250000000005</v>
      </c>
      <c r="W52" s="3351">
        <f>SUM('ФАКТ. СЕБЕСТ. СТОКИ 9 мес. 2019'!DP61)</f>
        <v>-892.25250000000005</v>
      </c>
      <c r="X52" s="3351">
        <f>SUM('ФАКТ. СЕБЕСТ. СТОКИ 9 мес. 2019'!DQ61)</f>
        <v>0</v>
      </c>
      <c r="Y52" s="3351">
        <f>SUM('ФАКТ. СЕБЕСТ. СТОКИ 9 мес. 2019'!EA61)</f>
        <v>-2676.7575000000002</v>
      </c>
      <c r="Z52" s="3351">
        <f>SUM('ФАКТ. СЕБЕСТ. СТОКИ 9 мес. 2019'!EB61)</f>
        <v>-2676.7575000000002</v>
      </c>
      <c r="AA52" s="3351">
        <f>SUM('ФАКТ. СЕБЕСТ. СТОКИ 9 мес. 2019'!EC61)</f>
        <v>0</v>
      </c>
      <c r="AB52" s="3351">
        <f>SUM('ФАКТ. СЕБЕСТ. СТОКИ 9 мес. 2019'!FN61)</f>
        <v>-892.25250000000005</v>
      </c>
      <c r="AC52" s="3351">
        <f>SUM('ФАКТ. СЕБЕСТ. СТОКИ 9 мес. 2019'!FO61)</f>
        <v>-892.25250000000005</v>
      </c>
      <c r="AD52" s="3351">
        <f>SUM('ФАКТ. СЕБЕСТ. СТОКИ 9 мес. 2019'!FP61)</f>
        <v>0</v>
      </c>
      <c r="AE52" s="3351">
        <f>SUM('ФАКТ. СЕБЕСТ. СТОКИ 9 мес. 2019'!FZ61)</f>
        <v>-3569.01</v>
      </c>
      <c r="AF52" s="3351">
        <f>SUM('ФАКТ. СЕБЕСТ. СТОКИ 9 мес. 2019'!GA61)</f>
        <v>-3569.01</v>
      </c>
      <c r="AG52" s="3366">
        <f>SUM('ФАКТ. СЕБЕСТ. СТОКИ 9 мес. 2019'!GB61)</f>
        <v>0</v>
      </c>
    </row>
    <row r="53" spans="1:33" ht="18.75" customHeight="1" x14ac:dyDescent="0.3">
      <c r="A53" s="3371" t="s">
        <v>3649</v>
      </c>
      <c r="B53" s="3370"/>
      <c r="C53" s="3370"/>
      <c r="D53" s="3370"/>
      <c r="E53" s="3370"/>
      <c r="F53" s="3370"/>
      <c r="G53" s="3370"/>
      <c r="H53" s="3370"/>
      <c r="I53" s="3370"/>
      <c r="J53" s="3370"/>
      <c r="K53" s="3370"/>
      <c r="L53" s="3398" t="s">
        <v>915</v>
      </c>
      <c r="M53" s="3348">
        <f>SUM('ФАКТ. СЕБЕСТ. СТОКИ 9 мес. 2019'!AC62)</f>
        <v>24065.754387464316</v>
      </c>
      <c r="N53" s="3348">
        <f>SUM('ФАКТ. СЕБЕСТ. СТОКИ 9 мес. 2019'!AD62)</f>
        <v>24002.457404368852</v>
      </c>
      <c r="O53" s="3348">
        <f>SUM('ФАКТ. СЕБЕСТ. СТОКИ 9 мес. 2019'!AE62)</f>
        <v>63.296983095465002</v>
      </c>
      <c r="P53" s="3348">
        <f>SUM('ФАКТ. СЕБЕСТ. СТОКИ 9 мес. 2019'!BP62)</f>
        <v>24065.754387464316</v>
      </c>
      <c r="Q53" s="3348">
        <f>SUM('ФАКТ. СЕБЕСТ. СТОКИ 9 мес. 2019'!BQ62)</f>
        <v>24002.457404368852</v>
      </c>
      <c r="R53" s="3348">
        <f>SUM('ФАКТ. СЕБЕСТ. СТОКИ 9 мес. 2019'!BR62)</f>
        <v>63.296983095465002</v>
      </c>
      <c r="S53" s="3348">
        <f>SUM('ФАКТ. СЕБЕСТ. СТОКИ 9 мес. 2019'!CB62)</f>
        <v>48131.508774928632</v>
      </c>
      <c r="T53" s="3348">
        <f>SUM('ФАКТ. СЕБЕСТ. СТОКИ 9 мес. 2019'!CC62)</f>
        <v>48004.914808737703</v>
      </c>
      <c r="U53" s="3348">
        <f>SUM('ФАКТ. СЕБЕСТ. СТОКИ 9 мес. 2019'!CD62)</f>
        <v>126.59396619093</v>
      </c>
      <c r="V53" s="3348">
        <f>SUM('ФАКТ. СЕБЕСТ. СТОКИ 9 мес. 2019'!DO62)</f>
        <v>24193.615465222421</v>
      </c>
      <c r="W53" s="3348">
        <f>SUM('ФАКТ. СЕБЕСТ. СТОКИ 9 мес. 2019'!DP62)</f>
        <v>24129.71395878003</v>
      </c>
      <c r="X53" s="3348">
        <f>SUM('ФАКТ. СЕБЕСТ. СТОКИ 9 мес. 2019'!DQ62)</f>
        <v>63.901506442390257</v>
      </c>
      <c r="Y53" s="3348">
        <f>SUM('ФАКТ. СЕБЕСТ. СТОКИ 9 мес. 2019'!EA62)</f>
        <v>72325.124240151054</v>
      </c>
      <c r="Z53" s="3348">
        <f>SUM('ФАКТ. СЕБЕСТ. СТОКИ 9 мес. 2019'!EB62)</f>
        <v>72134.62876751773</v>
      </c>
      <c r="AA53" s="3348">
        <f>SUM('ФАКТ. СЕБЕСТ. СТОКИ 9 мес. 2019'!EC62)</f>
        <v>190.49547263332028</v>
      </c>
      <c r="AB53" s="3348">
        <f>SUM('ФАКТ. СЕБЕСТ. СТОКИ 9 мес. 2019'!FN62)</f>
        <v>24193.615465222421</v>
      </c>
      <c r="AC53" s="3348">
        <f>SUM('ФАКТ. СЕБЕСТ. СТОКИ 9 мес. 2019'!FO62)</f>
        <v>24129.71395878003</v>
      </c>
      <c r="AD53" s="3348">
        <f>SUM('ФАКТ. СЕБЕСТ. СТОКИ 9 мес. 2019'!FP62)</f>
        <v>63.901506442390257</v>
      </c>
      <c r="AE53" s="3348">
        <f>SUM('ФАКТ. СЕБЕСТ. СТОКИ 9 мес. 2019'!FZ62)</f>
        <v>96518.739705373475</v>
      </c>
      <c r="AF53" s="3348">
        <f>SUM('ФАКТ. СЕБЕСТ. СТОКИ 9 мес. 2019'!GA62)</f>
        <v>96264.342726297764</v>
      </c>
      <c r="AG53" s="3361">
        <f>SUM('ФАКТ. СЕБЕСТ. СТОКИ 9 мес. 2019'!GB62)</f>
        <v>254.39697907571053</v>
      </c>
    </row>
    <row r="54" spans="1:33" ht="18.75" customHeight="1" x14ac:dyDescent="0.3">
      <c r="A54" s="3374" t="s">
        <v>3680</v>
      </c>
      <c r="B54" s="3370"/>
      <c r="C54" s="3370"/>
      <c r="D54" s="3370"/>
      <c r="E54" s="3370"/>
      <c r="F54" s="3370"/>
      <c r="G54" s="3370"/>
      <c r="H54" s="3370"/>
      <c r="I54" s="3370"/>
      <c r="J54" s="3370"/>
      <c r="K54" s="3370"/>
      <c r="L54" s="3398" t="s">
        <v>915</v>
      </c>
      <c r="M54" s="3348">
        <f>SUM('ФАКТ. СЕБЕСТ. СТОКИ 9 мес. 2019'!AC63)</f>
        <v>63.235105607537712</v>
      </c>
      <c r="N54" s="3348">
        <f>SUM('ФАКТ. СЕБЕСТ. СТОКИ 9 мес. 2019'!AD63)</f>
        <v>63.628262729322159</v>
      </c>
      <c r="O54" s="3348">
        <f>SUM('ФАКТ. СЕБЕСТ. СТОКИ 9 мес. 2019'!AE63)</f>
        <v>-0.39315712178444784</v>
      </c>
      <c r="P54" s="3348">
        <f>SUM('ФАКТ. СЕБЕСТ. СТОКИ 9 мес. 2019'!BP63)</f>
        <v>63.235105607537712</v>
      </c>
      <c r="Q54" s="3348">
        <f>SUM('ФАКТ. СЕБЕСТ. СТОКИ 9 мес. 2019'!BQ63)</f>
        <v>63.628262729322159</v>
      </c>
      <c r="R54" s="3348">
        <f>SUM('ФАКТ. СЕБЕСТ. СТОКИ 9 мес. 2019'!BR63)</f>
        <v>-0.39315712178444784</v>
      </c>
      <c r="S54" s="3348">
        <f>SUM('ФАКТ. СЕБЕСТ. СТОКИ 9 мес. 2019'!CB63)</f>
        <v>126.47021121507542</v>
      </c>
      <c r="T54" s="3348">
        <f>SUM('ФАКТ. СЕБЕСТ. СТОКИ 9 мес. 2019'!CC63)</f>
        <v>127.25652545864432</v>
      </c>
      <c r="U54" s="3348">
        <f>SUM('ФАКТ. СЕБЕСТ. СТОКИ 9 мес. 2019'!CD63)</f>
        <v>-0.78631424356889568</v>
      </c>
      <c r="V54" s="3348">
        <f>SUM('ФАКТ. СЕБЕСТ. СТОКИ 9 мес. 2019'!DO63)</f>
        <v>-63.235134559266328</v>
      </c>
      <c r="W54" s="3348">
        <f>SUM('ФАКТ. СЕБЕСТ. СТОКИ 9 мес. 2019'!DP63)</f>
        <v>-63.628291681856354</v>
      </c>
      <c r="X54" s="3348">
        <f>SUM('ФАКТ. СЕБЕСТ. СТОКИ 9 мес. 2019'!DQ63)</f>
        <v>0.39315712259002211</v>
      </c>
      <c r="Y54" s="3348">
        <f>SUM('ФАКТ. СЕБЕСТ. СТОКИ 9 мес. 2019'!EA63)</f>
        <v>63.235076655809095</v>
      </c>
      <c r="Z54" s="3348">
        <f>SUM('ФАКТ. СЕБЕСТ. СТОКИ 9 мес. 2019'!EB63)</f>
        <v>63.628233776787965</v>
      </c>
      <c r="AA54" s="3348">
        <f>SUM('ФАКТ. СЕБЕСТ. СТОКИ 9 мес. 2019'!EC63)</f>
        <v>-0.39315712097887356</v>
      </c>
      <c r="AB54" s="3348">
        <f>SUM('ФАКТ. СЕБЕСТ. СТОКИ 9 мес. 2019'!FN63)</f>
        <v>-63.235134559266328</v>
      </c>
      <c r="AC54" s="3348">
        <f>SUM('ФАКТ. СЕБЕСТ. СТОКИ 9 мес. 2019'!FO63)</f>
        <v>-63.628291681856354</v>
      </c>
      <c r="AD54" s="3348">
        <f>SUM('ФАКТ. СЕБЕСТ. СТОКИ 9 мес. 2019'!FP63)</f>
        <v>0.39315712259002211</v>
      </c>
      <c r="AE54" s="3348">
        <f>SUM('ФАКТ. СЕБЕСТ. СТОКИ 9 мес. 2019'!FZ63)</f>
        <v>-5.7903457232555411E-5</v>
      </c>
      <c r="AF54" s="3348">
        <f>SUM('ФАКТ. СЕБЕСТ. СТОКИ 9 мес. 2019'!GA63)</f>
        <v>-5.7905068388208747E-5</v>
      </c>
      <c r="AG54" s="3361">
        <f>SUM('ФАКТ. СЕБЕСТ. СТОКИ 9 мес. 2019'!GB63)</f>
        <v>1.6111485479086696E-9</v>
      </c>
    </row>
    <row r="55" spans="1:33" ht="18.75" customHeight="1" x14ac:dyDescent="0.3">
      <c r="A55" s="3374" t="s">
        <v>538</v>
      </c>
      <c r="B55" s="3370"/>
      <c r="C55" s="3370"/>
      <c r="D55" s="3370"/>
      <c r="E55" s="3370"/>
      <c r="F55" s="3370"/>
      <c r="G55" s="3370"/>
      <c r="H55" s="3370"/>
      <c r="I55" s="3370"/>
      <c r="J55" s="3370"/>
      <c r="K55" s="3370"/>
      <c r="L55" s="3398" t="s">
        <v>915</v>
      </c>
      <c r="M55" s="3348">
        <f>SUM('ФАКТ. СЕБЕСТ. СТОКИ 9 мес. 2019'!AC64)</f>
        <v>24128.989493071855</v>
      </c>
      <c r="N55" s="3348">
        <f>SUM('ФАКТ. СЕБЕСТ. СТОКИ 9 мес. 2019'!AD64)</f>
        <v>24066.085667098174</v>
      </c>
      <c r="O55" s="3348">
        <f>SUM('ФАКТ. СЕБЕСТ. СТОКИ 9 мес. 2019'!AE64)</f>
        <v>62.903825973680554</v>
      </c>
      <c r="P55" s="3348">
        <f>SUM('ФАКТ. СЕБЕСТ. СТОКИ 9 мес. 2019'!BP64)</f>
        <v>24128.989493071855</v>
      </c>
      <c r="Q55" s="3348">
        <f>SUM('ФАКТ. СЕБЕСТ. СТОКИ 9 мес. 2019'!BQ64)</f>
        <v>24066.085667098174</v>
      </c>
      <c r="R55" s="3348">
        <f>SUM('ФАКТ. СЕБЕСТ. СТОКИ 9 мес. 2019'!BR64)</f>
        <v>62.903825973680554</v>
      </c>
      <c r="S55" s="3348">
        <f>SUM('ФАКТ. СЕБЕСТ. СТОКИ 9 мес. 2019'!CB64)</f>
        <v>48257.978986143709</v>
      </c>
      <c r="T55" s="3348">
        <f>SUM('ФАКТ. СЕБЕСТ. СТОКИ 9 мес. 2019'!CC64)</f>
        <v>48132.171334196348</v>
      </c>
      <c r="U55" s="3348">
        <f>SUM('ФАКТ. СЕБЕСТ. СТОКИ 9 мес. 2019'!CD64)</f>
        <v>125.80765194736111</v>
      </c>
      <c r="V55" s="3348">
        <f>SUM('ФАКТ. СЕБЕСТ. СТОКИ 9 мес. 2019'!DO64)</f>
        <v>24130.380330663156</v>
      </c>
      <c r="W55" s="3348">
        <f>SUM('ФАКТ. СЕБЕСТ. СТОКИ 9 мес. 2019'!DP64)</f>
        <v>24066.085667098174</v>
      </c>
      <c r="X55" s="3348">
        <f>SUM('ФАКТ. СЕБЕСТ. СТОКИ 9 мес. 2019'!DQ64)</f>
        <v>64.294663564980283</v>
      </c>
      <c r="Y55" s="3348">
        <f>SUM('ФАКТ. СЕБЕСТ. СТОКИ 9 мес. 2019'!EA64)</f>
        <v>72388.359316806862</v>
      </c>
      <c r="Z55" s="3348">
        <f>SUM('ФАКТ. СЕБЕСТ. СТОКИ 9 мес. 2019'!EB64)</f>
        <v>72198.257001294522</v>
      </c>
      <c r="AA55" s="3348">
        <f>SUM('ФАКТ. СЕБЕСТ. СТОКИ 9 мес. 2019'!EC64)</f>
        <v>190.10231551234139</v>
      </c>
      <c r="AB55" s="3348">
        <f>SUM('ФАКТ. СЕБЕСТ. СТОКИ 9 мес. 2019'!FN64)</f>
        <v>24130.380330663156</v>
      </c>
      <c r="AC55" s="3348">
        <f>SUM('ФАКТ. СЕБЕСТ. СТОКИ 9 мес. 2019'!FO64)</f>
        <v>24066.085667098174</v>
      </c>
      <c r="AD55" s="3348">
        <f>SUM('ФАКТ. СЕБЕСТ. СТОКИ 9 мес. 2019'!FP64)</f>
        <v>64.294663564980283</v>
      </c>
      <c r="AE55" s="3348">
        <f>SUM('ФАКТ. СЕБЕСТ. СТОКИ 9 мес. 2019'!FZ64)</f>
        <v>96518.739647470022</v>
      </c>
      <c r="AF55" s="3348">
        <f>SUM('ФАКТ. СЕБЕСТ. СТОКИ 9 мес. 2019'!GA64)</f>
        <v>96264.342668392695</v>
      </c>
      <c r="AG55" s="3361">
        <f>SUM('ФАКТ. СЕБЕСТ. СТОКИ 9 мес. 2019'!GB64)</f>
        <v>254.39697907732167</v>
      </c>
    </row>
    <row r="56" spans="1:33" ht="18.75" customHeight="1" thickBot="1" x14ac:dyDescent="0.35">
      <c r="A56" s="3313" t="s">
        <v>70</v>
      </c>
      <c r="B56" s="3376"/>
      <c r="C56" s="3376"/>
      <c r="D56" s="3376"/>
      <c r="E56" s="3376"/>
      <c r="F56" s="3376"/>
      <c r="G56" s="3376"/>
      <c r="H56" s="3376"/>
      <c r="I56" s="3376"/>
      <c r="J56" s="3376"/>
      <c r="K56" s="3376"/>
      <c r="L56" s="3401" t="s">
        <v>2059</v>
      </c>
      <c r="M56" s="3380">
        <f>SUM('ФАКТ. СЕБЕСТ. СТОКИ 9 мес. 2019'!AC65)</f>
        <v>31.958887927485438</v>
      </c>
      <c r="N56" s="3380">
        <f>SUM('ФАКТ. СЕБЕСТ. СТОКИ 9 мес. 2019'!AD65)</f>
        <v>32.063137290101388</v>
      </c>
      <c r="O56" s="3380">
        <f>SUM('ФАКТ. СЕБЕСТ. СТОКИ 9 мес. 2019'!AE65)</f>
        <v>14.242375692154086</v>
      </c>
      <c r="P56" s="3380">
        <f>SUM('ФАКТ. СЕБЕСТ. СТОКИ 9 мес. 2019'!BP65)</f>
        <v>31.958887927485438</v>
      </c>
      <c r="Q56" s="3380">
        <f>SUM('ФАКТ. СЕБЕСТ. СТОКИ 9 мес. 2019'!BQ65)</f>
        <v>32.063137290101388</v>
      </c>
      <c r="R56" s="3380">
        <f>SUM('ФАКТ. СЕБЕСТ. СТОКИ 9 мес. 2019'!BR65)</f>
        <v>14.242375692154086</v>
      </c>
      <c r="S56" s="3380">
        <f>SUM('ФАКТ. СЕБЕСТ. СТОКИ 9 мес. 2019'!CB65)</f>
        <v>31.958887927485438</v>
      </c>
      <c r="T56" s="3380">
        <f>SUM('ФАКТ. СЕБЕСТ. СТОКИ 9 мес. 2019'!CC65)</f>
        <v>32.063137290101388</v>
      </c>
      <c r="U56" s="3380">
        <f>SUM('ФАКТ. СЕБЕСТ. СТОКИ 9 мес. 2019'!CD65)</f>
        <v>14.242375692154086</v>
      </c>
      <c r="V56" s="3380">
        <f>SUM('ФАКТ. СЕБЕСТ. СТОКИ 9 мес. 2019'!DO65)</f>
        <v>31.960730094258253</v>
      </c>
      <c r="W56" s="3380">
        <f>SUM('ФАКТ. СЕБЕСТ. СТОКИ 9 мес. 2019'!DP65)</f>
        <v>32.063137290101388</v>
      </c>
      <c r="X56" s="3380">
        <f>SUM('ФАКТ. СЕБЕСТ. СТОКИ 9 мес. 2019'!DQ65)</f>
        <v>14.557282316599307</v>
      </c>
      <c r="Y56" s="3380">
        <f>SUM('ФАКТ. СЕБЕСТ. СТОКИ 9 мес. 2019'!EA65)</f>
        <v>31.959501983076375</v>
      </c>
      <c r="Z56" s="3380">
        <f>SUM('ФАКТ. СЕБЕСТ. СТОКИ 9 мес. 2019'!EB65)</f>
        <v>32.06313729010138</v>
      </c>
      <c r="AA56" s="3380">
        <f>SUM('ФАКТ. СЕБЕСТ. СТОКИ 9 мес. 2019'!EC65)</f>
        <v>14.347344566969161</v>
      </c>
      <c r="AB56" s="3380">
        <f>SUM('ФАКТ. СЕБЕСТ. СТОКИ 9 мес. 2019'!FN65)</f>
        <v>31.960730094258253</v>
      </c>
      <c r="AC56" s="3380">
        <f>SUM('ФАКТ. СЕБЕСТ. СТОКИ 9 мес. 2019'!FO65)</f>
        <v>32.063137290101388</v>
      </c>
      <c r="AD56" s="3380">
        <f>SUM('ФАКТ. СЕБЕСТ. СТОКИ 9 мес. 2019'!FP65)</f>
        <v>14.557282316599307</v>
      </c>
      <c r="AE56" s="3380">
        <f>SUM('ФАКТ. СЕБЕСТ. СТОКИ 9 мес. 2019'!FZ65)</f>
        <v>31.959809010871844</v>
      </c>
      <c r="AF56" s="3380">
        <f>SUM('ФАКТ. СЕБЕСТ. СТОКИ 9 мес. 2019'!GA65)</f>
        <v>32.063137290101388</v>
      </c>
      <c r="AG56" s="3317">
        <f>SUM('ФАКТ. СЕБЕСТ. СТОКИ 9 мес. 2019'!GB65)</f>
        <v>14.399829004376697</v>
      </c>
    </row>
    <row r="57" spans="1:33" ht="12.75" customHeight="1" x14ac:dyDescent="0.2"/>
    <row r="58" spans="1:33" ht="12.75" customHeight="1" x14ac:dyDescent="0.2"/>
    <row r="59" spans="1:33" ht="12.75" customHeight="1" x14ac:dyDescent="0.3">
      <c r="A59" s="3314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314"/>
      <c r="O59" s="3314"/>
    </row>
    <row r="60" spans="1:33" ht="18.75" customHeight="1" x14ac:dyDescent="0.3">
      <c r="A60" s="3314" t="s">
        <v>3690</v>
      </c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314" t="s">
        <v>3691</v>
      </c>
    </row>
    <row r="61" spans="1:33" ht="18.75" customHeight="1" x14ac:dyDescent="0.2"/>
    <row r="62" spans="1:33" ht="18.75" customHeight="1" x14ac:dyDescent="0.2"/>
    <row r="63" spans="1:33" ht="18.75" customHeight="1" x14ac:dyDescent="0.2"/>
    <row r="64" spans="1:33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</sheetData>
  <mergeCells count="28">
    <mergeCell ref="S20:U20"/>
    <mergeCell ref="A20:A21"/>
    <mergeCell ref="E20:I20"/>
    <mergeCell ref="L20:L21"/>
    <mergeCell ref="M20:O20"/>
    <mergeCell ref="P20:R20"/>
    <mergeCell ref="P5:S5"/>
    <mergeCell ref="P6:S6"/>
    <mergeCell ref="P7:S7"/>
    <mergeCell ref="A13:A14"/>
    <mergeCell ref="E13:I13"/>
    <mergeCell ref="L13:L14"/>
    <mergeCell ref="V20:X20"/>
    <mergeCell ref="Y20:AA20"/>
    <mergeCell ref="AB20:AD20"/>
    <mergeCell ref="AE20:AG20"/>
    <mergeCell ref="AD1:AG1"/>
    <mergeCell ref="Y13:AA13"/>
    <mergeCell ref="AB13:AD13"/>
    <mergeCell ref="AE13:AG13"/>
    <mergeCell ref="A12:AG12"/>
    <mergeCell ref="A19:AG19"/>
    <mergeCell ref="M13:O13"/>
    <mergeCell ref="P13:R13"/>
    <mergeCell ref="S13:U13"/>
    <mergeCell ref="V13:X13"/>
    <mergeCell ref="A10:AG10"/>
    <mergeCell ref="P4:S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6" customWidth="1"/>
    <col min="2" max="2" width="18.28515625" style="186" customWidth="1"/>
    <col min="3" max="3" width="12.85546875" style="186" customWidth="1"/>
    <col min="4" max="4" width="14.28515625" style="186" customWidth="1"/>
    <col min="5" max="6" width="15.5703125" style="186" customWidth="1"/>
    <col min="7" max="7" width="12.7109375" style="186" customWidth="1"/>
    <col min="8" max="8" width="20.5703125" style="186" customWidth="1"/>
    <col min="9" max="10" width="15.140625" style="186" customWidth="1"/>
    <col min="11" max="11" width="15.85546875" style="186" customWidth="1"/>
    <col min="12" max="12" width="15.42578125" style="186" customWidth="1"/>
    <col min="13" max="13" width="12.5703125" style="186" customWidth="1"/>
    <col min="14" max="14" width="15.5703125" style="186" customWidth="1"/>
    <col min="15" max="15" width="11.28515625" style="186" customWidth="1"/>
    <col min="16" max="16" width="13.5703125" style="186" customWidth="1"/>
    <col min="17" max="16384" width="9.140625" style="186"/>
  </cols>
  <sheetData>
    <row r="3" spans="1:16" x14ac:dyDescent="0.25">
      <c r="A3" s="4642" t="s">
        <v>330</v>
      </c>
      <c r="B3" s="4642"/>
      <c r="C3" s="4642"/>
      <c r="D3" s="4642"/>
      <c r="E3" s="4642"/>
      <c r="F3" s="4642"/>
      <c r="G3" s="4642"/>
      <c r="H3" s="4642"/>
      <c r="I3" s="4642"/>
      <c r="J3" s="4642"/>
      <c r="K3" s="4642"/>
    </row>
    <row r="4" spans="1:16" x14ac:dyDescent="0.25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6" x14ac:dyDescent="0.25">
      <c r="A5" s="187" t="s">
        <v>331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</row>
    <row r="6" spans="1:16" ht="15.75" thickBot="1" x14ac:dyDescent="0.3">
      <c r="A6" s="187"/>
      <c r="B6" s="188"/>
      <c r="C6" s="188"/>
      <c r="D6" s="188"/>
      <c r="E6" s="188"/>
      <c r="F6" s="188"/>
      <c r="G6" s="188"/>
      <c r="H6" s="188"/>
      <c r="I6" s="188"/>
      <c r="J6" s="188"/>
      <c r="K6" s="188"/>
    </row>
    <row r="7" spans="1:16" x14ac:dyDescent="0.25">
      <c r="A7" s="4637" t="s">
        <v>332</v>
      </c>
      <c r="B7" s="4639" t="s">
        <v>333</v>
      </c>
      <c r="C7" s="4641" t="s">
        <v>334</v>
      </c>
      <c r="D7" s="4641"/>
      <c r="E7" s="4641"/>
      <c r="F7" s="4641"/>
      <c r="G7" s="4634" t="s">
        <v>335</v>
      </c>
      <c r="H7" s="4635"/>
      <c r="I7" s="4635"/>
      <c r="J7" s="4635"/>
      <c r="K7" s="4636"/>
      <c r="L7" s="4634" t="s">
        <v>336</v>
      </c>
      <c r="M7" s="4635"/>
      <c r="N7" s="4635"/>
      <c r="O7" s="4635"/>
      <c r="P7" s="4636"/>
    </row>
    <row r="8" spans="1:16" ht="60.75" thickBot="1" x14ac:dyDescent="0.3">
      <c r="A8" s="4638"/>
      <c r="B8" s="4640"/>
      <c r="C8" s="189" t="s">
        <v>337</v>
      </c>
      <c r="D8" s="190" t="s">
        <v>338</v>
      </c>
      <c r="E8" s="191" t="s">
        <v>339</v>
      </c>
      <c r="F8" s="192" t="s">
        <v>340</v>
      </c>
      <c r="G8" s="193" t="s">
        <v>337</v>
      </c>
      <c r="H8" s="191" t="s">
        <v>341</v>
      </c>
      <c r="I8" s="191" t="s">
        <v>339</v>
      </c>
      <c r="J8" s="191" t="s">
        <v>340</v>
      </c>
      <c r="K8" s="194" t="s">
        <v>342</v>
      </c>
      <c r="L8" s="193" t="s">
        <v>337</v>
      </c>
      <c r="M8" s="191" t="s">
        <v>341</v>
      </c>
      <c r="N8" s="191" t="s">
        <v>339</v>
      </c>
      <c r="O8" s="191" t="s">
        <v>340</v>
      </c>
      <c r="P8" s="194" t="s">
        <v>342</v>
      </c>
    </row>
    <row r="9" spans="1:16" x14ac:dyDescent="0.25">
      <c r="A9" s="195" t="s">
        <v>343</v>
      </c>
      <c r="B9" s="196" t="s">
        <v>344</v>
      </c>
      <c r="C9" s="197">
        <f>4.891</f>
        <v>4.891</v>
      </c>
      <c r="D9" s="198">
        <v>21.09</v>
      </c>
      <c r="E9" s="199">
        <f>C9*D9*3</f>
        <v>309.45357000000001</v>
      </c>
      <c r="F9" s="200">
        <f t="shared" ref="F9:F15" si="0">E9/$E$16*100</f>
        <v>7.0756249859786209</v>
      </c>
      <c r="G9" s="201">
        <v>4.7510000000000003</v>
      </c>
      <c r="H9" s="198">
        <v>22.59</v>
      </c>
      <c r="I9" s="199">
        <f>G9*H9*3</f>
        <v>321.97527000000002</v>
      </c>
      <c r="J9" s="202">
        <f t="shared" ref="J9:J15" si="1">I9/$I$16*100</f>
        <v>6.4865597299422166</v>
      </c>
      <c r="K9" s="203">
        <f t="shared" ref="K9:K16" si="2">I9/E9*100</f>
        <v>104.04639054576104</v>
      </c>
      <c r="L9" s="201">
        <f>G9</f>
        <v>4.7510000000000003</v>
      </c>
      <c r="M9" s="198">
        <f>вода!Z76*1.18</f>
        <v>26.740876799999999</v>
      </c>
      <c r="N9" s="199">
        <f>L9*M9*3</f>
        <v>381.13771703040004</v>
      </c>
      <c r="O9" s="202">
        <f t="shared" ref="O9:O15" si="3">N9/$N$16*100</f>
        <v>7.289571523132123</v>
      </c>
      <c r="P9" s="204">
        <f t="shared" ref="P9:P16" si="4">N9/I9</f>
        <v>1.1837484196547146</v>
      </c>
    </row>
    <row r="10" spans="1:16" x14ac:dyDescent="0.25">
      <c r="A10" s="205" t="s">
        <v>345</v>
      </c>
      <c r="B10" s="206" t="s">
        <v>344</v>
      </c>
      <c r="C10" s="207">
        <f>8.156</f>
        <v>8.1560000000000006</v>
      </c>
      <c r="D10" s="198">
        <v>17.07</v>
      </c>
      <c r="E10" s="208">
        <f>C10*D10*3</f>
        <v>417.66876000000002</v>
      </c>
      <c r="F10" s="200">
        <f t="shared" si="0"/>
        <v>9.5499545024434784</v>
      </c>
      <c r="G10" s="209">
        <f>8.156</f>
        <v>8.1560000000000006</v>
      </c>
      <c r="H10" s="198">
        <v>18.29</v>
      </c>
      <c r="I10" s="208">
        <f>G10*H10*3</f>
        <v>447.51972000000001</v>
      </c>
      <c r="J10" s="202">
        <f t="shared" si="1"/>
        <v>9.0157961327496245</v>
      </c>
      <c r="K10" s="203">
        <f t="shared" si="2"/>
        <v>107.14704159343877</v>
      </c>
      <c r="L10" s="209">
        <f>8.156</f>
        <v>8.1560000000000006</v>
      </c>
      <c r="M10" s="198">
        <f>вода!Z83*1.18</f>
        <v>21.655359999999998</v>
      </c>
      <c r="N10" s="208">
        <f>L10*M10*3</f>
        <v>529.86334848000001</v>
      </c>
      <c r="O10" s="202">
        <f t="shared" si="3"/>
        <v>10.134071238935306</v>
      </c>
      <c r="P10" s="204">
        <f t="shared" si="4"/>
        <v>1.1839999999999999</v>
      </c>
    </row>
    <row r="11" spans="1:16" x14ac:dyDescent="0.25">
      <c r="A11" s="205" t="s">
        <v>346</v>
      </c>
      <c r="B11" s="206" t="s">
        <v>347</v>
      </c>
      <c r="C11" s="207">
        <v>2.5613E-2</v>
      </c>
      <c r="D11" s="210">
        <v>1744.04</v>
      </c>
      <c r="E11" s="208">
        <f>C11*D11*54</f>
        <v>2412.1852120799999</v>
      </c>
      <c r="F11" s="200">
        <f t="shared" si="0"/>
        <v>55.154374071048473</v>
      </c>
      <c r="G11" s="209">
        <v>2.5613E-2</v>
      </c>
      <c r="H11" s="210">
        <v>2003.64</v>
      </c>
      <c r="I11" s="208">
        <f>G11*H11*54</f>
        <v>2771.2384912799998</v>
      </c>
      <c r="J11" s="202">
        <f t="shared" si="1"/>
        <v>55.82976605502239</v>
      </c>
      <c r="K11" s="203">
        <f t="shared" si="2"/>
        <v>114.8849797023004</v>
      </c>
      <c r="L11" s="209">
        <v>2.5613E-2</v>
      </c>
      <c r="M11" s="210">
        <f>H11*1.015</f>
        <v>2033.6945999999998</v>
      </c>
      <c r="N11" s="208">
        <f>L11*M11*54</f>
        <v>2812.8070686492001</v>
      </c>
      <c r="O11" s="202">
        <f t="shared" si="3"/>
        <v>53.797242811459967</v>
      </c>
      <c r="P11" s="204">
        <f t="shared" si="4"/>
        <v>1.0150000000000001</v>
      </c>
    </row>
    <row r="12" spans="1:16" x14ac:dyDescent="0.25">
      <c r="A12" s="205" t="s">
        <v>348</v>
      </c>
      <c r="B12" s="206" t="s">
        <v>349</v>
      </c>
      <c r="C12" s="207">
        <v>6.6209000000000004E-2</v>
      </c>
      <c r="D12" s="210">
        <v>1744.04</v>
      </c>
      <c r="E12" s="208">
        <f>C12*D12*3</f>
        <v>346.41343308</v>
      </c>
      <c r="F12" s="200">
        <f t="shared" si="0"/>
        <v>7.9207085656807283</v>
      </c>
      <c r="G12" s="209">
        <f>C12</f>
        <v>6.6209000000000004E-2</v>
      </c>
      <c r="H12" s="210">
        <v>2003.64</v>
      </c>
      <c r="I12" s="208">
        <f>G12*H12*3</f>
        <v>397.97700228000008</v>
      </c>
      <c r="J12" s="202">
        <f t="shared" si="1"/>
        <v>8.0177014726397147</v>
      </c>
      <c r="K12" s="203">
        <f t="shared" si="2"/>
        <v>114.88497970230043</v>
      </c>
      <c r="L12" s="209">
        <f>G12</f>
        <v>6.6209000000000004E-2</v>
      </c>
      <c r="M12" s="210">
        <f>H12*1.015</f>
        <v>2033.6945999999998</v>
      </c>
      <c r="N12" s="208">
        <f>L12*M12*3</f>
        <v>403.94665731419997</v>
      </c>
      <c r="O12" s="202">
        <f t="shared" si="3"/>
        <v>7.7258112184870358</v>
      </c>
      <c r="P12" s="204">
        <f t="shared" si="4"/>
        <v>1.0149999999999997</v>
      </c>
    </row>
    <row r="13" spans="1:16" x14ac:dyDescent="0.25">
      <c r="A13" s="205"/>
      <c r="B13" s="206"/>
      <c r="C13" s="207">
        <f>3.265</f>
        <v>3.2650000000000001</v>
      </c>
      <c r="D13" s="210">
        <f>D9</f>
        <v>21.09</v>
      </c>
      <c r="E13" s="208">
        <f>C13*D13*3</f>
        <v>206.57655</v>
      </c>
      <c r="F13" s="200">
        <f t="shared" si="0"/>
        <v>4.7233521936659573</v>
      </c>
      <c r="G13" s="209">
        <f>3.405</f>
        <v>3.4049999999999998</v>
      </c>
      <c r="H13" s="210">
        <f>H9</f>
        <v>22.59</v>
      </c>
      <c r="I13" s="208">
        <f>G13*H13*3</f>
        <v>230.75684999999999</v>
      </c>
      <c r="J13" s="202">
        <f t="shared" si="1"/>
        <v>4.6488604252690475</v>
      </c>
      <c r="K13" s="203">
        <f t="shared" si="2"/>
        <v>111.70524921633167</v>
      </c>
      <c r="L13" s="209">
        <f>G13</f>
        <v>3.4049999999999998</v>
      </c>
      <c r="M13" s="210">
        <f>M9</f>
        <v>26.740876799999999</v>
      </c>
      <c r="N13" s="208">
        <f>L13*M13*3</f>
        <v>273.15805651199997</v>
      </c>
      <c r="O13" s="202">
        <f t="shared" si="3"/>
        <v>5.2243719293337971</v>
      </c>
      <c r="P13" s="204">
        <f t="shared" si="4"/>
        <v>1.1837484196547143</v>
      </c>
    </row>
    <row r="14" spans="1:16" x14ac:dyDescent="0.25">
      <c r="A14" s="205" t="s">
        <v>350</v>
      </c>
      <c r="B14" s="206" t="s">
        <v>349</v>
      </c>
      <c r="C14" s="211">
        <v>13</v>
      </c>
      <c r="D14" s="210">
        <v>3.8466200000000002</v>
      </c>
      <c r="E14" s="212">
        <f>C14*D14*3</f>
        <v>150.01818000000003</v>
      </c>
      <c r="F14" s="200">
        <f t="shared" si="0"/>
        <v>3.4301507097140234</v>
      </c>
      <c r="G14" s="213">
        <v>13</v>
      </c>
      <c r="H14" s="210">
        <v>4.4887699999999997</v>
      </c>
      <c r="I14" s="212">
        <f>G14*H14*3</f>
        <v>175.06202999999999</v>
      </c>
      <c r="J14" s="202">
        <f t="shared" si="1"/>
        <v>3.5268246348234631</v>
      </c>
      <c r="K14" s="203">
        <f t="shared" si="2"/>
        <v>116.69387670214365</v>
      </c>
      <c r="L14" s="213">
        <v>13</v>
      </c>
      <c r="M14" s="210">
        <f>H14*1.042</f>
        <v>4.6772983400000001</v>
      </c>
      <c r="N14" s="212">
        <f>L14*M14*3</f>
        <v>182.41463526000001</v>
      </c>
      <c r="O14" s="202">
        <f t="shared" si="3"/>
        <v>3.4888295520953871</v>
      </c>
      <c r="P14" s="204">
        <f t="shared" si="4"/>
        <v>1.042</v>
      </c>
    </row>
    <row r="15" spans="1:16" x14ac:dyDescent="0.25">
      <c r="A15" s="205" t="s">
        <v>1</v>
      </c>
      <c r="B15" s="206" t="s">
        <v>351</v>
      </c>
      <c r="C15" s="211">
        <v>160</v>
      </c>
      <c r="D15" s="210">
        <v>3.32</v>
      </c>
      <c r="E15" s="212">
        <f>C15*D15</f>
        <v>531.19999999999993</v>
      </c>
      <c r="F15" s="200">
        <f t="shared" si="0"/>
        <v>12.145834971468716</v>
      </c>
      <c r="G15" s="213">
        <v>160</v>
      </c>
      <c r="H15" s="210">
        <v>3.87</v>
      </c>
      <c r="I15" s="212">
        <f>G15*H15</f>
        <v>619.20000000000005</v>
      </c>
      <c r="J15" s="202">
        <f t="shared" si="1"/>
        <v>12.474491549553543</v>
      </c>
      <c r="K15" s="203">
        <f t="shared" si="2"/>
        <v>116.56626506024099</v>
      </c>
      <c r="L15" s="213">
        <v>160</v>
      </c>
      <c r="M15" s="210">
        <f>H15*1.042</f>
        <v>4.03254</v>
      </c>
      <c r="N15" s="212">
        <f>L15*M15</f>
        <v>645.20640000000003</v>
      </c>
      <c r="O15" s="202">
        <f t="shared" si="3"/>
        <v>12.340101726556373</v>
      </c>
      <c r="P15" s="204">
        <f t="shared" si="4"/>
        <v>1.042</v>
      </c>
    </row>
    <row r="16" spans="1:16" ht="15.75" thickBot="1" x14ac:dyDescent="0.3">
      <c r="A16" s="214" t="s">
        <v>352</v>
      </c>
      <c r="B16" s="215"/>
      <c r="C16" s="216"/>
      <c r="D16" s="217"/>
      <c r="E16" s="218">
        <f>SUM(E9:E15)</f>
        <v>4373.5157051599999</v>
      </c>
      <c r="F16" s="219">
        <f>SUM(F9:F15)</f>
        <v>100</v>
      </c>
      <c r="G16" s="220"/>
      <c r="H16" s="217"/>
      <c r="I16" s="218">
        <f>SUM(I9:I15)</f>
        <v>4963.7293635599999</v>
      </c>
      <c r="J16" s="221">
        <f>SUM(J9:J15)</f>
        <v>100.00000000000001</v>
      </c>
      <c r="K16" s="222">
        <f t="shared" si="2"/>
        <v>113.4951763795806</v>
      </c>
      <c r="L16" s="220"/>
      <c r="M16" s="223"/>
      <c r="N16" s="218">
        <f>SUM(N9:N15)</f>
        <v>5228.533883245801</v>
      </c>
      <c r="O16" s="221">
        <f>SUM(O9:O15)</f>
        <v>99.999999999999986</v>
      </c>
      <c r="P16" s="224">
        <f t="shared" si="4"/>
        <v>1.0533478963679603</v>
      </c>
    </row>
    <row r="20" spans="1:16" x14ac:dyDescent="0.25">
      <c r="A20" s="186" t="s">
        <v>353</v>
      </c>
    </row>
    <row r="22" spans="1:16" ht="15.75" thickBot="1" x14ac:dyDescent="0.3"/>
    <row r="23" spans="1:16" x14ac:dyDescent="0.25">
      <c r="A23" s="4637" t="s">
        <v>332</v>
      </c>
      <c r="B23" s="4639" t="s">
        <v>333</v>
      </c>
      <c r="C23" s="4641" t="s">
        <v>427</v>
      </c>
      <c r="D23" s="4641"/>
      <c r="E23" s="4641"/>
      <c r="F23" s="4641"/>
      <c r="G23" s="4634" t="s">
        <v>336</v>
      </c>
      <c r="H23" s="4635"/>
      <c r="I23" s="4635"/>
      <c r="J23" s="4635"/>
      <c r="K23" s="4636"/>
      <c r="L23" s="4634" t="s">
        <v>428</v>
      </c>
      <c r="M23" s="4635"/>
      <c r="N23" s="4635"/>
      <c r="O23" s="4635"/>
      <c r="P23" s="4636"/>
    </row>
    <row r="24" spans="1:16" ht="60.75" thickBot="1" x14ac:dyDescent="0.3">
      <c r="A24" s="4638"/>
      <c r="B24" s="4640"/>
      <c r="C24" s="189" t="s">
        <v>337</v>
      </c>
      <c r="D24" s="190" t="s">
        <v>338</v>
      </c>
      <c r="E24" s="191" t="s">
        <v>339</v>
      </c>
      <c r="F24" s="192" t="s">
        <v>340</v>
      </c>
      <c r="G24" s="193" t="s">
        <v>337</v>
      </c>
      <c r="H24" s="191" t="s">
        <v>341</v>
      </c>
      <c r="I24" s="191" t="s">
        <v>339</v>
      </c>
      <c r="J24" s="191" t="s">
        <v>340</v>
      </c>
      <c r="K24" s="194" t="s">
        <v>342</v>
      </c>
      <c r="L24" s="193" t="s">
        <v>337</v>
      </c>
      <c r="M24" s="191" t="s">
        <v>341</v>
      </c>
      <c r="N24" s="191" t="s">
        <v>339</v>
      </c>
      <c r="O24" s="191" t="s">
        <v>340</v>
      </c>
      <c r="P24" s="194" t="s">
        <v>342</v>
      </c>
    </row>
    <row r="25" spans="1:16" x14ac:dyDescent="0.25">
      <c r="A25" s="195" t="s">
        <v>343</v>
      </c>
      <c r="B25" s="196" t="s">
        <v>344</v>
      </c>
      <c r="C25" s="197">
        <f>G9</f>
        <v>4.7510000000000003</v>
      </c>
      <c r="D25" s="197">
        <f>H9</f>
        <v>22.59</v>
      </c>
      <c r="E25" s="199">
        <f>C25*D25*3</f>
        <v>321.97527000000002</v>
      </c>
      <c r="F25" s="200">
        <f t="shared" ref="F25:F31" si="5">E25/$E$16*100</f>
        <v>7.3619324064647644</v>
      </c>
      <c r="G25" s="201">
        <f>L9</f>
        <v>4.7510000000000003</v>
      </c>
      <c r="H25" s="329">
        <f>M9</f>
        <v>26.740876799999999</v>
      </c>
      <c r="I25" s="199">
        <f>G25*H25*3</f>
        <v>381.13771703040004</v>
      </c>
      <c r="J25" s="202">
        <f t="shared" ref="J25:J31" si="6">I25/$I$16*100</f>
        <v>7.6784548293150108</v>
      </c>
      <c r="K25" s="203">
        <f t="shared" ref="K25:K32" si="7">I25/E25*100</f>
        <v>118.37484196547146</v>
      </c>
      <c r="L25" s="201">
        <f>G25</f>
        <v>4.7510000000000003</v>
      </c>
      <c r="M25" s="198" t="e">
        <f>#REF!*1.18</f>
        <v>#REF!</v>
      </c>
      <c r="N25" s="199" t="e">
        <f>L25*M25*3</f>
        <v>#REF!</v>
      </c>
      <c r="O25" s="202" t="e">
        <f t="shared" ref="O25:O31" si="8">N25/$N$16*100</f>
        <v>#REF!</v>
      </c>
      <c r="P25" s="204" t="e">
        <f t="shared" ref="P25:P32" si="9">N25/I25</f>
        <v>#REF!</v>
      </c>
    </row>
    <row r="26" spans="1:16" x14ac:dyDescent="0.25">
      <c r="A26" s="205" t="s">
        <v>345</v>
      </c>
      <c r="B26" s="206" t="s">
        <v>344</v>
      </c>
      <c r="C26" s="197">
        <f t="shared" ref="C26:D31" si="10">G10</f>
        <v>8.1560000000000006</v>
      </c>
      <c r="D26" s="197">
        <f t="shared" si="10"/>
        <v>18.29</v>
      </c>
      <c r="E26" s="208">
        <f>C26*D26*3</f>
        <v>447.51972000000001</v>
      </c>
      <c r="F26" s="200">
        <f t="shared" si="5"/>
        <v>10.232493722887593</v>
      </c>
      <c r="G26" s="201">
        <f t="shared" ref="G26:H31" si="11">L10</f>
        <v>8.1560000000000006</v>
      </c>
      <c r="H26" s="329">
        <f t="shared" si="11"/>
        <v>21.655359999999998</v>
      </c>
      <c r="I26" s="208">
        <f>G26*H26*3</f>
        <v>529.86334848000001</v>
      </c>
      <c r="J26" s="202">
        <f t="shared" si="6"/>
        <v>10.674702621175555</v>
      </c>
      <c r="K26" s="203">
        <f t="shared" si="7"/>
        <v>118.39999999999999</v>
      </c>
      <c r="L26" s="209">
        <f>8.156</f>
        <v>8.1560000000000006</v>
      </c>
      <c r="M26" s="198" t="e">
        <f>#REF!*1.18</f>
        <v>#REF!</v>
      </c>
      <c r="N26" s="208" t="e">
        <f>L26*M26*3</f>
        <v>#REF!</v>
      </c>
      <c r="O26" s="202" t="e">
        <f t="shared" si="8"/>
        <v>#REF!</v>
      </c>
      <c r="P26" s="204" t="e">
        <f t="shared" si="9"/>
        <v>#REF!</v>
      </c>
    </row>
    <row r="27" spans="1:16" x14ac:dyDescent="0.25">
      <c r="A27" s="205" t="s">
        <v>346</v>
      </c>
      <c r="B27" s="206" t="s">
        <v>347</v>
      </c>
      <c r="C27" s="197">
        <f t="shared" si="10"/>
        <v>2.5613E-2</v>
      </c>
      <c r="D27" s="197">
        <f t="shared" si="10"/>
        <v>2003.64</v>
      </c>
      <c r="E27" s="208">
        <f>C27*D27*54</f>
        <v>2771.2384912799998</v>
      </c>
      <c r="F27" s="200">
        <f t="shared" si="5"/>
        <v>63.364091456454872</v>
      </c>
      <c r="G27" s="201">
        <f t="shared" si="11"/>
        <v>2.5613E-2</v>
      </c>
      <c r="H27" s="329">
        <f t="shared" si="11"/>
        <v>2033.6945999999998</v>
      </c>
      <c r="I27" s="208">
        <f>G27*H27*54</f>
        <v>2812.8070686492001</v>
      </c>
      <c r="J27" s="202">
        <f t="shared" si="6"/>
        <v>56.667212545847732</v>
      </c>
      <c r="K27" s="203">
        <f t="shared" si="7"/>
        <v>101.50000000000001</v>
      </c>
      <c r="L27" s="209">
        <v>2.5613E-2</v>
      </c>
      <c r="M27" s="210">
        <f>H27*1.07</f>
        <v>2176.053222</v>
      </c>
      <c r="N27" s="208">
        <f>L27*M27*54</f>
        <v>3009.7035634546442</v>
      </c>
      <c r="O27" s="202">
        <f t="shared" si="8"/>
        <v>57.563049808262157</v>
      </c>
      <c r="P27" s="204">
        <f t="shared" si="9"/>
        <v>1.07</v>
      </c>
    </row>
    <row r="28" spans="1:16" x14ac:dyDescent="0.25">
      <c r="A28" s="205" t="s">
        <v>348</v>
      </c>
      <c r="B28" s="206" t="s">
        <v>349</v>
      </c>
      <c r="C28" s="197">
        <f t="shared" si="10"/>
        <v>6.6209000000000004E-2</v>
      </c>
      <c r="D28" s="197">
        <f t="shared" si="10"/>
        <v>2003.64</v>
      </c>
      <c r="E28" s="208">
        <f>C28*D28*3</f>
        <v>397.97700228000008</v>
      </c>
      <c r="F28" s="200">
        <f t="shared" si="5"/>
        <v>9.0997044279606758</v>
      </c>
      <c r="G28" s="201">
        <f t="shared" si="11"/>
        <v>6.6209000000000004E-2</v>
      </c>
      <c r="H28" s="329">
        <f t="shared" si="11"/>
        <v>2033.6945999999998</v>
      </c>
      <c r="I28" s="208">
        <f>G28*H28*3</f>
        <v>403.94665731419997</v>
      </c>
      <c r="J28" s="202">
        <f t="shared" si="6"/>
        <v>8.1379669947293092</v>
      </c>
      <c r="K28" s="203">
        <f t="shared" si="7"/>
        <v>101.49999999999997</v>
      </c>
      <c r="L28" s="209">
        <f>G28</f>
        <v>6.6209000000000004E-2</v>
      </c>
      <c r="M28" s="210">
        <f>H28*1.07</f>
        <v>2176.053222</v>
      </c>
      <c r="N28" s="208">
        <f>L28*M28*3</f>
        <v>432.22292332619406</v>
      </c>
      <c r="O28" s="202">
        <f t="shared" si="8"/>
        <v>8.2666180037811294</v>
      </c>
      <c r="P28" s="204">
        <f t="shared" si="9"/>
        <v>1.0700000000000003</v>
      </c>
    </row>
    <row r="29" spans="1:16" x14ac:dyDescent="0.25">
      <c r="A29" s="205"/>
      <c r="B29" s="206"/>
      <c r="C29" s="197">
        <f t="shared" si="10"/>
        <v>3.4049999999999998</v>
      </c>
      <c r="D29" s="197">
        <f t="shared" si="10"/>
        <v>22.59</v>
      </c>
      <c r="E29" s="208">
        <f>C29*D29*3</f>
        <v>230.75684999999999</v>
      </c>
      <c r="F29" s="200">
        <f t="shared" si="5"/>
        <v>5.276232339299626</v>
      </c>
      <c r="G29" s="201">
        <f t="shared" si="11"/>
        <v>3.4049999999999998</v>
      </c>
      <c r="H29" s="329">
        <f t="shared" si="11"/>
        <v>26.740876799999999</v>
      </c>
      <c r="I29" s="208">
        <f>G29*H29*3</f>
        <v>273.15805651199997</v>
      </c>
      <c r="J29" s="202">
        <f t="shared" si="6"/>
        <v>5.5030811816075786</v>
      </c>
      <c r="K29" s="203">
        <f t="shared" si="7"/>
        <v>118.37484196547143</v>
      </c>
      <c r="L29" s="209">
        <f>G29</f>
        <v>3.4049999999999998</v>
      </c>
      <c r="M29" s="210" t="e">
        <f>M25</f>
        <v>#REF!</v>
      </c>
      <c r="N29" s="208" t="e">
        <f>L29*M29*3</f>
        <v>#REF!</v>
      </c>
      <c r="O29" s="202" t="e">
        <f t="shared" si="8"/>
        <v>#REF!</v>
      </c>
      <c r="P29" s="204" t="e">
        <f t="shared" si="9"/>
        <v>#REF!</v>
      </c>
    </row>
    <row r="30" spans="1:16" x14ac:dyDescent="0.25">
      <c r="A30" s="205" t="s">
        <v>350</v>
      </c>
      <c r="B30" s="206" t="s">
        <v>349</v>
      </c>
      <c r="C30" s="197">
        <f t="shared" si="10"/>
        <v>13</v>
      </c>
      <c r="D30" s="197">
        <f t="shared" si="10"/>
        <v>4.4887699999999997</v>
      </c>
      <c r="E30" s="212">
        <f>C30*D30*3</f>
        <v>175.06202999999999</v>
      </c>
      <c r="F30" s="200">
        <f t="shared" si="5"/>
        <v>4.0027758398913891</v>
      </c>
      <c r="G30" s="201">
        <f t="shared" si="11"/>
        <v>13</v>
      </c>
      <c r="H30" s="329">
        <f t="shared" si="11"/>
        <v>4.6772983400000001</v>
      </c>
      <c r="I30" s="212">
        <f>G30*H30*3</f>
        <v>182.41463526000001</v>
      </c>
      <c r="J30" s="202">
        <f t="shared" si="6"/>
        <v>3.6749512694860496</v>
      </c>
      <c r="K30" s="203">
        <f t="shared" si="7"/>
        <v>104.2</v>
      </c>
      <c r="L30" s="213">
        <v>13</v>
      </c>
      <c r="M30" s="210">
        <f>H30*1.065</f>
        <v>4.9813227320999998</v>
      </c>
      <c r="N30" s="212">
        <f>L30*M30*3</f>
        <v>194.27158655189999</v>
      </c>
      <c r="O30" s="202">
        <f t="shared" si="8"/>
        <v>3.7156034729815866</v>
      </c>
      <c r="P30" s="204">
        <f t="shared" si="9"/>
        <v>1.0649999999999999</v>
      </c>
    </row>
    <row r="31" spans="1:16" x14ac:dyDescent="0.25">
      <c r="A31" s="205" t="s">
        <v>1</v>
      </c>
      <c r="B31" s="206" t="s">
        <v>351</v>
      </c>
      <c r="C31" s="197">
        <f t="shared" si="10"/>
        <v>160</v>
      </c>
      <c r="D31" s="197">
        <f t="shared" si="10"/>
        <v>3.87</v>
      </c>
      <c r="E31" s="212">
        <f>C31*D31</f>
        <v>619.20000000000005</v>
      </c>
      <c r="F31" s="200">
        <f t="shared" si="5"/>
        <v>14.15794618662167</v>
      </c>
      <c r="G31" s="201">
        <f t="shared" si="11"/>
        <v>160</v>
      </c>
      <c r="H31" s="329">
        <f t="shared" si="11"/>
        <v>4.03254</v>
      </c>
      <c r="I31" s="212">
        <f>G31*H31</f>
        <v>645.20640000000003</v>
      </c>
      <c r="J31" s="202">
        <f t="shared" si="6"/>
        <v>12.998420194634791</v>
      </c>
      <c r="K31" s="203">
        <f t="shared" si="7"/>
        <v>104.2</v>
      </c>
      <c r="L31" s="213">
        <v>160</v>
      </c>
      <c r="M31" s="210">
        <f>H31*1.056</f>
        <v>4.2583622400000003</v>
      </c>
      <c r="N31" s="212">
        <f>L31*M31</f>
        <v>681.33795840000005</v>
      </c>
      <c r="O31" s="202">
        <f t="shared" si="8"/>
        <v>13.03114742324353</v>
      </c>
      <c r="P31" s="204">
        <f t="shared" si="9"/>
        <v>1.056</v>
      </c>
    </row>
    <row r="32" spans="1:16" ht="15.75" thickBot="1" x14ac:dyDescent="0.3">
      <c r="A32" s="214" t="s">
        <v>352</v>
      </c>
      <c r="B32" s="215"/>
      <c r="C32" s="216"/>
      <c r="D32" s="217"/>
      <c r="E32" s="218">
        <f>SUM(E25:E31)</f>
        <v>4963.7293635599999</v>
      </c>
      <c r="F32" s="219">
        <f>SUM(F25:F31)</f>
        <v>113.49517637958058</v>
      </c>
      <c r="G32" s="220"/>
      <c r="H32" s="217"/>
      <c r="I32" s="218">
        <f>SUM(I25:I31)</f>
        <v>5228.533883245801</v>
      </c>
      <c r="J32" s="221">
        <f>SUM(J25:J31)</f>
        <v>105.33478963679603</v>
      </c>
      <c r="K32" s="222">
        <f t="shared" si="7"/>
        <v>105.33478963679603</v>
      </c>
      <c r="L32" s="220"/>
      <c r="M32" s="223"/>
      <c r="N32" s="218" t="e">
        <f>SUM(N25:N31)</f>
        <v>#REF!</v>
      </c>
      <c r="O32" s="221" t="e">
        <f>SUM(O25:O31)</f>
        <v>#REF!</v>
      </c>
      <c r="P32" s="224" t="e">
        <f t="shared" si="9"/>
        <v>#REF!</v>
      </c>
    </row>
  </sheetData>
  <sheetProtection sheet="1" objects="1" scenarios="1"/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2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1683</v>
      </c>
    </row>
    <row r="2" spans="1:7" ht="18.75" x14ac:dyDescent="0.3">
      <c r="A2" s="3782" t="s">
        <v>1493</v>
      </c>
      <c r="B2" s="3782"/>
      <c r="C2" s="3782"/>
      <c r="D2" s="3782"/>
      <c r="E2" s="3782"/>
      <c r="F2" s="3782"/>
    </row>
    <row r="3" spans="1:7" ht="18.75" x14ac:dyDescent="0.3">
      <c r="A3" s="1648"/>
      <c r="B3" s="1648"/>
      <c r="C3" s="1648"/>
      <c r="D3" s="1648"/>
      <c r="E3" s="1648"/>
    </row>
    <row r="4" spans="1:7" ht="27.75" customHeight="1" x14ac:dyDescent="0.2">
      <c r="A4" s="4599"/>
      <c r="B4" s="4601" t="s">
        <v>1494</v>
      </c>
      <c r="C4" s="4602"/>
      <c r="D4" s="4603"/>
      <c r="E4" s="4604" t="s">
        <v>1496</v>
      </c>
      <c r="F4" s="4586" t="s">
        <v>1498</v>
      </c>
      <c r="G4" s="4643"/>
    </row>
    <row r="5" spans="1:7" ht="33.75" customHeight="1" x14ac:dyDescent="0.2">
      <c r="A5" s="4600"/>
      <c r="B5" s="1832" t="s">
        <v>988</v>
      </c>
      <c r="C5" s="1832" t="s">
        <v>989</v>
      </c>
      <c r="D5" s="1832" t="s">
        <v>54</v>
      </c>
      <c r="E5" s="4604"/>
      <c r="F5" s="4587"/>
      <c r="G5" s="4643"/>
    </row>
    <row r="6" spans="1:7" ht="18.75" x14ac:dyDescent="0.3">
      <c r="A6" s="4644" t="s">
        <v>980</v>
      </c>
      <c r="B6" s="4645"/>
      <c r="C6" s="4645"/>
      <c r="D6" s="4645"/>
      <c r="E6" s="4645"/>
      <c r="F6" s="4645"/>
      <c r="G6" s="4646"/>
    </row>
    <row r="7" spans="1:7" x14ac:dyDescent="0.2">
      <c r="A7" s="1833" t="s">
        <v>985</v>
      </c>
      <c r="B7" s="1834">
        <v>19.14</v>
      </c>
      <c r="C7" s="1834">
        <v>22.66</v>
      </c>
      <c r="D7" s="1834"/>
      <c r="E7" s="1833"/>
      <c r="F7" s="4651">
        <f>$E$48*D10/$D$48</f>
        <v>408.76453757043004</v>
      </c>
      <c r="G7" s="2137"/>
    </row>
    <row r="8" spans="1:7" x14ac:dyDescent="0.2">
      <c r="A8" s="1833" t="s">
        <v>986</v>
      </c>
      <c r="B8" s="1834">
        <f>2780.7/2</f>
        <v>1390.35</v>
      </c>
      <c r="C8" s="1834">
        <f>B8</f>
        <v>1390.35</v>
      </c>
      <c r="D8" s="1834">
        <f>C8+B8</f>
        <v>2780.7</v>
      </c>
      <c r="E8" s="1833"/>
      <c r="F8" s="4595"/>
      <c r="G8" s="2137"/>
    </row>
    <row r="9" spans="1:7" x14ac:dyDescent="0.2">
      <c r="A9" s="1833" t="s">
        <v>987</v>
      </c>
      <c r="B9" s="1834">
        <f>B7*B8</f>
        <v>26611.298999999999</v>
      </c>
      <c r="C9" s="1834">
        <f>C7*C8</f>
        <v>31505.330999999998</v>
      </c>
      <c r="D9" s="1834">
        <f>C9+B9</f>
        <v>58116.63</v>
      </c>
      <c r="E9" s="1833"/>
      <c r="F9" s="4595"/>
      <c r="G9" s="2137"/>
    </row>
    <row r="10" spans="1:7" x14ac:dyDescent="0.2">
      <c r="A10" s="1833" t="s">
        <v>984</v>
      </c>
      <c r="B10" s="1834">
        <f>B9*0.02</f>
        <v>532.22597999999994</v>
      </c>
      <c r="C10" s="1834">
        <f>C9*0.02</f>
        <v>630.10662000000002</v>
      </c>
      <c r="D10" s="1834">
        <f>C10+B10</f>
        <v>1162.3326</v>
      </c>
      <c r="E10" s="1833"/>
      <c r="F10" s="4596"/>
      <c r="G10" s="2137"/>
    </row>
    <row r="11" spans="1:7" ht="18.75" x14ac:dyDescent="0.3">
      <c r="A11" s="4652" t="s">
        <v>981</v>
      </c>
      <c r="B11" s="4653"/>
      <c r="C11" s="4653"/>
      <c r="D11" s="4653"/>
      <c r="E11" s="4653"/>
      <c r="F11" s="4654"/>
      <c r="G11" s="2137"/>
    </row>
    <row r="12" spans="1:7" x14ac:dyDescent="0.2">
      <c r="A12" s="1833" t="s">
        <v>338</v>
      </c>
      <c r="B12" s="1834">
        <v>15.5</v>
      </c>
      <c r="C12" s="1834">
        <v>18.350000000000001</v>
      </c>
      <c r="D12" s="1834"/>
      <c r="E12" s="1833"/>
      <c r="F12" s="4651">
        <f>$E$49*D15/$D$49</f>
        <v>310.74886990256181</v>
      </c>
      <c r="G12" s="2137"/>
    </row>
    <row r="13" spans="1:7" x14ac:dyDescent="0.2">
      <c r="A13" s="1833" t="s">
        <v>978</v>
      </c>
      <c r="B13" s="1834">
        <f>2448.7/2</f>
        <v>1224.3499999999999</v>
      </c>
      <c r="C13" s="1834">
        <f>B13</f>
        <v>1224.3499999999999</v>
      </c>
      <c r="D13" s="1834">
        <f>C13+B13</f>
        <v>2448.6999999999998</v>
      </c>
      <c r="E13" s="1833"/>
      <c r="F13" s="4595"/>
      <c r="G13" s="2137"/>
    </row>
    <row r="14" spans="1:7" x14ac:dyDescent="0.2">
      <c r="A14" s="1833" t="s">
        <v>979</v>
      </c>
      <c r="B14" s="1834">
        <f>B12*B13</f>
        <v>18977.424999999999</v>
      </c>
      <c r="C14" s="1834">
        <f>C12*C13</f>
        <v>22466.822499999998</v>
      </c>
      <c r="D14" s="1834">
        <f>C14+B14</f>
        <v>41444.247499999998</v>
      </c>
      <c r="E14" s="1833"/>
      <c r="F14" s="4595"/>
      <c r="G14" s="2137"/>
    </row>
    <row r="15" spans="1:7" x14ac:dyDescent="0.2">
      <c r="A15" s="1833" t="s">
        <v>984</v>
      </c>
      <c r="B15" s="1834">
        <f>B14*0.02</f>
        <v>379.54849999999999</v>
      </c>
      <c r="C15" s="1834">
        <f>C14*0.02</f>
        <v>449.33644999999996</v>
      </c>
      <c r="D15" s="1834">
        <f>C15+B15</f>
        <v>828.88494999999989</v>
      </c>
      <c r="E15" s="1833"/>
      <c r="F15" s="4596"/>
      <c r="G15" s="2137"/>
    </row>
    <row r="16" spans="1:7" ht="18.75" x14ac:dyDescent="0.3">
      <c r="A16" s="4647" t="s">
        <v>1689</v>
      </c>
      <c r="B16" s="4648"/>
      <c r="C16" s="4648"/>
      <c r="D16" s="4648"/>
      <c r="E16" s="4648"/>
      <c r="F16" s="4648"/>
      <c r="G16" s="4649"/>
    </row>
    <row r="17" spans="1:7" x14ac:dyDescent="0.2">
      <c r="A17" s="1842" t="s">
        <v>990</v>
      </c>
      <c r="B17" s="1843">
        <v>22.66</v>
      </c>
      <c r="C17" s="1843">
        <v>25.95</v>
      </c>
      <c r="D17" s="1843"/>
      <c r="E17" s="1842"/>
      <c r="F17" s="4605">
        <f>$E$48*D20/$D$48</f>
        <v>406.49452001229344</v>
      </c>
      <c r="G17" s="2137"/>
    </row>
    <row r="18" spans="1:7" x14ac:dyDescent="0.2">
      <c r="A18" s="1842" t="s">
        <v>991</v>
      </c>
      <c r="B18" s="1843">
        <f>D18/2</f>
        <v>1188.93</v>
      </c>
      <c r="C18" s="1843">
        <f>B18</f>
        <v>1188.93</v>
      </c>
      <c r="D18" s="1843">
        <f>объемы!R49</f>
        <v>2377.86</v>
      </c>
      <c r="E18" s="1842"/>
      <c r="F18" s="4606"/>
      <c r="G18" s="2137"/>
    </row>
    <row r="19" spans="1:7" x14ac:dyDescent="0.2">
      <c r="A19" s="1842" t="s">
        <v>992</v>
      </c>
      <c r="B19" s="1843">
        <f>B17*B18</f>
        <v>26941.1538</v>
      </c>
      <c r="C19" s="1843">
        <f>C17*C18</f>
        <v>30852.733500000002</v>
      </c>
      <c r="D19" s="1843">
        <f>C19+B19</f>
        <v>57793.887300000002</v>
      </c>
      <c r="E19" s="1842"/>
      <c r="F19" s="4606"/>
      <c r="G19" s="2137"/>
    </row>
    <row r="20" spans="1:7" x14ac:dyDescent="0.2">
      <c r="A20" s="1842" t="s">
        <v>984</v>
      </c>
      <c r="B20" s="1843">
        <f>B19*0.02</f>
        <v>538.82307600000001</v>
      </c>
      <c r="C20" s="1843">
        <f>C19*0.02</f>
        <v>617.0546700000001</v>
      </c>
      <c r="D20" s="1843">
        <f>C20+B20</f>
        <v>1155.8777460000001</v>
      </c>
      <c r="E20" s="1842"/>
      <c r="F20" s="4607"/>
      <c r="G20" s="2137"/>
    </row>
    <row r="21" spans="1:7" ht="18.75" x14ac:dyDescent="0.3">
      <c r="A21" s="4591" t="s">
        <v>983</v>
      </c>
      <c r="B21" s="4592"/>
      <c r="C21" s="4592"/>
      <c r="D21" s="4592"/>
      <c r="E21" s="4592"/>
      <c r="F21" s="4593"/>
      <c r="G21" s="2137"/>
    </row>
    <row r="22" spans="1:7" x14ac:dyDescent="0.2">
      <c r="A22" s="1842" t="s">
        <v>990</v>
      </c>
      <c r="B22" s="1843">
        <v>18.350000000000001</v>
      </c>
      <c r="C22" s="1843">
        <v>21.01</v>
      </c>
      <c r="D22" s="1843"/>
      <c r="E22" s="1842"/>
      <c r="F22" s="4605">
        <f>$E$49*D25/$D$49</f>
        <v>337.84293010864991</v>
      </c>
      <c r="G22" s="2137"/>
    </row>
    <row r="23" spans="1:7" x14ac:dyDescent="0.2">
      <c r="A23" s="1842" t="s">
        <v>991</v>
      </c>
      <c r="B23" s="1843">
        <f>D23/2</f>
        <v>1144.76</v>
      </c>
      <c r="C23" s="1843">
        <f>B23</f>
        <v>1144.76</v>
      </c>
      <c r="D23" s="1843">
        <f>объемы!R59</f>
        <v>2289.52</v>
      </c>
      <c r="E23" s="1842"/>
      <c r="F23" s="4606"/>
      <c r="G23" s="2137"/>
    </row>
    <row r="24" spans="1:7" x14ac:dyDescent="0.2">
      <c r="A24" s="1842" t="s">
        <v>992</v>
      </c>
      <c r="B24" s="1843">
        <f>B22*B23</f>
        <v>21006.346000000001</v>
      </c>
      <c r="C24" s="1843">
        <f>C22*C23</f>
        <v>24051.407600000002</v>
      </c>
      <c r="D24" s="1843">
        <f>C24+B24</f>
        <v>45057.753600000004</v>
      </c>
      <c r="E24" s="1842"/>
      <c r="F24" s="4606"/>
      <c r="G24" s="2137"/>
    </row>
    <row r="25" spans="1:7" x14ac:dyDescent="0.2">
      <c r="A25" s="1842" t="s">
        <v>984</v>
      </c>
      <c r="B25" s="1843">
        <f>B24*0.02</f>
        <v>420.12692000000004</v>
      </c>
      <c r="C25" s="1843">
        <f>C24*0.02</f>
        <v>481.02815200000003</v>
      </c>
      <c r="D25" s="1843">
        <f>C25+B25</f>
        <v>901.15507200000002</v>
      </c>
      <c r="E25" s="1842"/>
      <c r="F25" s="4607"/>
      <c r="G25" s="2137"/>
    </row>
    <row r="26" spans="1:7" ht="18.75" x14ac:dyDescent="0.3">
      <c r="A26" s="4644" t="s">
        <v>993</v>
      </c>
      <c r="B26" s="4645"/>
      <c r="C26" s="4645"/>
      <c r="D26" s="4645"/>
      <c r="E26" s="4645"/>
      <c r="F26" s="4645"/>
      <c r="G26" s="4646"/>
    </row>
    <row r="27" spans="1:7" x14ac:dyDescent="0.2">
      <c r="A27" s="1833" t="s">
        <v>995</v>
      </c>
      <c r="B27" s="1834">
        <f>C17</f>
        <v>25.95</v>
      </c>
      <c r="C27" s="1834">
        <v>28.6</v>
      </c>
      <c r="D27" s="1834"/>
      <c r="E27" s="1833"/>
      <c r="F27" s="4594">
        <f>$E$48*D30/$D$48</f>
        <v>465.89321466591826</v>
      </c>
      <c r="G27" s="2137"/>
    </row>
    <row r="28" spans="1:7" x14ac:dyDescent="0.2">
      <c r="A28" s="1833" t="s">
        <v>991</v>
      </c>
      <c r="B28" s="1834">
        <f>объемы!AA49/2</f>
        <v>1214.28</v>
      </c>
      <c r="C28" s="1834">
        <f>B28</f>
        <v>1214.28</v>
      </c>
      <c r="D28" s="1834">
        <f>C28+B28</f>
        <v>2428.56</v>
      </c>
      <c r="E28" s="1833"/>
      <c r="F28" s="4595"/>
      <c r="G28" s="2137"/>
    </row>
    <row r="29" spans="1:7" x14ac:dyDescent="0.2">
      <c r="A29" s="1833" t="s">
        <v>992</v>
      </c>
      <c r="B29" s="1834">
        <f>B27*B28</f>
        <v>31510.565999999999</v>
      </c>
      <c r="C29" s="1834">
        <f>C27*C28</f>
        <v>34728.408000000003</v>
      </c>
      <c r="D29" s="1834">
        <f>C29+B29</f>
        <v>66238.974000000002</v>
      </c>
      <c r="E29" s="1833"/>
      <c r="F29" s="4595"/>
      <c r="G29" s="2137"/>
    </row>
    <row r="30" spans="1:7" x14ac:dyDescent="0.2">
      <c r="A30" s="1833" t="s">
        <v>984</v>
      </c>
      <c r="B30" s="1834">
        <f>B29*0.02</f>
        <v>630.21132</v>
      </c>
      <c r="C30" s="1834">
        <f>C29*0.02</f>
        <v>694.56816000000003</v>
      </c>
      <c r="D30" s="1834">
        <f>C30+B30</f>
        <v>1324.7794800000001</v>
      </c>
      <c r="E30" s="1833"/>
      <c r="F30" s="4596"/>
      <c r="G30" s="2137"/>
    </row>
    <row r="31" spans="1:7" ht="18.75" x14ac:dyDescent="0.3">
      <c r="A31" s="4588" t="s">
        <v>994</v>
      </c>
      <c r="B31" s="4589"/>
      <c r="C31" s="4589"/>
      <c r="D31" s="4589"/>
      <c r="E31" s="4589"/>
      <c r="F31" s="4590"/>
      <c r="G31" s="2137"/>
    </row>
    <row r="32" spans="1:7" x14ac:dyDescent="0.2">
      <c r="A32" s="1833" t="s">
        <v>995</v>
      </c>
      <c r="B32" s="1834">
        <f>C22</f>
        <v>21.01</v>
      </c>
      <c r="C32" s="1834">
        <v>23.2</v>
      </c>
      <c r="D32" s="1834"/>
      <c r="E32" s="1833"/>
      <c r="F32" s="4594">
        <f>$E$49*D35/$D$49</f>
        <v>405.73944615575715</v>
      </c>
      <c r="G32" s="2137"/>
    </row>
    <row r="33" spans="1:7" x14ac:dyDescent="0.2">
      <c r="A33" s="1833" t="s">
        <v>991</v>
      </c>
      <c r="B33" s="1834">
        <f>объемы!AA59/2</f>
        <v>1224</v>
      </c>
      <c r="C33" s="1834">
        <f>B33</f>
        <v>1224</v>
      </c>
      <c r="D33" s="1834">
        <f>C33+B33</f>
        <v>2448</v>
      </c>
      <c r="E33" s="1833"/>
      <c r="F33" s="4595"/>
      <c r="G33" s="2137"/>
    </row>
    <row r="34" spans="1:7" x14ac:dyDescent="0.2">
      <c r="A34" s="1833" t="s">
        <v>992</v>
      </c>
      <c r="B34" s="1834">
        <f>B32*B33</f>
        <v>25716.240000000002</v>
      </c>
      <c r="C34" s="1834">
        <f>C32*C33</f>
        <v>28396.799999999999</v>
      </c>
      <c r="D34" s="1834">
        <f>C34+B34</f>
        <v>54113.04</v>
      </c>
      <c r="E34" s="1833"/>
      <c r="F34" s="4595"/>
      <c r="G34" s="2137"/>
    </row>
    <row r="35" spans="1:7" x14ac:dyDescent="0.2">
      <c r="A35" s="1833" t="s">
        <v>984</v>
      </c>
      <c r="B35" s="1834">
        <f>B34*0.02</f>
        <v>514.3248000000001</v>
      </c>
      <c r="C35" s="1834">
        <f>C34*0.02</f>
        <v>567.93600000000004</v>
      </c>
      <c r="D35" s="1834">
        <f>C35+B35</f>
        <v>1082.2608</v>
      </c>
      <c r="E35" s="1833"/>
      <c r="F35" s="4596"/>
      <c r="G35" s="2137"/>
    </row>
    <row r="36" spans="1:7" ht="18.75" x14ac:dyDescent="0.3">
      <c r="A36" s="4591" t="s">
        <v>1701</v>
      </c>
      <c r="B36" s="4592"/>
      <c r="C36" s="4592"/>
      <c r="D36" s="4592"/>
      <c r="E36" s="4592"/>
      <c r="F36" s="4593"/>
      <c r="G36" s="2137"/>
    </row>
    <row r="37" spans="1:7" x14ac:dyDescent="0.2">
      <c r="A37" s="1842" t="s">
        <v>995</v>
      </c>
      <c r="B37" s="1843">
        <f>'вода 2018 коррект'!F46</f>
        <v>25.95</v>
      </c>
      <c r="C37" s="1843">
        <f>'вода 2018 коррект'!F47</f>
        <v>27.796610169491526</v>
      </c>
      <c r="D37" s="1843"/>
      <c r="E37" s="1842"/>
      <c r="F37" s="4605">
        <f>$E$48*D40/$D$48</f>
        <v>436.83960362466541</v>
      </c>
      <c r="G37" s="2137"/>
    </row>
    <row r="38" spans="1:7" x14ac:dyDescent="0.2">
      <c r="A38" s="1842" t="s">
        <v>1700</v>
      </c>
      <c r="B38" s="1843">
        <f>D38/2</f>
        <v>1155.575</v>
      </c>
      <c r="C38" s="1843">
        <f>B38</f>
        <v>1155.575</v>
      </c>
      <c r="D38" s="1843">
        <f>объемы!Y49</f>
        <v>2311.15</v>
      </c>
      <c r="E38" s="1842"/>
      <c r="F38" s="4606"/>
      <c r="G38" s="2138">
        <f>F37</f>
        <v>436.83960362466541</v>
      </c>
    </row>
    <row r="39" spans="1:7" x14ac:dyDescent="0.2">
      <c r="A39" s="1842" t="s">
        <v>1699</v>
      </c>
      <c r="B39" s="1843">
        <f>B37*B38</f>
        <v>29987.171249999999</v>
      </c>
      <c r="C39" s="1843">
        <f>C37*C38</f>
        <v>32121.067796610172</v>
      </c>
      <c r="D39" s="1843">
        <f>C39+B39</f>
        <v>62108.239046610171</v>
      </c>
      <c r="E39" s="1842"/>
      <c r="F39" s="4606"/>
      <c r="G39" s="2137"/>
    </row>
    <row r="40" spans="1:7" x14ac:dyDescent="0.2">
      <c r="A40" s="1842" t="s">
        <v>984</v>
      </c>
      <c r="B40" s="1843">
        <f>B39*0.02</f>
        <v>599.743425</v>
      </c>
      <c r="C40" s="1843">
        <f>C39*0.02</f>
        <v>642.42135593220348</v>
      </c>
      <c r="D40" s="1843">
        <f>C40+B40</f>
        <v>1242.1647809322035</v>
      </c>
      <c r="E40" s="1842"/>
      <c r="F40" s="4607"/>
      <c r="G40" s="2137"/>
    </row>
    <row r="41" spans="1:7" ht="18.75" x14ac:dyDescent="0.3">
      <c r="A41" s="4591" t="s">
        <v>1813</v>
      </c>
      <c r="B41" s="4592"/>
      <c r="C41" s="4592"/>
      <c r="D41" s="4592"/>
      <c r="E41" s="4592"/>
      <c r="F41" s="4593"/>
      <c r="G41" s="2137"/>
    </row>
    <row r="42" spans="1:7" x14ac:dyDescent="0.2">
      <c r="A42" s="1842" t="s">
        <v>990</v>
      </c>
      <c r="B42" s="1843">
        <v>21.01</v>
      </c>
      <c r="C42" s="1843">
        <v>22.5</v>
      </c>
      <c r="D42" s="1843"/>
      <c r="E42" s="1842"/>
      <c r="F42" s="4605">
        <f>$E$49*D45/$D$49</f>
        <v>365.36847945936529</v>
      </c>
      <c r="G42" s="2137"/>
    </row>
    <row r="43" spans="1:7" x14ac:dyDescent="0.2">
      <c r="A43" s="1842" t="s">
        <v>1700</v>
      </c>
      <c r="B43" s="1843">
        <f>D43/2</f>
        <v>1119.9449999999999</v>
      </c>
      <c r="C43" s="1843">
        <f>B43</f>
        <v>1119.9449999999999</v>
      </c>
      <c r="D43" s="1843">
        <f>объемы!Y59</f>
        <v>2239.89</v>
      </c>
      <c r="E43" s="1842"/>
      <c r="F43" s="4606"/>
      <c r="G43" s="2138">
        <f>F42</f>
        <v>365.36847945936529</v>
      </c>
    </row>
    <row r="44" spans="1:7" x14ac:dyDescent="0.2">
      <c r="A44" s="1842" t="s">
        <v>992</v>
      </c>
      <c r="B44" s="1843">
        <f>B42*B43</f>
        <v>23530.044450000001</v>
      </c>
      <c r="C44" s="1843">
        <f>C42*C43</f>
        <v>25198.762499999997</v>
      </c>
      <c r="D44" s="1843">
        <f>C44+B44</f>
        <v>48728.806949999998</v>
      </c>
      <c r="E44" s="1842"/>
      <c r="F44" s="4606"/>
      <c r="G44" s="2137"/>
    </row>
    <row r="45" spans="1:7" x14ac:dyDescent="0.2">
      <c r="A45" s="1842" t="s">
        <v>984</v>
      </c>
      <c r="B45" s="1843">
        <f>B44*0.02</f>
        <v>470.60088900000005</v>
      </c>
      <c r="C45" s="1843">
        <f>C44*0.02</f>
        <v>503.97524999999996</v>
      </c>
      <c r="D45" s="1843">
        <f>C45+B45</f>
        <v>974.57613900000001</v>
      </c>
      <c r="E45" s="1842"/>
      <c r="F45" s="4607"/>
      <c r="G45" s="2137"/>
    </row>
    <row r="46" spans="1:7" x14ac:dyDescent="0.2">
      <c r="A46" s="1835" t="s">
        <v>627</v>
      </c>
      <c r="B46" s="1836"/>
      <c r="C46" s="1836"/>
      <c r="D46" s="1837">
        <f>D10+D15+D20+D25+D40+D45</f>
        <v>6264.9912879322028</v>
      </c>
      <c r="E46" s="1837">
        <f>(1993.71255+680.237)/1.18</f>
        <v>2266.0589406779659</v>
      </c>
      <c r="F46" s="1837">
        <f>F7+F12+F17+F22+F27+F32</f>
        <v>2335.4835184156109</v>
      </c>
      <c r="G46" s="2137"/>
    </row>
    <row r="47" spans="1:7" x14ac:dyDescent="0.2">
      <c r="A47" s="1838" t="s">
        <v>236</v>
      </c>
      <c r="B47" s="1833"/>
      <c r="C47" s="1833"/>
      <c r="D47" s="1839"/>
      <c r="E47" s="1839"/>
      <c r="F47" s="1833"/>
      <c r="G47" s="2137"/>
    </row>
    <row r="48" spans="1:7" x14ac:dyDescent="0.2">
      <c r="A48" s="1838" t="s">
        <v>46</v>
      </c>
      <c r="B48" s="1833"/>
      <c r="C48" s="1833"/>
      <c r="D48" s="1840">
        <f>D10+D20+D40</f>
        <v>3560.3751269322033</v>
      </c>
      <c r="E48" s="1840">
        <f>'Резерв ДЗ'!E38</f>
        <v>1252.0986612073889</v>
      </c>
      <c r="F48" s="4650" t="s">
        <v>1497</v>
      </c>
      <c r="G48" s="2137"/>
    </row>
    <row r="49" spans="1:7" x14ac:dyDescent="0.2">
      <c r="A49" s="1838" t="s">
        <v>47</v>
      </c>
      <c r="B49" s="1833"/>
      <c r="C49" s="1833"/>
      <c r="D49" s="1840">
        <f>D15+D25+D45</f>
        <v>2704.6161609999999</v>
      </c>
      <c r="E49" s="1840">
        <f>E46-E48</f>
        <v>1013.960279470577</v>
      </c>
      <c r="F49" s="4246"/>
      <c r="G49" s="2137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workbookViewId="0">
      <selection activeCell="K27" sqref="K27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4655" t="s">
        <v>2122</v>
      </c>
      <c r="B2" s="4655"/>
      <c r="C2" s="4655"/>
      <c r="D2" s="4655"/>
      <c r="E2" s="4655"/>
    </row>
    <row r="3" spans="1:5" ht="15.75" customHeight="1" x14ac:dyDescent="0.2"/>
    <row r="4" spans="1:5" ht="23.25" hidden="1" customHeight="1" x14ac:dyDescent="0.2">
      <c r="A4" s="375" t="s">
        <v>1957</v>
      </c>
      <c r="B4" s="2093" t="s">
        <v>1961</v>
      </c>
      <c r="C4" s="2093"/>
      <c r="D4" s="2093" t="s">
        <v>1962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1958</v>
      </c>
      <c r="B7" s="5">
        <v>10.82</v>
      </c>
    </row>
    <row r="8" spans="1:5" hidden="1" x14ac:dyDescent="0.2">
      <c r="A8" s="5" t="s">
        <v>1959</v>
      </c>
      <c r="B8" s="5">
        <v>47.47</v>
      </c>
      <c r="D8" s="5">
        <v>7.22</v>
      </c>
    </row>
    <row r="9" spans="1:5" hidden="1" x14ac:dyDescent="0.2">
      <c r="A9" s="5" t="s">
        <v>1960</v>
      </c>
    </row>
    <row r="10" spans="1:5" hidden="1" x14ac:dyDescent="0.2"/>
    <row r="11" spans="1:5" s="2093" customFormat="1" x14ac:dyDescent="0.2">
      <c r="A11" s="3966"/>
      <c r="B11" s="4226" t="s">
        <v>829</v>
      </c>
      <c r="C11" s="4228"/>
      <c r="D11" s="4226" t="s">
        <v>908</v>
      </c>
      <c r="E11" s="4228"/>
    </row>
    <row r="12" spans="1:5" s="2753" customFormat="1" x14ac:dyDescent="0.2">
      <c r="A12" s="3967"/>
      <c r="B12" s="2726" t="s">
        <v>2118</v>
      </c>
      <c r="C12" s="2726" t="s">
        <v>1591</v>
      </c>
      <c r="D12" s="2726" t="s">
        <v>2118</v>
      </c>
      <c r="E12" s="2726" t="s">
        <v>1591</v>
      </c>
    </row>
    <row r="13" spans="1:5" ht="22.5" customHeight="1" x14ac:dyDescent="0.2">
      <c r="A13" s="2529" t="s">
        <v>1963</v>
      </c>
      <c r="B13" s="2726"/>
      <c r="C13" s="2726"/>
      <c r="D13" s="2726"/>
      <c r="E13" s="2726"/>
    </row>
    <row r="14" spans="1:5" ht="11.25" customHeight="1" x14ac:dyDescent="0.2">
      <c r="A14" s="1989" t="s">
        <v>50</v>
      </c>
      <c r="B14" s="2075"/>
      <c r="C14" s="2075"/>
      <c r="D14" s="2075"/>
      <c r="E14" s="2075"/>
    </row>
    <row r="15" spans="1:5" ht="18" customHeight="1" x14ac:dyDescent="0.2">
      <c r="A15" s="1989" t="s">
        <v>294</v>
      </c>
      <c r="B15" s="1961">
        <v>75411.5</v>
      </c>
      <c r="C15" s="2834">
        <f>B15/B20</f>
        <v>3.8056824203275215E-4</v>
      </c>
      <c r="D15" s="1961">
        <v>200883.4</v>
      </c>
      <c r="E15" s="2834">
        <f>D15/D20</f>
        <v>9.1607945787692787E-4</v>
      </c>
    </row>
    <row r="16" spans="1:5" ht="25.5" customHeight="1" x14ac:dyDescent="0.2">
      <c r="A16" s="1989" t="s">
        <v>324</v>
      </c>
      <c r="B16" s="1961">
        <f>73320+51396.67</f>
        <v>124716.67</v>
      </c>
      <c r="C16" s="2834">
        <f>B16/B20</f>
        <v>6.2938946784083167E-4</v>
      </c>
      <c r="D16" s="1961">
        <f>260832+62506.35</f>
        <v>323338.34999999998</v>
      </c>
      <c r="E16" s="2834">
        <f>D16/D20</f>
        <v>1.4745052123710588E-3</v>
      </c>
    </row>
    <row r="17" spans="1:5" x14ac:dyDescent="0.2">
      <c r="A17" s="2529" t="s">
        <v>1960</v>
      </c>
      <c r="B17" s="1961">
        <f>B24*1000-B15-B16-B19-B18</f>
        <v>6276310.6925000101</v>
      </c>
      <c r="C17" s="2834">
        <f>B17/B20</f>
        <v>3.1673743748580709E-2</v>
      </c>
      <c r="D17" s="1961">
        <f>D24*1000-D15-D16-D19-D18</f>
        <v>8749592.6926999837</v>
      </c>
      <c r="E17" s="2834">
        <f>D17/D20</f>
        <v>3.9900370715412671E-2</v>
      </c>
    </row>
    <row r="18" spans="1:5" x14ac:dyDescent="0.2">
      <c r="A18" s="2529" t="s">
        <v>46</v>
      </c>
      <c r="B18" s="1961">
        <f>('вода 2018 коррект'!H31+'тех вода 2018'!H31)*1000</f>
        <v>116289129.28480001</v>
      </c>
      <c r="C18" s="2834">
        <f>B18/B20</f>
        <v>0.58685942461608342</v>
      </c>
      <c r="D18" s="1961">
        <f>(ТН!J40+ТН!J24)*1000</f>
        <v>127472098.7659</v>
      </c>
      <c r="E18" s="2834">
        <f>D18/D20</f>
        <v>0.58130523045657267</v>
      </c>
    </row>
    <row r="19" spans="1:5" x14ac:dyDescent="0.2">
      <c r="A19" s="2529" t="s">
        <v>47</v>
      </c>
      <c r="B19" s="1961">
        <f>('стоки 2018'!H31+'очистка 2016-2018'!H31)*1000</f>
        <v>75389431.852699995</v>
      </c>
      <c r="C19" s="2834">
        <f>B19/B20</f>
        <v>0.38045687392546235</v>
      </c>
      <c r="D19" s="1961">
        <f>(ТН!J56+ТН!J72)*1000</f>
        <v>82540086.7914</v>
      </c>
      <c r="E19" s="2834">
        <f>D19/D20</f>
        <v>0.37640381415776658</v>
      </c>
    </row>
    <row r="20" spans="1:5" x14ac:dyDescent="0.2">
      <c r="A20" s="2529" t="s">
        <v>288</v>
      </c>
      <c r="B20" s="1959">
        <f>SUM(B15:B19)</f>
        <v>198155000</v>
      </c>
      <c r="C20" s="2833">
        <f>SUM(C15:C19)</f>
        <v>1</v>
      </c>
      <c r="D20" s="1959">
        <f>SUM(D15:D19)</f>
        <v>219286000</v>
      </c>
      <c r="E20" s="2836">
        <f>SUM(E15:E19)</f>
        <v>0.99999999999999989</v>
      </c>
    </row>
    <row r="21" spans="1:5" x14ac:dyDescent="0.2">
      <c r="A21" s="2529" t="s">
        <v>2119</v>
      </c>
      <c r="B21" s="2726"/>
      <c r="C21" s="2726"/>
      <c r="D21" s="2726"/>
      <c r="E21" s="2726"/>
    </row>
    <row r="22" spans="1:5" x14ac:dyDescent="0.2">
      <c r="A22" s="2529" t="s">
        <v>2120</v>
      </c>
      <c r="B22" s="2835">
        <v>175934</v>
      </c>
      <c r="C22" s="2835"/>
      <c r="D22" s="2835">
        <v>191436</v>
      </c>
      <c r="E22" s="2075"/>
    </row>
    <row r="23" spans="1:5" x14ac:dyDescent="0.2">
      <c r="A23" s="2529" t="s">
        <v>2121</v>
      </c>
      <c r="B23" s="2835">
        <v>22221</v>
      </c>
      <c r="C23" s="2835"/>
      <c r="D23" s="2835">
        <v>27850</v>
      </c>
      <c r="E23" s="2075"/>
    </row>
    <row r="24" spans="1:5" x14ac:dyDescent="0.2">
      <c r="A24" s="2529" t="s">
        <v>288</v>
      </c>
      <c r="B24" s="1959">
        <f>SUM(B22:B23)</f>
        <v>198155</v>
      </c>
      <c r="C24" s="1959"/>
      <c r="D24" s="1959">
        <f>SUM(D22:D23)</f>
        <v>219286</v>
      </c>
      <c r="E24" s="2726"/>
    </row>
    <row r="25" spans="1:5" x14ac:dyDescent="0.2">
      <c r="B25" s="1860"/>
      <c r="C25" s="1860"/>
      <c r="D25" s="1860"/>
    </row>
    <row r="26" spans="1:5" x14ac:dyDescent="0.2">
      <c r="B26" s="1860"/>
      <c r="C26" s="1860"/>
      <c r="D26" s="1860"/>
    </row>
    <row r="27" spans="1:5" x14ac:dyDescent="0.2">
      <c r="B27" s="1860"/>
      <c r="C27" s="1860"/>
      <c r="D27" s="1860"/>
    </row>
    <row r="28" spans="1:5" x14ac:dyDescent="0.2">
      <c r="B28" s="1860"/>
      <c r="C28" s="1860"/>
      <c r="D28" s="1860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846" customWidth="1"/>
    <col min="2" max="2" width="18" style="1845" customWidth="1"/>
    <col min="3" max="3" width="19.85546875" style="1845" customWidth="1"/>
    <col min="4" max="4" width="17.85546875" style="1846" customWidth="1"/>
    <col min="5" max="5" width="20.85546875" style="1846" customWidth="1"/>
    <col min="6" max="6" width="13.7109375" style="1846" customWidth="1"/>
    <col min="7" max="20" width="9.140625" style="1846"/>
    <col min="21" max="16384" width="9.140625" style="1847"/>
  </cols>
  <sheetData>
    <row r="1" spans="1:20" x14ac:dyDescent="0.25">
      <c r="A1" s="1844"/>
      <c r="D1" s="4658" t="s">
        <v>1685</v>
      </c>
      <c r="E1" s="4658"/>
    </row>
    <row r="2" spans="1:20" x14ac:dyDescent="0.25">
      <c r="A2" s="1844"/>
      <c r="D2" s="1848"/>
      <c r="E2" s="1848"/>
    </row>
    <row r="3" spans="1:20" x14ac:dyDescent="0.25">
      <c r="A3" s="4279" t="s">
        <v>1533</v>
      </c>
      <c r="B3" s="4279"/>
      <c r="C3" s="4279"/>
      <c r="D3" s="4279"/>
      <c r="E3" s="4279"/>
    </row>
    <row r="4" spans="1:20" x14ac:dyDescent="0.25">
      <c r="A4" s="1846" t="s">
        <v>1534</v>
      </c>
    </row>
    <row r="5" spans="1:20" x14ac:dyDescent="0.25">
      <c r="A5" s="4656" t="s">
        <v>1535</v>
      </c>
      <c r="B5" s="4657" t="s">
        <v>1536</v>
      </c>
      <c r="C5" s="3961" t="s">
        <v>377</v>
      </c>
      <c r="D5" s="3962"/>
      <c r="E5" s="3963"/>
    </row>
    <row r="6" spans="1:20" s="1851" customFormat="1" ht="31.5" x14ac:dyDescent="0.2">
      <c r="A6" s="4656"/>
      <c r="B6" s="4657"/>
      <c r="C6" s="1858" t="s">
        <v>1541</v>
      </c>
      <c r="D6" s="1715" t="s">
        <v>122</v>
      </c>
      <c r="E6" s="1715" t="s">
        <v>1537</v>
      </c>
      <c r="F6" s="1850"/>
      <c r="G6" s="1850"/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</row>
    <row r="7" spans="1:20" x14ac:dyDescent="0.25">
      <c r="A7" s="1852" t="s">
        <v>535</v>
      </c>
      <c r="B7" s="1853" t="s">
        <v>915</v>
      </c>
      <c r="C7" s="1854">
        <v>1832.95</v>
      </c>
      <c r="D7" s="1854">
        <v>2164.89</v>
      </c>
      <c r="E7" s="1855">
        <v>2164.89</v>
      </c>
    </row>
    <row r="8" spans="1:20" x14ac:dyDescent="0.25">
      <c r="A8" s="1852" t="s">
        <v>1538</v>
      </c>
      <c r="B8" s="1853" t="s">
        <v>915</v>
      </c>
      <c r="C8" s="1854">
        <v>0</v>
      </c>
      <c r="D8" s="1854">
        <v>0</v>
      </c>
      <c r="E8" s="1855">
        <v>0</v>
      </c>
    </row>
    <row r="9" spans="1:20" x14ac:dyDescent="0.25">
      <c r="A9" s="1852" t="s">
        <v>1539</v>
      </c>
      <c r="B9" s="1853" t="s">
        <v>915</v>
      </c>
      <c r="C9" s="1854">
        <f>вода!BF51</f>
        <v>1186.1707105587886</v>
      </c>
      <c r="D9" s="1854">
        <v>1367.37</v>
      </c>
      <c r="E9" s="1855">
        <f>вод.налог!G39</f>
        <v>1349.5274148209801</v>
      </c>
    </row>
    <row r="10" spans="1:20" x14ac:dyDescent="0.25">
      <c r="A10" s="1852" t="s">
        <v>1540</v>
      </c>
      <c r="B10" s="1853" t="s">
        <v>915</v>
      </c>
      <c r="C10" s="1854">
        <v>0</v>
      </c>
      <c r="D10" s="1854">
        <v>0</v>
      </c>
      <c r="E10" s="1855">
        <v>0</v>
      </c>
    </row>
    <row r="11" spans="1:20" x14ac:dyDescent="0.25">
      <c r="A11" s="1852" t="s">
        <v>533</v>
      </c>
      <c r="B11" s="1853" t="s">
        <v>915</v>
      </c>
      <c r="C11" s="1854">
        <f>вода!BF52</f>
        <v>117.63502835085798</v>
      </c>
      <c r="D11" s="1854">
        <v>88.75</v>
      </c>
      <c r="E11" s="1855">
        <v>88.75</v>
      </c>
    </row>
    <row r="12" spans="1:20" x14ac:dyDescent="0.25">
      <c r="A12" s="1852" t="s">
        <v>627</v>
      </c>
      <c r="B12" s="1853"/>
      <c r="C12" s="1849">
        <f>SUM(C7:C11)</f>
        <v>3136.7557389096469</v>
      </c>
      <c r="D12" s="1849">
        <f>SUM(D7:D11)</f>
        <v>3621.0099999999998</v>
      </c>
      <c r="E12" s="1849">
        <f>SUM(E7:E11)</f>
        <v>3603.16741482098</v>
      </c>
    </row>
    <row r="14" spans="1:20" x14ac:dyDescent="0.25">
      <c r="A14" s="4656" t="s">
        <v>1535</v>
      </c>
      <c r="B14" s="4657" t="s">
        <v>1536</v>
      </c>
      <c r="C14" s="3961" t="s">
        <v>25</v>
      </c>
      <c r="D14" s="3962"/>
      <c r="E14" s="3963"/>
    </row>
    <row r="15" spans="1:20" ht="31.5" x14ac:dyDescent="0.25">
      <c r="A15" s="4656"/>
      <c r="B15" s="4657"/>
      <c r="C15" s="1858" t="s">
        <v>1541</v>
      </c>
      <c r="D15" s="1715" t="s">
        <v>122</v>
      </c>
      <c r="E15" s="1715" t="s">
        <v>1537</v>
      </c>
    </row>
    <row r="16" spans="1:20" x14ac:dyDescent="0.25">
      <c r="A16" s="1852" t="s">
        <v>535</v>
      </c>
      <c r="B16" s="1853" t="s">
        <v>915</v>
      </c>
      <c r="C16" s="1854">
        <v>9.84</v>
      </c>
      <c r="D16" s="1854">
        <v>10.33</v>
      </c>
      <c r="E16" s="1855">
        <v>10.33</v>
      </c>
    </row>
    <row r="17" spans="1:5" x14ac:dyDescent="0.25">
      <c r="A17" s="1852" t="s">
        <v>1538</v>
      </c>
      <c r="B17" s="1853" t="s">
        <v>915</v>
      </c>
      <c r="C17" s="1854">
        <v>0</v>
      </c>
      <c r="D17" s="1854">
        <v>0</v>
      </c>
      <c r="E17" s="1855">
        <v>0</v>
      </c>
    </row>
    <row r="18" spans="1:5" x14ac:dyDescent="0.25">
      <c r="A18" s="1852" t="s">
        <v>1539</v>
      </c>
      <c r="B18" s="1853" t="s">
        <v>915</v>
      </c>
      <c r="C18" s="1854">
        <v>7.3</v>
      </c>
      <c r="D18" s="1854">
        <v>6.4829999999999997</v>
      </c>
      <c r="E18" s="1855">
        <f>вод.налог!G38</f>
        <v>7.9768080000000001</v>
      </c>
    </row>
    <row r="19" spans="1:5" x14ac:dyDescent="0.25">
      <c r="A19" s="1852" t="s">
        <v>1540</v>
      </c>
      <c r="B19" s="1853" t="s">
        <v>915</v>
      </c>
      <c r="C19" s="1854">
        <v>0</v>
      </c>
      <c r="D19" s="1854">
        <v>0</v>
      </c>
      <c r="E19" s="1855">
        <v>0</v>
      </c>
    </row>
    <row r="20" spans="1:5" x14ac:dyDescent="0.25">
      <c r="A20" s="1852" t="s">
        <v>533</v>
      </c>
      <c r="B20" s="1853" t="s">
        <v>915</v>
      </c>
      <c r="C20" s="1854">
        <v>0.48</v>
      </c>
      <c r="D20" s="1854">
        <v>0.42399999999999999</v>
      </c>
      <c r="E20" s="1855">
        <v>0.42</v>
      </c>
    </row>
    <row r="21" spans="1:5" x14ac:dyDescent="0.25">
      <c r="A21" s="1852" t="s">
        <v>627</v>
      </c>
      <c r="B21" s="1853"/>
      <c r="C21" s="1849">
        <f>SUM(C16:C20)</f>
        <v>17.62</v>
      </c>
      <c r="D21" s="1849">
        <f>SUM(D16:D20)</f>
        <v>17.236999999999998</v>
      </c>
      <c r="E21" s="1849">
        <f>SUM(E16:E20)</f>
        <v>18.726808000000002</v>
      </c>
    </row>
    <row r="23" spans="1:5" x14ac:dyDescent="0.25">
      <c r="A23" s="4656" t="s">
        <v>1535</v>
      </c>
      <c r="B23" s="4657" t="s">
        <v>1536</v>
      </c>
      <c r="C23" s="3961" t="s">
        <v>47</v>
      </c>
      <c r="D23" s="3962"/>
      <c r="E23" s="3963"/>
    </row>
    <row r="24" spans="1:5" ht="31.5" x14ac:dyDescent="0.25">
      <c r="A24" s="4656"/>
      <c r="B24" s="4657"/>
      <c r="C24" s="1858" t="s">
        <v>1541</v>
      </c>
      <c r="D24" s="1715" t="s">
        <v>122</v>
      </c>
      <c r="E24" s="1715" t="s">
        <v>1537</v>
      </c>
    </row>
    <row r="25" spans="1:5" x14ac:dyDescent="0.25">
      <c r="A25" s="1852" t="s">
        <v>535</v>
      </c>
      <c r="B25" s="1853" t="s">
        <v>915</v>
      </c>
      <c r="C25" s="1854">
        <v>1433.46</v>
      </c>
      <c r="D25" s="1854">
        <v>1409.39</v>
      </c>
      <c r="E25" s="1855">
        <v>1409.39</v>
      </c>
    </row>
    <row r="26" spans="1:5" x14ac:dyDescent="0.25">
      <c r="A26" s="1852" t="s">
        <v>1538</v>
      </c>
      <c r="B26" s="1853" t="s">
        <v>915</v>
      </c>
      <c r="C26" s="1854">
        <v>220.1</v>
      </c>
      <c r="D26" s="1854">
        <v>348.31</v>
      </c>
      <c r="E26" s="1855">
        <v>348.31</v>
      </c>
    </row>
    <row r="27" spans="1:5" x14ac:dyDescent="0.25">
      <c r="A27" s="1852" t="s">
        <v>1539</v>
      </c>
      <c r="B27" s="1853" t="s">
        <v>915</v>
      </c>
      <c r="C27" s="1854">
        <v>0</v>
      </c>
      <c r="D27" s="1854">
        <v>0</v>
      </c>
      <c r="E27" s="1855">
        <v>0</v>
      </c>
    </row>
    <row r="28" spans="1:5" x14ac:dyDescent="0.25">
      <c r="A28" s="1852" t="s">
        <v>1540</v>
      </c>
      <c r="B28" s="1853" t="s">
        <v>915</v>
      </c>
      <c r="C28" s="1854">
        <v>0</v>
      </c>
      <c r="D28" s="1854">
        <v>0</v>
      </c>
      <c r="E28" s="1855">
        <v>0</v>
      </c>
    </row>
    <row r="29" spans="1:5" x14ac:dyDescent="0.25">
      <c r="A29" s="1852" t="s">
        <v>533</v>
      </c>
      <c r="B29" s="1853" t="s">
        <v>915</v>
      </c>
      <c r="C29" s="1854">
        <v>23.21</v>
      </c>
      <c r="D29" s="1854">
        <v>25.87</v>
      </c>
      <c r="E29" s="1855">
        <v>25.87</v>
      </c>
    </row>
    <row r="30" spans="1:5" x14ac:dyDescent="0.25">
      <c r="A30" s="1852" t="s">
        <v>627</v>
      </c>
      <c r="B30" s="1853"/>
      <c r="C30" s="1856">
        <f>SUM(C25:C29)</f>
        <v>1676.77</v>
      </c>
      <c r="D30" s="1856">
        <f>SUM(D25:D29)</f>
        <v>1783.57</v>
      </c>
      <c r="E30" s="1856">
        <f>SUM(E25:E29)</f>
        <v>1783.57</v>
      </c>
    </row>
    <row r="32" spans="1:5" x14ac:dyDescent="0.25">
      <c r="A32" s="4656" t="s">
        <v>1535</v>
      </c>
      <c r="B32" s="4657" t="s">
        <v>1536</v>
      </c>
      <c r="C32" s="3961" t="s">
        <v>1567</v>
      </c>
      <c r="D32" s="3962"/>
      <c r="E32" s="3963"/>
    </row>
    <row r="33" spans="1:5" ht="31.5" x14ac:dyDescent="0.25">
      <c r="A33" s="4656"/>
      <c r="B33" s="4657"/>
      <c r="C33" s="1858" t="s">
        <v>1541</v>
      </c>
      <c r="D33" s="1715" t="s">
        <v>122</v>
      </c>
      <c r="E33" s="1715" t="s">
        <v>1537</v>
      </c>
    </row>
    <row r="34" spans="1:5" x14ac:dyDescent="0.25">
      <c r="A34" s="1852" t="s">
        <v>535</v>
      </c>
      <c r="B34" s="1853" t="s">
        <v>915</v>
      </c>
      <c r="C34" s="1854"/>
      <c r="D34" s="1854"/>
      <c r="E34" s="1855"/>
    </row>
    <row r="35" spans="1:5" x14ac:dyDescent="0.25">
      <c r="A35" s="1852" t="s">
        <v>1538</v>
      </c>
      <c r="B35" s="1853" t="s">
        <v>915</v>
      </c>
      <c r="C35" s="1854"/>
      <c r="D35" s="1854"/>
      <c r="E35" s="1855"/>
    </row>
    <row r="36" spans="1:5" x14ac:dyDescent="0.25">
      <c r="A36" s="1852" t="s">
        <v>1539</v>
      </c>
      <c r="B36" s="1853" t="s">
        <v>915</v>
      </c>
      <c r="C36" s="1854"/>
      <c r="D36" s="1854"/>
      <c r="E36" s="1855"/>
    </row>
    <row r="37" spans="1:5" x14ac:dyDescent="0.25">
      <c r="A37" s="1852" t="s">
        <v>1540</v>
      </c>
      <c r="B37" s="1853" t="s">
        <v>915</v>
      </c>
      <c r="C37" s="1854"/>
      <c r="D37" s="1854"/>
      <c r="E37" s="1855"/>
    </row>
    <row r="38" spans="1:5" x14ac:dyDescent="0.25">
      <c r="A38" s="1852" t="s">
        <v>533</v>
      </c>
      <c r="B38" s="1853" t="s">
        <v>915</v>
      </c>
      <c r="C38" s="1854"/>
      <c r="D38" s="1854"/>
      <c r="E38" s="1855"/>
    </row>
    <row r="39" spans="1:5" x14ac:dyDescent="0.25">
      <c r="A39" s="1852" t="s">
        <v>627</v>
      </c>
      <c r="B39" s="1853"/>
      <c r="C39" s="1856">
        <v>8.01</v>
      </c>
      <c r="D39" s="1856">
        <v>10.47</v>
      </c>
      <c r="E39" s="1856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846" customWidth="1"/>
    <col min="2" max="2" width="18" style="1845" customWidth="1"/>
    <col min="3" max="5" width="19.85546875" style="1845" customWidth="1"/>
    <col min="6" max="6" width="17.85546875" style="1846" customWidth="1"/>
    <col min="7" max="7" width="20.85546875" style="1846" customWidth="1"/>
    <col min="8" max="8" width="13.7109375" style="1846" customWidth="1"/>
    <col min="9" max="22" width="9.140625" style="1846"/>
    <col min="23" max="16384" width="9.140625" style="1847"/>
  </cols>
  <sheetData>
    <row r="1" spans="1:22" x14ac:dyDescent="0.25">
      <c r="A1" s="1844"/>
      <c r="F1" s="4658" t="s">
        <v>1685</v>
      </c>
      <c r="G1" s="4658"/>
    </row>
    <row r="2" spans="1:22" x14ac:dyDescent="0.25">
      <c r="A2" s="1844"/>
      <c r="F2" s="2117"/>
      <c r="G2" s="2117"/>
    </row>
    <row r="3" spans="1:22" x14ac:dyDescent="0.25">
      <c r="A3" s="4279" t="s">
        <v>1533</v>
      </c>
      <c r="B3" s="4279"/>
      <c r="C3" s="4279"/>
      <c r="D3" s="4279"/>
      <c r="E3" s="4279"/>
      <c r="F3" s="4279"/>
      <c r="G3" s="4279"/>
    </row>
    <row r="4" spans="1:22" x14ac:dyDescent="0.25">
      <c r="A4" s="1846" t="s">
        <v>1696</v>
      </c>
    </row>
    <row r="5" spans="1:22" x14ac:dyDescent="0.25">
      <c r="A5" s="4656" t="s">
        <v>1535</v>
      </c>
      <c r="B5" s="4657" t="s">
        <v>1536</v>
      </c>
      <c r="C5" s="3961" t="s">
        <v>377</v>
      </c>
      <c r="D5" s="3962"/>
      <c r="E5" s="3962"/>
      <c r="F5" s="3962"/>
      <c r="G5" s="3963"/>
    </row>
    <row r="6" spans="1:22" s="1851" customFormat="1" ht="31.5" x14ac:dyDescent="0.2">
      <c r="A6" s="4656"/>
      <c r="B6" s="4657"/>
      <c r="C6" s="1858" t="s">
        <v>1541</v>
      </c>
      <c r="D6" s="1858" t="s">
        <v>1694</v>
      </c>
      <c r="E6" s="1858" t="s">
        <v>1695</v>
      </c>
      <c r="F6" s="1715" t="s">
        <v>122</v>
      </c>
      <c r="G6" s="1715" t="s">
        <v>1537</v>
      </c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  <c r="U6" s="1850"/>
      <c r="V6" s="1850"/>
    </row>
    <row r="7" spans="1:22" x14ac:dyDescent="0.25">
      <c r="A7" s="1852" t="s">
        <v>535</v>
      </c>
      <c r="B7" s="1853" t="s">
        <v>915</v>
      </c>
      <c r="C7" s="1854">
        <v>1832.95</v>
      </c>
      <c r="D7" s="1854">
        <v>1994.9</v>
      </c>
      <c r="E7" s="1854">
        <f>D7</f>
        <v>1994.9</v>
      </c>
      <c r="F7" s="1854">
        <v>1985.51</v>
      </c>
      <c r="G7" s="1855">
        <f>F7</f>
        <v>1985.51</v>
      </c>
      <c r="H7" s="1845">
        <f>D7-E7</f>
        <v>0</v>
      </c>
    </row>
    <row r="8" spans="1:22" x14ac:dyDescent="0.25">
      <c r="A8" s="1852" t="s">
        <v>1538</v>
      </c>
      <c r="B8" s="1853" t="s">
        <v>915</v>
      </c>
      <c r="C8" s="1854">
        <v>0</v>
      </c>
      <c r="D8" s="1854">
        <v>0</v>
      </c>
      <c r="E8" s="1854">
        <f t="shared" ref="E8:E11" si="0">D8</f>
        <v>0</v>
      </c>
      <c r="F8" s="1854">
        <v>0</v>
      </c>
      <c r="G8" s="1855">
        <v>0</v>
      </c>
      <c r="H8" s="1845">
        <f t="shared" ref="H8:H12" si="1">D8-E8</f>
        <v>0</v>
      </c>
    </row>
    <row r="9" spans="1:22" x14ac:dyDescent="0.25">
      <c r="A9" s="1852" t="s">
        <v>1539</v>
      </c>
      <c r="B9" s="1853" t="s">
        <v>915</v>
      </c>
      <c r="C9" s="1854">
        <f>вода!BF51</f>
        <v>1186.1707105587886</v>
      </c>
      <c r="D9" s="1854">
        <v>2003.2</v>
      </c>
      <c r="E9" s="1854">
        <f>вод.налог!D53</f>
        <v>1205.1155031133251</v>
      </c>
      <c r="F9" s="1854">
        <v>1535.84</v>
      </c>
      <c r="G9" s="1855">
        <f>вод.налог!P39</f>
        <v>1426.7512821041175</v>
      </c>
      <c r="H9" s="1845">
        <f t="shared" si="1"/>
        <v>798.08449688667497</v>
      </c>
    </row>
    <row r="10" spans="1:22" x14ac:dyDescent="0.25">
      <c r="A10" s="1852" t="s">
        <v>1540</v>
      </c>
      <c r="B10" s="1853" t="s">
        <v>915</v>
      </c>
      <c r="C10" s="1854">
        <v>0</v>
      </c>
      <c r="D10" s="1854">
        <v>0</v>
      </c>
      <c r="E10" s="1854">
        <f t="shared" si="0"/>
        <v>0</v>
      </c>
      <c r="F10" s="1854">
        <v>0</v>
      </c>
      <c r="G10" s="1855">
        <v>0</v>
      </c>
      <c r="H10" s="1845">
        <f t="shared" si="1"/>
        <v>0</v>
      </c>
    </row>
    <row r="11" spans="1:22" x14ac:dyDescent="0.25">
      <c r="A11" s="1852" t="s">
        <v>533</v>
      </c>
      <c r="B11" s="1853" t="s">
        <v>915</v>
      </c>
      <c r="C11" s="1854">
        <f>вода!BF52</f>
        <v>117.63502835085798</v>
      </c>
      <c r="D11" s="1854">
        <v>91.1</v>
      </c>
      <c r="E11" s="1854">
        <f t="shared" si="0"/>
        <v>91.1</v>
      </c>
      <c r="F11" s="1854">
        <v>90.67</v>
      </c>
      <c r="G11" s="1855">
        <v>90.67</v>
      </c>
      <c r="H11" s="1845">
        <f t="shared" si="1"/>
        <v>0</v>
      </c>
    </row>
    <row r="12" spans="1:22" x14ac:dyDescent="0.25">
      <c r="A12" s="1852" t="s">
        <v>627</v>
      </c>
      <c r="B12" s="1853"/>
      <c r="C12" s="2116">
        <f>SUM(C7:C11)</f>
        <v>3136.7557389096469</v>
      </c>
      <c r="D12" s="2116">
        <f t="shared" ref="D12:E12" si="2">SUM(D7:D11)</f>
        <v>4089.2000000000003</v>
      </c>
      <c r="E12" s="2116">
        <f t="shared" si="2"/>
        <v>3291.1155031133253</v>
      </c>
      <c r="F12" s="2116">
        <f>SUM(F7:F11)</f>
        <v>3612.02</v>
      </c>
      <c r="G12" s="2116">
        <f>SUM(G7:G11)</f>
        <v>3502.9312821041176</v>
      </c>
      <c r="H12" s="1845">
        <f t="shared" si="1"/>
        <v>798.08449688667497</v>
      </c>
    </row>
    <row r="14" spans="1:22" x14ac:dyDescent="0.25">
      <c r="A14" s="4656" t="s">
        <v>1535</v>
      </c>
      <c r="B14" s="4657" t="s">
        <v>1536</v>
      </c>
      <c r="C14" s="3961" t="s">
        <v>25</v>
      </c>
      <c r="D14" s="3962"/>
      <c r="E14" s="3962"/>
      <c r="F14" s="3962"/>
      <c r="G14" s="3963"/>
    </row>
    <row r="15" spans="1:22" ht="31.5" x14ac:dyDescent="0.25">
      <c r="A15" s="4656"/>
      <c r="B15" s="4657"/>
      <c r="C15" s="1858" t="s">
        <v>1541</v>
      </c>
      <c r="D15" s="1858" t="s">
        <v>1694</v>
      </c>
      <c r="E15" s="1858" t="s">
        <v>1695</v>
      </c>
      <c r="F15" s="1715" t="s">
        <v>122</v>
      </c>
      <c r="G15" s="1715" t="s">
        <v>1537</v>
      </c>
    </row>
    <row r="16" spans="1:22" x14ac:dyDescent="0.25">
      <c r="A16" s="1852" t="s">
        <v>535</v>
      </c>
      <c r="B16" s="1853" t="s">
        <v>915</v>
      </c>
      <c r="C16" s="1854">
        <v>9.84</v>
      </c>
      <c r="D16" s="1854">
        <v>1.34</v>
      </c>
      <c r="E16" s="1854">
        <v>1.34</v>
      </c>
      <c r="F16" s="1854">
        <v>10.73</v>
      </c>
      <c r="G16" s="1855">
        <v>10.73</v>
      </c>
    </row>
    <row r="17" spans="1:7" x14ac:dyDescent="0.25">
      <c r="A17" s="1852" t="s">
        <v>1538</v>
      </c>
      <c r="B17" s="1853" t="s">
        <v>915</v>
      </c>
      <c r="C17" s="1854">
        <v>0</v>
      </c>
      <c r="D17" s="1854">
        <v>0</v>
      </c>
      <c r="E17" s="1854">
        <v>0</v>
      </c>
      <c r="F17" s="1854">
        <v>0</v>
      </c>
      <c r="G17" s="1855">
        <v>0</v>
      </c>
    </row>
    <row r="18" spans="1:7" x14ac:dyDescent="0.25">
      <c r="A18" s="1852" t="s">
        <v>1539</v>
      </c>
      <c r="B18" s="1853" t="s">
        <v>915</v>
      </c>
      <c r="C18" s="1854">
        <v>7.3</v>
      </c>
      <c r="D18" s="1854">
        <v>1.35</v>
      </c>
      <c r="E18" s="1854">
        <f>вод.налог!D52</f>
        <v>0.81840000000000002</v>
      </c>
      <c r="F18" s="1854">
        <v>8.3000000000000007</v>
      </c>
      <c r="G18" s="1855">
        <f>вод.налог!P38</f>
        <v>9.6711300000000016</v>
      </c>
    </row>
    <row r="19" spans="1:7" x14ac:dyDescent="0.25">
      <c r="A19" s="1852" t="s">
        <v>1540</v>
      </c>
      <c r="B19" s="1853" t="s">
        <v>915</v>
      </c>
      <c r="C19" s="1854">
        <v>0</v>
      </c>
      <c r="D19" s="1854">
        <v>0</v>
      </c>
      <c r="E19" s="1854">
        <v>0</v>
      </c>
      <c r="F19" s="1854">
        <v>0</v>
      </c>
      <c r="G19" s="1855">
        <v>0</v>
      </c>
    </row>
    <row r="20" spans="1:7" x14ac:dyDescent="0.25">
      <c r="A20" s="1852" t="s">
        <v>533</v>
      </c>
      <c r="B20" s="1853" t="s">
        <v>915</v>
      </c>
      <c r="C20" s="1854">
        <v>0.48</v>
      </c>
      <c r="D20" s="1854">
        <v>0.06</v>
      </c>
      <c r="E20" s="1854">
        <v>0.06</v>
      </c>
      <c r="F20" s="1854">
        <v>0.49</v>
      </c>
      <c r="G20" s="1855">
        <v>0.49</v>
      </c>
    </row>
    <row r="21" spans="1:7" x14ac:dyDescent="0.25">
      <c r="A21" s="1852" t="s">
        <v>627</v>
      </c>
      <c r="B21" s="1853"/>
      <c r="C21" s="2116">
        <f>SUM(C16:C20)</f>
        <v>17.62</v>
      </c>
      <c r="D21" s="2146">
        <f t="shared" ref="D21:E21" si="3">SUM(D16:D20)</f>
        <v>2.7500000000000004</v>
      </c>
      <c r="E21" s="2146">
        <f t="shared" si="3"/>
        <v>2.2184000000000004</v>
      </c>
      <c r="F21" s="2116">
        <f>SUM(F16:F20)</f>
        <v>19.52</v>
      </c>
      <c r="G21" s="2116">
        <f>SUM(G16:G20)</f>
        <v>20.89113</v>
      </c>
    </row>
    <row r="23" spans="1:7" x14ac:dyDescent="0.25">
      <c r="A23" s="4656" t="s">
        <v>1535</v>
      </c>
      <c r="B23" s="4657" t="s">
        <v>1536</v>
      </c>
      <c r="C23" s="3961" t="s">
        <v>47</v>
      </c>
      <c r="D23" s="3962"/>
      <c r="E23" s="3962"/>
      <c r="F23" s="3962"/>
      <c r="G23" s="3963"/>
    </row>
    <row r="24" spans="1:7" ht="31.5" x14ac:dyDescent="0.25">
      <c r="A24" s="4656"/>
      <c r="B24" s="4657"/>
      <c r="C24" s="1858" t="s">
        <v>1541</v>
      </c>
      <c r="D24" s="1858" t="s">
        <v>1694</v>
      </c>
      <c r="E24" s="1858" t="s">
        <v>1695</v>
      </c>
      <c r="F24" s="1715" t="s">
        <v>122</v>
      </c>
      <c r="G24" s="1715" t="s">
        <v>1537</v>
      </c>
    </row>
    <row r="25" spans="1:7" x14ac:dyDescent="0.25">
      <c r="A25" s="1852" t="s">
        <v>535</v>
      </c>
      <c r="B25" s="1853" t="s">
        <v>915</v>
      </c>
      <c r="C25" s="1854">
        <v>1433.46</v>
      </c>
      <c r="D25" s="1854">
        <v>1321.85</v>
      </c>
      <c r="E25" s="1854">
        <f>D25</f>
        <v>1321.85</v>
      </c>
      <c r="F25" s="1854">
        <v>1321.42</v>
      </c>
      <c r="G25" s="1855">
        <v>1321.42</v>
      </c>
    </row>
    <row r="26" spans="1:7" x14ac:dyDescent="0.25">
      <c r="A26" s="1852" t="s">
        <v>1538</v>
      </c>
      <c r="B26" s="1853" t="s">
        <v>915</v>
      </c>
      <c r="C26" s="1854">
        <v>220.1</v>
      </c>
      <c r="D26" s="1854">
        <v>2252.29</v>
      </c>
      <c r="E26" s="1854">
        <f>НВОС!C14</f>
        <v>98.513376816778745</v>
      </c>
      <c r="F26" s="1854">
        <v>348.31</v>
      </c>
      <c r="G26" s="1855">
        <f>НВОС!N39/1000</f>
        <v>151.65444009198529</v>
      </c>
    </row>
    <row r="27" spans="1:7" x14ac:dyDescent="0.25">
      <c r="A27" s="1852" t="s">
        <v>1539</v>
      </c>
      <c r="B27" s="1853" t="s">
        <v>915</v>
      </c>
      <c r="C27" s="1854">
        <v>0</v>
      </c>
      <c r="D27" s="1854">
        <v>0</v>
      </c>
      <c r="E27" s="1854">
        <v>0</v>
      </c>
      <c r="F27" s="1854">
        <v>0</v>
      </c>
      <c r="G27" s="1855"/>
    </row>
    <row r="28" spans="1:7" x14ac:dyDescent="0.25">
      <c r="A28" s="1852" t="s">
        <v>1540</v>
      </c>
      <c r="B28" s="1853" t="s">
        <v>915</v>
      </c>
      <c r="C28" s="1854">
        <v>0</v>
      </c>
      <c r="D28" s="1854">
        <v>0</v>
      </c>
      <c r="E28" s="1854">
        <v>0</v>
      </c>
      <c r="F28" s="1854">
        <v>0</v>
      </c>
      <c r="G28" s="1855"/>
    </row>
    <row r="29" spans="1:7" x14ac:dyDescent="0.25">
      <c r="A29" s="1852" t="s">
        <v>533</v>
      </c>
      <c r="B29" s="1853" t="s">
        <v>915</v>
      </c>
      <c r="C29" s="1854">
        <v>23.21</v>
      </c>
      <c r="D29" s="1854">
        <v>29.49</v>
      </c>
      <c r="E29" s="1854">
        <f>D29</f>
        <v>29.49</v>
      </c>
      <c r="F29" s="1854">
        <v>29.69</v>
      </c>
      <c r="G29" s="1855">
        <v>29.69</v>
      </c>
    </row>
    <row r="30" spans="1:7" x14ac:dyDescent="0.25">
      <c r="A30" s="1852" t="s">
        <v>627</v>
      </c>
      <c r="B30" s="1853"/>
      <c r="C30" s="2116">
        <f>SUM(C25:C29)</f>
        <v>1676.77</v>
      </c>
      <c r="D30" s="2146">
        <f t="shared" ref="D30:E30" si="4">SUM(D25:D29)</f>
        <v>3603.6299999999997</v>
      </c>
      <c r="E30" s="2146">
        <f t="shared" si="4"/>
        <v>1449.8533768167786</v>
      </c>
      <c r="F30" s="2116">
        <f>SUM(F25:F29)</f>
        <v>1699.42</v>
      </c>
      <c r="G30" s="2116">
        <f>SUM(G25:G29)</f>
        <v>1502.7644400919853</v>
      </c>
    </row>
    <row r="32" spans="1:7" x14ac:dyDescent="0.25">
      <c r="A32" s="4656" t="s">
        <v>1535</v>
      </c>
      <c r="B32" s="4657" t="s">
        <v>1536</v>
      </c>
      <c r="C32" s="3961" t="s">
        <v>1567</v>
      </c>
      <c r="D32" s="3962"/>
      <c r="E32" s="3962"/>
      <c r="F32" s="3962"/>
      <c r="G32" s="3963"/>
    </row>
    <row r="33" spans="1:7" ht="31.5" x14ac:dyDescent="0.25">
      <c r="A33" s="4656"/>
      <c r="B33" s="4657"/>
      <c r="C33" s="1858" t="s">
        <v>1541</v>
      </c>
      <c r="D33" s="1858" t="s">
        <v>1694</v>
      </c>
      <c r="E33" s="1858" t="s">
        <v>1695</v>
      </c>
      <c r="F33" s="1715" t="s">
        <v>122</v>
      </c>
      <c r="G33" s="1715" t="s">
        <v>1537</v>
      </c>
    </row>
    <row r="34" spans="1:7" x14ac:dyDescent="0.25">
      <c r="A34" s="1852" t="s">
        <v>535</v>
      </c>
      <c r="B34" s="1853" t="s">
        <v>915</v>
      </c>
      <c r="C34" s="1854"/>
      <c r="D34" s="1854">
        <v>8.98</v>
      </c>
      <c r="E34" s="1854">
        <f>8.98</f>
        <v>8.98</v>
      </c>
      <c r="F34" s="1854">
        <v>9.41</v>
      </c>
      <c r="G34" s="1855">
        <v>9.41</v>
      </c>
    </row>
    <row r="35" spans="1:7" x14ac:dyDescent="0.25">
      <c r="A35" s="1852" t="s">
        <v>1538</v>
      </c>
      <c r="B35" s="1853" t="s">
        <v>915</v>
      </c>
      <c r="C35" s="1854"/>
      <c r="D35" s="1854">
        <v>0</v>
      </c>
      <c r="E35" s="1854">
        <f>НВОС!C15</f>
        <v>0.66899318322124657</v>
      </c>
      <c r="F35" s="1854">
        <v>0</v>
      </c>
      <c r="G35" s="1855">
        <f>НВОС!N40/1000</f>
        <v>1.079892297868617</v>
      </c>
    </row>
    <row r="36" spans="1:7" x14ac:dyDescent="0.25">
      <c r="A36" s="1852" t="s">
        <v>1539</v>
      </c>
      <c r="B36" s="1853" t="s">
        <v>915</v>
      </c>
      <c r="C36" s="1854"/>
      <c r="D36" s="1854">
        <v>0</v>
      </c>
      <c r="E36" s="1854">
        <v>0</v>
      </c>
      <c r="F36" s="1854">
        <v>0</v>
      </c>
      <c r="G36" s="1855">
        <v>0</v>
      </c>
    </row>
    <row r="37" spans="1:7" x14ac:dyDescent="0.25">
      <c r="A37" s="1852" t="s">
        <v>1540</v>
      </c>
      <c r="B37" s="1853" t="s">
        <v>915</v>
      </c>
      <c r="C37" s="1854"/>
      <c r="D37" s="1854">
        <v>0</v>
      </c>
      <c r="E37" s="1854">
        <v>0</v>
      </c>
      <c r="F37" s="1854">
        <v>0</v>
      </c>
      <c r="G37" s="1855">
        <v>0</v>
      </c>
    </row>
    <row r="38" spans="1:7" x14ac:dyDescent="0.25">
      <c r="A38" s="1852" t="s">
        <v>533</v>
      </c>
      <c r="B38" s="1853" t="s">
        <v>915</v>
      </c>
      <c r="C38" s="1854"/>
      <c r="D38" s="1854">
        <v>0.2</v>
      </c>
      <c r="E38" s="1854">
        <v>0.2</v>
      </c>
      <c r="F38" s="1854">
        <v>0.21</v>
      </c>
      <c r="G38" s="1855">
        <v>0.21</v>
      </c>
    </row>
    <row r="39" spans="1:7" x14ac:dyDescent="0.25">
      <c r="A39" s="1852" t="s">
        <v>627</v>
      </c>
      <c r="B39" s="1853"/>
      <c r="C39" s="2116">
        <v>8.01</v>
      </c>
      <c r="D39" s="2146">
        <f>D34+D35+D36+D37+D38</f>
        <v>9.18</v>
      </c>
      <c r="E39" s="2146">
        <f t="shared" ref="E39:G39" si="5">E34+E35+E36+E37+E38</f>
        <v>9.8489931832212463</v>
      </c>
      <c r="F39" s="2146">
        <f t="shared" si="5"/>
        <v>9.620000000000001</v>
      </c>
      <c r="G39" s="2146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871" customWidth="1"/>
    <col min="2" max="2" width="10.140625" style="1871" customWidth="1"/>
    <col min="3" max="3" width="17.42578125" style="1871" customWidth="1"/>
    <col min="4" max="4" width="18.28515625" style="1871" customWidth="1"/>
    <col min="5" max="5" width="16" style="1871" customWidth="1"/>
    <col min="6" max="6" width="16.5703125" style="1871" customWidth="1"/>
    <col min="7" max="16384" width="9.140625" style="1871"/>
  </cols>
  <sheetData>
    <row r="1" spans="1:6" x14ac:dyDescent="0.25">
      <c r="E1" s="1871" t="s">
        <v>1520</v>
      </c>
    </row>
    <row r="2" spans="1:6" ht="33.75" customHeight="1" x14ac:dyDescent="0.25">
      <c r="A2" s="4552" t="s">
        <v>1000</v>
      </c>
      <c r="B2" s="4552"/>
      <c r="C2" s="4552"/>
      <c r="D2" s="4552"/>
      <c r="E2" s="4552"/>
      <c r="F2" s="4552"/>
    </row>
    <row r="3" spans="1:6" x14ac:dyDescent="0.25">
      <c r="A3" s="4548" t="s">
        <v>1001</v>
      </c>
      <c r="B3" s="4548" t="s">
        <v>1002</v>
      </c>
      <c r="C3" s="1419" t="s">
        <v>355</v>
      </c>
      <c r="D3" s="1419" t="s">
        <v>345</v>
      </c>
      <c r="E3" s="1419" t="s">
        <v>1474</v>
      </c>
      <c r="F3" s="4550" t="s">
        <v>243</v>
      </c>
    </row>
    <row r="4" spans="1:6" x14ac:dyDescent="0.25">
      <c r="A4" s="4549"/>
      <c r="B4" s="4549"/>
      <c r="C4" s="1419" t="s">
        <v>1003</v>
      </c>
      <c r="D4" s="1419" t="s">
        <v>1003</v>
      </c>
      <c r="E4" s="1419" t="s">
        <v>1003</v>
      </c>
      <c r="F4" s="4551"/>
    </row>
    <row r="5" spans="1:6" x14ac:dyDescent="0.25">
      <c r="A5" s="4659" t="s">
        <v>908</v>
      </c>
      <c r="B5" s="4660"/>
      <c r="C5" s="4660"/>
      <c r="D5" s="4660"/>
      <c r="E5" s="4660"/>
      <c r="F5" s="4661"/>
    </row>
    <row r="6" spans="1:6" ht="30" x14ac:dyDescent="0.25">
      <c r="A6" s="1873" t="s">
        <v>1465</v>
      </c>
      <c r="B6" s="1874" t="s">
        <v>1004</v>
      </c>
      <c r="C6" s="1875">
        <v>94861.048999999999</v>
      </c>
      <c r="D6" s="1876">
        <v>71225.517999999996</v>
      </c>
      <c r="E6" s="1876">
        <v>3130.4870000000001</v>
      </c>
      <c r="F6" s="1874" t="s">
        <v>1472</v>
      </c>
    </row>
    <row r="7" spans="1:6" x14ac:dyDescent="0.25">
      <c r="A7" s="1877" t="s">
        <v>1471</v>
      </c>
      <c r="B7" s="1874" t="s">
        <v>1004</v>
      </c>
      <c r="C7" s="1876">
        <v>1106.2370000000001</v>
      </c>
      <c r="D7" s="1876">
        <v>1538.848</v>
      </c>
      <c r="E7" s="1876">
        <v>99.817999999999998</v>
      </c>
      <c r="F7" s="1878" t="s">
        <v>1472</v>
      </c>
    </row>
    <row r="8" spans="1:6" ht="45" x14ac:dyDescent="0.25">
      <c r="A8" s="1873" t="s">
        <v>1473</v>
      </c>
      <c r="B8" s="1874" t="s">
        <v>1004</v>
      </c>
      <c r="C8" s="1875">
        <f>6102.07/3*4</f>
        <v>8136.0933333333332</v>
      </c>
      <c r="D8" s="1876">
        <f>3628.35/3*4</f>
        <v>4837.8</v>
      </c>
      <c r="E8" s="1876">
        <f>'ОХР '!AI24/3*4</f>
        <v>150.02666666666667</v>
      </c>
      <c r="F8" s="1874" t="s">
        <v>1475</v>
      </c>
    </row>
    <row r="9" spans="1:6" ht="30" x14ac:dyDescent="0.25">
      <c r="A9" s="1873" t="s">
        <v>1005</v>
      </c>
      <c r="B9" s="1874" t="s">
        <v>1004</v>
      </c>
      <c r="C9" s="1875">
        <f>C6+C7-C8</f>
        <v>87831.192666666655</v>
      </c>
      <c r="D9" s="1875">
        <f>D6+D7-D8</f>
        <v>67926.565999999992</v>
      </c>
      <c r="E9" s="1875">
        <f>E6+E7-E8</f>
        <v>3080.2783333333336</v>
      </c>
      <c r="F9" s="1879"/>
    </row>
    <row r="10" spans="1:6" ht="30" x14ac:dyDescent="0.25">
      <c r="A10" s="1880" t="s">
        <v>1006</v>
      </c>
      <c r="B10" s="1881" t="s">
        <v>1004</v>
      </c>
      <c r="C10" s="1882">
        <f>C9</f>
        <v>87831.192666666655</v>
      </c>
      <c r="D10" s="1882">
        <f>D9</f>
        <v>67926.565999999992</v>
      </c>
      <c r="E10" s="1882">
        <f>E9</f>
        <v>3080.2783333333336</v>
      </c>
      <c r="F10" s="1883"/>
    </row>
    <row r="11" spans="1:6" x14ac:dyDescent="0.25">
      <c r="A11" s="1884" t="s">
        <v>1471</v>
      </c>
      <c r="B11" s="1885"/>
      <c r="C11" s="1886">
        <v>0</v>
      </c>
      <c r="D11" s="1886">
        <v>0</v>
      </c>
      <c r="E11" s="1886">
        <v>0</v>
      </c>
      <c r="F11" s="1887"/>
    </row>
    <row r="12" spans="1:6" ht="45" x14ac:dyDescent="0.25">
      <c r="A12" s="1880" t="s">
        <v>1473</v>
      </c>
      <c r="B12" s="1881" t="s">
        <v>1004</v>
      </c>
      <c r="C12" s="1882">
        <f>Аморт!U27</f>
        <v>8136.1</v>
      </c>
      <c r="D12" s="1882">
        <f>Аморт!U33</f>
        <v>4822.1000000000004</v>
      </c>
      <c r="E12" s="1882">
        <f>'ОХР '!AO24</f>
        <v>193.7</v>
      </c>
      <c r="F12" s="1881" t="s">
        <v>386</v>
      </c>
    </row>
    <row r="13" spans="1:6" ht="30" x14ac:dyDescent="0.25">
      <c r="A13" s="1880" t="s">
        <v>1007</v>
      </c>
      <c r="B13" s="1881" t="s">
        <v>1004</v>
      </c>
      <c r="C13" s="1882">
        <f>C10-C12</f>
        <v>79695.092666666649</v>
      </c>
      <c r="D13" s="1882">
        <f>D10-D12</f>
        <v>63104.465999999993</v>
      </c>
      <c r="E13" s="1882">
        <f>E10-E12</f>
        <v>2886.5783333333338</v>
      </c>
      <c r="F13" s="1883"/>
    </row>
    <row r="14" spans="1:6" ht="45" x14ac:dyDescent="0.25">
      <c r="A14" s="1880" t="s">
        <v>1466</v>
      </c>
      <c r="B14" s="1881" t="s">
        <v>1004</v>
      </c>
      <c r="C14" s="1882">
        <f>(C10+C13)/2</f>
        <v>83763.142666666652</v>
      </c>
      <c r="D14" s="1882">
        <f>(D10+D13)/2</f>
        <v>65515.515999999989</v>
      </c>
      <c r="E14" s="1882">
        <f>(E10+E13)/2</f>
        <v>2983.4283333333337</v>
      </c>
      <c r="F14" s="1883"/>
    </row>
    <row r="15" spans="1:6" x14ac:dyDescent="0.25">
      <c r="A15" s="1880" t="s">
        <v>1008</v>
      </c>
      <c r="B15" s="1881" t="s">
        <v>44</v>
      </c>
      <c r="C15" s="1888">
        <v>2.2000000000000002</v>
      </c>
      <c r="D15" s="1888">
        <v>2.2000000000000002</v>
      </c>
      <c r="E15" s="1888">
        <v>2.2000000000000002</v>
      </c>
      <c r="F15" s="1883"/>
    </row>
    <row r="16" spans="1:6" s="1872" customFormat="1" ht="45" x14ac:dyDescent="0.2">
      <c r="A16" s="1889" t="s">
        <v>1467</v>
      </c>
      <c r="B16" s="1890" t="s">
        <v>1004</v>
      </c>
      <c r="C16" s="1891">
        <f>C14*C15/100</f>
        <v>1842.7891386666663</v>
      </c>
      <c r="D16" s="1891">
        <f>D14*D15/100</f>
        <v>1441.3413519999999</v>
      </c>
      <c r="E16" s="1891">
        <f>E14*E15/100</f>
        <v>65.63542333333335</v>
      </c>
      <c r="F16" s="1892"/>
    </row>
    <row r="17" spans="1:6" ht="30" x14ac:dyDescent="0.25">
      <c r="A17" s="1893" t="s">
        <v>1543</v>
      </c>
      <c r="B17" s="1894" t="s">
        <v>1004</v>
      </c>
      <c r="C17" s="1895">
        <f>C16</f>
        <v>1842.7891386666663</v>
      </c>
      <c r="D17" s="1895">
        <f>D16</f>
        <v>1441.3413519999999</v>
      </c>
      <c r="E17" s="1895">
        <f>E16</f>
        <v>65.63542333333335</v>
      </c>
      <c r="F17" s="1896"/>
    </row>
    <row r="18" spans="1:6" x14ac:dyDescent="0.25">
      <c r="A18" s="1897" t="s">
        <v>1471</v>
      </c>
      <c r="B18" s="1898"/>
      <c r="C18" s="1899">
        <v>0</v>
      </c>
      <c r="D18" s="1899">
        <v>0</v>
      </c>
      <c r="E18" s="1899">
        <v>0</v>
      </c>
      <c r="F18" s="1900"/>
    </row>
    <row r="19" spans="1:6" ht="45" x14ac:dyDescent="0.25">
      <c r="A19" s="1893" t="s">
        <v>1473</v>
      </c>
      <c r="B19" s="1894" t="s">
        <v>1004</v>
      </c>
      <c r="C19" s="1895">
        <f>Аморт!U35</f>
        <v>0</v>
      </c>
      <c r="D19" s="1895">
        <f>Аморт!U40</f>
        <v>0</v>
      </c>
      <c r="E19" s="1895">
        <f>'ОХР '!AO31</f>
        <v>109.26300000000001</v>
      </c>
      <c r="F19" s="1894" t="s">
        <v>386</v>
      </c>
    </row>
    <row r="20" spans="1:6" ht="30" x14ac:dyDescent="0.25">
      <c r="A20" s="1893" t="s">
        <v>1544</v>
      </c>
      <c r="B20" s="1894" t="s">
        <v>1004</v>
      </c>
      <c r="C20" s="1895">
        <f>C17-C19</f>
        <v>1842.7891386666663</v>
      </c>
      <c r="D20" s="1895">
        <f>D17-D19</f>
        <v>1441.3413519999999</v>
      </c>
      <c r="E20" s="1895">
        <f>E17-E19</f>
        <v>-43.627576666666656</v>
      </c>
      <c r="F20" s="1896"/>
    </row>
    <row r="21" spans="1:6" ht="45" x14ac:dyDescent="0.25">
      <c r="A21" s="1893" t="s">
        <v>1545</v>
      </c>
      <c r="B21" s="1894" t="s">
        <v>1004</v>
      </c>
      <c r="C21" s="1895">
        <f>(C17+C20)/2</f>
        <v>1842.7891386666663</v>
      </c>
      <c r="D21" s="1895">
        <f>(D17+D20)/2</f>
        <v>1441.3413519999999</v>
      </c>
      <c r="E21" s="1895">
        <f>(E17+E20)/2</f>
        <v>11.003923333333347</v>
      </c>
      <c r="F21" s="1896"/>
    </row>
    <row r="22" spans="1:6" x14ac:dyDescent="0.25">
      <c r="A22" s="1893" t="s">
        <v>1008</v>
      </c>
      <c r="B22" s="1894" t="s">
        <v>44</v>
      </c>
      <c r="C22" s="1901">
        <v>2.2000000000000002</v>
      </c>
      <c r="D22" s="1901">
        <v>2.2000000000000002</v>
      </c>
      <c r="E22" s="1901">
        <v>2.2000000000000002</v>
      </c>
      <c r="F22" s="1896"/>
    </row>
    <row r="23" spans="1:6" ht="45" x14ac:dyDescent="0.25">
      <c r="A23" s="1902" t="s">
        <v>1546</v>
      </c>
      <c r="B23" s="1903" t="s">
        <v>1004</v>
      </c>
      <c r="C23" s="1904">
        <f>C21*C22/100</f>
        <v>40.541361050666659</v>
      </c>
      <c r="D23" s="1904">
        <f>D21*D22/100</f>
        <v>31.709509744000002</v>
      </c>
      <c r="E23" s="1904">
        <f>E21*E22/100</f>
        <v>0.24208631333333364</v>
      </c>
      <c r="F23" s="1905"/>
    </row>
    <row r="24" spans="1:6" ht="30" x14ac:dyDescent="0.25">
      <c r="A24" s="2124" t="s">
        <v>1698</v>
      </c>
      <c r="B24" s="2125" t="s">
        <v>1004</v>
      </c>
      <c r="C24" s="2126">
        <f>C23</f>
        <v>40.541361050666659</v>
      </c>
      <c r="D24" s="2126">
        <f>D23</f>
        <v>31.709509744000002</v>
      </c>
      <c r="E24" s="2126">
        <f>E23</f>
        <v>0.24208631333333364</v>
      </c>
      <c r="F24" s="2127"/>
    </row>
    <row r="25" spans="1:6" x14ac:dyDescent="0.25">
      <c r="A25" s="2128" t="s">
        <v>1471</v>
      </c>
      <c r="B25" s="2129"/>
      <c r="C25" s="2130">
        <v>0</v>
      </c>
      <c r="D25" s="2130">
        <v>0</v>
      </c>
      <c r="E25" s="2130">
        <v>0</v>
      </c>
      <c r="F25" s="2131"/>
    </row>
    <row r="26" spans="1:6" ht="45" x14ac:dyDescent="0.25">
      <c r="A26" s="2124" t="s">
        <v>1473</v>
      </c>
      <c r="B26" s="2125" t="s">
        <v>1004</v>
      </c>
      <c r="C26" s="2126">
        <f>Аморт!U42</f>
        <v>0</v>
      </c>
      <c r="D26" s="2126">
        <f>Аморт!U47</f>
        <v>0</v>
      </c>
      <c r="E26" s="2126">
        <f>'ОХР '!AO38</f>
        <v>67.540000000000006</v>
      </c>
      <c r="F26" s="2125" t="s">
        <v>386</v>
      </c>
    </row>
    <row r="27" spans="1:6" ht="30" x14ac:dyDescent="0.25">
      <c r="A27" s="2124" t="s">
        <v>1544</v>
      </c>
      <c r="B27" s="2125" t="s">
        <v>1004</v>
      </c>
      <c r="C27" s="2126">
        <f>C24-C26</f>
        <v>40.541361050666659</v>
      </c>
      <c r="D27" s="2126">
        <f>D24-D26</f>
        <v>31.709509744000002</v>
      </c>
      <c r="E27" s="2126">
        <f>E24-E26</f>
        <v>-67.297913686666675</v>
      </c>
      <c r="F27" s="2127"/>
    </row>
    <row r="28" spans="1:6" ht="45" hidden="1" x14ac:dyDescent="0.25">
      <c r="A28" s="2124" t="s">
        <v>1545</v>
      </c>
      <c r="B28" s="2125" t="s">
        <v>1004</v>
      </c>
      <c r="C28" s="2126">
        <f>(C24+C27)/2</f>
        <v>40.541361050666659</v>
      </c>
      <c r="D28" s="2126">
        <f>(D24+D27)/2</f>
        <v>31.709509744000002</v>
      </c>
      <c r="E28" s="2126">
        <f>(E24+E27)/2</f>
        <v>-33.527913686666672</v>
      </c>
      <c r="F28" s="2127"/>
    </row>
    <row r="29" spans="1:6" x14ac:dyDescent="0.25">
      <c r="A29" s="2124" t="s">
        <v>1008</v>
      </c>
      <c r="B29" s="2125" t="s">
        <v>44</v>
      </c>
      <c r="C29" s="2132">
        <v>2.2000000000000002</v>
      </c>
      <c r="D29" s="2132">
        <v>2.2000000000000002</v>
      </c>
      <c r="E29" s="2132">
        <v>2.2000000000000002</v>
      </c>
      <c r="F29" s="2127"/>
    </row>
    <row r="30" spans="1:6" ht="45" x14ac:dyDescent="0.25">
      <c r="A30" s="2133" t="s">
        <v>1546</v>
      </c>
      <c r="B30" s="2134" t="s">
        <v>1004</v>
      </c>
      <c r="C30" s="2135">
        <f>C28*C29/100</f>
        <v>0.89190994311466654</v>
      </c>
      <c r="D30" s="2135">
        <f>D28*D29/100</f>
        <v>0.69760921436800005</v>
      </c>
      <c r="E30" s="2135">
        <f>E28*E29/100</f>
        <v>-0.73761410110666692</v>
      </c>
      <c r="F30" s="213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3970"/>
      <c r="B1" s="3970" t="s">
        <v>627</v>
      </c>
      <c r="C1" s="3970" t="s">
        <v>50</v>
      </c>
      <c r="D1" s="3970"/>
      <c r="E1" s="3970" t="s">
        <v>627</v>
      </c>
      <c r="F1" s="3970" t="s">
        <v>50</v>
      </c>
      <c r="G1" s="3970"/>
    </row>
    <row r="2" spans="1:7" x14ac:dyDescent="0.2">
      <c r="A2" s="3970"/>
      <c r="B2" s="3970"/>
      <c r="C2" s="1981" t="s">
        <v>377</v>
      </c>
      <c r="D2" s="1981" t="s">
        <v>25</v>
      </c>
      <c r="E2" s="3970"/>
      <c r="F2" s="1981" t="s">
        <v>47</v>
      </c>
      <c r="G2" s="1981" t="s">
        <v>1567</v>
      </c>
    </row>
    <row r="3" spans="1:7" x14ac:dyDescent="0.2">
      <c r="A3" s="1972" t="s">
        <v>1556</v>
      </c>
      <c r="B3" s="1977">
        <f>C3+D3</f>
        <v>3791.3490000000002</v>
      </c>
      <c r="C3" s="1977">
        <f>объемы!AJ48</f>
        <v>3771</v>
      </c>
      <c r="D3" s="1977">
        <f>объемы!AK48</f>
        <v>20.349</v>
      </c>
      <c r="E3" s="1977">
        <f>F3+G3</f>
        <v>3295.75</v>
      </c>
      <c r="F3" s="1977">
        <f>объемы!AJ57</f>
        <v>3272.75</v>
      </c>
      <c r="G3" s="1977">
        <f>объемы!AK57</f>
        <v>23</v>
      </c>
    </row>
    <row r="4" spans="1:7" x14ac:dyDescent="0.2">
      <c r="A4" s="1972" t="s">
        <v>1557</v>
      </c>
      <c r="B4" s="1973">
        <f>B5+B8+B9+B10</f>
        <v>13129.563786669283</v>
      </c>
      <c r="C4" s="1974">
        <f t="shared" ref="C4:D4" si="0">C5+C8+C9+C10</f>
        <v>13108.636264262597</v>
      </c>
      <c r="D4" s="1974">
        <f t="shared" si="0"/>
        <v>20.927522406686286</v>
      </c>
      <c r="E4" s="1973">
        <f>E5+E8+E9+E10</f>
        <v>7913.837988761974</v>
      </c>
      <c r="F4" s="1974">
        <f t="shared" ref="F4" si="1">F5+F8+F9+F10</f>
        <v>7843.1079887619744</v>
      </c>
      <c r="G4" s="1974">
        <f t="shared" ref="G4" si="2">G5+G8+G9+G10</f>
        <v>70.73</v>
      </c>
    </row>
    <row r="5" spans="1:7" x14ac:dyDescent="0.2">
      <c r="A5" s="1972" t="s">
        <v>1</v>
      </c>
      <c r="B5" s="1977">
        <f>B6+B7</f>
        <v>8799.3615150740934</v>
      </c>
      <c r="C5" s="1977">
        <f t="shared" ref="C5:D5" si="3">C6+C7</f>
        <v>8778.4339926674074</v>
      </c>
      <c r="D5" s="1977">
        <f t="shared" si="3"/>
        <v>20.927522406686286</v>
      </c>
      <c r="E5" s="1977">
        <f>E6+E7</f>
        <v>7536.4295223608988</v>
      </c>
      <c r="F5" s="1977">
        <f t="shared" ref="F5" si="4">F6+F7</f>
        <v>7465.6995223608992</v>
      </c>
      <c r="G5" s="1977">
        <f t="shared" ref="G5" si="5">G6+G7</f>
        <v>70.73</v>
      </c>
    </row>
    <row r="6" spans="1:7" s="1987" customFormat="1" x14ac:dyDescent="0.2">
      <c r="A6" s="1984" t="s">
        <v>1568</v>
      </c>
      <c r="B6" s="1985">
        <f>'электр 2017-2018'!CB48</f>
        <v>3899.1371148001203</v>
      </c>
      <c r="C6" s="1988">
        <f>C3/B3*B6</f>
        <v>3878.2095923934339</v>
      </c>
      <c r="D6" s="1988">
        <f>D3/B3*B6</f>
        <v>20.927522406686286</v>
      </c>
      <c r="E6" s="1985">
        <f>'электр 2017-2018'!CB54</f>
        <v>5969.9047416749991</v>
      </c>
      <c r="F6" s="1988">
        <f>E6-G6</f>
        <v>5899.1747416749995</v>
      </c>
      <c r="G6" s="1988">
        <f>0.1+52.27+18.36</f>
        <v>70.73</v>
      </c>
    </row>
    <row r="7" spans="1:7" s="1987" customFormat="1" x14ac:dyDescent="0.2">
      <c r="A7" s="1984" t="s">
        <v>152</v>
      </c>
      <c r="B7" s="1985">
        <f>'электр 2017-2018'!CB50</f>
        <v>4900.2244002739726</v>
      </c>
      <c r="C7" s="1985">
        <f>B7</f>
        <v>4900.2244002739726</v>
      </c>
      <c r="D7" s="1986">
        <v>0</v>
      </c>
      <c r="E7" s="1985">
        <f>'электр 2017-2018'!CB52</f>
        <v>1566.5247806859002</v>
      </c>
      <c r="F7" s="1985">
        <f>E7</f>
        <v>1566.5247806859002</v>
      </c>
      <c r="G7" s="1986">
        <v>0</v>
      </c>
    </row>
    <row r="8" spans="1:7" x14ac:dyDescent="0.2">
      <c r="A8" s="1972" t="s">
        <v>1559</v>
      </c>
      <c r="B8" s="1978">
        <f>'ОХР '!AP21*1.07</f>
        <v>4.2335094424122302</v>
      </c>
      <c r="C8" s="1978">
        <f>B8</f>
        <v>4.2335094424122302</v>
      </c>
      <c r="D8" s="1978">
        <v>0</v>
      </c>
      <c r="E8" s="1978">
        <f>F8</f>
        <v>3.5045350965488771</v>
      </c>
      <c r="F8" s="1978">
        <f>'ОХР '!AQ21*1.07</f>
        <v>3.5045350965488771</v>
      </c>
      <c r="G8" s="1978">
        <v>0</v>
      </c>
    </row>
    <row r="9" spans="1:7" x14ac:dyDescent="0.2">
      <c r="A9" s="1972" t="s">
        <v>1558</v>
      </c>
      <c r="B9" s="1978">
        <f>'цех вода'!AG18*1.04</f>
        <v>4264.8320000000003</v>
      </c>
      <c r="C9" s="1979">
        <f t="shared" ref="C9:C10" si="6">B9</f>
        <v>4264.8320000000003</v>
      </c>
      <c r="D9" s="1978">
        <v>0</v>
      </c>
      <c r="E9" s="1978">
        <f>F9</f>
        <v>323.29440000000011</v>
      </c>
      <c r="F9" s="1979">
        <f>'цех стоки'!AH19*1.04</f>
        <v>323.29440000000011</v>
      </c>
      <c r="G9" s="1978">
        <v>0</v>
      </c>
    </row>
    <row r="10" spans="1:7" x14ac:dyDescent="0.2">
      <c r="A10" s="1972" t="s">
        <v>1560</v>
      </c>
      <c r="B10" s="1978">
        <f>'ОХР '!AP17*1.039</f>
        <v>61.136762152777663</v>
      </c>
      <c r="C10" s="1979">
        <f t="shared" si="6"/>
        <v>61.136762152777663</v>
      </c>
      <c r="D10" s="1978">
        <v>0</v>
      </c>
      <c r="E10" s="1978">
        <f>F10</f>
        <v>50.60953130452652</v>
      </c>
      <c r="F10" s="1978">
        <f>'ОХР '!AQ17*1.039</f>
        <v>50.60953130452652</v>
      </c>
      <c r="G10" s="1978">
        <v>0</v>
      </c>
    </row>
    <row r="11" spans="1:7" x14ac:dyDescent="0.2">
      <c r="A11" s="1972" t="s">
        <v>1555</v>
      </c>
      <c r="B11" s="1973">
        <f>SUM(B12:B18)</f>
        <v>4264.2798115578244</v>
      </c>
      <c r="C11" s="1973">
        <f t="shared" ref="C11:D11" si="7">SUM(C12:C18)</f>
        <v>4245.553003557824</v>
      </c>
      <c r="D11" s="1973">
        <f t="shared" si="7"/>
        <v>18.726808000000002</v>
      </c>
      <c r="E11" s="1973">
        <f>SUM(E12:E18)</f>
        <v>2549.7094361002423</v>
      </c>
      <c r="F11" s="1973">
        <f t="shared" ref="F11" si="8">SUM(F12:F18)</f>
        <v>2539.2394361002421</v>
      </c>
      <c r="G11" s="1973">
        <f t="shared" ref="G11" si="9">SUM(G12:G18)</f>
        <v>10.47</v>
      </c>
    </row>
    <row r="12" spans="1:7" s="401" customFormat="1" x14ac:dyDescent="0.2">
      <c r="A12" s="1805" t="s">
        <v>1561</v>
      </c>
      <c r="B12" s="1969">
        <f>C12</f>
        <v>28.83214873684431</v>
      </c>
      <c r="C12" s="1969">
        <f>'вода 2018 коррект'!K15</f>
        <v>28.83214873684431</v>
      </c>
      <c r="D12" s="1992">
        <v>0</v>
      </c>
      <c r="E12" s="1969">
        <f>F12+G12</f>
        <v>338.21463610024222</v>
      </c>
      <c r="F12" s="1969">
        <f>'стоки 2018'!K15</f>
        <v>338.21463610024222</v>
      </c>
      <c r="G12" s="1992">
        <v>0</v>
      </c>
    </row>
    <row r="13" spans="1:7" ht="25.5" x14ac:dyDescent="0.2">
      <c r="A13" s="1803" t="s">
        <v>1562</v>
      </c>
      <c r="B13" s="1969">
        <f>C13+D13</f>
        <v>3621.8942228209798</v>
      </c>
      <c r="C13" s="1969">
        <f>'2017 к'!E12</f>
        <v>3603.16741482098</v>
      </c>
      <c r="D13" s="1969">
        <f>'2017 к'!E21</f>
        <v>18.726808000000002</v>
      </c>
      <c r="E13" s="1969">
        <f t="shared" ref="E13:E18" si="10">F13+G13</f>
        <v>1794.04</v>
      </c>
      <c r="F13" s="1969">
        <f>'2017 к'!E30</f>
        <v>1783.57</v>
      </c>
      <c r="G13" s="1969">
        <f>'2017 к'!E39</f>
        <v>10.47</v>
      </c>
    </row>
    <row r="14" spans="1:7" ht="25.5" x14ac:dyDescent="0.2">
      <c r="A14" s="1803" t="s">
        <v>1563</v>
      </c>
      <c r="B14" s="1969">
        <f>C14+D14</f>
        <v>216.27343999999999</v>
      </c>
      <c r="C14" s="1969">
        <f>'вода 2018 коррект'!K17</f>
        <v>216.27343999999999</v>
      </c>
      <c r="D14" s="1992">
        <v>0</v>
      </c>
      <c r="E14" s="1969">
        <f t="shared" si="10"/>
        <v>152.0548</v>
      </c>
      <c r="F14" s="1992">
        <f>'стоки 2018'!K17</f>
        <v>152.0548</v>
      </c>
      <c r="G14" s="1969">
        <f>'2017 к'!H22</f>
        <v>0</v>
      </c>
    </row>
    <row r="15" spans="1:7" ht="25.5" x14ac:dyDescent="0.2">
      <c r="A15" s="1803" t="s">
        <v>1564</v>
      </c>
      <c r="B15" s="1969">
        <f t="shared" ref="B15:B18" si="11">C15+D15</f>
        <v>397.28</v>
      </c>
      <c r="C15" s="1969">
        <f>'вода 2018 коррект'!K18</f>
        <v>397.28</v>
      </c>
      <c r="D15" s="1992">
        <v>0</v>
      </c>
      <c r="E15" s="1969">
        <f t="shared" si="10"/>
        <v>265.39999999999998</v>
      </c>
      <c r="F15" s="1969">
        <f>'стоки 2018'!K18</f>
        <v>265.39999999999998</v>
      </c>
      <c r="G15" s="1969">
        <f>'2017 к'!H23</f>
        <v>0</v>
      </c>
    </row>
    <row r="16" spans="1:7" ht="21.75" customHeight="1" x14ac:dyDescent="0.2">
      <c r="A16" s="1803" t="s">
        <v>933</v>
      </c>
      <c r="B16" s="1969">
        <f t="shared" si="11"/>
        <v>0</v>
      </c>
      <c r="C16" s="1992">
        <v>0</v>
      </c>
      <c r="D16" s="1992">
        <v>0</v>
      </c>
      <c r="E16" s="1969">
        <f t="shared" si="10"/>
        <v>0</v>
      </c>
      <c r="F16" s="1992">
        <v>0</v>
      </c>
      <c r="G16" s="1969">
        <f>'2017 к'!H24</f>
        <v>0</v>
      </c>
    </row>
    <row r="17" spans="1:7" ht="25.5" x14ac:dyDescent="0.2">
      <c r="A17" s="1803" t="s">
        <v>935</v>
      </c>
      <c r="B17" s="1969">
        <f t="shared" si="11"/>
        <v>0</v>
      </c>
      <c r="C17" s="1992">
        <v>0</v>
      </c>
      <c r="D17" s="1992">
        <v>0</v>
      </c>
      <c r="E17" s="1969">
        <f t="shared" si="10"/>
        <v>0</v>
      </c>
      <c r="F17" s="1992">
        <v>0</v>
      </c>
      <c r="G17" s="1992">
        <v>0</v>
      </c>
    </row>
    <row r="18" spans="1:7" x14ac:dyDescent="0.2">
      <c r="A18" s="1803" t="s">
        <v>1565</v>
      </c>
      <c r="B18" s="1969">
        <f t="shared" si="11"/>
        <v>0</v>
      </c>
      <c r="C18" s="1992">
        <v>0</v>
      </c>
      <c r="D18" s="1992">
        <v>0</v>
      </c>
      <c r="E18" s="1969">
        <f t="shared" si="10"/>
        <v>0</v>
      </c>
      <c r="F18" s="1992">
        <v>0</v>
      </c>
      <c r="G18" s="1992">
        <v>0</v>
      </c>
    </row>
    <row r="19" spans="1:7" x14ac:dyDescent="0.2">
      <c r="A19" s="1972" t="s">
        <v>2</v>
      </c>
      <c r="B19" s="1969">
        <f>SUM(B20:B23)</f>
        <v>8296.68</v>
      </c>
      <c r="C19" s="1969">
        <f t="shared" ref="C19:D19" si="12">SUM(C20:C23)</f>
        <v>8277.2407919081052</v>
      </c>
      <c r="D19" s="1969">
        <f t="shared" si="12"/>
        <v>19.439208091895523</v>
      </c>
      <c r="E19" s="1969">
        <f>SUM(E20:E23)</f>
        <v>5183.68</v>
      </c>
      <c r="F19" s="1969">
        <f t="shared" ref="F19" si="13">SUM(F20:F23)</f>
        <v>5175.5923841310778</v>
      </c>
      <c r="G19" s="1969">
        <f t="shared" ref="G19" si="14">SUM(G20:G23)</f>
        <v>5.12</v>
      </c>
    </row>
    <row r="20" spans="1:7" s="1932" customFormat="1" x14ac:dyDescent="0.2">
      <c r="A20" s="1989" t="s">
        <v>1569</v>
      </c>
      <c r="B20" s="1990">
        <f>Аморт!AA21</f>
        <v>3621.84</v>
      </c>
      <c r="C20" s="1991">
        <f>C3/B3*B20</f>
        <v>3602.4007919081046</v>
      </c>
      <c r="D20" s="1991">
        <f>D3/B3*B20</f>
        <v>19.439208091895523</v>
      </c>
      <c r="E20" s="1990">
        <f>Аморт!AA28</f>
        <v>425.24</v>
      </c>
      <c r="F20" s="1991">
        <f>F3/E3*E20</f>
        <v>422.2723841310779</v>
      </c>
      <c r="G20" s="1991">
        <v>0</v>
      </c>
    </row>
    <row r="21" spans="1:7" s="1932" customFormat="1" x14ac:dyDescent="0.2">
      <c r="A21" s="1989" t="s">
        <v>1570</v>
      </c>
      <c r="B21" s="1990">
        <f>Аморт!AA22</f>
        <v>1561.17</v>
      </c>
      <c r="C21" s="1982">
        <f>B21</f>
        <v>1561.17</v>
      </c>
      <c r="D21" s="1983"/>
      <c r="E21" s="1990">
        <f>Аморт!AA29</f>
        <v>717.01</v>
      </c>
      <c r="F21" s="1982">
        <f>E21-G21</f>
        <v>711.89</v>
      </c>
      <c r="G21" s="1991">
        <v>5.12</v>
      </c>
    </row>
    <row r="22" spans="1:7" s="1932" customFormat="1" x14ac:dyDescent="0.2">
      <c r="A22" s="1989" t="s">
        <v>1571</v>
      </c>
      <c r="B22" s="1990">
        <f>Аморт!AA23</f>
        <v>53.89</v>
      </c>
      <c r="C22" s="1982">
        <f t="shared" ref="C22:C23" si="15">B22</f>
        <v>53.89</v>
      </c>
      <c r="D22" s="1983"/>
      <c r="E22" s="1990">
        <f>Аморт!AA30</f>
        <v>25.5</v>
      </c>
      <c r="F22" s="1982">
        <f t="shared" ref="F22:F23" si="16">E22</f>
        <v>25.5</v>
      </c>
      <c r="G22" s="1983"/>
    </row>
    <row r="23" spans="1:7" s="1932" customFormat="1" x14ac:dyDescent="0.2">
      <c r="A23" s="1989" t="s">
        <v>89</v>
      </c>
      <c r="B23" s="1990">
        <f>Аморт!AA24</f>
        <v>3059.78</v>
      </c>
      <c r="C23" s="1982">
        <f t="shared" si="15"/>
        <v>3059.78</v>
      </c>
      <c r="D23" s="1983"/>
      <c r="E23" s="1990">
        <f>Аморт!AA31</f>
        <v>4015.93</v>
      </c>
      <c r="F23" s="1982">
        <f t="shared" si="16"/>
        <v>4015.93</v>
      </c>
      <c r="G23" s="1983"/>
    </row>
    <row r="24" spans="1:7" x14ac:dyDescent="0.2">
      <c r="A24" s="1972" t="s">
        <v>941</v>
      </c>
      <c r="B24" s="1795"/>
      <c r="C24" s="1975"/>
      <c r="D24" s="1975"/>
      <c r="E24" s="1795"/>
      <c r="F24" s="1975"/>
      <c r="G24" s="1975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3958" t="s">
        <v>1509</v>
      </c>
      <c r="M2" s="3958"/>
    </row>
    <row r="3" spans="1:13" x14ac:dyDescent="0.2">
      <c r="A3" s="3940" t="s">
        <v>1812</v>
      </c>
      <c r="B3" s="3940"/>
      <c r="C3" s="3940"/>
      <c r="D3" s="3940"/>
      <c r="E3" s="3940"/>
      <c r="F3" s="3940"/>
      <c r="G3" s="3940"/>
      <c r="H3" s="3940"/>
      <c r="I3" s="3940"/>
      <c r="J3" s="3940"/>
      <c r="K3" s="3940"/>
      <c r="L3" s="3940"/>
      <c r="M3" s="3940"/>
    </row>
    <row r="5" spans="1:13" ht="13.5" thickBot="1" x14ac:dyDescent="0.25"/>
    <row r="6" spans="1:13" ht="13.5" thickBot="1" x14ac:dyDescent="0.25">
      <c r="A6" s="4666"/>
      <c r="B6" s="4662" t="s">
        <v>1720</v>
      </c>
      <c r="C6" s="4663"/>
      <c r="D6" s="4663"/>
      <c r="E6" s="4664"/>
      <c r="F6" s="4664"/>
      <c r="G6" s="4665"/>
      <c r="H6" s="4662" t="s">
        <v>1766</v>
      </c>
      <c r="I6" s="4663"/>
      <c r="J6" s="4663"/>
      <c r="K6" s="4664"/>
      <c r="L6" s="4664"/>
      <c r="M6" s="4665"/>
    </row>
    <row r="7" spans="1:13" x14ac:dyDescent="0.2">
      <c r="A7" s="4667"/>
      <c r="B7" s="4669" t="s">
        <v>627</v>
      </c>
      <c r="C7" s="4664" t="s">
        <v>50</v>
      </c>
      <c r="D7" s="4665"/>
      <c r="E7" s="4276" t="s">
        <v>627</v>
      </c>
      <c r="F7" s="3970" t="s">
        <v>50</v>
      </c>
      <c r="G7" s="4671"/>
      <c r="H7" s="4669" t="s">
        <v>627</v>
      </c>
      <c r="I7" s="4664" t="s">
        <v>50</v>
      </c>
      <c r="J7" s="4665"/>
      <c r="K7" s="4276" t="s">
        <v>627</v>
      </c>
      <c r="L7" s="3970" t="s">
        <v>50</v>
      </c>
      <c r="M7" s="4671"/>
    </row>
    <row r="8" spans="1:13" x14ac:dyDescent="0.2">
      <c r="A8" s="4668"/>
      <c r="B8" s="4670"/>
      <c r="C8" s="2142" t="s">
        <v>377</v>
      </c>
      <c r="D8" s="2292" t="s">
        <v>25</v>
      </c>
      <c r="E8" s="4276"/>
      <c r="F8" s="2142" t="s">
        <v>47</v>
      </c>
      <c r="G8" s="2292" t="s">
        <v>1567</v>
      </c>
      <c r="H8" s="4670"/>
      <c r="I8" s="2142" t="s">
        <v>377</v>
      </c>
      <c r="J8" s="2292" t="s">
        <v>25</v>
      </c>
      <c r="K8" s="4276"/>
      <c r="L8" s="2142" t="s">
        <v>47</v>
      </c>
      <c r="M8" s="2292" t="s">
        <v>1567</v>
      </c>
    </row>
    <row r="9" spans="1:13" x14ac:dyDescent="0.2">
      <c r="A9" s="2283" t="s">
        <v>1556</v>
      </c>
      <c r="B9" s="2293">
        <f>C9+D9</f>
        <v>5629.6590286425908</v>
      </c>
      <c r="C9" s="1977">
        <f>объемы!Y38</f>
        <v>5627.2590286425911</v>
      </c>
      <c r="D9" s="2084">
        <f>объемы!Z38</f>
        <v>2.4</v>
      </c>
      <c r="E9" s="2287">
        <f>F9+G9</f>
        <v>3248.93</v>
      </c>
      <c r="F9" s="1977">
        <f>объемы!AR58</f>
        <v>3230</v>
      </c>
      <c r="G9" s="2084">
        <f>объемы!AS58</f>
        <v>18.93</v>
      </c>
      <c r="H9" s="2293">
        <f>I9+J9</f>
        <v>3621.42</v>
      </c>
      <c r="I9" s="1977">
        <f>объемы!AR48</f>
        <v>3600</v>
      </c>
      <c r="J9" s="2084">
        <f>объемы!AS48</f>
        <v>21.42</v>
      </c>
      <c r="K9" s="2287">
        <f>L9+M9</f>
        <v>3248.93</v>
      </c>
      <c r="L9" s="1977">
        <f>объемы!AR58</f>
        <v>3230</v>
      </c>
      <c r="M9" s="2084">
        <f>объемы!AS58</f>
        <v>18.93</v>
      </c>
    </row>
    <row r="10" spans="1:13" x14ac:dyDescent="0.2">
      <c r="A10" s="2283" t="s">
        <v>1557</v>
      </c>
      <c r="B10" s="2294">
        <f>B11+B14+B15+B16</f>
        <v>11950.430073618927</v>
      </c>
      <c r="C10" s="1974">
        <f t="shared" ref="C10:D10" si="0">C11+C14+C15+C16</f>
        <v>11949.702441618929</v>
      </c>
      <c r="D10" s="2295">
        <f t="shared" si="0"/>
        <v>0.72763199999999995</v>
      </c>
      <c r="E10" s="2288">
        <f>E11+E14+E15+E16</f>
        <v>7508.2407578000011</v>
      </c>
      <c r="F10" s="1974">
        <f t="shared" ref="F10:G10" si="1">F11+F14+F15+F16</f>
        <v>7470.4365935489632</v>
      </c>
      <c r="G10" s="2295">
        <f t="shared" si="1"/>
        <v>37.804164251037726</v>
      </c>
      <c r="H10" s="2294">
        <f>H11+H14+H15+H16</f>
        <v>13566.72709749547</v>
      </c>
      <c r="I10" s="1974">
        <f t="shared" ref="I10:J10" si="2">I11+I14+I15+I16</f>
        <v>13543.132730850208</v>
      </c>
      <c r="J10" s="2295">
        <f t="shared" si="2"/>
        <v>23.594366645261381</v>
      </c>
      <c r="K10" s="2288">
        <f>K11+K14+K15+K16</f>
        <v>8295.3412867632178</v>
      </c>
      <c r="L10" s="1974">
        <f t="shared" ref="L10:M10" si="3">L11+L14+L15+L16</f>
        <v>8258.6513019242266</v>
      </c>
      <c r="M10" s="2295">
        <f t="shared" si="3"/>
        <v>36.689984838989993</v>
      </c>
    </row>
    <row r="11" spans="1:13" x14ac:dyDescent="0.2">
      <c r="A11" s="2283" t="s">
        <v>1</v>
      </c>
      <c r="B11" s="2293">
        <f>B12+B13</f>
        <v>7751.1700736189287</v>
      </c>
      <c r="C11" s="1977">
        <f t="shared" ref="C11:D11" si="4">C12+C13</f>
        <v>7750.4424416189286</v>
      </c>
      <c r="D11" s="2084">
        <f t="shared" si="4"/>
        <v>0.72763199999999995</v>
      </c>
      <c r="E11" s="2287">
        <f>E12+E13</f>
        <v>7124.7607578000006</v>
      </c>
      <c r="F11" s="1977">
        <f t="shared" ref="F11:G11" si="5">F12+F13</f>
        <v>7086.9565935489627</v>
      </c>
      <c r="G11" s="2084">
        <f t="shared" si="5"/>
        <v>37.804164251037726</v>
      </c>
      <c r="H11" s="2293">
        <f>H12+H13</f>
        <v>9024.2965608554696</v>
      </c>
      <c r="I11" s="1977">
        <f t="shared" ref="I11:J11" si="6">I12+I13</f>
        <v>9000.7021942102074</v>
      </c>
      <c r="J11" s="2084">
        <f t="shared" si="6"/>
        <v>23.594366645261381</v>
      </c>
      <c r="K11" s="2287">
        <f>K12+K13</f>
        <v>7949.4212867632177</v>
      </c>
      <c r="L11" s="1977">
        <f t="shared" ref="L11:M11" si="7">L12+L13</f>
        <v>7912.7313019242274</v>
      </c>
      <c r="M11" s="2084">
        <f t="shared" si="7"/>
        <v>36.689984838989993</v>
      </c>
    </row>
    <row r="12" spans="1:13" s="1987" customFormat="1" x14ac:dyDescent="0.2">
      <c r="A12" s="2284" t="s">
        <v>1568</v>
      </c>
      <c r="B12" s="2296">
        <f>'электр 2017-2018'!BM48</f>
        <v>1706.8000243038607</v>
      </c>
      <c r="C12" s="1988">
        <f>B12-D12</f>
        <v>1706.0723923038606</v>
      </c>
      <c r="D12" s="2297">
        <f>D9/B9*B12</f>
        <v>0.72763199999999995</v>
      </c>
      <c r="E12" s="2289">
        <f>'электр 2017-2018'!BM54</f>
        <v>6488.2769868000005</v>
      </c>
      <c r="F12" s="1988">
        <f>E12-G12</f>
        <v>6450.4728225489625</v>
      </c>
      <c r="G12" s="2297">
        <f>G9/E9*E12</f>
        <v>37.804164251037726</v>
      </c>
      <c r="H12" s="2296">
        <f>'электр 2017-2018'!CS48</f>
        <v>3989.0341389580985</v>
      </c>
      <c r="I12" s="1988">
        <f>H12-J12</f>
        <v>3965.4397723128372</v>
      </c>
      <c r="J12" s="2297">
        <f>J9/H9*H12</f>
        <v>23.594366645261381</v>
      </c>
      <c r="K12" s="2289">
        <f>'электр 2017-2018'!CS54</f>
        <v>6297.0518987289888</v>
      </c>
      <c r="L12" s="1988">
        <f>K12-M12</f>
        <v>6260.3619138899985</v>
      </c>
      <c r="M12" s="2297">
        <f>M9/K9*K12</f>
        <v>36.689984838989993</v>
      </c>
    </row>
    <row r="13" spans="1:13" s="1987" customFormat="1" x14ac:dyDescent="0.2">
      <c r="A13" s="2284" t="s">
        <v>152</v>
      </c>
      <c r="B13" s="2296">
        <f>'электр 2017-2018'!BM50</f>
        <v>6044.3700493150682</v>
      </c>
      <c r="C13" s="1985">
        <f>B13</f>
        <v>6044.3700493150682</v>
      </c>
      <c r="D13" s="2298"/>
      <c r="E13" s="2289">
        <f>'электр 2017-2018'!BM52</f>
        <v>636.48377100000005</v>
      </c>
      <c r="F13" s="1985">
        <f>E13</f>
        <v>636.48377100000005</v>
      </c>
      <c r="G13" s="2298">
        <v>0</v>
      </c>
      <c r="H13" s="2296">
        <f>'электр 2017-2018'!CS50</f>
        <v>5035.2624218973706</v>
      </c>
      <c r="I13" s="1985">
        <f>H13</f>
        <v>5035.2624218973706</v>
      </c>
      <c r="J13" s="2298"/>
      <c r="K13" s="2289">
        <f>'электр 2017-2018'!CS52</f>
        <v>1652.3693880342289</v>
      </c>
      <c r="L13" s="1985">
        <f>K13</f>
        <v>1652.3693880342289</v>
      </c>
      <c r="M13" s="2298">
        <v>0</v>
      </c>
    </row>
    <row r="14" spans="1:13" x14ac:dyDescent="0.2">
      <c r="A14" s="2283" t="s">
        <v>1559</v>
      </c>
      <c r="B14" s="2299">
        <v>23.57</v>
      </c>
      <c r="C14" s="1978">
        <f>B14</f>
        <v>23.57</v>
      </c>
      <c r="D14" s="2300">
        <v>0</v>
      </c>
      <c r="E14" s="2290">
        <v>16.38</v>
      </c>
      <c r="F14" s="1978">
        <f>E14</f>
        <v>16.38</v>
      </c>
      <c r="G14" s="2300">
        <v>0</v>
      </c>
      <c r="H14" s="2299">
        <f>B14*1.058*1.053</f>
        <v>26.258724180000002</v>
      </c>
      <c r="I14" s="1978">
        <f>H14</f>
        <v>26.258724180000002</v>
      </c>
      <c r="J14" s="2300">
        <v>0</v>
      </c>
      <c r="K14" s="2290">
        <f>L14</f>
        <v>0</v>
      </c>
      <c r="L14" s="1978">
        <f>'ОХР '!BI21*1.07*1.043</f>
        <v>0</v>
      </c>
      <c r="M14" s="2300">
        <v>0</v>
      </c>
    </row>
    <row r="15" spans="1:13" x14ac:dyDescent="0.2">
      <c r="A15" s="2283" t="s">
        <v>1558</v>
      </c>
      <c r="B15" s="2299">
        <v>4114.47</v>
      </c>
      <c r="C15" s="1979">
        <f t="shared" ref="C15:C16" si="8">B15</f>
        <v>4114.47</v>
      </c>
      <c r="D15" s="2300">
        <v>0</v>
      </c>
      <c r="E15" s="2290">
        <v>324.56</v>
      </c>
      <c r="F15" s="1979">
        <f>E15</f>
        <v>324.56</v>
      </c>
      <c r="G15" s="2300">
        <v>0</v>
      </c>
      <c r="H15" s="2299">
        <f>B15*1.04*1.04</f>
        <v>4450.2107520000009</v>
      </c>
      <c r="I15" s="1979">
        <f t="shared" ref="I15:I16" si="9">H15</f>
        <v>4450.2107520000009</v>
      </c>
      <c r="J15" s="2300">
        <v>0</v>
      </c>
      <c r="K15" s="2290">
        <v>345.92</v>
      </c>
      <c r="L15" s="1979">
        <f>K15</f>
        <v>345.92</v>
      </c>
      <c r="M15" s="2300">
        <v>0</v>
      </c>
    </row>
    <row r="16" spans="1:13" x14ac:dyDescent="0.2">
      <c r="A16" s="2283" t="s">
        <v>1560</v>
      </c>
      <c r="B16" s="2299">
        <v>61.22</v>
      </c>
      <c r="C16" s="1979">
        <f t="shared" si="8"/>
        <v>61.22</v>
      </c>
      <c r="D16" s="2300">
        <v>0</v>
      </c>
      <c r="E16" s="2290">
        <f>F16+G16</f>
        <v>42.54</v>
      </c>
      <c r="F16" s="1978">
        <v>42.54</v>
      </c>
      <c r="G16" s="2300">
        <v>0</v>
      </c>
      <c r="H16" s="2299">
        <f>B16*1.039*1.037</f>
        <v>65.961060459999985</v>
      </c>
      <c r="I16" s="1979">
        <f t="shared" si="9"/>
        <v>65.961060459999985</v>
      </c>
      <c r="J16" s="2300">
        <v>0</v>
      </c>
      <c r="K16" s="2290">
        <f>L16</f>
        <v>0</v>
      </c>
      <c r="L16" s="1978">
        <f>'ОХР '!BI17*1.039*1.022</f>
        <v>0</v>
      </c>
      <c r="M16" s="2300">
        <v>0</v>
      </c>
    </row>
    <row r="17" spans="1:13" x14ac:dyDescent="0.2">
      <c r="A17" s="2283" t="s">
        <v>1555</v>
      </c>
      <c r="B17" s="2294">
        <f>SUM(B18:B24)</f>
        <v>3421.4939031133254</v>
      </c>
      <c r="C17" s="1973">
        <f t="shared" ref="C17:D17" si="10">SUM(C18:C24)</f>
        <v>3419.2755031133252</v>
      </c>
      <c r="D17" s="2301">
        <f t="shared" si="10"/>
        <v>2.2184000000000004</v>
      </c>
      <c r="E17" s="2288">
        <f>SUM(E18:E24)</f>
        <v>1678.9323699999998</v>
      </c>
      <c r="F17" s="1973">
        <f t="shared" ref="F17:G17" si="11">SUM(F18:F24)</f>
        <v>1669.0833768167786</v>
      </c>
      <c r="G17" s="2301">
        <f t="shared" si="11"/>
        <v>9.8489931832212463</v>
      </c>
      <c r="H17" s="2294">
        <f>SUM(H18:H24)</f>
        <v>4224.4452122231905</v>
      </c>
      <c r="I17" s="1973">
        <f t="shared" ref="I17:J17" si="12">SUM(I18:I24)</f>
        <v>4203.5540822231906</v>
      </c>
      <c r="J17" s="2301">
        <f t="shared" si="12"/>
        <v>20.89113</v>
      </c>
      <c r="K17" s="2288">
        <f>SUM(K18:K24)</f>
        <v>2477.9815239727345</v>
      </c>
      <c r="L17" s="1973">
        <f t="shared" ref="L17:M17" si="13">SUM(L18:L24)</f>
        <v>2467.2816316748658</v>
      </c>
      <c r="M17" s="2301">
        <f t="shared" si="13"/>
        <v>10.699892297868619</v>
      </c>
    </row>
    <row r="18" spans="1:13" s="2115" customFormat="1" ht="53.25" customHeight="1" x14ac:dyDescent="0.2">
      <c r="A18" s="2420" t="s">
        <v>1809</v>
      </c>
      <c r="B18" s="2302">
        <f>C18</f>
        <v>0</v>
      </c>
      <c r="C18" s="1969">
        <v>0</v>
      </c>
      <c r="D18" s="2303">
        <v>0</v>
      </c>
      <c r="E18" s="2291">
        <f>F18+G18</f>
        <v>61.43</v>
      </c>
      <c r="F18" s="1969">
        <v>61.43</v>
      </c>
      <c r="G18" s="2303">
        <v>0</v>
      </c>
      <c r="H18" s="2302">
        <f>'[28]корректировка 2018'!$I$9</f>
        <v>47.513196494407865</v>
      </c>
      <c r="I18" s="1969">
        <f>H18</f>
        <v>47.513196494407865</v>
      </c>
      <c r="J18" s="2303">
        <v>0</v>
      </c>
      <c r="K18" s="2291">
        <f>L18+M18</f>
        <v>438.50863012644095</v>
      </c>
      <c r="L18" s="1969">
        <f>'[29]корректировка 2017'!$I$9</f>
        <v>438.50863012644095</v>
      </c>
      <c r="M18" s="2303">
        <v>0</v>
      </c>
    </row>
    <row r="19" spans="1:13" ht="36.75" customHeight="1" x14ac:dyDescent="0.2">
      <c r="A19" s="2285" t="s">
        <v>1562</v>
      </c>
      <c r="B19" s="2302">
        <f>C19+D19</f>
        <v>3293.3339031133255</v>
      </c>
      <c r="C19" s="1969">
        <f>'2018 к'!E12</f>
        <v>3291.1155031133253</v>
      </c>
      <c r="D19" s="2304">
        <f>'2018 к'!E21</f>
        <v>2.2184000000000004</v>
      </c>
      <c r="E19" s="2291">
        <f t="shared" ref="E19:E24" si="14">F19+G19</f>
        <v>1459.7023699999997</v>
      </c>
      <c r="F19" s="1969">
        <f>'2018 к'!E30</f>
        <v>1449.8533768167786</v>
      </c>
      <c r="G19" s="2304">
        <f>'2018 к'!E39</f>
        <v>9.8489931832212463</v>
      </c>
      <c r="H19" s="2302">
        <f>I19+J19</f>
        <v>3523.8224121041176</v>
      </c>
      <c r="I19" s="1969">
        <f>'2018 к'!G12</f>
        <v>3502.9312821041176</v>
      </c>
      <c r="J19" s="2304">
        <f>'2018 к'!G21</f>
        <v>20.89113</v>
      </c>
      <c r="K19" s="2291">
        <f t="shared" ref="K19:K24" si="15">L19+M19</f>
        <v>1513.464332389854</v>
      </c>
      <c r="L19" s="1969">
        <f>'2018 к'!G30</f>
        <v>1502.7644400919853</v>
      </c>
      <c r="M19" s="2304">
        <f>'2018 к'!G39</f>
        <v>10.699892297868619</v>
      </c>
    </row>
    <row r="20" spans="1:13" ht="28.5" customHeight="1" x14ac:dyDescent="0.2">
      <c r="A20" s="2285" t="s">
        <v>1563</v>
      </c>
      <c r="B20" s="2302">
        <f>C20+D20</f>
        <v>128.16</v>
      </c>
      <c r="C20" s="1969">
        <v>128.16</v>
      </c>
      <c r="D20" s="2303">
        <v>0</v>
      </c>
      <c r="E20" s="2291">
        <f t="shared" si="14"/>
        <v>157.80000000000001</v>
      </c>
      <c r="F20" s="1992">
        <v>157.80000000000001</v>
      </c>
      <c r="G20" s="2304">
        <f>'2017 к'!H22</f>
        <v>0</v>
      </c>
      <c r="H20" s="2302">
        <f>I20+J20</f>
        <v>216.27</v>
      </c>
      <c r="I20" s="1969">
        <v>216.27</v>
      </c>
      <c r="J20" s="2303">
        <v>0</v>
      </c>
      <c r="K20" s="2291">
        <f t="shared" si="15"/>
        <v>152.0548</v>
      </c>
      <c r="L20" s="1992">
        <f>'стоки 2018'!Q17</f>
        <v>152.0548</v>
      </c>
      <c r="M20" s="2304">
        <f>'2017 к'!N22</f>
        <v>0</v>
      </c>
    </row>
    <row r="21" spans="1:13" ht="24.75" customHeight="1" x14ac:dyDescent="0.2">
      <c r="A21" s="2285" t="s">
        <v>1564</v>
      </c>
      <c r="B21" s="2302">
        <f t="shared" ref="B21:B24" si="16">C21+D21</f>
        <v>0</v>
      </c>
      <c r="C21" s="1969">
        <v>0</v>
      </c>
      <c r="D21" s="2303">
        <v>0</v>
      </c>
      <c r="E21" s="2291">
        <f t="shared" si="14"/>
        <v>0</v>
      </c>
      <c r="F21" s="1969">
        <v>0</v>
      </c>
      <c r="G21" s="2304">
        <f>'2017 к'!H23</f>
        <v>0</v>
      </c>
      <c r="H21" s="2302">
        <f t="shared" ref="H21:H24" si="17">I21+J21</f>
        <v>436.83960362466541</v>
      </c>
      <c r="I21" s="1969">
        <f>'рез к 2017'!G38</f>
        <v>436.83960362466541</v>
      </c>
      <c r="J21" s="2303">
        <v>0</v>
      </c>
      <c r="K21" s="2291">
        <f t="shared" si="15"/>
        <v>373.95376145643951</v>
      </c>
      <c r="L21" s="1969">
        <f>'Резерв ДЗ'!G34</f>
        <v>373.95376145643951</v>
      </c>
      <c r="M21" s="2304">
        <f>'2017 к'!N23</f>
        <v>0</v>
      </c>
    </row>
    <row r="22" spans="1:13" ht="24.75" customHeight="1" x14ac:dyDescent="0.2">
      <c r="A22" s="2285" t="s">
        <v>933</v>
      </c>
      <c r="B22" s="2302">
        <f t="shared" si="16"/>
        <v>0</v>
      </c>
      <c r="C22" s="1992">
        <v>0</v>
      </c>
      <c r="D22" s="2303">
        <v>0</v>
      </c>
      <c r="E22" s="2291">
        <f t="shared" si="14"/>
        <v>0</v>
      </c>
      <c r="F22" s="1992">
        <v>0</v>
      </c>
      <c r="G22" s="2304">
        <f>'2017 к'!H24</f>
        <v>0</v>
      </c>
      <c r="H22" s="2302">
        <f t="shared" si="17"/>
        <v>0</v>
      </c>
      <c r="I22" s="1992">
        <v>0</v>
      </c>
      <c r="J22" s="2303">
        <v>0</v>
      </c>
      <c r="K22" s="2291">
        <f t="shared" si="15"/>
        <v>0</v>
      </c>
      <c r="L22" s="1992">
        <v>0</v>
      </c>
      <c r="M22" s="2304">
        <f>'2017 к'!N24</f>
        <v>0</v>
      </c>
    </row>
    <row r="23" spans="1:13" ht="30.75" customHeight="1" x14ac:dyDescent="0.2">
      <c r="A23" s="2285" t="s">
        <v>935</v>
      </c>
      <c r="B23" s="2302">
        <f t="shared" si="16"/>
        <v>0</v>
      </c>
      <c r="C23" s="1992">
        <v>0</v>
      </c>
      <c r="D23" s="2303">
        <v>0</v>
      </c>
      <c r="E23" s="2291">
        <f t="shared" si="14"/>
        <v>0</v>
      </c>
      <c r="F23" s="1992">
        <v>0</v>
      </c>
      <c r="G23" s="2303">
        <v>0</v>
      </c>
      <c r="H23" s="2302">
        <f t="shared" si="17"/>
        <v>0</v>
      </c>
      <c r="I23" s="1992">
        <v>0</v>
      </c>
      <c r="J23" s="2303">
        <v>0</v>
      </c>
      <c r="K23" s="2291">
        <f t="shared" si="15"/>
        <v>0</v>
      </c>
      <c r="L23" s="1992">
        <v>0</v>
      </c>
      <c r="M23" s="2303">
        <v>0</v>
      </c>
    </row>
    <row r="24" spans="1:13" ht="27" customHeight="1" x14ac:dyDescent="0.2">
      <c r="A24" s="2285" t="s">
        <v>1565</v>
      </c>
      <c r="B24" s="2302">
        <f t="shared" si="16"/>
        <v>0</v>
      </c>
      <c r="C24" s="1992">
        <v>0</v>
      </c>
      <c r="D24" s="2303">
        <v>0</v>
      </c>
      <c r="E24" s="2291">
        <f t="shared" si="14"/>
        <v>0</v>
      </c>
      <c r="F24" s="1992">
        <v>0</v>
      </c>
      <c r="G24" s="2303">
        <v>0</v>
      </c>
      <c r="H24" s="2302">
        <f t="shared" si="17"/>
        <v>0</v>
      </c>
      <c r="I24" s="1992">
        <v>0</v>
      </c>
      <c r="J24" s="2303">
        <v>0</v>
      </c>
      <c r="K24" s="2291">
        <f t="shared" si="15"/>
        <v>0</v>
      </c>
      <c r="L24" s="1992">
        <v>0</v>
      </c>
      <c r="M24" s="2303">
        <v>0</v>
      </c>
    </row>
    <row r="25" spans="1:13" x14ac:dyDescent="0.2">
      <c r="A25" s="2283" t="s">
        <v>2</v>
      </c>
      <c r="B25" s="2302">
        <f>SUM(B26:B29)</f>
        <v>8497.9000000000015</v>
      </c>
      <c r="C25" s="1969">
        <f t="shared" ref="C25:D25" si="18">SUM(C26:C29)</f>
        <v>8496.3795185718263</v>
      </c>
      <c r="D25" s="2304">
        <f t="shared" si="18"/>
        <v>1.5204814281734422</v>
      </c>
      <c r="E25" s="2291">
        <f>SUM(E26:E29)</f>
        <v>5036.88</v>
      </c>
      <c r="F25" s="1969">
        <f t="shared" ref="F25:G25" si="19">SUM(F26:F29)</f>
        <v>5028.8549485830717</v>
      </c>
      <c r="G25" s="2304">
        <f t="shared" si="19"/>
        <v>5.12</v>
      </c>
      <c r="H25" s="2302">
        <f>SUM(H26:H29)</f>
        <v>8497.9000000000015</v>
      </c>
      <c r="I25" s="1969">
        <f t="shared" ref="I25:J25" si="20">SUM(I26:I29)</f>
        <v>8476.8043680103383</v>
      </c>
      <c r="J25" s="2304">
        <f t="shared" si="20"/>
        <v>21.095631989661516</v>
      </c>
      <c r="K25" s="2291">
        <f>SUM(K26:K29)</f>
        <v>5036.88</v>
      </c>
      <c r="L25" s="1969">
        <f t="shared" ref="L25:M25" si="21">SUM(L26:L29)</f>
        <v>5028.8549485830717</v>
      </c>
      <c r="M25" s="2304">
        <f t="shared" si="21"/>
        <v>5.12</v>
      </c>
    </row>
    <row r="26" spans="1:13" s="1932" customFormat="1" x14ac:dyDescent="0.2">
      <c r="A26" s="2286" t="s">
        <v>1569</v>
      </c>
      <c r="B26" s="2305">
        <f>Аморт!X21</f>
        <v>3566.58</v>
      </c>
      <c r="C26" s="1991">
        <f>C9/B9*B26</f>
        <v>3565.0595185718266</v>
      </c>
      <c r="D26" s="2306">
        <f>D9/B9*B26</f>
        <v>1.5204814281734422</v>
      </c>
      <c r="E26" s="2311">
        <f>Аморт!X28</f>
        <v>498.59</v>
      </c>
      <c r="F26" s="1991">
        <f>F9/E9*E26</f>
        <v>495.68494858307196</v>
      </c>
      <c r="G26" s="2306">
        <v>0</v>
      </c>
      <c r="H26" s="2302">
        <f>Аморт!AE21</f>
        <v>3566.58</v>
      </c>
      <c r="I26" s="1991">
        <f>I9/H9*H26</f>
        <v>3545.4843680103381</v>
      </c>
      <c r="J26" s="2306">
        <f>J9/H9*H26</f>
        <v>21.095631989661516</v>
      </c>
      <c r="K26" s="2311">
        <f>Аморт!AE28</f>
        <v>498.59</v>
      </c>
      <c r="L26" s="1991">
        <f>L9/K9*K26</f>
        <v>495.68494858307196</v>
      </c>
      <c r="M26" s="2306">
        <v>0</v>
      </c>
    </row>
    <row r="27" spans="1:13" s="1932" customFormat="1" x14ac:dyDescent="0.2">
      <c r="A27" s="2286" t="s">
        <v>1570</v>
      </c>
      <c r="B27" s="2305">
        <f>Аморт!X22</f>
        <v>1344.19</v>
      </c>
      <c r="C27" s="1982">
        <f>B27</f>
        <v>1344.19</v>
      </c>
      <c r="D27" s="2307"/>
      <c r="E27" s="2311">
        <f>Аморт!X29</f>
        <v>588.47</v>
      </c>
      <c r="F27" s="1982">
        <f>E27-G27</f>
        <v>583.35</v>
      </c>
      <c r="G27" s="2306">
        <v>5.12</v>
      </c>
      <c r="H27" s="2302">
        <f>Аморт!AE22</f>
        <v>1344.19</v>
      </c>
      <c r="I27" s="1982">
        <f>H27</f>
        <v>1344.19</v>
      </c>
      <c r="J27" s="2307"/>
      <c r="K27" s="2311">
        <f>Аморт!AE29</f>
        <v>588.47</v>
      </c>
      <c r="L27" s="1982">
        <f>K27-M27</f>
        <v>583.35</v>
      </c>
      <c r="M27" s="2306">
        <v>5.12</v>
      </c>
    </row>
    <row r="28" spans="1:13" s="1932" customFormat="1" x14ac:dyDescent="0.2">
      <c r="A28" s="2286" t="s">
        <v>1571</v>
      </c>
      <c r="B28" s="2305">
        <f>Аморт!X23</f>
        <v>53.89</v>
      </c>
      <c r="C28" s="1982">
        <f t="shared" ref="C28:C29" si="22">B28</f>
        <v>53.89</v>
      </c>
      <c r="D28" s="2307"/>
      <c r="E28" s="2311">
        <f>Аморт!X30</f>
        <v>36.94</v>
      </c>
      <c r="F28" s="1982">
        <f t="shared" ref="F28:F29" si="23">E28</f>
        <v>36.94</v>
      </c>
      <c r="G28" s="2307"/>
      <c r="H28" s="2302">
        <f>Аморт!AE23</f>
        <v>53.89</v>
      </c>
      <c r="I28" s="1982">
        <f t="shared" ref="I28:I29" si="24">H28</f>
        <v>53.89</v>
      </c>
      <c r="J28" s="2307"/>
      <c r="K28" s="2311">
        <f>Аморт!AE30</f>
        <v>36.94</v>
      </c>
      <c r="L28" s="1982">
        <f t="shared" ref="L28:L29" si="25">K28</f>
        <v>36.94</v>
      </c>
      <c r="M28" s="2307"/>
    </row>
    <row r="29" spans="1:13" s="1932" customFormat="1" x14ac:dyDescent="0.2">
      <c r="A29" s="2286" t="s">
        <v>89</v>
      </c>
      <c r="B29" s="2305">
        <f>Аморт!X24</f>
        <v>3533.24</v>
      </c>
      <c r="C29" s="1982">
        <f t="shared" si="22"/>
        <v>3533.24</v>
      </c>
      <c r="D29" s="2307"/>
      <c r="E29" s="2311">
        <f>Аморт!X31</f>
        <v>3912.88</v>
      </c>
      <c r="F29" s="1982">
        <f t="shared" si="23"/>
        <v>3912.88</v>
      </c>
      <c r="G29" s="2307"/>
      <c r="H29" s="2302">
        <f>Аморт!AE24</f>
        <v>3533.24</v>
      </c>
      <c r="I29" s="1982">
        <f t="shared" si="24"/>
        <v>3533.24</v>
      </c>
      <c r="J29" s="2307"/>
      <c r="K29" s="2311">
        <f>Аморт!AE31</f>
        <v>3912.88</v>
      </c>
      <c r="L29" s="1982">
        <f t="shared" si="25"/>
        <v>3912.88</v>
      </c>
      <c r="M29" s="2307"/>
    </row>
    <row r="30" spans="1:13" ht="13.5" thickBot="1" x14ac:dyDescent="0.25">
      <c r="A30" s="2283" t="s">
        <v>941</v>
      </c>
      <c r="B30" s="2308"/>
      <c r="C30" s="2309"/>
      <c r="D30" s="2310"/>
      <c r="E30" s="2312"/>
      <c r="F30" s="2309"/>
      <c r="G30" s="2310"/>
      <c r="H30" s="2308"/>
      <c r="I30" s="2309"/>
      <c r="J30" s="2310"/>
      <c r="K30" s="2312"/>
      <c r="L30" s="2309"/>
      <c r="M30" s="2310"/>
    </row>
    <row r="32" spans="1:13" x14ac:dyDescent="0.2">
      <c r="A32" s="5" t="s">
        <v>1703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91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4690" t="s">
        <v>2225</v>
      </c>
      <c r="B1" s="4690"/>
      <c r="C1" s="4690"/>
      <c r="D1" s="4690"/>
      <c r="E1" s="4690"/>
      <c r="F1" s="4690"/>
      <c r="G1" s="4690"/>
      <c r="H1" s="4690"/>
      <c r="I1" s="4690"/>
      <c r="N1" s="2965"/>
      <c r="O1" s="2965"/>
    </row>
    <row r="2" spans="1:20" ht="15.75" customHeight="1" x14ac:dyDescent="0.25">
      <c r="A2" s="4691" t="s">
        <v>2226</v>
      </c>
      <c r="B2" s="4691"/>
      <c r="C2" s="4691"/>
      <c r="D2" s="4691"/>
      <c r="E2" s="4691"/>
      <c r="F2" s="4691"/>
      <c r="G2" s="4691"/>
      <c r="H2" s="4691"/>
      <c r="I2" s="4691"/>
      <c r="N2" s="2965">
        <f>M8-N8</f>
        <v>2464759.057394471</v>
      </c>
      <c r="O2" s="2965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891" t="s">
        <v>2227</v>
      </c>
      <c r="B4" s="4692" t="s">
        <v>2228</v>
      </c>
      <c r="C4" s="4692"/>
      <c r="D4" s="4692"/>
      <c r="E4" s="4692"/>
      <c r="F4" s="4692"/>
      <c r="G4" s="4692"/>
      <c r="H4" s="4692"/>
      <c r="I4" s="4692"/>
      <c r="N4" s="2965"/>
      <c r="O4" s="2965">
        <f>O9+O12+O13+O16+O60</f>
        <v>706399.44654906937</v>
      </c>
    </row>
    <row r="5" spans="1:20" ht="2.1" customHeight="1" x14ac:dyDescent="0.2"/>
    <row r="6" spans="1:20" ht="12.75" customHeight="1" x14ac:dyDescent="0.2">
      <c r="A6" s="4687" t="s">
        <v>2229</v>
      </c>
      <c r="B6" s="4687"/>
      <c r="C6" s="4687"/>
      <c r="D6" s="4687"/>
      <c r="E6" s="4687"/>
      <c r="F6" s="4687"/>
      <c r="G6" s="2892"/>
      <c r="H6" s="4687" t="s">
        <v>2230</v>
      </c>
      <c r="I6" s="4687"/>
      <c r="J6" s="4687"/>
      <c r="K6" s="4687"/>
      <c r="L6" s="4687" t="s">
        <v>2231</v>
      </c>
      <c r="M6" s="4687"/>
      <c r="N6" s="4687"/>
      <c r="O6" s="4687"/>
      <c r="P6" s="4687"/>
      <c r="Q6" s="4687"/>
      <c r="R6" s="4687" t="s">
        <v>2232</v>
      </c>
      <c r="S6" s="4687"/>
      <c r="T6" s="4687"/>
    </row>
    <row r="7" spans="1:20" ht="36.75" customHeight="1" x14ac:dyDescent="0.2">
      <c r="A7" s="2893"/>
      <c r="B7" s="2894"/>
      <c r="C7" s="2892" t="s">
        <v>2233</v>
      </c>
      <c r="D7" s="2892" t="s">
        <v>2234</v>
      </c>
      <c r="E7" s="2892" t="s">
        <v>2235</v>
      </c>
      <c r="F7" s="2892" t="s">
        <v>2236</v>
      </c>
      <c r="G7" s="2892" t="s">
        <v>2237</v>
      </c>
      <c r="H7" s="2892" t="s">
        <v>2238</v>
      </c>
      <c r="I7" s="4687" t="s">
        <v>2239</v>
      </c>
      <c r="J7" s="4687"/>
      <c r="K7" s="2892" t="s">
        <v>2240</v>
      </c>
      <c r="L7" s="2892" t="s">
        <v>2241</v>
      </c>
      <c r="M7" s="2895" t="s">
        <v>2242</v>
      </c>
      <c r="N7" s="2896" t="s">
        <v>2243</v>
      </c>
      <c r="O7" s="2896"/>
      <c r="P7" s="2892" t="s">
        <v>2244</v>
      </c>
      <c r="Q7" s="2892" t="s">
        <v>2245</v>
      </c>
      <c r="R7" s="2892" t="s">
        <v>2238</v>
      </c>
      <c r="S7" s="2892" t="s">
        <v>2239</v>
      </c>
      <c r="T7" s="2892" t="s">
        <v>2240</v>
      </c>
    </row>
    <row r="8" spans="1:20" s="2739" customFormat="1" ht="12.75" customHeight="1" x14ac:dyDescent="0.2">
      <c r="A8" s="4688" t="s">
        <v>2246</v>
      </c>
      <c r="B8" s="4688"/>
      <c r="C8" s="4688"/>
      <c r="D8" s="4688"/>
      <c r="E8" s="4688"/>
      <c r="F8" s="4688"/>
      <c r="G8" s="2961"/>
      <c r="H8" s="2962">
        <v>47872333.609999999</v>
      </c>
      <c r="I8" s="4689">
        <v>19023948.5</v>
      </c>
      <c r="J8" s="4689"/>
      <c r="K8" s="2962">
        <v>28848385.109999999</v>
      </c>
      <c r="L8" s="2962">
        <v>2005355.17</v>
      </c>
      <c r="M8" s="2960">
        <v>3811874.54</v>
      </c>
      <c r="N8" s="2960">
        <f>SUM(N9:N62)</f>
        <v>1347115.4826055293</v>
      </c>
      <c r="O8" s="2960"/>
      <c r="P8" s="2962">
        <v>80512</v>
      </c>
      <c r="Q8" s="2962">
        <v>72807.86</v>
      </c>
      <c r="R8" s="2962">
        <v>49797176.780000001</v>
      </c>
      <c r="S8" s="2962">
        <v>22763015.18</v>
      </c>
      <c r="T8" s="2962">
        <v>27034161.600000001</v>
      </c>
    </row>
    <row r="9" spans="1:20" s="2904" customFormat="1" ht="34.5" customHeight="1" outlineLevel="1" x14ac:dyDescent="0.2">
      <c r="A9" s="4677" t="s">
        <v>2247</v>
      </c>
      <c r="B9" s="4677"/>
      <c r="C9" s="2897">
        <v>45</v>
      </c>
      <c r="D9" s="2898" t="s">
        <v>2248</v>
      </c>
      <c r="E9" s="2899">
        <v>231881</v>
      </c>
      <c r="F9" s="2900">
        <v>600</v>
      </c>
      <c r="G9" s="2900">
        <f>E9/F9*12</f>
        <v>4637.62</v>
      </c>
      <c r="H9" s="2901">
        <v>231881</v>
      </c>
      <c r="I9" s="4678">
        <v>126930.6</v>
      </c>
      <c r="J9" s="4678"/>
      <c r="K9" s="2901">
        <v>107950.39999999999</v>
      </c>
      <c r="L9" s="2901">
        <v>118695.41</v>
      </c>
      <c r="M9" s="2902">
        <v>7339.63</v>
      </c>
      <c r="N9" s="2966">
        <f>(H9+L9)/600*12</f>
        <v>7011.5282000000007</v>
      </c>
      <c r="O9" s="2966">
        <f>M9-N9</f>
        <v>328.10179999999946</v>
      </c>
      <c r="P9" s="2903"/>
      <c r="Q9" s="2903"/>
      <c r="R9" s="2901">
        <v>353576.41</v>
      </c>
      <c r="S9" s="2901">
        <v>134270.23000000001</v>
      </c>
      <c r="T9" s="2901">
        <v>219306.18</v>
      </c>
    </row>
    <row r="10" spans="1:20" ht="23.25" customHeight="1" outlineLevel="1" x14ac:dyDescent="0.2">
      <c r="A10" s="4672" t="s">
        <v>2249</v>
      </c>
      <c r="B10" s="4672"/>
      <c r="C10" s="2905">
        <v>41</v>
      </c>
      <c r="D10" s="2906" t="s">
        <v>2248</v>
      </c>
      <c r="E10" s="2907" t="s">
        <v>2250</v>
      </c>
      <c r="F10" s="2908">
        <v>600</v>
      </c>
      <c r="G10" s="2908"/>
      <c r="H10" s="2909">
        <v>345355</v>
      </c>
      <c r="I10" s="4673">
        <v>155659.62</v>
      </c>
      <c r="J10" s="4673"/>
      <c r="K10" s="2909">
        <v>189695.38</v>
      </c>
      <c r="L10" s="2907"/>
      <c r="M10" s="2910"/>
      <c r="N10" s="2910"/>
      <c r="O10" s="2966">
        <f t="shared" ref="O10:O62" si="0">M10-N10</f>
        <v>0</v>
      </c>
      <c r="P10" s="2907"/>
      <c r="Q10" s="2907"/>
      <c r="R10" s="2909">
        <v>345355</v>
      </c>
      <c r="S10" s="2909">
        <v>155659.62</v>
      </c>
      <c r="T10" s="2909">
        <v>189695.38</v>
      </c>
    </row>
    <row r="11" spans="1:20" ht="23.25" customHeight="1" outlineLevel="1" x14ac:dyDescent="0.2">
      <c r="A11" s="4672" t="s">
        <v>2251</v>
      </c>
      <c r="B11" s="4672"/>
      <c r="C11" s="2905">
        <v>1733</v>
      </c>
      <c r="D11" s="2906" t="s">
        <v>2252</v>
      </c>
      <c r="E11" s="2907" t="s">
        <v>2253</v>
      </c>
      <c r="F11" s="2908">
        <v>600</v>
      </c>
      <c r="G11" s="2908"/>
      <c r="H11" s="2909">
        <v>3892411.39</v>
      </c>
      <c r="I11" s="4673">
        <v>951917.59</v>
      </c>
      <c r="J11" s="4673"/>
      <c r="K11" s="2909">
        <v>2940493.8</v>
      </c>
      <c r="L11" s="2907"/>
      <c r="M11" s="2911">
        <v>78939.360000000001</v>
      </c>
      <c r="N11" s="2911">
        <f>M11</f>
        <v>78939.360000000001</v>
      </c>
      <c r="O11" s="2966">
        <f t="shared" si="0"/>
        <v>0</v>
      </c>
      <c r="P11" s="2907"/>
      <c r="Q11" s="2907"/>
      <c r="R11" s="2909">
        <v>3892411.39</v>
      </c>
      <c r="S11" s="2909">
        <v>1030856.95</v>
      </c>
      <c r="T11" s="2909">
        <v>2861554.44</v>
      </c>
    </row>
    <row r="12" spans="1:20" s="2904" customFormat="1" ht="23.25" customHeight="1" outlineLevel="1" x14ac:dyDescent="0.2">
      <c r="A12" s="4677" t="s">
        <v>2254</v>
      </c>
      <c r="B12" s="4677"/>
      <c r="C12" s="2897">
        <v>291</v>
      </c>
      <c r="D12" s="2898" t="s">
        <v>2255</v>
      </c>
      <c r="E12" s="2903" t="s">
        <v>2256</v>
      </c>
      <c r="F12" s="2900">
        <v>514</v>
      </c>
      <c r="G12" s="2900"/>
      <c r="H12" s="2901">
        <v>3829011.43</v>
      </c>
      <c r="I12" s="4678">
        <v>2161685.4900000002</v>
      </c>
      <c r="J12" s="4678"/>
      <c r="K12" s="2901">
        <v>1667325.94</v>
      </c>
      <c r="L12" s="2901">
        <v>817840.12</v>
      </c>
      <c r="M12" s="2901">
        <v>643985.41</v>
      </c>
      <c r="N12" s="2966">
        <f>(H12+L12)/514*12</f>
        <v>108486.80661478598</v>
      </c>
      <c r="O12" s="2966">
        <f t="shared" si="0"/>
        <v>535498.603385214</v>
      </c>
      <c r="P12" s="2903"/>
      <c r="Q12" s="2903"/>
      <c r="R12" s="2901">
        <v>4646851.55</v>
      </c>
      <c r="S12" s="2901">
        <v>2805670.9</v>
      </c>
      <c r="T12" s="2901">
        <v>1841180.65</v>
      </c>
    </row>
    <row r="13" spans="1:20" ht="23.25" customHeight="1" outlineLevel="1" x14ac:dyDescent="0.2">
      <c r="A13" s="4672" t="s">
        <v>2257</v>
      </c>
      <c r="B13" s="4672"/>
      <c r="C13" s="2905">
        <v>196</v>
      </c>
      <c r="D13" s="2906" t="s">
        <v>2258</v>
      </c>
      <c r="E13" s="2907" t="s">
        <v>2259</v>
      </c>
      <c r="F13" s="2908">
        <v>600</v>
      </c>
      <c r="G13" s="2908"/>
      <c r="H13" s="2909">
        <v>683659.93</v>
      </c>
      <c r="I13" s="4673">
        <v>492524.53</v>
      </c>
      <c r="J13" s="4673"/>
      <c r="K13" s="2909">
        <v>191135.4</v>
      </c>
      <c r="L13" s="2907"/>
      <c r="M13" s="2911">
        <v>176432.76</v>
      </c>
      <c r="N13" s="2966">
        <f>H13/F13*12</f>
        <v>13673.198600000002</v>
      </c>
      <c r="O13" s="2966">
        <f t="shared" si="0"/>
        <v>162759.56140000001</v>
      </c>
      <c r="P13" s="2907"/>
      <c r="Q13" s="2907"/>
      <c r="R13" s="2909">
        <v>683659.93</v>
      </c>
      <c r="S13" s="2909">
        <v>668957.29</v>
      </c>
      <c r="T13" s="2909">
        <v>14702.64</v>
      </c>
    </row>
    <row r="14" spans="1:20" ht="23.25" customHeight="1" outlineLevel="1" x14ac:dyDescent="0.2">
      <c r="A14" s="4672" t="s">
        <v>2260</v>
      </c>
      <c r="B14" s="4672"/>
      <c r="C14" s="2905">
        <v>526</v>
      </c>
      <c r="D14" s="2906" t="s">
        <v>2261</v>
      </c>
      <c r="E14" s="2907" t="s">
        <v>2262</v>
      </c>
      <c r="F14" s="2908">
        <v>480</v>
      </c>
      <c r="G14" s="2908"/>
      <c r="H14" s="2909">
        <v>21190</v>
      </c>
      <c r="I14" s="4673">
        <v>21190</v>
      </c>
      <c r="J14" s="4673"/>
      <c r="K14" s="2907"/>
      <c r="L14" s="2907"/>
      <c r="M14" s="2910"/>
      <c r="N14" s="2910"/>
      <c r="O14" s="2966">
        <f t="shared" si="0"/>
        <v>0</v>
      </c>
      <c r="P14" s="2907"/>
      <c r="Q14" s="2907"/>
      <c r="R14" s="2909">
        <v>21190</v>
      </c>
      <c r="S14" s="2909">
        <v>21190</v>
      </c>
      <c r="T14" s="2907"/>
    </row>
    <row r="15" spans="1:20" ht="34.5" customHeight="1" outlineLevel="1" x14ac:dyDescent="0.2">
      <c r="A15" s="4672" t="s">
        <v>2263</v>
      </c>
      <c r="B15" s="4672"/>
      <c r="C15" s="2905">
        <v>190</v>
      </c>
      <c r="D15" s="2906" t="s">
        <v>2264</v>
      </c>
      <c r="E15" s="2907" t="s">
        <v>2265</v>
      </c>
      <c r="F15" s="2908">
        <v>145</v>
      </c>
      <c r="G15" s="2908"/>
      <c r="H15" s="2909">
        <v>441236.4</v>
      </c>
      <c r="I15" s="4673">
        <v>422568.63</v>
      </c>
      <c r="J15" s="4673"/>
      <c r="K15" s="2909">
        <v>18667.77</v>
      </c>
      <c r="L15" s="2907"/>
      <c r="M15" s="2911">
        <v>18667.77</v>
      </c>
      <c r="N15" s="2911">
        <f>M15</f>
        <v>18667.77</v>
      </c>
      <c r="O15" s="2966">
        <f t="shared" si="0"/>
        <v>0</v>
      </c>
      <c r="P15" s="2907"/>
      <c r="Q15" s="2907"/>
      <c r="R15" s="2909">
        <v>441236.4</v>
      </c>
      <c r="S15" s="2909">
        <v>441236.4</v>
      </c>
      <c r="T15" s="2907"/>
    </row>
    <row r="16" spans="1:20" ht="23.25" customHeight="1" outlineLevel="1" x14ac:dyDescent="0.2">
      <c r="A16" s="4672" t="s">
        <v>2266</v>
      </c>
      <c r="B16" s="4672"/>
      <c r="C16" s="2905">
        <v>29</v>
      </c>
      <c r="D16" s="2906" t="s">
        <v>2248</v>
      </c>
      <c r="E16" s="2907" t="s">
        <v>2267</v>
      </c>
      <c r="F16" s="2908">
        <v>996</v>
      </c>
      <c r="G16" s="2908"/>
      <c r="H16" s="2909">
        <v>1243437.8600000001</v>
      </c>
      <c r="I16" s="4673">
        <v>348142.85</v>
      </c>
      <c r="J16" s="4673"/>
      <c r="K16" s="2909">
        <v>895295.01</v>
      </c>
      <c r="L16" s="2907"/>
      <c r="M16" s="2911">
        <v>16302.84</v>
      </c>
      <c r="N16" s="2966">
        <f>H16/F16*12</f>
        <v>14981.17903614458</v>
      </c>
      <c r="O16" s="2966">
        <f t="shared" si="0"/>
        <v>1321.6609638554201</v>
      </c>
      <c r="P16" s="2907"/>
      <c r="Q16" s="2907"/>
      <c r="R16" s="2909">
        <v>1243437.8600000001</v>
      </c>
      <c r="S16" s="2909">
        <v>364445.69</v>
      </c>
      <c r="T16" s="2909">
        <v>878992.17</v>
      </c>
    </row>
    <row r="17" spans="1:20" ht="34.5" customHeight="1" outlineLevel="1" x14ac:dyDescent="0.2">
      <c r="A17" s="4672" t="s">
        <v>2268</v>
      </c>
      <c r="B17" s="4672"/>
      <c r="C17" s="2905">
        <v>13</v>
      </c>
      <c r="D17" s="2906" t="s">
        <v>2269</v>
      </c>
      <c r="E17" s="2907" t="s">
        <v>2270</v>
      </c>
      <c r="F17" s="2908">
        <v>600</v>
      </c>
      <c r="G17" s="2908"/>
      <c r="H17" s="2909">
        <v>357248</v>
      </c>
      <c r="I17" s="4673">
        <v>270297.38</v>
      </c>
      <c r="J17" s="4673"/>
      <c r="K17" s="2909">
        <v>86950.62</v>
      </c>
      <c r="L17" s="2907"/>
      <c r="M17" s="2910"/>
      <c r="N17" s="2910"/>
      <c r="O17" s="2966">
        <f t="shared" si="0"/>
        <v>0</v>
      </c>
      <c r="P17" s="2907"/>
      <c r="Q17" s="2907"/>
      <c r="R17" s="2909">
        <v>357248</v>
      </c>
      <c r="S17" s="2909">
        <v>270297.38</v>
      </c>
      <c r="T17" s="2909">
        <v>86950.62</v>
      </c>
    </row>
    <row r="18" spans="1:20" ht="23.25" customHeight="1" outlineLevel="1" x14ac:dyDescent="0.2">
      <c r="A18" s="4672" t="s">
        <v>2271</v>
      </c>
      <c r="B18" s="4672"/>
      <c r="C18" s="2905">
        <v>9</v>
      </c>
      <c r="D18" s="2906" t="s">
        <v>2269</v>
      </c>
      <c r="E18" s="2907" t="s">
        <v>2272</v>
      </c>
      <c r="F18" s="2908">
        <v>696</v>
      </c>
      <c r="G18" s="2908"/>
      <c r="H18" s="2909">
        <v>354521</v>
      </c>
      <c r="I18" s="4673">
        <v>230450.2</v>
      </c>
      <c r="J18" s="4673"/>
      <c r="K18" s="2909">
        <v>124070.8</v>
      </c>
      <c r="L18" s="2907"/>
      <c r="M18" s="2910"/>
      <c r="N18" s="2910"/>
      <c r="O18" s="2966">
        <f t="shared" si="0"/>
        <v>0</v>
      </c>
      <c r="P18" s="2907"/>
      <c r="Q18" s="2907"/>
      <c r="R18" s="2909">
        <v>354521</v>
      </c>
      <c r="S18" s="2909">
        <v>230450.2</v>
      </c>
      <c r="T18" s="2909">
        <v>124070.8</v>
      </c>
    </row>
    <row r="19" spans="1:20" ht="23.25" customHeight="1" outlineLevel="1" x14ac:dyDescent="0.2">
      <c r="A19" s="4672" t="s">
        <v>2273</v>
      </c>
      <c r="B19" s="4672"/>
      <c r="C19" s="2905">
        <v>287</v>
      </c>
      <c r="D19" s="2906" t="s">
        <v>2274</v>
      </c>
      <c r="E19" s="2907" t="s">
        <v>2275</v>
      </c>
      <c r="F19" s="2908">
        <v>279</v>
      </c>
      <c r="G19" s="2908"/>
      <c r="H19" s="2909">
        <v>2065079.57</v>
      </c>
      <c r="I19" s="4673">
        <v>495022.4</v>
      </c>
      <c r="J19" s="4673"/>
      <c r="K19" s="2909">
        <v>1570057.17</v>
      </c>
      <c r="L19" s="2907"/>
      <c r="M19" s="2911">
        <v>88820.64</v>
      </c>
      <c r="N19" s="2911">
        <f>M19</f>
        <v>88820.64</v>
      </c>
      <c r="O19" s="2966">
        <f t="shared" si="0"/>
        <v>0</v>
      </c>
      <c r="P19" s="2907"/>
      <c r="Q19" s="2907"/>
      <c r="R19" s="2909">
        <v>2065079.57</v>
      </c>
      <c r="S19" s="2909">
        <v>583843.04</v>
      </c>
      <c r="T19" s="2909">
        <v>1481236.53</v>
      </c>
    </row>
    <row r="20" spans="1:20" ht="23.25" customHeight="1" outlineLevel="1" x14ac:dyDescent="0.2">
      <c r="A20" s="4672" t="s">
        <v>2276</v>
      </c>
      <c r="B20" s="4672"/>
      <c r="C20" s="2912">
        <v>1930</v>
      </c>
      <c r="D20" s="2906" t="s">
        <v>2277</v>
      </c>
      <c r="E20" s="2907" t="s">
        <v>2278</v>
      </c>
      <c r="F20" s="2908">
        <v>480</v>
      </c>
      <c r="G20" s="2908"/>
      <c r="H20" s="2909">
        <v>427792</v>
      </c>
      <c r="I20" s="4673">
        <v>106840.06</v>
      </c>
      <c r="J20" s="4673"/>
      <c r="K20" s="2909">
        <v>320951.94</v>
      </c>
      <c r="L20" s="2907"/>
      <c r="M20" s="2911">
        <v>10694.76</v>
      </c>
      <c r="N20" s="2911">
        <f>M20</f>
        <v>10694.76</v>
      </c>
      <c r="O20" s="2966">
        <f t="shared" si="0"/>
        <v>0</v>
      </c>
      <c r="P20" s="2907"/>
      <c r="Q20" s="2907"/>
      <c r="R20" s="2909">
        <v>427792</v>
      </c>
      <c r="S20" s="2909">
        <v>117534.82</v>
      </c>
      <c r="T20" s="2909">
        <v>310257.18</v>
      </c>
    </row>
    <row r="21" spans="1:20" ht="23.25" customHeight="1" outlineLevel="1" x14ac:dyDescent="0.2">
      <c r="A21" s="4672" t="s">
        <v>2279</v>
      </c>
      <c r="B21" s="4672"/>
      <c r="C21" s="2912">
        <v>1931</v>
      </c>
      <c r="D21" s="2906" t="s">
        <v>2277</v>
      </c>
      <c r="E21" s="2907" t="s">
        <v>2280</v>
      </c>
      <c r="F21" s="2908">
        <v>480</v>
      </c>
      <c r="G21" s="2908"/>
      <c r="H21" s="2909">
        <v>431090.01</v>
      </c>
      <c r="I21" s="4673">
        <v>107664.46</v>
      </c>
      <c r="J21" s="4673"/>
      <c r="K21" s="2909">
        <v>323425.55</v>
      </c>
      <c r="L21" s="2907"/>
      <c r="M21" s="2911">
        <v>10777.2</v>
      </c>
      <c r="N21" s="2911">
        <f>M21</f>
        <v>10777.2</v>
      </c>
      <c r="O21" s="2966">
        <f t="shared" si="0"/>
        <v>0</v>
      </c>
      <c r="P21" s="2907"/>
      <c r="Q21" s="2907"/>
      <c r="R21" s="2909">
        <v>431090.01</v>
      </c>
      <c r="S21" s="2909">
        <v>118441.66</v>
      </c>
      <c r="T21" s="2909">
        <v>312648.34999999998</v>
      </c>
    </row>
    <row r="22" spans="1:20" ht="23.25" customHeight="1" outlineLevel="1" x14ac:dyDescent="0.2">
      <c r="A22" s="4672" t="s">
        <v>2281</v>
      </c>
      <c r="B22" s="4672"/>
      <c r="C22" s="2905">
        <v>461</v>
      </c>
      <c r="D22" s="2906" t="s">
        <v>2282</v>
      </c>
      <c r="E22" s="2907" t="s">
        <v>2283</v>
      </c>
      <c r="F22" s="2908">
        <v>480</v>
      </c>
      <c r="G22" s="2908"/>
      <c r="H22" s="2909">
        <v>444175</v>
      </c>
      <c r="I22" s="4673">
        <v>363316.8</v>
      </c>
      <c r="J22" s="4673"/>
      <c r="K22" s="2909">
        <v>80858.2</v>
      </c>
      <c r="L22" s="2907"/>
      <c r="M22" s="2911">
        <v>11104.32</v>
      </c>
      <c r="N22" s="2911">
        <f>M22</f>
        <v>11104.32</v>
      </c>
      <c r="O22" s="2966">
        <f t="shared" si="0"/>
        <v>0</v>
      </c>
      <c r="P22" s="2907"/>
      <c r="Q22" s="2907"/>
      <c r="R22" s="2909">
        <v>444175</v>
      </c>
      <c r="S22" s="2909">
        <v>374421.12</v>
      </c>
      <c r="T22" s="2909">
        <v>69753.88</v>
      </c>
    </row>
    <row r="23" spans="1:20" ht="23.25" customHeight="1" outlineLevel="1" x14ac:dyDescent="0.2">
      <c r="A23" s="4672" t="s">
        <v>2284</v>
      </c>
      <c r="B23" s="4672"/>
      <c r="C23" s="2905">
        <v>464</v>
      </c>
      <c r="D23" s="2906" t="s">
        <v>2285</v>
      </c>
      <c r="E23" s="2907" t="s">
        <v>2286</v>
      </c>
      <c r="F23" s="2908">
        <v>480</v>
      </c>
      <c r="G23" s="2908"/>
      <c r="H23" s="2909">
        <v>63782</v>
      </c>
      <c r="I23" s="4673">
        <v>34288.400000000001</v>
      </c>
      <c r="J23" s="4673"/>
      <c r="K23" s="2909">
        <v>29493.599999999999</v>
      </c>
      <c r="L23" s="2907"/>
      <c r="M23" s="2911">
        <v>1594.56</v>
      </c>
      <c r="N23" s="2911">
        <f>M23</f>
        <v>1594.56</v>
      </c>
      <c r="O23" s="2966">
        <f t="shared" si="0"/>
        <v>0</v>
      </c>
      <c r="P23" s="2907"/>
      <c r="Q23" s="2907"/>
      <c r="R23" s="2909">
        <v>63782</v>
      </c>
      <c r="S23" s="2909">
        <v>35882.959999999999</v>
      </c>
      <c r="T23" s="2909">
        <v>27899.040000000001</v>
      </c>
    </row>
    <row r="24" spans="1:20" ht="23.25" customHeight="1" outlineLevel="1" x14ac:dyDescent="0.2">
      <c r="A24" s="4672" t="s">
        <v>2287</v>
      </c>
      <c r="B24" s="4672"/>
      <c r="C24" s="2905">
        <v>8</v>
      </c>
      <c r="D24" s="2906" t="s">
        <v>2269</v>
      </c>
      <c r="E24" s="2907" t="s">
        <v>2288</v>
      </c>
      <c r="F24" s="2908">
        <v>480</v>
      </c>
      <c r="G24" s="2908"/>
      <c r="H24" s="2909">
        <v>26365</v>
      </c>
      <c r="I24" s="4673">
        <v>24884.74</v>
      </c>
      <c r="J24" s="4673"/>
      <c r="K24" s="2909">
        <v>1480.26</v>
      </c>
      <c r="L24" s="2907"/>
      <c r="M24" s="2910"/>
      <c r="N24" s="2910"/>
      <c r="O24" s="2966">
        <f t="shared" si="0"/>
        <v>0</v>
      </c>
      <c r="P24" s="2907"/>
      <c r="Q24" s="2907"/>
      <c r="R24" s="2909">
        <v>26365</v>
      </c>
      <c r="S24" s="2909">
        <v>24884.74</v>
      </c>
      <c r="T24" s="2909">
        <v>1480.26</v>
      </c>
    </row>
    <row r="25" spans="1:20" ht="23.25" customHeight="1" outlineLevel="1" x14ac:dyDescent="0.2">
      <c r="A25" s="4672" t="s">
        <v>2289</v>
      </c>
      <c r="B25" s="4672"/>
      <c r="C25" s="2905">
        <v>288</v>
      </c>
      <c r="D25" s="2906" t="s">
        <v>2290</v>
      </c>
      <c r="E25" s="2907" t="s">
        <v>2291</v>
      </c>
      <c r="F25" s="2913">
        <v>1000</v>
      </c>
      <c r="G25" s="2913"/>
      <c r="H25" s="2909">
        <v>132892</v>
      </c>
      <c r="I25" s="4673">
        <v>47179.199999999997</v>
      </c>
      <c r="J25" s="4673"/>
      <c r="K25" s="2909">
        <v>85712.8</v>
      </c>
      <c r="L25" s="2907"/>
      <c r="M25" s="2911">
        <v>1594.68</v>
      </c>
      <c r="N25" s="2911">
        <f>M25</f>
        <v>1594.68</v>
      </c>
      <c r="O25" s="2966">
        <f t="shared" si="0"/>
        <v>0</v>
      </c>
      <c r="P25" s="2907"/>
      <c r="Q25" s="2907"/>
      <c r="R25" s="2909">
        <v>132892</v>
      </c>
      <c r="S25" s="2909">
        <v>48773.88</v>
      </c>
      <c r="T25" s="2909">
        <v>84118.12</v>
      </c>
    </row>
    <row r="26" spans="1:20" ht="34.5" customHeight="1" outlineLevel="1" x14ac:dyDescent="0.2">
      <c r="A26" s="4672" t="s">
        <v>2292</v>
      </c>
      <c r="B26" s="4672"/>
      <c r="C26" s="2905">
        <v>221</v>
      </c>
      <c r="D26" s="2906" t="s">
        <v>2264</v>
      </c>
      <c r="E26" s="2907" t="s">
        <v>2293</v>
      </c>
      <c r="F26" s="2908">
        <v>480</v>
      </c>
      <c r="G26" s="2908"/>
      <c r="H26" s="2909">
        <v>1005721</v>
      </c>
      <c r="I26" s="4673">
        <v>659687</v>
      </c>
      <c r="J26" s="4673"/>
      <c r="K26" s="2909">
        <v>346034</v>
      </c>
      <c r="L26" s="2907"/>
      <c r="M26" s="2910"/>
      <c r="N26" s="2910"/>
      <c r="O26" s="2966">
        <f t="shared" si="0"/>
        <v>0</v>
      </c>
      <c r="P26" s="2907"/>
      <c r="Q26" s="2907"/>
      <c r="R26" s="2909">
        <v>1005721</v>
      </c>
      <c r="S26" s="2909">
        <v>659687</v>
      </c>
      <c r="T26" s="2909">
        <v>346034</v>
      </c>
    </row>
    <row r="27" spans="1:20" ht="23.25" customHeight="1" outlineLevel="1" x14ac:dyDescent="0.2">
      <c r="A27" s="4672" t="s">
        <v>2294</v>
      </c>
      <c r="B27" s="4672"/>
      <c r="C27" s="2905">
        <v>10</v>
      </c>
      <c r="D27" s="2906" t="s">
        <v>2269</v>
      </c>
      <c r="E27" s="2907" t="s">
        <v>2295</v>
      </c>
      <c r="F27" s="2908">
        <v>480</v>
      </c>
      <c r="G27" s="2908"/>
      <c r="H27" s="2909">
        <v>187216</v>
      </c>
      <c r="I27" s="4673">
        <v>108730.54</v>
      </c>
      <c r="J27" s="4673"/>
      <c r="K27" s="2909">
        <v>78485.460000000006</v>
      </c>
      <c r="L27" s="2907"/>
      <c r="M27" s="2910"/>
      <c r="N27" s="2910"/>
      <c r="O27" s="2966">
        <f t="shared" si="0"/>
        <v>0</v>
      </c>
      <c r="P27" s="2907"/>
      <c r="Q27" s="2907"/>
      <c r="R27" s="2909">
        <v>187216</v>
      </c>
      <c r="S27" s="2909">
        <v>108730.54</v>
      </c>
      <c r="T27" s="2909">
        <v>78485.460000000006</v>
      </c>
    </row>
    <row r="28" spans="1:20" ht="34.5" customHeight="1" outlineLevel="1" x14ac:dyDescent="0.2">
      <c r="A28" s="4672" t="s">
        <v>2296</v>
      </c>
      <c r="B28" s="4672"/>
      <c r="C28" s="2912">
        <v>1932</v>
      </c>
      <c r="D28" s="2906" t="s">
        <v>2277</v>
      </c>
      <c r="E28" s="2907" t="s">
        <v>2297</v>
      </c>
      <c r="F28" s="2908">
        <v>480</v>
      </c>
      <c r="G28" s="2908"/>
      <c r="H28" s="2909">
        <v>4196115.13</v>
      </c>
      <c r="I28" s="4673">
        <v>1048124.74</v>
      </c>
      <c r="J28" s="4673"/>
      <c r="K28" s="2909">
        <v>3147990.39</v>
      </c>
      <c r="L28" s="2907"/>
      <c r="M28" s="2911">
        <v>104902.92</v>
      </c>
      <c r="N28" s="2911">
        <f>M28</f>
        <v>104902.92</v>
      </c>
      <c r="O28" s="2966">
        <f t="shared" si="0"/>
        <v>0</v>
      </c>
      <c r="P28" s="2907"/>
      <c r="Q28" s="2907"/>
      <c r="R28" s="2909">
        <v>4196115.13</v>
      </c>
      <c r="S28" s="2909">
        <v>1153027.6599999999</v>
      </c>
      <c r="T28" s="2909">
        <v>3043087.47</v>
      </c>
    </row>
    <row r="29" spans="1:20" ht="23.25" customHeight="1" outlineLevel="1" x14ac:dyDescent="0.2">
      <c r="A29" s="4672" t="s">
        <v>2298</v>
      </c>
      <c r="B29" s="4672"/>
      <c r="C29" s="2905">
        <v>703</v>
      </c>
      <c r="D29" s="2906" t="s">
        <v>2299</v>
      </c>
      <c r="E29" s="2907" t="s">
        <v>2300</v>
      </c>
      <c r="F29" s="2908">
        <v>24</v>
      </c>
      <c r="G29" s="2908"/>
      <c r="H29" s="2909">
        <v>9431.3799999999992</v>
      </c>
      <c r="I29" s="4673">
        <v>9431.3799999999992</v>
      </c>
      <c r="J29" s="4673"/>
      <c r="K29" s="2907"/>
      <c r="L29" s="2907"/>
      <c r="M29" s="2910"/>
      <c r="N29" s="2910"/>
      <c r="O29" s="2966">
        <f t="shared" si="0"/>
        <v>0</v>
      </c>
      <c r="P29" s="2907"/>
      <c r="Q29" s="2907"/>
      <c r="R29" s="2909">
        <v>9431.3799999999992</v>
      </c>
      <c r="S29" s="2909">
        <v>9431.3799999999992</v>
      </c>
      <c r="T29" s="2907"/>
    </row>
    <row r="30" spans="1:20" ht="23.25" customHeight="1" outlineLevel="1" x14ac:dyDescent="0.2">
      <c r="A30" s="4672" t="s">
        <v>2301</v>
      </c>
      <c r="B30" s="4672"/>
      <c r="C30" s="2905">
        <v>425</v>
      </c>
      <c r="D30" s="2906" t="s">
        <v>2302</v>
      </c>
      <c r="E30" s="2907" t="s">
        <v>2303</v>
      </c>
      <c r="F30" s="2908">
        <v>706</v>
      </c>
      <c r="G30" s="2908"/>
      <c r="H30" s="2909">
        <v>1005097.95</v>
      </c>
      <c r="I30" s="4673">
        <v>230912.32</v>
      </c>
      <c r="J30" s="4673"/>
      <c r="K30" s="2909">
        <v>774185.63</v>
      </c>
      <c r="L30" s="2907"/>
      <c r="M30" s="2911">
        <v>25041</v>
      </c>
      <c r="N30" s="2967">
        <f>H30/F30*12</f>
        <v>17083.817847025493</v>
      </c>
      <c r="O30" s="2966">
        <f t="shared" si="0"/>
        <v>7957.1821529745066</v>
      </c>
      <c r="P30" s="2907"/>
      <c r="Q30" s="2907"/>
      <c r="R30" s="2909">
        <v>1005097.95</v>
      </c>
      <c r="S30" s="2909">
        <v>255953.32</v>
      </c>
      <c r="T30" s="2909">
        <v>749144.63</v>
      </c>
    </row>
    <row r="31" spans="1:20" ht="23.25" customHeight="1" outlineLevel="1" x14ac:dyDescent="0.2">
      <c r="A31" s="4672" t="s">
        <v>2304</v>
      </c>
      <c r="B31" s="4672"/>
      <c r="C31" s="2912">
        <v>2421</v>
      </c>
      <c r="D31" s="2906" t="s">
        <v>2305</v>
      </c>
      <c r="E31" s="2907" t="s">
        <v>2306</v>
      </c>
      <c r="F31" s="2908">
        <v>240</v>
      </c>
      <c r="G31" s="2908"/>
      <c r="H31" s="2909">
        <v>13284386.51</v>
      </c>
      <c r="I31" s="4673">
        <v>3653206.26</v>
      </c>
      <c r="J31" s="4673"/>
      <c r="K31" s="2909">
        <v>9631180.25</v>
      </c>
      <c r="L31" s="2907"/>
      <c r="M31" s="2911">
        <v>664219.31999999995</v>
      </c>
      <c r="N31" s="2911">
        <f>M31</f>
        <v>664219.31999999995</v>
      </c>
      <c r="O31" s="2966">
        <f t="shared" si="0"/>
        <v>0</v>
      </c>
      <c r="P31" s="2907"/>
      <c r="Q31" s="2907"/>
      <c r="R31" s="2909">
        <v>13284386.51</v>
      </c>
      <c r="S31" s="2909">
        <v>4317425.58</v>
      </c>
      <c r="T31" s="2909">
        <v>8966960.9299999997</v>
      </c>
    </row>
    <row r="32" spans="1:20" ht="34.5" customHeight="1" outlineLevel="1" x14ac:dyDescent="0.2">
      <c r="A32" s="4672" t="s">
        <v>2307</v>
      </c>
      <c r="B32" s="4672"/>
      <c r="C32" s="2905">
        <v>408</v>
      </c>
      <c r="D32" s="2906" t="s">
        <v>2308</v>
      </c>
      <c r="E32" s="2907" t="s">
        <v>2309</v>
      </c>
      <c r="F32" s="2908">
        <v>600</v>
      </c>
      <c r="G32" s="2908"/>
      <c r="H32" s="2909">
        <v>546725.80000000005</v>
      </c>
      <c r="I32" s="4673">
        <v>185401.86</v>
      </c>
      <c r="J32" s="4673"/>
      <c r="K32" s="2909">
        <v>361323.94</v>
      </c>
      <c r="L32" s="2907"/>
      <c r="M32" s="2911">
        <v>56310.239999999998</v>
      </c>
      <c r="N32" s="2967">
        <f>H32/F32*12</f>
        <v>10934.516000000001</v>
      </c>
      <c r="O32" s="2966">
        <f t="shared" si="0"/>
        <v>45375.723999999995</v>
      </c>
      <c r="P32" s="2907"/>
      <c r="Q32" s="2907"/>
      <c r="R32" s="2909">
        <v>546725.80000000005</v>
      </c>
      <c r="S32" s="2909">
        <v>241712.1</v>
      </c>
      <c r="T32" s="2909">
        <v>305013.7</v>
      </c>
    </row>
    <row r="33" spans="1:20" ht="34.5" customHeight="1" outlineLevel="1" x14ac:dyDescent="0.2">
      <c r="A33" s="4672" t="s">
        <v>2310</v>
      </c>
      <c r="B33" s="4672"/>
      <c r="C33" s="2905">
        <v>409</v>
      </c>
      <c r="D33" s="2906" t="s">
        <v>2274</v>
      </c>
      <c r="E33" s="2907" t="s">
        <v>2311</v>
      </c>
      <c r="F33" s="2908">
        <v>600</v>
      </c>
      <c r="G33" s="2908"/>
      <c r="H33" s="2909">
        <v>518501</v>
      </c>
      <c r="I33" s="4673">
        <v>330277.59999999998</v>
      </c>
      <c r="J33" s="4673"/>
      <c r="K33" s="2909">
        <v>188223.4</v>
      </c>
      <c r="L33" s="2907"/>
      <c r="M33" s="2911">
        <v>10370.040000000001</v>
      </c>
      <c r="N33" s="2911">
        <f>M33</f>
        <v>10370.040000000001</v>
      </c>
      <c r="O33" s="2966">
        <f t="shared" si="0"/>
        <v>0</v>
      </c>
      <c r="P33" s="2907"/>
      <c r="Q33" s="2907"/>
      <c r="R33" s="2909">
        <v>518501</v>
      </c>
      <c r="S33" s="2909">
        <v>340647.64</v>
      </c>
      <c r="T33" s="2909">
        <v>177853.36</v>
      </c>
    </row>
    <row r="34" spans="1:20" ht="23.25" customHeight="1" outlineLevel="1" x14ac:dyDescent="0.2">
      <c r="A34" s="4672" t="s">
        <v>2312</v>
      </c>
      <c r="B34" s="4672"/>
      <c r="C34" s="2905">
        <v>218</v>
      </c>
      <c r="D34" s="2906" t="s">
        <v>2313</v>
      </c>
      <c r="E34" s="2907" t="s">
        <v>2314</v>
      </c>
      <c r="F34" s="2908">
        <v>600</v>
      </c>
      <c r="G34" s="2908"/>
      <c r="H34" s="2909">
        <v>174216</v>
      </c>
      <c r="I34" s="4673">
        <v>162148.88</v>
      </c>
      <c r="J34" s="4673"/>
      <c r="K34" s="2909">
        <v>12067.12</v>
      </c>
      <c r="L34" s="2907"/>
      <c r="M34" s="2911">
        <v>3484.32</v>
      </c>
      <c r="N34" s="2911">
        <f>M34</f>
        <v>3484.32</v>
      </c>
      <c r="O34" s="2966">
        <f t="shared" si="0"/>
        <v>0</v>
      </c>
      <c r="P34" s="2907"/>
      <c r="Q34" s="2907"/>
      <c r="R34" s="2909">
        <v>174216</v>
      </c>
      <c r="S34" s="2909">
        <v>165633.20000000001</v>
      </c>
      <c r="T34" s="2909">
        <v>8582.7999999999993</v>
      </c>
    </row>
    <row r="35" spans="1:20" ht="23.25" customHeight="1" outlineLevel="1" x14ac:dyDescent="0.2">
      <c r="A35" s="4672" t="s">
        <v>2315</v>
      </c>
      <c r="B35" s="4672"/>
      <c r="C35" s="2905">
        <v>553</v>
      </c>
      <c r="D35" s="2906" t="s">
        <v>2316</v>
      </c>
      <c r="E35" s="2907" t="s">
        <v>2317</v>
      </c>
      <c r="F35" s="2908">
        <v>480</v>
      </c>
      <c r="G35" s="2908"/>
      <c r="H35" s="2909">
        <v>28507</v>
      </c>
      <c r="I35" s="4673">
        <v>28507</v>
      </c>
      <c r="J35" s="4673"/>
      <c r="K35" s="2907"/>
      <c r="L35" s="2907"/>
      <c r="M35" s="2910"/>
      <c r="N35" s="2910"/>
      <c r="O35" s="2966">
        <f t="shared" si="0"/>
        <v>0</v>
      </c>
      <c r="P35" s="2907"/>
      <c r="Q35" s="2907"/>
      <c r="R35" s="2909">
        <v>28507</v>
      </c>
      <c r="S35" s="2909">
        <v>28507</v>
      </c>
      <c r="T35" s="2907"/>
    </row>
    <row r="36" spans="1:20" ht="23.25" customHeight="1" outlineLevel="1" x14ac:dyDescent="0.2">
      <c r="A36" s="4672" t="s">
        <v>2318</v>
      </c>
      <c r="B36" s="4672"/>
      <c r="C36" s="2905">
        <v>426</v>
      </c>
      <c r="D36" s="2906" t="s">
        <v>2302</v>
      </c>
      <c r="E36" s="2907" t="s">
        <v>2319</v>
      </c>
      <c r="F36" s="2908">
        <v>706</v>
      </c>
      <c r="G36" s="2908"/>
      <c r="H36" s="2909">
        <v>224016</v>
      </c>
      <c r="I36" s="4673">
        <v>86918.399999999994</v>
      </c>
      <c r="J36" s="4673"/>
      <c r="K36" s="2909">
        <v>137097.60000000001</v>
      </c>
      <c r="L36" s="2907"/>
      <c r="M36" s="2910"/>
      <c r="N36" s="2910"/>
      <c r="O36" s="2966">
        <f t="shared" si="0"/>
        <v>0</v>
      </c>
      <c r="P36" s="2907"/>
      <c r="Q36" s="2907"/>
      <c r="R36" s="2909">
        <v>224016</v>
      </c>
      <c r="S36" s="2909">
        <v>86918.399999999994</v>
      </c>
      <c r="T36" s="2909">
        <v>137097.60000000001</v>
      </c>
    </row>
    <row r="37" spans="1:20" ht="45.75" customHeight="1" outlineLevel="1" x14ac:dyDescent="0.2">
      <c r="A37" s="4672" t="s">
        <v>2320</v>
      </c>
      <c r="B37" s="4672"/>
      <c r="C37" s="2905">
        <v>289</v>
      </c>
      <c r="D37" s="2906" t="s">
        <v>2274</v>
      </c>
      <c r="E37" s="2907" t="s">
        <v>2321</v>
      </c>
      <c r="F37" s="2913">
        <v>1000</v>
      </c>
      <c r="G37" s="2913"/>
      <c r="H37" s="2909">
        <v>421403</v>
      </c>
      <c r="I37" s="4673">
        <v>181605</v>
      </c>
      <c r="J37" s="4673"/>
      <c r="K37" s="2909">
        <v>239798</v>
      </c>
      <c r="L37" s="2907"/>
      <c r="M37" s="2911">
        <v>5056.8</v>
      </c>
      <c r="N37" s="2911">
        <f>M37</f>
        <v>5056.8</v>
      </c>
      <c r="O37" s="2966">
        <f t="shared" si="0"/>
        <v>0</v>
      </c>
      <c r="P37" s="2907"/>
      <c r="Q37" s="2907"/>
      <c r="R37" s="2909">
        <v>421403</v>
      </c>
      <c r="S37" s="2909">
        <v>186661.8</v>
      </c>
      <c r="T37" s="2909">
        <v>234741.2</v>
      </c>
    </row>
    <row r="38" spans="1:20" ht="23.25" customHeight="1" outlineLevel="1" x14ac:dyDescent="0.2">
      <c r="A38" s="4672" t="s">
        <v>2322</v>
      </c>
      <c r="B38" s="4672"/>
      <c r="C38" s="2905">
        <v>11</v>
      </c>
      <c r="D38" s="2906" t="s">
        <v>2269</v>
      </c>
      <c r="E38" s="2907" t="s">
        <v>2323</v>
      </c>
      <c r="F38" s="2908">
        <v>480</v>
      </c>
      <c r="G38" s="2908"/>
      <c r="H38" s="2909">
        <v>20337</v>
      </c>
      <c r="I38" s="4673">
        <v>19175.66</v>
      </c>
      <c r="J38" s="4673"/>
      <c r="K38" s="2909">
        <v>1161.3399999999999</v>
      </c>
      <c r="L38" s="2907"/>
      <c r="M38" s="2910"/>
      <c r="N38" s="2910"/>
      <c r="O38" s="2966">
        <f t="shared" si="0"/>
        <v>0</v>
      </c>
      <c r="P38" s="2907"/>
      <c r="Q38" s="2907"/>
      <c r="R38" s="2909">
        <v>20337</v>
      </c>
      <c r="S38" s="2909">
        <v>19175.66</v>
      </c>
      <c r="T38" s="2909">
        <v>1161.3399999999999</v>
      </c>
    </row>
    <row r="39" spans="1:20" ht="34.5" customHeight="1" outlineLevel="1" x14ac:dyDescent="0.2">
      <c r="A39" s="4672" t="s">
        <v>2324</v>
      </c>
      <c r="B39" s="4672"/>
      <c r="C39" s="2905">
        <v>427</v>
      </c>
      <c r="D39" s="2906" t="s">
        <v>2302</v>
      </c>
      <c r="E39" s="2907" t="s">
        <v>2325</v>
      </c>
      <c r="F39" s="2908">
        <v>706</v>
      </c>
      <c r="G39" s="2908"/>
      <c r="H39" s="2909">
        <v>243560</v>
      </c>
      <c r="I39" s="4673">
        <v>115922.2</v>
      </c>
      <c r="J39" s="4673"/>
      <c r="K39" s="2909">
        <v>127637.8</v>
      </c>
      <c r="L39" s="2907"/>
      <c r="M39" s="2911">
        <v>4139.88</v>
      </c>
      <c r="N39" s="2911">
        <f>M39</f>
        <v>4139.88</v>
      </c>
      <c r="O39" s="2966">
        <f t="shared" si="0"/>
        <v>0</v>
      </c>
      <c r="P39" s="2907"/>
      <c r="Q39" s="2907"/>
      <c r="R39" s="2909">
        <v>243560</v>
      </c>
      <c r="S39" s="2909">
        <v>120062.08</v>
      </c>
      <c r="T39" s="2909">
        <v>123497.92</v>
      </c>
    </row>
    <row r="40" spans="1:20" ht="34.5" customHeight="1" outlineLevel="1" x14ac:dyDescent="0.2">
      <c r="A40" s="4672" t="s">
        <v>2326</v>
      </c>
      <c r="B40" s="4672"/>
      <c r="C40" s="2905">
        <v>188</v>
      </c>
      <c r="D40" s="2906" t="s">
        <v>2327</v>
      </c>
      <c r="E40" s="2907" t="s">
        <v>2328</v>
      </c>
      <c r="F40" s="2908">
        <v>480</v>
      </c>
      <c r="G40" s="2908"/>
      <c r="H40" s="2909">
        <v>408130</v>
      </c>
      <c r="I40" s="4673">
        <v>408130</v>
      </c>
      <c r="J40" s="4673"/>
      <c r="K40" s="2907"/>
      <c r="L40" s="2907"/>
      <c r="M40" s="2910"/>
      <c r="N40" s="2911"/>
      <c r="O40" s="2966">
        <f t="shared" si="0"/>
        <v>0</v>
      </c>
      <c r="P40" s="2907"/>
      <c r="Q40" s="2907"/>
      <c r="R40" s="2909">
        <v>408130</v>
      </c>
      <c r="S40" s="2909">
        <v>408130</v>
      </c>
      <c r="T40" s="2907"/>
    </row>
    <row r="41" spans="1:20" ht="23.25" customHeight="1" outlineLevel="1" x14ac:dyDescent="0.2">
      <c r="A41" s="4672" t="s">
        <v>2329</v>
      </c>
      <c r="B41" s="4672"/>
      <c r="C41" s="2905">
        <v>28</v>
      </c>
      <c r="D41" s="2906" t="s">
        <v>2269</v>
      </c>
      <c r="E41" s="2907" t="s">
        <v>2330</v>
      </c>
      <c r="F41" s="2908">
        <v>480</v>
      </c>
      <c r="G41" s="2908"/>
      <c r="H41" s="2909">
        <v>46894</v>
      </c>
      <c r="I41" s="4673">
        <v>44271.6</v>
      </c>
      <c r="J41" s="4673"/>
      <c r="K41" s="2909">
        <v>2622.4</v>
      </c>
      <c r="L41" s="2907"/>
      <c r="M41" s="2910"/>
      <c r="N41" s="2911"/>
      <c r="O41" s="2966">
        <f t="shared" si="0"/>
        <v>0</v>
      </c>
      <c r="P41" s="2907"/>
      <c r="Q41" s="2907"/>
      <c r="R41" s="2909">
        <v>46894</v>
      </c>
      <c r="S41" s="2909">
        <v>44271.6</v>
      </c>
      <c r="T41" s="2909">
        <v>2622.4</v>
      </c>
    </row>
    <row r="42" spans="1:20" ht="34.5" customHeight="1" outlineLevel="1" x14ac:dyDescent="0.2">
      <c r="A42" s="4672" t="s">
        <v>2331</v>
      </c>
      <c r="B42" s="4672"/>
      <c r="C42" s="2905">
        <v>30</v>
      </c>
      <c r="D42" s="2906" t="s">
        <v>2248</v>
      </c>
      <c r="E42" s="2907" t="s">
        <v>2332</v>
      </c>
      <c r="F42" s="2908">
        <v>996</v>
      </c>
      <c r="G42" s="2908"/>
      <c r="H42" s="2909">
        <v>208968</v>
      </c>
      <c r="I42" s="4673">
        <v>66333.240000000005</v>
      </c>
      <c r="J42" s="4673"/>
      <c r="K42" s="2909">
        <v>142634.76</v>
      </c>
      <c r="L42" s="2907"/>
      <c r="M42" s="2911">
        <v>2517.7199999999998</v>
      </c>
      <c r="N42" s="2911">
        <f>M42</f>
        <v>2517.7199999999998</v>
      </c>
      <c r="O42" s="2966">
        <f t="shared" si="0"/>
        <v>0</v>
      </c>
      <c r="P42" s="2907"/>
      <c r="Q42" s="2907"/>
      <c r="R42" s="2909">
        <v>208968</v>
      </c>
      <c r="S42" s="2909">
        <v>68850.960000000006</v>
      </c>
      <c r="T42" s="2909">
        <v>140117.04</v>
      </c>
    </row>
    <row r="43" spans="1:20" ht="34.5" customHeight="1" outlineLevel="1" x14ac:dyDescent="0.2">
      <c r="A43" s="4672" t="s">
        <v>2333</v>
      </c>
      <c r="B43" s="4672"/>
      <c r="C43" s="2905">
        <v>290</v>
      </c>
      <c r="D43" s="2906" t="s">
        <v>2274</v>
      </c>
      <c r="E43" s="2907" t="s">
        <v>2334</v>
      </c>
      <c r="F43" s="2913">
        <v>1000</v>
      </c>
      <c r="G43" s="2913"/>
      <c r="H43" s="2909">
        <v>270551</v>
      </c>
      <c r="I43" s="4673">
        <v>97073</v>
      </c>
      <c r="J43" s="4673"/>
      <c r="K43" s="2909">
        <v>173478</v>
      </c>
      <c r="L43" s="2907"/>
      <c r="M43" s="2911">
        <v>3246.6</v>
      </c>
      <c r="N43" s="2911">
        <f>M43</f>
        <v>3246.6</v>
      </c>
      <c r="O43" s="2966">
        <f t="shared" si="0"/>
        <v>0</v>
      </c>
      <c r="P43" s="2907"/>
      <c r="Q43" s="2907"/>
      <c r="R43" s="2909">
        <v>270551</v>
      </c>
      <c r="S43" s="2909">
        <v>100319.6</v>
      </c>
      <c r="T43" s="2909">
        <v>170231.4</v>
      </c>
    </row>
    <row r="44" spans="1:20" ht="45.75" customHeight="1" outlineLevel="1" x14ac:dyDescent="0.2">
      <c r="A44" s="4672" t="s">
        <v>2335</v>
      </c>
      <c r="B44" s="4672"/>
      <c r="C44" s="2905">
        <v>31</v>
      </c>
      <c r="D44" s="2906" t="s">
        <v>2248</v>
      </c>
      <c r="E44" s="2907" t="s">
        <v>2336</v>
      </c>
      <c r="F44" s="2908">
        <v>996</v>
      </c>
      <c r="G44" s="2908"/>
      <c r="H44" s="2909">
        <v>1018065</v>
      </c>
      <c r="I44" s="4673">
        <v>201745.3</v>
      </c>
      <c r="J44" s="4673"/>
      <c r="K44" s="2909">
        <v>816319.7</v>
      </c>
      <c r="L44" s="2907"/>
      <c r="M44" s="2910"/>
      <c r="N44" s="2910"/>
      <c r="O44" s="2966">
        <f t="shared" si="0"/>
        <v>0</v>
      </c>
      <c r="P44" s="2907"/>
      <c r="Q44" s="2907"/>
      <c r="R44" s="2909">
        <v>1018065</v>
      </c>
      <c r="S44" s="2909">
        <v>201745.3</v>
      </c>
      <c r="T44" s="2909">
        <v>816319.7</v>
      </c>
    </row>
    <row r="45" spans="1:20" s="2921" customFormat="1" ht="32.25" customHeight="1" outlineLevel="1" x14ac:dyDescent="0.2">
      <c r="A45" s="4683" t="s">
        <v>2337</v>
      </c>
      <c r="B45" s="4683"/>
      <c r="C45" s="2914">
        <v>524</v>
      </c>
      <c r="D45" s="2915" t="s">
        <v>2338</v>
      </c>
      <c r="E45" s="2916" t="s">
        <v>2339</v>
      </c>
      <c r="F45" s="2917">
        <v>652</v>
      </c>
      <c r="G45" s="2917"/>
      <c r="H45" s="2916"/>
      <c r="I45" s="2918"/>
      <c r="J45" s="2919"/>
      <c r="K45" s="2916"/>
      <c r="L45" s="2920">
        <v>295038.57</v>
      </c>
      <c r="M45" s="2920">
        <v>1273496.22</v>
      </c>
      <c r="N45" s="2967">
        <v>0</v>
      </c>
      <c r="O45" s="2966">
        <f t="shared" si="0"/>
        <v>1273496.22</v>
      </c>
      <c r="P45" s="2916"/>
      <c r="Q45" s="2916"/>
      <c r="R45" s="2916"/>
      <c r="S45" s="2916"/>
      <c r="T45" s="2916"/>
    </row>
    <row r="46" spans="1:20" ht="23.25" customHeight="1" outlineLevel="1" x14ac:dyDescent="0.2">
      <c r="A46" s="4672" t="s">
        <v>2340</v>
      </c>
      <c r="B46" s="4672"/>
      <c r="C46" s="2905">
        <v>525</v>
      </c>
      <c r="D46" s="2906" t="s">
        <v>2341</v>
      </c>
      <c r="E46" s="2907" t="s">
        <v>2342</v>
      </c>
      <c r="F46" s="2908">
        <v>615</v>
      </c>
      <c r="G46" s="2908"/>
      <c r="H46" s="2909">
        <v>1205519.82</v>
      </c>
      <c r="I46" s="4673">
        <v>1205519.82</v>
      </c>
      <c r="J46" s="4673"/>
      <c r="K46" s="2907"/>
      <c r="L46" s="2907"/>
      <c r="M46" s="2910"/>
      <c r="N46" s="2910"/>
      <c r="O46" s="2966">
        <f t="shared" si="0"/>
        <v>0</v>
      </c>
      <c r="P46" s="2907"/>
      <c r="Q46" s="2907"/>
      <c r="R46" s="2909">
        <v>1205519.82</v>
      </c>
      <c r="S46" s="2909">
        <v>1205519.82</v>
      </c>
      <c r="T46" s="2907"/>
    </row>
    <row r="47" spans="1:20" ht="34.5" customHeight="1" outlineLevel="1" x14ac:dyDescent="0.2">
      <c r="A47" s="4672" t="s">
        <v>2343</v>
      </c>
      <c r="B47" s="4672"/>
      <c r="C47" s="2905">
        <v>191</v>
      </c>
      <c r="D47" s="2906" t="s">
        <v>2344</v>
      </c>
      <c r="E47" s="2907" t="s">
        <v>2345</v>
      </c>
      <c r="F47" s="2908">
        <v>600</v>
      </c>
      <c r="G47" s="2908"/>
      <c r="H47" s="2909">
        <v>109000</v>
      </c>
      <c r="I47" s="4673">
        <v>66103.600000000006</v>
      </c>
      <c r="J47" s="4673"/>
      <c r="K47" s="2909">
        <v>42896.4</v>
      </c>
      <c r="L47" s="2907"/>
      <c r="M47" s="2911">
        <v>2180.04</v>
      </c>
      <c r="N47" s="2911">
        <f>M47</f>
        <v>2180.04</v>
      </c>
      <c r="O47" s="2966">
        <f t="shared" si="0"/>
        <v>0</v>
      </c>
      <c r="P47" s="2907"/>
      <c r="Q47" s="2907"/>
      <c r="R47" s="2909">
        <v>109000</v>
      </c>
      <c r="S47" s="2909">
        <v>68283.64</v>
      </c>
      <c r="T47" s="2909">
        <v>40716.36</v>
      </c>
    </row>
    <row r="48" spans="1:20" ht="34.5" customHeight="1" outlineLevel="1" x14ac:dyDescent="0.2">
      <c r="A48" s="4672" t="s">
        <v>2346</v>
      </c>
      <c r="B48" s="4672"/>
      <c r="C48" s="2905">
        <v>222</v>
      </c>
      <c r="D48" s="2906" t="s">
        <v>2347</v>
      </c>
      <c r="E48" s="2907" t="s">
        <v>2348</v>
      </c>
      <c r="F48" s="2908">
        <v>600</v>
      </c>
      <c r="G48" s="2908"/>
      <c r="H48" s="2909">
        <v>108770</v>
      </c>
      <c r="I48" s="4673">
        <v>101775.16</v>
      </c>
      <c r="J48" s="4673"/>
      <c r="K48" s="2909">
        <v>6994.84</v>
      </c>
      <c r="L48" s="2907"/>
      <c r="M48" s="2911">
        <v>2175.36</v>
      </c>
      <c r="N48" s="2911">
        <f>M48</f>
        <v>2175.36</v>
      </c>
      <c r="O48" s="2966">
        <f t="shared" si="0"/>
        <v>0</v>
      </c>
      <c r="P48" s="2907"/>
      <c r="Q48" s="2907"/>
      <c r="R48" s="2909">
        <v>108770</v>
      </c>
      <c r="S48" s="2909">
        <v>103950.52</v>
      </c>
      <c r="T48" s="2909">
        <v>4819.4799999999996</v>
      </c>
    </row>
    <row r="49" spans="1:20" ht="23.25" customHeight="1" outlineLevel="1" x14ac:dyDescent="0.2">
      <c r="A49" s="4672" t="s">
        <v>2349</v>
      </c>
      <c r="B49" s="4672"/>
      <c r="C49" s="2905">
        <v>192</v>
      </c>
      <c r="D49" s="2906" t="s">
        <v>2350</v>
      </c>
      <c r="E49" s="2907" t="s">
        <v>2351</v>
      </c>
      <c r="F49" s="2908">
        <v>600</v>
      </c>
      <c r="G49" s="2908"/>
      <c r="H49" s="2909">
        <v>1332561</v>
      </c>
      <c r="I49" s="4673">
        <v>733323.82</v>
      </c>
      <c r="J49" s="4673"/>
      <c r="K49" s="2909">
        <v>599237.18000000005</v>
      </c>
      <c r="L49" s="2907"/>
      <c r="M49" s="2911">
        <v>30036.720000000001</v>
      </c>
      <c r="N49" s="2967">
        <f>H49/F49*12</f>
        <v>26651.22</v>
      </c>
      <c r="O49" s="2966">
        <f t="shared" si="0"/>
        <v>3385.5</v>
      </c>
      <c r="P49" s="2907"/>
      <c r="Q49" s="2907"/>
      <c r="R49" s="2909">
        <v>1332561</v>
      </c>
      <c r="S49" s="2909">
        <v>763360.54</v>
      </c>
      <c r="T49" s="2909">
        <v>569200.46</v>
      </c>
    </row>
    <row r="50" spans="1:20" s="2928" customFormat="1" ht="23.25" customHeight="1" outlineLevel="1" x14ac:dyDescent="0.2">
      <c r="A50" s="4681" t="s">
        <v>2352</v>
      </c>
      <c r="B50" s="4681"/>
      <c r="C50" s="2922">
        <v>552</v>
      </c>
      <c r="D50" s="2923" t="s">
        <v>2353</v>
      </c>
      <c r="E50" s="2924" t="s">
        <v>2354</v>
      </c>
      <c r="F50" s="2925">
        <v>480</v>
      </c>
      <c r="G50" s="2925"/>
      <c r="H50" s="2926">
        <v>80512</v>
      </c>
      <c r="I50" s="4682">
        <v>72472.399999999994</v>
      </c>
      <c r="J50" s="4682"/>
      <c r="K50" s="2926">
        <v>8039.6</v>
      </c>
      <c r="L50" s="2924"/>
      <c r="M50" s="2927">
        <v>335.46</v>
      </c>
      <c r="N50" s="2927">
        <f>M50</f>
        <v>335.46</v>
      </c>
      <c r="O50" s="2966">
        <f t="shared" si="0"/>
        <v>0</v>
      </c>
      <c r="P50" s="2926">
        <v>80512</v>
      </c>
      <c r="Q50" s="2926">
        <v>72807.86</v>
      </c>
      <c r="R50" s="2924"/>
      <c r="S50" s="2924"/>
      <c r="T50" s="2924"/>
    </row>
    <row r="51" spans="1:20" ht="23.25" customHeight="1" outlineLevel="1" x14ac:dyDescent="0.2">
      <c r="A51" s="4672" t="s">
        <v>2355</v>
      </c>
      <c r="B51" s="4672"/>
      <c r="C51" s="2905">
        <v>407</v>
      </c>
      <c r="D51" s="2906" t="s">
        <v>2313</v>
      </c>
      <c r="E51" s="2907" t="s">
        <v>2356</v>
      </c>
      <c r="F51" s="2908">
        <v>600</v>
      </c>
      <c r="G51" s="2908"/>
      <c r="H51" s="2909">
        <v>85604</v>
      </c>
      <c r="I51" s="4673">
        <v>80757.600000000006</v>
      </c>
      <c r="J51" s="4673"/>
      <c r="K51" s="2909">
        <v>4846.3999999999996</v>
      </c>
      <c r="L51" s="2907"/>
      <c r="M51" s="2911">
        <v>1712.04</v>
      </c>
      <c r="N51" s="2911">
        <f>M51</f>
        <v>1712.04</v>
      </c>
      <c r="O51" s="2966">
        <f t="shared" si="0"/>
        <v>0</v>
      </c>
      <c r="P51" s="2907"/>
      <c r="Q51" s="2907"/>
      <c r="R51" s="2909">
        <v>85604</v>
      </c>
      <c r="S51" s="2909">
        <v>82469.64</v>
      </c>
      <c r="T51" s="2909">
        <v>3134.36</v>
      </c>
    </row>
    <row r="52" spans="1:20" s="2921" customFormat="1" ht="23.25" customHeight="1" outlineLevel="1" x14ac:dyDescent="0.2">
      <c r="A52" s="4683" t="s">
        <v>2337</v>
      </c>
      <c r="B52" s="4683"/>
      <c r="C52" s="2914">
        <v>524</v>
      </c>
      <c r="D52" s="2915" t="s">
        <v>2338</v>
      </c>
      <c r="E52" s="2916" t="s">
        <v>2339</v>
      </c>
      <c r="F52" s="2917">
        <v>13</v>
      </c>
      <c r="G52" s="2917"/>
      <c r="H52" s="2920">
        <v>2232958.2799999998</v>
      </c>
      <c r="I52" s="4686">
        <v>848678.81</v>
      </c>
      <c r="J52" s="4686"/>
      <c r="K52" s="2920">
        <v>1384279.47</v>
      </c>
      <c r="L52" s="2916"/>
      <c r="M52" s="2920">
        <v>64074.85</v>
      </c>
      <c r="N52" s="2967"/>
      <c r="O52" s="2966">
        <f t="shared" si="0"/>
        <v>64074.85</v>
      </c>
      <c r="P52" s="2916"/>
      <c r="Q52" s="2916"/>
      <c r="R52" s="2920">
        <v>3301777.92</v>
      </c>
      <c r="S52" s="2920">
        <v>2532879.6800000002</v>
      </c>
      <c r="T52" s="2920">
        <v>768898.24</v>
      </c>
    </row>
    <row r="53" spans="1:20" ht="23.25" customHeight="1" outlineLevel="1" x14ac:dyDescent="0.2">
      <c r="A53" s="4672" t="s">
        <v>2357</v>
      </c>
      <c r="B53" s="4672"/>
      <c r="C53" s="2905">
        <v>219</v>
      </c>
      <c r="D53" s="2906" t="s">
        <v>2358</v>
      </c>
      <c r="E53" s="2907" t="s">
        <v>2359</v>
      </c>
      <c r="F53" s="2908">
        <v>600</v>
      </c>
      <c r="G53" s="2908"/>
      <c r="H53" s="2909">
        <v>581764.47</v>
      </c>
      <c r="I53" s="4673">
        <v>184393.79</v>
      </c>
      <c r="J53" s="4673"/>
      <c r="K53" s="2909">
        <v>397370.68</v>
      </c>
      <c r="L53" s="2907"/>
      <c r="M53" s="2911">
        <v>35062.080000000002</v>
      </c>
      <c r="N53" s="2967">
        <f t="shared" ref="N53:N60" si="1">H53/F53*12</f>
        <v>11635.2894</v>
      </c>
      <c r="O53" s="2966">
        <f t="shared" si="0"/>
        <v>23426.7906</v>
      </c>
      <c r="P53" s="2907"/>
      <c r="Q53" s="2907"/>
      <c r="R53" s="2909">
        <v>581764.47</v>
      </c>
      <c r="S53" s="2909">
        <v>219455.87</v>
      </c>
      <c r="T53" s="2909">
        <v>362308.6</v>
      </c>
    </row>
    <row r="54" spans="1:20" ht="23.25" customHeight="1" outlineLevel="1" x14ac:dyDescent="0.2">
      <c r="A54" s="4672" t="s">
        <v>2360</v>
      </c>
      <c r="B54" s="4672"/>
      <c r="C54" s="2905">
        <v>220</v>
      </c>
      <c r="D54" s="2906" t="s">
        <v>2361</v>
      </c>
      <c r="E54" s="2907" t="s">
        <v>2362</v>
      </c>
      <c r="F54" s="2908">
        <v>600</v>
      </c>
      <c r="G54" s="2908"/>
      <c r="H54" s="2909">
        <v>1005813.4</v>
      </c>
      <c r="I54" s="4673">
        <v>494016.57</v>
      </c>
      <c r="J54" s="4673"/>
      <c r="K54" s="2909">
        <v>511796.83</v>
      </c>
      <c r="L54" s="2907"/>
      <c r="M54" s="2911">
        <v>46177.2</v>
      </c>
      <c r="N54" s="2967">
        <f>H54/F54*12</f>
        <v>20116.268</v>
      </c>
      <c r="O54" s="2966">
        <f t="shared" si="0"/>
        <v>26060.931999999997</v>
      </c>
      <c r="P54" s="2907"/>
      <c r="Q54" s="2907"/>
      <c r="R54" s="2909">
        <v>1005813.4</v>
      </c>
      <c r="S54" s="2909">
        <v>540193.77</v>
      </c>
      <c r="T54" s="2909">
        <v>465619.63</v>
      </c>
    </row>
    <row r="55" spans="1:20" ht="34.5" customHeight="1" outlineLevel="1" x14ac:dyDescent="0.2">
      <c r="A55" s="4672" t="s">
        <v>2363</v>
      </c>
      <c r="B55" s="4672"/>
      <c r="C55" s="2905">
        <v>42</v>
      </c>
      <c r="D55" s="2906" t="s">
        <v>2248</v>
      </c>
      <c r="E55" s="2907" t="s">
        <v>2364</v>
      </c>
      <c r="F55" s="2908">
        <v>600</v>
      </c>
      <c r="G55" s="2908"/>
      <c r="H55" s="2909">
        <v>138770</v>
      </c>
      <c r="I55" s="4673">
        <v>77697.399999999994</v>
      </c>
      <c r="J55" s="4673"/>
      <c r="K55" s="2909">
        <v>61072.6</v>
      </c>
      <c r="L55" s="2907"/>
      <c r="M55" s="2911">
        <v>2775.36</v>
      </c>
      <c r="N55" s="2911">
        <f>M55</f>
        <v>2775.36</v>
      </c>
      <c r="O55" s="2966">
        <f t="shared" si="0"/>
        <v>0</v>
      </c>
      <c r="P55" s="2907"/>
      <c r="Q55" s="2907"/>
      <c r="R55" s="2909">
        <v>138770</v>
      </c>
      <c r="S55" s="2909">
        <v>80472.759999999995</v>
      </c>
      <c r="T55" s="2909">
        <v>58297.24</v>
      </c>
    </row>
    <row r="56" spans="1:20" ht="34.5" customHeight="1" outlineLevel="1" x14ac:dyDescent="0.2">
      <c r="A56" s="4672" t="s">
        <v>2365</v>
      </c>
      <c r="B56" s="4672"/>
      <c r="C56" s="2905">
        <v>43</v>
      </c>
      <c r="D56" s="2906" t="s">
        <v>2248</v>
      </c>
      <c r="E56" s="2907" t="s">
        <v>2366</v>
      </c>
      <c r="F56" s="2908">
        <v>600</v>
      </c>
      <c r="G56" s="2908"/>
      <c r="H56" s="2909">
        <v>205896</v>
      </c>
      <c r="I56" s="4673">
        <v>115293.8</v>
      </c>
      <c r="J56" s="4673"/>
      <c r="K56" s="2909">
        <v>90602.2</v>
      </c>
      <c r="L56" s="2907"/>
      <c r="M56" s="2911">
        <v>4117.92</v>
      </c>
      <c r="N56" s="2911">
        <f t="shared" si="1"/>
        <v>4117.92</v>
      </c>
      <c r="O56" s="2966">
        <f t="shared" si="0"/>
        <v>0</v>
      </c>
      <c r="P56" s="2907"/>
      <c r="Q56" s="2907"/>
      <c r="R56" s="2909">
        <v>205896</v>
      </c>
      <c r="S56" s="2909">
        <v>119411.72</v>
      </c>
      <c r="T56" s="2909">
        <v>86484.28</v>
      </c>
    </row>
    <row r="57" spans="1:20" ht="23.25" customHeight="1" outlineLevel="1" x14ac:dyDescent="0.2">
      <c r="A57" s="4672" t="s">
        <v>2367</v>
      </c>
      <c r="B57" s="4672"/>
      <c r="C57" s="2905">
        <v>44</v>
      </c>
      <c r="D57" s="2906" t="s">
        <v>2248</v>
      </c>
      <c r="E57" s="2907" t="s">
        <v>2368</v>
      </c>
      <c r="F57" s="2908">
        <v>600</v>
      </c>
      <c r="G57" s="2908"/>
      <c r="H57" s="2909">
        <v>225449</v>
      </c>
      <c r="I57" s="4673">
        <v>102967.5</v>
      </c>
      <c r="J57" s="4673"/>
      <c r="K57" s="2909">
        <v>122481.5</v>
      </c>
      <c r="L57" s="2907"/>
      <c r="M57" s="2910"/>
      <c r="N57" s="2911"/>
      <c r="O57" s="2966">
        <f t="shared" si="0"/>
        <v>0</v>
      </c>
      <c r="P57" s="2907"/>
      <c r="Q57" s="2907"/>
      <c r="R57" s="2909">
        <v>225449</v>
      </c>
      <c r="S57" s="2909">
        <v>102967.5</v>
      </c>
      <c r="T57" s="2909">
        <v>122481.5</v>
      </c>
    </row>
    <row r="58" spans="1:20" ht="23.25" customHeight="1" outlineLevel="1" x14ac:dyDescent="0.2">
      <c r="A58" s="4672" t="s">
        <v>2369</v>
      </c>
      <c r="B58" s="4672"/>
      <c r="C58" s="2905">
        <v>316</v>
      </c>
      <c r="D58" s="2906" t="s">
        <v>2274</v>
      </c>
      <c r="E58" s="2907" t="s">
        <v>2370</v>
      </c>
      <c r="F58" s="2908">
        <v>600</v>
      </c>
      <c r="G58" s="2908"/>
      <c r="H58" s="2909">
        <v>1053489.23</v>
      </c>
      <c r="I58" s="4673">
        <v>404195.22</v>
      </c>
      <c r="J58" s="4673"/>
      <c r="K58" s="2909">
        <v>649294.01</v>
      </c>
      <c r="L58" s="2907"/>
      <c r="M58" s="2911">
        <v>37182</v>
      </c>
      <c r="N58" s="2967">
        <f t="shared" si="1"/>
        <v>21069.784599999999</v>
      </c>
      <c r="O58" s="2966">
        <f t="shared" si="0"/>
        <v>16112.215400000001</v>
      </c>
      <c r="P58" s="2907"/>
      <c r="Q58" s="2907"/>
      <c r="R58" s="2909">
        <v>1053489.23</v>
      </c>
      <c r="S58" s="2909">
        <v>441377.22</v>
      </c>
      <c r="T58" s="2909">
        <v>612112.01</v>
      </c>
    </row>
    <row r="59" spans="1:20" ht="23.25" customHeight="1" outlineLevel="1" x14ac:dyDescent="0.2">
      <c r="A59" s="4672" t="s">
        <v>2371</v>
      </c>
      <c r="B59" s="4672"/>
      <c r="C59" s="2905">
        <v>194</v>
      </c>
      <c r="D59" s="2906" t="s">
        <v>2372</v>
      </c>
      <c r="E59" s="2907" t="s">
        <v>2373</v>
      </c>
      <c r="F59" s="2908">
        <v>600</v>
      </c>
      <c r="G59" s="2908"/>
      <c r="H59" s="2909">
        <v>317295</v>
      </c>
      <c r="I59" s="4673">
        <v>254156.4</v>
      </c>
      <c r="J59" s="4673"/>
      <c r="K59" s="2909">
        <v>63138.6</v>
      </c>
      <c r="L59" s="2907"/>
      <c r="M59" s="2911">
        <v>6345.96</v>
      </c>
      <c r="N59" s="2911">
        <f>M59</f>
        <v>6345.96</v>
      </c>
      <c r="O59" s="2966">
        <f t="shared" si="0"/>
        <v>0</v>
      </c>
      <c r="P59" s="2907"/>
      <c r="Q59" s="2907"/>
      <c r="R59" s="2909">
        <v>317295</v>
      </c>
      <c r="S59" s="2909">
        <v>260502.36</v>
      </c>
      <c r="T59" s="2909">
        <v>56792.639999999999</v>
      </c>
    </row>
    <row r="60" spans="1:20" ht="23.25" customHeight="1" outlineLevel="1" x14ac:dyDescent="0.2">
      <c r="A60" s="4672" t="s">
        <v>2374</v>
      </c>
      <c r="B60" s="4672"/>
      <c r="C60" s="2905">
        <v>195</v>
      </c>
      <c r="D60" s="2906" t="s">
        <v>2372</v>
      </c>
      <c r="E60" s="2907" t="s">
        <v>2375</v>
      </c>
      <c r="F60" s="2908">
        <v>600</v>
      </c>
      <c r="G60" s="2908"/>
      <c r="H60" s="2909">
        <v>376962.05</v>
      </c>
      <c r="I60" s="4673">
        <v>284431.68</v>
      </c>
      <c r="J60" s="4673"/>
      <c r="K60" s="2909">
        <v>92530.37</v>
      </c>
      <c r="L60" s="2907"/>
      <c r="M60" s="2911">
        <v>14030.76</v>
      </c>
      <c r="N60" s="2968">
        <f t="shared" si="1"/>
        <v>7539.241</v>
      </c>
      <c r="O60" s="2966">
        <f t="shared" si="0"/>
        <v>6491.5190000000002</v>
      </c>
      <c r="P60" s="2907"/>
      <c r="Q60" s="2907"/>
      <c r="R60" s="2909">
        <v>376962.05</v>
      </c>
      <c r="S60" s="2909">
        <v>298462.44</v>
      </c>
      <c r="T60" s="2909">
        <v>78499.61</v>
      </c>
    </row>
    <row r="61" spans="1:20" s="2921" customFormat="1" ht="23.25" customHeight="1" outlineLevel="1" x14ac:dyDescent="0.2">
      <c r="A61" s="4683" t="s">
        <v>2337</v>
      </c>
      <c r="B61" s="4683"/>
      <c r="C61" s="2914">
        <v>524</v>
      </c>
      <c r="D61" s="2915" t="s">
        <v>2338</v>
      </c>
      <c r="E61" s="2916" t="s">
        <v>2339</v>
      </c>
      <c r="F61" s="2917">
        <v>647</v>
      </c>
      <c r="G61" s="2917"/>
      <c r="H61" s="2916"/>
      <c r="I61" s="2918"/>
      <c r="J61" s="2919"/>
      <c r="K61" s="2916"/>
      <c r="L61" s="2916"/>
      <c r="M61" s="2920">
        <v>346629.8</v>
      </c>
      <c r="N61" s="2967">
        <f>'Насосная стация 2 подъем'!B27</f>
        <v>48159.603307573416</v>
      </c>
      <c r="O61" s="2966">
        <f t="shared" si="0"/>
        <v>298470.19669242657</v>
      </c>
      <c r="P61" s="2916"/>
      <c r="Q61" s="2916"/>
      <c r="R61" s="2916"/>
      <c r="S61" s="2916"/>
      <c r="T61" s="2916"/>
    </row>
    <row r="62" spans="1:20" s="2921" customFormat="1" ht="23.25" customHeight="1" outlineLevel="1" x14ac:dyDescent="0.2">
      <c r="A62" s="4683" t="s">
        <v>2337</v>
      </c>
      <c r="B62" s="4683"/>
      <c r="C62" s="2914">
        <v>524</v>
      </c>
      <c r="D62" s="2915" t="s">
        <v>2338</v>
      </c>
      <c r="E62" s="2916" t="s">
        <v>2339</v>
      </c>
      <c r="F62" s="2917">
        <v>671</v>
      </c>
      <c r="G62" s="2917"/>
      <c r="H62" s="2916"/>
      <c r="I62" s="2918"/>
      <c r="J62" s="2919"/>
      <c r="K62" s="2916"/>
      <c r="L62" s="2920">
        <v>773781.07</v>
      </c>
      <c r="M62" s="2916"/>
      <c r="N62" s="2916"/>
      <c r="O62" s="2966">
        <f t="shared" si="0"/>
        <v>0</v>
      </c>
      <c r="P62" s="2916"/>
      <c r="Q62" s="2916"/>
      <c r="R62" s="2916"/>
      <c r="S62" s="2916"/>
      <c r="T62" s="2916"/>
    </row>
    <row r="63" spans="1:20" s="2932" customFormat="1" ht="12.75" customHeight="1" x14ac:dyDescent="0.2">
      <c r="A63" s="4679" t="s">
        <v>2376</v>
      </c>
      <c r="B63" s="4679"/>
      <c r="C63" s="4679"/>
      <c r="D63" s="4679"/>
      <c r="E63" s="4679"/>
      <c r="F63" s="4679"/>
      <c r="G63" s="2929"/>
      <c r="H63" s="2930">
        <v>256331012.19999999</v>
      </c>
      <c r="I63" s="4680">
        <v>148054598.68000001</v>
      </c>
      <c r="J63" s="4680"/>
      <c r="K63" s="2930">
        <v>108276413.52</v>
      </c>
      <c r="L63" s="2930">
        <v>574743.34</v>
      </c>
      <c r="M63" s="2931">
        <v>8044634.1699999999</v>
      </c>
      <c r="N63" s="2931">
        <f>SUM(N64:N161)</f>
        <v>8044634.1700000009</v>
      </c>
      <c r="O63" s="2931"/>
      <c r="P63" s="2930">
        <v>119119</v>
      </c>
      <c r="Q63" s="2930">
        <v>119119</v>
      </c>
      <c r="R63" s="2930">
        <v>256786636.53999999</v>
      </c>
      <c r="S63" s="2930">
        <v>155980113.84999999</v>
      </c>
      <c r="T63" s="2930">
        <v>100806522.69</v>
      </c>
    </row>
    <row r="64" spans="1:20" s="2938" customFormat="1" ht="23.25" customHeight="1" outlineLevel="1" x14ac:dyDescent="0.2">
      <c r="A64" s="4684" t="s">
        <v>2377</v>
      </c>
      <c r="B64" s="4684"/>
      <c r="C64" s="2933">
        <v>1499</v>
      </c>
      <c r="D64" s="2934" t="s">
        <v>2378</v>
      </c>
      <c r="E64" s="2935" t="s">
        <v>2379</v>
      </c>
      <c r="F64" s="2936">
        <v>360</v>
      </c>
      <c r="G64" s="2936"/>
      <c r="H64" s="2937">
        <v>117257693.16</v>
      </c>
      <c r="I64" s="4685">
        <v>65918700.049999997</v>
      </c>
      <c r="J64" s="4685"/>
      <c r="K64" s="2937">
        <v>51338993.109999999</v>
      </c>
      <c r="L64" s="2935"/>
      <c r="M64" s="2937">
        <v>3908589.72</v>
      </c>
      <c r="N64" s="2937">
        <f>M64</f>
        <v>3908589.72</v>
      </c>
      <c r="O64" s="2937"/>
      <c r="P64" s="2935"/>
      <c r="Q64" s="2935"/>
      <c r="R64" s="2937">
        <v>117257693.16</v>
      </c>
      <c r="S64" s="2937">
        <v>69827289.769999996</v>
      </c>
      <c r="T64" s="2937">
        <v>47430403.390000001</v>
      </c>
    </row>
    <row r="65" spans="1:20" s="2938" customFormat="1" ht="34.5" customHeight="1" outlineLevel="1" x14ac:dyDescent="0.2">
      <c r="A65" s="4684" t="s">
        <v>2380</v>
      </c>
      <c r="B65" s="4684"/>
      <c r="C65" s="2933">
        <v>1506</v>
      </c>
      <c r="D65" s="2934" t="s">
        <v>2381</v>
      </c>
      <c r="E65" s="2935" t="s">
        <v>2382</v>
      </c>
      <c r="F65" s="2935"/>
      <c r="G65" s="2935"/>
      <c r="H65" s="2937">
        <v>5019.4399999999996</v>
      </c>
      <c r="I65" s="2939"/>
      <c r="J65" s="2940"/>
      <c r="K65" s="2937">
        <v>5019.4399999999996</v>
      </c>
      <c r="L65" s="2935"/>
      <c r="M65" s="2935"/>
      <c r="N65" s="2935"/>
      <c r="O65" s="2935"/>
      <c r="P65" s="2935"/>
      <c r="Q65" s="2935"/>
      <c r="R65" s="2937">
        <v>5019.4399999999996</v>
      </c>
      <c r="S65" s="2935"/>
      <c r="T65" s="2937">
        <v>5019.4399999999996</v>
      </c>
    </row>
    <row r="66" spans="1:20" s="2938" customFormat="1" ht="34.5" customHeight="1" outlineLevel="1" x14ac:dyDescent="0.2">
      <c r="A66" s="4684" t="s">
        <v>2380</v>
      </c>
      <c r="B66" s="4684"/>
      <c r="C66" s="2933">
        <v>1509</v>
      </c>
      <c r="D66" s="2934" t="s">
        <v>2381</v>
      </c>
      <c r="E66" s="2935" t="s">
        <v>2383</v>
      </c>
      <c r="F66" s="2935"/>
      <c r="G66" s="2935"/>
      <c r="H66" s="2941">
        <v>-5019.4399999999996</v>
      </c>
      <c r="I66" s="2939"/>
      <c r="J66" s="2940"/>
      <c r="K66" s="2941">
        <v>-5019.4399999999996</v>
      </c>
      <c r="L66" s="2935"/>
      <c r="M66" s="2935"/>
      <c r="N66" s="2935"/>
      <c r="O66" s="2935"/>
      <c r="P66" s="2935"/>
      <c r="Q66" s="2935"/>
      <c r="R66" s="2941">
        <v>-5019.4399999999996</v>
      </c>
      <c r="S66" s="2935"/>
      <c r="T66" s="2941">
        <v>-5019.4399999999996</v>
      </c>
    </row>
    <row r="67" spans="1:20" s="2904" customFormat="1" ht="23.25" customHeight="1" outlineLevel="1" x14ac:dyDescent="0.2">
      <c r="A67" s="4677" t="s">
        <v>2384</v>
      </c>
      <c r="B67" s="4677"/>
      <c r="C67" s="2897">
        <v>69</v>
      </c>
      <c r="D67" s="2898" t="s">
        <v>2248</v>
      </c>
      <c r="E67" s="2903" t="s">
        <v>2385</v>
      </c>
      <c r="F67" s="2900">
        <v>400</v>
      </c>
      <c r="G67" s="2900"/>
      <c r="H67" s="2901">
        <v>33987</v>
      </c>
      <c r="I67" s="4678">
        <v>28958.6</v>
      </c>
      <c r="J67" s="4678"/>
      <c r="K67" s="2901">
        <v>5028.3999999999996</v>
      </c>
      <c r="L67" s="2903"/>
      <c r="M67" s="2901">
        <v>1019.64</v>
      </c>
      <c r="N67" s="2901">
        <f>M67</f>
        <v>1019.64</v>
      </c>
      <c r="O67" s="2901"/>
      <c r="P67" s="2903"/>
      <c r="Q67" s="2903"/>
      <c r="R67" s="2901">
        <v>33987</v>
      </c>
      <c r="S67" s="2901">
        <v>29978.240000000002</v>
      </c>
      <c r="T67" s="2901">
        <v>4008.76</v>
      </c>
    </row>
    <row r="68" spans="1:20" s="2904" customFormat="1" ht="45.75" customHeight="1" outlineLevel="1" x14ac:dyDescent="0.2">
      <c r="A68" s="4677" t="s">
        <v>2386</v>
      </c>
      <c r="B68" s="4677"/>
      <c r="C68" s="2942">
        <v>1507</v>
      </c>
      <c r="D68" s="2898" t="s">
        <v>2381</v>
      </c>
      <c r="E68" s="2903" t="s">
        <v>2387</v>
      </c>
      <c r="F68" s="2903"/>
      <c r="G68" s="2903"/>
      <c r="H68" s="2943">
        <v>-1539.15</v>
      </c>
      <c r="I68" s="2944"/>
      <c r="J68" s="2945"/>
      <c r="K68" s="2943">
        <v>-1539.15</v>
      </c>
      <c r="L68" s="2901">
        <v>1539.15</v>
      </c>
      <c r="M68" s="2903"/>
      <c r="N68" s="2903"/>
      <c r="O68" s="2903"/>
      <c r="P68" s="2903"/>
      <c r="Q68" s="2903"/>
      <c r="R68" s="2903"/>
      <c r="S68" s="2903"/>
      <c r="T68" s="2903"/>
    </row>
    <row r="69" spans="1:20" ht="45.75" customHeight="1" outlineLevel="1" x14ac:dyDescent="0.2">
      <c r="A69" s="4672" t="s">
        <v>2386</v>
      </c>
      <c r="B69" s="4672"/>
      <c r="C69" s="2946">
        <v>1510</v>
      </c>
      <c r="D69" s="2906" t="s">
        <v>2381</v>
      </c>
      <c r="E69" s="2907" t="s">
        <v>2388</v>
      </c>
      <c r="F69" s="2907"/>
      <c r="G69" s="2907"/>
      <c r="H69" s="2909">
        <v>1539.15</v>
      </c>
      <c r="I69" s="2947"/>
      <c r="J69" s="2948"/>
      <c r="K69" s="2909">
        <v>1539.15</v>
      </c>
      <c r="L69" s="2949">
        <v>-1539.15</v>
      </c>
      <c r="M69" s="2910"/>
      <c r="N69" s="2910"/>
      <c r="O69" s="2910"/>
      <c r="P69" s="2907"/>
      <c r="Q69" s="2907"/>
      <c r="R69" s="2907"/>
      <c r="S69" s="2907"/>
      <c r="T69" s="2907"/>
    </row>
    <row r="70" spans="1:20" s="2938" customFormat="1" ht="23.25" customHeight="1" outlineLevel="1" x14ac:dyDescent="0.2">
      <c r="A70" s="4684" t="s">
        <v>2389</v>
      </c>
      <c r="B70" s="4684"/>
      <c r="C70" s="2933">
        <v>1498</v>
      </c>
      <c r="D70" s="2934" t="s">
        <v>2378</v>
      </c>
      <c r="E70" s="2935" t="s">
        <v>2390</v>
      </c>
      <c r="F70" s="2936">
        <v>360</v>
      </c>
      <c r="G70" s="2936"/>
      <c r="H70" s="2937">
        <v>104348582.04000001</v>
      </c>
      <c r="I70" s="4685">
        <v>59984469.880000003</v>
      </c>
      <c r="J70" s="4685"/>
      <c r="K70" s="2937">
        <v>44364112.159999996</v>
      </c>
      <c r="L70" s="2935"/>
      <c r="M70" s="2937">
        <v>3478286.04</v>
      </c>
      <c r="N70" s="2937">
        <f>M70</f>
        <v>3478286.04</v>
      </c>
      <c r="O70" s="2937"/>
      <c r="P70" s="2935"/>
      <c r="Q70" s="2935"/>
      <c r="R70" s="2937">
        <v>104348582.04000001</v>
      </c>
      <c r="S70" s="2937">
        <v>63462755.920000002</v>
      </c>
      <c r="T70" s="2937">
        <v>40885826.119999997</v>
      </c>
    </row>
    <row r="71" spans="1:20" ht="34.5" customHeight="1" outlineLevel="1" x14ac:dyDescent="0.2">
      <c r="A71" s="4672" t="s">
        <v>2391</v>
      </c>
      <c r="B71" s="4672"/>
      <c r="C71" s="2905">
        <v>315</v>
      </c>
      <c r="D71" s="2906" t="s">
        <v>2274</v>
      </c>
      <c r="E71" s="2907" t="s">
        <v>2392</v>
      </c>
      <c r="F71" s="2908">
        <v>600</v>
      </c>
      <c r="G71" s="2908"/>
      <c r="H71" s="2909">
        <v>319521</v>
      </c>
      <c r="I71" s="4673">
        <v>163510.72</v>
      </c>
      <c r="J71" s="4673"/>
      <c r="K71" s="2909">
        <v>156010.28</v>
      </c>
      <c r="L71" s="2907"/>
      <c r="M71" s="2910"/>
      <c r="N71" s="2910"/>
      <c r="O71" s="2910"/>
      <c r="P71" s="2907"/>
      <c r="Q71" s="2907"/>
      <c r="R71" s="2909">
        <v>319521</v>
      </c>
      <c r="S71" s="2909">
        <v>163510.72</v>
      </c>
      <c r="T71" s="2909">
        <v>156010.28</v>
      </c>
    </row>
    <row r="72" spans="1:20" ht="23.25" customHeight="1" outlineLevel="1" x14ac:dyDescent="0.2">
      <c r="A72" s="4672" t="s">
        <v>2393</v>
      </c>
      <c r="B72" s="4672"/>
      <c r="C72" s="2912">
        <v>1843</v>
      </c>
      <c r="D72" s="2906" t="s">
        <v>2394</v>
      </c>
      <c r="E72" s="2907" t="s">
        <v>2395</v>
      </c>
      <c r="F72" s="2908">
        <v>36</v>
      </c>
      <c r="G72" s="2908"/>
      <c r="H72" s="2909">
        <v>4063.92</v>
      </c>
      <c r="I72" s="4673">
        <v>4063.92</v>
      </c>
      <c r="J72" s="4673"/>
      <c r="K72" s="2907"/>
      <c r="L72" s="2907"/>
      <c r="M72" s="2910"/>
      <c r="N72" s="2910"/>
      <c r="O72" s="2910"/>
      <c r="P72" s="2907"/>
      <c r="Q72" s="2907"/>
      <c r="R72" s="2909">
        <v>4063.92</v>
      </c>
      <c r="S72" s="2909">
        <v>4063.92</v>
      </c>
      <c r="T72" s="2907"/>
    </row>
    <row r="73" spans="1:20" ht="34.5" customHeight="1" outlineLevel="1" x14ac:dyDescent="0.2">
      <c r="A73" s="4672" t="s">
        <v>2396</v>
      </c>
      <c r="B73" s="4672"/>
      <c r="C73" s="2905">
        <v>322</v>
      </c>
      <c r="D73" s="2906" t="s">
        <v>2397</v>
      </c>
      <c r="E73" s="2907" t="s">
        <v>2398</v>
      </c>
      <c r="F73" s="2908">
        <v>600</v>
      </c>
      <c r="G73" s="2908"/>
      <c r="H73" s="2909">
        <v>90610</v>
      </c>
      <c r="I73" s="4673">
        <v>90610</v>
      </c>
      <c r="J73" s="4673"/>
      <c r="K73" s="2907"/>
      <c r="L73" s="2907"/>
      <c r="M73" s="2910"/>
      <c r="N73" s="2910"/>
      <c r="O73" s="2910"/>
      <c r="P73" s="2907"/>
      <c r="Q73" s="2907"/>
      <c r="R73" s="2909">
        <v>90610</v>
      </c>
      <c r="S73" s="2909">
        <v>90610</v>
      </c>
      <c r="T73" s="2907"/>
    </row>
    <row r="74" spans="1:20" ht="23.25" customHeight="1" outlineLevel="1" x14ac:dyDescent="0.2">
      <c r="A74" s="4672" t="s">
        <v>2399</v>
      </c>
      <c r="B74" s="4672"/>
      <c r="C74" s="2912">
        <v>1753</v>
      </c>
      <c r="D74" s="2906" t="s">
        <v>2400</v>
      </c>
      <c r="E74" s="2907" t="s">
        <v>2401</v>
      </c>
      <c r="F74" s="2908">
        <v>240</v>
      </c>
      <c r="G74" s="2908"/>
      <c r="H74" s="2909">
        <v>9773</v>
      </c>
      <c r="I74" s="4673">
        <v>7329.68</v>
      </c>
      <c r="J74" s="4673"/>
      <c r="K74" s="2909">
        <v>2443.3200000000002</v>
      </c>
      <c r="L74" s="2907"/>
      <c r="M74" s="2950">
        <v>488.64</v>
      </c>
      <c r="N74" s="2950">
        <f>M74</f>
        <v>488.64</v>
      </c>
      <c r="O74" s="2950"/>
      <c r="P74" s="2907"/>
      <c r="Q74" s="2907"/>
      <c r="R74" s="2909">
        <v>9773</v>
      </c>
      <c r="S74" s="2909">
        <v>7818.32</v>
      </c>
      <c r="T74" s="2909">
        <v>1954.68</v>
      </c>
    </row>
    <row r="75" spans="1:20" ht="23.25" customHeight="1" outlineLevel="1" x14ac:dyDescent="0.2">
      <c r="A75" s="4672" t="s">
        <v>2402</v>
      </c>
      <c r="B75" s="4672"/>
      <c r="C75" s="2905">
        <v>388</v>
      </c>
      <c r="D75" s="2906" t="s">
        <v>2403</v>
      </c>
      <c r="E75" s="2907" t="s">
        <v>2404</v>
      </c>
      <c r="F75" s="2908">
        <v>132</v>
      </c>
      <c r="G75" s="2908"/>
      <c r="H75" s="2909">
        <v>2628</v>
      </c>
      <c r="I75" s="4673">
        <v>2628</v>
      </c>
      <c r="J75" s="4673"/>
      <c r="K75" s="2907"/>
      <c r="L75" s="2907"/>
      <c r="M75" s="2910"/>
      <c r="N75" s="2910"/>
      <c r="O75" s="2910"/>
      <c r="P75" s="2907"/>
      <c r="Q75" s="2907"/>
      <c r="R75" s="2909">
        <v>2628</v>
      </c>
      <c r="S75" s="2909">
        <v>2628</v>
      </c>
      <c r="T75" s="2907"/>
    </row>
    <row r="76" spans="1:20" ht="23.25" customHeight="1" outlineLevel="1" x14ac:dyDescent="0.2">
      <c r="A76" s="4672" t="s">
        <v>2405</v>
      </c>
      <c r="B76" s="4672"/>
      <c r="C76" s="2905">
        <v>223</v>
      </c>
      <c r="D76" s="2906" t="s">
        <v>2347</v>
      </c>
      <c r="E76" s="2907" t="s">
        <v>2406</v>
      </c>
      <c r="F76" s="2908">
        <v>300</v>
      </c>
      <c r="G76" s="2908"/>
      <c r="H76" s="2909">
        <v>545603</v>
      </c>
      <c r="I76" s="4673">
        <v>545603</v>
      </c>
      <c r="J76" s="4673"/>
      <c r="K76" s="2907"/>
      <c r="L76" s="2907"/>
      <c r="M76" s="2910"/>
      <c r="N76" s="2910"/>
      <c r="O76" s="2910"/>
      <c r="P76" s="2907"/>
      <c r="Q76" s="2907"/>
      <c r="R76" s="2909">
        <v>545603</v>
      </c>
      <c r="S76" s="2909">
        <v>545603</v>
      </c>
      <c r="T76" s="2907"/>
    </row>
    <row r="77" spans="1:20" ht="34.5" customHeight="1" outlineLevel="1" x14ac:dyDescent="0.2">
      <c r="A77" s="4672" t="s">
        <v>2407</v>
      </c>
      <c r="B77" s="4672"/>
      <c r="C77" s="2912">
        <v>2429</v>
      </c>
      <c r="D77" s="2906" t="s">
        <v>2305</v>
      </c>
      <c r="E77" s="2907" t="s">
        <v>2408</v>
      </c>
      <c r="F77" s="2908">
        <v>240</v>
      </c>
      <c r="G77" s="2908"/>
      <c r="H77" s="2909">
        <v>2338066.7400000002</v>
      </c>
      <c r="I77" s="4673">
        <v>642968.04</v>
      </c>
      <c r="J77" s="4673"/>
      <c r="K77" s="2909">
        <v>1695098.7</v>
      </c>
      <c r="L77" s="2907"/>
      <c r="M77" s="2911">
        <v>116903.28</v>
      </c>
      <c r="N77" s="2911">
        <f>M77</f>
        <v>116903.28</v>
      </c>
      <c r="O77" s="2911"/>
      <c r="P77" s="2907"/>
      <c r="Q77" s="2907"/>
      <c r="R77" s="2909">
        <v>2338066.7400000002</v>
      </c>
      <c r="S77" s="2909">
        <v>759871.32</v>
      </c>
      <c r="T77" s="2909">
        <v>1578195.42</v>
      </c>
    </row>
    <row r="78" spans="1:20" ht="34.5" customHeight="1" outlineLevel="1" x14ac:dyDescent="0.2">
      <c r="A78" s="4672" t="s">
        <v>2409</v>
      </c>
      <c r="B78" s="4672"/>
      <c r="C78" s="2905">
        <v>292</v>
      </c>
      <c r="D78" s="2906" t="s">
        <v>2274</v>
      </c>
      <c r="E78" s="2907" t="s">
        <v>2410</v>
      </c>
      <c r="F78" s="2908">
        <v>600</v>
      </c>
      <c r="G78" s="2908"/>
      <c r="H78" s="2909">
        <v>4130963</v>
      </c>
      <c r="I78" s="4673">
        <v>2526748.2000000002</v>
      </c>
      <c r="J78" s="4673"/>
      <c r="K78" s="2909">
        <v>1604214.8</v>
      </c>
      <c r="L78" s="2907"/>
      <c r="M78" s="2911">
        <v>82619.28</v>
      </c>
      <c r="N78" s="2911">
        <f>M78</f>
        <v>82619.28</v>
      </c>
      <c r="O78" s="2911"/>
      <c r="P78" s="2907"/>
      <c r="Q78" s="2907"/>
      <c r="R78" s="2909">
        <v>4130963</v>
      </c>
      <c r="S78" s="2909">
        <v>2609367.48</v>
      </c>
      <c r="T78" s="2909">
        <v>1521595.52</v>
      </c>
    </row>
    <row r="79" spans="1:20" ht="23.25" customHeight="1" outlineLevel="1" x14ac:dyDescent="0.2">
      <c r="A79" s="4672" t="s">
        <v>2411</v>
      </c>
      <c r="B79" s="4672"/>
      <c r="C79" s="2905">
        <v>52</v>
      </c>
      <c r="D79" s="2906" t="s">
        <v>2248</v>
      </c>
      <c r="E79" s="2907" t="s">
        <v>2412</v>
      </c>
      <c r="F79" s="2908">
        <v>300</v>
      </c>
      <c r="G79" s="2908"/>
      <c r="H79" s="2909">
        <v>370574</v>
      </c>
      <c r="I79" s="4673">
        <v>370574</v>
      </c>
      <c r="J79" s="4673"/>
      <c r="K79" s="2907"/>
      <c r="L79" s="2907"/>
      <c r="M79" s="2910"/>
      <c r="N79" s="2911"/>
      <c r="O79" s="2911"/>
      <c r="P79" s="2907"/>
      <c r="Q79" s="2907"/>
      <c r="R79" s="2909">
        <v>370574</v>
      </c>
      <c r="S79" s="2909">
        <v>370574</v>
      </c>
      <c r="T79" s="2907"/>
    </row>
    <row r="80" spans="1:20" ht="23.25" customHeight="1" outlineLevel="1" x14ac:dyDescent="0.2">
      <c r="A80" s="4672" t="s">
        <v>2413</v>
      </c>
      <c r="B80" s="4672"/>
      <c r="C80" s="2905">
        <v>53</v>
      </c>
      <c r="D80" s="2906" t="s">
        <v>2248</v>
      </c>
      <c r="E80" s="2907" t="s">
        <v>2414</v>
      </c>
      <c r="F80" s="2908">
        <v>400</v>
      </c>
      <c r="G80" s="2908"/>
      <c r="H80" s="2909">
        <v>352928</v>
      </c>
      <c r="I80" s="4673">
        <v>304384.59999999998</v>
      </c>
      <c r="J80" s="4673"/>
      <c r="K80" s="2909">
        <v>48543.4</v>
      </c>
      <c r="L80" s="2907"/>
      <c r="M80" s="2911">
        <v>10587.84</v>
      </c>
      <c r="N80" s="2911">
        <f>H80/F80*12</f>
        <v>10587.84</v>
      </c>
      <c r="O80" s="2911"/>
      <c r="P80" s="2907"/>
      <c r="Q80" s="2907"/>
      <c r="R80" s="2909">
        <v>352928</v>
      </c>
      <c r="S80" s="2909">
        <v>314972.44</v>
      </c>
      <c r="T80" s="2909">
        <v>37955.56</v>
      </c>
    </row>
    <row r="81" spans="1:20" ht="23.25" customHeight="1" outlineLevel="1" x14ac:dyDescent="0.2">
      <c r="A81" s="4672" t="s">
        <v>2415</v>
      </c>
      <c r="B81" s="4672"/>
      <c r="C81" s="2905">
        <v>317</v>
      </c>
      <c r="D81" s="2906" t="s">
        <v>2274</v>
      </c>
      <c r="E81" s="2907" t="s">
        <v>2416</v>
      </c>
      <c r="F81" s="2908">
        <v>300</v>
      </c>
      <c r="G81" s="2908"/>
      <c r="H81" s="2909">
        <v>601053</v>
      </c>
      <c r="I81" s="4673">
        <v>601053</v>
      </c>
      <c r="J81" s="4673"/>
      <c r="K81" s="2907"/>
      <c r="L81" s="2907"/>
      <c r="M81" s="2910"/>
      <c r="N81" s="2910"/>
      <c r="O81" s="2910"/>
      <c r="P81" s="2907"/>
      <c r="Q81" s="2907"/>
      <c r="R81" s="2909">
        <v>601053</v>
      </c>
      <c r="S81" s="2909">
        <v>601053</v>
      </c>
      <c r="T81" s="2907"/>
    </row>
    <row r="82" spans="1:20" ht="23.25" customHeight="1" outlineLevel="1" x14ac:dyDescent="0.2">
      <c r="A82" s="4672" t="s">
        <v>2417</v>
      </c>
      <c r="B82" s="4672"/>
      <c r="C82" s="2905">
        <v>318</v>
      </c>
      <c r="D82" s="2906" t="s">
        <v>2274</v>
      </c>
      <c r="E82" s="2907" t="s">
        <v>2418</v>
      </c>
      <c r="F82" s="2908">
        <v>300</v>
      </c>
      <c r="G82" s="2908"/>
      <c r="H82" s="2909">
        <v>94081</v>
      </c>
      <c r="I82" s="4673">
        <v>94081</v>
      </c>
      <c r="J82" s="4673"/>
      <c r="K82" s="2907"/>
      <c r="L82" s="2907"/>
      <c r="M82" s="2910"/>
      <c r="N82" s="2910"/>
      <c r="O82" s="2910"/>
      <c r="P82" s="2907"/>
      <c r="Q82" s="2907"/>
      <c r="R82" s="2909">
        <v>94081</v>
      </c>
      <c r="S82" s="2909">
        <v>94081</v>
      </c>
      <c r="T82" s="2907"/>
    </row>
    <row r="83" spans="1:20" ht="23.25" customHeight="1" outlineLevel="1" x14ac:dyDescent="0.2">
      <c r="A83" s="4672" t="s">
        <v>2419</v>
      </c>
      <c r="B83" s="4672"/>
      <c r="C83" s="2905">
        <v>54</v>
      </c>
      <c r="D83" s="2906" t="s">
        <v>2248</v>
      </c>
      <c r="E83" s="2907" t="s">
        <v>2420</v>
      </c>
      <c r="F83" s="2908">
        <v>300</v>
      </c>
      <c r="G83" s="2908"/>
      <c r="H83" s="2909">
        <v>206150</v>
      </c>
      <c r="I83" s="4673">
        <v>206150</v>
      </c>
      <c r="J83" s="4673"/>
      <c r="K83" s="2907"/>
      <c r="L83" s="2907"/>
      <c r="M83" s="2910"/>
      <c r="N83" s="2910"/>
      <c r="O83" s="2910"/>
      <c r="P83" s="2907"/>
      <c r="Q83" s="2907"/>
      <c r="R83" s="2909">
        <v>206150</v>
      </c>
      <c r="S83" s="2909">
        <v>206150</v>
      </c>
      <c r="T83" s="2907"/>
    </row>
    <row r="84" spans="1:20" ht="23.25" customHeight="1" outlineLevel="1" x14ac:dyDescent="0.2">
      <c r="A84" s="4672" t="s">
        <v>2421</v>
      </c>
      <c r="B84" s="4672"/>
      <c r="C84" s="2905">
        <v>319</v>
      </c>
      <c r="D84" s="2906" t="s">
        <v>2274</v>
      </c>
      <c r="E84" s="2907" t="s">
        <v>2422</v>
      </c>
      <c r="F84" s="2908">
        <v>214</v>
      </c>
      <c r="G84" s="2908"/>
      <c r="H84" s="2909">
        <v>16033</v>
      </c>
      <c r="I84" s="4673">
        <v>16033</v>
      </c>
      <c r="J84" s="4673"/>
      <c r="K84" s="2907"/>
      <c r="L84" s="2907"/>
      <c r="M84" s="2910"/>
      <c r="N84" s="2910"/>
      <c r="O84" s="2910"/>
      <c r="P84" s="2907"/>
      <c r="Q84" s="2907"/>
      <c r="R84" s="2909">
        <v>16033</v>
      </c>
      <c r="S84" s="2909">
        <v>16033</v>
      </c>
      <c r="T84" s="2907"/>
    </row>
    <row r="85" spans="1:20" ht="23.25" customHeight="1" outlineLevel="1" x14ac:dyDescent="0.2">
      <c r="A85" s="4672" t="s">
        <v>2423</v>
      </c>
      <c r="B85" s="4672"/>
      <c r="C85" s="2912">
        <v>1839</v>
      </c>
      <c r="D85" s="2906" t="s">
        <v>2424</v>
      </c>
      <c r="E85" s="2907" t="s">
        <v>2425</v>
      </c>
      <c r="F85" s="2908">
        <v>120</v>
      </c>
      <c r="G85" s="2908"/>
      <c r="H85" s="2909">
        <v>5475.2</v>
      </c>
      <c r="I85" s="4673">
        <v>5475.2</v>
      </c>
      <c r="J85" s="4673"/>
      <c r="K85" s="2907"/>
      <c r="L85" s="2907"/>
      <c r="M85" s="2910"/>
      <c r="N85" s="2910"/>
      <c r="O85" s="2910"/>
      <c r="P85" s="2907"/>
      <c r="Q85" s="2907"/>
      <c r="R85" s="2909">
        <v>5475.2</v>
      </c>
      <c r="S85" s="2909">
        <v>5475.2</v>
      </c>
      <c r="T85" s="2907"/>
    </row>
    <row r="86" spans="1:20" ht="23.25" customHeight="1" outlineLevel="1" x14ac:dyDescent="0.2">
      <c r="A86" s="4672" t="s">
        <v>2399</v>
      </c>
      <c r="B86" s="4672"/>
      <c r="C86" s="2912">
        <v>1752</v>
      </c>
      <c r="D86" s="2906" t="s">
        <v>2400</v>
      </c>
      <c r="E86" s="2907" t="s">
        <v>2426</v>
      </c>
      <c r="F86" s="2908">
        <v>708</v>
      </c>
      <c r="G86" s="2908"/>
      <c r="H86" s="2909">
        <v>7896</v>
      </c>
      <c r="I86" s="4673">
        <v>5340.6</v>
      </c>
      <c r="J86" s="4673"/>
      <c r="K86" s="2909">
        <v>2555.4</v>
      </c>
      <c r="L86" s="2907"/>
      <c r="M86" s="2950">
        <v>133.80000000000001</v>
      </c>
      <c r="N86" s="2911">
        <f>M86</f>
        <v>133.80000000000001</v>
      </c>
      <c r="O86" s="2911"/>
      <c r="P86" s="2907"/>
      <c r="Q86" s="2907"/>
      <c r="R86" s="2909">
        <v>7896</v>
      </c>
      <c r="S86" s="2909">
        <v>5474.4</v>
      </c>
      <c r="T86" s="2909">
        <v>2421.6</v>
      </c>
    </row>
    <row r="87" spans="1:20" ht="23.25" customHeight="1" outlineLevel="1" x14ac:dyDescent="0.2">
      <c r="A87" s="4672" t="s">
        <v>2427</v>
      </c>
      <c r="B87" s="4672"/>
      <c r="C87" s="2905">
        <v>57</v>
      </c>
      <c r="D87" s="2906" t="s">
        <v>2248</v>
      </c>
      <c r="E87" s="2907" t="s">
        <v>2428</v>
      </c>
      <c r="F87" s="2908">
        <v>480</v>
      </c>
      <c r="G87" s="2908"/>
      <c r="H87" s="2909">
        <v>168856</v>
      </c>
      <c r="I87" s="4673">
        <v>118208.4</v>
      </c>
      <c r="J87" s="4673"/>
      <c r="K87" s="2909">
        <v>50647.6</v>
      </c>
      <c r="L87" s="2907"/>
      <c r="M87" s="2911">
        <v>4221.3599999999997</v>
      </c>
      <c r="N87" s="2911">
        <f>M87</f>
        <v>4221.3599999999997</v>
      </c>
      <c r="O87" s="2911"/>
      <c r="P87" s="2907"/>
      <c r="Q87" s="2907"/>
      <c r="R87" s="2909">
        <v>168856</v>
      </c>
      <c r="S87" s="2909">
        <v>122429.75999999999</v>
      </c>
      <c r="T87" s="2909">
        <v>46426.239999999998</v>
      </c>
    </row>
    <row r="88" spans="1:20" ht="34.5" customHeight="1" outlineLevel="1" x14ac:dyDescent="0.2">
      <c r="A88" s="4672" t="s">
        <v>2429</v>
      </c>
      <c r="B88" s="4672"/>
      <c r="C88" s="2905">
        <v>21</v>
      </c>
      <c r="D88" s="2906" t="s">
        <v>2269</v>
      </c>
      <c r="E88" s="2907" t="s">
        <v>2430</v>
      </c>
      <c r="F88" s="2908">
        <v>480</v>
      </c>
      <c r="G88" s="2908"/>
      <c r="H88" s="2909">
        <v>751530</v>
      </c>
      <c r="I88" s="4673">
        <v>709302.42</v>
      </c>
      <c r="J88" s="4673"/>
      <c r="K88" s="2909">
        <v>42227.58</v>
      </c>
      <c r="L88" s="2907"/>
      <c r="M88" s="2910"/>
      <c r="N88" s="2910"/>
      <c r="O88" s="2910"/>
      <c r="P88" s="2907"/>
      <c r="Q88" s="2907"/>
      <c r="R88" s="2909">
        <v>751530</v>
      </c>
      <c r="S88" s="2909">
        <v>709302.42</v>
      </c>
      <c r="T88" s="2909">
        <v>42227.58</v>
      </c>
    </row>
    <row r="89" spans="1:20" ht="34.5" customHeight="1" outlineLevel="1" x14ac:dyDescent="0.2">
      <c r="A89" s="4672" t="s">
        <v>2431</v>
      </c>
      <c r="B89" s="4672"/>
      <c r="C89" s="2905">
        <v>335</v>
      </c>
      <c r="D89" s="2906" t="s">
        <v>2274</v>
      </c>
      <c r="E89" s="2907" t="s">
        <v>2432</v>
      </c>
      <c r="F89" s="2908">
        <v>480</v>
      </c>
      <c r="G89" s="2908"/>
      <c r="H89" s="2907"/>
      <c r="I89" s="2947"/>
      <c r="J89" s="2948"/>
      <c r="K89" s="2907"/>
      <c r="L89" s="2907"/>
      <c r="M89" s="2910"/>
      <c r="N89" s="2910"/>
      <c r="O89" s="2910"/>
      <c r="P89" s="2907"/>
      <c r="Q89" s="2907"/>
      <c r="R89" s="2907"/>
      <c r="S89" s="2907"/>
      <c r="T89" s="2907"/>
    </row>
    <row r="90" spans="1:20" ht="23.25" customHeight="1" outlineLevel="1" x14ac:dyDescent="0.2">
      <c r="A90" s="4672" t="s">
        <v>2433</v>
      </c>
      <c r="B90" s="4672"/>
      <c r="C90" s="2905">
        <v>35</v>
      </c>
      <c r="D90" s="2906" t="s">
        <v>2248</v>
      </c>
      <c r="E90" s="2907" t="s">
        <v>2434</v>
      </c>
      <c r="F90" s="2908">
        <v>600</v>
      </c>
      <c r="G90" s="2908"/>
      <c r="H90" s="2909">
        <v>189088</v>
      </c>
      <c r="I90" s="4673">
        <v>105883</v>
      </c>
      <c r="J90" s="4673"/>
      <c r="K90" s="2909">
        <v>83205</v>
      </c>
      <c r="L90" s="2907"/>
      <c r="M90" s="2911">
        <v>3781.8</v>
      </c>
      <c r="N90" s="2911">
        <f>M90</f>
        <v>3781.8</v>
      </c>
      <c r="O90" s="2911"/>
      <c r="P90" s="2907"/>
      <c r="Q90" s="2907"/>
      <c r="R90" s="2909">
        <v>189088</v>
      </c>
      <c r="S90" s="2909">
        <v>109664.8</v>
      </c>
      <c r="T90" s="2909">
        <v>79423.199999999997</v>
      </c>
    </row>
    <row r="91" spans="1:20" s="2928" customFormat="1" ht="23.25" customHeight="1" outlineLevel="1" x14ac:dyDescent="0.2">
      <c r="A91" s="4681" t="s">
        <v>2435</v>
      </c>
      <c r="B91" s="4681"/>
      <c r="C91" s="2951">
        <v>1924</v>
      </c>
      <c r="D91" s="2923" t="s">
        <v>2277</v>
      </c>
      <c r="E91" s="2924" t="s">
        <v>2436</v>
      </c>
      <c r="F91" s="2925">
        <v>120</v>
      </c>
      <c r="G91" s="2925"/>
      <c r="H91" s="2926">
        <v>519011.09</v>
      </c>
      <c r="I91" s="4682">
        <v>519010.8</v>
      </c>
      <c r="J91" s="4682"/>
      <c r="K91" s="2927">
        <v>0.28999999999999998</v>
      </c>
      <c r="L91" s="2924"/>
      <c r="M91" s="2927">
        <v>0.28999999999999998</v>
      </c>
      <c r="N91" s="2926">
        <f>M91</f>
        <v>0.28999999999999998</v>
      </c>
      <c r="O91" s="2926"/>
      <c r="P91" s="2924"/>
      <c r="Q91" s="2924"/>
      <c r="R91" s="2926">
        <v>519011.09</v>
      </c>
      <c r="S91" s="2926">
        <v>519011.09</v>
      </c>
      <c r="T91" s="2924"/>
    </row>
    <row r="92" spans="1:20" ht="34.5" customHeight="1" outlineLevel="1" x14ac:dyDescent="0.2">
      <c r="A92" s="4672" t="s">
        <v>2437</v>
      </c>
      <c r="B92" s="4672"/>
      <c r="C92" s="2905">
        <v>12</v>
      </c>
      <c r="D92" s="2906" t="s">
        <v>2269</v>
      </c>
      <c r="E92" s="2907" t="s">
        <v>2438</v>
      </c>
      <c r="F92" s="2908">
        <v>600</v>
      </c>
      <c r="G92" s="2908"/>
      <c r="H92" s="2909">
        <v>946377</v>
      </c>
      <c r="I92" s="4673">
        <v>946377</v>
      </c>
      <c r="J92" s="4673"/>
      <c r="K92" s="2907"/>
      <c r="L92" s="2907"/>
      <c r="M92" s="2910"/>
      <c r="N92" s="2910"/>
      <c r="O92" s="2910"/>
      <c r="P92" s="2907"/>
      <c r="Q92" s="2907"/>
      <c r="R92" s="2909">
        <v>946377</v>
      </c>
      <c r="S92" s="2909">
        <v>946377</v>
      </c>
      <c r="T92" s="2907"/>
    </row>
    <row r="93" spans="1:20" ht="23.25" customHeight="1" outlineLevel="1" x14ac:dyDescent="0.2">
      <c r="A93" s="4672" t="s">
        <v>2439</v>
      </c>
      <c r="B93" s="4672"/>
      <c r="C93" s="2905">
        <v>58</v>
      </c>
      <c r="D93" s="2906" t="s">
        <v>2248</v>
      </c>
      <c r="E93" s="2907" t="s">
        <v>2440</v>
      </c>
      <c r="F93" s="2908">
        <v>144</v>
      </c>
      <c r="G93" s="2908"/>
      <c r="H93" s="2909">
        <v>64284</v>
      </c>
      <c r="I93" s="4673">
        <v>64284</v>
      </c>
      <c r="J93" s="4673"/>
      <c r="K93" s="2907"/>
      <c r="L93" s="2907"/>
      <c r="M93" s="2910"/>
      <c r="N93" s="2910"/>
      <c r="O93" s="2910"/>
      <c r="P93" s="2907"/>
      <c r="Q93" s="2907"/>
      <c r="R93" s="2909">
        <v>64284</v>
      </c>
      <c r="S93" s="2909">
        <v>64284</v>
      </c>
      <c r="T93" s="2907"/>
    </row>
    <row r="94" spans="1:20" ht="23.25" customHeight="1" outlineLevel="1" x14ac:dyDescent="0.2">
      <c r="A94" s="4672" t="s">
        <v>2441</v>
      </c>
      <c r="B94" s="4672"/>
      <c r="C94" s="2905">
        <v>551</v>
      </c>
      <c r="D94" s="2906" t="s">
        <v>2353</v>
      </c>
      <c r="E94" s="2907" t="s">
        <v>2442</v>
      </c>
      <c r="F94" s="2908">
        <v>432</v>
      </c>
      <c r="G94" s="2908"/>
      <c r="H94" s="2909">
        <v>119119</v>
      </c>
      <c r="I94" s="4673">
        <v>119119</v>
      </c>
      <c r="J94" s="4673"/>
      <c r="K94" s="2907"/>
      <c r="L94" s="2907"/>
      <c r="M94" s="2910"/>
      <c r="N94" s="2910"/>
      <c r="O94" s="2910"/>
      <c r="P94" s="2909">
        <v>119119</v>
      </c>
      <c r="Q94" s="2909">
        <v>119119</v>
      </c>
      <c r="R94" s="2907"/>
      <c r="S94" s="2907"/>
      <c r="T94" s="2907"/>
    </row>
    <row r="95" spans="1:20" ht="34.5" customHeight="1" outlineLevel="1" x14ac:dyDescent="0.2">
      <c r="A95" s="4672" t="s">
        <v>2443</v>
      </c>
      <c r="B95" s="4672"/>
      <c r="C95" s="2905">
        <v>36</v>
      </c>
      <c r="D95" s="2906" t="s">
        <v>2248</v>
      </c>
      <c r="E95" s="2907" t="s">
        <v>2444</v>
      </c>
      <c r="F95" s="2908">
        <v>571</v>
      </c>
      <c r="G95" s="2908"/>
      <c r="H95" s="2909">
        <v>60916</v>
      </c>
      <c r="I95" s="4673">
        <v>37983.4</v>
      </c>
      <c r="J95" s="4673"/>
      <c r="K95" s="2909">
        <v>22932.6</v>
      </c>
      <c r="L95" s="2907"/>
      <c r="M95" s="2911">
        <v>1280.1600000000001</v>
      </c>
      <c r="N95" s="2911">
        <f>M95</f>
        <v>1280.1600000000001</v>
      </c>
      <c r="O95" s="2911"/>
      <c r="P95" s="2907"/>
      <c r="Q95" s="2907"/>
      <c r="R95" s="2909">
        <v>60916</v>
      </c>
      <c r="S95" s="2909">
        <v>39263.56</v>
      </c>
      <c r="T95" s="2909">
        <v>21652.44</v>
      </c>
    </row>
    <row r="96" spans="1:20" ht="23.25" customHeight="1" outlineLevel="1" x14ac:dyDescent="0.2">
      <c r="A96" s="4672" t="s">
        <v>2445</v>
      </c>
      <c r="B96" s="4672"/>
      <c r="C96" s="2905">
        <v>15</v>
      </c>
      <c r="D96" s="2906" t="s">
        <v>2269</v>
      </c>
      <c r="E96" s="2907" t="s">
        <v>2446</v>
      </c>
      <c r="F96" s="2908">
        <v>600</v>
      </c>
      <c r="G96" s="2908"/>
      <c r="H96" s="2909">
        <v>194903</v>
      </c>
      <c r="I96" s="4673">
        <v>149484.12</v>
      </c>
      <c r="J96" s="4673"/>
      <c r="K96" s="2909">
        <v>45418.879999999997</v>
      </c>
      <c r="L96" s="2907"/>
      <c r="M96" s="2910"/>
      <c r="N96" s="2911"/>
      <c r="O96" s="2911"/>
      <c r="P96" s="2907"/>
      <c r="Q96" s="2907"/>
      <c r="R96" s="2909">
        <v>194903</v>
      </c>
      <c r="S96" s="2909">
        <v>149484.12</v>
      </c>
      <c r="T96" s="2909">
        <v>45418.879999999997</v>
      </c>
    </row>
    <row r="97" spans="1:20" ht="23.25" customHeight="1" outlineLevel="1" x14ac:dyDescent="0.2">
      <c r="A97" s="4672" t="s">
        <v>2447</v>
      </c>
      <c r="B97" s="4672"/>
      <c r="C97" s="2912">
        <v>1834</v>
      </c>
      <c r="D97" s="2906" t="s">
        <v>2424</v>
      </c>
      <c r="E97" s="2907" t="s">
        <v>2448</v>
      </c>
      <c r="F97" s="2908">
        <v>180</v>
      </c>
      <c r="G97" s="2908"/>
      <c r="H97" s="2909">
        <v>4347.12</v>
      </c>
      <c r="I97" s="4673">
        <v>3332.7</v>
      </c>
      <c r="J97" s="4673"/>
      <c r="K97" s="2909">
        <v>1014.42</v>
      </c>
      <c r="L97" s="2907"/>
      <c r="M97" s="2950">
        <v>289.8</v>
      </c>
      <c r="N97" s="2911">
        <f>M97</f>
        <v>289.8</v>
      </c>
      <c r="O97" s="2911"/>
      <c r="P97" s="2907"/>
      <c r="Q97" s="2907"/>
      <c r="R97" s="2909">
        <v>4347.12</v>
      </c>
      <c r="S97" s="2909">
        <v>3622.5</v>
      </c>
      <c r="T97" s="2952">
        <v>724.62</v>
      </c>
    </row>
    <row r="98" spans="1:20" ht="23.25" customHeight="1" outlineLevel="1" x14ac:dyDescent="0.2">
      <c r="A98" s="4672" t="s">
        <v>2449</v>
      </c>
      <c r="B98" s="4672"/>
      <c r="C98" s="2905">
        <v>329</v>
      </c>
      <c r="D98" s="2906" t="s">
        <v>2274</v>
      </c>
      <c r="E98" s="2907" t="s">
        <v>2450</v>
      </c>
      <c r="F98" s="2908">
        <v>480</v>
      </c>
      <c r="G98" s="2908"/>
      <c r="H98" s="2909">
        <v>147731</v>
      </c>
      <c r="I98" s="4673">
        <v>112999.6</v>
      </c>
      <c r="J98" s="4673"/>
      <c r="K98" s="2909">
        <v>34731.4</v>
      </c>
      <c r="L98" s="2907"/>
      <c r="M98" s="2911">
        <v>3693.24</v>
      </c>
      <c r="N98" s="2911">
        <f>M98</f>
        <v>3693.24</v>
      </c>
      <c r="O98" s="2911"/>
      <c r="P98" s="2907"/>
      <c r="Q98" s="2907"/>
      <c r="R98" s="2909">
        <v>147731</v>
      </c>
      <c r="S98" s="2909">
        <v>116692.84</v>
      </c>
      <c r="T98" s="2909">
        <v>31038.16</v>
      </c>
    </row>
    <row r="99" spans="1:20" ht="23.25" customHeight="1" outlineLevel="1" x14ac:dyDescent="0.2">
      <c r="A99" s="4672" t="s">
        <v>2451</v>
      </c>
      <c r="B99" s="4672"/>
      <c r="C99" s="2912">
        <v>1844</v>
      </c>
      <c r="D99" s="2906" t="s">
        <v>2424</v>
      </c>
      <c r="E99" s="2907" t="s">
        <v>2452</v>
      </c>
      <c r="F99" s="2908">
        <v>36</v>
      </c>
      <c r="G99" s="2908"/>
      <c r="H99" s="2909">
        <v>2020.16</v>
      </c>
      <c r="I99" s="4673">
        <v>2020.16</v>
      </c>
      <c r="J99" s="4673"/>
      <c r="K99" s="2907"/>
      <c r="L99" s="2907"/>
      <c r="M99" s="2910"/>
      <c r="N99" s="2910"/>
      <c r="O99" s="2910"/>
      <c r="P99" s="2907"/>
      <c r="Q99" s="2907"/>
      <c r="R99" s="2909">
        <v>2020.16</v>
      </c>
      <c r="S99" s="2909">
        <v>2020.16</v>
      </c>
      <c r="T99" s="2907"/>
    </row>
    <row r="100" spans="1:20" ht="23.25" customHeight="1" outlineLevel="1" x14ac:dyDescent="0.2">
      <c r="A100" s="4672" t="s">
        <v>2453</v>
      </c>
      <c r="B100" s="4672"/>
      <c r="C100" s="2905">
        <v>224</v>
      </c>
      <c r="D100" s="2906" t="s">
        <v>2347</v>
      </c>
      <c r="E100" s="2907" t="s">
        <v>2454</v>
      </c>
      <c r="F100" s="2908">
        <v>360</v>
      </c>
      <c r="G100" s="2908"/>
      <c r="H100" s="2909">
        <v>89331</v>
      </c>
      <c r="I100" s="4673">
        <v>89331</v>
      </c>
      <c r="J100" s="4673"/>
      <c r="K100" s="2907"/>
      <c r="L100" s="2907"/>
      <c r="M100" s="2910"/>
      <c r="N100" s="2910"/>
      <c r="O100" s="2910"/>
      <c r="P100" s="2907"/>
      <c r="Q100" s="2907"/>
      <c r="R100" s="2909">
        <v>89331</v>
      </c>
      <c r="S100" s="2909">
        <v>89331</v>
      </c>
      <c r="T100" s="2907"/>
    </row>
    <row r="101" spans="1:20" ht="23.25" customHeight="1" outlineLevel="1" x14ac:dyDescent="0.2">
      <c r="A101" s="4672" t="s">
        <v>2455</v>
      </c>
      <c r="B101" s="4672"/>
      <c r="C101" s="2905">
        <v>14</v>
      </c>
      <c r="D101" s="2906" t="s">
        <v>2269</v>
      </c>
      <c r="E101" s="2907" t="s">
        <v>2456</v>
      </c>
      <c r="F101" s="2908">
        <v>240</v>
      </c>
      <c r="G101" s="2908"/>
      <c r="H101" s="2909">
        <v>617275</v>
      </c>
      <c r="I101" s="4673">
        <v>617275</v>
      </c>
      <c r="J101" s="4673"/>
      <c r="K101" s="2907"/>
      <c r="L101" s="2907"/>
      <c r="M101" s="2910"/>
      <c r="N101" s="2910"/>
      <c r="O101" s="2910"/>
      <c r="P101" s="2907"/>
      <c r="Q101" s="2907"/>
      <c r="R101" s="2909">
        <v>617275</v>
      </c>
      <c r="S101" s="2909">
        <v>617275</v>
      </c>
      <c r="T101" s="2907"/>
    </row>
    <row r="102" spans="1:20" ht="23.25" customHeight="1" outlineLevel="1" x14ac:dyDescent="0.2">
      <c r="A102" s="4672" t="s">
        <v>2457</v>
      </c>
      <c r="B102" s="4672"/>
      <c r="C102" s="2905">
        <v>38</v>
      </c>
      <c r="D102" s="2906" t="s">
        <v>2248</v>
      </c>
      <c r="E102" s="2907" t="s">
        <v>2458</v>
      </c>
      <c r="F102" s="2908">
        <v>600</v>
      </c>
      <c r="G102" s="2908"/>
      <c r="H102" s="2909">
        <v>1544320</v>
      </c>
      <c r="I102" s="4673">
        <v>705254.66</v>
      </c>
      <c r="J102" s="4673"/>
      <c r="K102" s="2909">
        <v>839065.34</v>
      </c>
      <c r="L102" s="2907"/>
      <c r="M102" s="2910"/>
      <c r="N102" s="2910"/>
      <c r="O102" s="2910"/>
      <c r="P102" s="2907"/>
      <c r="Q102" s="2907"/>
      <c r="R102" s="2909">
        <v>1544320</v>
      </c>
      <c r="S102" s="2909">
        <v>705254.66</v>
      </c>
      <c r="T102" s="2909">
        <v>839065.34</v>
      </c>
    </row>
    <row r="103" spans="1:20" ht="23.25" customHeight="1" outlineLevel="1" x14ac:dyDescent="0.2">
      <c r="A103" s="4672" t="s">
        <v>2459</v>
      </c>
      <c r="B103" s="4672"/>
      <c r="C103" s="2905">
        <v>165</v>
      </c>
      <c r="D103" s="2906" t="s">
        <v>2460</v>
      </c>
      <c r="E103" s="2907" t="s">
        <v>2461</v>
      </c>
      <c r="F103" s="2908">
        <v>600</v>
      </c>
      <c r="G103" s="2908"/>
      <c r="H103" s="2909">
        <v>5020</v>
      </c>
      <c r="I103" s="4673">
        <v>1602.6</v>
      </c>
      <c r="J103" s="4673"/>
      <c r="K103" s="2909">
        <v>3417.4</v>
      </c>
      <c r="L103" s="2907"/>
      <c r="M103" s="2950">
        <v>100.44</v>
      </c>
      <c r="N103" s="2911">
        <f>M103</f>
        <v>100.44</v>
      </c>
      <c r="O103" s="2911"/>
      <c r="P103" s="2907"/>
      <c r="Q103" s="2907"/>
      <c r="R103" s="2909">
        <v>5020</v>
      </c>
      <c r="S103" s="2909">
        <v>1703.04</v>
      </c>
      <c r="T103" s="2909">
        <v>3316.96</v>
      </c>
    </row>
    <row r="104" spans="1:20" ht="45.75" customHeight="1" outlineLevel="1" x14ac:dyDescent="0.2">
      <c r="A104" s="4672" t="s">
        <v>2462</v>
      </c>
      <c r="B104" s="4672"/>
      <c r="C104" s="2912">
        <v>2431</v>
      </c>
      <c r="D104" s="2906" t="s">
        <v>2305</v>
      </c>
      <c r="E104" s="2907" t="s">
        <v>2463</v>
      </c>
      <c r="F104" s="2908">
        <v>120</v>
      </c>
      <c r="G104" s="2908"/>
      <c r="H104" s="2909">
        <v>1859602.46</v>
      </c>
      <c r="I104" s="4673">
        <v>1004704.8</v>
      </c>
      <c r="J104" s="4673"/>
      <c r="K104" s="2909">
        <v>854897.66</v>
      </c>
      <c r="L104" s="2907"/>
      <c r="M104" s="2911">
        <v>185960.28</v>
      </c>
      <c r="N104" s="2911">
        <f>M104</f>
        <v>185960.28</v>
      </c>
      <c r="O104" s="2911"/>
      <c r="P104" s="2907"/>
      <c r="Q104" s="2907"/>
      <c r="R104" s="2909">
        <v>1859602.46</v>
      </c>
      <c r="S104" s="2909">
        <v>1190665.08</v>
      </c>
      <c r="T104" s="2909">
        <v>668937.38</v>
      </c>
    </row>
    <row r="105" spans="1:20" ht="23.25" customHeight="1" outlineLevel="1" x14ac:dyDescent="0.2">
      <c r="A105" s="4672" t="s">
        <v>2464</v>
      </c>
      <c r="B105" s="4672"/>
      <c r="C105" s="2905">
        <v>71</v>
      </c>
      <c r="D105" s="2906" t="s">
        <v>2248</v>
      </c>
      <c r="E105" s="2907" t="s">
        <v>2404</v>
      </c>
      <c r="F105" s="2908">
        <v>144</v>
      </c>
      <c r="G105" s="2908"/>
      <c r="H105" s="2909">
        <v>2628</v>
      </c>
      <c r="I105" s="4673">
        <v>2628</v>
      </c>
      <c r="J105" s="4673"/>
      <c r="K105" s="2907"/>
      <c r="L105" s="2907"/>
      <c r="M105" s="2910"/>
      <c r="N105" s="2911"/>
      <c r="O105" s="2911"/>
      <c r="P105" s="2907"/>
      <c r="Q105" s="2907"/>
      <c r="R105" s="2909">
        <v>2628</v>
      </c>
      <c r="S105" s="2909">
        <v>2628</v>
      </c>
      <c r="T105" s="2907"/>
    </row>
    <row r="106" spans="1:20" ht="23.25" customHeight="1" outlineLevel="1" x14ac:dyDescent="0.2">
      <c r="A106" s="4672" t="s">
        <v>2465</v>
      </c>
      <c r="B106" s="4672"/>
      <c r="C106" s="2946">
        <v>1475</v>
      </c>
      <c r="D106" s="2906" t="s">
        <v>2466</v>
      </c>
      <c r="E106" s="2907" t="s">
        <v>2467</v>
      </c>
      <c r="F106" s="2908">
        <v>240</v>
      </c>
      <c r="G106" s="2908"/>
      <c r="H106" s="2909">
        <v>400632</v>
      </c>
      <c r="I106" s="4673">
        <v>70110.600000000006</v>
      </c>
      <c r="J106" s="4673"/>
      <c r="K106" s="2909">
        <v>330521.40000000002</v>
      </c>
      <c r="L106" s="2907"/>
      <c r="M106" s="2911">
        <v>20031.599999999999</v>
      </c>
      <c r="N106" s="2911">
        <f>H106/F106*12</f>
        <v>20031.599999999999</v>
      </c>
      <c r="O106" s="2911"/>
      <c r="P106" s="2907"/>
      <c r="Q106" s="2907"/>
      <c r="R106" s="2909">
        <v>400632</v>
      </c>
      <c r="S106" s="2909">
        <v>90142.2</v>
      </c>
      <c r="T106" s="2909">
        <v>310489.8</v>
      </c>
    </row>
    <row r="107" spans="1:20" ht="23.25" customHeight="1" outlineLevel="1" x14ac:dyDescent="0.2">
      <c r="A107" s="4672" t="s">
        <v>2468</v>
      </c>
      <c r="B107" s="4672"/>
      <c r="C107" s="2905">
        <v>323</v>
      </c>
      <c r="D107" s="2906" t="s">
        <v>2274</v>
      </c>
      <c r="E107" s="2907" t="s">
        <v>2469</v>
      </c>
      <c r="F107" s="2908">
        <v>706</v>
      </c>
      <c r="G107" s="2908"/>
      <c r="H107" s="2909">
        <v>33941</v>
      </c>
      <c r="I107" s="4673">
        <v>17712.400000000001</v>
      </c>
      <c r="J107" s="4673"/>
      <c r="K107" s="2909">
        <v>16228.6</v>
      </c>
      <c r="L107" s="2907"/>
      <c r="M107" s="2950">
        <v>576.96</v>
      </c>
      <c r="N107" s="2911">
        <f>M107</f>
        <v>576.96</v>
      </c>
      <c r="O107" s="2911"/>
      <c r="P107" s="2907"/>
      <c r="Q107" s="2907"/>
      <c r="R107" s="2909">
        <v>33941</v>
      </c>
      <c r="S107" s="2909">
        <v>18289.36</v>
      </c>
      <c r="T107" s="2909">
        <v>15651.64</v>
      </c>
    </row>
    <row r="108" spans="1:20" ht="23.25" customHeight="1" outlineLevel="1" x14ac:dyDescent="0.2">
      <c r="A108" s="4672" t="s">
        <v>2470</v>
      </c>
      <c r="B108" s="4672"/>
      <c r="C108" s="2905">
        <v>39</v>
      </c>
      <c r="D108" s="2906" t="s">
        <v>2248</v>
      </c>
      <c r="E108" s="2907" t="s">
        <v>2471</v>
      </c>
      <c r="F108" s="2908">
        <v>600</v>
      </c>
      <c r="G108" s="2908"/>
      <c r="H108" s="2909">
        <v>397565</v>
      </c>
      <c r="I108" s="4673">
        <v>219342.8</v>
      </c>
      <c r="J108" s="4673"/>
      <c r="K108" s="2909">
        <v>178222.2</v>
      </c>
      <c r="L108" s="2907"/>
      <c r="M108" s="2911">
        <v>7951.32</v>
      </c>
      <c r="N108" s="2911">
        <f>M108</f>
        <v>7951.32</v>
      </c>
      <c r="O108" s="2911"/>
      <c r="P108" s="2907"/>
      <c r="Q108" s="2907"/>
      <c r="R108" s="2909">
        <v>397565</v>
      </c>
      <c r="S108" s="2909">
        <v>227294.12</v>
      </c>
      <c r="T108" s="2909">
        <v>170270.88</v>
      </c>
    </row>
    <row r="109" spans="1:20" ht="34.5" customHeight="1" outlineLevel="1" x14ac:dyDescent="0.2">
      <c r="A109" s="4672" t="s">
        <v>2472</v>
      </c>
      <c r="B109" s="4672"/>
      <c r="C109" s="2905">
        <v>73</v>
      </c>
      <c r="D109" s="2906" t="s">
        <v>2248</v>
      </c>
      <c r="E109" s="2907" t="s">
        <v>2473</v>
      </c>
      <c r="F109" s="2908">
        <v>144</v>
      </c>
      <c r="G109" s="2908"/>
      <c r="H109" s="2909">
        <v>10030</v>
      </c>
      <c r="I109" s="4673">
        <v>10030</v>
      </c>
      <c r="J109" s="4673"/>
      <c r="K109" s="2907"/>
      <c r="L109" s="2907"/>
      <c r="M109" s="2910"/>
      <c r="N109" s="2911"/>
      <c r="O109" s="2911"/>
      <c r="P109" s="2907"/>
      <c r="Q109" s="2907"/>
      <c r="R109" s="2909">
        <v>10030</v>
      </c>
      <c r="S109" s="2909">
        <v>10030</v>
      </c>
      <c r="T109" s="2907"/>
    </row>
    <row r="110" spans="1:20" ht="23.25" customHeight="1" outlineLevel="1" x14ac:dyDescent="0.2">
      <c r="A110" s="4672" t="s">
        <v>2474</v>
      </c>
      <c r="B110" s="4672"/>
      <c r="C110" s="2905">
        <v>177</v>
      </c>
      <c r="D110" s="2906" t="s">
        <v>2347</v>
      </c>
      <c r="E110" s="2907" t="s">
        <v>2475</v>
      </c>
      <c r="F110" s="2908">
        <v>364</v>
      </c>
      <c r="G110" s="2908"/>
      <c r="H110" s="2909">
        <v>57281</v>
      </c>
      <c r="I110" s="4673">
        <v>57281</v>
      </c>
      <c r="J110" s="4673"/>
      <c r="K110" s="2907"/>
      <c r="L110" s="2907"/>
      <c r="M110" s="2910"/>
      <c r="N110" s="2911"/>
      <c r="O110" s="2911"/>
      <c r="P110" s="2907"/>
      <c r="Q110" s="2907"/>
      <c r="R110" s="2909">
        <v>57281</v>
      </c>
      <c r="S110" s="2909">
        <v>57281</v>
      </c>
      <c r="T110" s="2907"/>
    </row>
    <row r="111" spans="1:20" ht="23.25" customHeight="1" outlineLevel="1" x14ac:dyDescent="0.2">
      <c r="A111" s="4672" t="s">
        <v>2476</v>
      </c>
      <c r="B111" s="4672"/>
      <c r="C111" s="2905">
        <v>22</v>
      </c>
      <c r="D111" s="2906" t="s">
        <v>2269</v>
      </c>
      <c r="E111" s="2907" t="s">
        <v>2477</v>
      </c>
      <c r="F111" s="2908">
        <v>300</v>
      </c>
      <c r="G111" s="2908"/>
      <c r="H111" s="2909">
        <v>162631</v>
      </c>
      <c r="I111" s="4673">
        <v>162631</v>
      </c>
      <c r="J111" s="4673"/>
      <c r="K111" s="2907"/>
      <c r="L111" s="2907"/>
      <c r="M111" s="2910"/>
      <c r="N111" s="2911"/>
      <c r="O111" s="2911"/>
      <c r="P111" s="2907"/>
      <c r="Q111" s="2907"/>
      <c r="R111" s="2909">
        <v>162631</v>
      </c>
      <c r="S111" s="2909">
        <v>162631</v>
      </c>
      <c r="T111" s="2907"/>
    </row>
    <row r="112" spans="1:20" ht="23.25" customHeight="1" outlineLevel="1" x14ac:dyDescent="0.2">
      <c r="A112" s="4672" t="s">
        <v>2478</v>
      </c>
      <c r="B112" s="4672"/>
      <c r="C112" s="2905">
        <v>16</v>
      </c>
      <c r="D112" s="2906" t="s">
        <v>2269</v>
      </c>
      <c r="E112" s="2907" t="s">
        <v>2479</v>
      </c>
      <c r="F112" s="2908">
        <v>600</v>
      </c>
      <c r="G112" s="2908"/>
      <c r="H112" s="2909">
        <v>2712909</v>
      </c>
      <c r="I112" s="4673">
        <v>1550872.36</v>
      </c>
      <c r="J112" s="4673"/>
      <c r="K112" s="2909">
        <v>1162036.6399999999</v>
      </c>
      <c r="L112" s="2907"/>
      <c r="M112" s="2910"/>
      <c r="N112" s="2911"/>
      <c r="O112" s="2911"/>
      <c r="P112" s="2907"/>
      <c r="Q112" s="2907"/>
      <c r="R112" s="2909">
        <v>2712909</v>
      </c>
      <c r="S112" s="2909">
        <v>1550872.36</v>
      </c>
      <c r="T112" s="2909">
        <v>1162036.6399999999</v>
      </c>
    </row>
    <row r="113" spans="1:20" ht="23.25" customHeight="1" outlineLevel="1" x14ac:dyDescent="0.2">
      <c r="A113" s="4672" t="s">
        <v>2480</v>
      </c>
      <c r="B113" s="4672"/>
      <c r="C113" s="2905">
        <v>23</v>
      </c>
      <c r="D113" s="2906" t="s">
        <v>2269</v>
      </c>
      <c r="E113" s="2907" t="s">
        <v>2481</v>
      </c>
      <c r="F113" s="2908">
        <v>600</v>
      </c>
      <c r="G113" s="2908"/>
      <c r="H113" s="2909">
        <v>536070</v>
      </c>
      <c r="I113" s="4673">
        <v>405602.1</v>
      </c>
      <c r="J113" s="4673"/>
      <c r="K113" s="2909">
        <v>130467.9</v>
      </c>
      <c r="L113" s="2907"/>
      <c r="M113" s="2910"/>
      <c r="N113" s="2911"/>
      <c r="O113" s="2911"/>
      <c r="P113" s="2907"/>
      <c r="Q113" s="2907"/>
      <c r="R113" s="2909">
        <v>536070</v>
      </c>
      <c r="S113" s="2909">
        <v>405602.1</v>
      </c>
      <c r="T113" s="2909">
        <v>130467.9</v>
      </c>
    </row>
    <row r="114" spans="1:20" ht="34.5" customHeight="1" outlineLevel="1" x14ac:dyDescent="0.2">
      <c r="A114" s="4672" t="s">
        <v>2482</v>
      </c>
      <c r="B114" s="4672"/>
      <c r="C114" s="2912">
        <v>2430</v>
      </c>
      <c r="D114" s="2906" t="s">
        <v>2305</v>
      </c>
      <c r="E114" s="2907" t="s">
        <v>2483</v>
      </c>
      <c r="F114" s="2908">
        <v>180</v>
      </c>
      <c r="G114" s="2908"/>
      <c r="H114" s="2909">
        <v>663989</v>
      </c>
      <c r="I114" s="4673">
        <v>243462.78</v>
      </c>
      <c r="J114" s="4673"/>
      <c r="K114" s="2909">
        <v>420526.22</v>
      </c>
      <c r="L114" s="2907"/>
      <c r="M114" s="2911">
        <v>44265.96</v>
      </c>
      <c r="N114" s="2911">
        <f>M114</f>
        <v>44265.96</v>
      </c>
      <c r="O114" s="2911"/>
      <c r="P114" s="2907"/>
      <c r="Q114" s="2907"/>
      <c r="R114" s="2909">
        <v>663989</v>
      </c>
      <c r="S114" s="2909">
        <v>287728.74</v>
      </c>
      <c r="T114" s="2909">
        <v>376260.26</v>
      </c>
    </row>
    <row r="115" spans="1:20" ht="34.5" customHeight="1" outlineLevel="1" x14ac:dyDescent="0.2">
      <c r="A115" s="4672" t="s">
        <v>2484</v>
      </c>
      <c r="B115" s="4672"/>
      <c r="C115" s="2912">
        <v>1758</v>
      </c>
      <c r="D115" s="2906" t="s">
        <v>2485</v>
      </c>
      <c r="E115" s="2907" t="s">
        <v>2486</v>
      </c>
      <c r="F115" s="2908">
        <v>240</v>
      </c>
      <c r="G115" s="2908"/>
      <c r="H115" s="2909">
        <v>66854.240000000005</v>
      </c>
      <c r="I115" s="4673">
        <v>39834.080000000002</v>
      </c>
      <c r="J115" s="4673"/>
      <c r="K115" s="2909">
        <v>27020.16</v>
      </c>
      <c r="L115" s="2907"/>
      <c r="M115" s="2911">
        <v>3342.72</v>
      </c>
      <c r="N115" s="2911">
        <f>M115</f>
        <v>3342.72</v>
      </c>
      <c r="O115" s="2911"/>
      <c r="P115" s="2907"/>
      <c r="Q115" s="2907"/>
      <c r="R115" s="2909">
        <v>66854.240000000005</v>
      </c>
      <c r="S115" s="2909">
        <v>43176.800000000003</v>
      </c>
      <c r="T115" s="2909">
        <v>23677.439999999999</v>
      </c>
    </row>
    <row r="116" spans="1:20" ht="23.25" customHeight="1" outlineLevel="1" x14ac:dyDescent="0.2">
      <c r="A116" s="4672" t="s">
        <v>2487</v>
      </c>
      <c r="B116" s="4672"/>
      <c r="C116" s="2912">
        <v>2427</v>
      </c>
      <c r="D116" s="2906" t="s">
        <v>2305</v>
      </c>
      <c r="E116" s="2907" t="s">
        <v>2488</v>
      </c>
      <c r="F116" s="2908">
        <v>84</v>
      </c>
      <c r="G116" s="2908"/>
      <c r="H116" s="2909">
        <v>117439.9</v>
      </c>
      <c r="I116" s="4673">
        <v>92273.94</v>
      </c>
      <c r="J116" s="4673"/>
      <c r="K116" s="2909">
        <v>25165.96</v>
      </c>
      <c r="L116" s="2907"/>
      <c r="M116" s="2911">
        <v>16777.080000000002</v>
      </c>
      <c r="N116" s="2911">
        <f>M116</f>
        <v>16777.080000000002</v>
      </c>
      <c r="O116" s="2911"/>
      <c r="P116" s="2907"/>
      <c r="Q116" s="2907"/>
      <c r="R116" s="2909">
        <v>117439.9</v>
      </c>
      <c r="S116" s="2909">
        <v>109051.02</v>
      </c>
      <c r="T116" s="2909">
        <v>8388.8799999999992</v>
      </c>
    </row>
    <row r="117" spans="1:20" ht="23.25" customHeight="1" outlineLevel="1" x14ac:dyDescent="0.2">
      <c r="A117" s="4672" t="s">
        <v>2489</v>
      </c>
      <c r="B117" s="4672"/>
      <c r="C117" s="2905">
        <v>25</v>
      </c>
      <c r="D117" s="2906" t="s">
        <v>2269</v>
      </c>
      <c r="E117" s="2907" t="s">
        <v>2490</v>
      </c>
      <c r="F117" s="2908">
        <v>480</v>
      </c>
      <c r="G117" s="2908"/>
      <c r="H117" s="2909">
        <v>20758</v>
      </c>
      <c r="I117" s="4673">
        <v>19454.5</v>
      </c>
      <c r="J117" s="4673"/>
      <c r="K117" s="2909">
        <v>1303.5</v>
      </c>
      <c r="L117" s="2907"/>
      <c r="M117" s="2910"/>
      <c r="N117" s="2911"/>
      <c r="O117" s="2911"/>
      <c r="P117" s="2907"/>
      <c r="Q117" s="2907"/>
      <c r="R117" s="2909">
        <v>20758</v>
      </c>
      <c r="S117" s="2909">
        <v>19454.5</v>
      </c>
      <c r="T117" s="2909">
        <v>1303.5</v>
      </c>
    </row>
    <row r="118" spans="1:20" ht="23.25" customHeight="1" outlineLevel="1" x14ac:dyDescent="0.2">
      <c r="A118" s="4672" t="s">
        <v>2491</v>
      </c>
      <c r="B118" s="4672"/>
      <c r="C118" s="2905">
        <v>70</v>
      </c>
      <c r="D118" s="2906" t="s">
        <v>2248</v>
      </c>
      <c r="E118" s="2907" t="s">
        <v>2492</v>
      </c>
      <c r="F118" s="2908">
        <v>144</v>
      </c>
      <c r="G118" s="2908"/>
      <c r="H118" s="2909">
        <v>317653</v>
      </c>
      <c r="I118" s="4673">
        <v>317653</v>
      </c>
      <c r="J118" s="4673"/>
      <c r="K118" s="2907"/>
      <c r="L118" s="2907"/>
      <c r="M118" s="2910"/>
      <c r="N118" s="2911"/>
      <c r="O118" s="2911"/>
      <c r="P118" s="2907"/>
      <c r="Q118" s="2907"/>
      <c r="R118" s="2909">
        <v>317653</v>
      </c>
      <c r="S118" s="2909">
        <v>317653</v>
      </c>
      <c r="T118" s="2907"/>
    </row>
    <row r="119" spans="1:20" ht="23.25" customHeight="1" outlineLevel="1" x14ac:dyDescent="0.2">
      <c r="A119" s="4672" t="s">
        <v>2493</v>
      </c>
      <c r="B119" s="4672"/>
      <c r="C119" s="2905">
        <v>312</v>
      </c>
      <c r="D119" s="2906" t="s">
        <v>2308</v>
      </c>
      <c r="E119" s="2907" t="s">
        <v>2494</v>
      </c>
      <c r="F119" s="2908">
        <v>308</v>
      </c>
      <c r="G119" s="2908"/>
      <c r="H119" s="2909">
        <v>63055</v>
      </c>
      <c r="I119" s="4673">
        <v>63055</v>
      </c>
      <c r="J119" s="4673"/>
      <c r="K119" s="2907"/>
      <c r="L119" s="2907"/>
      <c r="M119" s="2910"/>
      <c r="N119" s="2911"/>
      <c r="O119" s="2911"/>
      <c r="P119" s="2907"/>
      <c r="Q119" s="2907"/>
      <c r="R119" s="2909">
        <v>63055</v>
      </c>
      <c r="S119" s="2909">
        <v>63055</v>
      </c>
      <c r="T119" s="2907"/>
    </row>
    <row r="120" spans="1:20" ht="34.5" customHeight="1" outlineLevel="1" x14ac:dyDescent="0.2">
      <c r="A120" s="4672" t="s">
        <v>2495</v>
      </c>
      <c r="B120" s="4672"/>
      <c r="C120" s="2905">
        <v>428</v>
      </c>
      <c r="D120" s="2906" t="s">
        <v>2302</v>
      </c>
      <c r="E120" s="2907" t="s">
        <v>2496</v>
      </c>
      <c r="F120" s="2908">
        <v>308</v>
      </c>
      <c r="G120" s="2908"/>
      <c r="H120" s="2909">
        <v>46346</v>
      </c>
      <c r="I120" s="4673">
        <v>46346</v>
      </c>
      <c r="J120" s="4673"/>
      <c r="K120" s="2907"/>
      <c r="L120" s="2907"/>
      <c r="M120" s="2910"/>
      <c r="N120" s="2911"/>
      <c r="O120" s="2911"/>
      <c r="P120" s="2907"/>
      <c r="Q120" s="2907"/>
      <c r="R120" s="2909">
        <v>46346</v>
      </c>
      <c r="S120" s="2909">
        <v>46346</v>
      </c>
      <c r="T120" s="2907"/>
    </row>
    <row r="121" spans="1:20" ht="23.25" customHeight="1" outlineLevel="1" x14ac:dyDescent="0.2">
      <c r="A121" s="4672" t="s">
        <v>2497</v>
      </c>
      <c r="B121" s="4672"/>
      <c r="C121" s="2905">
        <v>226</v>
      </c>
      <c r="D121" s="2906" t="s">
        <v>2498</v>
      </c>
      <c r="E121" s="2907" t="s">
        <v>2499</v>
      </c>
      <c r="F121" s="2908">
        <v>600</v>
      </c>
      <c r="G121" s="2908"/>
      <c r="H121" s="2909">
        <v>307635</v>
      </c>
      <c r="I121" s="4673">
        <v>307635</v>
      </c>
      <c r="J121" s="4673"/>
      <c r="K121" s="2907"/>
      <c r="L121" s="2907"/>
      <c r="M121" s="2910"/>
      <c r="N121" s="2911"/>
      <c r="O121" s="2911"/>
      <c r="P121" s="2907"/>
      <c r="Q121" s="2907"/>
      <c r="R121" s="2909">
        <v>307635</v>
      </c>
      <c r="S121" s="2909">
        <v>307635</v>
      </c>
      <c r="T121" s="2907"/>
    </row>
    <row r="122" spans="1:20" ht="23.25" customHeight="1" outlineLevel="1" x14ac:dyDescent="0.2">
      <c r="A122" s="4672" t="s">
        <v>2500</v>
      </c>
      <c r="B122" s="4672"/>
      <c r="C122" s="2905">
        <v>554</v>
      </c>
      <c r="D122" s="2906" t="s">
        <v>2501</v>
      </c>
      <c r="E122" s="2907" t="s">
        <v>2502</v>
      </c>
      <c r="F122" s="2908">
        <v>109</v>
      </c>
      <c r="G122" s="2908"/>
      <c r="H122" s="2909">
        <v>38333</v>
      </c>
      <c r="I122" s="4673">
        <v>38333</v>
      </c>
      <c r="J122" s="4673"/>
      <c r="K122" s="2907"/>
      <c r="L122" s="2907"/>
      <c r="M122" s="2910"/>
      <c r="N122" s="2911"/>
      <c r="O122" s="2911"/>
      <c r="P122" s="2907"/>
      <c r="Q122" s="2907"/>
      <c r="R122" s="2909">
        <v>38333</v>
      </c>
      <c r="S122" s="2909">
        <v>38333</v>
      </c>
      <c r="T122" s="2907"/>
    </row>
    <row r="123" spans="1:20" ht="23.25" customHeight="1" outlineLevel="1" x14ac:dyDescent="0.2">
      <c r="A123" s="4672" t="s">
        <v>2503</v>
      </c>
      <c r="B123" s="4672"/>
      <c r="C123" s="2905">
        <v>17</v>
      </c>
      <c r="D123" s="2906" t="s">
        <v>2269</v>
      </c>
      <c r="E123" s="2907" t="s">
        <v>2504</v>
      </c>
      <c r="F123" s="2908">
        <v>600</v>
      </c>
      <c r="G123" s="2908"/>
      <c r="H123" s="2909">
        <v>558920</v>
      </c>
      <c r="I123" s="4673">
        <v>422938.54</v>
      </c>
      <c r="J123" s="4673"/>
      <c r="K123" s="2909">
        <v>135981.46</v>
      </c>
      <c r="L123" s="2907"/>
      <c r="M123" s="2910"/>
      <c r="N123" s="2911"/>
      <c r="O123" s="2911"/>
      <c r="P123" s="2907"/>
      <c r="Q123" s="2907"/>
      <c r="R123" s="2909">
        <v>558920</v>
      </c>
      <c r="S123" s="2909">
        <v>422938.54</v>
      </c>
      <c r="T123" s="2909">
        <v>135981.46</v>
      </c>
    </row>
    <row r="124" spans="1:20" ht="23.25" customHeight="1" outlineLevel="1" x14ac:dyDescent="0.2">
      <c r="A124" s="4672" t="s">
        <v>2505</v>
      </c>
      <c r="B124" s="4672"/>
      <c r="C124" s="2905">
        <v>19</v>
      </c>
      <c r="D124" s="2906" t="s">
        <v>2269</v>
      </c>
      <c r="E124" s="2907" t="s">
        <v>2506</v>
      </c>
      <c r="F124" s="2908">
        <v>600</v>
      </c>
      <c r="G124" s="2908"/>
      <c r="H124" s="2909">
        <v>62350</v>
      </c>
      <c r="I124" s="4673">
        <v>47182.559999999998</v>
      </c>
      <c r="J124" s="4673"/>
      <c r="K124" s="2909">
        <v>15167.44</v>
      </c>
      <c r="L124" s="2907"/>
      <c r="M124" s="2910"/>
      <c r="N124" s="2911"/>
      <c r="O124" s="2911"/>
      <c r="P124" s="2907"/>
      <c r="Q124" s="2907"/>
      <c r="R124" s="2909">
        <v>62350</v>
      </c>
      <c r="S124" s="2909">
        <v>47182.559999999998</v>
      </c>
      <c r="T124" s="2909">
        <v>15167.44</v>
      </c>
    </row>
    <row r="125" spans="1:20" ht="23.25" customHeight="1" outlineLevel="1" x14ac:dyDescent="0.2">
      <c r="A125" s="4672" t="s">
        <v>2507</v>
      </c>
      <c r="B125" s="4672"/>
      <c r="C125" s="2912">
        <v>1837</v>
      </c>
      <c r="D125" s="2906" t="s">
        <v>2424</v>
      </c>
      <c r="E125" s="2907" t="s">
        <v>2508</v>
      </c>
      <c r="F125" s="2908">
        <v>180</v>
      </c>
      <c r="G125" s="2908"/>
      <c r="H125" s="2907"/>
      <c r="I125" s="2947"/>
      <c r="J125" s="2948"/>
      <c r="K125" s="2907"/>
      <c r="L125" s="2907"/>
      <c r="M125" s="2910"/>
      <c r="N125" s="2911"/>
      <c r="O125" s="2911"/>
      <c r="P125" s="2907"/>
      <c r="Q125" s="2907"/>
      <c r="R125" s="2907"/>
      <c r="S125" s="2907"/>
      <c r="T125" s="2907"/>
    </row>
    <row r="126" spans="1:20" ht="23.25" customHeight="1" outlineLevel="1" x14ac:dyDescent="0.2">
      <c r="A126" s="4672" t="s">
        <v>2509</v>
      </c>
      <c r="B126" s="4672"/>
      <c r="C126" s="2912">
        <v>1848</v>
      </c>
      <c r="D126" s="2906" t="s">
        <v>2424</v>
      </c>
      <c r="E126" s="2907" t="s">
        <v>2510</v>
      </c>
      <c r="F126" s="2908">
        <v>36</v>
      </c>
      <c r="G126" s="2908"/>
      <c r="H126" s="2909">
        <v>9383.36</v>
      </c>
      <c r="I126" s="4673">
        <v>9383.36</v>
      </c>
      <c r="J126" s="4673"/>
      <c r="K126" s="2907"/>
      <c r="L126" s="2907"/>
      <c r="M126" s="2910"/>
      <c r="N126" s="2911"/>
      <c r="O126" s="2911"/>
      <c r="P126" s="2907"/>
      <c r="Q126" s="2907"/>
      <c r="R126" s="2909">
        <v>9383.36</v>
      </c>
      <c r="S126" s="2909">
        <v>9383.36</v>
      </c>
      <c r="T126" s="2907"/>
    </row>
    <row r="127" spans="1:20" ht="23.25" customHeight="1" outlineLevel="1" x14ac:dyDescent="0.2">
      <c r="A127" s="4672" t="s">
        <v>2511</v>
      </c>
      <c r="B127" s="4672"/>
      <c r="C127" s="2912">
        <v>1881</v>
      </c>
      <c r="D127" s="2906" t="s">
        <v>2512</v>
      </c>
      <c r="E127" s="2907" t="s">
        <v>2513</v>
      </c>
      <c r="F127" s="2908">
        <v>180</v>
      </c>
      <c r="G127" s="2908"/>
      <c r="H127" s="2909">
        <v>10395</v>
      </c>
      <c r="I127" s="4673">
        <v>8730.75</v>
      </c>
      <c r="J127" s="4673"/>
      <c r="K127" s="2909">
        <v>1664.25</v>
      </c>
      <c r="L127" s="2907"/>
      <c r="M127" s="2950">
        <v>693</v>
      </c>
      <c r="N127" s="2911">
        <f>H127/F127*12</f>
        <v>693</v>
      </c>
      <c r="O127" s="2911"/>
      <c r="P127" s="2907"/>
      <c r="Q127" s="2907"/>
      <c r="R127" s="2909">
        <v>10395</v>
      </c>
      <c r="S127" s="2909">
        <v>9423.75</v>
      </c>
      <c r="T127" s="2952">
        <v>971.25</v>
      </c>
    </row>
    <row r="128" spans="1:20" ht="23.25" customHeight="1" outlineLevel="1" x14ac:dyDescent="0.2">
      <c r="A128" s="4672" t="s">
        <v>2514</v>
      </c>
      <c r="B128" s="4672"/>
      <c r="C128" s="2912">
        <v>1847</v>
      </c>
      <c r="D128" s="2906" t="s">
        <v>2424</v>
      </c>
      <c r="E128" s="2907" t="s">
        <v>2515</v>
      </c>
      <c r="F128" s="2908">
        <v>36</v>
      </c>
      <c r="G128" s="2908"/>
      <c r="H128" s="2909">
        <v>5234.4799999999996</v>
      </c>
      <c r="I128" s="4673">
        <v>5234.4799999999996</v>
      </c>
      <c r="J128" s="4673"/>
      <c r="K128" s="2907"/>
      <c r="L128" s="2907"/>
      <c r="M128" s="2910"/>
      <c r="N128" s="2911"/>
      <c r="O128" s="2911"/>
      <c r="P128" s="2907"/>
      <c r="Q128" s="2907"/>
      <c r="R128" s="2909">
        <v>5234.4799999999996</v>
      </c>
      <c r="S128" s="2909">
        <v>5234.4799999999996</v>
      </c>
      <c r="T128" s="2907"/>
    </row>
    <row r="129" spans="1:20" ht="23.25" customHeight="1" outlineLevel="1" x14ac:dyDescent="0.2">
      <c r="A129" s="4672" t="s">
        <v>2516</v>
      </c>
      <c r="B129" s="4672"/>
      <c r="C129" s="2912">
        <v>1836</v>
      </c>
      <c r="D129" s="2906" t="s">
        <v>2424</v>
      </c>
      <c r="E129" s="2907" t="s">
        <v>2517</v>
      </c>
      <c r="F129" s="2908">
        <v>180</v>
      </c>
      <c r="G129" s="2908"/>
      <c r="H129" s="2909">
        <v>6305.92</v>
      </c>
      <c r="I129" s="4673">
        <v>4834.1400000000003</v>
      </c>
      <c r="J129" s="4673"/>
      <c r="K129" s="2909">
        <v>1471.78</v>
      </c>
      <c r="L129" s="2907"/>
      <c r="M129" s="2950">
        <v>420.36</v>
      </c>
      <c r="N129" s="2911">
        <f>M129</f>
        <v>420.36</v>
      </c>
      <c r="O129" s="2911"/>
      <c r="P129" s="2907"/>
      <c r="Q129" s="2907"/>
      <c r="R129" s="2909">
        <v>6305.92</v>
      </c>
      <c r="S129" s="2909">
        <v>5254.5</v>
      </c>
      <c r="T129" s="2909">
        <v>1051.42</v>
      </c>
    </row>
    <row r="130" spans="1:20" ht="23.25" customHeight="1" outlineLevel="1" x14ac:dyDescent="0.2">
      <c r="A130" s="4672" t="s">
        <v>2518</v>
      </c>
      <c r="B130" s="4672"/>
      <c r="C130" s="2912">
        <v>1831</v>
      </c>
      <c r="D130" s="2906" t="s">
        <v>2424</v>
      </c>
      <c r="E130" s="2907" t="s">
        <v>2519</v>
      </c>
      <c r="F130" s="2908">
        <v>180</v>
      </c>
      <c r="G130" s="2908"/>
      <c r="H130" s="2909">
        <v>6480.56</v>
      </c>
      <c r="I130" s="4673">
        <v>4968</v>
      </c>
      <c r="J130" s="4673"/>
      <c r="K130" s="2909">
        <v>1512.56</v>
      </c>
      <c r="L130" s="2907"/>
      <c r="M130" s="2950">
        <v>432</v>
      </c>
      <c r="N130" s="2911">
        <f>M130</f>
        <v>432</v>
      </c>
      <c r="O130" s="2911"/>
      <c r="P130" s="2907"/>
      <c r="Q130" s="2907"/>
      <c r="R130" s="2909">
        <v>6480.56</v>
      </c>
      <c r="S130" s="2909">
        <v>5400</v>
      </c>
      <c r="T130" s="2909">
        <v>1080.56</v>
      </c>
    </row>
    <row r="131" spans="1:20" ht="23.25" customHeight="1" outlineLevel="1" x14ac:dyDescent="0.2">
      <c r="A131" s="4672" t="s">
        <v>2520</v>
      </c>
      <c r="B131" s="4672"/>
      <c r="C131" s="2912">
        <v>1832</v>
      </c>
      <c r="D131" s="2906" t="s">
        <v>2424</v>
      </c>
      <c r="E131" s="2907" t="s">
        <v>2521</v>
      </c>
      <c r="F131" s="2908">
        <v>44</v>
      </c>
      <c r="G131" s="2908"/>
      <c r="H131" s="2909">
        <v>9383.36</v>
      </c>
      <c r="I131" s="4673">
        <v>9383.36</v>
      </c>
      <c r="J131" s="4673"/>
      <c r="K131" s="2907"/>
      <c r="L131" s="2907"/>
      <c r="M131" s="2910"/>
      <c r="N131" s="2911"/>
      <c r="O131" s="2911"/>
      <c r="P131" s="2907"/>
      <c r="Q131" s="2907"/>
      <c r="R131" s="2909">
        <v>9383.36</v>
      </c>
      <c r="S131" s="2909">
        <v>9383.36</v>
      </c>
      <c r="T131" s="2907"/>
    </row>
    <row r="132" spans="1:20" ht="23.25" customHeight="1" outlineLevel="1" x14ac:dyDescent="0.2">
      <c r="A132" s="4672" t="s">
        <v>2522</v>
      </c>
      <c r="B132" s="4672"/>
      <c r="C132" s="2912">
        <v>1840</v>
      </c>
      <c r="D132" s="2906" t="s">
        <v>2424</v>
      </c>
      <c r="E132" s="2907" t="s">
        <v>2523</v>
      </c>
      <c r="F132" s="2908">
        <v>180</v>
      </c>
      <c r="G132" s="2908"/>
      <c r="H132" s="2909">
        <v>2860.32</v>
      </c>
      <c r="I132" s="4673">
        <v>2192.8200000000002</v>
      </c>
      <c r="J132" s="4673"/>
      <c r="K132" s="2952">
        <v>667.5</v>
      </c>
      <c r="L132" s="2907"/>
      <c r="M132" s="2950">
        <v>190.68</v>
      </c>
      <c r="N132" s="2911">
        <f>M132</f>
        <v>190.68</v>
      </c>
      <c r="O132" s="2911"/>
      <c r="P132" s="2907"/>
      <c r="Q132" s="2907"/>
      <c r="R132" s="2909">
        <v>2860.32</v>
      </c>
      <c r="S132" s="2909">
        <v>2383.5</v>
      </c>
      <c r="T132" s="2952">
        <v>476.82</v>
      </c>
    </row>
    <row r="133" spans="1:20" ht="23.25" customHeight="1" outlineLevel="1" x14ac:dyDescent="0.2">
      <c r="A133" s="4672" t="s">
        <v>2524</v>
      </c>
      <c r="B133" s="4672"/>
      <c r="C133" s="2912">
        <v>1835</v>
      </c>
      <c r="D133" s="2906" t="s">
        <v>2424</v>
      </c>
      <c r="E133" s="2907" t="s">
        <v>2525</v>
      </c>
      <c r="F133" s="2908">
        <v>180</v>
      </c>
      <c r="G133" s="2908"/>
      <c r="H133" s="2909">
        <v>12626</v>
      </c>
      <c r="I133" s="4673">
        <v>9679.32</v>
      </c>
      <c r="J133" s="4673"/>
      <c r="K133" s="2909">
        <v>2946.68</v>
      </c>
      <c r="L133" s="2907"/>
      <c r="M133" s="2950">
        <v>841.68</v>
      </c>
      <c r="N133" s="2911">
        <f>M133</f>
        <v>841.68</v>
      </c>
      <c r="O133" s="2911"/>
      <c r="P133" s="2907"/>
      <c r="Q133" s="2907"/>
      <c r="R133" s="2909">
        <v>12626</v>
      </c>
      <c r="S133" s="2909">
        <v>10521</v>
      </c>
      <c r="T133" s="2909">
        <v>2105</v>
      </c>
    </row>
    <row r="134" spans="1:20" ht="23.25" customHeight="1" outlineLevel="1" x14ac:dyDescent="0.2">
      <c r="A134" s="4672" t="s">
        <v>2526</v>
      </c>
      <c r="B134" s="4672"/>
      <c r="C134" s="2912">
        <v>1838</v>
      </c>
      <c r="D134" s="2906" t="s">
        <v>2424</v>
      </c>
      <c r="E134" s="2907" t="s">
        <v>2527</v>
      </c>
      <c r="F134" s="2908">
        <v>180</v>
      </c>
      <c r="G134" s="2908"/>
      <c r="H134" s="2909">
        <v>4861.6000000000004</v>
      </c>
      <c r="I134" s="4673">
        <v>3727.38</v>
      </c>
      <c r="J134" s="4673"/>
      <c r="K134" s="2909">
        <v>1134.22</v>
      </c>
      <c r="L134" s="2907"/>
      <c r="M134" s="2950">
        <v>324.12</v>
      </c>
      <c r="N134" s="2911">
        <f>M134</f>
        <v>324.12</v>
      </c>
      <c r="O134" s="2911"/>
      <c r="P134" s="2907"/>
      <c r="Q134" s="2907"/>
      <c r="R134" s="2909">
        <v>4861.6000000000004</v>
      </c>
      <c r="S134" s="2909">
        <v>4051.5</v>
      </c>
      <c r="T134" s="2952">
        <v>810.1</v>
      </c>
    </row>
    <row r="135" spans="1:20" ht="23.25" customHeight="1" outlineLevel="1" x14ac:dyDescent="0.2">
      <c r="A135" s="4672" t="s">
        <v>2528</v>
      </c>
      <c r="B135" s="4672"/>
      <c r="C135" s="2912">
        <v>1841</v>
      </c>
      <c r="D135" s="2906" t="s">
        <v>2424</v>
      </c>
      <c r="E135" s="2907" t="s">
        <v>2529</v>
      </c>
      <c r="F135" s="2908">
        <v>84</v>
      </c>
      <c r="G135" s="2908"/>
      <c r="H135" s="2909">
        <v>16208.48</v>
      </c>
      <c r="I135" s="4673">
        <v>16208.48</v>
      </c>
      <c r="J135" s="4673"/>
      <c r="K135" s="2907"/>
      <c r="L135" s="2907"/>
      <c r="M135" s="2910"/>
      <c r="N135" s="2911"/>
      <c r="O135" s="2911"/>
      <c r="P135" s="2907"/>
      <c r="Q135" s="2907"/>
      <c r="R135" s="2909">
        <v>16208.48</v>
      </c>
      <c r="S135" s="2909">
        <v>16208.48</v>
      </c>
      <c r="T135" s="2907"/>
    </row>
    <row r="136" spans="1:20" ht="23.25" customHeight="1" outlineLevel="1" x14ac:dyDescent="0.2">
      <c r="A136" s="4672" t="s">
        <v>2530</v>
      </c>
      <c r="B136" s="4672"/>
      <c r="C136" s="2912">
        <v>1846</v>
      </c>
      <c r="D136" s="2906" t="s">
        <v>2424</v>
      </c>
      <c r="E136" s="2907" t="s">
        <v>2531</v>
      </c>
      <c r="F136" s="2908">
        <v>36</v>
      </c>
      <c r="G136" s="2908"/>
      <c r="H136" s="2909">
        <v>1463.2</v>
      </c>
      <c r="I136" s="4673">
        <v>1463.2</v>
      </c>
      <c r="J136" s="4673"/>
      <c r="K136" s="2907"/>
      <c r="L136" s="2907"/>
      <c r="M136" s="2910"/>
      <c r="N136" s="2911"/>
      <c r="O136" s="2911"/>
      <c r="P136" s="2907"/>
      <c r="Q136" s="2907"/>
      <c r="R136" s="2909">
        <v>1463.2</v>
      </c>
      <c r="S136" s="2909">
        <v>1463.2</v>
      </c>
      <c r="T136" s="2907"/>
    </row>
    <row r="137" spans="1:20" ht="23.25" customHeight="1" outlineLevel="1" x14ac:dyDescent="0.2">
      <c r="A137" s="4672" t="s">
        <v>2532</v>
      </c>
      <c r="B137" s="4672"/>
      <c r="C137" s="2912">
        <v>1842</v>
      </c>
      <c r="D137" s="2906" t="s">
        <v>2424</v>
      </c>
      <c r="E137" s="2907" t="s">
        <v>2533</v>
      </c>
      <c r="F137" s="2908">
        <v>36</v>
      </c>
      <c r="G137" s="2908"/>
      <c r="H137" s="2909">
        <v>7636.96</v>
      </c>
      <c r="I137" s="4673">
        <v>7636.96</v>
      </c>
      <c r="J137" s="4673"/>
      <c r="K137" s="2907"/>
      <c r="L137" s="2907"/>
      <c r="M137" s="2910"/>
      <c r="N137" s="2911"/>
      <c r="O137" s="2911"/>
      <c r="P137" s="2907"/>
      <c r="Q137" s="2907"/>
      <c r="R137" s="2909">
        <v>7636.96</v>
      </c>
      <c r="S137" s="2909">
        <v>7636.96</v>
      </c>
      <c r="T137" s="2907"/>
    </row>
    <row r="138" spans="1:20" ht="23.25" customHeight="1" outlineLevel="1" x14ac:dyDescent="0.2">
      <c r="A138" s="4672" t="s">
        <v>2534</v>
      </c>
      <c r="B138" s="4672"/>
      <c r="C138" s="2905">
        <v>429</v>
      </c>
      <c r="D138" s="2906" t="s">
        <v>2302</v>
      </c>
      <c r="E138" s="2907" t="s">
        <v>2535</v>
      </c>
      <c r="F138" s="2908">
        <v>923</v>
      </c>
      <c r="G138" s="2908"/>
      <c r="H138" s="2909">
        <v>4969554</v>
      </c>
      <c r="I138" s="4673">
        <v>2102628.4</v>
      </c>
      <c r="J138" s="4673"/>
      <c r="K138" s="2909">
        <v>2866925.6</v>
      </c>
      <c r="L138" s="2907"/>
      <c r="M138" s="2911">
        <v>64609.56</v>
      </c>
      <c r="N138" s="2911">
        <f>M138</f>
        <v>64609.56</v>
      </c>
      <c r="O138" s="2911"/>
      <c r="P138" s="2907"/>
      <c r="Q138" s="2907"/>
      <c r="R138" s="2909">
        <v>4969554</v>
      </c>
      <c r="S138" s="2909">
        <v>2167237.96</v>
      </c>
      <c r="T138" s="2909">
        <v>2802316.04</v>
      </c>
    </row>
    <row r="139" spans="1:20" ht="34.5" customHeight="1" outlineLevel="1" x14ac:dyDescent="0.2">
      <c r="A139" s="4672" t="s">
        <v>2536</v>
      </c>
      <c r="B139" s="4672"/>
      <c r="C139" s="2912">
        <v>2432</v>
      </c>
      <c r="D139" s="2906" t="s">
        <v>2305</v>
      </c>
      <c r="E139" s="2907" t="s">
        <v>2537</v>
      </c>
      <c r="F139" s="2908">
        <v>240</v>
      </c>
      <c r="G139" s="2908"/>
      <c r="H139" s="2909">
        <v>46866.75</v>
      </c>
      <c r="I139" s="4673">
        <v>12888.48</v>
      </c>
      <c r="J139" s="4673"/>
      <c r="K139" s="2909">
        <v>33978.269999999997</v>
      </c>
      <c r="L139" s="2907"/>
      <c r="M139" s="2911">
        <v>2343.36</v>
      </c>
      <c r="N139" s="2911">
        <f>M139</f>
        <v>2343.36</v>
      </c>
      <c r="O139" s="2911"/>
      <c r="P139" s="2907"/>
      <c r="Q139" s="2907"/>
      <c r="R139" s="2909">
        <v>46866.75</v>
      </c>
      <c r="S139" s="2909">
        <v>15231.84</v>
      </c>
      <c r="T139" s="2909">
        <v>31634.91</v>
      </c>
    </row>
    <row r="140" spans="1:20" ht="34.5" customHeight="1" outlineLevel="1" x14ac:dyDescent="0.2">
      <c r="A140" s="4672" t="s">
        <v>2538</v>
      </c>
      <c r="B140" s="4672"/>
      <c r="C140" s="2905">
        <v>74</v>
      </c>
      <c r="D140" s="2906" t="s">
        <v>2248</v>
      </c>
      <c r="E140" s="2907" t="s">
        <v>2539</v>
      </c>
      <c r="F140" s="2908">
        <v>144</v>
      </c>
      <c r="G140" s="2908"/>
      <c r="H140" s="2909">
        <v>463682</v>
      </c>
      <c r="I140" s="4673">
        <v>463682</v>
      </c>
      <c r="J140" s="4673"/>
      <c r="K140" s="2907"/>
      <c r="L140" s="2907"/>
      <c r="M140" s="2910"/>
      <c r="N140" s="2911"/>
      <c r="O140" s="2911"/>
      <c r="P140" s="2907"/>
      <c r="Q140" s="2907"/>
      <c r="R140" s="2909">
        <v>463682</v>
      </c>
      <c r="S140" s="2909">
        <v>463682</v>
      </c>
      <c r="T140" s="2907"/>
    </row>
    <row r="141" spans="1:20" s="2928" customFormat="1" ht="23.25" customHeight="1" outlineLevel="1" x14ac:dyDescent="0.2">
      <c r="A141" s="4681" t="s">
        <v>2540</v>
      </c>
      <c r="B141" s="4681"/>
      <c r="C141" s="2922">
        <v>430</v>
      </c>
      <c r="D141" s="2923" t="s">
        <v>2302</v>
      </c>
      <c r="E141" s="2924" t="s">
        <v>2541</v>
      </c>
      <c r="F141" s="2925">
        <v>375</v>
      </c>
      <c r="G141" s="2925"/>
      <c r="H141" s="2926">
        <v>382973</v>
      </c>
      <c r="I141" s="4682">
        <v>379894.8</v>
      </c>
      <c r="J141" s="4682"/>
      <c r="K141" s="2926">
        <v>3078.2</v>
      </c>
      <c r="L141" s="2924"/>
      <c r="M141" s="2926">
        <v>3078.2</v>
      </c>
      <c r="N141" s="2926">
        <f>M141</f>
        <v>3078.2</v>
      </c>
      <c r="O141" s="2926"/>
      <c r="P141" s="2924"/>
      <c r="Q141" s="2924"/>
      <c r="R141" s="2926">
        <v>382973</v>
      </c>
      <c r="S141" s="2926">
        <v>382973</v>
      </c>
      <c r="T141" s="2924"/>
    </row>
    <row r="142" spans="1:20" ht="23.25" customHeight="1" outlineLevel="1" x14ac:dyDescent="0.2">
      <c r="A142" s="4672" t="s">
        <v>2542</v>
      </c>
      <c r="B142" s="4672"/>
      <c r="C142" s="2905">
        <v>325</v>
      </c>
      <c r="D142" s="2906" t="s">
        <v>2274</v>
      </c>
      <c r="E142" s="2907" t="s">
        <v>2543</v>
      </c>
      <c r="F142" s="2908">
        <v>600</v>
      </c>
      <c r="G142" s="2908"/>
      <c r="H142" s="2909">
        <v>6618</v>
      </c>
      <c r="I142" s="4673">
        <v>4068.4</v>
      </c>
      <c r="J142" s="4673"/>
      <c r="K142" s="2909">
        <v>2549.6</v>
      </c>
      <c r="L142" s="2907"/>
      <c r="M142" s="2950">
        <v>132.36000000000001</v>
      </c>
      <c r="N142" s="2911">
        <f>H142/F142*12</f>
        <v>132.35999999999999</v>
      </c>
      <c r="O142" s="2911"/>
      <c r="P142" s="2907"/>
      <c r="Q142" s="2907"/>
      <c r="R142" s="2909">
        <v>6618</v>
      </c>
      <c r="S142" s="2909">
        <v>4200.76</v>
      </c>
      <c r="T142" s="2909">
        <v>2417.2399999999998</v>
      </c>
    </row>
    <row r="143" spans="1:20" ht="12" customHeight="1" outlineLevel="1" x14ac:dyDescent="0.2">
      <c r="A143" s="4672" t="s">
        <v>2544</v>
      </c>
      <c r="B143" s="4672"/>
      <c r="C143" s="2905">
        <v>324</v>
      </c>
      <c r="D143" s="2906" t="s">
        <v>2274</v>
      </c>
      <c r="E143" s="2907" t="s">
        <v>2545</v>
      </c>
      <c r="F143" s="2908">
        <v>480</v>
      </c>
      <c r="G143" s="2908"/>
      <c r="H143" s="2909">
        <v>6601</v>
      </c>
      <c r="I143" s="4673">
        <v>5088</v>
      </c>
      <c r="J143" s="4673"/>
      <c r="K143" s="2909">
        <v>1513</v>
      </c>
      <c r="L143" s="2907"/>
      <c r="M143" s="2950">
        <v>165</v>
      </c>
      <c r="N143" s="2911">
        <f>M143</f>
        <v>165</v>
      </c>
      <c r="O143" s="2911"/>
      <c r="P143" s="2907"/>
      <c r="Q143" s="2907"/>
      <c r="R143" s="2909">
        <v>6601</v>
      </c>
      <c r="S143" s="2909">
        <v>5253</v>
      </c>
      <c r="T143" s="2909">
        <v>1348</v>
      </c>
    </row>
    <row r="144" spans="1:20" ht="23.25" customHeight="1" outlineLevel="1" x14ac:dyDescent="0.2">
      <c r="A144" s="4672" t="s">
        <v>2546</v>
      </c>
      <c r="B144" s="4672"/>
      <c r="C144" s="2905">
        <v>189</v>
      </c>
      <c r="D144" s="2906" t="s">
        <v>2547</v>
      </c>
      <c r="E144" s="2907" t="s">
        <v>2548</v>
      </c>
      <c r="F144" s="2908">
        <v>122</v>
      </c>
      <c r="G144" s="2908"/>
      <c r="H144" s="2909">
        <v>2845</v>
      </c>
      <c r="I144" s="4673">
        <v>2845</v>
      </c>
      <c r="J144" s="4673"/>
      <c r="K144" s="2907"/>
      <c r="L144" s="2907"/>
      <c r="M144" s="2910"/>
      <c r="N144" s="2911"/>
      <c r="O144" s="2911"/>
      <c r="P144" s="2907"/>
      <c r="Q144" s="2907"/>
      <c r="R144" s="2909">
        <v>2845</v>
      </c>
      <c r="S144" s="2909">
        <v>2845</v>
      </c>
      <c r="T144" s="2907"/>
    </row>
    <row r="145" spans="1:20" ht="23.25" customHeight="1" outlineLevel="1" x14ac:dyDescent="0.2">
      <c r="A145" s="4672" t="s">
        <v>2549</v>
      </c>
      <c r="B145" s="4672"/>
      <c r="C145" s="2905">
        <v>438</v>
      </c>
      <c r="D145" s="2906" t="s">
        <v>2302</v>
      </c>
      <c r="E145" s="2907" t="s">
        <v>2550</v>
      </c>
      <c r="F145" s="2908">
        <v>480</v>
      </c>
      <c r="G145" s="2908"/>
      <c r="H145" s="2909">
        <v>1596</v>
      </c>
      <c r="I145" s="4673">
        <v>1102.4000000000001</v>
      </c>
      <c r="J145" s="4673"/>
      <c r="K145" s="2952">
        <v>493.6</v>
      </c>
      <c r="L145" s="2907"/>
      <c r="M145" s="2950">
        <v>39.96</v>
      </c>
      <c r="N145" s="2911">
        <f>M145</f>
        <v>39.96</v>
      </c>
      <c r="O145" s="2911"/>
      <c r="P145" s="2907"/>
      <c r="Q145" s="2907"/>
      <c r="R145" s="2909">
        <v>1596</v>
      </c>
      <c r="S145" s="2909">
        <v>1142.3599999999999</v>
      </c>
      <c r="T145" s="2952">
        <v>453.64</v>
      </c>
    </row>
    <row r="146" spans="1:20" s="2904" customFormat="1" ht="34.5" customHeight="1" outlineLevel="1" x14ac:dyDescent="0.2">
      <c r="A146" s="4677" t="s">
        <v>2551</v>
      </c>
      <c r="B146" s="4677"/>
      <c r="C146" s="2942">
        <v>1517</v>
      </c>
      <c r="D146" s="2898" t="s">
        <v>2552</v>
      </c>
      <c r="E146" s="2903" t="s">
        <v>2553</v>
      </c>
      <c r="F146" s="2900">
        <v>360</v>
      </c>
      <c r="G146" s="2900"/>
      <c r="H146" s="2903"/>
      <c r="I146" s="2944"/>
      <c r="J146" s="2945"/>
      <c r="K146" s="2903"/>
      <c r="L146" s="2901">
        <v>20643.349999999999</v>
      </c>
      <c r="M146" s="2903"/>
      <c r="N146" s="2903"/>
      <c r="O146" s="2903"/>
      <c r="P146" s="2903"/>
      <c r="Q146" s="2903"/>
      <c r="R146" s="2901">
        <v>20643.349999999999</v>
      </c>
      <c r="S146" s="2903"/>
      <c r="T146" s="2901">
        <v>20643.349999999999</v>
      </c>
    </row>
    <row r="147" spans="1:20" ht="23.25" customHeight="1" outlineLevel="1" x14ac:dyDescent="0.2">
      <c r="A147" s="4672" t="s">
        <v>2554</v>
      </c>
      <c r="B147" s="4672"/>
      <c r="C147" s="2905">
        <v>326</v>
      </c>
      <c r="D147" s="2906" t="s">
        <v>2274</v>
      </c>
      <c r="E147" s="2907" t="s">
        <v>2555</v>
      </c>
      <c r="F147" s="2908">
        <v>360</v>
      </c>
      <c r="G147" s="2908"/>
      <c r="H147" s="2909">
        <v>762666.18</v>
      </c>
      <c r="I147" s="4673">
        <v>762666.18</v>
      </c>
      <c r="J147" s="4673"/>
      <c r="K147" s="2907"/>
      <c r="L147" s="2907"/>
      <c r="M147" s="2910"/>
      <c r="N147" s="2910"/>
      <c r="O147" s="2910"/>
      <c r="P147" s="2907"/>
      <c r="Q147" s="2907"/>
      <c r="R147" s="2909">
        <v>762666.18</v>
      </c>
      <c r="S147" s="2909">
        <v>762666.18</v>
      </c>
      <c r="T147" s="2907"/>
    </row>
    <row r="148" spans="1:20" ht="23.25" customHeight="1" outlineLevel="1" x14ac:dyDescent="0.2">
      <c r="A148" s="4672" t="s">
        <v>2556</v>
      </c>
      <c r="B148" s="4672"/>
      <c r="C148" s="2905">
        <v>327</v>
      </c>
      <c r="D148" s="2906" t="s">
        <v>2274</v>
      </c>
      <c r="E148" s="2907" t="s">
        <v>2557</v>
      </c>
      <c r="F148" s="2908">
        <v>600</v>
      </c>
      <c r="G148" s="2908"/>
      <c r="H148" s="2909">
        <v>9850</v>
      </c>
      <c r="I148" s="4673">
        <v>6037.6</v>
      </c>
      <c r="J148" s="4673"/>
      <c r="K148" s="2909">
        <v>3812.4</v>
      </c>
      <c r="L148" s="2907"/>
      <c r="M148" s="2950">
        <v>197.04</v>
      </c>
      <c r="N148" s="2950">
        <f>M148</f>
        <v>197.04</v>
      </c>
      <c r="O148" s="2950"/>
      <c r="P148" s="2907"/>
      <c r="Q148" s="2907"/>
      <c r="R148" s="2909">
        <v>9850</v>
      </c>
      <c r="S148" s="2909">
        <v>6234.64</v>
      </c>
      <c r="T148" s="2909">
        <v>3615.36</v>
      </c>
    </row>
    <row r="149" spans="1:20" ht="23.25" customHeight="1" outlineLevel="1" x14ac:dyDescent="0.2">
      <c r="A149" s="4672" t="s">
        <v>2558</v>
      </c>
      <c r="B149" s="4672"/>
      <c r="C149" s="2905">
        <v>328</v>
      </c>
      <c r="D149" s="2906" t="s">
        <v>2274</v>
      </c>
      <c r="E149" s="2907" t="s">
        <v>2559</v>
      </c>
      <c r="F149" s="2908">
        <v>300</v>
      </c>
      <c r="G149" s="2908"/>
      <c r="H149" s="2909">
        <v>14174</v>
      </c>
      <c r="I149" s="4673">
        <v>14174</v>
      </c>
      <c r="J149" s="4673"/>
      <c r="K149" s="2907"/>
      <c r="L149" s="2907"/>
      <c r="M149" s="2910"/>
      <c r="N149" s="2910"/>
      <c r="O149" s="2910"/>
      <c r="P149" s="2907"/>
      <c r="Q149" s="2907"/>
      <c r="R149" s="2909">
        <v>14174</v>
      </c>
      <c r="S149" s="2909">
        <v>14174</v>
      </c>
      <c r="T149" s="2907"/>
    </row>
    <row r="150" spans="1:20" ht="34.5" customHeight="1" outlineLevel="1" x14ac:dyDescent="0.2">
      <c r="A150" s="4672" t="s">
        <v>2560</v>
      </c>
      <c r="B150" s="4672"/>
      <c r="C150" s="2905">
        <v>80</v>
      </c>
      <c r="D150" s="2906" t="s">
        <v>2248</v>
      </c>
      <c r="E150" s="2907" t="s">
        <v>2561</v>
      </c>
      <c r="F150" s="2908">
        <v>144</v>
      </c>
      <c r="G150" s="2908"/>
      <c r="H150" s="2909">
        <v>428085</v>
      </c>
      <c r="I150" s="4673">
        <v>428085</v>
      </c>
      <c r="J150" s="4673"/>
      <c r="K150" s="2907"/>
      <c r="L150" s="2907"/>
      <c r="M150" s="2910"/>
      <c r="N150" s="2910"/>
      <c r="O150" s="2910"/>
      <c r="P150" s="2907"/>
      <c r="Q150" s="2907"/>
      <c r="R150" s="2909">
        <v>428085</v>
      </c>
      <c r="S150" s="2909">
        <v>428085</v>
      </c>
      <c r="T150" s="2907"/>
    </row>
    <row r="151" spans="1:20" ht="23.25" customHeight="1" outlineLevel="1" x14ac:dyDescent="0.2">
      <c r="A151" s="4672" t="s">
        <v>2562</v>
      </c>
      <c r="B151" s="4672"/>
      <c r="C151" s="2905">
        <v>82</v>
      </c>
      <c r="D151" s="2906" t="s">
        <v>2248</v>
      </c>
      <c r="E151" s="2907" t="s">
        <v>2563</v>
      </c>
      <c r="F151" s="2908">
        <v>144</v>
      </c>
      <c r="G151" s="2908"/>
      <c r="H151" s="2909">
        <v>1612</v>
      </c>
      <c r="I151" s="4673">
        <v>1612</v>
      </c>
      <c r="J151" s="4673"/>
      <c r="K151" s="2907"/>
      <c r="L151" s="2907"/>
      <c r="M151" s="2910"/>
      <c r="N151" s="2910"/>
      <c r="O151" s="2910"/>
      <c r="P151" s="2907"/>
      <c r="Q151" s="2907"/>
      <c r="R151" s="2909">
        <v>1612</v>
      </c>
      <c r="S151" s="2909">
        <v>1612</v>
      </c>
      <c r="T151" s="2907"/>
    </row>
    <row r="152" spans="1:20" ht="23.25" customHeight="1" outlineLevel="1" x14ac:dyDescent="0.2">
      <c r="A152" s="4672" t="s">
        <v>2564</v>
      </c>
      <c r="B152" s="4672"/>
      <c r="C152" s="2905">
        <v>86</v>
      </c>
      <c r="D152" s="2906" t="s">
        <v>2248</v>
      </c>
      <c r="E152" s="2907" t="s">
        <v>2565</v>
      </c>
      <c r="F152" s="2908">
        <v>144</v>
      </c>
      <c r="G152" s="2908"/>
      <c r="H152" s="2909">
        <v>2094</v>
      </c>
      <c r="I152" s="4673">
        <v>2094</v>
      </c>
      <c r="J152" s="4673"/>
      <c r="K152" s="2907"/>
      <c r="L152" s="2907"/>
      <c r="M152" s="2910"/>
      <c r="N152" s="2910"/>
      <c r="O152" s="2910"/>
      <c r="P152" s="2907"/>
      <c r="Q152" s="2907"/>
      <c r="R152" s="2909">
        <v>2094</v>
      </c>
      <c r="S152" s="2909">
        <v>2094</v>
      </c>
      <c r="T152" s="2907"/>
    </row>
    <row r="153" spans="1:20" ht="23.25" customHeight="1" outlineLevel="1" x14ac:dyDescent="0.2">
      <c r="A153" s="4672" t="s">
        <v>2566</v>
      </c>
      <c r="B153" s="4672"/>
      <c r="C153" s="2905">
        <v>87</v>
      </c>
      <c r="D153" s="2906" t="s">
        <v>2248</v>
      </c>
      <c r="E153" s="2907" t="s">
        <v>2567</v>
      </c>
      <c r="F153" s="2908">
        <v>144</v>
      </c>
      <c r="G153" s="2908"/>
      <c r="H153" s="2909">
        <v>317757</v>
      </c>
      <c r="I153" s="4673">
        <v>317757</v>
      </c>
      <c r="J153" s="4673"/>
      <c r="K153" s="2907"/>
      <c r="L153" s="2907"/>
      <c r="M153" s="2910"/>
      <c r="N153" s="2910"/>
      <c r="O153" s="2910"/>
      <c r="P153" s="2907"/>
      <c r="Q153" s="2907"/>
      <c r="R153" s="2909">
        <v>317757</v>
      </c>
      <c r="S153" s="2909">
        <v>317757</v>
      </c>
      <c r="T153" s="2907"/>
    </row>
    <row r="154" spans="1:20" ht="23.25" customHeight="1" outlineLevel="1" x14ac:dyDescent="0.2">
      <c r="A154" s="4672" t="s">
        <v>2568</v>
      </c>
      <c r="B154" s="4672"/>
      <c r="C154" s="2905">
        <v>90</v>
      </c>
      <c r="D154" s="2906" t="s">
        <v>2248</v>
      </c>
      <c r="E154" s="2907" t="s">
        <v>2569</v>
      </c>
      <c r="F154" s="2908">
        <v>144</v>
      </c>
      <c r="G154" s="2908"/>
      <c r="H154" s="2909">
        <v>344821</v>
      </c>
      <c r="I154" s="4673">
        <v>344821</v>
      </c>
      <c r="J154" s="4673"/>
      <c r="K154" s="2907"/>
      <c r="L154" s="2907"/>
      <c r="M154" s="2910"/>
      <c r="N154" s="2910"/>
      <c r="O154" s="2910"/>
      <c r="P154" s="2907"/>
      <c r="Q154" s="2907"/>
      <c r="R154" s="2909">
        <v>344821</v>
      </c>
      <c r="S154" s="2909">
        <v>344821</v>
      </c>
      <c r="T154" s="2907"/>
    </row>
    <row r="155" spans="1:20" ht="23.25" customHeight="1" outlineLevel="1" x14ac:dyDescent="0.2">
      <c r="A155" s="4672" t="s">
        <v>2570</v>
      </c>
      <c r="B155" s="4672"/>
      <c r="C155" s="2905">
        <v>50</v>
      </c>
      <c r="D155" s="2906" t="s">
        <v>2248</v>
      </c>
      <c r="E155" s="2907" t="s">
        <v>2571</v>
      </c>
      <c r="F155" s="2908">
        <v>600</v>
      </c>
      <c r="G155" s="2908"/>
      <c r="H155" s="2909">
        <v>3679946</v>
      </c>
      <c r="I155" s="4673">
        <v>2142479.2000000002</v>
      </c>
      <c r="J155" s="4673"/>
      <c r="K155" s="2909">
        <v>1537466.8</v>
      </c>
      <c r="L155" s="2907"/>
      <c r="M155" s="2911">
        <v>73598.880000000005</v>
      </c>
      <c r="N155" s="2911">
        <f>M155</f>
        <v>73598.880000000005</v>
      </c>
      <c r="O155" s="2911"/>
      <c r="P155" s="2907"/>
      <c r="Q155" s="2907"/>
      <c r="R155" s="2909">
        <v>3679946</v>
      </c>
      <c r="S155" s="2909">
        <v>2216078.08</v>
      </c>
      <c r="T155" s="2909">
        <v>1463867.92</v>
      </c>
    </row>
    <row r="156" spans="1:20" ht="34.5" customHeight="1" outlineLevel="1" x14ac:dyDescent="0.2">
      <c r="A156" s="4672" t="s">
        <v>2572</v>
      </c>
      <c r="B156" s="4672"/>
      <c r="C156" s="2946">
        <v>1483</v>
      </c>
      <c r="D156" s="2906" t="s">
        <v>2573</v>
      </c>
      <c r="E156" s="2907" t="s">
        <v>2574</v>
      </c>
      <c r="F156" s="2907"/>
      <c r="G156" s="2907"/>
      <c r="H156" s="2907"/>
      <c r="I156" s="2947"/>
      <c r="J156" s="2948"/>
      <c r="K156" s="2907"/>
      <c r="L156" s="2907"/>
      <c r="M156" s="2910"/>
      <c r="N156" s="2911"/>
      <c r="O156" s="2911"/>
      <c r="P156" s="2907"/>
      <c r="Q156" s="2907"/>
      <c r="R156" s="2907"/>
      <c r="S156" s="2907"/>
      <c r="T156" s="2907"/>
    </row>
    <row r="157" spans="1:20" ht="23.25" customHeight="1" outlineLevel="1" x14ac:dyDescent="0.2">
      <c r="A157" s="4672" t="s">
        <v>2575</v>
      </c>
      <c r="B157" s="4672"/>
      <c r="C157" s="2946">
        <v>1486</v>
      </c>
      <c r="D157" s="2906" t="s">
        <v>2576</v>
      </c>
      <c r="E157" s="2907" t="s">
        <v>2577</v>
      </c>
      <c r="F157" s="2908">
        <v>360</v>
      </c>
      <c r="G157" s="2908"/>
      <c r="H157" s="2909">
        <v>200000</v>
      </c>
      <c r="I157" s="4673">
        <v>20000.16</v>
      </c>
      <c r="J157" s="4673"/>
      <c r="K157" s="2909">
        <v>179999.84</v>
      </c>
      <c r="L157" s="2907"/>
      <c r="M157" s="2911">
        <v>6666.72</v>
      </c>
      <c r="N157" s="2911">
        <f>M157</f>
        <v>6666.72</v>
      </c>
      <c r="O157" s="2911"/>
      <c r="P157" s="2907"/>
      <c r="Q157" s="2907"/>
      <c r="R157" s="2909">
        <v>200000</v>
      </c>
      <c r="S157" s="2909">
        <v>26666.880000000001</v>
      </c>
      <c r="T157" s="2909">
        <v>173333.12</v>
      </c>
    </row>
    <row r="158" spans="1:20" s="2904" customFormat="1" ht="45.75" customHeight="1" outlineLevel="1" x14ac:dyDescent="0.2">
      <c r="A158" s="4677" t="s">
        <v>2578</v>
      </c>
      <c r="B158" s="4677"/>
      <c r="C158" s="2942">
        <v>1518</v>
      </c>
      <c r="D158" s="2898" t="s">
        <v>2552</v>
      </c>
      <c r="E158" s="2903" t="s">
        <v>2579</v>
      </c>
      <c r="F158" s="2900">
        <v>240</v>
      </c>
      <c r="G158" s="2900"/>
      <c r="H158" s="2903"/>
      <c r="I158" s="2944"/>
      <c r="J158" s="2945"/>
      <c r="K158" s="2903"/>
      <c r="L158" s="2901">
        <v>21369.59</v>
      </c>
      <c r="M158" s="2903"/>
      <c r="N158" s="2903"/>
      <c r="O158" s="2903"/>
      <c r="P158" s="2903"/>
      <c r="Q158" s="2903"/>
      <c r="R158" s="2901">
        <v>21369.59</v>
      </c>
      <c r="S158" s="2903"/>
      <c r="T158" s="2901">
        <v>21369.59</v>
      </c>
    </row>
    <row r="159" spans="1:20" s="2904" customFormat="1" ht="34.5" customHeight="1" outlineLevel="1" x14ac:dyDescent="0.2">
      <c r="A159" s="4677" t="s">
        <v>2580</v>
      </c>
      <c r="B159" s="4677"/>
      <c r="C159" s="2942">
        <v>1519</v>
      </c>
      <c r="D159" s="2898" t="s">
        <v>2552</v>
      </c>
      <c r="E159" s="2903" t="s">
        <v>2581</v>
      </c>
      <c r="F159" s="2900">
        <v>360</v>
      </c>
      <c r="G159" s="2900"/>
      <c r="H159" s="2903"/>
      <c r="I159" s="2944"/>
      <c r="J159" s="2945"/>
      <c r="K159" s="2903"/>
      <c r="L159" s="2901">
        <v>315171.8</v>
      </c>
      <c r="M159" s="2903"/>
      <c r="N159" s="2903"/>
      <c r="O159" s="2903"/>
      <c r="P159" s="2903"/>
      <c r="Q159" s="2903"/>
      <c r="R159" s="2901">
        <v>315171.8</v>
      </c>
      <c r="S159" s="2903"/>
      <c r="T159" s="2901">
        <v>315171.8</v>
      </c>
    </row>
    <row r="160" spans="1:20" s="2904" customFormat="1" ht="45.75" customHeight="1" outlineLevel="1" x14ac:dyDescent="0.2">
      <c r="A160" s="4677" t="s">
        <v>2582</v>
      </c>
      <c r="B160" s="4677"/>
      <c r="C160" s="2942">
        <v>1520</v>
      </c>
      <c r="D160" s="2898" t="s">
        <v>2552</v>
      </c>
      <c r="E160" s="2903" t="s">
        <v>2583</v>
      </c>
      <c r="F160" s="2900">
        <v>240</v>
      </c>
      <c r="G160" s="2900"/>
      <c r="H160" s="2903"/>
      <c r="I160" s="2944"/>
      <c r="J160" s="2945"/>
      <c r="K160" s="2903"/>
      <c r="L160" s="2901">
        <v>217557.6</v>
      </c>
      <c r="M160" s="2903"/>
      <c r="N160" s="2903"/>
      <c r="O160" s="2903"/>
      <c r="P160" s="2903"/>
      <c r="Q160" s="2903"/>
      <c r="R160" s="2901">
        <v>217557.6</v>
      </c>
      <c r="S160" s="2903"/>
      <c r="T160" s="2901">
        <v>217557.6</v>
      </c>
    </row>
    <row r="161" spans="1:20" s="2904" customFormat="1" ht="34.5" customHeight="1" outlineLevel="1" x14ac:dyDescent="0.2">
      <c r="A161" s="4677" t="s">
        <v>2584</v>
      </c>
      <c r="B161" s="4677"/>
      <c r="C161" s="2942">
        <v>1521</v>
      </c>
      <c r="D161" s="2898" t="s">
        <v>2585</v>
      </c>
      <c r="E161" s="2903" t="s">
        <v>2586</v>
      </c>
      <c r="F161" s="2900">
        <v>360</v>
      </c>
      <c r="G161" s="2900"/>
      <c r="H161" s="2903"/>
      <c r="I161" s="2944"/>
      <c r="J161" s="2945"/>
      <c r="K161" s="2903"/>
      <c r="L161" s="2953">
        <v>1</v>
      </c>
      <c r="M161" s="2903"/>
      <c r="N161" s="2903"/>
      <c r="O161" s="2903"/>
      <c r="P161" s="2903"/>
      <c r="Q161" s="2903"/>
      <c r="R161" s="2953">
        <v>1</v>
      </c>
      <c r="S161" s="2903"/>
      <c r="T161" s="2953">
        <v>1</v>
      </c>
    </row>
    <row r="162" spans="1:20" s="2932" customFormat="1" ht="12.75" customHeight="1" x14ac:dyDescent="0.2">
      <c r="A162" s="4679" t="s">
        <v>2587</v>
      </c>
      <c r="B162" s="4679"/>
      <c r="C162" s="4679"/>
      <c r="D162" s="4679"/>
      <c r="E162" s="4679"/>
      <c r="F162" s="4679"/>
      <c r="G162" s="2929"/>
      <c r="H162" s="2930">
        <v>35871601.920000002</v>
      </c>
      <c r="I162" s="4680">
        <v>25309600.27</v>
      </c>
      <c r="J162" s="4680"/>
      <c r="K162" s="2930">
        <v>10562001.65</v>
      </c>
      <c r="L162" s="2930">
        <v>100392.02</v>
      </c>
      <c r="M162" s="2931">
        <v>3134091.27</v>
      </c>
      <c r="N162" s="2931">
        <f>SUM(N163:N478)</f>
        <v>3134091.2874285714</v>
      </c>
      <c r="O162" s="2931"/>
      <c r="P162" s="2930">
        <v>169448.95999999999</v>
      </c>
      <c r="Q162" s="2930">
        <v>167915.08</v>
      </c>
      <c r="R162" s="2930">
        <v>35802544.979999997</v>
      </c>
      <c r="S162" s="2930">
        <v>28275776.460000001</v>
      </c>
      <c r="T162" s="2930">
        <v>7526768.5199999996</v>
      </c>
    </row>
    <row r="163" spans="1:20" ht="23.25" customHeight="1" outlineLevel="1" x14ac:dyDescent="0.2">
      <c r="A163" s="4672" t="s">
        <v>2588</v>
      </c>
      <c r="B163" s="4672"/>
      <c r="C163" s="2946">
        <v>1495</v>
      </c>
      <c r="D163" s="2906" t="s">
        <v>2589</v>
      </c>
      <c r="E163" s="2907" t="s">
        <v>2590</v>
      </c>
      <c r="F163" s="2908">
        <v>84</v>
      </c>
      <c r="G163" s="2908"/>
      <c r="H163" s="2909">
        <v>99936.3</v>
      </c>
      <c r="I163" s="4673">
        <v>24984.12</v>
      </c>
      <c r="J163" s="4673"/>
      <c r="K163" s="2909">
        <v>74952.179999999993</v>
      </c>
      <c r="L163" s="2907"/>
      <c r="M163" s="2911">
        <v>14276.64</v>
      </c>
      <c r="N163" s="2911">
        <f>M163</f>
        <v>14276.64</v>
      </c>
      <c r="O163" s="2911"/>
      <c r="P163" s="2907"/>
      <c r="Q163" s="2907"/>
      <c r="R163" s="2909">
        <v>99936.3</v>
      </c>
      <c r="S163" s="2909">
        <v>39260.76</v>
      </c>
      <c r="T163" s="2909">
        <v>60675.54</v>
      </c>
    </row>
    <row r="164" spans="1:20" ht="34.5" customHeight="1" outlineLevel="1" x14ac:dyDescent="0.2">
      <c r="A164" s="4672" t="s">
        <v>2591</v>
      </c>
      <c r="B164" s="4672"/>
      <c r="C164" s="2946">
        <v>1496</v>
      </c>
      <c r="D164" s="2906" t="s">
        <v>2589</v>
      </c>
      <c r="E164" s="2907" t="s">
        <v>2592</v>
      </c>
      <c r="F164" s="2908">
        <v>84</v>
      </c>
      <c r="G164" s="2908"/>
      <c r="H164" s="2909">
        <v>99743.89</v>
      </c>
      <c r="I164" s="4673">
        <v>24936.03</v>
      </c>
      <c r="J164" s="4673"/>
      <c r="K164" s="2909">
        <v>74807.86</v>
      </c>
      <c r="L164" s="2907"/>
      <c r="M164" s="2911">
        <v>14249.16</v>
      </c>
      <c r="N164" s="2911">
        <f t="shared" ref="N164:N172" si="2">M164</f>
        <v>14249.16</v>
      </c>
      <c r="O164" s="2911"/>
      <c r="P164" s="2907"/>
      <c r="Q164" s="2907"/>
      <c r="R164" s="2909">
        <v>99743.89</v>
      </c>
      <c r="S164" s="2909">
        <v>39185.19</v>
      </c>
      <c r="T164" s="2909">
        <v>60558.7</v>
      </c>
    </row>
    <row r="165" spans="1:20" ht="34.5" customHeight="1" outlineLevel="1" x14ac:dyDescent="0.2">
      <c r="A165" s="4672" t="s">
        <v>2593</v>
      </c>
      <c r="B165" s="4672"/>
      <c r="C165" s="2946">
        <v>1497</v>
      </c>
      <c r="D165" s="2906" t="s">
        <v>2589</v>
      </c>
      <c r="E165" s="2907" t="s">
        <v>2594</v>
      </c>
      <c r="F165" s="2908">
        <v>84</v>
      </c>
      <c r="G165" s="2908"/>
      <c r="H165" s="2909">
        <v>48313</v>
      </c>
      <c r="I165" s="4673">
        <v>12078.15</v>
      </c>
      <c r="J165" s="4673"/>
      <c r="K165" s="2909">
        <v>36234.85</v>
      </c>
      <c r="L165" s="2907"/>
      <c r="M165" s="2911">
        <v>6901.8</v>
      </c>
      <c r="N165" s="2911">
        <f t="shared" si="2"/>
        <v>6901.8</v>
      </c>
      <c r="O165" s="2911"/>
      <c r="P165" s="2907"/>
      <c r="Q165" s="2907"/>
      <c r="R165" s="2909">
        <v>48313</v>
      </c>
      <c r="S165" s="2909">
        <v>18979.95</v>
      </c>
      <c r="T165" s="2909">
        <v>29333.05</v>
      </c>
    </row>
    <row r="166" spans="1:20" ht="34.5" customHeight="1" outlineLevel="1" x14ac:dyDescent="0.2">
      <c r="A166" s="4672" t="s">
        <v>2595</v>
      </c>
      <c r="B166" s="4672"/>
      <c r="C166" s="2946">
        <v>1489</v>
      </c>
      <c r="D166" s="2906" t="s">
        <v>2596</v>
      </c>
      <c r="E166" s="2907" t="s">
        <v>2597</v>
      </c>
      <c r="F166" s="2908">
        <v>84</v>
      </c>
      <c r="G166" s="2908"/>
      <c r="H166" s="2909">
        <v>305831</v>
      </c>
      <c r="I166" s="4673">
        <v>109225.5</v>
      </c>
      <c r="J166" s="4673"/>
      <c r="K166" s="2909">
        <v>196605.5</v>
      </c>
      <c r="L166" s="2907"/>
      <c r="M166" s="2911">
        <v>43690.2</v>
      </c>
      <c r="N166" s="2911">
        <f t="shared" si="2"/>
        <v>43690.2</v>
      </c>
      <c r="O166" s="2911"/>
      <c r="P166" s="2907"/>
      <c r="Q166" s="2907"/>
      <c r="R166" s="2909">
        <v>305831</v>
      </c>
      <c r="S166" s="2909">
        <v>152915.70000000001</v>
      </c>
      <c r="T166" s="2909">
        <v>152915.29999999999</v>
      </c>
    </row>
    <row r="167" spans="1:20" ht="23.25" customHeight="1" outlineLevel="1" x14ac:dyDescent="0.2">
      <c r="A167" s="4672" t="s">
        <v>2598</v>
      </c>
      <c r="B167" s="4672"/>
      <c r="C167" s="2946">
        <v>1500</v>
      </c>
      <c r="D167" s="2906" t="s">
        <v>2599</v>
      </c>
      <c r="E167" s="2907" t="s">
        <v>2600</v>
      </c>
      <c r="F167" s="2908">
        <v>60</v>
      </c>
      <c r="G167" s="2908"/>
      <c r="H167" s="2909">
        <v>46150</v>
      </c>
      <c r="I167" s="4673">
        <v>9230.0400000000009</v>
      </c>
      <c r="J167" s="4673"/>
      <c r="K167" s="2909">
        <v>36919.96</v>
      </c>
      <c r="L167" s="2907"/>
      <c r="M167" s="2911">
        <v>9230.0400000000009</v>
      </c>
      <c r="N167" s="2911">
        <f t="shared" si="2"/>
        <v>9230.0400000000009</v>
      </c>
      <c r="O167" s="2911"/>
      <c r="P167" s="2907"/>
      <c r="Q167" s="2907"/>
      <c r="R167" s="2909">
        <v>46150</v>
      </c>
      <c r="S167" s="2909">
        <v>18460.080000000002</v>
      </c>
      <c r="T167" s="2909">
        <v>27689.919999999998</v>
      </c>
    </row>
    <row r="168" spans="1:20" ht="23.25" customHeight="1" outlineLevel="1" x14ac:dyDescent="0.2">
      <c r="A168" s="4672" t="s">
        <v>2598</v>
      </c>
      <c r="B168" s="4672"/>
      <c r="C168" s="2946">
        <v>1501</v>
      </c>
      <c r="D168" s="2906" t="s">
        <v>2599</v>
      </c>
      <c r="E168" s="2907" t="s">
        <v>2600</v>
      </c>
      <c r="F168" s="2908">
        <v>60</v>
      </c>
      <c r="G168" s="2908"/>
      <c r="H168" s="2909">
        <v>46150</v>
      </c>
      <c r="I168" s="4673">
        <v>9230.0400000000009</v>
      </c>
      <c r="J168" s="4673"/>
      <c r="K168" s="2909">
        <v>36919.96</v>
      </c>
      <c r="L168" s="2907"/>
      <c r="M168" s="2911">
        <v>9230.0400000000009</v>
      </c>
      <c r="N168" s="2911">
        <f t="shared" si="2"/>
        <v>9230.0400000000009</v>
      </c>
      <c r="O168" s="2911"/>
      <c r="P168" s="2907"/>
      <c r="Q168" s="2907"/>
      <c r="R168" s="2909">
        <v>46150</v>
      </c>
      <c r="S168" s="2909">
        <v>18460.080000000002</v>
      </c>
      <c r="T168" s="2909">
        <v>27689.919999999998</v>
      </c>
    </row>
    <row r="169" spans="1:20" ht="23.25" customHeight="1" outlineLevel="1" x14ac:dyDescent="0.2">
      <c r="A169" s="4672" t="s">
        <v>2598</v>
      </c>
      <c r="B169" s="4672"/>
      <c r="C169" s="2946">
        <v>1502</v>
      </c>
      <c r="D169" s="2906" t="s">
        <v>2599</v>
      </c>
      <c r="E169" s="2907" t="s">
        <v>2600</v>
      </c>
      <c r="F169" s="2908">
        <v>60</v>
      </c>
      <c r="G169" s="2908"/>
      <c r="H169" s="2909">
        <v>46150</v>
      </c>
      <c r="I169" s="4673">
        <v>9230.0400000000009</v>
      </c>
      <c r="J169" s="4673"/>
      <c r="K169" s="2909">
        <v>36919.96</v>
      </c>
      <c r="L169" s="2907"/>
      <c r="M169" s="2911">
        <v>9230.0400000000009</v>
      </c>
      <c r="N169" s="2911">
        <f t="shared" si="2"/>
        <v>9230.0400000000009</v>
      </c>
      <c r="O169" s="2911"/>
      <c r="P169" s="2907"/>
      <c r="Q169" s="2907"/>
      <c r="R169" s="2909">
        <v>46150</v>
      </c>
      <c r="S169" s="2909">
        <v>18460.080000000002</v>
      </c>
      <c r="T169" s="2909">
        <v>27689.919999999998</v>
      </c>
    </row>
    <row r="170" spans="1:20" ht="23.25" customHeight="1" outlineLevel="1" x14ac:dyDescent="0.2">
      <c r="A170" s="4672" t="s">
        <v>2601</v>
      </c>
      <c r="B170" s="4672"/>
      <c r="C170" s="2912">
        <v>2448</v>
      </c>
      <c r="D170" s="2906" t="s">
        <v>2602</v>
      </c>
      <c r="E170" s="2907" t="s">
        <v>2603</v>
      </c>
      <c r="F170" s="2908">
        <v>84</v>
      </c>
      <c r="G170" s="2908"/>
      <c r="H170" s="2909">
        <v>284970</v>
      </c>
      <c r="I170" s="4673">
        <v>193372.5</v>
      </c>
      <c r="J170" s="4673"/>
      <c r="K170" s="2909">
        <v>91597.5</v>
      </c>
      <c r="L170" s="2907"/>
      <c r="M170" s="2911">
        <v>40710</v>
      </c>
      <c r="N170" s="2911">
        <f t="shared" si="2"/>
        <v>40710</v>
      </c>
      <c r="O170" s="2911"/>
      <c r="P170" s="2907"/>
      <c r="Q170" s="2907"/>
      <c r="R170" s="2909">
        <v>284970</v>
      </c>
      <c r="S170" s="2909">
        <v>234082.5</v>
      </c>
      <c r="T170" s="2909">
        <v>50887.5</v>
      </c>
    </row>
    <row r="171" spans="1:20" ht="23.25" customHeight="1" outlineLevel="1" x14ac:dyDescent="0.2">
      <c r="A171" s="4672" t="s">
        <v>2604</v>
      </c>
      <c r="B171" s="4672"/>
      <c r="C171" s="2946">
        <v>1504</v>
      </c>
      <c r="D171" s="2906" t="s">
        <v>2605</v>
      </c>
      <c r="E171" s="2907" t="s">
        <v>2606</v>
      </c>
      <c r="F171" s="2908">
        <v>120</v>
      </c>
      <c r="G171" s="2908"/>
      <c r="H171" s="2909">
        <v>43072.29</v>
      </c>
      <c r="I171" s="4673">
        <v>3589.4</v>
      </c>
      <c r="J171" s="4673"/>
      <c r="K171" s="2909">
        <v>39482.89</v>
      </c>
      <c r="L171" s="2907"/>
      <c r="M171" s="2911">
        <v>4307.28</v>
      </c>
      <c r="N171" s="2911">
        <f t="shared" si="2"/>
        <v>4307.28</v>
      </c>
      <c r="O171" s="2911"/>
      <c r="P171" s="2907"/>
      <c r="Q171" s="2907"/>
      <c r="R171" s="2909">
        <v>43072.29</v>
      </c>
      <c r="S171" s="2909">
        <v>7896.68</v>
      </c>
      <c r="T171" s="2909">
        <v>35175.61</v>
      </c>
    </row>
    <row r="172" spans="1:20" ht="23.25" customHeight="1" outlineLevel="1" x14ac:dyDescent="0.2">
      <c r="A172" s="4672" t="s">
        <v>2607</v>
      </c>
      <c r="B172" s="4672"/>
      <c r="C172" s="2946">
        <v>1494</v>
      </c>
      <c r="D172" s="2906" t="s">
        <v>2589</v>
      </c>
      <c r="E172" s="2907" t="s">
        <v>2608</v>
      </c>
      <c r="F172" s="2908">
        <v>84</v>
      </c>
      <c r="G172" s="2908"/>
      <c r="H172" s="2909">
        <v>99818.71</v>
      </c>
      <c r="I172" s="4673">
        <v>24954.720000000001</v>
      </c>
      <c r="J172" s="4673"/>
      <c r="K172" s="2909">
        <v>74863.990000000005</v>
      </c>
      <c r="L172" s="2907"/>
      <c r="M172" s="2911">
        <v>14259.84</v>
      </c>
      <c r="N172" s="2911">
        <f t="shared" si="2"/>
        <v>14259.84</v>
      </c>
      <c r="O172" s="2911"/>
      <c r="P172" s="2907"/>
      <c r="Q172" s="2907"/>
      <c r="R172" s="2909">
        <v>99818.71</v>
      </c>
      <c r="S172" s="2909">
        <v>39214.559999999998</v>
      </c>
      <c r="T172" s="2909">
        <v>60604.15</v>
      </c>
    </row>
    <row r="173" spans="1:20" ht="12" customHeight="1" outlineLevel="1" x14ac:dyDescent="0.2">
      <c r="A173" s="4672" t="s">
        <v>2609</v>
      </c>
      <c r="B173" s="4672"/>
      <c r="C173" s="2905">
        <v>153</v>
      </c>
      <c r="D173" s="2906" t="s">
        <v>2610</v>
      </c>
      <c r="E173" s="2907" t="s">
        <v>2611</v>
      </c>
      <c r="F173" s="2908">
        <v>109</v>
      </c>
      <c r="G173" s="2908"/>
      <c r="H173" s="2909">
        <v>8597</v>
      </c>
      <c r="I173" s="4673">
        <v>8597</v>
      </c>
      <c r="J173" s="4673"/>
      <c r="K173" s="2907"/>
      <c r="L173" s="2907"/>
      <c r="M173" s="2910"/>
      <c r="N173" s="2911"/>
      <c r="O173" s="2911"/>
      <c r="P173" s="2907"/>
      <c r="Q173" s="2907"/>
      <c r="R173" s="2909">
        <v>8597</v>
      </c>
      <c r="S173" s="2909">
        <v>8597</v>
      </c>
      <c r="T173" s="2907"/>
    </row>
    <row r="174" spans="1:20" ht="23.25" customHeight="1" outlineLevel="1" x14ac:dyDescent="0.2">
      <c r="A174" s="4672" t="s">
        <v>2612</v>
      </c>
      <c r="B174" s="4672"/>
      <c r="C174" s="2946">
        <v>1514</v>
      </c>
      <c r="D174" s="2906" t="s">
        <v>2613</v>
      </c>
      <c r="E174" s="2907" t="s">
        <v>2614</v>
      </c>
      <c r="F174" s="2908">
        <v>180</v>
      </c>
      <c r="G174" s="2908"/>
      <c r="H174" s="2909">
        <v>367796.61</v>
      </c>
      <c r="I174" s="4673">
        <v>2043.31</v>
      </c>
      <c r="J174" s="4673"/>
      <c r="K174" s="2909">
        <v>365753.3</v>
      </c>
      <c r="L174" s="2907"/>
      <c r="M174" s="2911">
        <v>24519.72</v>
      </c>
      <c r="N174" s="2911">
        <f>M174</f>
        <v>24519.72</v>
      </c>
      <c r="O174" s="2911"/>
      <c r="P174" s="2907"/>
      <c r="Q174" s="2907"/>
      <c r="R174" s="2909">
        <v>367796.61</v>
      </c>
      <c r="S174" s="2909">
        <v>26563.03</v>
      </c>
      <c r="T174" s="2909">
        <v>341233.58</v>
      </c>
    </row>
    <row r="175" spans="1:20" ht="12" customHeight="1" outlineLevel="1" x14ac:dyDescent="0.2">
      <c r="A175" s="4672" t="s">
        <v>2615</v>
      </c>
      <c r="B175" s="4672"/>
      <c r="C175" s="2946">
        <v>1490</v>
      </c>
      <c r="D175" s="2906" t="s">
        <v>2616</v>
      </c>
      <c r="E175" s="2907" t="s">
        <v>2617</v>
      </c>
      <c r="F175" s="2908">
        <v>84</v>
      </c>
      <c r="G175" s="2908"/>
      <c r="H175" s="2909">
        <v>150847.46</v>
      </c>
      <c r="I175" s="4673">
        <v>44895</v>
      </c>
      <c r="J175" s="4673"/>
      <c r="K175" s="2909">
        <v>105952.46</v>
      </c>
      <c r="L175" s="2907"/>
      <c r="M175" s="2911">
        <v>21549.599999999999</v>
      </c>
      <c r="N175" s="2911">
        <f>M175</f>
        <v>21549.599999999999</v>
      </c>
      <c r="O175" s="2911"/>
      <c r="P175" s="2907"/>
      <c r="Q175" s="2907"/>
      <c r="R175" s="2909">
        <v>150847.46</v>
      </c>
      <c r="S175" s="2909">
        <v>66444.600000000006</v>
      </c>
      <c r="T175" s="2909">
        <v>84402.86</v>
      </c>
    </row>
    <row r="176" spans="1:20" ht="12" customHeight="1" outlineLevel="1" x14ac:dyDescent="0.2">
      <c r="A176" s="4672" t="s">
        <v>2618</v>
      </c>
      <c r="B176" s="4672"/>
      <c r="C176" s="2946">
        <v>1513</v>
      </c>
      <c r="D176" s="2906" t="s">
        <v>2613</v>
      </c>
      <c r="E176" s="2907" t="s">
        <v>2619</v>
      </c>
      <c r="F176" s="2908">
        <v>60</v>
      </c>
      <c r="G176" s="2908"/>
      <c r="H176" s="2909">
        <v>69099.23</v>
      </c>
      <c r="I176" s="4673">
        <v>1151.6500000000001</v>
      </c>
      <c r="J176" s="4673"/>
      <c r="K176" s="2909">
        <v>67947.58</v>
      </c>
      <c r="L176" s="2907"/>
      <c r="M176" s="2911">
        <v>13819.8</v>
      </c>
      <c r="N176" s="2911">
        <f>M176</f>
        <v>13819.8</v>
      </c>
      <c r="O176" s="2911"/>
      <c r="P176" s="2907"/>
      <c r="Q176" s="2907"/>
      <c r="R176" s="2909">
        <v>69099.23</v>
      </c>
      <c r="S176" s="2909">
        <v>14971.45</v>
      </c>
      <c r="T176" s="2909">
        <v>54127.78</v>
      </c>
    </row>
    <row r="177" spans="1:20" ht="12" customHeight="1" outlineLevel="1" x14ac:dyDescent="0.2">
      <c r="A177" s="4672" t="s">
        <v>2620</v>
      </c>
      <c r="B177" s="4672"/>
      <c r="C177" s="2912">
        <v>2408</v>
      </c>
      <c r="D177" s="2906" t="s">
        <v>2621</v>
      </c>
      <c r="E177" s="2907" t="s">
        <v>2622</v>
      </c>
      <c r="F177" s="2908">
        <v>84</v>
      </c>
      <c r="G177" s="2908"/>
      <c r="H177" s="2909">
        <v>42250</v>
      </c>
      <c r="I177" s="4673">
        <v>35711.58</v>
      </c>
      <c r="J177" s="4673"/>
      <c r="K177" s="2909">
        <v>6538.42</v>
      </c>
      <c r="L177" s="2907"/>
      <c r="M177" s="2911">
        <v>6035.76</v>
      </c>
      <c r="N177" s="2911">
        <f>M177</f>
        <v>6035.76</v>
      </c>
      <c r="O177" s="2911"/>
      <c r="P177" s="2907"/>
      <c r="Q177" s="2907"/>
      <c r="R177" s="2909">
        <v>42250</v>
      </c>
      <c r="S177" s="2909">
        <v>41747.339999999997</v>
      </c>
      <c r="T177" s="2952">
        <v>502.66</v>
      </c>
    </row>
    <row r="178" spans="1:20" ht="23.25" customHeight="1" outlineLevel="1" x14ac:dyDescent="0.2">
      <c r="A178" s="4672" t="s">
        <v>2623</v>
      </c>
      <c r="B178" s="4672"/>
      <c r="C178" s="2905">
        <v>135</v>
      </c>
      <c r="D178" s="2906" t="s">
        <v>2248</v>
      </c>
      <c r="E178" s="2907" t="s">
        <v>2624</v>
      </c>
      <c r="F178" s="2908">
        <v>300</v>
      </c>
      <c r="G178" s="2908"/>
      <c r="H178" s="2909">
        <v>138070</v>
      </c>
      <c r="I178" s="4673">
        <v>138070</v>
      </c>
      <c r="J178" s="4673"/>
      <c r="K178" s="2907"/>
      <c r="L178" s="2907"/>
      <c r="M178" s="2910"/>
      <c r="N178" s="2911"/>
      <c r="O178" s="2911"/>
      <c r="P178" s="2907"/>
      <c r="Q178" s="2907"/>
      <c r="R178" s="2909">
        <v>138070</v>
      </c>
      <c r="S178" s="2909">
        <v>138070</v>
      </c>
      <c r="T178" s="2907"/>
    </row>
    <row r="179" spans="1:20" ht="12" customHeight="1" outlineLevel="1" x14ac:dyDescent="0.2">
      <c r="A179" s="4672" t="s">
        <v>2625</v>
      </c>
      <c r="B179" s="4672"/>
      <c r="C179" s="2905">
        <v>140</v>
      </c>
      <c r="D179" s="2906" t="s">
        <v>2626</v>
      </c>
      <c r="E179" s="2907" t="s">
        <v>2627</v>
      </c>
      <c r="F179" s="2908">
        <v>84</v>
      </c>
      <c r="G179" s="2908"/>
      <c r="H179" s="2909">
        <v>4900</v>
      </c>
      <c r="I179" s="4673">
        <v>4900</v>
      </c>
      <c r="J179" s="4673"/>
      <c r="K179" s="2907"/>
      <c r="L179" s="2907"/>
      <c r="M179" s="2910"/>
      <c r="N179" s="2911"/>
      <c r="O179" s="2911"/>
      <c r="P179" s="2907"/>
      <c r="Q179" s="2907"/>
      <c r="R179" s="2909">
        <v>4900</v>
      </c>
      <c r="S179" s="2909">
        <v>4900</v>
      </c>
      <c r="T179" s="2907"/>
    </row>
    <row r="180" spans="1:20" ht="23.25" customHeight="1" outlineLevel="1" x14ac:dyDescent="0.2">
      <c r="A180" s="4672" t="s">
        <v>2628</v>
      </c>
      <c r="B180" s="4672"/>
      <c r="C180" s="2912">
        <v>1952</v>
      </c>
      <c r="D180" s="2906" t="s">
        <v>2629</v>
      </c>
      <c r="E180" s="2907" t="s">
        <v>2630</v>
      </c>
      <c r="F180" s="2908">
        <v>96</v>
      </c>
      <c r="G180" s="2908"/>
      <c r="H180" s="2909">
        <v>461440.68</v>
      </c>
      <c r="I180" s="4673">
        <v>461440.68</v>
      </c>
      <c r="J180" s="4673"/>
      <c r="K180" s="2907"/>
      <c r="L180" s="2907"/>
      <c r="M180" s="2910"/>
      <c r="N180" s="2911"/>
      <c r="O180" s="2911"/>
      <c r="P180" s="2907"/>
      <c r="Q180" s="2907"/>
      <c r="R180" s="2909">
        <v>461440.68</v>
      </c>
      <c r="S180" s="2909">
        <v>461440.68</v>
      </c>
      <c r="T180" s="2907"/>
    </row>
    <row r="181" spans="1:20" ht="23.25" customHeight="1" outlineLevel="1" x14ac:dyDescent="0.2">
      <c r="A181" s="4672" t="s">
        <v>2631</v>
      </c>
      <c r="B181" s="4672"/>
      <c r="C181" s="2912">
        <v>2325</v>
      </c>
      <c r="D181" s="2906" t="s">
        <v>2632</v>
      </c>
      <c r="E181" s="2907" t="s">
        <v>2633</v>
      </c>
      <c r="F181" s="2908">
        <v>120</v>
      </c>
      <c r="G181" s="2908"/>
      <c r="H181" s="2909">
        <v>492395</v>
      </c>
      <c r="I181" s="4673">
        <v>418535.58</v>
      </c>
      <c r="J181" s="4673"/>
      <c r="K181" s="2909">
        <v>73859.42</v>
      </c>
      <c r="L181" s="2907"/>
      <c r="M181" s="2911">
        <v>49239.48</v>
      </c>
      <c r="N181" s="2911">
        <f>M181</f>
        <v>49239.48</v>
      </c>
      <c r="O181" s="2911"/>
      <c r="P181" s="2907"/>
      <c r="Q181" s="2907"/>
      <c r="R181" s="2909">
        <v>492395</v>
      </c>
      <c r="S181" s="2909">
        <v>467775.06</v>
      </c>
      <c r="T181" s="2909">
        <v>24619.94</v>
      </c>
    </row>
    <row r="182" spans="1:20" ht="12" customHeight="1" outlineLevel="1" x14ac:dyDescent="0.2">
      <c r="A182" s="4672" t="s">
        <v>2634</v>
      </c>
      <c r="B182" s="4672"/>
      <c r="C182" s="2905">
        <v>747</v>
      </c>
      <c r="D182" s="2906" t="s">
        <v>2635</v>
      </c>
      <c r="E182" s="2907" t="s">
        <v>2636</v>
      </c>
      <c r="F182" s="2908">
        <v>240</v>
      </c>
      <c r="G182" s="2908"/>
      <c r="H182" s="2909">
        <v>91256.5</v>
      </c>
      <c r="I182" s="4673">
        <v>56275.519999999997</v>
      </c>
      <c r="J182" s="4673"/>
      <c r="K182" s="2909">
        <v>34980.980000000003</v>
      </c>
      <c r="L182" s="2907"/>
      <c r="M182" s="2911">
        <v>4562.88</v>
      </c>
      <c r="N182" s="2911">
        <f>M182</f>
        <v>4562.88</v>
      </c>
      <c r="O182" s="2911"/>
      <c r="P182" s="2907"/>
      <c r="Q182" s="2907"/>
      <c r="R182" s="2909">
        <v>91256.5</v>
      </c>
      <c r="S182" s="2909">
        <v>60838.400000000001</v>
      </c>
      <c r="T182" s="2909">
        <v>30418.1</v>
      </c>
    </row>
    <row r="183" spans="1:20" ht="23.25" customHeight="1" outlineLevel="1" x14ac:dyDescent="0.2">
      <c r="A183" s="4672" t="s">
        <v>2637</v>
      </c>
      <c r="B183" s="4672"/>
      <c r="C183" s="2912">
        <v>1740</v>
      </c>
      <c r="D183" s="2906" t="s">
        <v>2485</v>
      </c>
      <c r="E183" s="2907" t="s">
        <v>2638</v>
      </c>
      <c r="F183" s="2908">
        <v>84</v>
      </c>
      <c r="G183" s="2908"/>
      <c r="H183" s="2909">
        <v>21256.14</v>
      </c>
      <c r="I183" s="4673">
        <v>21256.14</v>
      </c>
      <c r="J183" s="4673"/>
      <c r="K183" s="2907"/>
      <c r="L183" s="2907"/>
      <c r="M183" s="2910"/>
      <c r="N183" s="2911"/>
      <c r="O183" s="2911"/>
      <c r="P183" s="2907"/>
      <c r="Q183" s="2907"/>
      <c r="R183" s="2909">
        <v>21256.14</v>
      </c>
      <c r="S183" s="2909">
        <v>21256.14</v>
      </c>
      <c r="T183" s="2907"/>
    </row>
    <row r="184" spans="1:20" ht="12" customHeight="1" outlineLevel="1" x14ac:dyDescent="0.2">
      <c r="A184" s="4672" t="s">
        <v>2639</v>
      </c>
      <c r="B184" s="4672"/>
      <c r="C184" s="2912">
        <v>1918</v>
      </c>
      <c r="D184" s="2906" t="s">
        <v>2640</v>
      </c>
      <c r="E184" s="2907" t="s">
        <v>2641</v>
      </c>
      <c r="F184" s="2908">
        <v>120</v>
      </c>
      <c r="G184" s="2908"/>
      <c r="H184" s="2909">
        <v>49970.28</v>
      </c>
      <c r="I184" s="4673">
        <v>49970.28</v>
      </c>
      <c r="J184" s="4673"/>
      <c r="K184" s="2907"/>
      <c r="L184" s="2907"/>
      <c r="M184" s="2910"/>
      <c r="N184" s="2911"/>
      <c r="O184" s="2911"/>
      <c r="P184" s="2907"/>
      <c r="Q184" s="2907"/>
      <c r="R184" s="2909">
        <v>49970.28</v>
      </c>
      <c r="S184" s="2909">
        <v>49970.28</v>
      </c>
      <c r="T184" s="2907"/>
    </row>
    <row r="185" spans="1:20" ht="23.25" customHeight="1" outlineLevel="1" x14ac:dyDescent="0.2">
      <c r="A185" s="4672" t="s">
        <v>2642</v>
      </c>
      <c r="B185" s="4672"/>
      <c r="C185" s="2905">
        <v>439</v>
      </c>
      <c r="D185" s="2906" t="s">
        <v>2302</v>
      </c>
      <c r="E185" s="2907" t="s">
        <v>2643</v>
      </c>
      <c r="F185" s="2908">
        <v>240</v>
      </c>
      <c r="G185" s="2908"/>
      <c r="H185" s="2909">
        <v>11912</v>
      </c>
      <c r="I185" s="4673">
        <v>11912</v>
      </c>
      <c r="J185" s="4673"/>
      <c r="K185" s="2907"/>
      <c r="L185" s="2907"/>
      <c r="M185" s="2910"/>
      <c r="N185" s="2911"/>
      <c r="O185" s="2911"/>
      <c r="P185" s="2907"/>
      <c r="Q185" s="2907"/>
      <c r="R185" s="2909">
        <v>11912</v>
      </c>
      <c r="S185" s="2909">
        <v>11912</v>
      </c>
      <c r="T185" s="2907"/>
    </row>
    <row r="186" spans="1:20" ht="12" customHeight="1" outlineLevel="1" x14ac:dyDescent="0.2">
      <c r="A186" s="4672" t="s">
        <v>2644</v>
      </c>
      <c r="B186" s="4672"/>
      <c r="C186" s="2905">
        <v>482</v>
      </c>
      <c r="D186" s="2906" t="s">
        <v>2645</v>
      </c>
      <c r="E186" s="2907" t="s">
        <v>2586</v>
      </c>
      <c r="F186" s="2908">
        <v>1</v>
      </c>
      <c r="G186" s="2908"/>
      <c r="H186" s="2909">
        <v>3962</v>
      </c>
      <c r="I186" s="4673">
        <v>3962</v>
      </c>
      <c r="J186" s="4673"/>
      <c r="K186" s="2907"/>
      <c r="L186" s="2907"/>
      <c r="M186" s="2910"/>
      <c r="N186" s="2911"/>
      <c r="O186" s="2911"/>
      <c r="P186" s="2907"/>
      <c r="Q186" s="2907"/>
      <c r="R186" s="2909">
        <v>3962</v>
      </c>
      <c r="S186" s="2909">
        <v>3962</v>
      </c>
      <c r="T186" s="2907"/>
    </row>
    <row r="187" spans="1:20" ht="23.25" customHeight="1" outlineLevel="1" x14ac:dyDescent="0.2">
      <c r="A187" s="4672" t="s">
        <v>2646</v>
      </c>
      <c r="B187" s="4672"/>
      <c r="C187" s="2905">
        <v>345</v>
      </c>
      <c r="D187" s="2906" t="s">
        <v>2647</v>
      </c>
      <c r="E187" s="2907" t="s">
        <v>2648</v>
      </c>
      <c r="F187" s="2908">
        <v>286</v>
      </c>
      <c r="G187" s="2908"/>
      <c r="H187" s="2909">
        <v>3836</v>
      </c>
      <c r="I187" s="4673">
        <v>3836</v>
      </c>
      <c r="J187" s="4673"/>
      <c r="K187" s="2907"/>
      <c r="L187" s="2907"/>
      <c r="M187" s="2910"/>
      <c r="N187" s="2911"/>
      <c r="O187" s="2911"/>
      <c r="P187" s="2907"/>
      <c r="Q187" s="2907"/>
      <c r="R187" s="2909">
        <v>3836</v>
      </c>
      <c r="S187" s="2909">
        <v>3836</v>
      </c>
      <c r="T187" s="2907"/>
    </row>
    <row r="188" spans="1:20" ht="12" customHeight="1" outlineLevel="1" x14ac:dyDescent="0.2">
      <c r="A188" s="4672" t="s">
        <v>2649</v>
      </c>
      <c r="B188" s="4672"/>
      <c r="C188" s="2905">
        <v>346</v>
      </c>
      <c r="D188" s="2906" t="s">
        <v>2650</v>
      </c>
      <c r="E188" s="2907" t="s">
        <v>2651</v>
      </c>
      <c r="F188" s="2908">
        <v>96</v>
      </c>
      <c r="G188" s="2908"/>
      <c r="H188" s="2909">
        <v>9357</v>
      </c>
      <c r="I188" s="4673">
        <v>9357</v>
      </c>
      <c r="J188" s="4673"/>
      <c r="K188" s="2907"/>
      <c r="L188" s="2907"/>
      <c r="M188" s="2910"/>
      <c r="N188" s="2911"/>
      <c r="O188" s="2911"/>
      <c r="P188" s="2907"/>
      <c r="Q188" s="2907"/>
      <c r="R188" s="2909">
        <v>9357</v>
      </c>
      <c r="S188" s="2909">
        <v>9357</v>
      </c>
      <c r="T188" s="2907"/>
    </row>
    <row r="189" spans="1:20" ht="12" customHeight="1" outlineLevel="1" x14ac:dyDescent="0.2">
      <c r="A189" s="4672" t="s">
        <v>2652</v>
      </c>
      <c r="B189" s="4672"/>
      <c r="C189" s="2912">
        <v>1965</v>
      </c>
      <c r="D189" s="2906" t="s">
        <v>2653</v>
      </c>
      <c r="E189" s="2907" t="s">
        <v>2654</v>
      </c>
      <c r="F189" s="2908">
        <v>84</v>
      </c>
      <c r="G189" s="2908"/>
      <c r="H189" s="2909">
        <v>163500</v>
      </c>
      <c r="I189" s="4673">
        <v>163500</v>
      </c>
      <c r="J189" s="4673"/>
      <c r="K189" s="2907"/>
      <c r="L189" s="2907"/>
      <c r="M189" s="2910"/>
      <c r="N189" s="2911"/>
      <c r="O189" s="2911"/>
      <c r="P189" s="2907"/>
      <c r="Q189" s="2907"/>
      <c r="R189" s="2909">
        <v>163500</v>
      </c>
      <c r="S189" s="2909">
        <v>163500</v>
      </c>
      <c r="T189" s="2907"/>
    </row>
    <row r="190" spans="1:20" ht="12" customHeight="1" outlineLevel="1" x14ac:dyDescent="0.2">
      <c r="A190" s="4672" t="s">
        <v>2655</v>
      </c>
      <c r="B190" s="4672"/>
      <c r="C190" s="2912">
        <v>2292</v>
      </c>
      <c r="D190" s="2906" t="s">
        <v>2656</v>
      </c>
      <c r="E190" s="2907" t="s">
        <v>2657</v>
      </c>
      <c r="F190" s="2908">
        <v>60</v>
      </c>
      <c r="G190" s="2908"/>
      <c r="H190" s="2909">
        <v>17300</v>
      </c>
      <c r="I190" s="4673">
        <v>17300</v>
      </c>
      <c r="J190" s="4673"/>
      <c r="K190" s="2907"/>
      <c r="L190" s="2907"/>
      <c r="M190" s="2910"/>
      <c r="N190" s="2911"/>
      <c r="O190" s="2911"/>
      <c r="P190" s="2907"/>
      <c r="Q190" s="2907"/>
      <c r="R190" s="2909">
        <v>17300</v>
      </c>
      <c r="S190" s="2909">
        <v>17300</v>
      </c>
      <c r="T190" s="2907"/>
    </row>
    <row r="191" spans="1:20" ht="23.25" customHeight="1" outlineLevel="1" x14ac:dyDescent="0.2">
      <c r="A191" s="4672" t="s">
        <v>2658</v>
      </c>
      <c r="B191" s="4672"/>
      <c r="C191" s="2954">
        <v>935</v>
      </c>
      <c r="D191" s="2906" t="s">
        <v>2659</v>
      </c>
      <c r="E191" s="2907" t="s">
        <v>2657</v>
      </c>
      <c r="F191" s="2908">
        <v>60</v>
      </c>
      <c r="G191" s="2908"/>
      <c r="H191" s="2909">
        <v>17300</v>
      </c>
      <c r="I191" s="4673">
        <v>17300</v>
      </c>
      <c r="J191" s="4673"/>
      <c r="K191" s="2907"/>
      <c r="L191" s="2907"/>
      <c r="M191" s="2910"/>
      <c r="N191" s="2911"/>
      <c r="O191" s="2911"/>
      <c r="P191" s="2907"/>
      <c r="Q191" s="2907"/>
      <c r="R191" s="2909">
        <v>17300</v>
      </c>
      <c r="S191" s="2909">
        <v>17300</v>
      </c>
      <c r="T191" s="2907"/>
    </row>
    <row r="192" spans="1:20" ht="12" customHeight="1" outlineLevel="1" x14ac:dyDescent="0.2">
      <c r="A192" s="4672" t="s">
        <v>2660</v>
      </c>
      <c r="B192" s="4672"/>
      <c r="C192" s="2912">
        <v>1925</v>
      </c>
      <c r="D192" s="2906" t="s">
        <v>2277</v>
      </c>
      <c r="E192" s="2907" t="s">
        <v>2661</v>
      </c>
      <c r="F192" s="2908">
        <v>120</v>
      </c>
      <c r="G192" s="2908"/>
      <c r="H192" s="2909">
        <v>86200</v>
      </c>
      <c r="I192" s="4673">
        <v>86200</v>
      </c>
      <c r="J192" s="4673"/>
      <c r="K192" s="2907"/>
      <c r="L192" s="2907"/>
      <c r="M192" s="2910"/>
      <c r="N192" s="2911"/>
      <c r="O192" s="2911"/>
      <c r="P192" s="2907"/>
      <c r="Q192" s="2907"/>
      <c r="R192" s="2909">
        <v>86200</v>
      </c>
      <c r="S192" s="2909">
        <v>86200</v>
      </c>
      <c r="T192" s="2907"/>
    </row>
    <row r="193" spans="1:20" ht="23.25" customHeight="1" outlineLevel="1" x14ac:dyDescent="0.2">
      <c r="A193" s="4672" t="s">
        <v>2662</v>
      </c>
      <c r="B193" s="4672"/>
      <c r="C193" s="2905">
        <v>726</v>
      </c>
      <c r="D193" s="2906" t="s">
        <v>2252</v>
      </c>
      <c r="E193" s="2907" t="s">
        <v>2663</v>
      </c>
      <c r="F193" s="2908">
        <v>84</v>
      </c>
      <c r="G193" s="2908"/>
      <c r="H193" s="2909">
        <v>41278.400000000001</v>
      </c>
      <c r="I193" s="4673">
        <v>41278.400000000001</v>
      </c>
      <c r="J193" s="4673"/>
      <c r="K193" s="2907"/>
      <c r="L193" s="2907"/>
      <c r="M193" s="2910"/>
      <c r="N193" s="2911"/>
      <c r="O193" s="2911"/>
      <c r="P193" s="2907"/>
      <c r="Q193" s="2907"/>
      <c r="R193" s="2909">
        <v>41278.400000000001</v>
      </c>
      <c r="S193" s="2909">
        <v>41278.400000000001</v>
      </c>
      <c r="T193" s="2907"/>
    </row>
    <row r="194" spans="1:20" ht="12" customHeight="1" outlineLevel="1" x14ac:dyDescent="0.2">
      <c r="A194" s="4672" t="s">
        <v>2664</v>
      </c>
      <c r="B194" s="4672"/>
      <c r="C194" s="2905">
        <v>722</v>
      </c>
      <c r="D194" s="2906" t="s">
        <v>2665</v>
      </c>
      <c r="E194" s="2907" t="s">
        <v>2666</v>
      </c>
      <c r="F194" s="2908">
        <v>60</v>
      </c>
      <c r="G194" s="2908"/>
      <c r="H194" s="2909">
        <v>12474</v>
      </c>
      <c r="I194" s="4673">
        <v>12474</v>
      </c>
      <c r="J194" s="4673"/>
      <c r="K194" s="2907"/>
      <c r="L194" s="2907"/>
      <c r="M194" s="2910"/>
      <c r="N194" s="2911"/>
      <c r="O194" s="2911"/>
      <c r="P194" s="2907"/>
      <c r="Q194" s="2907"/>
      <c r="R194" s="2909">
        <v>12474</v>
      </c>
      <c r="S194" s="2909">
        <v>12474</v>
      </c>
      <c r="T194" s="2907"/>
    </row>
    <row r="195" spans="1:20" s="2928" customFormat="1" ht="12" customHeight="1" outlineLevel="1" x14ac:dyDescent="0.2">
      <c r="A195" s="4681" t="s">
        <v>2667</v>
      </c>
      <c r="B195" s="4681"/>
      <c r="C195" s="2951">
        <v>2383</v>
      </c>
      <c r="D195" s="2923" t="s">
        <v>2668</v>
      </c>
      <c r="E195" s="2924" t="s">
        <v>2669</v>
      </c>
      <c r="F195" s="2925">
        <v>84</v>
      </c>
      <c r="G195" s="2925"/>
      <c r="H195" s="2926">
        <v>19350</v>
      </c>
      <c r="I195" s="4682">
        <v>17507.36</v>
      </c>
      <c r="J195" s="4682"/>
      <c r="K195" s="2926">
        <v>1842.64</v>
      </c>
      <c r="L195" s="2924"/>
      <c r="M195" s="2926">
        <v>1842.64</v>
      </c>
      <c r="N195" s="2926">
        <f>M195</f>
        <v>1842.64</v>
      </c>
      <c r="O195" s="2926"/>
      <c r="P195" s="2924"/>
      <c r="Q195" s="2924"/>
      <c r="R195" s="2926">
        <v>19350</v>
      </c>
      <c r="S195" s="2926">
        <v>19350</v>
      </c>
      <c r="T195" s="2924"/>
    </row>
    <row r="196" spans="1:20" ht="12" customHeight="1" outlineLevel="1" x14ac:dyDescent="0.2">
      <c r="A196" s="4672" t="s">
        <v>2670</v>
      </c>
      <c r="B196" s="4672"/>
      <c r="C196" s="2905">
        <v>302</v>
      </c>
      <c r="D196" s="2906" t="s">
        <v>2626</v>
      </c>
      <c r="E196" s="2907" t="s">
        <v>2671</v>
      </c>
      <c r="F196" s="2908">
        <v>145</v>
      </c>
      <c r="G196" s="2908"/>
      <c r="H196" s="2909">
        <v>1200.06</v>
      </c>
      <c r="I196" s="4673">
        <v>1200.06</v>
      </c>
      <c r="J196" s="4673"/>
      <c r="K196" s="2907"/>
      <c r="L196" s="2907"/>
      <c r="M196" s="2910"/>
      <c r="N196" s="2911"/>
      <c r="O196" s="2911"/>
      <c r="P196" s="2907"/>
      <c r="Q196" s="2907"/>
      <c r="R196" s="2909">
        <v>1200.06</v>
      </c>
      <c r="S196" s="2909">
        <v>1200.06</v>
      </c>
      <c r="T196" s="2907"/>
    </row>
    <row r="197" spans="1:20" ht="12" customHeight="1" outlineLevel="1" x14ac:dyDescent="0.2">
      <c r="A197" s="4672" t="s">
        <v>2672</v>
      </c>
      <c r="B197" s="4672"/>
      <c r="C197" s="2905">
        <v>151</v>
      </c>
      <c r="D197" s="2906" t="s">
        <v>2673</v>
      </c>
      <c r="E197" s="2907" t="s">
        <v>2674</v>
      </c>
      <c r="F197" s="2908">
        <v>109</v>
      </c>
      <c r="G197" s="2908"/>
      <c r="H197" s="2909">
        <v>120983</v>
      </c>
      <c r="I197" s="4673">
        <v>120983</v>
      </c>
      <c r="J197" s="4673"/>
      <c r="K197" s="2907"/>
      <c r="L197" s="2907"/>
      <c r="M197" s="2910"/>
      <c r="N197" s="2911"/>
      <c r="O197" s="2911"/>
      <c r="P197" s="2907"/>
      <c r="Q197" s="2907"/>
      <c r="R197" s="2909">
        <v>120983</v>
      </c>
      <c r="S197" s="2909">
        <v>120983</v>
      </c>
      <c r="T197" s="2907"/>
    </row>
    <row r="198" spans="1:20" ht="12" customHeight="1" outlineLevel="1" x14ac:dyDescent="0.2">
      <c r="A198" s="4672" t="s">
        <v>2675</v>
      </c>
      <c r="B198" s="4672"/>
      <c r="C198" s="2905">
        <v>187</v>
      </c>
      <c r="D198" s="2906" t="s">
        <v>2626</v>
      </c>
      <c r="E198" s="2907" t="s">
        <v>2676</v>
      </c>
      <c r="F198" s="2908">
        <v>144</v>
      </c>
      <c r="G198" s="2908"/>
      <c r="H198" s="2909">
        <v>2500</v>
      </c>
      <c r="I198" s="4673">
        <v>2500</v>
      </c>
      <c r="J198" s="4673"/>
      <c r="K198" s="2907"/>
      <c r="L198" s="2907"/>
      <c r="M198" s="2910"/>
      <c r="N198" s="2911"/>
      <c r="O198" s="2911"/>
      <c r="P198" s="2907"/>
      <c r="Q198" s="2907"/>
      <c r="R198" s="2909">
        <v>2500</v>
      </c>
      <c r="S198" s="2909">
        <v>2500</v>
      </c>
      <c r="T198" s="2907"/>
    </row>
    <row r="199" spans="1:20" ht="12" customHeight="1" outlineLevel="1" x14ac:dyDescent="0.2">
      <c r="A199" s="4672" t="s">
        <v>2677</v>
      </c>
      <c r="B199" s="4672"/>
      <c r="C199" s="2905">
        <v>152</v>
      </c>
      <c r="D199" s="2906" t="s">
        <v>2678</v>
      </c>
      <c r="E199" s="2907" t="s">
        <v>2679</v>
      </c>
      <c r="F199" s="2908">
        <v>67</v>
      </c>
      <c r="G199" s="2908"/>
      <c r="H199" s="2909">
        <v>28767</v>
      </c>
      <c r="I199" s="4673">
        <v>28767</v>
      </c>
      <c r="J199" s="4673"/>
      <c r="K199" s="2907"/>
      <c r="L199" s="2907"/>
      <c r="M199" s="2910"/>
      <c r="N199" s="2911"/>
      <c r="O199" s="2911"/>
      <c r="P199" s="2907"/>
      <c r="Q199" s="2907"/>
      <c r="R199" s="2909">
        <v>28767</v>
      </c>
      <c r="S199" s="2909">
        <v>28767</v>
      </c>
      <c r="T199" s="2907"/>
    </row>
    <row r="200" spans="1:20" ht="12" customHeight="1" outlineLevel="1" x14ac:dyDescent="0.2">
      <c r="A200" s="4672" t="s">
        <v>2680</v>
      </c>
      <c r="B200" s="4672"/>
      <c r="C200" s="2905">
        <v>347</v>
      </c>
      <c r="D200" s="2906" t="s">
        <v>2650</v>
      </c>
      <c r="E200" s="2907" t="s">
        <v>2681</v>
      </c>
      <c r="F200" s="2908">
        <v>48</v>
      </c>
      <c r="G200" s="2908"/>
      <c r="H200" s="2909">
        <v>18155</v>
      </c>
      <c r="I200" s="4673">
        <v>18155</v>
      </c>
      <c r="J200" s="4673"/>
      <c r="K200" s="2907"/>
      <c r="L200" s="2907"/>
      <c r="M200" s="2910"/>
      <c r="N200" s="2911"/>
      <c r="O200" s="2911"/>
      <c r="P200" s="2907"/>
      <c r="Q200" s="2907"/>
      <c r="R200" s="2909">
        <v>18155</v>
      </c>
      <c r="S200" s="2909">
        <v>18155</v>
      </c>
      <c r="T200" s="2907"/>
    </row>
    <row r="201" spans="1:20" ht="12" customHeight="1" outlineLevel="1" x14ac:dyDescent="0.2">
      <c r="A201" s="4672" t="s">
        <v>2682</v>
      </c>
      <c r="B201" s="4672"/>
      <c r="C201" s="2905">
        <v>451</v>
      </c>
      <c r="D201" s="2906" t="s">
        <v>2683</v>
      </c>
      <c r="E201" s="2907" t="s">
        <v>2684</v>
      </c>
      <c r="F201" s="2908">
        <v>273</v>
      </c>
      <c r="G201" s="2908"/>
      <c r="H201" s="2909">
        <v>26908</v>
      </c>
      <c r="I201" s="4673">
        <v>26908</v>
      </c>
      <c r="J201" s="4673"/>
      <c r="K201" s="2907"/>
      <c r="L201" s="2907"/>
      <c r="M201" s="2910"/>
      <c r="N201" s="2911"/>
      <c r="O201" s="2911"/>
      <c r="P201" s="2907"/>
      <c r="Q201" s="2907"/>
      <c r="R201" s="2909">
        <v>26908</v>
      </c>
      <c r="S201" s="2909">
        <v>26908</v>
      </c>
      <c r="T201" s="2907"/>
    </row>
    <row r="202" spans="1:20" ht="23.25" customHeight="1" outlineLevel="1" x14ac:dyDescent="0.2">
      <c r="A202" s="4672" t="s">
        <v>2685</v>
      </c>
      <c r="B202" s="4672"/>
      <c r="C202" s="2905">
        <v>131</v>
      </c>
      <c r="D202" s="2906" t="s">
        <v>2683</v>
      </c>
      <c r="E202" s="2907" t="s">
        <v>2686</v>
      </c>
      <c r="F202" s="2908">
        <v>72</v>
      </c>
      <c r="G202" s="2908"/>
      <c r="H202" s="2909">
        <v>3630</v>
      </c>
      <c r="I202" s="4673">
        <v>3630</v>
      </c>
      <c r="J202" s="4673"/>
      <c r="K202" s="2907"/>
      <c r="L202" s="2907"/>
      <c r="M202" s="2910"/>
      <c r="N202" s="2911"/>
      <c r="O202" s="2911"/>
      <c r="P202" s="2907"/>
      <c r="Q202" s="2907"/>
      <c r="R202" s="2909">
        <v>3630</v>
      </c>
      <c r="S202" s="2909">
        <v>3630</v>
      </c>
      <c r="T202" s="2907"/>
    </row>
    <row r="203" spans="1:20" ht="12" customHeight="1" outlineLevel="1" x14ac:dyDescent="0.2">
      <c r="A203" s="4672" t="s">
        <v>2687</v>
      </c>
      <c r="B203" s="4672"/>
      <c r="C203" s="2905">
        <v>348</v>
      </c>
      <c r="D203" s="2906" t="s">
        <v>2647</v>
      </c>
      <c r="E203" s="2907" t="s">
        <v>2688</v>
      </c>
      <c r="F203" s="2908">
        <v>84</v>
      </c>
      <c r="G203" s="2908"/>
      <c r="H203" s="2909">
        <v>14709</v>
      </c>
      <c r="I203" s="4673">
        <v>14709</v>
      </c>
      <c r="J203" s="4673"/>
      <c r="K203" s="2907"/>
      <c r="L203" s="2907"/>
      <c r="M203" s="2910"/>
      <c r="N203" s="2911"/>
      <c r="O203" s="2911"/>
      <c r="P203" s="2907"/>
      <c r="Q203" s="2907"/>
      <c r="R203" s="2909">
        <v>14709</v>
      </c>
      <c r="S203" s="2909">
        <v>14709</v>
      </c>
      <c r="T203" s="2907"/>
    </row>
    <row r="204" spans="1:20" ht="23.25" customHeight="1" outlineLevel="1" x14ac:dyDescent="0.2">
      <c r="A204" s="4672" t="s">
        <v>2689</v>
      </c>
      <c r="B204" s="4672"/>
      <c r="C204" s="2905">
        <v>97</v>
      </c>
      <c r="D204" s="2906" t="s">
        <v>2248</v>
      </c>
      <c r="E204" s="2907" t="s">
        <v>2690</v>
      </c>
      <c r="F204" s="2908">
        <v>324</v>
      </c>
      <c r="G204" s="2908"/>
      <c r="H204" s="2909">
        <v>6557</v>
      </c>
      <c r="I204" s="4673">
        <v>6557</v>
      </c>
      <c r="J204" s="4673"/>
      <c r="K204" s="2907"/>
      <c r="L204" s="2907"/>
      <c r="M204" s="2910"/>
      <c r="N204" s="2911"/>
      <c r="O204" s="2911"/>
      <c r="P204" s="2907"/>
      <c r="Q204" s="2907"/>
      <c r="R204" s="2909">
        <v>6557</v>
      </c>
      <c r="S204" s="2909">
        <v>6557</v>
      </c>
      <c r="T204" s="2907"/>
    </row>
    <row r="205" spans="1:20" ht="12" customHeight="1" outlineLevel="1" x14ac:dyDescent="0.2">
      <c r="A205" s="4672" t="s">
        <v>2691</v>
      </c>
      <c r="B205" s="4672"/>
      <c r="C205" s="2905">
        <v>711</v>
      </c>
      <c r="D205" s="2906" t="s">
        <v>2692</v>
      </c>
      <c r="E205" s="2907" t="s">
        <v>2693</v>
      </c>
      <c r="F205" s="2908">
        <v>60</v>
      </c>
      <c r="G205" s="2908"/>
      <c r="H205" s="2909">
        <v>11666.67</v>
      </c>
      <c r="I205" s="4673">
        <v>11666.67</v>
      </c>
      <c r="J205" s="4673"/>
      <c r="K205" s="2907"/>
      <c r="L205" s="2907"/>
      <c r="M205" s="2910"/>
      <c r="N205" s="2911"/>
      <c r="O205" s="2911"/>
      <c r="P205" s="2907"/>
      <c r="Q205" s="2907"/>
      <c r="R205" s="2909">
        <v>11666.67</v>
      </c>
      <c r="S205" s="2909">
        <v>11666.67</v>
      </c>
      <c r="T205" s="2907"/>
    </row>
    <row r="206" spans="1:20" ht="23.25" customHeight="1" outlineLevel="1" x14ac:dyDescent="0.2">
      <c r="A206" s="4672" t="s">
        <v>2694</v>
      </c>
      <c r="B206" s="4672"/>
      <c r="C206" s="2905">
        <v>96</v>
      </c>
      <c r="D206" s="2906" t="s">
        <v>2248</v>
      </c>
      <c r="E206" s="2907" t="s">
        <v>2695</v>
      </c>
      <c r="F206" s="2908">
        <v>324</v>
      </c>
      <c r="G206" s="2908"/>
      <c r="H206" s="2909">
        <v>6551</v>
      </c>
      <c r="I206" s="4673">
        <v>6551</v>
      </c>
      <c r="J206" s="4673"/>
      <c r="K206" s="2907"/>
      <c r="L206" s="2907"/>
      <c r="M206" s="2910"/>
      <c r="N206" s="2911"/>
      <c r="O206" s="2911"/>
      <c r="P206" s="2907"/>
      <c r="Q206" s="2907"/>
      <c r="R206" s="2909">
        <v>6551</v>
      </c>
      <c r="S206" s="2909">
        <v>6551</v>
      </c>
      <c r="T206" s="2907"/>
    </row>
    <row r="207" spans="1:20" ht="12" customHeight="1" outlineLevel="1" x14ac:dyDescent="0.2">
      <c r="A207" s="4672" t="s">
        <v>2696</v>
      </c>
      <c r="B207" s="4672"/>
      <c r="C207" s="2905">
        <v>110</v>
      </c>
      <c r="D207" s="2906" t="s">
        <v>2248</v>
      </c>
      <c r="E207" s="2907" t="s">
        <v>2697</v>
      </c>
      <c r="F207" s="2908">
        <v>84</v>
      </c>
      <c r="G207" s="2908"/>
      <c r="H207" s="2909">
        <v>20255</v>
      </c>
      <c r="I207" s="4673">
        <v>20255</v>
      </c>
      <c r="J207" s="4673"/>
      <c r="K207" s="2907"/>
      <c r="L207" s="2907"/>
      <c r="M207" s="2910"/>
      <c r="N207" s="2911"/>
      <c r="O207" s="2911"/>
      <c r="P207" s="2907"/>
      <c r="Q207" s="2907"/>
      <c r="R207" s="2909">
        <v>20255</v>
      </c>
      <c r="S207" s="2909">
        <v>20255</v>
      </c>
      <c r="T207" s="2907"/>
    </row>
    <row r="208" spans="1:20" ht="12" customHeight="1" outlineLevel="1" x14ac:dyDescent="0.2">
      <c r="A208" s="4672" t="s">
        <v>2698</v>
      </c>
      <c r="B208" s="4672"/>
      <c r="C208" s="2905">
        <v>2017</v>
      </c>
      <c r="D208" s="2906" t="s">
        <v>2699</v>
      </c>
      <c r="E208" s="2907" t="s">
        <v>2700</v>
      </c>
      <c r="F208" s="2908">
        <v>60</v>
      </c>
      <c r="G208" s="2908"/>
      <c r="H208" s="2909">
        <v>18018</v>
      </c>
      <c r="I208" s="4673">
        <v>18018</v>
      </c>
      <c r="J208" s="4673"/>
      <c r="K208" s="2907"/>
      <c r="L208" s="2907"/>
      <c r="M208" s="2910"/>
      <c r="N208" s="2911"/>
      <c r="O208" s="2911"/>
      <c r="P208" s="2907"/>
      <c r="Q208" s="2907"/>
      <c r="R208" s="2909">
        <v>18018</v>
      </c>
      <c r="S208" s="2909">
        <v>18018</v>
      </c>
      <c r="T208" s="2907"/>
    </row>
    <row r="209" spans="1:20" ht="12" customHeight="1" outlineLevel="1" x14ac:dyDescent="0.2">
      <c r="A209" s="4672" t="s">
        <v>2698</v>
      </c>
      <c r="B209" s="4672"/>
      <c r="C209" s="2905">
        <v>2018</v>
      </c>
      <c r="D209" s="2906" t="s">
        <v>2699</v>
      </c>
      <c r="E209" s="2907" t="s">
        <v>2700</v>
      </c>
      <c r="F209" s="2908">
        <v>60</v>
      </c>
      <c r="G209" s="2908"/>
      <c r="H209" s="2909">
        <v>18018</v>
      </c>
      <c r="I209" s="4673">
        <v>18018</v>
      </c>
      <c r="J209" s="4673"/>
      <c r="K209" s="2907"/>
      <c r="L209" s="2907"/>
      <c r="M209" s="2910"/>
      <c r="N209" s="2911"/>
      <c r="O209" s="2911"/>
      <c r="P209" s="2907"/>
      <c r="Q209" s="2907"/>
      <c r="R209" s="2909">
        <v>18018</v>
      </c>
      <c r="S209" s="2909">
        <v>18018</v>
      </c>
      <c r="T209" s="2907"/>
    </row>
    <row r="210" spans="1:20" ht="12" customHeight="1" outlineLevel="1" x14ac:dyDescent="0.2">
      <c r="A210" s="4672" t="s">
        <v>2701</v>
      </c>
      <c r="B210" s="4672"/>
      <c r="C210" s="2912">
        <v>1966</v>
      </c>
      <c r="D210" s="2906" t="s">
        <v>2653</v>
      </c>
      <c r="E210" s="2907" t="s">
        <v>2702</v>
      </c>
      <c r="F210" s="2908">
        <v>84</v>
      </c>
      <c r="G210" s="2908"/>
      <c r="H210" s="2909">
        <v>50600</v>
      </c>
      <c r="I210" s="4673">
        <v>50600</v>
      </c>
      <c r="J210" s="4673"/>
      <c r="K210" s="2907"/>
      <c r="L210" s="2907"/>
      <c r="M210" s="2910"/>
      <c r="N210" s="2911"/>
      <c r="O210" s="2911"/>
      <c r="P210" s="2907"/>
      <c r="Q210" s="2907"/>
      <c r="R210" s="2909">
        <v>50600</v>
      </c>
      <c r="S210" s="2909">
        <v>50600</v>
      </c>
      <c r="T210" s="2907"/>
    </row>
    <row r="211" spans="1:20" ht="12" customHeight="1" outlineLevel="1" x14ac:dyDescent="0.2">
      <c r="A211" s="4672" t="s">
        <v>2703</v>
      </c>
      <c r="B211" s="4672"/>
      <c r="C211" s="2912">
        <v>1739</v>
      </c>
      <c r="D211" s="2906" t="s">
        <v>2704</v>
      </c>
      <c r="E211" s="2907" t="s">
        <v>2705</v>
      </c>
      <c r="F211" s="2908">
        <v>60</v>
      </c>
      <c r="G211" s="2908"/>
      <c r="H211" s="2909">
        <v>11020</v>
      </c>
      <c r="I211" s="4673">
        <v>11020</v>
      </c>
      <c r="J211" s="4673"/>
      <c r="K211" s="2907"/>
      <c r="L211" s="2907"/>
      <c r="M211" s="2910"/>
      <c r="N211" s="2911"/>
      <c r="O211" s="2911"/>
      <c r="P211" s="2907"/>
      <c r="Q211" s="2907"/>
      <c r="R211" s="2909">
        <v>11020</v>
      </c>
      <c r="S211" s="2909">
        <v>11020</v>
      </c>
      <c r="T211" s="2907"/>
    </row>
    <row r="212" spans="1:20" s="2928" customFormat="1" ht="23.25" customHeight="1" outlineLevel="1" x14ac:dyDescent="0.2">
      <c r="A212" s="4681" t="s">
        <v>2706</v>
      </c>
      <c r="B212" s="4681"/>
      <c r="C212" s="2951">
        <v>2385</v>
      </c>
      <c r="D212" s="2923" t="s">
        <v>2707</v>
      </c>
      <c r="E212" s="2924" t="s">
        <v>2708</v>
      </c>
      <c r="F212" s="2925">
        <v>84</v>
      </c>
      <c r="G212" s="2925"/>
      <c r="H212" s="2926">
        <v>341757.25</v>
      </c>
      <c r="I212" s="4682">
        <v>309209.03999999998</v>
      </c>
      <c r="J212" s="4682"/>
      <c r="K212" s="2926">
        <v>32548.21</v>
      </c>
      <c r="L212" s="2924"/>
      <c r="M212" s="2926">
        <v>32548.21</v>
      </c>
      <c r="N212" s="2926">
        <f>M212</f>
        <v>32548.21</v>
      </c>
      <c r="O212" s="2926"/>
      <c r="P212" s="2924"/>
      <c r="Q212" s="2924"/>
      <c r="R212" s="2926">
        <v>341757.25</v>
      </c>
      <c r="S212" s="2926">
        <v>341757.25</v>
      </c>
      <c r="T212" s="2924"/>
    </row>
    <row r="213" spans="1:20" ht="12" customHeight="1" outlineLevel="1" x14ac:dyDescent="0.2">
      <c r="A213" s="4672" t="s">
        <v>2709</v>
      </c>
      <c r="B213" s="4672"/>
      <c r="C213" s="2905">
        <v>269</v>
      </c>
      <c r="D213" s="2906" t="s">
        <v>2626</v>
      </c>
      <c r="E213" s="2907" t="s">
        <v>2710</v>
      </c>
      <c r="F213" s="2908">
        <v>96</v>
      </c>
      <c r="G213" s="2908"/>
      <c r="H213" s="2909">
        <v>22080</v>
      </c>
      <c r="I213" s="4673">
        <v>22080</v>
      </c>
      <c r="J213" s="4673"/>
      <c r="K213" s="2907"/>
      <c r="L213" s="2907"/>
      <c r="M213" s="2910"/>
      <c r="N213" s="2911"/>
      <c r="O213" s="2911"/>
      <c r="P213" s="2907"/>
      <c r="Q213" s="2907"/>
      <c r="R213" s="2909">
        <v>22080</v>
      </c>
      <c r="S213" s="2909">
        <v>22080</v>
      </c>
      <c r="T213" s="2907"/>
    </row>
    <row r="214" spans="1:20" ht="12" customHeight="1" outlineLevel="1" x14ac:dyDescent="0.2">
      <c r="A214" s="4672" t="s">
        <v>2711</v>
      </c>
      <c r="B214" s="4672"/>
      <c r="C214" s="2912">
        <v>1904</v>
      </c>
      <c r="D214" s="2906" t="s">
        <v>2712</v>
      </c>
      <c r="E214" s="2907" t="s">
        <v>2713</v>
      </c>
      <c r="F214" s="2908">
        <v>84</v>
      </c>
      <c r="G214" s="2908"/>
      <c r="H214" s="2909">
        <v>10681</v>
      </c>
      <c r="I214" s="4673">
        <v>10681</v>
      </c>
      <c r="J214" s="4673"/>
      <c r="K214" s="2907"/>
      <c r="L214" s="2907"/>
      <c r="M214" s="2910"/>
      <c r="N214" s="2911"/>
      <c r="O214" s="2911"/>
      <c r="P214" s="2907"/>
      <c r="Q214" s="2907"/>
      <c r="R214" s="2909">
        <v>10681</v>
      </c>
      <c r="S214" s="2909">
        <v>10681</v>
      </c>
      <c r="T214" s="2907"/>
    </row>
    <row r="215" spans="1:20" ht="12" customHeight="1" outlineLevel="1" x14ac:dyDescent="0.2">
      <c r="A215" s="4672" t="s">
        <v>2714</v>
      </c>
      <c r="B215" s="4672"/>
      <c r="C215" s="2912">
        <v>2362</v>
      </c>
      <c r="D215" s="2906" t="s">
        <v>2715</v>
      </c>
      <c r="E215" s="2907" t="s">
        <v>2716</v>
      </c>
      <c r="F215" s="2908">
        <v>84</v>
      </c>
      <c r="G215" s="2908"/>
      <c r="H215" s="2909">
        <v>15000</v>
      </c>
      <c r="I215" s="4673">
        <v>15000</v>
      </c>
      <c r="J215" s="4673"/>
      <c r="K215" s="2907"/>
      <c r="L215" s="2907"/>
      <c r="M215" s="2910"/>
      <c r="N215" s="2911"/>
      <c r="O215" s="2911"/>
      <c r="P215" s="2907"/>
      <c r="Q215" s="2907"/>
      <c r="R215" s="2909">
        <v>15000</v>
      </c>
      <c r="S215" s="2909">
        <v>15000</v>
      </c>
      <c r="T215" s="2907"/>
    </row>
    <row r="216" spans="1:20" ht="12" customHeight="1" outlineLevel="1" x14ac:dyDescent="0.2">
      <c r="A216" s="4672" t="s">
        <v>2711</v>
      </c>
      <c r="B216" s="4672"/>
      <c r="C216" s="2912">
        <v>1913</v>
      </c>
      <c r="D216" s="2906" t="s">
        <v>2640</v>
      </c>
      <c r="E216" s="2907" t="s">
        <v>2717</v>
      </c>
      <c r="F216" s="2908">
        <v>84</v>
      </c>
      <c r="G216" s="2908"/>
      <c r="H216" s="2909">
        <v>10681.2</v>
      </c>
      <c r="I216" s="4673">
        <v>10681.2</v>
      </c>
      <c r="J216" s="4673"/>
      <c r="K216" s="2907"/>
      <c r="L216" s="2907"/>
      <c r="M216" s="2910"/>
      <c r="N216" s="2911"/>
      <c r="O216" s="2911"/>
      <c r="P216" s="2907"/>
      <c r="Q216" s="2907"/>
      <c r="R216" s="2909">
        <v>10681.2</v>
      </c>
      <c r="S216" s="2909">
        <v>10681.2</v>
      </c>
      <c r="T216" s="2907"/>
    </row>
    <row r="217" spans="1:20" ht="12" customHeight="1" outlineLevel="1" x14ac:dyDescent="0.2">
      <c r="A217" s="4672" t="s">
        <v>2718</v>
      </c>
      <c r="B217" s="4672"/>
      <c r="C217" s="2912">
        <v>1920</v>
      </c>
      <c r="D217" s="2906" t="s">
        <v>2640</v>
      </c>
      <c r="E217" s="2907" t="s">
        <v>2719</v>
      </c>
      <c r="F217" s="2908">
        <v>84</v>
      </c>
      <c r="G217" s="2908"/>
      <c r="H217" s="2909">
        <v>11062.6</v>
      </c>
      <c r="I217" s="4673">
        <v>11062.6</v>
      </c>
      <c r="J217" s="4673"/>
      <c r="K217" s="2907"/>
      <c r="L217" s="2907"/>
      <c r="M217" s="2910"/>
      <c r="N217" s="2911"/>
      <c r="O217" s="2911"/>
      <c r="P217" s="2907"/>
      <c r="Q217" s="2907"/>
      <c r="R217" s="2909">
        <v>11062.6</v>
      </c>
      <c r="S217" s="2909">
        <v>11062.6</v>
      </c>
      <c r="T217" s="2907"/>
    </row>
    <row r="218" spans="1:20" ht="23.25" customHeight="1" outlineLevel="1" x14ac:dyDescent="0.2">
      <c r="A218" s="4672" t="s">
        <v>2720</v>
      </c>
      <c r="B218" s="4672"/>
      <c r="C218" s="2912">
        <v>1975</v>
      </c>
      <c r="D218" s="2906" t="s">
        <v>2721</v>
      </c>
      <c r="E218" s="2907" t="s">
        <v>2722</v>
      </c>
      <c r="F218" s="2908">
        <v>1</v>
      </c>
      <c r="G218" s="2908"/>
      <c r="H218" s="2907"/>
      <c r="I218" s="2947"/>
      <c r="J218" s="2948"/>
      <c r="K218" s="2907"/>
      <c r="L218" s="2907"/>
      <c r="M218" s="2910"/>
      <c r="N218" s="2911"/>
      <c r="O218" s="2911"/>
      <c r="P218" s="2907"/>
      <c r="Q218" s="2907"/>
      <c r="R218" s="2907"/>
      <c r="S218" s="2907"/>
      <c r="T218" s="2907"/>
    </row>
    <row r="219" spans="1:20" ht="12" customHeight="1" outlineLevel="1" x14ac:dyDescent="0.2">
      <c r="A219" s="4672" t="s">
        <v>2723</v>
      </c>
      <c r="B219" s="4672"/>
      <c r="C219" s="2905">
        <v>508</v>
      </c>
      <c r="D219" s="2906" t="s">
        <v>2724</v>
      </c>
      <c r="E219" s="2907" t="s">
        <v>2725</v>
      </c>
      <c r="F219" s="2908">
        <v>108</v>
      </c>
      <c r="G219" s="2908"/>
      <c r="H219" s="2909">
        <v>32400</v>
      </c>
      <c r="I219" s="4673">
        <v>32400</v>
      </c>
      <c r="J219" s="4673"/>
      <c r="K219" s="2907"/>
      <c r="L219" s="2907"/>
      <c r="M219" s="2910"/>
      <c r="N219" s="2911"/>
      <c r="O219" s="2911"/>
      <c r="P219" s="2907"/>
      <c r="Q219" s="2907"/>
      <c r="R219" s="2909">
        <v>32400</v>
      </c>
      <c r="S219" s="2909">
        <v>32400</v>
      </c>
      <c r="T219" s="2907"/>
    </row>
    <row r="220" spans="1:20" ht="12" customHeight="1" outlineLevel="1" x14ac:dyDescent="0.2">
      <c r="A220" s="4672" t="s">
        <v>2726</v>
      </c>
      <c r="B220" s="4672"/>
      <c r="C220" s="2912">
        <v>1786</v>
      </c>
      <c r="D220" s="2906" t="s">
        <v>2727</v>
      </c>
      <c r="E220" s="2907" t="s">
        <v>2728</v>
      </c>
      <c r="F220" s="2908">
        <v>36</v>
      </c>
      <c r="G220" s="2908"/>
      <c r="H220" s="2909">
        <v>11970</v>
      </c>
      <c r="I220" s="4673">
        <v>11970</v>
      </c>
      <c r="J220" s="4673"/>
      <c r="K220" s="2907"/>
      <c r="L220" s="2907"/>
      <c r="M220" s="2910"/>
      <c r="N220" s="2911"/>
      <c r="O220" s="2911"/>
      <c r="P220" s="2907"/>
      <c r="Q220" s="2907"/>
      <c r="R220" s="2909">
        <v>11970</v>
      </c>
      <c r="S220" s="2909">
        <v>11970</v>
      </c>
      <c r="T220" s="2907"/>
    </row>
    <row r="221" spans="1:20" ht="12" customHeight="1" outlineLevel="1" x14ac:dyDescent="0.2">
      <c r="A221" s="4672" t="s">
        <v>2729</v>
      </c>
      <c r="B221" s="4672"/>
      <c r="C221" s="2912">
        <v>2018</v>
      </c>
      <c r="D221" s="2906" t="s">
        <v>2730</v>
      </c>
      <c r="E221" s="2907" t="s">
        <v>2731</v>
      </c>
      <c r="F221" s="2908">
        <v>60</v>
      </c>
      <c r="G221" s="2908"/>
      <c r="H221" s="2909">
        <v>54500</v>
      </c>
      <c r="I221" s="4673">
        <v>54500</v>
      </c>
      <c r="J221" s="4673"/>
      <c r="K221" s="2907"/>
      <c r="L221" s="2907"/>
      <c r="M221" s="2910"/>
      <c r="N221" s="2911"/>
      <c r="O221" s="2911"/>
      <c r="P221" s="2907"/>
      <c r="Q221" s="2907"/>
      <c r="R221" s="2909">
        <v>54500</v>
      </c>
      <c r="S221" s="2909">
        <v>54500</v>
      </c>
      <c r="T221" s="2907"/>
    </row>
    <row r="222" spans="1:20" ht="12" customHeight="1" outlineLevel="1" x14ac:dyDescent="0.2">
      <c r="A222" s="4672" t="s">
        <v>2732</v>
      </c>
      <c r="B222" s="4672"/>
      <c r="C222" s="2912">
        <v>1972</v>
      </c>
      <c r="D222" s="2906" t="s">
        <v>2733</v>
      </c>
      <c r="E222" s="2907" t="s">
        <v>2734</v>
      </c>
      <c r="F222" s="2908">
        <v>60</v>
      </c>
      <c r="G222" s="2908"/>
      <c r="H222" s="2909">
        <v>12074.58</v>
      </c>
      <c r="I222" s="4673">
        <v>12074.58</v>
      </c>
      <c r="J222" s="4673"/>
      <c r="K222" s="2907"/>
      <c r="L222" s="2907"/>
      <c r="M222" s="2910"/>
      <c r="N222" s="2911"/>
      <c r="O222" s="2911"/>
      <c r="P222" s="2907"/>
      <c r="Q222" s="2907"/>
      <c r="R222" s="2909">
        <v>12074.58</v>
      </c>
      <c r="S222" s="2909">
        <v>12074.58</v>
      </c>
      <c r="T222" s="2907"/>
    </row>
    <row r="223" spans="1:20" ht="12" customHeight="1" outlineLevel="1" x14ac:dyDescent="0.2">
      <c r="A223" s="4672" t="s">
        <v>2735</v>
      </c>
      <c r="B223" s="4672"/>
      <c r="C223" s="2905">
        <v>739</v>
      </c>
      <c r="D223" s="2906" t="s">
        <v>2736</v>
      </c>
      <c r="E223" s="2907" t="s">
        <v>2737</v>
      </c>
      <c r="F223" s="2908">
        <v>60</v>
      </c>
      <c r="G223" s="2908"/>
      <c r="H223" s="2909">
        <v>10986.13</v>
      </c>
      <c r="I223" s="4673">
        <v>10986.13</v>
      </c>
      <c r="J223" s="4673"/>
      <c r="K223" s="2907"/>
      <c r="L223" s="2907"/>
      <c r="M223" s="2910"/>
      <c r="N223" s="2911"/>
      <c r="O223" s="2911"/>
      <c r="P223" s="2907"/>
      <c r="Q223" s="2907"/>
      <c r="R223" s="2909">
        <v>10986.13</v>
      </c>
      <c r="S223" s="2909">
        <v>10986.13</v>
      </c>
      <c r="T223" s="2907"/>
    </row>
    <row r="224" spans="1:20" ht="12" customHeight="1" outlineLevel="1" x14ac:dyDescent="0.2">
      <c r="A224" s="4672" t="s">
        <v>2738</v>
      </c>
      <c r="B224" s="4672"/>
      <c r="C224" s="2905">
        <v>108</v>
      </c>
      <c r="D224" s="2906" t="s">
        <v>2248</v>
      </c>
      <c r="E224" s="2907" t="s">
        <v>2739</v>
      </c>
      <c r="F224" s="2908">
        <v>273</v>
      </c>
      <c r="G224" s="2908"/>
      <c r="H224" s="2909">
        <v>22730</v>
      </c>
      <c r="I224" s="4673">
        <v>22730</v>
      </c>
      <c r="J224" s="4673"/>
      <c r="K224" s="2907"/>
      <c r="L224" s="2907"/>
      <c r="M224" s="2910"/>
      <c r="N224" s="2911"/>
      <c r="O224" s="2911"/>
      <c r="P224" s="2907"/>
      <c r="Q224" s="2907"/>
      <c r="R224" s="2909">
        <v>22730</v>
      </c>
      <c r="S224" s="2909">
        <v>22730</v>
      </c>
      <c r="T224" s="2907"/>
    </row>
    <row r="225" spans="1:20" ht="23.25" customHeight="1" outlineLevel="1" x14ac:dyDescent="0.2">
      <c r="A225" s="4672" t="s">
        <v>2740</v>
      </c>
      <c r="B225" s="4672"/>
      <c r="C225" s="2912">
        <v>2296</v>
      </c>
      <c r="D225" s="2906" t="s">
        <v>2741</v>
      </c>
      <c r="E225" s="2907" t="s">
        <v>2742</v>
      </c>
      <c r="F225" s="2908">
        <v>120</v>
      </c>
      <c r="G225" s="2908"/>
      <c r="H225" s="2909">
        <v>64419.31</v>
      </c>
      <c r="I225" s="4673">
        <v>40799.08</v>
      </c>
      <c r="J225" s="4673"/>
      <c r="K225" s="2909">
        <v>23620.23</v>
      </c>
      <c r="L225" s="2907"/>
      <c r="M225" s="2911">
        <v>6441.96</v>
      </c>
      <c r="N225" s="2911">
        <f>M225</f>
        <v>6441.96</v>
      </c>
      <c r="O225" s="2911"/>
      <c r="P225" s="2907"/>
      <c r="Q225" s="2907"/>
      <c r="R225" s="2909">
        <v>64419.31</v>
      </c>
      <c r="S225" s="2909">
        <v>47241.04</v>
      </c>
      <c r="T225" s="2909">
        <v>17178.27</v>
      </c>
    </row>
    <row r="226" spans="1:20" ht="12" customHeight="1" outlineLevel="1" x14ac:dyDescent="0.2">
      <c r="A226" s="4672" t="s">
        <v>2743</v>
      </c>
      <c r="B226" s="4672"/>
      <c r="C226" s="2905">
        <v>740</v>
      </c>
      <c r="D226" s="2906" t="s">
        <v>2736</v>
      </c>
      <c r="E226" s="2907" t="s">
        <v>2744</v>
      </c>
      <c r="F226" s="2908">
        <v>60</v>
      </c>
      <c r="G226" s="2908"/>
      <c r="H226" s="2909">
        <v>18885.189999999999</v>
      </c>
      <c r="I226" s="4673">
        <v>18885.189999999999</v>
      </c>
      <c r="J226" s="4673"/>
      <c r="K226" s="2907"/>
      <c r="L226" s="2907"/>
      <c r="M226" s="2910"/>
      <c r="N226" s="2911"/>
      <c r="O226" s="2911"/>
      <c r="P226" s="2907"/>
      <c r="Q226" s="2907"/>
      <c r="R226" s="2909">
        <v>18885.189999999999</v>
      </c>
      <c r="S226" s="2909">
        <v>18885.189999999999</v>
      </c>
      <c r="T226" s="2907"/>
    </row>
    <row r="227" spans="1:20" ht="23.25" customHeight="1" outlineLevel="1" x14ac:dyDescent="0.2">
      <c r="A227" s="4672" t="s">
        <v>2745</v>
      </c>
      <c r="B227" s="4672"/>
      <c r="C227" s="2912">
        <v>2455</v>
      </c>
      <c r="D227" s="2906" t="s">
        <v>2746</v>
      </c>
      <c r="E227" s="2907" t="s">
        <v>2747</v>
      </c>
      <c r="F227" s="2908">
        <v>84</v>
      </c>
      <c r="G227" s="2908"/>
      <c r="H227" s="2909">
        <v>54954.65</v>
      </c>
      <c r="I227" s="4673">
        <v>32056.78</v>
      </c>
      <c r="J227" s="4673"/>
      <c r="K227" s="2909">
        <v>22897.87</v>
      </c>
      <c r="L227" s="2907"/>
      <c r="M227" s="2911">
        <v>7850.64</v>
      </c>
      <c r="N227" s="2911">
        <f>M227</f>
        <v>7850.64</v>
      </c>
      <c r="O227" s="2911"/>
      <c r="P227" s="2907"/>
      <c r="Q227" s="2907"/>
      <c r="R227" s="2909">
        <v>54954.65</v>
      </c>
      <c r="S227" s="2909">
        <v>39907.42</v>
      </c>
      <c r="T227" s="2909">
        <v>15047.23</v>
      </c>
    </row>
    <row r="228" spans="1:20" ht="12" customHeight="1" outlineLevel="1" x14ac:dyDescent="0.2">
      <c r="A228" s="4672" t="s">
        <v>2748</v>
      </c>
      <c r="B228" s="4672"/>
      <c r="C228" s="2905">
        <v>390</v>
      </c>
      <c r="D228" s="2906" t="s">
        <v>2749</v>
      </c>
      <c r="E228" s="2907" t="s">
        <v>2750</v>
      </c>
      <c r="F228" s="2908">
        <v>324</v>
      </c>
      <c r="G228" s="2908"/>
      <c r="H228" s="2909">
        <v>4779</v>
      </c>
      <c r="I228" s="4673">
        <v>4539</v>
      </c>
      <c r="J228" s="4673"/>
      <c r="K228" s="2952">
        <v>240</v>
      </c>
      <c r="L228" s="2907"/>
      <c r="M228" s="2950">
        <v>177</v>
      </c>
      <c r="N228" s="2911">
        <f>H228/F228*12</f>
        <v>177</v>
      </c>
      <c r="O228" s="2911"/>
      <c r="P228" s="2907"/>
      <c r="Q228" s="2907"/>
      <c r="R228" s="2909">
        <v>4779</v>
      </c>
      <c r="S228" s="2909">
        <v>4716</v>
      </c>
      <c r="T228" s="2952">
        <v>63</v>
      </c>
    </row>
    <row r="229" spans="1:20" ht="12" customHeight="1" outlineLevel="1" x14ac:dyDescent="0.2">
      <c r="A229" s="4672" t="s">
        <v>2751</v>
      </c>
      <c r="B229" s="4672"/>
      <c r="C229" s="2905">
        <v>338</v>
      </c>
      <c r="D229" s="2906" t="s">
        <v>2752</v>
      </c>
      <c r="E229" s="2907" t="s">
        <v>2753</v>
      </c>
      <c r="F229" s="2908">
        <v>324</v>
      </c>
      <c r="G229" s="2908"/>
      <c r="H229" s="2909">
        <v>2018</v>
      </c>
      <c r="I229" s="4673">
        <v>2018</v>
      </c>
      <c r="J229" s="4673"/>
      <c r="K229" s="2907"/>
      <c r="L229" s="2907"/>
      <c r="M229" s="2910"/>
      <c r="N229" s="2911"/>
      <c r="O229" s="2911"/>
      <c r="P229" s="2907"/>
      <c r="Q229" s="2907"/>
      <c r="R229" s="2909">
        <v>2018</v>
      </c>
      <c r="S229" s="2909">
        <v>2018</v>
      </c>
      <c r="T229" s="2907"/>
    </row>
    <row r="230" spans="1:20" s="2928" customFormat="1" ht="12" customHeight="1" outlineLevel="1" x14ac:dyDescent="0.2">
      <c r="A230" s="4681" t="s">
        <v>2754</v>
      </c>
      <c r="B230" s="4681"/>
      <c r="C230" s="2922">
        <v>99</v>
      </c>
      <c r="D230" s="2923" t="s">
        <v>2248</v>
      </c>
      <c r="E230" s="2924" t="s">
        <v>2755</v>
      </c>
      <c r="F230" s="2925">
        <v>324</v>
      </c>
      <c r="G230" s="2925"/>
      <c r="H230" s="2926">
        <v>3736</v>
      </c>
      <c r="I230" s="4682">
        <v>3695.4</v>
      </c>
      <c r="J230" s="4682"/>
      <c r="K230" s="2927">
        <v>40.6</v>
      </c>
      <c r="L230" s="2924"/>
      <c r="M230" s="2927">
        <v>40.6</v>
      </c>
      <c r="N230" s="2926">
        <f>M230</f>
        <v>40.6</v>
      </c>
      <c r="O230" s="2926"/>
      <c r="P230" s="2924"/>
      <c r="Q230" s="2924"/>
      <c r="R230" s="2926">
        <v>3736</v>
      </c>
      <c r="S230" s="2926">
        <v>3736</v>
      </c>
      <c r="T230" s="2924"/>
    </row>
    <row r="231" spans="1:20" s="2928" customFormat="1" ht="12" customHeight="1" outlineLevel="1" x14ac:dyDescent="0.2">
      <c r="A231" s="4681" t="s">
        <v>2756</v>
      </c>
      <c r="B231" s="4681"/>
      <c r="C231" s="2922">
        <v>100</v>
      </c>
      <c r="D231" s="2923" t="s">
        <v>2248</v>
      </c>
      <c r="E231" s="2924" t="s">
        <v>2757</v>
      </c>
      <c r="F231" s="2925">
        <v>324</v>
      </c>
      <c r="G231" s="2925"/>
      <c r="H231" s="2926">
        <v>3403</v>
      </c>
      <c r="I231" s="4682">
        <v>3321</v>
      </c>
      <c r="J231" s="4682"/>
      <c r="K231" s="2927">
        <v>82</v>
      </c>
      <c r="L231" s="2924"/>
      <c r="M231" s="2927">
        <v>82</v>
      </c>
      <c r="N231" s="2926">
        <f>M231</f>
        <v>82</v>
      </c>
      <c r="O231" s="2926"/>
      <c r="P231" s="2924"/>
      <c r="Q231" s="2924"/>
      <c r="R231" s="2926">
        <v>3403</v>
      </c>
      <c r="S231" s="2926">
        <v>3403</v>
      </c>
      <c r="T231" s="2924"/>
    </row>
    <row r="232" spans="1:20" ht="23.25" customHeight="1" outlineLevel="1" x14ac:dyDescent="0.2">
      <c r="A232" s="4672" t="s">
        <v>2758</v>
      </c>
      <c r="B232" s="4672"/>
      <c r="C232" s="2912">
        <v>2400</v>
      </c>
      <c r="D232" s="2906" t="s">
        <v>2759</v>
      </c>
      <c r="E232" s="2907" t="s">
        <v>2760</v>
      </c>
      <c r="F232" s="2908">
        <v>60</v>
      </c>
      <c r="G232" s="2908"/>
      <c r="H232" s="2909">
        <v>25855.51</v>
      </c>
      <c r="I232" s="4673">
        <v>25855.51</v>
      </c>
      <c r="J232" s="4673"/>
      <c r="K232" s="2907"/>
      <c r="L232" s="2907"/>
      <c r="M232" s="2910"/>
      <c r="N232" s="2911"/>
      <c r="O232" s="2911"/>
      <c r="P232" s="2907"/>
      <c r="Q232" s="2907"/>
      <c r="R232" s="2909">
        <v>25855.51</v>
      </c>
      <c r="S232" s="2909">
        <v>25855.51</v>
      </c>
      <c r="T232" s="2907"/>
    </row>
    <row r="233" spans="1:20" ht="12" customHeight="1" outlineLevel="1" x14ac:dyDescent="0.2">
      <c r="A233" s="4672" t="s">
        <v>2761</v>
      </c>
      <c r="B233" s="4672"/>
      <c r="C233" s="2905">
        <v>111</v>
      </c>
      <c r="D233" s="2906" t="s">
        <v>2762</v>
      </c>
      <c r="E233" s="2907" t="s">
        <v>2763</v>
      </c>
      <c r="F233" s="2908">
        <v>300</v>
      </c>
      <c r="G233" s="2908"/>
      <c r="H233" s="2909">
        <v>545000</v>
      </c>
      <c r="I233" s="4673">
        <v>328816.59999999998</v>
      </c>
      <c r="J233" s="4673"/>
      <c r="K233" s="2909">
        <v>216183.4</v>
      </c>
      <c r="L233" s="2907"/>
      <c r="M233" s="2911">
        <v>21800.04</v>
      </c>
      <c r="N233" s="2911">
        <f>M233</f>
        <v>21800.04</v>
      </c>
      <c r="O233" s="2911"/>
      <c r="P233" s="2907"/>
      <c r="Q233" s="2907"/>
      <c r="R233" s="2909">
        <v>545000</v>
      </c>
      <c r="S233" s="2909">
        <v>350616.64</v>
      </c>
      <c r="T233" s="2909">
        <v>194383.35999999999</v>
      </c>
    </row>
    <row r="234" spans="1:20" ht="12" customHeight="1" outlineLevel="1" x14ac:dyDescent="0.2">
      <c r="A234" s="4672" t="s">
        <v>2764</v>
      </c>
      <c r="B234" s="4672"/>
      <c r="C234" s="2905">
        <v>304</v>
      </c>
      <c r="D234" s="2906" t="s">
        <v>2626</v>
      </c>
      <c r="E234" s="2907" t="s">
        <v>2765</v>
      </c>
      <c r="F234" s="2908">
        <v>96</v>
      </c>
      <c r="G234" s="2908"/>
      <c r="H234" s="2909">
        <v>2200</v>
      </c>
      <c r="I234" s="4673">
        <v>2200</v>
      </c>
      <c r="J234" s="4673"/>
      <c r="K234" s="2907"/>
      <c r="L234" s="2907"/>
      <c r="M234" s="2910"/>
      <c r="N234" s="2911"/>
      <c r="O234" s="2911"/>
      <c r="P234" s="2907"/>
      <c r="Q234" s="2907"/>
      <c r="R234" s="2909">
        <v>2200</v>
      </c>
      <c r="S234" s="2909">
        <v>2200</v>
      </c>
      <c r="T234" s="2907"/>
    </row>
    <row r="235" spans="1:20" ht="12" customHeight="1" outlineLevel="1" x14ac:dyDescent="0.2">
      <c r="A235" s="4672" t="s">
        <v>2766</v>
      </c>
      <c r="B235" s="4672"/>
      <c r="C235" s="2905">
        <v>112</v>
      </c>
      <c r="D235" s="2906" t="s">
        <v>2767</v>
      </c>
      <c r="E235" s="2907" t="s">
        <v>2768</v>
      </c>
      <c r="F235" s="2908">
        <v>300</v>
      </c>
      <c r="G235" s="2908"/>
      <c r="H235" s="2909">
        <v>506200</v>
      </c>
      <c r="I235" s="4673">
        <v>327337.40000000002</v>
      </c>
      <c r="J235" s="4673"/>
      <c r="K235" s="2909">
        <v>178862.6</v>
      </c>
      <c r="L235" s="2907"/>
      <c r="M235" s="2911">
        <v>20247.96</v>
      </c>
      <c r="N235" s="2911">
        <f>M235</f>
        <v>20247.96</v>
      </c>
      <c r="O235" s="2911"/>
      <c r="P235" s="2907"/>
      <c r="Q235" s="2907"/>
      <c r="R235" s="2909">
        <v>506200</v>
      </c>
      <c r="S235" s="2909">
        <v>347585.36</v>
      </c>
      <c r="T235" s="2909">
        <v>158614.64000000001</v>
      </c>
    </row>
    <row r="236" spans="1:20" ht="23.25" customHeight="1" outlineLevel="1" x14ac:dyDescent="0.2">
      <c r="A236" s="4672" t="s">
        <v>2769</v>
      </c>
      <c r="B236" s="4672"/>
      <c r="C236" s="2905">
        <v>545</v>
      </c>
      <c r="D236" s="2906" t="s">
        <v>2770</v>
      </c>
      <c r="E236" s="2907" t="s">
        <v>2771</v>
      </c>
      <c r="F236" s="2908">
        <v>273</v>
      </c>
      <c r="G236" s="2908"/>
      <c r="H236" s="2909">
        <v>6820</v>
      </c>
      <c r="I236" s="4673">
        <v>6820</v>
      </c>
      <c r="J236" s="4673"/>
      <c r="K236" s="2907"/>
      <c r="L236" s="2907"/>
      <c r="M236" s="2910"/>
      <c r="N236" s="2911"/>
      <c r="O236" s="2911"/>
      <c r="P236" s="2907"/>
      <c r="Q236" s="2907"/>
      <c r="R236" s="2909">
        <v>6820</v>
      </c>
      <c r="S236" s="2909">
        <v>6820</v>
      </c>
      <c r="T236" s="2907"/>
    </row>
    <row r="237" spans="1:20" ht="12" customHeight="1" outlineLevel="1" x14ac:dyDescent="0.2">
      <c r="A237" s="4672" t="s">
        <v>2772</v>
      </c>
      <c r="B237" s="4672"/>
      <c r="C237" s="2905">
        <v>339</v>
      </c>
      <c r="D237" s="2906" t="s">
        <v>2274</v>
      </c>
      <c r="E237" s="2907" t="s">
        <v>2773</v>
      </c>
      <c r="F237" s="2908">
        <v>71</v>
      </c>
      <c r="G237" s="2908"/>
      <c r="H237" s="2909">
        <v>47581</v>
      </c>
      <c r="I237" s="4673">
        <v>47581</v>
      </c>
      <c r="J237" s="4673"/>
      <c r="K237" s="2907"/>
      <c r="L237" s="2907"/>
      <c r="M237" s="2910"/>
      <c r="N237" s="2911"/>
      <c r="O237" s="2911"/>
      <c r="P237" s="2907"/>
      <c r="Q237" s="2907"/>
      <c r="R237" s="2909">
        <v>47581</v>
      </c>
      <c r="S237" s="2909">
        <v>47581</v>
      </c>
      <c r="T237" s="2907"/>
    </row>
    <row r="238" spans="1:20" ht="12" customHeight="1" outlineLevel="1" x14ac:dyDescent="0.2">
      <c r="A238" s="4672" t="s">
        <v>2774</v>
      </c>
      <c r="B238" s="4672"/>
      <c r="C238" s="2905">
        <v>465</v>
      </c>
      <c r="D238" s="2906" t="s">
        <v>2775</v>
      </c>
      <c r="E238" s="2907" t="s">
        <v>2776</v>
      </c>
      <c r="F238" s="2908">
        <v>120</v>
      </c>
      <c r="G238" s="2908"/>
      <c r="H238" s="2909">
        <v>1250</v>
      </c>
      <c r="I238" s="4673">
        <v>1250</v>
      </c>
      <c r="J238" s="4673"/>
      <c r="K238" s="2907"/>
      <c r="L238" s="2907"/>
      <c r="M238" s="2910"/>
      <c r="N238" s="2911"/>
      <c r="O238" s="2911"/>
      <c r="P238" s="2907"/>
      <c r="Q238" s="2907"/>
      <c r="R238" s="2909">
        <v>1250</v>
      </c>
      <c r="S238" s="2909">
        <v>1250</v>
      </c>
      <c r="T238" s="2907"/>
    </row>
    <row r="239" spans="1:20" ht="12" customHeight="1" outlineLevel="1" x14ac:dyDescent="0.2">
      <c r="A239" s="4672" t="s">
        <v>2625</v>
      </c>
      <c r="B239" s="4672"/>
      <c r="C239" s="2905">
        <v>294</v>
      </c>
      <c r="D239" s="2906" t="s">
        <v>2777</v>
      </c>
      <c r="E239" s="2907" t="s">
        <v>2627</v>
      </c>
      <c r="F239" s="2908">
        <v>84</v>
      </c>
      <c r="G239" s="2908"/>
      <c r="H239" s="2909">
        <v>4900</v>
      </c>
      <c r="I239" s="4673">
        <v>4900</v>
      </c>
      <c r="J239" s="4673"/>
      <c r="K239" s="2907"/>
      <c r="L239" s="2907"/>
      <c r="M239" s="2910"/>
      <c r="N239" s="2911"/>
      <c r="O239" s="2911"/>
      <c r="P239" s="2907"/>
      <c r="Q239" s="2907"/>
      <c r="R239" s="2909">
        <v>4900</v>
      </c>
      <c r="S239" s="2909">
        <v>4900</v>
      </c>
      <c r="T239" s="2907"/>
    </row>
    <row r="240" spans="1:20" ht="12" customHeight="1" outlineLevel="1" x14ac:dyDescent="0.2">
      <c r="A240" s="4672" t="s">
        <v>2778</v>
      </c>
      <c r="B240" s="4672"/>
      <c r="C240" s="2905">
        <v>391</v>
      </c>
      <c r="D240" s="2906" t="s">
        <v>2683</v>
      </c>
      <c r="E240" s="2907" t="s">
        <v>2779</v>
      </c>
      <c r="F240" s="2908">
        <v>300</v>
      </c>
      <c r="G240" s="2908"/>
      <c r="H240" s="2909">
        <v>10270</v>
      </c>
      <c r="I240" s="4673">
        <v>10270</v>
      </c>
      <c r="J240" s="4673"/>
      <c r="K240" s="2907"/>
      <c r="L240" s="2907"/>
      <c r="M240" s="2910"/>
      <c r="N240" s="2911"/>
      <c r="O240" s="2911"/>
      <c r="P240" s="2907"/>
      <c r="Q240" s="2907"/>
      <c r="R240" s="2909">
        <v>10270</v>
      </c>
      <c r="S240" s="2909">
        <v>10270</v>
      </c>
      <c r="T240" s="2907"/>
    </row>
    <row r="241" spans="1:20" ht="12" customHeight="1" outlineLevel="1" x14ac:dyDescent="0.2">
      <c r="A241" s="4672" t="s">
        <v>2780</v>
      </c>
      <c r="B241" s="4672"/>
      <c r="C241" s="2905">
        <v>363</v>
      </c>
      <c r="D241" s="2906" t="s">
        <v>2650</v>
      </c>
      <c r="E241" s="2907" t="s">
        <v>2781</v>
      </c>
      <c r="F241" s="2908">
        <v>84</v>
      </c>
      <c r="G241" s="2908"/>
      <c r="H241" s="2909">
        <v>4494</v>
      </c>
      <c r="I241" s="4673">
        <v>4494</v>
      </c>
      <c r="J241" s="4673"/>
      <c r="K241" s="2907"/>
      <c r="L241" s="2907"/>
      <c r="M241" s="2910"/>
      <c r="N241" s="2911"/>
      <c r="O241" s="2911"/>
      <c r="P241" s="2907"/>
      <c r="Q241" s="2907"/>
      <c r="R241" s="2909">
        <v>4494</v>
      </c>
      <c r="S241" s="2909">
        <v>4494</v>
      </c>
      <c r="T241" s="2907"/>
    </row>
    <row r="242" spans="1:20" ht="12" customHeight="1" outlineLevel="1" x14ac:dyDescent="0.2">
      <c r="A242" s="4672" t="s">
        <v>2782</v>
      </c>
      <c r="B242" s="4672"/>
      <c r="C242" s="2912">
        <v>1926</v>
      </c>
      <c r="D242" s="2906" t="s">
        <v>2277</v>
      </c>
      <c r="E242" s="2907" t="s">
        <v>2783</v>
      </c>
      <c r="F242" s="2908">
        <v>120</v>
      </c>
      <c r="G242" s="2908"/>
      <c r="H242" s="2909">
        <v>34153.599999999999</v>
      </c>
      <c r="I242" s="4673">
        <v>34153.599999999999</v>
      </c>
      <c r="J242" s="4673"/>
      <c r="K242" s="2907"/>
      <c r="L242" s="2907"/>
      <c r="M242" s="2910"/>
      <c r="N242" s="2911"/>
      <c r="O242" s="2911"/>
      <c r="P242" s="2907"/>
      <c r="Q242" s="2907"/>
      <c r="R242" s="2909">
        <v>34153.599999999999</v>
      </c>
      <c r="S242" s="2909">
        <v>34153.599999999999</v>
      </c>
      <c r="T242" s="2907"/>
    </row>
    <row r="243" spans="1:20" s="2928" customFormat="1" ht="12" customHeight="1" outlineLevel="1" x14ac:dyDescent="0.2">
      <c r="A243" s="4681" t="s">
        <v>2784</v>
      </c>
      <c r="B243" s="4681"/>
      <c r="C243" s="2951">
        <v>2275</v>
      </c>
      <c r="D243" s="2923" t="s">
        <v>2785</v>
      </c>
      <c r="E243" s="2924" t="s">
        <v>2786</v>
      </c>
      <c r="F243" s="2925">
        <v>120</v>
      </c>
      <c r="G243" s="2925"/>
      <c r="H243" s="2926">
        <v>38864.410000000003</v>
      </c>
      <c r="I243" s="4682">
        <v>35949.57</v>
      </c>
      <c r="J243" s="4682"/>
      <c r="K243" s="2926">
        <v>2914.84</v>
      </c>
      <c r="L243" s="2924"/>
      <c r="M243" s="2926">
        <v>2914.84</v>
      </c>
      <c r="N243" s="2926">
        <f>M243</f>
        <v>2914.84</v>
      </c>
      <c r="O243" s="2926"/>
      <c r="P243" s="2924"/>
      <c r="Q243" s="2924"/>
      <c r="R243" s="2926">
        <v>38864.410000000003</v>
      </c>
      <c r="S243" s="2926">
        <v>38864.410000000003</v>
      </c>
      <c r="T243" s="2924"/>
    </row>
    <row r="244" spans="1:20" ht="12" customHeight="1" outlineLevel="1" x14ac:dyDescent="0.2">
      <c r="A244" s="4672" t="s">
        <v>2787</v>
      </c>
      <c r="B244" s="4672"/>
      <c r="C244" s="2905">
        <v>484</v>
      </c>
      <c r="D244" s="2906" t="s">
        <v>2344</v>
      </c>
      <c r="E244" s="2907" t="s">
        <v>2788</v>
      </c>
      <c r="F244" s="2908">
        <v>240</v>
      </c>
      <c r="G244" s="2908"/>
      <c r="H244" s="2909">
        <v>37000</v>
      </c>
      <c r="I244" s="4673">
        <v>33294.6</v>
      </c>
      <c r="J244" s="4673"/>
      <c r="K244" s="2909">
        <v>3705.4</v>
      </c>
      <c r="L244" s="2907"/>
      <c r="M244" s="2911">
        <v>1850.04</v>
      </c>
      <c r="N244" s="2911">
        <f>M244</f>
        <v>1850.04</v>
      </c>
      <c r="O244" s="2911"/>
      <c r="P244" s="2907"/>
      <c r="Q244" s="2907"/>
      <c r="R244" s="2909">
        <v>37000</v>
      </c>
      <c r="S244" s="2909">
        <v>35144.639999999999</v>
      </c>
      <c r="T244" s="2909">
        <v>1855.36</v>
      </c>
    </row>
    <row r="245" spans="1:20" ht="23.25" customHeight="1" outlineLevel="1" x14ac:dyDescent="0.2">
      <c r="A245" s="4672" t="s">
        <v>2789</v>
      </c>
      <c r="B245" s="4672"/>
      <c r="C245" s="2912">
        <v>1959</v>
      </c>
      <c r="D245" s="2906" t="s">
        <v>2790</v>
      </c>
      <c r="E245" s="2907" t="s">
        <v>2791</v>
      </c>
      <c r="F245" s="2908">
        <v>120</v>
      </c>
      <c r="G245" s="2908"/>
      <c r="H245" s="2909">
        <v>78050.850000000006</v>
      </c>
      <c r="I245" s="4673">
        <v>59188.22</v>
      </c>
      <c r="J245" s="4673"/>
      <c r="K245" s="2909">
        <v>18862.63</v>
      </c>
      <c r="L245" s="2907"/>
      <c r="M245" s="2911">
        <v>7805.04</v>
      </c>
      <c r="N245" s="2911">
        <f>M245</f>
        <v>7805.04</v>
      </c>
      <c r="O245" s="2911"/>
      <c r="P245" s="2907"/>
      <c r="Q245" s="2907"/>
      <c r="R245" s="2909">
        <v>78050.850000000006</v>
      </c>
      <c r="S245" s="2909">
        <v>66993.259999999995</v>
      </c>
      <c r="T245" s="2909">
        <v>11057.59</v>
      </c>
    </row>
    <row r="246" spans="1:20" ht="12" customHeight="1" outlineLevel="1" x14ac:dyDescent="0.2">
      <c r="A246" s="4672" t="s">
        <v>2792</v>
      </c>
      <c r="B246" s="4672"/>
      <c r="C246" s="2905">
        <v>474</v>
      </c>
      <c r="D246" s="2906" t="s">
        <v>2793</v>
      </c>
      <c r="E246" s="2907" t="s">
        <v>2794</v>
      </c>
      <c r="F246" s="2908">
        <v>96</v>
      </c>
      <c r="G246" s="2908"/>
      <c r="H246" s="2909">
        <v>61082.33</v>
      </c>
      <c r="I246" s="4673">
        <v>61082.33</v>
      </c>
      <c r="J246" s="4673"/>
      <c r="K246" s="2907"/>
      <c r="L246" s="2907"/>
      <c r="M246" s="2910"/>
      <c r="N246" s="2911"/>
      <c r="O246" s="2911"/>
      <c r="P246" s="2907"/>
      <c r="Q246" s="2907"/>
      <c r="R246" s="2909">
        <v>61082.33</v>
      </c>
      <c r="S246" s="2909">
        <v>61082.33</v>
      </c>
      <c r="T246" s="2907"/>
    </row>
    <row r="247" spans="1:20" ht="12" customHeight="1" outlineLevel="1" x14ac:dyDescent="0.2">
      <c r="A247" s="4672" t="s">
        <v>2795</v>
      </c>
      <c r="B247" s="4672"/>
      <c r="C247" s="2905">
        <v>349</v>
      </c>
      <c r="D247" s="2906" t="s">
        <v>2796</v>
      </c>
      <c r="E247" s="2907" t="s">
        <v>2797</v>
      </c>
      <c r="F247" s="2908">
        <v>60</v>
      </c>
      <c r="G247" s="2908"/>
      <c r="H247" s="2909">
        <v>9069</v>
      </c>
      <c r="I247" s="4673">
        <v>9069</v>
      </c>
      <c r="J247" s="4673"/>
      <c r="K247" s="2907"/>
      <c r="L247" s="2907"/>
      <c r="M247" s="2910"/>
      <c r="N247" s="2911"/>
      <c r="O247" s="2911"/>
      <c r="P247" s="2907"/>
      <c r="Q247" s="2907"/>
      <c r="R247" s="2909">
        <v>9069</v>
      </c>
      <c r="S247" s="2909">
        <v>9069</v>
      </c>
      <c r="T247" s="2907"/>
    </row>
    <row r="248" spans="1:20" ht="12" customHeight="1" outlineLevel="1" x14ac:dyDescent="0.2">
      <c r="A248" s="4672" t="s">
        <v>2798</v>
      </c>
      <c r="B248" s="4672"/>
      <c r="C248" s="2912">
        <v>2294</v>
      </c>
      <c r="D248" s="2906" t="s">
        <v>2799</v>
      </c>
      <c r="E248" s="2907" t="s">
        <v>2800</v>
      </c>
      <c r="F248" s="2908">
        <v>120</v>
      </c>
      <c r="G248" s="2908"/>
      <c r="H248" s="2909">
        <v>14576.27</v>
      </c>
      <c r="I248" s="4673">
        <v>12997.29</v>
      </c>
      <c r="J248" s="4673"/>
      <c r="K248" s="2909">
        <v>1578.98</v>
      </c>
      <c r="L248" s="2907"/>
      <c r="M248" s="2911">
        <v>1457.64</v>
      </c>
      <c r="N248" s="2911">
        <f>M248</f>
        <v>1457.64</v>
      </c>
      <c r="O248" s="2911"/>
      <c r="P248" s="2907"/>
      <c r="Q248" s="2907"/>
      <c r="R248" s="2909">
        <v>14576.27</v>
      </c>
      <c r="S248" s="2909">
        <v>14454.93</v>
      </c>
      <c r="T248" s="2952">
        <v>121.34</v>
      </c>
    </row>
    <row r="249" spans="1:20" ht="12" customHeight="1" outlineLevel="1" x14ac:dyDescent="0.2">
      <c r="A249" s="4672" t="s">
        <v>2801</v>
      </c>
      <c r="B249" s="4672"/>
      <c r="C249" s="2912">
        <v>1833</v>
      </c>
      <c r="D249" s="2906" t="s">
        <v>2424</v>
      </c>
      <c r="E249" s="2907" t="s">
        <v>2802</v>
      </c>
      <c r="F249" s="2908">
        <v>60</v>
      </c>
      <c r="G249" s="2908"/>
      <c r="H249" s="2909">
        <v>24157.62</v>
      </c>
      <c r="I249" s="4673">
        <v>24157.62</v>
      </c>
      <c r="J249" s="4673"/>
      <c r="K249" s="2907"/>
      <c r="L249" s="2907"/>
      <c r="M249" s="2910"/>
      <c r="N249" s="2911"/>
      <c r="O249" s="2911"/>
      <c r="P249" s="2907"/>
      <c r="Q249" s="2907"/>
      <c r="R249" s="2909">
        <v>24157.62</v>
      </c>
      <c r="S249" s="2909">
        <v>24157.62</v>
      </c>
      <c r="T249" s="2907"/>
    </row>
    <row r="250" spans="1:20" ht="12" customHeight="1" outlineLevel="1" x14ac:dyDescent="0.2">
      <c r="A250" s="4672" t="s">
        <v>2803</v>
      </c>
      <c r="B250" s="4672"/>
      <c r="C250" s="2905">
        <v>377</v>
      </c>
      <c r="D250" s="2906" t="s">
        <v>2308</v>
      </c>
      <c r="E250" s="2907" t="s">
        <v>2804</v>
      </c>
      <c r="F250" s="2908">
        <v>273</v>
      </c>
      <c r="G250" s="2908"/>
      <c r="H250" s="2909">
        <v>51427</v>
      </c>
      <c r="I250" s="4673">
        <v>51427</v>
      </c>
      <c r="J250" s="4673"/>
      <c r="K250" s="2907"/>
      <c r="L250" s="2907"/>
      <c r="M250" s="2910"/>
      <c r="N250" s="2911"/>
      <c r="O250" s="2911"/>
      <c r="P250" s="2907"/>
      <c r="Q250" s="2907"/>
      <c r="R250" s="2909">
        <v>51427</v>
      </c>
      <c r="S250" s="2909">
        <v>51427</v>
      </c>
      <c r="T250" s="2907"/>
    </row>
    <row r="251" spans="1:20" ht="12" customHeight="1" outlineLevel="1" x14ac:dyDescent="0.2">
      <c r="A251" s="4672" t="s">
        <v>2805</v>
      </c>
      <c r="B251" s="4672"/>
      <c r="C251" s="2905">
        <v>293</v>
      </c>
      <c r="D251" s="2906" t="s">
        <v>2806</v>
      </c>
      <c r="E251" s="2907" t="s">
        <v>2807</v>
      </c>
      <c r="F251" s="2908">
        <v>145</v>
      </c>
      <c r="G251" s="2908"/>
      <c r="H251" s="2909">
        <v>5820</v>
      </c>
      <c r="I251" s="4673">
        <v>5820</v>
      </c>
      <c r="J251" s="4673"/>
      <c r="K251" s="2907"/>
      <c r="L251" s="2907"/>
      <c r="M251" s="2910"/>
      <c r="N251" s="2911"/>
      <c r="O251" s="2911"/>
      <c r="P251" s="2907"/>
      <c r="Q251" s="2907"/>
      <c r="R251" s="2909">
        <v>5820</v>
      </c>
      <c r="S251" s="2909">
        <v>5820</v>
      </c>
      <c r="T251" s="2907"/>
    </row>
    <row r="252" spans="1:20" ht="12" customHeight="1" outlineLevel="1" x14ac:dyDescent="0.2">
      <c r="A252" s="4672" t="s">
        <v>2808</v>
      </c>
      <c r="B252" s="4672"/>
      <c r="C252" s="2905">
        <v>266</v>
      </c>
      <c r="D252" s="2906" t="s">
        <v>2809</v>
      </c>
      <c r="E252" s="2907" t="s">
        <v>2810</v>
      </c>
      <c r="F252" s="2908">
        <v>96</v>
      </c>
      <c r="G252" s="2908"/>
      <c r="H252" s="2909">
        <v>22162</v>
      </c>
      <c r="I252" s="4673">
        <v>22162</v>
      </c>
      <c r="J252" s="4673"/>
      <c r="K252" s="2907"/>
      <c r="L252" s="2907"/>
      <c r="M252" s="2910"/>
      <c r="N252" s="2911"/>
      <c r="O252" s="2911"/>
      <c r="P252" s="2907"/>
      <c r="Q252" s="2907"/>
      <c r="R252" s="2909">
        <v>22162</v>
      </c>
      <c r="S252" s="2909">
        <v>22162</v>
      </c>
      <c r="T252" s="2907"/>
    </row>
    <row r="253" spans="1:20" ht="12" customHeight="1" outlineLevel="1" x14ac:dyDescent="0.2">
      <c r="A253" s="4672" t="s">
        <v>2811</v>
      </c>
      <c r="B253" s="4672"/>
      <c r="C253" s="2905">
        <v>164</v>
      </c>
      <c r="D253" s="2906" t="s">
        <v>2812</v>
      </c>
      <c r="E253" s="2907" t="s">
        <v>2813</v>
      </c>
      <c r="F253" s="2908">
        <v>1</v>
      </c>
      <c r="G253" s="2908"/>
      <c r="H253" s="2909">
        <v>14395</v>
      </c>
      <c r="I253" s="4673">
        <v>14395</v>
      </c>
      <c r="J253" s="4673"/>
      <c r="K253" s="2907"/>
      <c r="L253" s="2907"/>
      <c r="M253" s="2910"/>
      <c r="N253" s="2911"/>
      <c r="O253" s="2911"/>
      <c r="P253" s="2907"/>
      <c r="Q253" s="2907"/>
      <c r="R253" s="2909">
        <v>14395</v>
      </c>
      <c r="S253" s="2909">
        <v>14395</v>
      </c>
      <c r="T253" s="2907"/>
    </row>
    <row r="254" spans="1:20" ht="12" customHeight="1" outlineLevel="1" x14ac:dyDescent="0.2">
      <c r="A254" s="4672" t="s">
        <v>2814</v>
      </c>
      <c r="B254" s="4672"/>
      <c r="C254" s="2905">
        <v>410</v>
      </c>
      <c r="D254" s="2906" t="s">
        <v>2815</v>
      </c>
      <c r="E254" s="2907" t="s">
        <v>2816</v>
      </c>
      <c r="F254" s="2908">
        <v>706</v>
      </c>
      <c r="G254" s="2908"/>
      <c r="H254" s="2909">
        <v>78456</v>
      </c>
      <c r="I254" s="4673">
        <v>36453.120000000003</v>
      </c>
      <c r="J254" s="4673"/>
      <c r="K254" s="2909">
        <v>42002.879999999997</v>
      </c>
      <c r="L254" s="2907"/>
      <c r="M254" s="2911">
        <v>1333.56</v>
      </c>
      <c r="N254" s="2911">
        <f>M254</f>
        <v>1333.56</v>
      </c>
      <c r="O254" s="2911"/>
      <c r="P254" s="2907"/>
      <c r="Q254" s="2907"/>
      <c r="R254" s="2909">
        <v>78456</v>
      </c>
      <c r="S254" s="2909">
        <v>37786.68</v>
      </c>
      <c r="T254" s="2909">
        <v>40669.32</v>
      </c>
    </row>
    <row r="255" spans="1:20" ht="12" customHeight="1" outlineLevel="1" x14ac:dyDescent="0.2">
      <c r="A255" s="4672" t="s">
        <v>2817</v>
      </c>
      <c r="B255" s="4672"/>
      <c r="C255" s="2905">
        <v>267</v>
      </c>
      <c r="D255" s="2906" t="s">
        <v>2809</v>
      </c>
      <c r="E255" s="2907" t="s">
        <v>2818</v>
      </c>
      <c r="F255" s="2908">
        <v>96</v>
      </c>
      <c r="G255" s="2908"/>
      <c r="H255" s="2909">
        <v>33407.300000000003</v>
      </c>
      <c r="I255" s="4673">
        <v>33407.300000000003</v>
      </c>
      <c r="J255" s="4673"/>
      <c r="K255" s="2907"/>
      <c r="L255" s="2907"/>
      <c r="M255" s="2910"/>
      <c r="N255" s="2911"/>
      <c r="O255" s="2911"/>
      <c r="P255" s="2907"/>
      <c r="Q255" s="2907"/>
      <c r="R255" s="2909">
        <v>33407.300000000003</v>
      </c>
      <c r="S255" s="2909">
        <v>33407.300000000003</v>
      </c>
      <c r="T255" s="2907"/>
    </row>
    <row r="256" spans="1:20" ht="12" customHeight="1" outlineLevel="1" x14ac:dyDescent="0.2">
      <c r="A256" s="4672" t="s">
        <v>2819</v>
      </c>
      <c r="B256" s="4672"/>
      <c r="C256" s="2905">
        <v>273</v>
      </c>
      <c r="D256" s="2906" t="s">
        <v>2820</v>
      </c>
      <c r="E256" s="2907" t="s">
        <v>2821</v>
      </c>
      <c r="F256" s="2908">
        <v>96</v>
      </c>
      <c r="G256" s="2908"/>
      <c r="H256" s="2909">
        <v>10865</v>
      </c>
      <c r="I256" s="4673">
        <v>10865</v>
      </c>
      <c r="J256" s="4673"/>
      <c r="K256" s="2907"/>
      <c r="L256" s="2907"/>
      <c r="M256" s="2910"/>
      <c r="N256" s="2911"/>
      <c r="O256" s="2911"/>
      <c r="P256" s="2909">
        <v>10865</v>
      </c>
      <c r="Q256" s="2909">
        <v>10865</v>
      </c>
      <c r="R256" s="2907"/>
      <c r="S256" s="2907"/>
      <c r="T256" s="2907"/>
    </row>
    <row r="257" spans="1:20" ht="12" customHeight="1" outlineLevel="1" x14ac:dyDescent="0.2">
      <c r="A257" s="4672" t="s">
        <v>2822</v>
      </c>
      <c r="B257" s="4672"/>
      <c r="C257" s="2905">
        <v>217</v>
      </c>
      <c r="D257" s="2906" t="s">
        <v>2313</v>
      </c>
      <c r="E257" s="2907" t="s">
        <v>2823</v>
      </c>
      <c r="F257" s="2908">
        <v>273</v>
      </c>
      <c r="G257" s="2908"/>
      <c r="H257" s="2909">
        <v>10407</v>
      </c>
      <c r="I257" s="4673">
        <v>10407</v>
      </c>
      <c r="J257" s="4673"/>
      <c r="K257" s="2907"/>
      <c r="L257" s="2907"/>
      <c r="M257" s="2910"/>
      <c r="N257" s="2911"/>
      <c r="O257" s="2911"/>
      <c r="P257" s="2907"/>
      <c r="Q257" s="2907"/>
      <c r="R257" s="2909">
        <v>10407</v>
      </c>
      <c r="S257" s="2909">
        <v>10407</v>
      </c>
      <c r="T257" s="2907"/>
    </row>
    <row r="258" spans="1:20" ht="12" customHeight="1" outlineLevel="1" x14ac:dyDescent="0.2">
      <c r="A258" s="4672" t="s">
        <v>2824</v>
      </c>
      <c r="B258" s="4672"/>
      <c r="C258" s="2905">
        <v>591</v>
      </c>
      <c r="D258" s="2906" t="s">
        <v>2825</v>
      </c>
      <c r="E258" s="2907" t="s">
        <v>2826</v>
      </c>
      <c r="F258" s="2908">
        <v>84</v>
      </c>
      <c r="G258" s="2908"/>
      <c r="H258" s="2909">
        <v>98332.62</v>
      </c>
      <c r="I258" s="4673">
        <v>98332.62</v>
      </c>
      <c r="J258" s="4673"/>
      <c r="K258" s="2907"/>
      <c r="L258" s="2907"/>
      <c r="M258" s="2910"/>
      <c r="N258" s="2911"/>
      <c r="O258" s="2911"/>
      <c r="P258" s="2907"/>
      <c r="Q258" s="2907"/>
      <c r="R258" s="2909">
        <v>98332.62</v>
      </c>
      <c r="S258" s="2909">
        <v>98332.62</v>
      </c>
      <c r="T258" s="2907"/>
    </row>
    <row r="259" spans="1:20" ht="23.25" customHeight="1" outlineLevel="1" x14ac:dyDescent="0.2">
      <c r="A259" s="4672" t="s">
        <v>2827</v>
      </c>
      <c r="B259" s="4672"/>
      <c r="C259" s="2912">
        <v>2390</v>
      </c>
      <c r="D259" s="2906" t="s">
        <v>2828</v>
      </c>
      <c r="E259" s="2907" t="s">
        <v>2829</v>
      </c>
      <c r="F259" s="2908">
        <v>120</v>
      </c>
      <c r="G259" s="2908"/>
      <c r="H259" s="2909">
        <v>423264.35</v>
      </c>
      <c r="I259" s="4673">
        <v>268067.20000000001</v>
      </c>
      <c r="J259" s="4673"/>
      <c r="K259" s="2909">
        <v>155197.15</v>
      </c>
      <c r="L259" s="2907"/>
      <c r="M259" s="2911">
        <v>42326.400000000001</v>
      </c>
      <c r="N259" s="2911">
        <f>M259</f>
        <v>42326.400000000001</v>
      </c>
      <c r="O259" s="2911"/>
      <c r="P259" s="2907"/>
      <c r="Q259" s="2907"/>
      <c r="R259" s="2909">
        <v>423264.35</v>
      </c>
      <c r="S259" s="2909">
        <v>310393.59999999998</v>
      </c>
      <c r="T259" s="2909">
        <v>112870.75</v>
      </c>
    </row>
    <row r="260" spans="1:20" ht="12" customHeight="1" outlineLevel="1" x14ac:dyDescent="0.2">
      <c r="A260" s="4672" t="s">
        <v>2830</v>
      </c>
      <c r="B260" s="4672"/>
      <c r="C260" s="2912">
        <v>1830</v>
      </c>
      <c r="D260" s="2906" t="s">
        <v>2831</v>
      </c>
      <c r="E260" s="2907" t="s">
        <v>2832</v>
      </c>
      <c r="F260" s="2908">
        <v>84</v>
      </c>
      <c r="G260" s="2908"/>
      <c r="H260" s="2909">
        <v>28750</v>
      </c>
      <c r="I260" s="4673">
        <v>28750</v>
      </c>
      <c r="J260" s="4673"/>
      <c r="K260" s="2907"/>
      <c r="L260" s="2907"/>
      <c r="M260" s="2910"/>
      <c r="N260" s="2911"/>
      <c r="O260" s="2911"/>
      <c r="P260" s="2907"/>
      <c r="Q260" s="2907"/>
      <c r="R260" s="2909">
        <v>28750</v>
      </c>
      <c r="S260" s="2909">
        <v>28750</v>
      </c>
      <c r="T260" s="2907"/>
    </row>
    <row r="261" spans="1:20" ht="12" customHeight="1" outlineLevel="1" x14ac:dyDescent="0.2">
      <c r="A261" s="4672" t="s">
        <v>2833</v>
      </c>
      <c r="B261" s="4672"/>
      <c r="C261" s="2905">
        <v>285</v>
      </c>
      <c r="D261" s="2906" t="s">
        <v>2834</v>
      </c>
      <c r="E261" s="2907" t="s">
        <v>2835</v>
      </c>
      <c r="F261" s="2908">
        <v>96</v>
      </c>
      <c r="G261" s="2908"/>
      <c r="H261" s="2909">
        <v>16500</v>
      </c>
      <c r="I261" s="4673">
        <v>16500</v>
      </c>
      <c r="J261" s="4673"/>
      <c r="K261" s="2907"/>
      <c r="L261" s="2907"/>
      <c r="M261" s="2910"/>
      <c r="N261" s="2911"/>
      <c r="O261" s="2911"/>
      <c r="P261" s="2909">
        <v>16500</v>
      </c>
      <c r="Q261" s="2909">
        <v>16500</v>
      </c>
      <c r="R261" s="2907"/>
      <c r="S261" s="2907"/>
      <c r="T261" s="2907"/>
    </row>
    <row r="262" spans="1:20" ht="23.25" customHeight="1" outlineLevel="1" x14ac:dyDescent="0.2">
      <c r="A262" s="4672" t="s">
        <v>2836</v>
      </c>
      <c r="B262" s="4672"/>
      <c r="C262" s="2905">
        <v>686</v>
      </c>
      <c r="D262" s="2906" t="s">
        <v>2837</v>
      </c>
      <c r="E262" s="2907" t="s">
        <v>2838</v>
      </c>
      <c r="F262" s="2908">
        <v>60</v>
      </c>
      <c r="G262" s="2908"/>
      <c r="H262" s="2909">
        <v>35620</v>
      </c>
      <c r="I262" s="4673">
        <v>35620</v>
      </c>
      <c r="J262" s="4673"/>
      <c r="K262" s="2907"/>
      <c r="L262" s="2907"/>
      <c r="M262" s="2910"/>
      <c r="N262" s="2911"/>
      <c r="O262" s="2911"/>
      <c r="P262" s="2907"/>
      <c r="Q262" s="2907"/>
      <c r="R262" s="2909">
        <v>35620</v>
      </c>
      <c r="S262" s="2909">
        <v>35620</v>
      </c>
      <c r="T262" s="2907"/>
    </row>
    <row r="263" spans="1:20" ht="12" customHeight="1" outlineLevel="1" x14ac:dyDescent="0.2">
      <c r="A263" s="4672" t="s">
        <v>2839</v>
      </c>
      <c r="B263" s="4672"/>
      <c r="C263" s="2905">
        <v>215</v>
      </c>
      <c r="D263" s="2906" t="s">
        <v>2313</v>
      </c>
      <c r="E263" s="2907" t="s">
        <v>2840</v>
      </c>
      <c r="F263" s="2908">
        <v>273</v>
      </c>
      <c r="G263" s="2908"/>
      <c r="H263" s="2909">
        <v>3397</v>
      </c>
      <c r="I263" s="4673">
        <v>3397</v>
      </c>
      <c r="J263" s="4673"/>
      <c r="K263" s="2907"/>
      <c r="L263" s="2907"/>
      <c r="M263" s="2910"/>
      <c r="N263" s="2911"/>
      <c r="O263" s="2911"/>
      <c r="P263" s="2907"/>
      <c r="Q263" s="2907"/>
      <c r="R263" s="2909">
        <v>3397</v>
      </c>
      <c r="S263" s="2909">
        <v>3397</v>
      </c>
      <c r="T263" s="2907"/>
    </row>
    <row r="264" spans="1:20" ht="23.25" customHeight="1" outlineLevel="1" x14ac:dyDescent="0.2">
      <c r="A264" s="4672" t="s">
        <v>2841</v>
      </c>
      <c r="B264" s="4672"/>
      <c r="C264" s="2946">
        <v>1511</v>
      </c>
      <c r="D264" s="2906" t="s">
        <v>2842</v>
      </c>
      <c r="E264" s="2907" t="s">
        <v>2843</v>
      </c>
      <c r="F264" s="2908">
        <v>60</v>
      </c>
      <c r="G264" s="2908"/>
      <c r="H264" s="2909">
        <v>83898.31</v>
      </c>
      <c r="I264" s="4673">
        <v>4194.93</v>
      </c>
      <c r="J264" s="4673"/>
      <c r="K264" s="2909">
        <v>79703.38</v>
      </c>
      <c r="L264" s="2907"/>
      <c r="M264" s="2911">
        <v>16779.72</v>
      </c>
      <c r="N264" s="2911">
        <f>M264</f>
        <v>16779.72</v>
      </c>
      <c r="O264" s="2911"/>
      <c r="P264" s="2907"/>
      <c r="Q264" s="2907"/>
      <c r="R264" s="2909">
        <v>83898.31</v>
      </c>
      <c r="S264" s="2909">
        <v>20974.65</v>
      </c>
      <c r="T264" s="2909">
        <v>62923.66</v>
      </c>
    </row>
    <row r="265" spans="1:20" ht="12" customHeight="1" outlineLevel="1" x14ac:dyDescent="0.2">
      <c r="A265" s="4672" t="s">
        <v>2844</v>
      </c>
      <c r="B265" s="4672"/>
      <c r="C265" s="2905">
        <v>511</v>
      </c>
      <c r="D265" s="2906" t="s">
        <v>2248</v>
      </c>
      <c r="E265" s="2907" t="s">
        <v>2845</v>
      </c>
      <c r="F265" s="2908">
        <v>132</v>
      </c>
      <c r="G265" s="2908"/>
      <c r="H265" s="2909">
        <v>39303</v>
      </c>
      <c r="I265" s="4673">
        <v>39303</v>
      </c>
      <c r="J265" s="4673"/>
      <c r="K265" s="2907"/>
      <c r="L265" s="2907"/>
      <c r="M265" s="2910"/>
      <c r="N265" s="2911"/>
      <c r="O265" s="2911"/>
      <c r="P265" s="2907"/>
      <c r="Q265" s="2907"/>
      <c r="R265" s="2909">
        <v>39303</v>
      </c>
      <c r="S265" s="2909">
        <v>39303</v>
      </c>
      <c r="T265" s="2907"/>
    </row>
    <row r="266" spans="1:20" ht="12" customHeight="1" outlineLevel="1" x14ac:dyDescent="0.2">
      <c r="A266" s="4672" t="s">
        <v>2846</v>
      </c>
      <c r="B266" s="4672"/>
      <c r="C266" s="2905">
        <v>357</v>
      </c>
      <c r="D266" s="2906" t="s">
        <v>2847</v>
      </c>
      <c r="E266" s="2907" t="s">
        <v>2848</v>
      </c>
      <c r="F266" s="2908">
        <v>72</v>
      </c>
      <c r="G266" s="2908"/>
      <c r="H266" s="2909">
        <v>1930</v>
      </c>
      <c r="I266" s="4673">
        <v>1930</v>
      </c>
      <c r="J266" s="4673"/>
      <c r="K266" s="2907"/>
      <c r="L266" s="2907"/>
      <c r="M266" s="2910"/>
      <c r="N266" s="2911"/>
      <c r="O266" s="2911"/>
      <c r="P266" s="2907"/>
      <c r="Q266" s="2907"/>
      <c r="R266" s="2909">
        <v>1930</v>
      </c>
      <c r="S266" s="2909">
        <v>1930</v>
      </c>
      <c r="T266" s="2907"/>
    </row>
    <row r="267" spans="1:20" ht="12" customHeight="1" outlineLevel="1" x14ac:dyDescent="0.2">
      <c r="A267" s="4672" t="s">
        <v>2849</v>
      </c>
      <c r="B267" s="4672"/>
      <c r="C267" s="2912">
        <v>1892</v>
      </c>
      <c r="D267" s="2906" t="s">
        <v>2850</v>
      </c>
      <c r="E267" s="2907" t="s">
        <v>2851</v>
      </c>
      <c r="F267" s="2908">
        <v>120</v>
      </c>
      <c r="G267" s="2908"/>
      <c r="H267" s="2909">
        <v>371081.44</v>
      </c>
      <c r="I267" s="4673">
        <v>371081.44</v>
      </c>
      <c r="J267" s="4673"/>
      <c r="K267" s="2907"/>
      <c r="L267" s="2907"/>
      <c r="M267" s="2910"/>
      <c r="N267" s="2911"/>
      <c r="O267" s="2911"/>
      <c r="P267" s="2907"/>
      <c r="Q267" s="2907"/>
      <c r="R267" s="2909">
        <v>371081.44</v>
      </c>
      <c r="S267" s="2909">
        <v>371081.44</v>
      </c>
      <c r="T267" s="2907"/>
    </row>
    <row r="268" spans="1:20" ht="12" customHeight="1" outlineLevel="1" x14ac:dyDescent="0.2">
      <c r="A268" s="4672" t="s">
        <v>2852</v>
      </c>
      <c r="B268" s="4672"/>
      <c r="C268" s="2905">
        <v>101</v>
      </c>
      <c r="D268" s="2906" t="s">
        <v>2248</v>
      </c>
      <c r="E268" s="2907" t="s">
        <v>2853</v>
      </c>
      <c r="F268" s="2908">
        <v>324</v>
      </c>
      <c r="G268" s="2908"/>
      <c r="H268" s="2909">
        <v>21997</v>
      </c>
      <c r="I268" s="4673">
        <v>21997</v>
      </c>
      <c r="J268" s="4673"/>
      <c r="K268" s="2907"/>
      <c r="L268" s="2907"/>
      <c r="M268" s="2910"/>
      <c r="N268" s="2911"/>
      <c r="O268" s="2911"/>
      <c r="P268" s="2907"/>
      <c r="Q268" s="2907"/>
      <c r="R268" s="2909">
        <v>21997</v>
      </c>
      <c r="S268" s="2909">
        <v>21997</v>
      </c>
      <c r="T268" s="2907"/>
    </row>
    <row r="269" spans="1:20" ht="12" customHeight="1" outlineLevel="1" x14ac:dyDescent="0.2">
      <c r="A269" s="4672" t="s">
        <v>2854</v>
      </c>
      <c r="B269" s="4672"/>
      <c r="C269" s="2905">
        <v>102</v>
      </c>
      <c r="D269" s="2906" t="s">
        <v>2248</v>
      </c>
      <c r="E269" s="2907" t="s">
        <v>2855</v>
      </c>
      <c r="F269" s="2908">
        <v>273</v>
      </c>
      <c r="G269" s="2908"/>
      <c r="H269" s="2909">
        <v>48517</v>
      </c>
      <c r="I269" s="4673">
        <v>48517</v>
      </c>
      <c r="J269" s="4673"/>
      <c r="K269" s="2907"/>
      <c r="L269" s="2907"/>
      <c r="M269" s="2910"/>
      <c r="N269" s="2911"/>
      <c r="O269" s="2911"/>
      <c r="P269" s="2907"/>
      <c r="Q269" s="2907"/>
      <c r="R269" s="2909">
        <v>48517</v>
      </c>
      <c r="S269" s="2909">
        <v>48517</v>
      </c>
      <c r="T269" s="2907"/>
    </row>
    <row r="270" spans="1:20" ht="12" customHeight="1" outlineLevel="1" x14ac:dyDescent="0.2">
      <c r="A270" s="4672" t="s">
        <v>2856</v>
      </c>
      <c r="B270" s="4672"/>
      <c r="C270" s="2905">
        <v>298</v>
      </c>
      <c r="D270" s="2906" t="s">
        <v>2626</v>
      </c>
      <c r="E270" s="2907" t="s">
        <v>2857</v>
      </c>
      <c r="F270" s="2908">
        <v>96</v>
      </c>
      <c r="G270" s="2908"/>
      <c r="H270" s="2952">
        <v>918.73</v>
      </c>
      <c r="I270" s="4676">
        <v>918.73</v>
      </c>
      <c r="J270" s="4676"/>
      <c r="K270" s="2907"/>
      <c r="L270" s="2907"/>
      <c r="M270" s="2910"/>
      <c r="N270" s="2911"/>
      <c r="O270" s="2911"/>
      <c r="P270" s="2907"/>
      <c r="Q270" s="2907"/>
      <c r="R270" s="2952">
        <v>918.73</v>
      </c>
      <c r="S270" s="2952">
        <v>918.73</v>
      </c>
      <c r="T270" s="2907"/>
    </row>
    <row r="271" spans="1:20" ht="12" customHeight="1" outlineLevel="1" x14ac:dyDescent="0.2">
      <c r="A271" s="4672" t="s">
        <v>2858</v>
      </c>
      <c r="B271" s="4672"/>
      <c r="C271" s="2905">
        <v>441</v>
      </c>
      <c r="D271" s="2906" t="s">
        <v>2683</v>
      </c>
      <c r="E271" s="2907" t="s">
        <v>2859</v>
      </c>
      <c r="F271" s="2908">
        <v>273</v>
      </c>
      <c r="G271" s="2908"/>
      <c r="H271" s="2909">
        <v>10265</v>
      </c>
      <c r="I271" s="4673">
        <v>10265</v>
      </c>
      <c r="J271" s="4673"/>
      <c r="K271" s="2907"/>
      <c r="L271" s="2907"/>
      <c r="M271" s="2910"/>
      <c r="N271" s="2911"/>
      <c r="O271" s="2911"/>
      <c r="P271" s="2907"/>
      <c r="Q271" s="2907"/>
      <c r="R271" s="2909">
        <v>10265</v>
      </c>
      <c r="S271" s="2909">
        <v>10265</v>
      </c>
      <c r="T271" s="2907"/>
    </row>
    <row r="272" spans="1:20" ht="12" customHeight="1" outlineLevel="1" x14ac:dyDescent="0.2">
      <c r="A272" s="4672" t="s">
        <v>2860</v>
      </c>
      <c r="B272" s="4672"/>
      <c r="C272" s="2905">
        <v>440</v>
      </c>
      <c r="D272" s="2906" t="s">
        <v>2683</v>
      </c>
      <c r="E272" s="2907" t="s">
        <v>2861</v>
      </c>
      <c r="F272" s="2908">
        <v>273</v>
      </c>
      <c r="G272" s="2908"/>
      <c r="H272" s="2909">
        <v>162469</v>
      </c>
      <c r="I272" s="4673">
        <v>162469</v>
      </c>
      <c r="J272" s="4673"/>
      <c r="K272" s="2907"/>
      <c r="L272" s="2907"/>
      <c r="M272" s="2910"/>
      <c r="N272" s="2911"/>
      <c r="O272" s="2911"/>
      <c r="P272" s="2907"/>
      <c r="Q272" s="2907"/>
      <c r="R272" s="2909">
        <v>162469</v>
      </c>
      <c r="S272" s="2909">
        <v>162469</v>
      </c>
      <c r="T272" s="2907"/>
    </row>
    <row r="273" spans="1:20" ht="12" customHeight="1" outlineLevel="1" x14ac:dyDescent="0.2">
      <c r="A273" s="4672" t="s">
        <v>2862</v>
      </c>
      <c r="B273" s="4672"/>
      <c r="C273" s="2905">
        <v>411</v>
      </c>
      <c r="D273" s="2906" t="s">
        <v>2815</v>
      </c>
      <c r="E273" s="2907" t="s">
        <v>2863</v>
      </c>
      <c r="F273" s="2908">
        <v>706</v>
      </c>
      <c r="G273" s="2908"/>
      <c r="H273" s="2909">
        <v>7451</v>
      </c>
      <c r="I273" s="4673">
        <v>5401</v>
      </c>
      <c r="J273" s="4673"/>
      <c r="K273" s="2909">
        <v>2050</v>
      </c>
      <c r="L273" s="2907"/>
      <c r="M273" s="2950">
        <v>126.6</v>
      </c>
      <c r="N273" s="2911">
        <f>M273</f>
        <v>126.6</v>
      </c>
      <c r="O273" s="2911"/>
      <c r="P273" s="2907"/>
      <c r="Q273" s="2907"/>
      <c r="R273" s="2909">
        <v>7451</v>
      </c>
      <c r="S273" s="2909">
        <v>5527.6</v>
      </c>
      <c r="T273" s="2909">
        <v>1923.4</v>
      </c>
    </row>
    <row r="274" spans="1:20" ht="12" customHeight="1" outlineLevel="1" x14ac:dyDescent="0.2">
      <c r="A274" s="4672" t="s">
        <v>2864</v>
      </c>
      <c r="B274" s="4672"/>
      <c r="C274" s="2905">
        <v>154</v>
      </c>
      <c r="D274" s="2906" t="s">
        <v>2865</v>
      </c>
      <c r="E274" s="2907" t="s">
        <v>2866</v>
      </c>
      <c r="F274" s="2908">
        <v>67</v>
      </c>
      <c r="G274" s="2908"/>
      <c r="H274" s="2909">
        <v>25402</v>
      </c>
      <c r="I274" s="4673">
        <v>25402</v>
      </c>
      <c r="J274" s="4673"/>
      <c r="K274" s="2907"/>
      <c r="L274" s="2907"/>
      <c r="M274" s="2910"/>
      <c r="N274" s="2911"/>
      <c r="O274" s="2911"/>
      <c r="P274" s="2909">
        <v>25402</v>
      </c>
      <c r="Q274" s="2909">
        <v>25402</v>
      </c>
      <c r="R274" s="2907"/>
      <c r="S274" s="2907"/>
      <c r="T274" s="2907"/>
    </row>
    <row r="275" spans="1:20" ht="12" customHeight="1" outlineLevel="1" x14ac:dyDescent="0.2">
      <c r="A275" s="4672" t="s">
        <v>2867</v>
      </c>
      <c r="B275" s="4672"/>
      <c r="C275" s="2905">
        <v>466</v>
      </c>
      <c r="D275" s="2906" t="s">
        <v>2868</v>
      </c>
      <c r="E275" s="2907" t="s">
        <v>2869</v>
      </c>
      <c r="F275" s="2908">
        <v>84</v>
      </c>
      <c r="G275" s="2908"/>
      <c r="H275" s="2909">
        <v>3200</v>
      </c>
      <c r="I275" s="4673">
        <v>3200</v>
      </c>
      <c r="J275" s="4673"/>
      <c r="K275" s="2907"/>
      <c r="L275" s="2907"/>
      <c r="M275" s="2910"/>
      <c r="N275" s="2911"/>
      <c r="O275" s="2911"/>
      <c r="P275" s="2907"/>
      <c r="Q275" s="2907"/>
      <c r="R275" s="2909">
        <v>3200</v>
      </c>
      <c r="S275" s="2909">
        <v>3200</v>
      </c>
      <c r="T275" s="2907"/>
    </row>
    <row r="276" spans="1:20" ht="12" customHeight="1" outlineLevel="1" x14ac:dyDescent="0.2">
      <c r="A276" s="4672" t="s">
        <v>2870</v>
      </c>
      <c r="B276" s="4672"/>
      <c r="C276" s="2905">
        <v>113</v>
      </c>
      <c r="D276" s="2906" t="s">
        <v>2248</v>
      </c>
      <c r="E276" s="2907" t="s">
        <v>2871</v>
      </c>
      <c r="F276" s="2908">
        <v>84</v>
      </c>
      <c r="G276" s="2908"/>
      <c r="H276" s="2909">
        <v>19368</v>
      </c>
      <c r="I276" s="4673">
        <v>19368</v>
      </c>
      <c r="J276" s="4673"/>
      <c r="K276" s="2907"/>
      <c r="L276" s="2907"/>
      <c r="M276" s="2910"/>
      <c r="N276" s="2911"/>
      <c r="O276" s="2911"/>
      <c r="P276" s="2907"/>
      <c r="Q276" s="2907"/>
      <c r="R276" s="2909">
        <v>19368</v>
      </c>
      <c r="S276" s="2909">
        <v>19368</v>
      </c>
      <c r="T276" s="2907"/>
    </row>
    <row r="277" spans="1:20" ht="12" customHeight="1" outlineLevel="1" x14ac:dyDescent="0.2">
      <c r="A277" s="4672" t="s">
        <v>2872</v>
      </c>
      <c r="B277" s="4672"/>
      <c r="C277" s="2912">
        <v>1736</v>
      </c>
      <c r="D277" s="2906" t="s">
        <v>2873</v>
      </c>
      <c r="E277" s="2907" t="s">
        <v>2874</v>
      </c>
      <c r="F277" s="2908">
        <v>84</v>
      </c>
      <c r="G277" s="2908"/>
      <c r="H277" s="2909">
        <v>49516.92</v>
      </c>
      <c r="I277" s="4673">
        <v>49516.92</v>
      </c>
      <c r="J277" s="4673"/>
      <c r="K277" s="2907"/>
      <c r="L277" s="2907"/>
      <c r="M277" s="2910"/>
      <c r="N277" s="2911"/>
      <c r="O277" s="2911"/>
      <c r="P277" s="2907"/>
      <c r="Q277" s="2907"/>
      <c r="R277" s="2909">
        <v>49516.92</v>
      </c>
      <c r="S277" s="2909">
        <v>49516.92</v>
      </c>
      <c r="T277" s="2907"/>
    </row>
    <row r="278" spans="1:20" ht="12" customHeight="1" outlineLevel="1" x14ac:dyDescent="0.2">
      <c r="A278" s="4672" t="s">
        <v>2875</v>
      </c>
      <c r="B278" s="4672"/>
      <c r="C278" s="2905">
        <v>476</v>
      </c>
      <c r="D278" s="2906" t="s">
        <v>2876</v>
      </c>
      <c r="E278" s="2907" t="s">
        <v>2877</v>
      </c>
      <c r="F278" s="2908">
        <v>1</v>
      </c>
      <c r="G278" s="2908"/>
      <c r="H278" s="2909">
        <v>4309</v>
      </c>
      <c r="I278" s="4673">
        <v>4309</v>
      </c>
      <c r="J278" s="4673"/>
      <c r="K278" s="2907"/>
      <c r="L278" s="2907"/>
      <c r="M278" s="2910"/>
      <c r="N278" s="2911"/>
      <c r="O278" s="2911"/>
      <c r="P278" s="2907"/>
      <c r="Q278" s="2907"/>
      <c r="R278" s="2909">
        <v>4309</v>
      </c>
      <c r="S278" s="2909">
        <v>4309</v>
      </c>
      <c r="T278" s="2907"/>
    </row>
    <row r="279" spans="1:20" ht="12" customHeight="1" outlineLevel="1" x14ac:dyDescent="0.2">
      <c r="A279" s="4672" t="s">
        <v>2878</v>
      </c>
      <c r="B279" s="4672"/>
      <c r="C279" s="2912">
        <v>2365</v>
      </c>
      <c r="D279" s="2906" t="s">
        <v>2879</v>
      </c>
      <c r="E279" s="2907" t="s">
        <v>2880</v>
      </c>
      <c r="F279" s="2908">
        <v>36</v>
      </c>
      <c r="G279" s="2908"/>
      <c r="H279" s="2909">
        <v>17016.95</v>
      </c>
      <c r="I279" s="4673">
        <v>17016.95</v>
      </c>
      <c r="J279" s="4673"/>
      <c r="K279" s="2907"/>
      <c r="L279" s="2907"/>
      <c r="M279" s="2910"/>
      <c r="N279" s="2911"/>
      <c r="O279" s="2911"/>
      <c r="P279" s="2907"/>
      <c r="Q279" s="2907"/>
      <c r="R279" s="2909">
        <v>17016.95</v>
      </c>
      <c r="S279" s="2909">
        <v>17016.95</v>
      </c>
      <c r="T279" s="2907"/>
    </row>
    <row r="280" spans="1:20" ht="12" customHeight="1" outlineLevel="1" x14ac:dyDescent="0.2">
      <c r="A280" s="4672" t="s">
        <v>2881</v>
      </c>
      <c r="B280" s="4672"/>
      <c r="C280" s="2912">
        <v>1756</v>
      </c>
      <c r="D280" s="2906" t="s">
        <v>2485</v>
      </c>
      <c r="E280" s="2907" t="s">
        <v>2882</v>
      </c>
      <c r="F280" s="2908">
        <v>36</v>
      </c>
      <c r="G280" s="2908"/>
      <c r="H280" s="2909">
        <v>30372.04</v>
      </c>
      <c r="I280" s="4673">
        <v>30372.04</v>
      </c>
      <c r="J280" s="4673"/>
      <c r="K280" s="2907"/>
      <c r="L280" s="2907"/>
      <c r="M280" s="2910"/>
      <c r="N280" s="2911"/>
      <c r="O280" s="2911"/>
      <c r="P280" s="2907"/>
      <c r="Q280" s="2907"/>
      <c r="R280" s="2909">
        <v>30372.04</v>
      </c>
      <c r="S280" s="2909">
        <v>30372.04</v>
      </c>
      <c r="T280" s="2907"/>
    </row>
    <row r="281" spans="1:20" ht="12" customHeight="1" outlineLevel="1" x14ac:dyDescent="0.2">
      <c r="A281" s="4672" t="s">
        <v>2883</v>
      </c>
      <c r="B281" s="4672"/>
      <c r="C281" s="2912">
        <v>1957</v>
      </c>
      <c r="D281" s="2906" t="s">
        <v>2884</v>
      </c>
      <c r="E281" s="2907" t="s">
        <v>2885</v>
      </c>
      <c r="F281" s="2908">
        <v>60</v>
      </c>
      <c r="G281" s="2908"/>
      <c r="H281" s="2909">
        <v>20556.78</v>
      </c>
      <c r="I281" s="4673">
        <v>20556.78</v>
      </c>
      <c r="J281" s="4673"/>
      <c r="K281" s="2907"/>
      <c r="L281" s="2907"/>
      <c r="M281" s="2910"/>
      <c r="N281" s="2911"/>
      <c r="O281" s="2911"/>
      <c r="P281" s="2907"/>
      <c r="Q281" s="2907"/>
      <c r="R281" s="2909">
        <v>20556.78</v>
      </c>
      <c r="S281" s="2909">
        <v>20556.78</v>
      </c>
      <c r="T281" s="2907"/>
    </row>
    <row r="282" spans="1:20" ht="12" customHeight="1" outlineLevel="1" x14ac:dyDescent="0.2">
      <c r="A282" s="4672" t="s">
        <v>2883</v>
      </c>
      <c r="B282" s="4672"/>
      <c r="C282" s="2912">
        <v>1958</v>
      </c>
      <c r="D282" s="2906" t="s">
        <v>2884</v>
      </c>
      <c r="E282" s="2907" t="s">
        <v>2885</v>
      </c>
      <c r="F282" s="2908">
        <v>60</v>
      </c>
      <c r="G282" s="2908"/>
      <c r="H282" s="2909">
        <v>20556.78</v>
      </c>
      <c r="I282" s="4673">
        <v>20556.78</v>
      </c>
      <c r="J282" s="4673"/>
      <c r="K282" s="2907"/>
      <c r="L282" s="2907"/>
      <c r="M282" s="2910"/>
      <c r="N282" s="2911"/>
      <c r="O282" s="2911"/>
      <c r="P282" s="2907"/>
      <c r="Q282" s="2907"/>
      <c r="R282" s="2909">
        <v>20556.78</v>
      </c>
      <c r="S282" s="2909">
        <v>20556.78</v>
      </c>
      <c r="T282" s="2907"/>
    </row>
    <row r="283" spans="1:20" ht="12" customHeight="1" outlineLevel="1" x14ac:dyDescent="0.2">
      <c r="A283" s="4672" t="s">
        <v>2883</v>
      </c>
      <c r="B283" s="4672"/>
      <c r="C283" s="2912">
        <v>1960</v>
      </c>
      <c r="D283" s="2906" t="s">
        <v>2884</v>
      </c>
      <c r="E283" s="2907" t="s">
        <v>2886</v>
      </c>
      <c r="F283" s="2908">
        <v>60</v>
      </c>
      <c r="G283" s="2908"/>
      <c r="H283" s="2909">
        <v>22161.02</v>
      </c>
      <c r="I283" s="4673">
        <v>22161.02</v>
      </c>
      <c r="J283" s="4673"/>
      <c r="K283" s="2907"/>
      <c r="L283" s="2907"/>
      <c r="M283" s="2910"/>
      <c r="N283" s="2911"/>
      <c r="O283" s="2911"/>
      <c r="P283" s="2907"/>
      <c r="Q283" s="2907"/>
      <c r="R283" s="2909">
        <v>22161.02</v>
      </c>
      <c r="S283" s="2909">
        <v>22161.02</v>
      </c>
      <c r="T283" s="2907"/>
    </row>
    <row r="284" spans="1:20" ht="12" customHeight="1" outlineLevel="1" x14ac:dyDescent="0.2">
      <c r="A284" s="4672" t="s">
        <v>2887</v>
      </c>
      <c r="B284" s="4672"/>
      <c r="C284" s="2905">
        <v>278</v>
      </c>
      <c r="D284" s="2906" t="s">
        <v>2888</v>
      </c>
      <c r="E284" s="2907" t="s">
        <v>2889</v>
      </c>
      <c r="F284" s="2908">
        <v>96</v>
      </c>
      <c r="G284" s="2908"/>
      <c r="H284" s="2909">
        <v>13069</v>
      </c>
      <c r="I284" s="4673">
        <v>13069</v>
      </c>
      <c r="J284" s="4673"/>
      <c r="K284" s="2907"/>
      <c r="L284" s="2907"/>
      <c r="M284" s="2910"/>
      <c r="N284" s="2911"/>
      <c r="O284" s="2911"/>
      <c r="P284" s="2909">
        <v>13069</v>
      </c>
      <c r="Q284" s="2909">
        <v>13069</v>
      </c>
      <c r="R284" s="2907"/>
      <c r="S284" s="2907"/>
      <c r="T284" s="2907"/>
    </row>
    <row r="285" spans="1:20" ht="12" customHeight="1" outlineLevel="1" x14ac:dyDescent="0.2">
      <c r="A285" s="4672" t="s">
        <v>2890</v>
      </c>
      <c r="B285" s="4672"/>
      <c r="C285" s="2905">
        <v>274</v>
      </c>
      <c r="D285" s="2906" t="s">
        <v>2888</v>
      </c>
      <c r="E285" s="2907" t="s">
        <v>2891</v>
      </c>
      <c r="F285" s="2908">
        <v>96</v>
      </c>
      <c r="G285" s="2908"/>
      <c r="H285" s="2909">
        <v>9473</v>
      </c>
      <c r="I285" s="4673">
        <v>9473</v>
      </c>
      <c r="J285" s="4673"/>
      <c r="K285" s="2907"/>
      <c r="L285" s="2907"/>
      <c r="M285" s="2910"/>
      <c r="N285" s="2911"/>
      <c r="O285" s="2911"/>
      <c r="P285" s="2909">
        <v>9473</v>
      </c>
      <c r="Q285" s="2909">
        <v>9473</v>
      </c>
      <c r="R285" s="2907"/>
      <c r="S285" s="2907"/>
      <c r="T285" s="2907"/>
    </row>
    <row r="286" spans="1:20" ht="12" customHeight="1" outlineLevel="1" x14ac:dyDescent="0.2">
      <c r="A286" s="4672" t="s">
        <v>2892</v>
      </c>
      <c r="B286" s="4672"/>
      <c r="C286" s="2905">
        <v>265</v>
      </c>
      <c r="D286" s="2906" t="s">
        <v>2893</v>
      </c>
      <c r="E286" s="2907" t="s">
        <v>2894</v>
      </c>
      <c r="F286" s="2908">
        <v>96</v>
      </c>
      <c r="G286" s="2908"/>
      <c r="H286" s="2909">
        <v>14819.83</v>
      </c>
      <c r="I286" s="4673">
        <v>14819.83</v>
      </c>
      <c r="J286" s="4673"/>
      <c r="K286" s="2907"/>
      <c r="L286" s="2907"/>
      <c r="M286" s="2910"/>
      <c r="N286" s="2911"/>
      <c r="O286" s="2911"/>
      <c r="P286" s="2909">
        <v>14819.83</v>
      </c>
      <c r="Q286" s="2909">
        <v>14819.83</v>
      </c>
      <c r="R286" s="2907"/>
      <c r="S286" s="2907"/>
      <c r="T286" s="2907"/>
    </row>
    <row r="287" spans="1:20" ht="12" customHeight="1" outlineLevel="1" x14ac:dyDescent="0.2">
      <c r="A287" s="4672" t="s">
        <v>2895</v>
      </c>
      <c r="B287" s="4672"/>
      <c r="C287" s="2905">
        <v>272</v>
      </c>
      <c r="D287" s="2906" t="s">
        <v>2896</v>
      </c>
      <c r="E287" s="2907" t="s">
        <v>2897</v>
      </c>
      <c r="F287" s="2908">
        <v>96</v>
      </c>
      <c r="G287" s="2908"/>
      <c r="H287" s="2909">
        <v>33333.33</v>
      </c>
      <c r="I287" s="4673">
        <v>33333.33</v>
      </c>
      <c r="J287" s="4673"/>
      <c r="K287" s="2907"/>
      <c r="L287" s="2907"/>
      <c r="M287" s="2910"/>
      <c r="N287" s="2911"/>
      <c r="O287" s="2911"/>
      <c r="P287" s="2909">
        <v>33333.33</v>
      </c>
      <c r="Q287" s="2909">
        <v>33333.33</v>
      </c>
      <c r="R287" s="2907"/>
      <c r="S287" s="2907"/>
      <c r="T287" s="2907"/>
    </row>
    <row r="288" spans="1:20" ht="12" customHeight="1" outlineLevel="1" x14ac:dyDescent="0.2">
      <c r="A288" s="4672" t="s">
        <v>2898</v>
      </c>
      <c r="B288" s="4672"/>
      <c r="C288" s="2905">
        <v>270</v>
      </c>
      <c r="D288" s="2906" t="s">
        <v>2626</v>
      </c>
      <c r="E288" s="2907" t="s">
        <v>2716</v>
      </c>
      <c r="F288" s="2908">
        <v>96</v>
      </c>
      <c r="G288" s="2908"/>
      <c r="H288" s="2909">
        <v>15000</v>
      </c>
      <c r="I288" s="4673">
        <v>15000</v>
      </c>
      <c r="J288" s="4673"/>
      <c r="K288" s="2907"/>
      <c r="L288" s="2907"/>
      <c r="M288" s="2910"/>
      <c r="N288" s="2911"/>
      <c r="O288" s="2911"/>
      <c r="P288" s="2907"/>
      <c r="Q288" s="2907"/>
      <c r="R288" s="2909">
        <v>15000</v>
      </c>
      <c r="S288" s="2909">
        <v>15000</v>
      </c>
      <c r="T288" s="2907"/>
    </row>
    <row r="289" spans="1:20" ht="12" customHeight="1" outlineLevel="1" x14ac:dyDescent="0.2">
      <c r="A289" s="4672" t="s">
        <v>2899</v>
      </c>
      <c r="B289" s="4672"/>
      <c r="C289" s="2905">
        <v>268</v>
      </c>
      <c r="D289" s="2906" t="s">
        <v>2626</v>
      </c>
      <c r="E289" s="2907" t="s">
        <v>2900</v>
      </c>
      <c r="F289" s="2908">
        <v>96</v>
      </c>
      <c r="G289" s="2908"/>
      <c r="H289" s="2909">
        <v>21230</v>
      </c>
      <c r="I289" s="4673">
        <v>21230</v>
      </c>
      <c r="J289" s="4673"/>
      <c r="K289" s="2907"/>
      <c r="L289" s="2907"/>
      <c r="M289" s="2910"/>
      <c r="N289" s="2911"/>
      <c r="O289" s="2911"/>
      <c r="P289" s="2907"/>
      <c r="Q289" s="2907"/>
      <c r="R289" s="2909">
        <v>21230</v>
      </c>
      <c r="S289" s="2909">
        <v>21230</v>
      </c>
      <c r="T289" s="2907"/>
    </row>
    <row r="290" spans="1:20" ht="12" customHeight="1" outlineLevel="1" x14ac:dyDescent="0.2">
      <c r="A290" s="4672" t="s">
        <v>2901</v>
      </c>
      <c r="B290" s="4672"/>
      <c r="C290" s="2905">
        <v>610</v>
      </c>
      <c r="D290" s="2906" t="s">
        <v>2902</v>
      </c>
      <c r="E290" s="2907" t="s">
        <v>2903</v>
      </c>
      <c r="F290" s="2908">
        <v>60</v>
      </c>
      <c r="G290" s="2908"/>
      <c r="H290" s="2909">
        <v>19808.330000000002</v>
      </c>
      <c r="I290" s="4673">
        <v>19808.330000000002</v>
      </c>
      <c r="J290" s="4673"/>
      <c r="K290" s="2907"/>
      <c r="L290" s="2907"/>
      <c r="M290" s="2910"/>
      <c r="N290" s="2911"/>
      <c r="O290" s="2911"/>
      <c r="P290" s="2907"/>
      <c r="Q290" s="2907"/>
      <c r="R290" s="2909">
        <v>19808.330000000002</v>
      </c>
      <c r="S290" s="2909">
        <v>19808.330000000002</v>
      </c>
      <c r="T290" s="2907"/>
    </row>
    <row r="291" spans="1:20" ht="12" customHeight="1" outlineLevel="1" x14ac:dyDescent="0.2">
      <c r="A291" s="4672" t="s">
        <v>2904</v>
      </c>
      <c r="B291" s="4672"/>
      <c r="C291" s="2905">
        <v>609</v>
      </c>
      <c r="D291" s="2906" t="s">
        <v>2902</v>
      </c>
      <c r="E291" s="2907" t="s">
        <v>2905</v>
      </c>
      <c r="F291" s="2908">
        <v>60</v>
      </c>
      <c r="G291" s="2908"/>
      <c r="H291" s="2909">
        <v>30238.82</v>
      </c>
      <c r="I291" s="4673">
        <v>30238.82</v>
      </c>
      <c r="J291" s="4673"/>
      <c r="K291" s="2907"/>
      <c r="L291" s="2907"/>
      <c r="M291" s="2910"/>
      <c r="N291" s="2911"/>
      <c r="O291" s="2911"/>
      <c r="P291" s="2907"/>
      <c r="Q291" s="2907"/>
      <c r="R291" s="2909">
        <v>30238.82</v>
      </c>
      <c r="S291" s="2909">
        <v>30238.82</v>
      </c>
      <c r="T291" s="2907"/>
    </row>
    <row r="292" spans="1:20" ht="12" customHeight="1" outlineLevel="1" x14ac:dyDescent="0.2">
      <c r="A292" s="4672" t="s">
        <v>2906</v>
      </c>
      <c r="B292" s="4672"/>
      <c r="C292" s="2905">
        <v>599</v>
      </c>
      <c r="D292" s="2906" t="s">
        <v>2902</v>
      </c>
      <c r="E292" s="2907" t="s">
        <v>2907</v>
      </c>
      <c r="F292" s="2908">
        <v>60</v>
      </c>
      <c r="G292" s="2908"/>
      <c r="H292" s="2909">
        <v>38892</v>
      </c>
      <c r="I292" s="4673">
        <v>38892</v>
      </c>
      <c r="J292" s="4673"/>
      <c r="K292" s="2907"/>
      <c r="L292" s="2907"/>
      <c r="M292" s="2910"/>
      <c r="N292" s="2911"/>
      <c r="O292" s="2911"/>
      <c r="P292" s="2907"/>
      <c r="Q292" s="2907"/>
      <c r="R292" s="2909">
        <v>38892</v>
      </c>
      <c r="S292" s="2909">
        <v>38892</v>
      </c>
      <c r="T292" s="2907"/>
    </row>
    <row r="293" spans="1:20" ht="12" customHeight="1" outlineLevel="1" x14ac:dyDescent="0.2">
      <c r="A293" s="4672" t="s">
        <v>2908</v>
      </c>
      <c r="B293" s="4672"/>
      <c r="C293" s="2905">
        <v>680</v>
      </c>
      <c r="D293" s="2906" t="s">
        <v>2909</v>
      </c>
      <c r="E293" s="2907" t="s">
        <v>2910</v>
      </c>
      <c r="F293" s="2908">
        <v>60</v>
      </c>
      <c r="G293" s="2908"/>
      <c r="H293" s="2909">
        <v>22310</v>
      </c>
      <c r="I293" s="4673">
        <v>22310</v>
      </c>
      <c r="J293" s="4673"/>
      <c r="K293" s="2907"/>
      <c r="L293" s="2907"/>
      <c r="M293" s="2910"/>
      <c r="N293" s="2911"/>
      <c r="O293" s="2911"/>
      <c r="P293" s="2907"/>
      <c r="Q293" s="2907"/>
      <c r="R293" s="2909">
        <v>22310</v>
      </c>
      <c r="S293" s="2909">
        <v>22310</v>
      </c>
      <c r="T293" s="2907"/>
    </row>
    <row r="294" spans="1:20" ht="12" customHeight="1" outlineLevel="1" x14ac:dyDescent="0.2">
      <c r="A294" s="4672" t="s">
        <v>2911</v>
      </c>
      <c r="B294" s="4672"/>
      <c r="C294" s="2912">
        <v>1849</v>
      </c>
      <c r="D294" s="2906" t="s">
        <v>2912</v>
      </c>
      <c r="E294" s="2907" t="s">
        <v>2913</v>
      </c>
      <c r="F294" s="2908">
        <v>60</v>
      </c>
      <c r="G294" s="2908"/>
      <c r="H294" s="2909">
        <v>27698</v>
      </c>
      <c r="I294" s="4673">
        <v>27698</v>
      </c>
      <c r="J294" s="4673"/>
      <c r="K294" s="2907"/>
      <c r="L294" s="2907"/>
      <c r="M294" s="2910"/>
      <c r="N294" s="2911"/>
      <c r="O294" s="2911"/>
      <c r="P294" s="2907"/>
      <c r="Q294" s="2907"/>
      <c r="R294" s="2909">
        <v>27698</v>
      </c>
      <c r="S294" s="2909">
        <v>27698</v>
      </c>
      <c r="T294" s="2907"/>
    </row>
    <row r="295" spans="1:20" ht="12" customHeight="1" outlineLevel="1" x14ac:dyDescent="0.2">
      <c r="A295" s="4672" t="s">
        <v>2914</v>
      </c>
      <c r="B295" s="4672"/>
      <c r="C295" s="2905">
        <v>728</v>
      </c>
      <c r="D295" s="2906" t="s">
        <v>2915</v>
      </c>
      <c r="E295" s="2907" t="s">
        <v>2916</v>
      </c>
      <c r="F295" s="2908">
        <v>60</v>
      </c>
      <c r="G295" s="2908"/>
      <c r="H295" s="2909">
        <v>35731</v>
      </c>
      <c r="I295" s="4673">
        <v>35731</v>
      </c>
      <c r="J295" s="4673"/>
      <c r="K295" s="2907"/>
      <c r="L295" s="2907"/>
      <c r="M295" s="2910"/>
      <c r="N295" s="2911"/>
      <c r="O295" s="2911"/>
      <c r="P295" s="2907"/>
      <c r="Q295" s="2907"/>
      <c r="R295" s="2909">
        <v>35731</v>
      </c>
      <c r="S295" s="2909">
        <v>35731</v>
      </c>
      <c r="T295" s="2907"/>
    </row>
    <row r="296" spans="1:20" ht="12" customHeight="1" outlineLevel="1" x14ac:dyDescent="0.2">
      <c r="A296" s="4672" t="s">
        <v>2917</v>
      </c>
      <c r="B296" s="4672"/>
      <c r="C296" s="2905">
        <v>692</v>
      </c>
      <c r="D296" s="2906" t="s">
        <v>2837</v>
      </c>
      <c r="E296" s="2907" t="s">
        <v>2918</v>
      </c>
      <c r="F296" s="2908">
        <v>60</v>
      </c>
      <c r="G296" s="2908"/>
      <c r="H296" s="2909">
        <v>17990</v>
      </c>
      <c r="I296" s="4673">
        <v>17990</v>
      </c>
      <c r="J296" s="4673"/>
      <c r="K296" s="2907"/>
      <c r="L296" s="2907"/>
      <c r="M296" s="2910"/>
      <c r="N296" s="2911"/>
      <c r="O296" s="2911"/>
      <c r="P296" s="2907"/>
      <c r="Q296" s="2907"/>
      <c r="R296" s="2909">
        <v>17990</v>
      </c>
      <c r="S296" s="2909">
        <v>17990</v>
      </c>
      <c r="T296" s="2907"/>
    </row>
    <row r="297" spans="1:20" ht="12" customHeight="1" outlineLevel="1" x14ac:dyDescent="0.2">
      <c r="A297" s="4672" t="s">
        <v>2919</v>
      </c>
      <c r="B297" s="4672"/>
      <c r="C297" s="2912">
        <v>2376</v>
      </c>
      <c r="D297" s="2906" t="s">
        <v>2920</v>
      </c>
      <c r="E297" s="2907" t="s">
        <v>2921</v>
      </c>
      <c r="F297" s="2908">
        <v>36</v>
      </c>
      <c r="G297" s="2908"/>
      <c r="H297" s="2909">
        <v>29000.84</v>
      </c>
      <c r="I297" s="4673">
        <v>29000.84</v>
      </c>
      <c r="J297" s="4673"/>
      <c r="K297" s="2907"/>
      <c r="L297" s="2907"/>
      <c r="M297" s="2910"/>
      <c r="N297" s="2911"/>
      <c r="O297" s="2911"/>
      <c r="P297" s="2907"/>
      <c r="Q297" s="2907"/>
      <c r="R297" s="2909">
        <v>29000.84</v>
      </c>
      <c r="S297" s="2909">
        <v>29000.84</v>
      </c>
      <c r="T297" s="2907"/>
    </row>
    <row r="298" spans="1:20" ht="23.25" customHeight="1" outlineLevel="1" x14ac:dyDescent="0.2">
      <c r="A298" s="4672" t="s">
        <v>2922</v>
      </c>
      <c r="B298" s="4672"/>
      <c r="C298" s="2905">
        <v>729</v>
      </c>
      <c r="D298" s="2906" t="s">
        <v>2923</v>
      </c>
      <c r="E298" s="2907" t="s">
        <v>2924</v>
      </c>
      <c r="F298" s="2908">
        <v>60</v>
      </c>
      <c r="G298" s="2908"/>
      <c r="H298" s="2909">
        <v>46123</v>
      </c>
      <c r="I298" s="4673">
        <v>46123</v>
      </c>
      <c r="J298" s="4673"/>
      <c r="K298" s="2907"/>
      <c r="L298" s="2907"/>
      <c r="M298" s="2910"/>
      <c r="N298" s="2911"/>
      <c r="O298" s="2911"/>
      <c r="P298" s="2907"/>
      <c r="Q298" s="2907"/>
      <c r="R298" s="2909">
        <v>46123</v>
      </c>
      <c r="S298" s="2909">
        <v>46123</v>
      </c>
      <c r="T298" s="2907"/>
    </row>
    <row r="299" spans="1:20" ht="12" customHeight="1" outlineLevel="1" x14ac:dyDescent="0.2">
      <c r="A299" s="4672" t="s">
        <v>2925</v>
      </c>
      <c r="B299" s="4672"/>
      <c r="C299" s="2912">
        <v>1748</v>
      </c>
      <c r="D299" s="2906" t="s">
        <v>2400</v>
      </c>
      <c r="E299" s="2907" t="s">
        <v>2926</v>
      </c>
      <c r="F299" s="2908">
        <v>36</v>
      </c>
      <c r="G299" s="2908"/>
      <c r="H299" s="2909">
        <v>32722</v>
      </c>
      <c r="I299" s="4673">
        <v>32722</v>
      </c>
      <c r="J299" s="4673"/>
      <c r="K299" s="2907"/>
      <c r="L299" s="2907"/>
      <c r="M299" s="2910"/>
      <c r="N299" s="2911"/>
      <c r="O299" s="2911"/>
      <c r="P299" s="2907"/>
      <c r="Q299" s="2907"/>
      <c r="R299" s="2909">
        <v>32722</v>
      </c>
      <c r="S299" s="2909">
        <v>32722</v>
      </c>
      <c r="T299" s="2907"/>
    </row>
    <row r="300" spans="1:20" ht="12" customHeight="1" outlineLevel="1" x14ac:dyDescent="0.2">
      <c r="A300" s="4672" t="s">
        <v>2925</v>
      </c>
      <c r="B300" s="4672"/>
      <c r="C300" s="2912">
        <v>1749</v>
      </c>
      <c r="D300" s="2906" t="s">
        <v>2400</v>
      </c>
      <c r="E300" s="2907" t="s">
        <v>2927</v>
      </c>
      <c r="F300" s="2908">
        <v>36</v>
      </c>
      <c r="G300" s="2908"/>
      <c r="H300" s="2909">
        <v>32043</v>
      </c>
      <c r="I300" s="4673">
        <v>32043</v>
      </c>
      <c r="J300" s="4673"/>
      <c r="K300" s="2907"/>
      <c r="L300" s="2907"/>
      <c r="M300" s="2910"/>
      <c r="N300" s="2911"/>
      <c r="O300" s="2911"/>
      <c r="P300" s="2907"/>
      <c r="Q300" s="2907"/>
      <c r="R300" s="2909">
        <v>32043</v>
      </c>
      <c r="S300" s="2909">
        <v>32043</v>
      </c>
      <c r="T300" s="2907"/>
    </row>
    <row r="301" spans="1:20" ht="12" customHeight="1" outlineLevel="1" x14ac:dyDescent="0.2">
      <c r="A301" s="4672" t="s">
        <v>2928</v>
      </c>
      <c r="B301" s="4672"/>
      <c r="C301" s="2912">
        <v>1935</v>
      </c>
      <c r="D301" s="2906" t="s">
        <v>2929</v>
      </c>
      <c r="E301" s="2907" t="s">
        <v>2930</v>
      </c>
      <c r="F301" s="2908">
        <v>60</v>
      </c>
      <c r="G301" s="2908"/>
      <c r="H301" s="2909">
        <v>18779.66</v>
      </c>
      <c r="I301" s="4673">
        <v>18779.66</v>
      </c>
      <c r="J301" s="4673"/>
      <c r="K301" s="2907"/>
      <c r="L301" s="2907"/>
      <c r="M301" s="2910"/>
      <c r="N301" s="2911"/>
      <c r="O301" s="2911"/>
      <c r="P301" s="2907"/>
      <c r="Q301" s="2907"/>
      <c r="R301" s="2909">
        <v>18779.66</v>
      </c>
      <c r="S301" s="2909">
        <v>18779.66</v>
      </c>
      <c r="T301" s="2907"/>
    </row>
    <row r="302" spans="1:20" ht="12" customHeight="1" outlineLevel="1" x14ac:dyDescent="0.2">
      <c r="A302" s="4672" t="s">
        <v>2928</v>
      </c>
      <c r="B302" s="4672"/>
      <c r="C302" s="2912">
        <v>2016</v>
      </c>
      <c r="D302" s="2906" t="s">
        <v>2929</v>
      </c>
      <c r="E302" s="2907" t="s">
        <v>2930</v>
      </c>
      <c r="F302" s="2908">
        <v>60</v>
      </c>
      <c r="G302" s="2908"/>
      <c r="H302" s="2909">
        <v>18779.66</v>
      </c>
      <c r="I302" s="4673">
        <v>18779.66</v>
      </c>
      <c r="J302" s="4673"/>
      <c r="K302" s="2907"/>
      <c r="L302" s="2907"/>
      <c r="M302" s="2910"/>
      <c r="N302" s="2911"/>
      <c r="O302" s="2911"/>
      <c r="P302" s="2907"/>
      <c r="Q302" s="2907"/>
      <c r="R302" s="2909">
        <v>18779.66</v>
      </c>
      <c r="S302" s="2909">
        <v>18779.66</v>
      </c>
      <c r="T302" s="2907"/>
    </row>
    <row r="303" spans="1:20" ht="12" customHeight="1" outlineLevel="1" x14ac:dyDescent="0.2">
      <c r="A303" s="4672" t="s">
        <v>2931</v>
      </c>
      <c r="B303" s="4672"/>
      <c r="C303" s="2912">
        <v>2306</v>
      </c>
      <c r="D303" s="2906" t="s">
        <v>2932</v>
      </c>
      <c r="E303" s="2907" t="s">
        <v>2933</v>
      </c>
      <c r="F303" s="2908">
        <v>36</v>
      </c>
      <c r="G303" s="2908"/>
      <c r="H303" s="2909">
        <v>25008.47</v>
      </c>
      <c r="I303" s="4673">
        <v>25008.47</v>
      </c>
      <c r="J303" s="4673"/>
      <c r="K303" s="2907"/>
      <c r="L303" s="2907"/>
      <c r="M303" s="2910"/>
      <c r="N303" s="2911"/>
      <c r="O303" s="2911"/>
      <c r="P303" s="2907"/>
      <c r="Q303" s="2907"/>
      <c r="R303" s="2909">
        <v>25008.47</v>
      </c>
      <c r="S303" s="2909">
        <v>25008.47</v>
      </c>
      <c r="T303" s="2907"/>
    </row>
    <row r="304" spans="1:20" ht="12" customHeight="1" outlineLevel="1" x14ac:dyDescent="0.2">
      <c r="A304" s="4672" t="s">
        <v>2934</v>
      </c>
      <c r="B304" s="4672"/>
      <c r="C304" s="2912">
        <v>1879</v>
      </c>
      <c r="D304" s="2906" t="s">
        <v>2512</v>
      </c>
      <c r="E304" s="2907" t="s">
        <v>2935</v>
      </c>
      <c r="F304" s="2908">
        <v>60</v>
      </c>
      <c r="G304" s="2908"/>
      <c r="H304" s="2909">
        <v>30444.94</v>
      </c>
      <c r="I304" s="4673">
        <v>30444.94</v>
      </c>
      <c r="J304" s="4673"/>
      <c r="K304" s="2907"/>
      <c r="L304" s="2907"/>
      <c r="M304" s="2910"/>
      <c r="N304" s="2911"/>
      <c r="O304" s="2911"/>
      <c r="P304" s="2907"/>
      <c r="Q304" s="2907"/>
      <c r="R304" s="2909">
        <v>30444.94</v>
      </c>
      <c r="S304" s="2909">
        <v>30444.94</v>
      </c>
      <c r="T304" s="2907"/>
    </row>
    <row r="305" spans="1:20" ht="12" customHeight="1" outlineLevel="1" x14ac:dyDescent="0.2">
      <c r="A305" s="4672" t="s">
        <v>2936</v>
      </c>
      <c r="B305" s="4672"/>
      <c r="C305" s="2905">
        <v>1703</v>
      </c>
      <c r="D305" s="2906" t="s">
        <v>2937</v>
      </c>
      <c r="E305" s="2907" t="s">
        <v>2938</v>
      </c>
      <c r="F305" s="2908">
        <v>60</v>
      </c>
      <c r="G305" s="2908"/>
      <c r="H305" s="2909">
        <v>21093.22</v>
      </c>
      <c r="I305" s="4673">
        <v>21093.22</v>
      </c>
      <c r="J305" s="4673"/>
      <c r="K305" s="2907"/>
      <c r="L305" s="2907"/>
      <c r="M305" s="2910"/>
      <c r="N305" s="2911"/>
      <c r="O305" s="2911"/>
      <c r="P305" s="2907"/>
      <c r="Q305" s="2907"/>
      <c r="R305" s="2909">
        <v>21093.22</v>
      </c>
      <c r="S305" s="2909">
        <v>21093.22</v>
      </c>
      <c r="T305" s="2907"/>
    </row>
    <row r="306" spans="1:20" ht="12" customHeight="1" outlineLevel="1" x14ac:dyDescent="0.2">
      <c r="A306" s="4672" t="s">
        <v>2939</v>
      </c>
      <c r="B306" s="4672"/>
      <c r="C306" s="2912">
        <v>1856</v>
      </c>
      <c r="D306" s="2906" t="s">
        <v>2940</v>
      </c>
      <c r="E306" s="2907" t="s">
        <v>2941</v>
      </c>
      <c r="F306" s="2908">
        <v>120</v>
      </c>
      <c r="G306" s="2908"/>
      <c r="H306" s="2909">
        <v>13452.14</v>
      </c>
      <c r="I306" s="4673">
        <v>13452.14</v>
      </c>
      <c r="J306" s="4673"/>
      <c r="K306" s="2907"/>
      <c r="L306" s="2907"/>
      <c r="M306" s="2910"/>
      <c r="N306" s="2911"/>
      <c r="O306" s="2911"/>
      <c r="P306" s="2907"/>
      <c r="Q306" s="2907"/>
      <c r="R306" s="2909">
        <v>13452.14</v>
      </c>
      <c r="S306" s="2909">
        <v>13452.14</v>
      </c>
      <c r="T306" s="2907"/>
    </row>
    <row r="307" spans="1:20" ht="12" customHeight="1" outlineLevel="1" x14ac:dyDescent="0.2">
      <c r="A307" s="4672" t="s">
        <v>2942</v>
      </c>
      <c r="B307" s="4672"/>
      <c r="C307" s="2905">
        <v>578</v>
      </c>
      <c r="D307" s="2906" t="s">
        <v>2943</v>
      </c>
      <c r="E307" s="2907" t="s">
        <v>2944</v>
      </c>
      <c r="F307" s="2908">
        <v>60</v>
      </c>
      <c r="G307" s="2908"/>
      <c r="H307" s="2909">
        <v>18227.21</v>
      </c>
      <c r="I307" s="4673">
        <v>18227.21</v>
      </c>
      <c r="J307" s="4673"/>
      <c r="K307" s="2907"/>
      <c r="L307" s="2907"/>
      <c r="M307" s="2910"/>
      <c r="N307" s="2911"/>
      <c r="O307" s="2911"/>
      <c r="P307" s="2907"/>
      <c r="Q307" s="2907"/>
      <c r="R307" s="2909">
        <v>18227.21</v>
      </c>
      <c r="S307" s="2909">
        <v>18227.21</v>
      </c>
      <c r="T307" s="2907"/>
    </row>
    <row r="308" spans="1:20" ht="12" customHeight="1" outlineLevel="1" x14ac:dyDescent="0.2">
      <c r="A308" s="4672" t="s">
        <v>2945</v>
      </c>
      <c r="B308" s="4672"/>
      <c r="C308" s="2905">
        <v>114</v>
      </c>
      <c r="D308" s="2906" t="s">
        <v>2248</v>
      </c>
      <c r="E308" s="2907" t="s">
        <v>2946</v>
      </c>
      <c r="F308" s="2908">
        <v>60</v>
      </c>
      <c r="G308" s="2908"/>
      <c r="H308" s="2909">
        <v>11050</v>
      </c>
      <c r="I308" s="4673">
        <v>11050</v>
      </c>
      <c r="J308" s="4673"/>
      <c r="K308" s="2907"/>
      <c r="L308" s="2907"/>
      <c r="M308" s="2910"/>
      <c r="N308" s="2911"/>
      <c r="O308" s="2911"/>
      <c r="P308" s="2907"/>
      <c r="Q308" s="2907"/>
      <c r="R308" s="2909">
        <v>11050</v>
      </c>
      <c r="S308" s="2909">
        <v>11050</v>
      </c>
      <c r="T308" s="2907"/>
    </row>
    <row r="309" spans="1:20" ht="12" customHeight="1" outlineLevel="1" x14ac:dyDescent="0.2">
      <c r="A309" s="4672" t="s">
        <v>2947</v>
      </c>
      <c r="B309" s="4672"/>
      <c r="C309" s="2905">
        <v>340</v>
      </c>
      <c r="D309" s="2906" t="s">
        <v>2350</v>
      </c>
      <c r="E309" s="2907" t="s">
        <v>2948</v>
      </c>
      <c r="F309" s="2908">
        <v>273</v>
      </c>
      <c r="G309" s="2908"/>
      <c r="H309" s="2909">
        <v>14956</v>
      </c>
      <c r="I309" s="4673">
        <v>14956</v>
      </c>
      <c r="J309" s="4673"/>
      <c r="K309" s="2907"/>
      <c r="L309" s="2907"/>
      <c r="M309" s="2910"/>
      <c r="N309" s="2911"/>
      <c r="O309" s="2911"/>
      <c r="P309" s="2907"/>
      <c r="Q309" s="2907"/>
      <c r="R309" s="2909">
        <v>14956</v>
      </c>
      <c r="S309" s="2909">
        <v>14956</v>
      </c>
      <c r="T309" s="2907"/>
    </row>
    <row r="310" spans="1:20" ht="23.25" customHeight="1" outlineLevel="1" x14ac:dyDescent="0.2">
      <c r="A310" s="4672" t="s">
        <v>2949</v>
      </c>
      <c r="B310" s="4672"/>
      <c r="C310" s="2905">
        <v>104</v>
      </c>
      <c r="D310" s="2906" t="s">
        <v>2248</v>
      </c>
      <c r="E310" s="2907" t="s">
        <v>2950</v>
      </c>
      <c r="F310" s="2908">
        <v>273</v>
      </c>
      <c r="G310" s="2908"/>
      <c r="H310" s="2909">
        <v>11596</v>
      </c>
      <c r="I310" s="4673">
        <v>11596</v>
      </c>
      <c r="J310" s="4673"/>
      <c r="K310" s="2907"/>
      <c r="L310" s="2907"/>
      <c r="M310" s="2910"/>
      <c r="N310" s="2911"/>
      <c r="O310" s="2911"/>
      <c r="P310" s="2907"/>
      <c r="Q310" s="2907"/>
      <c r="R310" s="2909">
        <v>11596</v>
      </c>
      <c r="S310" s="2909">
        <v>11596</v>
      </c>
      <c r="T310" s="2907"/>
    </row>
    <row r="311" spans="1:20" ht="23.25" customHeight="1" outlineLevel="1" x14ac:dyDescent="0.2">
      <c r="A311" s="4672" t="s">
        <v>2951</v>
      </c>
      <c r="B311" s="4672"/>
      <c r="C311" s="2905">
        <v>103</v>
      </c>
      <c r="D311" s="2906" t="s">
        <v>2248</v>
      </c>
      <c r="E311" s="2907" t="s">
        <v>2952</v>
      </c>
      <c r="F311" s="2908">
        <v>273</v>
      </c>
      <c r="G311" s="2908"/>
      <c r="H311" s="2909">
        <v>41451</v>
      </c>
      <c r="I311" s="4673">
        <v>41451</v>
      </c>
      <c r="J311" s="4673"/>
      <c r="K311" s="2907"/>
      <c r="L311" s="2907"/>
      <c r="M311" s="2910"/>
      <c r="N311" s="2911"/>
      <c r="O311" s="2911"/>
      <c r="P311" s="2907"/>
      <c r="Q311" s="2907"/>
      <c r="R311" s="2909">
        <v>41451</v>
      </c>
      <c r="S311" s="2909">
        <v>41451</v>
      </c>
      <c r="T311" s="2907"/>
    </row>
    <row r="312" spans="1:20" ht="12" customHeight="1" outlineLevel="1" x14ac:dyDescent="0.2">
      <c r="A312" s="4672" t="s">
        <v>2953</v>
      </c>
      <c r="B312" s="4672"/>
      <c r="C312" s="2912">
        <v>2326</v>
      </c>
      <c r="D312" s="2906" t="s">
        <v>2954</v>
      </c>
      <c r="E312" s="2907" t="s">
        <v>2955</v>
      </c>
      <c r="F312" s="2908">
        <v>84</v>
      </c>
      <c r="G312" s="2908"/>
      <c r="H312" s="2909">
        <v>30521.19</v>
      </c>
      <c r="I312" s="4673">
        <v>30521.19</v>
      </c>
      <c r="J312" s="4673"/>
      <c r="K312" s="2907"/>
      <c r="L312" s="2907"/>
      <c r="M312" s="2910"/>
      <c r="N312" s="2911"/>
      <c r="O312" s="2911"/>
      <c r="P312" s="2907"/>
      <c r="Q312" s="2907"/>
      <c r="R312" s="2909">
        <v>30521.19</v>
      </c>
      <c r="S312" s="2909">
        <v>30521.19</v>
      </c>
      <c r="T312" s="2907"/>
    </row>
    <row r="313" spans="1:20" ht="12" customHeight="1" outlineLevel="1" x14ac:dyDescent="0.2">
      <c r="A313" s="4672" t="s">
        <v>2956</v>
      </c>
      <c r="B313" s="4672"/>
      <c r="C313" s="2912">
        <v>1929</v>
      </c>
      <c r="D313" s="2906" t="s">
        <v>2277</v>
      </c>
      <c r="E313" s="2907" t="s">
        <v>2957</v>
      </c>
      <c r="F313" s="2908">
        <v>60</v>
      </c>
      <c r="G313" s="2908"/>
      <c r="H313" s="2909">
        <v>20500</v>
      </c>
      <c r="I313" s="4673">
        <v>20500</v>
      </c>
      <c r="J313" s="4673"/>
      <c r="K313" s="2907"/>
      <c r="L313" s="2907"/>
      <c r="M313" s="2910"/>
      <c r="N313" s="2911"/>
      <c r="O313" s="2911"/>
      <c r="P313" s="2907"/>
      <c r="Q313" s="2907"/>
      <c r="R313" s="2909">
        <v>20500</v>
      </c>
      <c r="S313" s="2909">
        <v>20500</v>
      </c>
      <c r="T313" s="2907"/>
    </row>
    <row r="314" spans="1:20" ht="12" customHeight="1" outlineLevel="1" x14ac:dyDescent="0.2">
      <c r="A314" s="4672" t="s">
        <v>2958</v>
      </c>
      <c r="B314" s="4672"/>
      <c r="C314" s="2912">
        <v>1912</v>
      </c>
      <c r="D314" s="2906" t="s">
        <v>2640</v>
      </c>
      <c r="E314" s="2907" t="s">
        <v>2959</v>
      </c>
      <c r="F314" s="2908">
        <v>120</v>
      </c>
      <c r="G314" s="2908"/>
      <c r="H314" s="2909">
        <v>32269.13</v>
      </c>
      <c r="I314" s="4673">
        <v>32269.13</v>
      </c>
      <c r="J314" s="4673"/>
      <c r="K314" s="2907"/>
      <c r="L314" s="2907"/>
      <c r="M314" s="2910"/>
      <c r="N314" s="2911"/>
      <c r="O314" s="2911"/>
      <c r="P314" s="2907"/>
      <c r="Q314" s="2907"/>
      <c r="R314" s="2909">
        <v>32269.13</v>
      </c>
      <c r="S314" s="2909">
        <v>32269.13</v>
      </c>
      <c r="T314" s="2907"/>
    </row>
    <row r="315" spans="1:20" ht="12" customHeight="1" outlineLevel="1" x14ac:dyDescent="0.2">
      <c r="A315" s="4672" t="s">
        <v>2960</v>
      </c>
      <c r="B315" s="4672"/>
      <c r="C315" s="2912">
        <v>1906</v>
      </c>
      <c r="D315" s="2906" t="s">
        <v>2712</v>
      </c>
      <c r="E315" s="2907" t="s">
        <v>2961</v>
      </c>
      <c r="F315" s="2908">
        <v>120</v>
      </c>
      <c r="G315" s="2908"/>
      <c r="H315" s="2909">
        <v>39266.43</v>
      </c>
      <c r="I315" s="4673">
        <v>39266.43</v>
      </c>
      <c r="J315" s="4673"/>
      <c r="K315" s="2907"/>
      <c r="L315" s="2907"/>
      <c r="M315" s="2910"/>
      <c r="N315" s="2911"/>
      <c r="O315" s="2911"/>
      <c r="P315" s="2907"/>
      <c r="Q315" s="2907"/>
      <c r="R315" s="2909">
        <v>39266.43</v>
      </c>
      <c r="S315" s="2909">
        <v>39266.43</v>
      </c>
      <c r="T315" s="2907"/>
    </row>
    <row r="316" spans="1:20" ht="12" customHeight="1" outlineLevel="1" x14ac:dyDescent="0.2">
      <c r="A316" s="4672" t="s">
        <v>2962</v>
      </c>
      <c r="B316" s="4672"/>
      <c r="C316" s="2912">
        <v>1905</v>
      </c>
      <c r="D316" s="2906" t="s">
        <v>2712</v>
      </c>
      <c r="E316" s="2907" t="s">
        <v>2963</v>
      </c>
      <c r="F316" s="2908">
        <v>120</v>
      </c>
      <c r="G316" s="2908"/>
      <c r="H316" s="2909">
        <v>39266.42</v>
      </c>
      <c r="I316" s="4673">
        <v>39266.42</v>
      </c>
      <c r="J316" s="4673"/>
      <c r="K316" s="2907"/>
      <c r="L316" s="2907"/>
      <c r="M316" s="2910"/>
      <c r="N316" s="2911"/>
      <c r="O316" s="2911"/>
      <c r="P316" s="2907"/>
      <c r="Q316" s="2907"/>
      <c r="R316" s="2909">
        <v>39266.42</v>
      </c>
      <c r="S316" s="2909">
        <v>39266.42</v>
      </c>
      <c r="T316" s="2907"/>
    </row>
    <row r="317" spans="1:20" ht="12" customHeight="1" outlineLevel="1" x14ac:dyDescent="0.2">
      <c r="A317" s="4672" t="s">
        <v>2639</v>
      </c>
      <c r="B317" s="4672"/>
      <c r="C317" s="2912">
        <v>1919</v>
      </c>
      <c r="D317" s="2906" t="s">
        <v>2640</v>
      </c>
      <c r="E317" s="2907" t="s">
        <v>2641</v>
      </c>
      <c r="F317" s="2908">
        <v>120</v>
      </c>
      <c r="G317" s="2908"/>
      <c r="H317" s="2909">
        <v>49970.28</v>
      </c>
      <c r="I317" s="4673">
        <v>49970.28</v>
      </c>
      <c r="J317" s="4673"/>
      <c r="K317" s="2907"/>
      <c r="L317" s="2907"/>
      <c r="M317" s="2910"/>
      <c r="N317" s="2911"/>
      <c r="O317" s="2911"/>
      <c r="P317" s="2907"/>
      <c r="Q317" s="2907"/>
      <c r="R317" s="2909">
        <v>49970.28</v>
      </c>
      <c r="S317" s="2909">
        <v>49970.28</v>
      </c>
      <c r="T317" s="2907"/>
    </row>
    <row r="318" spans="1:20" ht="12" customHeight="1" outlineLevel="1" x14ac:dyDescent="0.2">
      <c r="A318" s="4672" t="s">
        <v>2964</v>
      </c>
      <c r="B318" s="4672"/>
      <c r="C318" s="2905">
        <v>412</v>
      </c>
      <c r="D318" s="2906" t="s">
        <v>2965</v>
      </c>
      <c r="E318" s="2907" t="s">
        <v>2966</v>
      </c>
      <c r="F318" s="2908">
        <v>30</v>
      </c>
      <c r="G318" s="2908"/>
      <c r="H318" s="2909">
        <v>2607</v>
      </c>
      <c r="I318" s="4673">
        <v>2607</v>
      </c>
      <c r="J318" s="4673"/>
      <c r="K318" s="2907"/>
      <c r="L318" s="2907"/>
      <c r="M318" s="2910"/>
      <c r="N318" s="2911"/>
      <c r="O318" s="2911"/>
      <c r="P318" s="2907"/>
      <c r="Q318" s="2907"/>
      <c r="R318" s="2909">
        <v>2607</v>
      </c>
      <c r="S318" s="2909">
        <v>2607</v>
      </c>
      <c r="T318" s="2907"/>
    </row>
    <row r="319" spans="1:20" ht="12" customHeight="1" outlineLevel="1" x14ac:dyDescent="0.2">
      <c r="A319" s="4672" t="s">
        <v>2967</v>
      </c>
      <c r="B319" s="4672"/>
      <c r="C319" s="2905">
        <v>413</v>
      </c>
      <c r="D319" s="2906" t="s">
        <v>2968</v>
      </c>
      <c r="E319" s="2907" t="s">
        <v>2969</v>
      </c>
      <c r="F319" s="2908">
        <v>84</v>
      </c>
      <c r="G319" s="2908"/>
      <c r="H319" s="2909">
        <v>5398</v>
      </c>
      <c r="I319" s="4673">
        <v>5398</v>
      </c>
      <c r="J319" s="4673"/>
      <c r="K319" s="2907"/>
      <c r="L319" s="2907"/>
      <c r="M319" s="2910"/>
      <c r="N319" s="2911"/>
      <c r="O319" s="2911"/>
      <c r="P319" s="2907"/>
      <c r="Q319" s="2907"/>
      <c r="R319" s="2909">
        <v>5398</v>
      </c>
      <c r="S319" s="2909">
        <v>5398</v>
      </c>
      <c r="T319" s="2907"/>
    </row>
    <row r="320" spans="1:20" ht="12" customHeight="1" outlineLevel="1" x14ac:dyDescent="0.2">
      <c r="A320" s="4672" t="s">
        <v>2970</v>
      </c>
      <c r="B320" s="4672"/>
      <c r="C320" s="2905">
        <v>118</v>
      </c>
      <c r="D320" s="2906" t="s">
        <v>2248</v>
      </c>
      <c r="E320" s="2907" t="s">
        <v>2971</v>
      </c>
      <c r="F320" s="2908">
        <v>84</v>
      </c>
      <c r="G320" s="2908"/>
      <c r="H320" s="2909">
        <v>4018</v>
      </c>
      <c r="I320" s="4673">
        <v>4018</v>
      </c>
      <c r="J320" s="4673"/>
      <c r="K320" s="2907"/>
      <c r="L320" s="2907"/>
      <c r="M320" s="2910"/>
      <c r="N320" s="2911"/>
      <c r="O320" s="2911"/>
      <c r="P320" s="2907"/>
      <c r="Q320" s="2907"/>
      <c r="R320" s="2909">
        <v>4018</v>
      </c>
      <c r="S320" s="2909">
        <v>4018</v>
      </c>
      <c r="T320" s="2907"/>
    </row>
    <row r="321" spans="1:20" s="2928" customFormat="1" ht="23.25" customHeight="1" outlineLevel="1" x14ac:dyDescent="0.2">
      <c r="A321" s="4681" t="s">
        <v>2972</v>
      </c>
      <c r="B321" s="4681"/>
      <c r="C321" s="2922">
        <v>350</v>
      </c>
      <c r="D321" s="2923" t="s">
        <v>2650</v>
      </c>
      <c r="E321" s="2924" t="s">
        <v>2973</v>
      </c>
      <c r="F321" s="2925">
        <v>84</v>
      </c>
      <c r="G321" s="2925"/>
      <c r="H321" s="2926">
        <v>72127.210000000006</v>
      </c>
      <c r="I321" s="4682">
        <v>67673.16</v>
      </c>
      <c r="J321" s="4682"/>
      <c r="K321" s="2926">
        <v>4454.05</v>
      </c>
      <c r="L321" s="2924"/>
      <c r="M321" s="2926">
        <v>4454.05</v>
      </c>
      <c r="N321" s="2926">
        <f>M321</f>
        <v>4454.05</v>
      </c>
      <c r="O321" s="2926"/>
      <c r="P321" s="2924"/>
      <c r="Q321" s="2924"/>
      <c r="R321" s="2926">
        <v>72127.210000000006</v>
      </c>
      <c r="S321" s="2926">
        <v>72127.210000000006</v>
      </c>
      <c r="T321" s="2924"/>
    </row>
    <row r="322" spans="1:20" ht="12" customHeight="1" outlineLevel="1" x14ac:dyDescent="0.2">
      <c r="A322" s="4672" t="s">
        <v>2974</v>
      </c>
      <c r="B322" s="4672"/>
      <c r="C322" s="2905">
        <v>442</v>
      </c>
      <c r="D322" s="2906" t="s">
        <v>2302</v>
      </c>
      <c r="E322" s="2907" t="s">
        <v>2975</v>
      </c>
      <c r="F322" s="2908">
        <v>96</v>
      </c>
      <c r="G322" s="2908"/>
      <c r="H322" s="2909">
        <v>36691</v>
      </c>
      <c r="I322" s="4673">
        <v>36691</v>
      </c>
      <c r="J322" s="4673"/>
      <c r="K322" s="2907"/>
      <c r="L322" s="2907"/>
      <c r="M322" s="2910"/>
      <c r="N322" s="2911"/>
      <c r="O322" s="2911"/>
      <c r="P322" s="2907"/>
      <c r="Q322" s="2907"/>
      <c r="R322" s="2909">
        <v>36691</v>
      </c>
      <c r="S322" s="2909">
        <v>36691</v>
      </c>
      <c r="T322" s="2907"/>
    </row>
    <row r="323" spans="1:20" ht="12" customHeight="1" outlineLevel="1" x14ac:dyDescent="0.2">
      <c r="A323" s="4672" t="s">
        <v>2976</v>
      </c>
      <c r="B323" s="4672"/>
      <c r="C323" s="2905">
        <v>351</v>
      </c>
      <c r="D323" s="2906" t="s">
        <v>2650</v>
      </c>
      <c r="E323" s="2907" t="s">
        <v>2977</v>
      </c>
      <c r="F323" s="2908">
        <v>84</v>
      </c>
      <c r="G323" s="2908"/>
      <c r="H323" s="2909">
        <v>5649</v>
      </c>
      <c r="I323" s="4673">
        <v>5649</v>
      </c>
      <c r="J323" s="4673"/>
      <c r="K323" s="2907"/>
      <c r="L323" s="2907"/>
      <c r="M323" s="2910"/>
      <c r="N323" s="2911"/>
      <c r="O323" s="2911"/>
      <c r="P323" s="2907"/>
      <c r="Q323" s="2907"/>
      <c r="R323" s="2909">
        <v>5649</v>
      </c>
      <c r="S323" s="2909">
        <v>5649</v>
      </c>
      <c r="T323" s="2907"/>
    </row>
    <row r="324" spans="1:20" ht="12" customHeight="1" outlineLevel="1" x14ac:dyDescent="0.2">
      <c r="A324" s="4672" t="s">
        <v>2978</v>
      </c>
      <c r="B324" s="4672"/>
      <c r="C324" s="2905">
        <v>115</v>
      </c>
      <c r="D324" s="2906" t="s">
        <v>2248</v>
      </c>
      <c r="E324" s="2907" t="s">
        <v>2979</v>
      </c>
      <c r="F324" s="2908">
        <v>84</v>
      </c>
      <c r="G324" s="2908"/>
      <c r="H324" s="2909">
        <v>10625</v>
      </c>
      <c r="I324" s="4673">
        <v>10625</v>
      </c>
      <c r="J324" s="4673"/>
      <c r="K324" s="2907"/>
      <c r="L324" s="2907"/>
      <c r="M324" s="2910"/>
      <c r="N324" s="2911"/>
      <c r="O324" s="2911"/>
      <c r="P324" s="2907"/>
      <c r="Q324" s="2907"/>
      <c r="R324" s="2909">
        <v>10625</v>
      </c>
      <c r="S324" s="2909">
        <v>10625</v>
      </c>
      <c r="T324" s="2907"/>
    </row>
    <row r="325" spans="1:20" ht="12" customHeight="1" outlineLevel="1" x14ac:dyDescent="0.2">
      <c r="A325" s="4672" t="s">
        <v>2980</v>
      </c>
      <c r="B325" s="4672"/>
      <c r="C325" s="2905">
        <v>116</v>
      </c>
      <c r="D325" s="2906" t="s">
        <v>2248</v>
      </c>
      <c r="E325" s="2907" t="s">
        <v>2979</v>
      </c>
      <c r="F325" s="2908">
        <v>84</v>
      </c>
      <c r="G325" s="2908"/>
      <c r="H325" s="2909">
        <v>10625</v>
      </c>
      <c r="I325" s="4673">
        <v>10625</v>
      </c>
      <c r="J325" s="4673"/>
      <c r="K325" s="2907"/>
      <c r="L325" s="2907"/>
      <c r="M325" s="2910"/>
      <c r="N325" s="2911"/>
      <c r="O325" s="2911"/>
      <c r="P325" s="2907"/>
      <c r="Q325" s="2907"/>
      <c r="R325" s="2909">
        <v>10625</v>
      </c>
      <c r="S325" s="2909">
        <v>10625</v>
      </c>
      <c r="T325" s="2907"/>
    </row>
    <row r="326" spans="1:20" ht="23.25" customHeight="1" outlineLevel="1" x14ac:dyDescent="0.2">
      <c r="A326" s="4672" t="s">
        <v>2981</v>
      </c>
      <c r="B326" s="4672"/>
      <c r="C326" s="2946">
        <v>1493</v>
      </c>
      <c r="D326" s="2906" t="s">
        <v>2589</v>
      </c>
      <c r="E326" s="2907" t="s">
        <v>2982</v>
      </c>
      <c r="F326" s="2908">
        <v>84</v>
      </c>
      <c r="G326" s="2908"/>
      <c r="H326" s="2909">
        <v>93355.93</v>
      </c>
      <c r="I326" s="4673">
        <v>23338.98</v>
      </c>
      <c r="J326" s="4673"/>
      <c r="K326" s="2909">
        <v>70016.95</v>
      </c>
      <c r="L326" s="2907"/>
      <c r="M326" s="2911">
        <v>13336.56</v>
      </c>
      <c r="N326" s="2911">
        <f>H326/F326*12</f>
        <v>13336.561428571429</v>
      </c>
      <c r="O326" s="2911"/>
      <c r="P326" s="2907"/>
      <c r="Q326" s="2907"/>
      <c r="R326" s="2909">
        <v>93355.93</v>
      </c>
      <c r="S326" s="2909">
        <v>36675.54</v>
      </c>
      <c r="T326" s="2909">
        <v>56680.39</v>
      </c>
    </row>
    <row r="327" spans="1:20" ht="12" customHeight="1" outlineLevel="1" x14ac:dyDescent="0.2">
      <c r="A327" s="4672" t="s">
        <v>2983</v>
      </c>
      <c r="B327" s="4672"/>
      <c r="C327" s="2912">
        <v>1850</v>
      </c>
      <c r="D327" s="2906" t="s">
        <v>2984</v>
      </c>
      <c r="E327" s="2907" t="s">
        <v>2985</v>
      </c>
      <c r="F327" s="2908">
        <v>60</v>
      </c>
      <c r="G327" s="2908"/>
      <c r="H327" s="2909">
        <v>35394.07</v>
      </c>
      <c r="I327" s="4673">
        <v>35394.07</v>
      </c>
      <c r="J327" s="4673"/>
      <c r="K327" s="2907"/>
      <c r="L327" s="2907"/>
      <c r="M327" s="2910"/>
      <c r="N327" s="2911"/>
      <c r="O327" s="2911"/>
      <c r="P327" s="2907"/>
      <c r="Q327" s="2907"/>
      <c r="R327" s="2909">
        <v>35394.07</v>
      </c>
      <c r="S327" s="2909">
        <v>35394.07</v>
      </c>
      <c r="T327" s="2907"/>
    </row>
    <row r="328" spans="1:20" ht="12" customHeight="1" outlineLevel="1" x14ac:dyDescent="0.2">
      <c r="A328" s="4672" t="s">
        <v>2986</v>
      </c>
      <c r="B328" s="4672"/>
      <c r="C328" s="2905">
        <v>587</v>
      </c>
      <c r="D328" s="2906" t="s">
        <v>2987</v>
      </c>
      <c r="E328" s="2907" t="s">
        <v>2988</v>
      </c>
      <c r="F328" s="2908">
        <v>1</v>
      </c>
      <c r="G328" s="2908"/>
      <c r="H328" s="2909">
        <v>6325</v>
      </c>
      <c r="I328" s="4673">
        <v>6325</v>
      </c>
      <c r="J328" s="4673"/>
      <c r="K328" s="2907"/>
      <c r="L328" s="2907"/>
      <c r="M328" s="2910"/>
      <c r="N328" s="2911"/>
      <c r="O328" s="2911"/>
      <c r="P328" s="2907"/>
      <c r="Q328" s="2907"/>
      <c r="R328" s="2909">
        <v>6325</v>
      </c>
      <c r="S328" s="2909">
        <v>6325</v>
      </c>
      <c r="T328" s="2907"/>
    </row>
    <row r="329" spans="1:20" ht="12" customHeight="1" outlineLevel="1" x14ac:dyDescent="0.2">
      <c r="A329" s="4672" t="s">
        <v>2989</v>
      </c>
      <c r="B329" s="4672"/>
      <c r="C329" s="2905">
        <v>370</v>
      </c>
      <c r="D329" s="2906" t="s">
        <v>2847</v>
      </c>
      <c r="E329" s="2907" t="s">
        <v>2990</v>
      </c>
      <c r="F329" s="2908">
        <v>67</v>
      </c>
      <c r="G329" s="2908"/>
      <c r="H329" s="2909">
        <v>128652</v>
      </c>
      <c r="I329" s="4673">
        <v>128652</v>
      </c>
      <c r="J329" s="4673"/>
      <c r="K329" s="2907"/>
      <c r="L329" s="2907"/>
      <c r="M329" s="2910"/>
      <c r="N329" s="2911"/>
      <c r="O329" s="2911"/>
      <c r="P329" s="2907"/>
      <c r="Q329" s="2907"/>
      <c r="R329" s="2909">
        <v>128652</v>
      </c>
      <c r="S329" s="2909">
        <v>128652</v>
      </c>
      <c r="T329" s="2907"/>
    </row>
    <row r="330" spans="1:20" ht="23.25" customHeight="1" outlineLevel="1" x14ac:dyDescent="0.2">
      <c r="A330" s="4672" t="s">
        <v>2991</v>
      </c>
      <c r="B330" s="4672"/>
      <c r="C330" s="2946">
        <v>1516</v>
      </c>
      <c r="D330" s="2906" t="s">
        <v>2992</v>
      </c>
      <c r="E330" s="2907" t="s">
        <v>2993</v>
      </c>
      <c r="F330" s="2908">
        <v>36</v>
      </c>
      <c r="G330" s="2908"/>
      <c r="H330" s="2907"/>
      <c r="I330" s="2947"/>
      <c r="J330" s="2948"/>
      <c r="K330" s="2907"/>
      <c r="L330" s="2909">
        <v>50196.01</v>
      </c>
      <c r="M330" s="2911">
        <v>12548.97</v>
      </c>
      <c r="N330" s="2911">
        <f>M330</f>
        <v>12548.97</v>
      </c>
      <c r="O330" s="2911"/>
      <c r="P330" s="2907"/>
      <c r="Q330" s="2907"/>
      <c r="R330" s="2909">
        <v>50196.01</v>
      </c>
      <c r="S330" s="2909">
        <v>12548.97</v>
      </c>
      <c r="T330" s="2909">
        <v>37647.040000000001</v>
      </c>
    </row>
    <row r="331" spans="1:20" s="2928" customFormat="1" ht="12" customHeight="1" outlineLevel="1" x14ac:dyDescent="0.2">
      <c r="A331" s="4681" t="s">
        <v>2994</v>
      </c>
      <c r="B331" s="4681"/>
      <c r="C331" s="2951">
        <v>2366</v>
      </c>
      <c r="D331" s="2923" t="s">
        <v>2995</v>
      </c>
      <c r="E331" s="2924" t="s">
        <v>2996</v>
      </c>
      <c r="F331" s="2925">
        <v>84</v>
      </c>
      <c r="G331" s="2925"/>
      <c r="H331" s="2926">
        <v>35570.17</v>
      </c>
      <c r="I331" s="4682">
        <v>35569.800000000003</v>
      </c>
      <c r="J331" s="4682"/>
      <c r="K331" s="2927">
        <v>0.37</v>
      </c>
      <c r="L331" s="2924"/>
      <c r="M331" s="2927">
        <v>0.37</v>
      </c>
      <c r="N331" s="2926">
        <f>M331</f>
        <v>0.37</v>
      </c>
      <c r="O331" s="2926"/>
      <c r="P331" s="2924"/>
      <c r="Q331" s="2924"/>
      <c r="R331" s="2926">
        <v>35570.17</v>
      </c>
      <c r="S331" s="2926">
        <v>35570.17</v>
      </c>
      <c r="T331" s="2924"/>
    </row>
    <row r="332" spans="1:20" ht="12" customHeight="1" outlineLevel="1" x14ac:dyDescent="0.2">
      <c r="A332" s="4672" t="s">
        <v>2997</v>
      </c>
      <c r="B332" s="4672"/>
      <c r="C332" s="2905">
        <v>155</v>
      </c>
      <c r="D332" s="2906" t="s">
        <v>2248</v>
      </c>
      <c r="E332" s="2907" t="s">
        <v>2998</v>
      </c>
      <c r="F332" s="2908">
        <v>120</v>
      </c>
      <c r="G332" s="2908"/>
      <c r="H332" s="2909">
        <v>257966</v>
      </c>
      <c r="I332" s="4673">
        <v>257966</v>
      </c>
      <c r="J332" s="4673"/>
      <c r="K332" s="2907"/>
      <c r="L332" s="2907"/>
      <c r="M332" s="2910"/>
      <c r="N332" s="2911"/>
      <c r="O332" s="2911"/>
      <c r="P332" s="2907"/>
      <c r="Q332" s="2907"/>
      <c r="R332" s="2909">
        <v>257966</v>
      </c>
      <c r="S332" s="2909">
        <v>257966</v>
      </c>
      <c r="T332" s="2907"/>
    </row>
    <row r="333" spans="1:20" ht="34.5" customHeight="1" outlineLevel="1" x14ac:dyDescent="0.2">
      <c r="A333" s="4672" t="s">
        <v>2999</v>
      </c>
      <c r="B333" s="4672"/>
      <c r="C333" s="2946">
        <v>1505</v>
      </c>
      <c r="D333" s="2906" t="s">
        <v>2605</v>
      </c>
      <c r="E333" s="2907" t="s">
        <v>3000</v>
      </c>
      <c r="F333" s="2908">
        <v>60</v>
      </c>
      <c r="G333" s="2908"/>
      <c r="H333" s="2909">
        <v>503750</v>
      </c>
      <c r="I333" s="4673">
        <v>83958.3</v>
      </c>
      <c r="J333" s="4673"/>
      <c r="K333" s="2909">
        <v>419791.7</v>
      </c>
      <c r="L333" s="2907"/>
      <c r="M333" s="2911">
        <v>100749.96</v>
      </c>
      <c r="N333" s="2911">
        <f>M333</f>
        <v>100749.96</v>
      </c>
      <c r="O333" s="2911"/>
      <c r="P333" s="2907"/>
      <c r="Q333" s="2907"/>
      <c r="R333" s="2909">
        <v>503750</v>
      </c>
      <c r="S333" s="2909">
        <v>184708.26</v>
      </c>
      <c r="T333" s="2909">
        <v>319041.74</v>
      </c>
    </row>
    <row r="334" spans="1:20" ht="12" customHeight="1" outlineLevel="1" x14ac:dyDescent="0.2">
      <c r="A334" s="4672" t="s">
        <v>3001</v>
      </c>
      <c r="B334" s="4672"/>
      <c r="C334" s="2905">
        <v>679</v>
      </c>
      <c r="D334" s="2906" t="s">
        <v>2909</v>
      </c>
      <c r="E334" s="2907" t="s">
        <v>3002</v>
      </c>
      <c r="F334" s="2908">
        <v>60</v>
      </c>
      <c r="G334" s="2908"/>
      <c r="H334" s="2909">
        <v>62032.04</v>
      </c>
      <c r="I334" s="4673">
        <v>42388.67</v>
      </c>
      <c r="J334" s="4673"/>
      <c r="K334" s="2909">
        <v>19643.37</v>
      </c>
      <c r="L334" s="2907"/>
      <c r="M334" s="2910"/>
      <c r="N334" s="2911"/>
      <c r="O334" s="2911"/>
      <c r="P334" s="2907"/>
      <c r="Q334" s="2907"/>
      <c r="R334" s="2909">
        <v>62032.04</v>
      </c>
      <c r="S334" s="2909">
        <v>42388.67</v>
      </c>
      <c r="T334" s="2909">
        <v>19643.37</v>
      </c>
    </row>
    <row r="335" spans="1:20" ht="12" customHeight="1" outlineLevel="1" x14ac:dyDescent="0.2">
      <c r="A335" s="4672" t="s">
        <v>3003</v>
      </c>
      <c r="B335" s="4672"/>
      <c r="C335" s="2905">
        <v>132</v>
      </c>
      <c r="D335" s="2906" t="s">
        <v>3004</v>
      </c>
      <c r="E335" s="2907" t="s">
        <v>3005</v>
      </c>
      <c r="F335" s="2908">
        <v>240</v>
      </c>
      <c r="G335" s="2908"/>
      <c r="H335" s="2909">
        <v>4055</v>
      </c>
      <c r="I335" s="4673">
        <v>4055</v>
      </c>
      <c r="J335" s="4673"/>
      <c r="K335" s="2907"/>
      <c r="L335" s="2907"/>
      <c r="M335" s="2910"/>
      <c r="N335" s="2911"/>
      <c r="O335" s="2911"/>
      <c r="P335" s="2907"/>
      <c r="Q335" s="2907"/>
      <c r="R335" s="2909">
        <v>4055</v>
      </c>
      <c r="S335" s="2909">
        <v>4055</v>
      </c>
      <c r="T335" s="2907"/>
    </row>
    <row r="336" spans="1:20" ht="12" customHeight="1" outlineLevel="1" x14ac:dyDescent="0.2">
      <c r="A336" s="4672" t="s">
        <v>3006</v>
      </c>
      <c r="B336" s="4672"/>
      <c r="C336" s="2905">
        <v>550</v>
      </c>
      <c r="D336" s="2906" t="s">
        <v>2770</v>
      </c>
      <c r="E336" s="2907" t="s">
        <v>3007</v>
      </c>
      <c r="F336" s="2908">
        <v>273</v>
      </c>
      <c r="G336" s="2908"/>
      <c r="H336" s="2909">
        <v>14500</v>
      </c>
      <c r="I336" s="4673">
        <v>14500</v>
      </c>
      <c r="J336" s="4673"/>
      <c r="K336" s="2907"/>
      <c r="L336" s="2907"/>
      <c r="M336" s="2910"/>
      <c r="N336" s="2911"/>
      <c r="O336" s="2911"/>
      <c r="P336" s="2907"/>
      <c r="Q336" s="2907"/>
      <c r="R336" s="2909">
        <v>14500</v>
      </c>
      <c r="S336" s="2909">
        <v>14500</v>
      </c>
      <c r="T336" s="2907"/>
    </row>
    <row r="337" spans="1:20" ht="12" customHeight="1" outlineLevel="1" x14ac:dyDescent="0.2">
      <c r="A337" s="4672" t="s">
        <v>3008</v>
      </c>
      <c r="B337" s="4672"/>
      <c r="C337" s="2912">
        <v>2291</v>
      </c>
      <c r="D337" s="2906" t="s">
        <v>3009</v>
      </c>
      <c r="E337" s="2907" t="s">
        <v>3010</v>
      </c>
      <c r="F337" s="2908">
        <v>84</v>
      </c>
      <c r="G337" s="2908"/>
      <c r="H337" s="2907"/>
      <c r="I337" s="2947"/>
      <c r="J337" s="2948"/>
      <c r="K337" s="2907"/>
      <c r="L337" s="2907"/>
      <c r="M337" s="2910"/>
      <c r="N337" s="2911"/>
      <c r="O337" s="2911"/>
      <c r="P337" s="2907"/>
      <c r="Q337" s="2907"/>
      <c r="R337" s="2907"/>
      <c r="S337" s="2907"/>
      <c r="T337" s="2907"/>
    </row>
    <row r="338" spans="1:20" ht="12" customHeight="1" outlineLevel="1" x14ac:dyDescent="0.2">
      <c r="A338" s="4672" t="s">
        <v>3011</v>
      </c>
      <c r="B338" s="4672"/>
      <c r="C338" s="2912">
        <v>2305</v>
      </c>
      <c r="D338" s="2906" t="s">
        <v>3012</v>
      </c>
      <c r="E338" s="2907" t="s">
        <v>3013</v>
      </c>
      <c r="F338" s="2908">
        <v>84</v>
      </c>
      <c r="G338" s="2908"/>
      <c r="H338" s="2909">
        <v>41084.76</v>
      </c>
      <c r="I338" s="4673">
        <v>41084.76</v>
      </c>
      <c r="J338" s="4673"/>
      <c r="K338" s="2907"/>
      <c r="L338" s="2907"/>
      <c r="M338" s="2910"/>
      <c r="N338" s="2911"/>
      <c r="O338" s="2911"/>
      <c r="P338" s="2907"/>
      <c r="Q338" s="2907"/>
      <c r="R338" s="2909">
        <v>41084.76</v>
      </c>
      <c r="S338" s="2909">
        <v>41084.76</v>
      </c>
      <c r="T338" s="2907"/>
    </row>
    <row r="339" spans="1:20" ht="12" customHeight="1" outlineLevel="1" x14ac:dyDescent="0.2">
      <c r="A339" s="4672" t="s">
        <v>2986</v>
      </c>
      <c r="B339" s="4672"/>
      <c r="C339" s="2905">
        <v>588</v>
      </c>
      <c r="D339" s="2906" t="s">
        <v>2987</v>
      </c>
      <c r="E339" s="2907" t="s">
        <v>2988</v>
      </c>
      <c r="F339" s="2908">
        <v>1</v>
      </c>
      <c r="G339" s="2908"/>
      <c r="H339" s="2909">
        <v>6325</v>
      </c>
      <c r="I339" s="4673">
        <v>6325</v>
      </c>
      <c r="J339" s="4673"/>
      <c r="K339" s="2907"/>
      <c r="L339" s="2907"/>
      <c r="M339" s="2910"/>
      <c r="N339" s="2911"/>
      <c r="O339" s="2911"/>
      <c r="P339" s="2907"/>
      <c r="Q339" s="2907"/>
      <c r="R339" s="2909">
        <v>6325</v>
      </c>
      <c r="S339" s="2909">
        <v>6325</v>
      </c>
      <c r="T339" s="2907"/>
    </row>
    <row r="340" spans="1:20" ht="12" customHeight="1" outlineLevel="1" x14ac:dyDescent="0.2">
      <c r="A340" s="4672" t="s">
        <v>3014</v>
      </c>
      <c r="B340" s="4672"/>
      <c r="C340" s="2905">
        <v>378</v>
      </c>
      <c r="D340" s="2906" t="s">
        <v>2274</v>
      </c>
      <c r="E340" s="2907" t="s">
        <v>3015</v>
      </c>
      <c r="F340" s="2908">
        <v>84</v>
      </c>
      <c r="G340" s="2908"/>
      <c r="H340" s="2909">
        <v>23232</v>
      </c>
      <c r="I340" s="4673">
        <v>23232</v>
      </c>
      <c r="J340" s="4673"/>
      <c r="K340" s="2907"/>
      <c r="L340" s="2907"/>
      <c r="M340" s="2910"/>
      <c r="N340" s="2911"/>
      <c r="O340" s="2911"/>
      <c r="P340" s="2907"/>
      <c r="Q340" s="2907"/>
      <c r="R340" s="2909">
        <v>23232</v>
      </c>
      <c r="S340" s="2909">
        <v>23232</v>
      </c>
      <c r="T340" s="2907"/>
    </row>
    <row r="341" spans="1:20" ht="12" customHeight="1" outlineLevel="1" x14ac:dyDescent="0.2">
      <c r="A341" s="4672" t="s">
        <v>3016</v>
      </c>
      <c r="B341" s="4672"/>
      <c r="C341" s="2905">
        <v>341</v>
      </c>
      <c r="D341" s="2906" t="s">
        <v>3017</v>
      </c>
      <c r="E341" s="2907" t="s">
        <v>3018</v>
      </c>
      <c r="F341" s="2908">
        <v>273</v>
      </c>
      <c r="G341" s="2908"/>
      <c r="H341" s="2909">
        <v>8239</v>
      </c>
      <c r="I341" s="4673">
        <v>8239</v>
      </c>
      <c r="J341" s="4673"/>
      <c r="K341" s="2907"/>
      <c r="L341" s="2907"/>
      <c r="M341" s="2910"/>
      <c r="N341" s="2911"/>
      <c r="O341" s="2911"/>
      <c r="P341" s="2907"/>
      <c r="Q341" s="2907"/>
      <c r="R341" s="2909">
        <v>8239</v>
      </c>
      <c r="S341" s="2909">
        <v>8239</v>
      </c>
      <c r="T341" s="2907"/>
    </row>
    <row r="342" spans="1:20" ht="12" customHeight="1" outlineLevel="1" x14ac:dyDescent="0.2">
      <c r="A342" s="4672" t="s">
        <v>3019</v>
      </c>
      <c r="B342" s="4672"/>
      <c r="C342" s="2905">
        <v>296</v>
      </c>
      <c r="D342" s="2906" t="s">
        <v>2626</v>
      </c>
      <c r="E342" s="2907" t="s">
        <v>3020</v>
      </c>
      <c r="F342" s="2908">
        <v>115</v>
      </c>
      <c r="G342" s="2908"/>
      <c r="H342" s="2952">
        <v>10.199999999999999</v>
      </c>
      <c r="I342" s="4676">
        <v>10.199999999999999</v>
      </c>
      <c r="J342" s="4676"/>
      <c r="K342" s="2907"/>
      <c r="L342" s="2907"/>
      <c r="M342" s="2910"/>
      <c r="N342" s="2911"/>
      <c r="O342" s="2911"/>
      <c r="P342" s="2907"/>
      <c r="Q342" s="2907"/>
      <c r="R342" s="2952">
        <v>10.199999999999999</v>
      </c>
      <c r="S342" s="2952">
        <v>10.199999999999999</v>
      </c>
      <c r="T342" s="2907"/>
    </row>
    <row r="343" spans="1:20" ht="12" customHeight="1" outlineLevel="1" x14ac:dyDescent="0.2">
      <c r="A343" s="4672" t="s">
        <v>3021</v>
      </c>
      <c r="B343" s="4672"/>
      <c r="C343" s="2912">
        <v>1761</v>
      </c>
      <c r="D343" s="2906" t="s">
        <v>2727</v>
      </c>
      <c r="E343" s="2907" t="s">
        <v>3022</v>
      </c>
      <c r="F343" s="2908">
        <v>84</v>
      </c>
      <c r="G343" s="2908"/>
      <c r="H343" s="2909">
        <v>13898.31</v>
      </c>
      <c r="I343" s="4673">
        <v>13898.31</v>
      </c>
      <c r="J343" s="4673"/>
      <c r="K343" s="2907"/>
      <c r="L343" s="2907"/>
      <c r="M343" s="2910"/>
      <c r="N343" s="2911"/>
      <c r="O343" s="2911"/>
      <c r="P343" s="2907"/>
      <c r="Q343" s="2907"/>
      <c r="R343" s="2909">
        <v>13898.31</v>
      </c>
      <c r="S343" s="2909">
        <v>13898.31</v>
      </c>
      <c r="T343" s="2907"/>
    </row>
    <row r="344" spans="1:20" ht="12" customHeight="1" outlineLevel="1" x14ac:dyDescent="0.2">
      <c r="A344" s="4672" t="s">
        <v>3023</v>
      </c>
      <c r="B344" s="4672"/>
      <c r="C344" s="2912">
        <v>2386</v>
      </c>
      <c r="D344" s="2906" t="s">
        <v>2707</v>
      </c>
      <c r="E344" s="2907" t="s">
        <v>3024</v>
      </c>
      <c r="F344" s="2908">
        <v>120</v>
      </c>
      <c r="G344" s="2908"/>
      <c r="H344" s="2909">
        <v>108898.31</v>
      </c>
      <c r="I344" s="4673">
        <v>68969.240000000005</v>
      </c>
      <c r="J344" s="4673"/>
      <c r="K344" s="2909">
        <v>39929.07</v>
      </c>
      <c r="L344" s="2907"/>
      <c r="M344" s="2911">
        <v>10889.88</v>
      </c>
      <c r="N344" s="2911">
        <f>M344</f>
        <v>10889.88</v>
      </c>
      <c r="O344" s="2911"/>
      <c r="P344" s="2907"/>
      <c r="Q344" s="2907"/>
      <c r="R344" s="2909">
        <v>108898.31</v>
      </c>
      <c r="S344" s="2909">
        <v>79859.12</v>
      </c>
      <c r="T344" s="2909">
        <v>29039.19</v>
      </c>
    </row>
    <row r="345" spans="1:20" ht="12" customHeight="1" outlineLevel="1" x14ac:dyDescent="0.2">
      <c r="A345" s="4672" t="s">
        <v>3025</v>
      </c>
      <c r="B345" s="4672"/>
      <c r="C345" s="2905">
        <v>200</v>
      </c>
      <c r="D345" s="2906" t="s">
        <v>3026</v>
      </c>
      <c r="E345" s="2907" t="s">
        <v>3027</v>
      </c>
      <c r="F345" s="2908">
        <v>273</v>
      </c>
      <c r="G345" s="2908"/>
      <c r="H345" s="2909">
        <v>217260</v>
      </c>
      <c r="I345" s="4673">
        <v>217260</v>
      </c>
      <c r="J345" s="4673"/>
      <c r="K345" s="2907"/>
      <c r="L345" s="2907"/>
      <c r="M345" s="2910"/>
      <c r="N345" s="2911"/>
      <c r="O345" s="2911"/>
      <c r="P345" s="2907"/>
      <c r="Q345" s="2907"/>
      <c r="R345" s="2909">
        <v>217260</v>
      </c>
      <c r="S345" s="2909">
        <v>217260</v>
      </c>
      <c r="T345" s="2907"/>
    </row>
    <row r="346" spans="1:20" ht="12" customHeight="1" outlineLevel="1" x14ac:dyDescent="0.2">
      <c r="A346" s="4672" t="s">
        <v>2675</v>
      </c>
      <c r="B346" s="4672"/>
      <c r="C346" s="2905">
        <v>400</v>
      </c>
      <c r="D346" s="2906" t="s">
        <v>3028</v>
      </c>
      <c r="E346" s="2907" t="s">
        <v>3029</v>
      </c>
      <c r="F346" s="2908">
        <v>144</v>
      </c>
      <c r="G346" s="2908"/>
      <c r="H346" s="2909">
        <v>1200</v>
      </c>
      <c r="I346" s="4673">
        <v>1200</v>
      </c>
      <c r="J346" s="4673"/>
      <c r="K346" s="2907"/>
      <c r="L346" s="2907"/>
      <c r="M346" s="2910"/>
      <c r="N346" s="2911"/>
      <c r="O346" s="2911"/>
      <c r="P346" s="2907"/>
      <c r="Q346" s="2907"/>
      <c r="R346" s="2909">
        <v>1200</v>
      </c>
      <c r="S346" s="2909">
        <v>1200</v>
      </c>
      <c r="T346" s="2907"/>
    </row>
    <row r="347" spans="1:20" ht="12" customHeight="1" outlineLevel="1" x14ac:dyDescent="0.2">
      <c r="A347" s="4672" t="s">
        <v>3030</v>
      </c>
      <c r="B347" s="4672"/>
      <c r="C347" s="2905">
        <v>354</v>
      </c>
      <c r="D347" s="2906" t="s">
        <v>2650</v>
      </c>
      <c r="E347" s="2907" t="s">
        <v>3031</v>
      </c>
      <c r="F347" s="2908">
        <v>96</v>
      </c>
      <c r="G347" s="2908"/>
      <c r="H347" s="2909">
        <v>7867</v>
      </c>
      <c r="I347" s="4673">
        <v>7867</v>
      </c>
      <c r="J347" s="4673"/>
      <c r="K347" s="2907"/>
      <c r="L347" s="2907"/>
      <c r="M347" s="2910"/>
      <c r="N347" s="2911"/>
      <c r="O347" s="2911"/>
      <c r="P347" s="2907"/>
      <c r="Q347" s="2907"/>
      <c r="R347" s="2909">
        <v>7867</v>
      </c>
      <c r="S347" s="2909">
        <v>7867</v>
      </c>
      <c r="T347" s="2907"/>
    </row>
    <row r="348" spans="1:20" ht="12" customHeight="1" outlineLevel="1" x14ac:dyDescent="0.2">
      <c r="A348" s="4672" t="s">
        <v>3032</v>
      </c>
      <c r="B348" s="4672"/>
      <c r="C348" s="2905">
        <v>528</v>
      </c>
      <c r="D348" s="2906" t="s">
        <v>2626</v>
      </c>
      <c r="E348" s="2907" t="s">
        <v>3033</v>
      </c>
      <c r="F348" s="2908">
        <v>96</v>
      </c>
      <c r="G348" s="2908"/>
      <c r="H348" s="2909">
        <v>29250</v>
      </c>
      <c r="I348" s="4673">
        <v>29250</v>
      </c>
      <c r="J348" s="4673"/>
      <c r="K348" s="2907"/>
      <c r="L348" s="2907"/>
      <c r="M348" s="2910"/>
      <c r="N348" s="2911"/>
      <c r="O348" s="2911"/>
      <c r="P348" s="2907"/>
      <c r="Q348" s="2907"/>
      <c r="R348" s="2909">
        <v>29250</v>
      </c>
      <c r="S348" s="2909">
        <v>29250</v>
      </c>
      <c r="T348" s="2907"/>
    </row>
    <row r="349" spans="1:20" ht="12" customHeight="1" outlineLevel="1" x14ac:dyDescent="0.2">
      <c r="A349" s="4672" t="s">
        <v>3034</v>
      </c>
      <c r="B349" s="4672"/>
      <c r="C349" s="2912">
        <v>2425</v>
      </c>
      <c r="D349" s="2906" t="s">
        <v>3035</v>
      </c>
      <c r="E349" s="2907" t="s">
        <v>3036</v>
      </c>
      <c r="F349" s="2908">
        <v>84</v>
      </c>
      <c r="G349" s="2908"/>
      <c r="H349" s="2909">
        <v>88800</v>
      </c>
      <c r="I349" s="4673">
        <v>69771.240000000005</v>
      </c>
      <c r="J349" s="4673"/>
      <c r="K349" s="2909">
        <v>19028.759999999998</v>
      </c>
      <c r="L349" s="2907"/>
      <c r="M349" s="2911">
        <v>12685.68</v>
      </c>
      <c r="N349" s="2911">
        <f>M349</f>
        <v>12685.68</v>
      </c>
      <c r="O349" s="2911"/>
      <c r="P349" s="2907"/>
      <c r="Q349" s="2907"/>
      <c r="R349" s="2909">
        <v>88800</v>
      </c>
      <c r="S349" s="2909">
        <v>82456.92</v>
      </c>
      <c r="T349" s="2909">
        <v>6343.08</v>
      </c>
    </row>
    <row r="350" spans="1:20" ht="12" customHeight="1" outlineLevel="1" x14ac:dyDescent="0.2">
      <c r="A350" s="4672" t="s">
        <v>3037</v>
      </c>
      <c r="B350" s="4672"/>
      <c r="C350" s="2905">
        <v>419</v>
      </c>
      <c r="D350" s="2906" t="s">
        <v>2274</v>
      </c>
      <c r="E350" s="2907" t="s">
        <v>3038</v>
      </c>
      <c r="F350" s="2908">
        <v>96</v>
      </c>
      <c r="G350" s="2908"/>
      <c r="H350" s="2909">
        <v>32590</v>
      </c>
      <c r="I350" s="4673">
        <v>32590</v>
      </c>
      <c r="J350" s="4673"/>
      <c r="K350" s="2907"/>
      <c r="L350" s="2907"/>
      <c r="M350" s="2910"/>
      <c r="N350" s="2911"/>
      <c r="O350" s="2911"/>
      <c r="P350" s="2907"/>
      <c r="Q350" s="2907"/>
      <c r="R350" s="2909">
        <v>32590</v>
      </c>
      <c r="S350" s="2909">
        <v>32590</v>
      </c>
      <c r="T350" s="2907"/>
    </row>
    <row r="351" spans="1:20" ht="12" customHeight="1" outlineLevel="1" x14ac:dyDescent="0.2">
      <c r="A351" s="4672" t="s">
        <v>3039</v>
      </c>
      <c r="B351" s="4672"/>
      <c r="C351" s="2905">
        <v>204</v>
      </c>
      <c r="D351" s="2906" t="s">
        <v>3040</v>
      </c>
      <c r="E351" s="2907" t="s">
        <v>3041</v>
      </c>
      <c r="F351" s="2908">
        <v>96</v>
      </c>
      <c r="G351" s="2908"/>
      <c r="H351" s="2909">
        <v>16100</v>
      </c>
      <c r="I351" s="4673">
        <v>16100</v>
      </c>
      <c r="J351" s="4673"/>
      <c r="K351" s="2907"/>
      <c r="L351" s="2907"/>
      <c r="M351" s="2910"/>
      <c r="N351" s="2911"/>
      <c r="O351" s="2911"/>
      <c r="P351" s="2907"/>
      <c r="Q351" s="2907"/>
      <c r="R351" s="2909">
        <v>16100</v>
      </c>
      <c r="S351" s="2909">
        <v>16100</v>
      </c>
      <c r="T351" s="2907"/>
    </row>
    <row r="352" spans="1:20" s="2928" customFormat="1" ht="12" customHeight="1" outlineLevel="1" x14ac:dyDescent="0.2">
      <c r="A352" s="4681" t="s">
        <v>3042</v>
      </c>
      <c r="B352" s="4681"/>
      <c r="C352" s="2951">
        <v>2384</v>
      </c>
      <c r="D352" s="2923" t="s">
        <v>2668</v>
      </c>
      <c r="E352" s="2924" t="s">
        <v>3043</v>
      </c>
      <c r="F352" s="2925">
        <v>84</v>
      </c>
      <c r="G352" s="2925"/>
      <c r="H352" s="2926">
        <v>23401.27</v>
      </c>
      <c r="I352" s="4682">
        <v>21172.84</v>
      </c>
      <c r="J352" s="4682"/>
      <c r="K352" s="2926">
        <v>2228.4299999999998</v>
      </c>
      <c r="L352" s="2924"/>
      <c r="M352" s="2926">
        <v>2228.4299999999998</v>
      </c>
      <c r="N352" s="2926">
        <f>M352</f>
        <v>2228.4299999999998</v>
      </c>
      <c r="O352" s="2926"/>
      <c r="P352" s="2924"/>
      <c r="Q352" s="2924"/>
      <c r="R352" s="2926">
        <v>23401.27</v>
      </c>
      <c r="S352" s="2926">
        <v>23401.27</v>
      </c>
      <c r="T352" s="2924"/>
    </row>
    <row r="353" spans="1:20" ht="12" customHeight="1" outlineLevel="1" x14ac:dyDescent="0.2">
      <c r="A353" s="4672" t="s">
        <v>3044</v>
      </c>
      <c r="B353" s="4672"/>
      <c r="C353" s="2905">
        <v>297</v>
      </c>
      <c r="D353" s="2906" t="s">
        <v>2626</v>
      </c>
      <c r="E353" s="2907" t="s">
        <v>3045</v>
      </c>
      <c r="F353" s="2908">
        <v>96</v>
      </c>
      <c r="G353" s="2908"/>
      <c r="H353" s="2952">
        <v>450</v>
      </c>
      <c r="I353" s="4676">
        <v>450</v>
      </c>
      <c r="J353" s="4676"/>
      <c r="K353" s="2907"/>
      <c r="L353" s="2907"/>
      <c r="M353" s="2910"/>
      <c r="N353" s="2911"/>
      <c r="O353" s="2911"/>
      <c r="P353" s="2907"/>
      <c r="Q353" s="2907"/>
      <c r="R353" s="2952">
        <v>450</v>
      </c>
      <c r="S353" s="2952">
        <v>450</v>
      </c>
      <c r="T353" s="2907"/>
    </row>
    <row r="354" spans="1:20" ht="12" customHeight="1" outlineLevel="1" x14ac:dyDescent="0.2">
      <c r="A354" s="4672" t="s">
        <v>3046</v>
      </c>
      <c r="B354" s="4672"/>
      <c r="C354" s="2905">
        <v>393</v>
      </c>
      <c r="D354" s="2906" t="s">
        <v>3047</v>
      </c>
      <c r="E354" s="2907" t="s">
        <v>3048</v>
      </c>
      <c r="F354" s="2908">
        <v>96</v>
      </c>
      <c r="G354" s="2908"/>
      <c r="H354" s="2909">
        <v>2942</v>
      </c>
      <c r="I354" s="4673">
        <v>2942</v>
      </c>
      <c r="J354" s="4673"/>
      <c r="K354" s="2907"/>
      <c r="L354" s="2907"/>
      <c r="M354" s="2910"/>
      <c r="N354" s="2911"/>
      <c r="O354" s="2911"/>
      <c r="P354" s="2907"/>
      <c r="Q354" s="2907"/>
      <c r="R354" s="2909">
        <v>2942</v>
      </c>
      <c r="S354" s="2909">
        <v>2942</v>
      </c>
      <c r="T354" s="2907"/>
    </row>
    <row r="355" spans="1:20" ht="12" customHeight="1" outlineLevel="1" x14ac:dyDescent="0.2">
      <c r="A355" s="4672" t="s">
        <v>3049</v>
      </c>
      <c r="B355" s="4672"/>
      <c r="C355" s="2905">
        <v>443</v>
      </c>
      <c r="D355" s="2906" t="s">
        <v>2302</v>
      </c>
      <c r="E355" s="2907" t="s">
        <v>3050</v>
      </c>
      <c r="F355" s="2908">
        <v>96</v>
      </c>
      <c r="G355" s="2908"/>
      <c r="H355" s="2909">
        <v>5760</v>
      </c>
      <c r="I355" s="4673">
        <v>5760</v>
      </c>
      <c r="J355" s="4673"/>
      <c r="K355" s="2907"/>
      <c r="L355" s="2907"/>
      <c r="M355" s="2910"/>
      <c r="N355" s="2911"/>
      <c r="O355" s="2911"/>
      <c r="P355" s="2907"/>
      <c r="Q355" s="2907"/>
      <c r="R355" s="2909">
        <v>5760</v>
      </c>
      <c r="S355" s="2909">
        <v>5760</v>
      </c>
      <c r="T355" s="2907"/>
    </row>
    <row r="356" spans="1:20" ht="23.25" customHeight="1" outlineLevel="1" x14ac:dyDescent="0.2">
      <c r="A356" s="4672" t="s">
        <v>3051</v>
      </c>
      <c r="B356" s="4672"/>
      <c r="C356" s="2912">
        <v>2454</v>
      </c>
      <c r="D356" s="2906" t="s">
        <v>3052</v>
      </c>
      <c r="E356" s="2907" t="s">
        <v>3053</v>
      </c>
      <c r="F356" s="2908">
        <v>84</v>
      </c>
      <c r="G356" s="2908"/>
      <c r="H356" s="2909">
        <v>60983.05</v>
      </c>
      <c r="I356" s="4673">
        <v>37025.49</v>
      </c>
      <c r="J356" s="4673"/>
      <c r="K356" s="2909">
        <v>23957.56</v>
      </c>
      <c r="L356" s="2907"/>
      <c r="M356" s="2911">
        <v>8711.8799999999992</v>
      </c>
      <c r="N356" s="2911">
        <f>M356</f>
        <v>8711.8799999999992</v>
      </c>
      <c r="O356" s="2911"/>
      <c r="P356" s="2907"/>
      <c r="Q356" s="2907"/>
      <c r="R356" s="2909">
        <v>60983.05</v>
      </c>
      <c r="S356" s="2909">
        <v>45737.37</v>
      </c>
      <c r="T356" s="2909">
        <v>15245.68</v>
      </c>
    </row>
    <row r="357" spans="1:20" ht="12" customHeight="1" outlineLevel="1" x14ac:dyDescent="0.2">
      <c r="A357" s="4672" t="s">
        <v>3054</v>
      </c>
      <c r="B357" s="4672"/>
      <c r="C357" s="2905">
        <v>684</v>
      </c>
      <c r="D357" s="2906" t="s">
        <v>2837</v>
      </c>
      <c r="E357" s="2907" t="s">
        <v>3055</v>
      </c>
      <c r="F357" s="2908">
        <v>84</v>
      </c>
      <c r="G357" s="2908"/>
      <c r="H357" s="2909">
        <v>42260</v>
      </c>
      <c r="I357" s="4673">
        <v>42260</v>
      </c>
      <c r="J357" s="4673"/>
      <c r="K357" s="2907"/>
      <c r="L357" s="2907"/>
      <c r="M357" s="2910"/>
      <c r="N357" s="2911"/>
      <c r="O357" s="2911"/>
      <c r="P357" s="2907"/>
      <c r="Q357" s="2907"/>
      <c r="R357" s="2909">
        <v>42260</v>
      </c>
      <c r="S357" s="2909">
        <v>42260</v>
      </c>
      <c r="T357" s="2907"/>
    </row>
    <row r="358" spans="1:20" ht="12" customHeight="1" outlineLevel="1" x14ac:dyDescent="0.2">
      <c r="A358" s="4672" t="s">
        <v>3056</v>
      </c>
      <c r="B358" s="4672"/>
      <c r="C358" s="2905">
        <v>685</v>
      </c>
      <c r="D358" s="2906" t="s">
        <v>2837</v>
      </c>
      <c r="E358" s="2907" t="s">
        <v>3057</v>
      </c>
      <c r="F358" s="2908">
        <v>84</v>
      </c>
      <c r="G358" s="2908"/>
      <c r="H358" s="2909">
        <v>107420</v>
      </c>
      <c r="I358" s="4673">
        <v>107420</v>
      </c>
      <c r="J358" s="4673"/>
      <c r="K358" s="2907"/>
      <c r="L358" s="2907"/>
      <c r="M358" s="2910"/>
      <c r="N358" s="2911"/>
      <c r="O358" s="2911"/>
      <c r="P358" s="2907"/>
      <c r="Q358" s="2907"/>
      <c r="R358" s="2909">
        <v>107420</v>
      </c>
      <c r="S358" s="2909">
        <v>107420</v>
      </c>
      <c r="T358" s="2907"/>
    </row>
    <row r="359" spans="1:20" ht="12" customHeight="1" outlineLevel="1" x14ac:dyDescent="0.2">
      <c r="A359" s="4672" t="s">
        <v>3058</v>
      </c>
      <c r="B359" s="4672"/>
      <c r="C359" s="2905">
        <v>683</v>
      </c>
      <c r="D359" s="2906" t="s">
        <v>3059</v>
      </c>
      <c r="E359" s="2907" t="s">
        <v>3055</v>
      </c>
      <c r="F359" s="2908">
        <v>84</v>
      </c>
      <c r="G359" s="2908"/>
      <c r="H359" s="2909">
        <v>84520</v>
      </c>
      <c r="I359" s="4673">
        <v>84520</v>
      </c>
      <c r="J359" s="4673"/>
      <c r="K359" s="2907"/>
      <c r="L359" s="2907"/>
      <c r="M359" s="2910"/>
      <c r="N359" s="2911"/>
      <c r="O359" s="2911"/>
      <c r="P359" s="2907"/>
      <c r="Q359" s="2907"/>
      <c r="R359" s="2909">
        <v>84520</v>
      </c>
      <c r="S359" s="2909">
        <v>84520</v>
      </c>
      <c r="T359" s="2907"/>
    </row>
    <row r="360" spans="1:20" ht="12" customHeight="1" outlineLevel="1" x14ac:dyDescent="0.2">
      <c r="A360" s="4672" t="s">
        <v>3060</v>
      </c>
      <c r="B360" s="4672"/>
      <c r="C360" s="2905">
        <v>353</v>
      </c>
      <c r="D360" s="2906" t="s">
        <v>2647</v>
      </c>
      <c r="E360" s="2907" t="s">
        <v>3061</v>
      </c>
      <c r="F360" s="2908">
        <v>96</v>
      </c>
      <c r="G360" s="2908"/>
      <c r="H360" s="2909">
        <v>11207</v>
      </c>
      <c r="I360" s="4673">
        <v>11207</v>
      </c>
      <c r="J360" s="4673"/>
      <c r="K360" s="2907"/>
      <c r="L360" s="2907"/>
      <c r="M360" s="2910"/>
      <c r="N360" s="2911"/>
      <c r="O360" s="2911"/>
      <c r="P360" s="2907"/>
      <c r="Q360" s="2907"/>
      <c r="R360" s="2909">
        <v>11207</v>
      </c>
      <c r="S360" s="2909">
        <v>11207</v>
      </c>
      <c r="T360" s="2907"/>
    </row>
    <row r="361" spans="1:20" ht="12" customHeight="1" outlineLevel="1" x14ac:dyDescent="0.2">
      <c r="A361" s="4672" t="s">
        <v>3062</v>
      </c>
      <c r="B361" s="4672"/>
      <c r="C361" s="2905">
        <v>556</v>
      </c>
      <c r="D361" s="2906" t="s">
        <v>2626</v>
      </c>
      <c r="E361" s="2907" t="s">
        <v>3063</v>
      </c>
      <c r="F361" s="2908">
        <v>96</v>
      </c>
      <c r="G361" s="2908"/>
      <c r="H361" s="2909">
        <v>11966</v>
      </c>
      <c r="I361" s="4673">
        <v>11966</v>
      </c>
      <c r="J361" s="4673"/>
      <c r="K361" s="2907"/>
      <c r="L361" s="2907"/>
      <c r="M361" s="2910"/>
      <c r="N361" s="2911"/>
      <c r="O361" s="2911"/>
      <c r="P361" s="2907"/>
      <c r="Q361" s="2907"/>
      <c r="R361" s="2909">
        <v>11966</v>
      </c>
      <c r="S361" s="2909">
        <v>11966</v>
      </c>
      <c r="T361" s="2907"/>
    </row>
    <row r="362" spans="1:20" ht="12" customHeight="1" outlineLevel="1" x14ac:dyDescent="0.2">
      <c r="A362" s="4672" t="s">
        <v>3064</v>
      </c>
      <c r="B362" s="4672"/>
      <c r="C362" s="2912">
        <v>2406</v>
      </c>
      <c r="D362" s="2906" t="s">
        <v>2621</v>
      </c>
      <c r="E362" s="2907" t="s">
        <v>3065</v>
      </c>
      <c r="F362" s="2908">
        <v>1</v>
      </c>
      <c r="G362" s="2908"/>
      <c r="H362" s="2907"/>
      <c r="I362" s="2947"/>
      <c r="J362" s="2948"/>
      <c r="K362" s="2907"/>
      <c r="L362" s="2907"/>
      <c r="M362" s="2910"/>
      <c r="N362" s="2911"/>
      <c r="O362" s="2911"/>
      <c r="P362" s="2907"/>
      <c r="Q362" s="2907"/>
      <c r="R362" s="2907"/>
      <c r="S362" s="2907"/>
      <c r="T362" s="2907"/>
    </row>
    <row r="363" spans="1:20" ht="12" customHeight="1" outlineLevel="1" x14ac:dyDescent="0.2">
      <c r="A363" s="4672" t="s">
        <v>3066</v>
      </c>
      <c r="B363" s="4672"/>
      <c r="C363" s="2905">
        <v>590</v>
      </c>
      <c r="D363" s="2906" t="s">
        <v>2825</v>
      </c>
      <c r="E363" s="2907" t="s">
        <v>3067</v>
      </c>
      <c r="F363" s="2908">
        <v>84</v>
      </c>
      <c r="G363" s="2908"/>
      <c r="H363" s="2909">
        <v>193334.05</v>
      </c>
      <c r="I363" s="4673">
        <v>193334.05</v>
      </c>
      <c r="J363" s="4673"/>
      <c r="K363" s="2907"/>
      <c r="L363" s="2907"/>
      <c r="M363" s="2910"/>
      <c r="N363" s="2911"/>
      <c r="O363" s="2911"/>
      <c r="P363" s="2907"/>
      <c r="Q363" s="2907"/>
      <c r="R363" s="2909">
        <v>193334.05</v>
      </c>
      <c r="S363" s="2909">
        <v>193334.05</v>
      </c>
      <c r="T363" s="2907"/>
    </row>
    <row r="364" spans="1:20" s="2928" customFormat="1" ht="23.25" customHeight="1" outlineLevel="1" x14ac:dyDescent="0.2">
      <c r="A364" s="4681" t="s">
        <v>3068</v>
      </c>
      <c r="B364" s="4681"/>
      <c r="C364" s="2951">
        <v>2397</v>
      </c>
      <c r="D364" s="2923" t="s">
        <v>3069</v>
      </c>
      <c r="E364" s="2924" t="s">
        <v>3070</v>
      </c>
      <c r="F364" s="2925">
        <v>84</v>
      </c>
      <c r="G364" s="2925"/>
      <c r="H364" s="2926">
        <v>32203.48</v>
      </c>
      <c r="I364" s="4682">
        <v>27602.639999999999</v>
      </c>
      <c r="J364" s="4682"/>
      <c r="K364" s="2926">
        <v>4600.84</v>
      </c>
      <c r="L364" s="2924"/>
      <c r="M364" s="2926">
        <v>3066.96</v>
      </c>
      <c r="N364" s="2926">
        <f>M364</f>
        <v>3066.96</v>
      </c>
      <c r="O364" s="2926"/>
      <c r="P364" s="2926">
        <v>32203.48</v>
      </c>
      <c r="Q364" s="2926">
        <v>30669.599999999999</v>
      </c>
      <c r="R364" s="2924"/>
      <c r="S364" s="2924"/>
      <c r="T364" s="2924"/>
    </row>
    <row r="365" spans="1:20" s="2928" customFormat="1" ht="23.25" customHeight="1" outlineLevel="1" x14ac:dyDescent="0.2">
      <c r="A365" s="4681" t="s">
        <v>3071</v>
      </c>
      <c r="B365" s="4681"/>
      <c r="C365" s="2951">
        <v>2387</v>
      </c>
      <c r="D365" s="2923" t="s">
        <v>3072</v>
      </c>
      <c r="E365" s="2924" t="s">
        <v>3073</v>
      </c>
      <c r="F365" s="2925">
        <v>84</v>
      </c>
      <c r="G365" s="2925"/>
      <c r="H365" s="2926">
        <v>12191.54</v>
      </c>
      <c r="I365" s="4682">
        <v>11030.64</v>
      </c>
      <c r="J365" s="4682"/>
      <c r="K365" s="2926">
        <v>1160.9000000000001</v>
      </c>
      <c r="L365" s="2924"/>
      <c r="M365" s="2926">
        <v>1160.9000000000001</v>
      </c>
      <c r="N365" s="2926">
        <f>M365</f>
        <v>1160.9000000000001</v>
      </c>
      <c r="O365" s="2926"/>
      <c r="P365" s="2924"/>
      <c r="Q365" s="2924"/>
      <c r="R365" s="2926">
        <v>12191.54</v>
      </c>
      <c r="S365" s="2926">
        <v>12191.54</v>
      </c>
      <c r="T365" s="2924"/>
    </row>
    <row r="366" spans="1:20" s="2928" customFormat="1" ht="12" customHeight="1" outlineLevel="1" x14ac:dyDescent="0.2">
      <c r="A366" s="4681" t="s">
        <v>3074</v>
      </c>
      <c r="B366" s="4681"/>
      <c r="C366" s="2951">
        <v>2388</v>
      </c>
      <c r="D366" s="2923" t="s">
        <v>3072</v>
      </c>
      <c r="E366" s="2924" t="s">
        <v>3075</v>
      </c>
      <c r="F366" s="2925">
        <v>84</v>
      </c>
      <c r="G366" s="2925"/>
      <c r="H366" s="2926">
        <v>21483.05</v>
      </c>
      <c r="I366" s="4682">
        <v>19437</v>
      </c>
      <c r="J366" s="4682"/>
      <c r="K366" s="2926">
        <v>2046.05</v>
      </c>
      <c r="L366" s="2924"/>
      <c r="M366" s="2926">
        <v>2046.05</v>
      </c>
      <c r="N366" s="2926">
        <f>M366</f>
        <v>2046.05</v>
      </c>
      <c r="O366" s="2926"/>
      <c r="P366" s="2924"/>
      <c r="Q366" s="2924"/>
      <c r="R366" s="2926">
        <v>21483.05</v>
      </c>
      <c r="S366" s="2926">
        <v>21483.05</v>
      </c>
      <c r="T366" s="2924"/>
    </row>
    <row r="367" spans="1:20" ht="23.25" customHeight="1" outlineLevel="1" x14ac:dyDescent="0.2">
      <c r="A367" s="4672" t="s">
        <v>3076</v>
      </c>
      <c r="B367" s="4672"/>
      <c r="C367" s="2912">
        <v>2420</v>
      </c>
      <c r="D367" s="2906" t="s">
        <v>2995</v>
      </c>
      <c r="E367" s="2907" t="s">
        <v>3077</v>
      </c>
      <c r="F367" s="2908">
        <v>84</v>
      </c>
      <c r="G367" s="2908"/>
      <c r="H367" s="2909">
        <v>47457.63</v>
      </c>
      <c r="I367" s="4673">
        <v>37288.019999999997</v>
      </c>
      <c r="J367" s="4673"/>
      <c r="K367" s="2909">
        <v>10169.61</v>
      </c>
      <c r="L367" s="2907"/>
      <c r="M367" s="2911">
        <v>6779.64</v>
      </c>
      <c r="N367" s="2911">
        <f>M367</f>
        <v>6779.64</v>
      </c>
      <c r="O367" s="2911"/>
      <c r="P367" s="2907"/>
      <c r="Q367" s="2907"/>
      <c r="R367" s="2909">
        <v>47457.63</v>
      </c>
      <c r="S367" s="2909">
        <v>44067.66</v>
      </c>
      <c r="T367" s="2909">
        <v>3389.97</v>
      </c>
    </row>
    <row r="368" spans="1:20" ht="12" customHeight="1" outlineLevel="1" x14ac:dyDescent="0.2">
      <c r="A368" s="4672" t="s">
        <v>3078</v>
      </c>
      <c r="B368" s="4672"/>
      <c r="C368" s="2905">
        <v>201</v>
      </c>
      <c r="D368" s="2906" t="s">
        <v>3079</v>
      </c>
      <c r="E368" s="2907" t="s">
        <v>3080</v>
      </c>
      <c r="F368" s="2908">
        <v>96</v>
      </c>
      <c r="G368" s="2908"/>
      <c r="H368" s="2907"/>
      <c r="I368" s="2947"/>
      <c r="J368" s="2948"/>
      <c r="K368" s="2907"/>
      <c r="L368" s="2907"/>
      <c r="M368" s="2910"/>
      <c r="N368" s="2911"/>
      <c r="O368" s="2911"/>
      <c r="P368" s="2907"/>
      <c r="Q368" s="2907"/>
      <c r="R368" s="2907"/>
      <c r="S368" s="2907"/>
      <c r="T368" s="2907"/>
    </row>
    <row r="369" spans="1:20" ht="12" customHeight="1" outlineLevel="1" x14ac:dyDescent="0.2">
      <c r="A369" s="4672" t="s">
        <v>3078</v>
      </c>
      <c r="B369" s="4672"/>
      <c r="C369" s="2905">
        <v>202</v>
      </c>
      <c r="D369" s="2906" t="s">
        <v>3079</v>
      </c>
      <c r="E369" s="2907" t="s">
        <v>3080</v>
      </c>
      <c r="F369" s="2908">
        <v>96</v>
      </c>
      <c r="G369" s="2908"/>
      <c r="H369" s="2907"/>
      <c r="I369" s="2947"/>
      <c r="J369" s="2948"/>
      <c r="K369" s="2907"/>
      <c r="L369" s="2907"/>
      <c r="M369" s="2910"/>
      <c r="N369" s="2911"/>
      <c r="O369" s="2911"/>
      <c r="P369" s="2907"/>
      <c r="Q369" s="2907"/>
      <c r="R369" s="2907"/>
      <c r="S369" s="2907"/>
      <c r="T369" s="2907"/>
    </row>
    <row r="370" spans="1:20" ht="12" customHeight="1" outlineLevel="1" x14ac:dyDescent="0.2">
      <c r="A370" s="4672" t="s">
        <v>3081</v>
      </c>
      <c r="B370" s="4672"/>
      <c r="C370" s="2912">
        <v>2360</v>
      </c>
      <c r="D370" s="2906" t="s">
        <v>3082</v>
      </c>
      <c r="E370" s="2907" t="s">
        <v>3083</v>
      </c>
      <c r="F370" s="2908">
        <v>84</v>
      </c>
      <c r="G370" s="2908"/>
      <c r="H370" s="2909">
        <v>41525.42</v>
      </c>
      <c r="I370" s="4673">
        <v>41525.42</v>
      </c>
      <c r="J370" s="4673"/>
      <c r="K370" s="2907"/>
      <c r="L370" s="2907"/>
      <c r="M370" s="2910"/>
      <c r="N370" s="2911"/>
      <c r="O370" s="2911"/>
      <c r="P370" s="2907"/>
      <c r="Q370" s="2907"/>
      <c r="R370" s="2909">
        <v>41525.42</v>
      </c>
      <c r="S370" s="2909">
        <v>41525.42</v>
      </c>
      <c r="T370" s="2907"/>
    </row>
    <row r="371" spans="1:20" ht="12" customHeight="1" outlineLevel="1" x14ac:dyDescent="0.2">
      <c r="A371" s="4672" t="s">
        <v>3084</v>
      </c>
      <c r="B371" s="4672"/>
      <c r="C371" s="2905">
        <v>416</v>
      </c>
      <c r="D371" s="2906" t="s">
        <v>3085</v>
      </c>
      <c r="E371" s="2907" t="s">
        <v>3086</v>
      </c>
      <c r="F371" s="2908">
        <v>96</v>
      </c>
      <c r="G371" s="2908"/>
      <c r="H371" s="2909">
        <v>1827</v>
      </c>
      <c r="I371" s="4673">
        <v>1827</v>
      </c>
      <c r="J371" s="4673"/>
      <c r="K371" s="2907"/>
      <c r="L371" s="2907"/>
      <c r="M371" s="2910"/>
      <c r="N371" s="2911"/>
      <c r="O371" s="2911"/>
      <c r="P371" s="2907"/>
      <c r="Q371" s="2907"/>
      <c r="R371" s="2909">
        <v>1827</v>
      </c>
      <c r="S371" s="2909">
        <v>1827</v>
      </c>
      <c r="T371" s="2907"/>
    </row>
    <row r="372" spans="1:20" ht="12" customHeight="1" outlineLevel="1" x14ac:dyDescent="0.2">
      <c r="A372" s="4672" t="s">
        <v>3087</v>
      </c>
      <c r="B372" s="4672"/>
      <c r="C372" s="2905">
        <v>203</v>
      </c>
      <c r="D372" s="2906" t="s">
        <v>3040</v>
      </c>
      <c r="E372" s="2907" t="s">
        <v>3088</v>
      </c>
      <c r="F372" s="2908">
        <v>96</v>
      </c>
      <c r="G372" s="2908"/>
      <c r="H372" s="2909">
        <v>23000</v>
      </c>
      <c r="I372" s="4673">
        <v>23000</v>
      </c>
      <c r="J372" s="4673"/>
      <c r="K372" s="2907"/>
      <c r="L372" s="2907"/>
      <c r="M372" s="2910"/>
      <c r="N372" s="2911"/>
      <c r="O372" s="2911"/>
      <c r="P372" s="2907"/>
      <c r="Q372" s="2907"/>
      <c r="R372" s="2909">
        <v>23000</v>
      </c>
      <c r="S372" s="2909">
        <v>23000</v>
      </c>
      <c r="T372" s="2907"/>
    </row>
    <row r="373" spans="1:20" ht="23.25" customHeight="1" outlineLevel="1" x14ac:dyDescent="0.2">
      <c r="A373" s="4672" t="s">
        <v>3089</v>
      </c>
      <c r="B373" s="4672"/>
      <c r="C373" s="2912">
        <v>2405</v>
      </c>
      <c r="D373" s="2906" t="s">
        <v>2621</v>
      </c>
      <c r="E373" s="2907" t="s">
        <v>3090</v>
      </c>
      <c r="F373" s="2908">
        <v>84</v>
      </c>
      <c r="G373" s="2908"/>
      <c r="H373" s="2909">
        <v>91000</v>
      </c>
      <c r="I373" s="4673">
        <v>76916.429999999993</v>
      </c>
      <c r="J373" s="4673"/>
      <c r="K373" s="2909">
        <v>14083.57</v>
      </c>
      <c r="L373" s="2907"/>
      <c r="M373" s="2911">
        <v>12999.96</v>
      </c>
      <c r="N373" s="2911">
        <f>M373</f>
        <v>12999.96</v>
      </c>
      <c r="O373" s="2911"/>
      <c r="P373" s="2907"/>
      <c r="Q373" s="2907"/>
      <c r="R373" s="2909">
        <v>91000</v>
      </c>
      <c r="S373" s="2909">
        <v>89916.39</v>
      </c>
      <c r="T373" s="2909">
        <v>1083.6099999999999</v>
      </c>
    </row>
    <row r="374" spans="1:20" ht="12" customHeight="1" outlineLevel="1" x14ac:dyDescent="0.2">
      <c r="A374" s="4672" t="s">
        <v>3091</v>
      </c>
      <c r="B374" s="4672"/>
      <c r="C374" s="2905">
        <v>344</v>
      </c>
      <c r="D374" s="2906" t="s">
        <v>3092</v>
      </c>
      <c r="E374" s="2907" t="s">
        <v>3093</v>
      </c>
      <c r="F374" s="2908">
        <v>169</v>
      </c>
      <c r="G374" s="2908"/>
      <c r="H374" s="2909">
        <v>184964</v>
      </c>
      <c r="I374" s="4673">
        <v>184964</v>
      </c>
      <c r="J374" s="4673"/>
      <c r="K374" s="2907"/>
      <c r="L374" s="2907"/>
      <c r="M374" s="2910"/>
      <c r="N374" s="2911"/>
      <c r="O374" s="2911"/>
      <c r="P374" s="2907"/>
      <c r="Q374" s="2907"/>
      <c r="R374" s="2909">
        <v>184964</v>
      </c>
      <c r="S374" s="2909">
        <v>184964</v>
      </c>
      <c r="T374" s="2907"/>
    </row>
    <row r="375" spans="1:20" ht="12" customHeight="1" outlineLevel="1" x14ac:dyDescent="0.2">
      <c r="A375" s="4672" t="s">
        <v>3094</v>
      </c>
      <c r="B375" s="4672"/>
      <c r="C375" s="2905">
        <v>2020</v>
      </c>
      <c r="D375" s="2906" t="s">
        <v>3095</v>
      </c>
      <c r="E375" s="2907" t="s">
        <v>3096</v>
      </c>
      <c r="F375" s="2908">
        <v>36</v>
      </c>
      <c r="G375" s="2908"/>
      <c r="H375" s="2909">
        <v>25423.73</v>
      </c>
      <c r="I375" s="4673">
        <v>25423.73</v>
      </c>
      <c r="J375" s="4673"/>
      <c r="K375" s="2907"/>
      <c r="L375" s="2907"/>
      <c r="M375" s="2910"/>
      <c r="N375" s="2911"/>
      <c r="O375" s="2911"/>
      <c r="P375" s="2907"/>
      <c r="Q375" s="2907"/>
      <c r="R375" s="2909">
        <v>25423.73</v>
      </c>
      <c r="S375" s="2909">
        <v>25423.73</v>
      </c>
      <c r="T375" s="2907"/>
    </row>
    <row r="376" spans="1:20" ht="12" customHeight="1" outlineLevel="1" x14ac:dyDescent="0.2">
      <c r="A376" s="4672" t="s">
        <v>3097</v>
      </c>
      <c r="B376" s="4672"/>
      <c r="C376" s="2912">
        <v>1954</v>
      </c>
      <c r="D376" s="2906" t="s">
        <v>2629</v>
      </c>
      <c r="E376" s="2907" t="s">
        <v>3098</v>
      </c>
      <c r="F376" s="2908">
        <v>60</v>
      </c>
      <c r="G376" s="2908"/>
      <c r="H376" s="2909">
        <v>11779.66</v>
      </c>
      <c r="I376" s="4673">
        <v>11779.66</v>
      </c>
      <c r="J376" s="4673"/>
      <c r="K376" s="2907"/>
      <c r="L376" s="2907"/>
      <c r="M376" s="2910"/>
      <c r="N376" s="2911"/>
      <c r="O376" s="2911"/>
      <c r="P376" s="2907"/>
      <c r="Q376" s="2907"/>
      <c r="R376" s="2909">
        <v>11779.66</v>
      </c>
      <c r="S376" s="2909">
        <v>11779.66</v>
      </c>
      <c r="T376" s="2907"/>
    </row>
    <row r="377" spans="1:20" ht="12" customHeight="1" outlineLevel="1" x14ac:dyDescent="0.2">
      <c r="A377" s="4672" t="s">
        <v>3097</v>
      </c>
      <c r="B377" s="4672"/>
      <c r="C377" s="2912">
        <v>1955</v>
      </c>
      <c r="D377" s="2906" t="s">
        <v>2629</v>
      </c>
      <c r="E377" s="2907" t="s">
        <v>3098</v>
      </c>
      <c r="F377" s="2908">
        <v>60</v>
      </c>
      <c r="G377" s="2908"/>
      <c r="H377" s="2909">
        <v>11779.66</v>
      </c>
      <c r="I377" s="4673">
        <v>11779.66</v>
      </c>
      <c r="J377" s="4673"/>
      <c r="K377" s="2907"/>
      <c r="L377" s="2907"/>
      <c r="M377" s="2910"/>
      <c r="N377" s="2911"/>
      <c r="O377" s="2911"/>
      <c r="P377" s="2907"/>
      <c r="Q377" s="2907"/>
      <c r="R377" s="2909">
        <v>11779.66</v>
      </c>
      <c r="S377" s="2909">
        <v>11779.66</v>
      </c>
      <c r="T377" s="2907"/>
    </row>
    <row r="378" spans="1:20" ht="23.25" customHeight="1" outlineLevel="1" x14ac:dyDescent="0.2">
      <c r="A378" s="4672" t="s">
        <v>3099</v>
      </c>
      <c r="B378" s="4672"/>
      <c r="C378" s="2912">
        <v>1964</v>
      </c>
      <c r="D378" s="2906" t="s">
        <v>2653</v>
      </c>
      <c r="E378" s="2907" t="s">
        <v>3100</v>
      </c>
      <c r="F378" s="2908">
        <v>60</v>
      </c>
      <c r="G378" s="2908"/>
      <c r="H378" s="2909">
        <v>16050</v>
      </c>
      <c r="I378" s="4673">
        <v>16050</v>
      </c>
      <c r="J378" s="4673"/>
      <c r="K378" s="2907"/>
      <c r="L378" s="2907"/>
      <c r="M378" s="2910"/>
      <c r="N378" s="2911"/>
      <c r="O378" s="2911"/>
      <c r="P378" s="2907"/>
      <c r="Q378" s="2907"/>
      <c r="R378" s="2909">
        <v>16050</v>
      </c>
      <c r="S378" s="2909">
        <v>16050</v>
      </c>
      <c r="T378" s="2907"/>
    </row>
    <row r="379" spans="1:20" ht="12" customHeight="1" outlineLevel="1" x14ac:dyDescent="0.2">
      <c r="A379" s="4672" t="s">
        <v>3101</v>
      </c>
      <c r="B379" s="4672"/>
      <c r="C379" s="2912">
        <v>2358</v>
      </c>
      <c r="D379" s="2906" t="s">
        <v>3102</v>
      </c>
      <c r="E379" s="2907" t="s">
        <v>3103</v>
      </c>
      <c r="F379" s="2908">
        <v>84</v>
      </c>
      <c r="G379" s="2908"/>
      <c r="H379" s="2909">
        <v>54450</v>
      </c>
      <c r="I379" s="4673">
        <v>54450</v>
      </c>
      <c r="J379" s="4673"/>
      <c r="K379" s="2907"/>
      <c r="L379" s="2907"/>
      <c r="M379" s="2910"/>
      <c r="N379" s="2911"/>
      <c r="O379" s="2911"/>
      <c r="P379" s="2907"/>
      <c r="Q379" s="2907"/>
      <c r="R379" s="2909">
        <v>54450</v>
      </c>
      <c r="S379" s="2909">
        <v>54450</v>
      </c>
      <c r="T379" s="2907"/>
    </row>
    <row r="380" spans="1:20" ht="12" customHeight="1" outlineLevel="1" x14ac:dyDescent="0.2">
      <c r="A380" s="4672" t="s">
        <v>3101</v>
      </c>
      <c r="B380" s="4672"/>
      <c r="C380" s="2912">
        <v>2359</v>
      </c>
      <c r="D380" s="2906" t="s">
        <v>3102</v>
      </c>
      <c r="E380" s="2907" t="s">
        <v>3103</v>
      </c>
      <c r="F380" s="2908">
        <v>84</v>
      </c>
      <c r="G380" s="2908"/>
      <c r="H380" s="2909">
        <v>54450</v>
      </c>
      <c r="I380" s="4673">
        <v>54450</v>
      </c>
      <c r="J380" s="4673"/>
      <c r="K380" s="2907"/>
      <c r="L380" s="2907"/>
      <c r="M380" s="2910"/>
      <c r="N380" s="2911"/>
      <c r="O380" s="2911"/>
      <c r="P380" s="2907"/>
      <c r="Q380" s="2907"/>
      <c r="R380" s="2909">
        <v>54450</v>
      </c>
      <c r="S380" s="2909">
        <v>54450</v>
      </c>
      <c r="T380" s="2907"/>
    </row>
    <row r="381" spans="1:20" ht="12" customHeight="1" outlineLevel="1" x14ac:dyDescent="0.2">
      <c r="A381" s="4672" t="s">
        <v>3104</v>
      </c>
      <c r="B381" s="4672"/>
      <c r="C381" s="2905">
        <v>597</v>
      </c>
      <c r="D381" s="2906" t="s">
        <v>2902</v>
      </c>
      <c r="E381" s="2907" t="s">
        <v>3105</v>
      </c>
      <c r="F381" s="2908">
        <v>60</v>
      </c>
      <c r="G381" s="2908"/>
      <c r="H381" s="2909">
        <v>18333.330000000002</v>
      </c>
      <c r="I381" s="4673">
        <v>18333.330000000002</v>
      </c>
      <c r="J381" s="4673"/>
      <c r="K381" s="2907"/>
      <c r="L381" s="2907"/>
      <c r="M381" s="2910"/>
      <c r="N381" s="2911"/>
      <c r="O381" s="2911"/>
      <c r="P381" s="2907"/>
      <c r="Q381" s="2907"/>
      <c r="R381" s="2909">
        <v>18333.330000000002</v>
      </c>
      <c r="S381" s="2909">
        <v>18333.330000000002</v>
      </c>
      <c r="T381" s="2907"/>
    </row>
    <row r="382" spans="1:20" ht="12" customHeight="1" outlineLevel="1" x14ac:dyDescent="0.2">
      <c r="A382" s="4672" t="s">
        <v>3106</v>
      </c>
      <c r="B382" s="4672"/>
      <c r="C382" s="2912">
        <v>1951</v>
      </c>
      <c r="D382" s="2906" t="s">
        <v>3107</v>
      </c>
      <c r="E382" s="2907" t="s">
        <v>3108</v>
      </c>
      <c r="F382" s="2908">
        <v>84</v>
      </c>
      <c r="G382" s="2908"/>
      <c r="H382" s="2909">
        <v>132323.6</v>
      </c>
      <c r="I382" s="4673">
        <v>132323.6</v>
      </c>
      <c r="J382" s="4673"/>
      <c r="K382" s="2907"/>
      <c r="L382" s="2907"/>
      <c r="M382" s="2910"/>
      <c r="N382" s="2911"/>
      <c r="O382" s="2911"/>
      <c r="P382" s="2907"/>
      <c r="Q382" s="2907"/>
      <c r="R382" s="2909">
        <v>132323.6</v>
      </c>
      <c r="S382" s="2909">
        <v>132323.6</v>
      </c>
      <c r="T382" s="2907"/>
    </row>
    <row r="383" spans="1:20" ht="12" customHeight="1" outlineLevel="1" x14ac:dyDescent="0.2">
      <c r="A383" s="4672" t="s">
        <v>3109</v>
      </c>
      <c r="B383" s="4672"/>
      <c r="C383" s="2912">
        <v>1735</v>
      </c>
      <c r="D383" s="2906" t="s">
        <v>2704</v>
      </c>
      <c r="E383" s="2907" t="s">
        <v>3110</v>
      </c>
      <c r="F383" s="2908">
        <v>84</v>
      </c>
      <c r="G383" s="2908"/>
      <c r="H383" s="2909">
        <v>122916.88</v>
      </c>
      <c r="I383" s="4673">
        <v>122916.88</v>
      </c>
      <c r="J383" s="4673"/>
      <c r="K383" s="2907"/>
      <c r="L383" s="2907"/>
      <c r="M383" s="2910"/>
      <c r="N383" s="2911"/>
      <c r="O383" s="2911"/>
      <c r="P383" s="2907"/>
      <c r="Q383" s="2907"/>
      <c r="R383" s="2909">
        <v>122916.88</v>
      </c>
      <c r="S383" s="2909">
        <v>122916.88</v>
      </c>
      <c r="T383" s="2907"/>
    </row>
    <row r="384" spans="1:20" ht="12" customHeight="1" outlineLevel="1" x14ac:dyDescent="0.2">
      <c r="A384" s="4672" t="s">
        <v>2701</v>
      </c>
      <c r="B384" s="4672"/>
      <c r="C384" s="2912">
        <v>1967</v>
      </c>
      <c r="D384" s="2906" t="s">
        <v>2653</v>
      </c>
      <c r="E384" s="2907" t="s">
        <v>2702</v>
      </c>
      <c r="F384" s="2908">
        <v>84</v>
      </c>
      <c r="G384" s="2908"/>
      <c r="H384" s="2909">
        <v>50600</v>
      </c>
      <c r="I384" s="4673">
        <v>50600</v>
      </c>
      <c r="J384" s="4673"/>
      <c r="K384" s="2907"/>
      <c r="L384" s="2907"/>
      <c r="M384" s="2910"/>
      <c r="N384" s="2911"/>
      <c r="O384" s="2911"/>
      <c r="P384" s="2907"/>
      <c r="Q384" s="2907"/>
      <c r="R384" s="2909">
        <v>50600</v>
      </c>
      <c r="S384" s="2909">
        <v>50600</v>
      </c>
      <c r="T384" s="2907"/>
    </row>
    <row r="385" spans="1:20" ht="12" customHeight="1" outlineLevel="1" x14ac:dyDescent="0.2">
      <c r="A385" s="4672" t="s">
        <v>3111</v>
      </c>
      <c r="B385" s="4672"/>
      <c r="C385" s="2912">
        <v>1968</v>
      </c>
      <c r="D385" s="2906" t="s">
        <v>2653</v>
      </c>
      <c r="E385" s="2907" t="s">
        <v>3112</v>
      </c>
      <c r="F385" s="2908">
        <v>84</v>
      </c>
      <c r="G385" s="2908"/>
      <c r="H385" s="2909">
        <v>30875.49</v>
      </c>
      <c r="I385" s="4673">
        <v>30875.49</v>
      </c>
      <c r="J385" s="4673"/>
      <c r="K385" s="2907"/>
      <c r="L385" s="2907"/>
      <c r="M385" s="2910"/>
      <c r="N385" s="2911"/>
      <c r="O385" s="2911"/>
      <c r="P385" s="2907"/>
      <c r="Q385" s="2907"/>
      <c r="R385" s="2909">
        <v>30875.49</v>
      </c>
      <c r="S385" s="2909">
        <v>30875.49</v>
      </c>
      <c r="T385" s="2907"/>
    </row>
    <row r="386" spans="1:20" ht="12" customHeight="1" outlineLevel="1" x14ac:dyDescent="0.2">
      <c r="A386" s="4672" t="s">
        <v>3111</v>
      </c>
      <c r="B386" s="4672"/>
      <c r="C386" s="2912">
        <v>1969</v>
      </c>
      <c r="D386" s="2906" t="s">
        <v>2653</v>
      </c>
      <c r="E386" s="2907" t="s">
        <v>3112</v>
      </c>
      <c r="F386" s="2908">
        <v>84</v>
      </c>
      <c r="G386" s="2908"/>
      <c r="H386" s="2909">
        <v>30875.49</v>
      </c>
      <c r="I386" s="4673">
        <v>30875.49</v>
      </c>
      <c r="J386" s="4673"/>
      <c r="K386" s="2907"/>
      <c r="L386" s="2907"/>
      <c r="M386" s="2910"/>
      <c r="N386" s="2911"/>
      <c r="O386" s="2911"/>
      <c r="P386" s="2907"/>
      <c r="Q386" s="2907"/>
      <c r="R386" s="2909">
        <v>30875.49</v>
      </c>
      <c r="S386" s="2909">
        <v>30875.49</v>
      </c>
      <c r="T386" s="2907"/>
    </row>
    <row r="387" spans="1:20" ht="12" customHeight="1" outlineLevel="1" x14ac:dyDescent="0.2">
      <c r="A387" s="4672" t="s">
        <v>3113</v>
      </c>
      <c r="B387" s="4672"/>
      <c r="C387" s="2905">
        <v>398</v>
      </c>
      <c r="D387" s="2906" t="s">
        <v>3028</v>
      </c>
      <c r="E387" s="2907" t="s">
        <v>3114</v>
      </c>
      <c r="F387" s="2908">
        <v>96</v>
      </c>
      <c r="G387" s="2908"/>
      <c r="H387" s="2909">
        <v>2520</v>
      </c>
      <c r="I387" s="4673">
        <v>2520</v>
      </c>
      <c r="J387" s="4673"/>
      <c r="K387" s="2907"/>
      <c r="L387" s="2907"/>
      <c r="M387" s="2910"/>
      <c r="N387" s="2911"/>
      <c r="O387" s="2911"/>
      <c r="P387" s="2907"/>
      <c r="Q387" s="2907"/>
      <c r="R387" s="2909">
        <v>2520</v>
      </c>
      <c r="S387" s="2909">
        <v>2520</v>
      </c>
      <c r="T387" s="2907"/>
    </row>
    <row r="388" spans="1:20" ht="12" customHeight="1" outlineLevel="1" x14ac:dyDescent="0.2">
      <c r="A388" s="4672" t="s">
        <v>2798</v>
      </c>
      <c r="B388" s="4672"/>
      <c r="C388" s="2912">
        <v>2295</v>
      </c>
      <c r="D388" s="2906" t="s">
        <v>2799</v>
      </c>
      <c r="E388" s="2907" t="s">
        <v>2800</v>
      </c>
      <c r="F388" s="2908">
        <v>120</v>
      </c>
      <c r="G388" s="2908"/>
      <c r="H388" s="2909">
        <v>14576.27</v>
      </c>
      <c r="I388" s="4673">
        <v>12997.29</v>
      </c>
      <c r="J388" s="4673"/>
      <c r="K388" s="2909">
        <v>1578.98</v>
      </c>
      <c r="L388" s="2907"/>
      <c r="M388" s="2911">
        <v>1457.64</v>
      </c>
      <c r="N388" s="2911">
        <f>M388</f>
        <v>1457.64</v>
      </c>
      <c r="O388" s="2911"/>
      <c r="P388" s="2907"/>
      <c r="Q388" s="2907"/>
      <c r="R388" s="2909">
        <v>14576.27</v>
      </c>
      <c r="S388" s="2909">
        <v>14454.93</v>
      </c>
      <c r="T388" s="2952">
        <v>121.34</v>
      </c>
    </row>
    <row r="389" spans="1:20" ht="23.25" customHeight="1" outlineLevel="1" x14ac:dyDescent="0.2">
      <c r="A389" s="4672" t="s">
        <v>3115</v>
      </c>
      <c r="B389" s="4672"/>
      <c r="C389" s="2912">
        <v>2434</v>
      </c>
      <c r="D389" s="2906" t="s">
        <v>2305</v>
      </c>
      <c r="E389" s="2907" t="s">
        <v>3116</v>
      </c>
      <c r="F389" s="2908">
        <v>240</v>
      </c>
      <c r="G389" s="2908"/>
      <c r="H389" s="2909">
        <v>1140000.95</v>
      </c>
      <c r="I389" s="4673">
        <v>313500</v>
      </c>
      <c r="J389" s="4673"/>
      <c r="K389" s="2909">
        <v>826500.95</v>
      </c>
      <c r="L389" s="2907"/>
      <c r="M389" s="2911">
        <v>57000</v>
      </c>
      <c r="N389" s="2911">
        <f>M389</f>
        <v>57000</v>
      </c>
      <c r="O389" s="2911"/>
      <c r="P389" s="2907"/>
      <c r="Q389" s="2907"/>
      <c r="R389" s="2909">
        <v>1140000.95</v>
      </c>
      <c r="S389" s="2909">
        <v>370500</v>
      </c>
      <c r="T389" s="2909">
        <v>769500.95</v>
      </c>
    </row>
    <row r="390" spans="1:20" ht="12" customHeight="1" outlineLevel="1" x14ac:dyDescent="0.2">
      <c r="A390" s="4672" t="s">
        <v>3117</v>
      </c>
      <c r="B390" s="4672"/>
      <c r="C390" s="2905">
        <v>483</v>
      </c>
      <c r="D390" s="2906" t="s">
        <v>3026</v>
      </c>
      <c r="E390" s="2907" t="s">
        <v>3118</v>
      </c>
      <c r="F390" s="2908">
        <v>1</v>
      </c>
      <c r="G390" s="2908"/>
      <c r="H390" s="2909">
        <v>4554</v>
      </c>
      <c r="I390" s="4673">
        <v>4554</v>
      </c>
      <c r="J390" s="4673"/>
      <c r="K390" s="2907"/>
      <c r="L390" s="2907"/>
      <c r="M390" s="2910"/>
      <c r="N390" s="2911"/>
      <c r="O390" s="2911"/>
      <c r="P390" s="2907"/>
      <c r="Q390" s="2907"/>
      <c r="R390" s="2909">
        <v>4554</v>
      </c>
      <c r="S390" s="2909">
        <v>4554</v>
      </c>
      <c r="T390" s="2907"/>
    </row>
    <row r="391" spans="1:20" ht="23.25" customHeight="1" outlineLevel="1" x14ac:dyDescent="0.2">
      <c r="A391" s="4672" t="s">
        <v>3119</v>
      </c>
      <c r="B391" s="4672"/>
      <c r="C391" s="2905">
        <v>730</v>
      </c>
      <c r="D391" s="2906" t="s">
        <v>3120</v>
      </c>
      <c r="E391" s="2907" t="s">
        <v>3121</v>
      </c>
      <c r="F391" s="2908">
        <v>60</v>
      </c>
      <c r="G391" s="2908"/>
      <c r="H391" s="2909">
        <v>14150</v>
      </c>
      <c r="I391" s="4673">
        <v>14150</v>
      </c>
      <c r="J391" s="4673"/>
      <c r="K391" s="2907"/>
      <c r="L391" s="2907"/>
      <c r="M391" s="2910"/>
      <c r="N391" s="2911"/>
      <c r="O391" s="2911"/>
      <c r="P391" s="2907"/>
      <c r="Q391" s="2907"/>
      <c r="R391" s="2909">
        <v>14150</v>
      </c>
      <c r="S391" s="2909">
        <v>14150</v>
      </c>
      <c r="T391" s="2907"/>
    </row>
    <row r="392" spans="1:20" ht="12" customHeight="1" outlineLevel="1" x14ac:dyDescent="0.2">
      <c r="A392" s="4672" t="s">
        <v>3122</v>
      </c>
      <c r="B392" s="4672"/>
      <c r="C392" s="2912">
        <v>2364</v>
      </c>
      <c r="D392" s="2906" t="s">
        <v>3123</v>
      </c>
      <c r="E392" s="2907" t="s">
        <v>3124</v>
      </c>
      <c r="F392" s="2908">
        <v>1</v>
      </c>
      <c r="G392" s="2908"/>
      <c r="H392" s="2907"/>
      <c r="I392" s="2947"/>
      <c r="J392" s="2948"/>
      <c r="K392" s="2907"/>
      <c r="L392" s="2907"/>
      <c r="M392" s="2910"/>
      <c r="N392" s="2911"/>
      <c r="O392" s="2911"/>
      <c r="P392" s="2907"/>
      <c r="Q392" s="2907"/>
      <c r="R392" s="2907"/>
      <c r="S392" s="2907"/>
      <c r="T392" s="2907"/>
    </row>
    <row r="393" spans="1:20" ht="12" customHeight="1" outlineLevel="1" x14ac:dyDescent="0.2">
      <c r="A393" s="4672" t="s">
        <v>3122</v>
      </c>
      <c r="B393" s="4672"/>
      <c r="C393" s="2912">
        <v>2367</v>
      </c>
      <c r="D393" s="2906" t="s">
        <v>3125</v>
      </c>
      <c r="E393" s="2907" t="s">
        <v>3126</v>
      </c>
      <c r="F393" s="2908">
        <v>1</v>
      </c>
      <c r="G393" s="2908"/>
      <c r="H393" s="2907"/>
      <c r="I393" s="2947"/>
      <c r="J393" s="2948"/>
      <c r="K393" s="2907"/>
      <c r="L393" s="2907"/>
      <c r="M393" s="2910"/>
      <c r="N393" s="2911"/>
      <c r="O393" s="2911"/>
      <c r="P393" s="2907"/>
      <c r="Q393" s="2907"/>
      <c r="R393" s="2907"/>
      <c r="S393" s="2907"/>
      <c r="T393" s="2907"/>
    </row>
    <row r="394" spans="1:20" ht="23.25" customHeight="1" outlineLevel="1" x14ac:dyDescent="0.2">
      <c r="A394" s="4672" t="s">
        <v>3127</v>
      </c>
      <c r="B394" s="4672"/>
      <c r="C394" s="2905">
        <v>375</v>
      </c>
      <c r="D394" s="2906" t="s">
        <v>3128</v>
      </c>
      <c r="E394" s="2907" t="s">
        <v>3129</v>
      </c>
      <c r="F394" s="2908">
        <v>272</v>
      </c>
      <c r="G394" s="2908"/>
      <c r="H394" s="2909">
        <v>27293</v>
      </c>
      <c r="I394" s="4673">
        <v>27293</v>
      </c>
      <c r="J394" s="4673"/>
      <c r="K394" s="2907"/>
      <c r="L394" s="2907"/>
      <c r="M394" s="2910"/>
      <c r="N394" s="2911"/>
      <c r="O394" s="2911"/>
      <c r="P394" s="2907"/>
      <c r="Q394" s="2907"/>
      <c r="R394" s="2909">
        <v>27293</v>
      </c>
      <c r="S394" s="2909">
        <v>27293</v>
      </c>
      <c r="T394" s="2907"/>
    </row>
    <row r="395" spans="1:20" s="2921" customFormat="1" ht="23.25" customHeight="1" outlineLevel="1" x14ac:dyDescent="0.2">
      <c r="A395" s="4683" t="s">
        <v>2991</v>
      </c>
      <c r="B395" s="4683"/>
      <c r="C395" s="2955">
        <v>1515</v>
      </c>
      <c r="D395" s="2915" t="s">
        <v>2992</v>
      </c>
      <c r="E395" s="2916" t="s">
        <v>2993</v>
      </c>
      <c r="F395" s="2917">
        <v>36</v>
      </c>
      <c r="G395" s="2917"/>
      <c r="H395" s="2916"/>
      <c r="I395" s="2918"/>
      <c r="J395" s="2919"/>
      <c r="K395" s="2916"/>
      <c r="L395" s="2920">
        <v>50196.01</v>
      </c>
      <c r="M395" s="2920">
        <v>12548.97</v>
      </c>
      <c r="N395" s="2920">
        <f>L395/F395*9</f>
        <v>12549.002500000001</v>
      </c>
      <c r="O395" s="2920"/>
      <c r="P395" s="2916"/>
      <c r="Q395" s="2916"/>
      <c r="R395" s="2920">
        <v>50196.01</v>
      </c>
      <c r="S395" s="2920">
        <v>12548.97</v>
      </c>
      <c r="T395" s="2920">
        <v>37647.040000000001</v>
      </c>
    </row>
    <row r="396" spans="1:20" ht="12" customHeight="1" outlineLevel="1" x14ac:dyDescent="0.2">
      <c r="A396" s="4672" t="s">
        <v>2634</v>
      </c>
      <c r="B396" s="4672"/>
      <c r="C396" s="2905">
        <v>485</v>
      </c>
      <c r="D396" s="2906" t="s">
        <v>2344</v>
      </c>
      <c r="E396" s="2907" t="s">
        <v>3130</v>
      </c>
      <c r="F396" s="2908">
        <v>240</v>
      </c>
      <c r="G396" s="2908"/>
      <c r="H396" s="2909">
        <v>53210.55</v>
      </c>
      <c r="I396" s="4673">
        <v>47567.8</v>
      </c>
      <c r="J396" s="4673"/>
      <c r="K396" s="2909">
        <v>5642.75</v>
      </c>
      <c r="L396" s="2907"/>
      <c r="M396" s="2911">
        <v>2660.52</v>
      </c>
      <c r="N396" s="2911">
        <f>M396</f>
        <v>2660.52</v>
      </c>
      <c r="O396" s="2911"/>
      <c r="P396" s="2907"/>
      <c r="Q396" s="2907"/>
      <c r="R396" s="2909">
        <v>53210.55</v>
      </c>
      <c r="S396" s="2909">
        <v>50228.32</v>
      </c>
      <c r="T396" s="2909">
        <v>2982.23</v>
      </c>
    </row>
    <row r="397" spans="1:20" ht="12" customHeight="1" outlineLevel="1" x14ac:dyDescent="0.2">
      <c r="A397" s="4672" t="s">
        <v>3131</v>
      </c>
      <c r="B397" s="4672"/>
      <c r="C397" s="2905">
        <v>510</v>
      </c>
      <c r="D397" s="2906" t="s">
        <v>3132</v>
      </c>
      <c r="E397" s="2907" t="s">
        <v>3133</v>
      </c>
      <c r="F397" s="2908">
        <v>84</v>
      </c>
      <c r="G397" s="2908"/>
      <c r="H397" s="2909">
        <v>10304</v>
      </c>
      <c r="I397" s="4673">
        <v>10304</v>
      </c>
      <c r="J397" s="4673"/>
      <c r="K397" s="2907"/>
      <c r="L397" s="2907"/>
      <c r="M397" s="2910"/>
      <c r="N397" s="2911"/>
      <c r="O397" s="2911"/>
      <c r="P397" s="2907"/>
      <c r="Q397" s="2907"/>
      <c r="R397" s="2909">
        <v>10304</v>
      </c>
      <c r="S397" s="2909">
        <v>10304</v>
      </c>
      <c r="T397" s="2907"/>
    </row>
    <row r="398" spans="1:20" ht="12" customHeight="1" outlineLevel="1" x14ac:dyDescent="0.2">
      <c r="A398" s="4672" t="s">
        <v>3134</v>
      </c>
      <c r="B398" s="4672"/>
      <c r="C398" s="2905">
        <v>130</v>
      </c>
      <c r="D398" s="2906" t="s">
        <v>3135</v>
      </c>
      <c r="E398" s="2907" t="s">
        <v>3136</v>
      </c>
      <c r="F398" s="2908">
        <v>96</v>
      </c>
      <c r="G398" s="2908"/>
      <c r="H398" s="2909">
        <v>17380</v>
      </c>
      <c r="I398" s="4673">
        <v>17380</v>
      </c>
      <c r="J398" s="4673"/>
      <c r="K398" s="2907"/>
      <c r="L398" s="2907"/>
      <c r="M398" s="2910"/>
      <c r="N398" s="2911"/>
      <c r="O398" s="2911"/>
      <c r="P398" s="2907"/>
      <c r="Q398" s="2907"/>
      <c r="R398" s="2909">
        <v>17380</v>
      </c>
      <c r="S398" s="2909">
        <v>17380</v>
      </c>
      <c r="T398" s="2907"/>
    </row>
    <row r="399" spans="1:20" ht="23.25" customHeight="1" outlineLevel="1" x14ac:dyDescent="0.2">
      <c r="A399" s="4672" t="s">
        <v>2758</v>
      </c>
      <c r="B399" s="4672"/>
      <c r="C399" s="2912">
        <v>2398</v>
      </c>
      <c r="D399" s="2906" t="s">
        <v>3069</v>
      </c>
      <c r="E399" s="2907" t="s">
        <v>3137</v>
      </c>
      <c r="F399" s="2908">
        <v>60</v>
      </c>
      <c r="G399" s="2908"/>
      <c r="H399" s="2909">
        <v>30351.52</v>
      </c>
      <c r="I399" s="4673">
        <v>30351.52</v>
      </c>
      <c r="J399" s="4673"/>
      <c r="K399" s="2907"/>
      <c r="L399" s="2907"/>
      <c r="M399" s="2910"/>
      <c r="N399" s="2911"/>
      <c r="O399" s="2911"/>
      <c r="P399" s="2907"/>
      <c r="Q399" s="2907"/>
      <c r="R399" s="2909">
        <v>30351.52</v>
      </c>
      <c r="S399" s="2909">
        <v>30351.52</v>
      </c>
      <c r="T399" s="2907"/>
    </row>
    <row r="400" spans="1:20" ht="12" customHeight="1" outlineLevel="1" x14ac:dyDescent="0.2">
      <c r="A400" s="4672" t="s">
        <v>2849</v>
      </c>
      <c r="B400" s="4672"/>
      <c r="C400" s="2912">
        <v>1963</v>
      </c>
      <c r="D400" s="2906" t="s">
        <v>3138</v>
      </c>
      <c r="E400" s="2907" t="s">
        <v>3139</v>
      </c>
      <c r="F400" s="2908">
        <v>120</v>
      </c>
      <c r="G400" s="2908"/>
      <c r="H400" s="2909">
        <v>297503.81</v>
      </c>
      <c r="I400" s="4673">
        <v>297503.81</v>
      </c>
      <c r="J400" s="4673"/>
      <c r="K400" s="2907"/>
      <c r="L400" s="2907"/>
      <c r="M400" s="2910"/>
      <c r="N400" s="2911"/>
      <c r="O400" s="2911"/>
      <c r="P400" s="2907"/>
      <c r="Q400" s="2907"/>
      <c r="R400" s="2909">
        <v>297503.81</v>
      </c>
      <c r="S400" s="2909">
        <v>297503.81</v>
      </c>
      <c r="T400" s="2907"/>
    </row>
    <row r="401" spans="1:20" ht="23.25" customHeight="1" outlineLevel="1" x14ac:dyDescent="0.2">
      <c r="A401" s="4672" t="s">
        <v>3140</v>
      </c>
      <c r="B401" s="4672"/>
      <c r="C401" s="2912">
        <v>2399</v>
      </c>
      <c r="D401" s="2906" t="s">
        <v>3069</v>
      </c>
      <c r="E401" s="2907" t="s">
        <v>3141</v>
      </c>
      <c r="F401" s="2908">
        <v>84</v>
      </c>
      <c r="G401" s="2908"/>
      <c r="H401" s="2909">
        <v>133000</v>
      </c>
      <c r="I401" s="4673">
        <v>113999.76</v>
      </c>
      <c r="J401" s="4673"/>
      <c r="K401" s="2909">
        <v>19000.240000000002</v>
      </c>
      <c r="L401" s="2907"/>
      <c r="M401" s="2911">
        <v>18999.96</v>
      </c>
      <c r="N401" s="2911">
        <f>M401</f>
        <v>18999.96</v>
      </c>
      <c r="O401" s="2911"/>
      <c r="P401" s="2907"/>
      <c r="Q401" s="2907"/>
      <c r="R401" s="2909">
        <v>133000</v>
      </c>
      <c r="S401" s="2909">
        <v>132999.72</v>
      </c>
      <c r="T401" s="2952">
        <v>0.28000000000000003</v>
      </c>
    </row>
    <row r="402" spans="1:20" ht="23.25" customHeight="1" outlineLevel="1" x14ac:dyDescent="0.2">
      <c r="A402" s="4672" t="s">
        <v>3142</v>
      </c>
      <c r="B402" s="4672"/>
      <c r="C402" s="2912">
        <v>2450</v>
      </c>
      <c r="D402" s="2906" t="s">
        <v>3143</v>
      </c>
      <c r="E402" s="2907" t="s">
        <v>3144</v>
      </c>
      <c r="F402" s="2908">
        <v>84</v>
      </c>
      <c r="G402" s="2908"/>
      <c r="H402" s="2909">
        <v>239296</v>
      </c>
      <c r="I402" s="4673">
        <v>159530.56</v>
      </c>
      <c r="J402" s="4673"/>
      <c r="K402" s="2909">
        <v>79765.440000000002</v>
      </c>
      <c r="L402" s="2907"/>
      <c r="M402" s="2911">
        <v>34185.120000000003</v>
      </c>
      <c r="N402" s="2911">
        <f>M402</f>
        <v>34185.120000000003</v>
      </c>
      <c r="O402" s="2911"/>
      <c r="P402" s="2907"/>
      <c r="Q402" s="2907"/>
      <c r="R402" s="2909">
        <v>239296</v>
      </c>
      <c r="S402" s="2909">
        <v>193715.68</v>
      </c>
      <c r="T402" s="2909">
        <v>45580.32</v>
      </c>
    </row>
    <row r="403" spans="1:20" ht="23.25" customHeight="1" outlineLevel="1" x14ac:dyDescent="0.2">
      <c r="A403" s="4672" t="s">
        <v>3145</v>
      </c>
      <c r="B403" s="4672"/>
      <c r="C403" s="2912">
        <v>2447</v>
      </c>
      <c r="D403" s="2906" t="s">
        <v>3146</v>
      </c>
      <c r="E403" s="2907" t="s">
        <v>3147</v>
      </c>
      <c r="F403" s="2908">
        <v>84</v>
      </c>
      <c r="G403" s="2908"/>
      <c r="H403" s="2909">
        <v>350000</v>
      </c>
      <c r="I403" s="4673">
        <v>245833.53</v>
      </c>
      <c r="J403" s="4673"/>
      <c r="K403" s="2909">
        <v>104166.47</v>
      </c>
      <c r="L403" s="2907"/>
      <c r="M403" s="2911">
        <v>50000.04</v>
      </c>
      <c r="N403" s="2911">
        <f>M403</f>
        <v>50000.04</v>
      </c>
      <c r="O403" s="2911"/>
      <c r="P403" s="2907"/>
      <c r="Q403" s="2907"/>
      <c r="R403" s="2909">
        <v>350000</v>
      </c>
      <c r="S403" s="2909">
        <v>295833.57</v>
      </c>
      <c r="T403" s="2909">
        <v>54166.43</v>
      </c>
    </row>
    <row r="404" spans="1:20" ht="12" customHeight="1" outlineLevel="1" x14ac:dyDescent="0.2">
      <c r="A404" s="4672" t="s">
        <v>3148</v>
      </c>
      <c r="B404" s="4672"/>
      <c r="C404" s="2905">
        <v>589</v>
      </c>
      <c r="D404" s="2906" t="s">
        <v>2825</v>
      </c>
      <c r="E404" s="2907" t="s">
        <v>3105</v>
      </c>
      <c r="F404" s="2908">
        <v>60</v>
      </c>
      <c r="G404" s="2908"/>
      <c r="H404" s="2909">
        <v>18333.330000000002</v>
      </c>
      <c r="I404" s="4673">
        <v>18333.330000000002</v>
      </c>
      <c r="J404" s="4673"/>
      <c r="K404" s="2907"/>
      <c r="L404" s="2907"/>
      <c r="M404" s="2910"/>
      <c r="N404" s="2911"/>
      <c r="O404" s="2911"/>
      <c r="P404" s="2907"/>
      <c r="Q404" s="2907"/>
      <c r="R404" s="2909">
        <v>18333.330000000002</v>
      </c>
      <c r="S404" s="2909">
        <v>18333.330000000002</v>
      </c>
      <c r="T404" s="2907"/>
    </row>
    <row r="405" spans="1:20" ht="12" customHeight="1" outlineLevel="1" x14ac:dyDescent="0.2">
      <c r="A405" s="4672" t="s">
        <v>3148</v>
      </c>
      <c r="B405" s="4672"/>
      <c r="C405" s="2912">
        <v>2264</v>
      </c>
      <c r="D405" s="2906" t="s">
        <v>3149</v>
      </c>
      <c r="E405" s="2907" t="s">
        <v>3150</v>
      </c>
      <c r="F405" s="2908">
        <v>60</v>
      </c>
      <c r="G405" s="2908"/>
      <c r="H405" s="2909">
        <v>25000</v>
      </c>
      <c r="I405" s="4673">
        <v>25000</v>
      </c>
      <c r="J405" s="4673"/>
      <c r="K405" s="2907"/>
      <c r="L405" s="2907"/>
      <c r="M405" s="2910"/>
      <c r="N405" s="2911"/>
      <c r="O405" s="2911"/>
      <c r="P405" s="2907"/>
      <c r="Q405" s="2907"/>
      <c r="R405" s="2909">
        <v>25000</v>
      </c>
      <c r="S405" s="2909">
        <v>25000</v>
      </c>
      <c r="T405" s="2907"/>
    </row>
    <row r="406" spans="1:20" ht="12" customHeight="1" outlineLevel="1" x14ac:dyDescent="0.2">
      <c r="A406" s="4672" t="s">
        <v>3148</v>
      </c>
      <c r="B406" s="4672"/>
      <c r="C406" s="2912">
        <v>2265</v>
      </c>
      <c r="D406" s="2906" t="s">
        <v>3149</v>
      </c>
      <c r="E406" s="2907" t="s">
        <v>3150</v>
      </c>
      <c r="F406" s="2908">
        <v>60</v>
      </c>
      <c r="G406" s="2908"/>
      <c r="H406" s="2909">
        <v>25000</v>
      </c>
      <c r="I406" s="4673">
        <v>25000</v>
      </c>
      <c r="J406" s="4673"/>
      <c r="K406" s="2907"/>
      <c r="L406" s="2907"/>
      <c r="M406" s="2910"/>
      <c r="N406" s="2911"/>
      <c r="O406" s="2911"/>
      <c r="P406" s="2907"/>
      <c r="Q406" s="2907"/>
      <c r="R406" s="2909">
        <v>25000</v>
      </c>
      <c r="S406" s="2909">
        <v>25000</v>
      </c>
      <c r="T406" s="2907"/>
    </row>
    <row r="407" spans="1:20" ht="12" customHeight="1" outlineLevel="1" x14ac:dyDescent="0.2">
      <c r="A407" s="4672" t="s">
        <v>3151</v>
      </c>
      <c r="B407" s="4672"/>
      <c r="C407" s="2905">
        <v>299</v>
      </c>
      <c r="D407" s="2906" t="s">
        <v>2626</v>
      </c>
      <c r="E407" s="2907" t="s">
        <v>3152</v>
      </c>
      <c r="F407" s="2908">
        <v>115</v>
      </c>
      <c r="G407" s="2908"/>
      <c r="H407" s="2952">
        <v>985</v>
      </c>
      <c r="I407" s="4676">
        <v>985</v>
      </c>
      <c r="J407" s="4676"/>
      <c r="K407" s="2907"/>
      <c r="L407" s="2907"/>
      <c r="M407" s="2910"/>
      <c r="N407" s="2911"/>
      <c r="O407" s="2911"/>
      <c r="P407" s="2907"/>
      <c r="Q407" s="2907"/>
      <c r="R407" s="2952">
        <v>985</v>
      </c>
      <c r="S407" s="2952">
        <v>985</v>
      </c>
      <c r="T407" s="2907"/>
    </row>
    <row r="408" spans="1:20" ht="12" customHeight="1" outlineLevel="1" x14ac:dyDescent="0.2">
      <c r="A408" s="4672" t="s">
        <v>3153</v>
      </c>
      <c r="B408" s="4672"/>
      <c r="C408" s="2905">
        <v>709</v>
      </c>
      <c r="D408" s="2906" t="s">
        <v>2692</v>
      </c>
      <c r="E408" s="2907" t="s">
        <v>3150</v>
      </c>
      <c r="F408" s="2908">
        <v>48</v>
      </c>
      <c r="G408" s="2908"/>
      <c r="H408" s="2909">
        <v>25000</v>
      </c>
      <c r="I408" s="4673">
        <v>25000</v>
      </c>
      <c r="J408" s="4673"/>
      <c r="K408" s="2907"/>
      <c r="L408" s="2907"/>
      <c r="M408" s="2910"/>
      <c r="N408" s="2911"/>
      <c r="O408" s="2911"/>
      <c r="P408" s="2907"/>
      <c r="Q408" s="2907"/>
      <c r="R408" s="2909">
        <v>25000</v>
      </c>
      <c r="S408" s="2909">
        <v>25000</v>
      </c>
      <c r="T408" s="2907"/>
    </row>
    <row r="409" spans="1:20" ht="12" customHeight="1" outlineLevel="1" x14ac:dyDescent="0.2">
      <c r="A409" s="4672" t="s">
        <v>3154</v>
      </c>
      <c r="B409" s="4672"/>
      <c r="C409" s="2905">
        <v>300</v>
      </c>
      <c r="D409" s="2906" t="s">
        <v>2626</v>
      </c>
      <c r="E409" s="2907" t="s">
        <v>3155</v>
      </c>
      <c r="F409" s="2908">
        <v>67</v>
      </c>
      <c r="G409" s="2908"/>
      <c r="H409" s="2909">
        <v>2800</v>
      </c>
      <c r="I409" s="4673">
        <v>2800</v>
      </c>
      <c r="J409" s="4673"/>
      <c r="K409" s="2907"/>
      <c r="L409" s="2907"/>
      <c r="M409" s="2910"/>
      <c r="N409" s="2911"/>
      <c r="O409" s="2911"/>
      <c r="P409" s="2907"/>
      <c r="Q409" s="2907"/>
      <c r="R409" s="2909">
        <v>2800</v>
      </c>
      <c r="S409" s="2909">
        <v>2800</v>
      </c>
      <c r="T409" s="2907"/>
    </row>
    <row r="410" spans="1:20" ht="12" customHeight="1" outlineLevel="1" x14ac:dyDescent="0.2">
      <c r="A410" s="4672" t="s">
        <v>3156</v>
      </c>
      <c r="B410" s="4672"/>
      <c r="C410" s="2905">
        <v>573</v>
      </c>
      <c r="D410" s="2906" t="s">
        <v>2943</v>
      </c>
      <c r="E410" s="2907" t="s">
        <v>3157</v>
      </c>
      <c r="F410" s="2908">
        <v>1</v>
      </c>
      <c r="G410" s="2908"/>
      <c r="H410" s="2909">
        <v>13783.32</v>
      </c>
      <c r="I410" s="4673">
        <v>13783.32</v>
      </c>
      <c r="J410" s="4673"/>
      <c r="K410" s="2907"/>
      <c r="L410" s="2907"/>
      <c r="M410" s="2910"/>
      <c r="N410" s="2911"/>
      <c r="O410" s="2911"/>
      <c r="P410" s="2909">
        <v>13783.32</v>
      </c>
      <c r="Q410" s="2909">
        <v>13783.32</v>
      </c>
      <c r="R410" s="2907"/>
      <c r="S410" s="2907"/>
      <c r="T410" s="2907"/>
    </row>
    <row r="411" spans="1:20" ht="23.25" customHeight="1" outlineLevel="1" x14ac:dyDescent="0.2">
      <c r="A411" s="4672" t="s">
        <v>2740</v>
      </c>
      <c r="B411" s="4672"/>
      <c r="C411" s="2912">
        <v>2389</v>
      </c>
      <c r="D411" s="2906" t="s">
        <v>2741</v>
      </c>
      <c r="E411" s="2907" t="s">
        <v>2742</v>
      </c>
      <c r="F411" s="2908">
        <v>120</v>
      </c>
      <c r="G411" s="2908"/>
      <c r="H411" s="2909">
        <v>64419.31</v>
      </c>
      <c r="I411" s="4673">
        <v>40799.08</v>
      </c>
      <c r="J411" s="4673"/>
      <c r="K411" s="2909">
        <v>23620.23</v>
      </c>
      <c r="L411" s="2907"/>
      <c r="M411" s="2911">
        <v>6441.96</v>
      </c>
      <c r="N411" s="2911">
        <f>M411</f>
        <v>6441.96</v>
      </c>
      <c r="O411" s="2911"/>
      <c r="P411" s="2907"/>
      <c r="Q411" s="2907"/>
      <c r="R411" s="2909">
        <v>64419.31</v>
      </c>
      <c r="S411" s="2909">
        <v>47241.04</v>
      </c>
      <c r="T411" s="2909">
        <v>17178.27</v>
      </c>
    </row>
    <row r="412" spans="1:20" ht="12" customHeight="1" outlineLevel="1" x14ac:dyDescent="0.2">
      <c r="A412" s="4672" t="s">
        <v>3158</v>
      </c>
      <c r="B412" s="4672"/>
      <c r="C412" s="2905">
        <v>371</v>
      </c>
      <c r="D412" s="2906" t="s">
        <v>3159</v>
      </c>
      <c r="E412" s="2907" t="s">
        <v>3160</v>
      </c>
      <c r="F412" s="2908">
        <v>84</v>
      </c>
      <c r="G412" s="2908"/>
      <c r="H412" s="2909">
        <v>25272</v>
      </c>
      <c r="I412" s="4673">
        <v>25272</v>
      </c>
      <c r="J412" s="4673"/>
      <c r="K412" s="2907"/>
      <c r="L412" s="2907"/>
      <c r="M412" s="2910"/>
      <c r="N412" s="2911"/>
      <c r="O412" s="2911"/>
      <c r="P412" s="2907"/>
      <c r="Q412" s="2907"/>
      <c r="R412" s="2909">
        <v>25272</v>
      </c>
      <c r="S412" s="2909">
        <v>25272</v>
      </c>
      <c r="T412" s="2907"/>
    </row>
    <row r="413" spans="1:20" ht="12" customHeight="1" outlineLevel="1" x14ac:dyDescent="0.2">
      <c r="A413" s="4672" t="s">
        <v>3161</v>
      </c>
      <c r="B413" s="4672"/>
      <c r="C413" s="2912">
        <v>1978</v>
      </c>
      <c r="D413" s="2906" t="s">
        <v>3162</v>
      </c>
      <c r="E413" s="2907" t="s">
        <v>3163</v>
      </c>
      <c r="F413" s="2908">
        <v>60</v>
      </c>
      <c r="G413" s="2908"/>
      <c r="H413" s="2909">
        <v>24050</v>
      </c>
      <c r="I413" s="4673">
        <v>24050</v>
      </c>
      <c r="J413" s="4673"/>
      <c r="K413" s="2907"/>
      <c r="L413" s="2907"/>
      <c r="M413" s="2910"/>
      <c r="N413" s="2911"/>
      <c r="O413" s="2911"/>
      <c r="P413" s="2907"/>
      <c r="Q413" s="2907"/>
      <c r="R413" s="2909">
        <v>24050</v>
      </c>
      <c r="S413" s="2909">
        <v>24050</v>
      </c>
      <c r="T413" s="2907"/>
    </row>
    <row r="414" spans="1:20" ht="12" customHeight="1" outlineLevel="1" x14ac:dyDescent="0.2">
      <c r="A414" s="4672" t="s">
        <v>2798</v>
      </c>
      <c r="B414" s="4672"/>
      <c r="C414" s="2912">
        <v>2293</v>
      </c>
      <c r="D414" s="2906" t="s">
        <v>2799</v>
      </c>
      <c r="E414" s="2907" t="s">
        <v>2800</v>
      </c>
      <c r="F414" s="2908">
        <v>120</v>
      </c>
      <c r="G414" s="2908"/>
      <c r="H414" s="2909">
        <v>14576.27</v>
      </c>
      <c r="I414" s="4673">
        <v>12997.29</v>
      </c>
      <c r="J414" s="4673"/>
      <c r="K414" s="2909">
        <v>1578.98</v>
      </c>
      <c r="L414" s="2907"/>
      <c r="M414" s="2911">
        <v>1457.64</v>
      </c>
      <c r="N414" s="2911">
        <f t="shared" ref="N414" si="3">H414/F414*12</f>
        <v>1457.627</v>
      </c>
      <c r="O414" s="2911"/>
      <c r="P414" s="2907"/>
      <c r="Q414" s="2907"/>
      <c r="R414" s="2909">
        <v>14576.27</v>
      </c>
      <c r="S414" s="2909">
        <v>14454.93</v>
      </c>
      <c r="T414" s="2952">
        <v>121.34</v>
      </c>
    </row>
    <row r="415" spans="1:20" ht="12" customHeight="1" outlineLevel="1" x14ac:dyDescent="0.2">
      <c r="A415" s="4672" t="s">
        <v>3161</v>
      </c>
      <c r="B415" s="4672"/>
      <c r="C415" s="2912">
        <v>1979</v>
      </c>
      <c r="D415" s="2906" t="s">
        <v>3162</v>
      </c>
      <c r="E415" s="2907" t="s">
        <v>3163</v>
      </c>
      <c r="F415" s="2908">
        <v>60</v>
      </c>
      <c r="G415" s="2908"/>
      <c r="H415" s="2909">
        <v>24050</v>
      </c>
      <c r="I415" s="4673">
        <v>24050</v>
      </c>
      <c r="J415" s="4673"/>
      <c r="K415" s="2907"/>
      <c r="L415" s="2907"/>
      <c r="M415" s="2910"/>
      <c r="N415" s="2911"/>
      <c r="O415" s="2911"/>
      <c r="P415" s="2907"/>
      <c r="Q415" s="2907"/>
      <c r="R415" s="2909">
        <v>24050</v>
      </c>
      <c r="S415" s="2909">
        <v>24050</v>
      </c>
      <c r="T415" s="2907"/>
    </row>
    <row r="416" spans="1:20" ht="12" customHeight="1" outlineLevel="1" x14ac:dyDescent="0.2">
      <c r="A416" s="4672" t="s">
        <v>2846</v>
      </c>
      <c r="B416" s="4672"/>
      <c r="C416" s="2905">
        <v>704</v>
      </c>
      <c r="D416" s="2906" t="s">
        <v>2299</v>
      </c>
      <c r="E416" s="2907" t="s">
        <v>3164</v>
      </c>
      <c r="F416" s="2908">
        <v>12</v>
      </c>
      <c r="G416" s="2908"/>
      <c r="H416" s="2909">
        <v>1000</v>
      </c>
      <c r="I416" s="4673">
        <v>1000</v>
      </c>
      <c r="J416" s="4673"/>
      <c r="K416" s="2907"/>
      <c r="L416" s="2907"/>
      <c r="M416" s="2910"/>
      <c r="N416" s="2911"/>
      <c r="O416" s="2911"/>
      <c r="P416" s="2907"/>
      <c r="Q416" s="2907"/>
      <c r="R416" s="2909">
        <v>1000</v>
      </c>
      <c r="S416" s="2909">
        <v>1000</v>
      </c>
      <c r="T416" s="2907"/>
    </row>
    <row r="417" spans="1:20" ht="12" customHeight="1" outlineLevel="1" x14ac:dyDescent="0.2">
      <c r="A417" s="4672" t="s">
        <v>3165</v>
      </c>
      <c r="B417" s="4672"/>
      <c r="C417" s="2912">
        <v>1884</v>
      </c>
      <c r="D417" s="2906" t="s">
        <v>3166</v>
      </c>
      <c r="E417" s="2907" t="s">
        <v>3167</v>
      </c>
      <c r="F417" s="2908">
        <v>36</v>
      </c>
      <c r="G417" s="2908"/>
      <c r="H417" s="2909">
        <v>24152.54</v>
      </c>
      <c r="I417" s="4673">
        <v>24152.54</v>
      </c>
      <c r="J417" s="4673"/>
      <c r="K417" s="2907"/>
      <c r="L417" s="2907"/>
      <c r="M417" s="2910"/>
      <c r="N417" s="2911"/>
      <c r="O417" s="2911"/>
      <c r="P417" s="2907"/>
      <c r="Q417" s="2907"/>
      <c r="R417" s="2909">
        <v>24152.54</v>
      </c>
      <c r="S417" s="2909">
        <v>24152.54</v>
      </c>
      <c r="T417" s="2907"/>
    </row>
    <row r="418" spans="1:20" ht="12" customHeight="1" outlineLevel="1" x14ac:dyDescent="0.2">
      <c r="A418" s="4672" t="s">
        <v>3168</v>
      </c>
      <c r="B418" s="4672"/>
      <c r="C418" s="2905">
        <v>142</v>
      </c>
      <c r="D418" s="2906" t="s">
        <v>2626</v>
      </c>
      <c r="E418" s="2907" t="s">
        <v>3169</v>
      </c>
      <c r="F418" s="2908">
        <v>84</v>
      </c>
      <c r="G418" s="2908"/>
      <c r="H418" s="2909">
        <v>5575</v>
      </c>
      <c r="I418" s="4673">
        <v>5575</v>
      </c>
      <c r="J418" s="4673"/>
      <c r="K418" s="2907"/>
      <c r="L418" s="2907"/>
      <c r="M418" s="2910"/>
      <c r="N418" s="2911"/>
      <c r="O418" s="2911"/>
      <c r="P418" s="2907"/>
      <c r="Q418" s="2907"/>
      <c r="R418" s="2909">
        <v>5575</v>
      </c>
      <c r="S418" s="2909">
        <v>5575</v>
      </c>
      <c r="T418" s="2907"/>
    </row>
    <row r="419" spans="1:20" ht="12" customHeight="1" outlineLevel="1" x14ac:dyDescent="0.2">
      <c r="A419" s="4672" t="s">
        <v>3168</v>
      </c>
      <c r="B419" s="4672"/>
      <c r="C419" s="2905">
        <v>301</v>
      </c>
      <c r="D419" s="2906" t="s">
        <v>2777</v>
      </c>
      <c r="E419" s="2907" t="s">
        <v>3169</v>
      </c>
      <c r="F419" s="2908">
        <v>84</v>
      </c>
      <c r="G419" s="2908"/>
      <c r="H419" s="2909">
        <v>5575</v>
      </c>
      <c r="I419" s="4673">
        <v>5575</v>
      </c>
      <c r="J419" s="4673"/>
      <c r="K419" s="2907"/>
      <c r="L419" s="2907"/>
      <c r="M419" s="2910"/>
      <c r="N419" s="2911"/>
      <c r="O419" s="2911"/>
      <c r="P419" s="2907"/>
      <c r="Q419" s="2907"/>
      <c r="R419" s="2909">
        <v>5575</v>
      </c>
      <c r="S419" s="2909">
        <v>5575</v>
      </c>
      <c r="T419" s="2907"/>
    </row>
    <row r="420" spans="1:20" ht="12" customHeight="1" outlineLevel="1" x14ac:dyDescent="0.2">
      <c r="A420" s="4672" t="s">
        <v>3170</v>
      </c>
      <c r="B420" s="4672"/>
      <c r="C420" s="2905">
        <v>382</v>
      </c>
      <c r="D420" s="2906" t="s">
        <v>3171</v>
      </c>
      <c r="E420" s="2907" t="s">
        <v>3172</v>
      </c>
      <c r="F420" s="2908">
        <v>84</v>
      </c>
      <c r="G420" s="2908"/>
      <c r="H420" s="2909">
        <v>4853</v>
      </c>
      <c r="I420" s="4673">
        <v>4853</v>
      </c>
      <c r="J420" s="4673"/>
      <c r="K420" s="2907"/>
      <c r="L420" s="2907"/>
      <c r="M420" s="2910"/>
      <c r="N420" s="2911"/>
      <c r="O420" s="2911"/>
      <c r="P420" s="2907"/>
      <c r="Q420" s="2907"/>
      <c r="R420" s="2909">
        <v>4853</v>
      </c>
      <c r="S420" s="2909">
        <v>4853</v>
      </c>
      <c r="T420" s="2907"/>
    </row>
    <row r="421" spans="1:20" ht="45.75" customHeight="1" outlineLevel="1" x14ac:dyDescent="0.2">
      <c r="A421" s="4672" t="s">
        <v>3173</v>
      </c>
      <c r="B421" s="4672"/>
      <c r="C421" s="2912">
        <v>2433</v>
      </c>
      <c r="D421" s="2906" t="s">
        <v>2305</v>
      </c>
      <c r="E421" s="2907" t="s">
        <v>3174</v>
      </c>
      <c r="F421" s="2908">
        <v>120</v>
      </c>
      <c r="G421" s="2908"/>
      <c r="H421" s="2909">
        <v>10541497.970000001</v>
      </c>
      <c r="I421" s="4673">
        <v>5797824.1200000001</v>
      </c>
      <c r="J421" s="4673"/>
      <c r="K421" s="2909">
        <v>4743673.8499999996</v>
      </c>
      <c r="L421" s="2907"/>
      <c r="M421" s="2911">
        <v>1054149.8400000001</v>
      </c>
      <c r="N421" s="2911">
        <f>M421</f>
        <v>1054149.8400000001</v>
      </c>
      <c r="O421" s="2911"/>
      <c r="P421" s="2907"/>
      <c r="Q421" s="2907"/>
      <c r="R421" s="2909">
        <v>10541497.970000001</v>
      </c>
      <c r="S421" s="2909">
        <v>6851973.96</v>
      </c>
      <c r="T421" s="2909">
        <v>3689524.01</v>
      </c>
    </row>
    <row r="422" spans="1:20" ht="12" customHeight="1" outlineLevel="1" x14ac:dyDescent="0.2">
      <c r="A422" s="4672" t="s">
        <v>3175</v>
      </c>
      <c r="B422" s="4672"/>
      <c r="C422" s="2905">
        <v>358</v>
      </c>
      <c r="D422" s="2906" t="s">
        <v>3176</v>
      </c>
      <c r="E422" s="2907" t="s">
        <v>3177</v>
      </c>
      <c r="F422" s="2908">
        <v>240</v>
      </c>
      <c r="G422" s="2908"/>
      <c r="H422" s="2909">
        <v>55158</v>
      </c>
      <c r="I422" s="4673">
        <v>55158</v>
      </c>
      <c r="J422" s="4673"/>
      <c r="K422" s="2907"/>
      <c r="L422" s="2907"/>
      <c r="M422" s="2910"/>
      <c r="N422" s="2911"/>
      <c r="O422" s="2911"/>
      <c r="P422" s="2907"/>
      <c r="Q422" s="2907"/>
      <c r="R422" s="2909">
        <v>55158</v>
      </c>
      <c r="S422" s="2909">
        <v>55158</v>
      </c>
      <c r="T422" s="2907"/>
    </row>
    <row r="423" spans="1:20" ht="12" customHeight="1" outlineLevel="1" x14ac:dyDescent="0.2">
      <c r="A423" s="4672" t="s">
        <v>3178</v>
      </c>
      <c r="B423" s="4672"/>
      <c r="C423" s="2905">
        <v>143</v>
      </c>
      <c r="D423" s="2906" t="s">
        <v>2626</v>
      </c>
      <c r="E423" s="2907" t="s">
        <v>3179</v>
      </c>
      <c r="F423" s="2908">
        <v>144</v>
      </c>
      <c r="G423" s="2908"/>
      <c r="H423" s="2952">
        <v>411.52</v>
      </c>
      <c r="I423" s="4676">
        <v>411.52</v>
      </c>
      <c r="J423" s="4676"/>
      <c r="K423" s="2907"/>
      <c r="L423" s="2907"/>
      <c r="M423" s="2910"/>
      <c r="N423" s="2911"/>
      <c r="O423" s="2911"/>
      <c r="P423" s="2907"/>
      <c r="Q423" s="2907"/>
      <c r="R423" s="2952">
        <v>411.52</v>
      </c>
      <c r="S423" s="2952">
        <v>411.52</v>
      </c>
      <c r="T423" s="2907"/>
    </row>
    <row r="424" spans="1:20" ht="12" customHeight="1" outlineLevel="1" x14ac:dyDescent="0.2">
      <c r="A424" s="4672" t="s">
        <v>3180</v>
      </c>
      <c r="B424" s="4672"/>
      <c r="C424" s="2905">
        <v>356</v>
      </c>
      <c r="D424" s="2906" t="s">
        <v>3176</v>
      </c>
      <c r="E424" s="2907" t="s">
        <v>3181</v>
      </c>
      <c r="F424" s="2908">
        <v>240</v>
      </c>
      <c r="G424" s="2908"/>
      <c r="H424" s="2909">
        <v>14372</v>
      </c>
      <c r="I424" s="4673">
        <v>14372</v>
      </c>
      <c r="J424" s="4673"/>
      <c r="K424" s="2907"/>
      <c r="L424" s="2907"/>
      <c r="M424" s="2910"/>
      <c r="N424" s="2911"/>
      <c r="O424" s="2911"/>
      <c r="P424" s="2907"/>
      <c r="Q424" s="2907"/>
      <c r="R424" s="2909">
        <v>14372</v>
      </c>
      <c r="S424" s="2909">
        <v>14372</v>
      </c>
      <c r="T424" s="2907"/>
    </row>
    <row r="425" spans="1:20" ht="12" customHeight="1" outlineLevel="1" x14ac:dyDescent="0.2">
      <c r="A425" s="4672" t="s">
        <v>3182</v>
      </c>
      <c r="B425" s="4672"/>
      <c r="C425" s="2905">
        <v>133</v>
      </c>
      <c r="D425" s="2906" t="s">
        <v>2248</v>
      </c>
      <c r="E425" s="2907" t="s">
        <v>3183</v>
      </c>
      <c r="F425" s="2908">
        <v>240</v>
      </c>
      <c r="G425" s="2908"/>
      <c r="H425" s="2909">
        <v>11516</v>
      </c>
      <c r="I425" s="4673">
        <v>11516</v>
      </c>
      <c r="J425" s="4673"/>
      <c r="K425" s="2907"/>
      <c r="L425" s="2907"/>
      <c r="M425" s="2910"/>
      <c r="N425" s="2911"/>
      <c r="O425" s="2911"/>
      <c r="P425" s="2907"/>
      <c r="Q425" s="2907"/>
      <c r="R425" s="2909">
        <v>11516</v>
      </c>
      <c r="S425" s="2909">
        <v>11516</v>
      </c>
      <c r="T425" s="2907"/>
    </row>
    <row r="426" spans="1:20" ht="12" customHeight="1" outlineLevel="1" x14ac:dyDescent="0.2">
      <c r="A426" s="4672" t="s">
        <v>3184</v>
      </c>
      <c r="B426" s="4672"/>
      <c r="C426" s="2905">
        <v>612</v>
      </c>
      <c r="D426" s="2906" t="s">
        <v>3185</v>
      </c>
      <c r="E426" s="2907" t="s">
        <v>3186</v>
      </c>
      <c r="F426" s="2908">
        <v>84</v>
      </c>
      <c r="G426" s="2908"/>
      <c r="H426" s="2909">
        <v>60000</v>
      </c>
      <c r="I426" s="4673">
        <v>60000</v>
      </c>
      <c r="J426" s="4673"/>
      <c r="K426" s="2907"/>
      <c r="L426" s="2907"/>
      <c r="M426" s="2910"/>
      <c r="N426" s="2911"/>
      <c r="O426" s="2911"/>
      <c r="P426" s="2907"/>
      <c r="Q426" s="2907"/>
      <c r="R426" s="2909">
        <v>60000</v>
      </c>
      <c r="S426" s="2909">
        <v>60000</v>
      </c>
      <c r="T426" s="2907"/>
    </row>
    <row r="427" spans="1:20" ht="23.25" customHeight="1" outlineLevel="1" x14ac:dyDescent="0.2">
      <c r="A427" s="4672" t="s">
        <v>3187</v>
      </c>
      <c r="B427" s="4672"/>
      <c r="C427" s="2905">
        <v>362</v>
      </c>
      <c r="D427" s="2906" t="s">
        <v>2650</v>
      </c>
      <c r="E427" s="2907" t="s">
        <v>3188</v>
      </c>
      <c r="F427" s="2908">
        <v>60</v>
      </c>
      <c r="G427" s="2908"/>
      <c r="H427" s="2909">
        <v>13957</v>
      </c>
      <c r="I427" s="4673">
        <v>13957</v>
      </c>
      <c r="J427" s="4673"/>
      <c r="K427" s="2907"/>
      <c r="L427" s="2907"/>
      <c r="M427" s="2910"/>
      <c r="N427" s="2911"/>
      <c r="O427" s="2911"/>
      <c r="P427" s="2907"/>
      <c r="Q427" s="2907"/>
      <c r="R427" s="2909">
        <v>13957</v>
      </c>
      <c r="S427" s="2909">
        <v>13957</v>
      </c>
      <c r="T427" s="2907"/>
    </row>
    <row r="428" spans="1:20" ht="12" customHeight="1" outlineLevel="1" x14ac:dyDescent="0.2">
      <c r="A428" s="4672" t="s">
        <v>3189</v>
      </c>
      <c r="B428" s="4672"/>
      <c r="C428" s="2905">
        <v>381</v>
      </c>
      <c r="D428" s="2906" t="s">
        <v>3135</v>
      </c>
      <c r="E428" s="2907" t="s">
        <v>3190</v>
      </c>
      <c r="F428" s="2908">
        <v>1</v>
      </c>
      <c r="G428" s="2908"/>
      <c r="H428" s="2909">
        <v>2133</v>
      </c>
      <c r="I428" s="4673">
        <v>2133</v>
      </c>
      <c r="J428" s="4673"/>
      <c r="K428" s="2907"/>
      <c r="L428" s="2907"/>
      <c r="M428" s="2910"/>
      <c r="N428" s="2911"/>
      <c r="O428" s="2911"/>
      <c r="P428" s="2907"/>
      <c r="Q428" s="2907"/>
      <c r="R428" s="2909">
        <v>2133</v>
      </c>
      <c r="S428" s="2909">
        <v>2133</v>
      </c>
      <c r="T428" s="2907"/>
    </row>
    <row r="429" spans="1:20" ht="12" customHeight="1" outlineLevel="1" x14ac:dyDescent="0.2">
      <c r="A429" s="4672" t="s">
        <v>3191</v>
      </c>
      <c r="B429" s="4672"/>
      <c r="C429" s="2905">
        <v>544</v>
      </c>
      <c r="D429" s="2906" t="s">
        <v>2770</v>
      </c>
      <c r="E429" s="2907" t="s">
        <v>3192</v>
      </c>
      <c r="F429" s="2908">
        <v>480</v>
      </c>
      <c r="G429" s="2908"/>
      <c r="H429" s="2909">
        <v>8486.26</v>
      </c>
      <c r="I429" s="4673">
        <v>3478.66</v>
      </c>
      <c r="J429" s="4673"/>
      <c r="K429" s="2909">
        <v>5007.6000000000004</v>
      </c>
      <c r="L429" s="2907"/>
      <c r="M429" s="2950">
        <v>212.16</v>
      </c>
      <c r="N429" s="2911">
        <f t="shared" ref="N429" si="4">H429/F429*12</f>
        <v>212.15649999999999</v>
      </c>
      <c r="O429" s="2911"/>
      <c r="P429" s="2907"/>
      <c r="Q429" s="2907"/>
      <c r="R429" s="2909">
        <v>8486.26</v>
      </c>
      <c r="S429" s="2909">
        <v>3690.82</v>
      </c>
      <c r="T429" s="2909">
        <v>4795.4399999999996</v>
      </c>
    </row>
    <row r="430" spans="1:20" ht="12" customHeight="1" outlineLevel="1" x14ac:dyDescent="0.2">
      <c r="A430" s="4672" t="s">
        <v>3193</v>
      </c>
      <c r="B430" s="4672"/>
      <c r="C430" s="2905">
        <v>205</v>
      </c>
      <c r="D430" s="2906" t="s">
        <v>2350</v>
      </c>
      <c r="E430" s="2907" t="s">
        <v>3194</v>
      </c>
      <c r="F430" s="2908">
        <v>10</v>
      </c>
      <c r="G430" s="2908"/>
      <c r="H430" s="2909">
        <v>23502</v>
      </c>
      <c r="I430" s="4673">
        <v>23502</v>
      </c>
      <c r="J430" s="4673"/>
      <c r="K430" s="2907"/>
      <c r="L430" s="2907"/>
      <c r="M430" s="2910"/>
      <c r="N430" s="2911"/>
      <c r="O430" s="2911"/>
      <c r="P430" s="2907"/>
      <c r="Q430" s="2907"/>
      <c r="R430" s="2909">
        <v>23502</v>
      </c>
      <c r="S430" s="2909">
        <v>23502</v>
      </c>
      <c r="T430" s="2907"/>
    </row>
    <row r="431" spans="1:20" ht="12" customHeight="1" outlineLevel="1" x14ac:dyDescent="0.2">
      <c r="A431" s="4672" t="s">
        <v>3195</v>
      </c>
      <c r="B431" s="4672"/>
      <c r="C431" s="2905">
        <v>395</v>
      </c>
      <c r="D431" s="2906" t="s">
        <v>2403</v>
      </c>
      <c r="E431" s="2907" t="s">
        <v>3196</v>
      </c>
      <c r="F431" s="2908">
        <v>67</v>
      </c>
      <c r="G431" s="2908"/>
      <c r="H431" s="2952">
        <v>847</v>
      </c>
      <c r="I431" s="4676">
        <v>847</v>
      </c>
      <c r="J431" s="4676"/>
      <c r="K431" s="2907"/>
      <c r="L431" s="2907"/>
      <c r="M431" s="2910"/>
      <c r="N431" s="2911"/>
      <c r="O431" s="2911"/>
      <c r="P431" s="2907"/>
      <c r="Q431" s="2907"/>
      <c r="R431" s="2952">
        <v>847</v>
      </c>
      <c r="S431" s="2952">
        <v>847</v>
      </c>
      <c r="T431" s="2907"/>
    </row>
    <row r="432" spans="1:20" ht="34.5" customHeight="1" outlineLevel="1" x14ac:dyDescent="0.2">
      <c r="A432" s="4672" t="s">
        <v>3197</v>
      </c>
      <c r="B432" s="4672"/>
      <c r="C432" s="2912">
        <v>2428</v>
      </c>
      <c r="D432" s="2906" t="s">
        <v>2305</v>
      </c>
      <c r="E432" s="2907" t="s">
        <v>3198</v>
      </c>
      <c r="F432" s="2908">
        <v>84</v>
      </c>
      <c r="G432" s="2908"/>
      <c r="H432" s="2909">
        <v>8485928.1699999999</v>
      </c>
      <c r="I432" s="4673">
        <v>6667514.7000000002</v>
      </c>
      <c r="J432" s="4673"/>
      <c r="K432" s="2909">
        <v>1818413.47</v>
      </c>
      <c r="L432" s="2907"/>
      <c r="M432" s="2911">
        <v>1212275.3999999999</v>
      </c>
      <c r="N432" s="2911">
        <f>M432</f>
        <v>1212275.3999999999</v>
      </c>
      <c r="O432" s="2911"/>
      <c r="P432" s="2907"/>
      <c r="Q432" s="2907"/>
      <c r="R432" s="2909">
        <v>8485928.1699999999</v>
      </c>
      <c r="S432" s="2909">
        <v>7879790.0999999996</v>
      </c>
      <c r="T432" s="2909">
        <v>606138.06999999995</v>
      </c>
    </row>
    <row r="433" spans="1:20" ht="12" customHeight="1" outlineLevel="1" x14ac:dyDescent="0.2">
      <c r="A433" s="4672" t="s">
        <v>3199</v>
      </c>
      <c r="B433" s="4672"/>
      <c r="C433" s="2905">
        <v>372</v>
      </c>
      <c r="D433" s="2906" t="s">
        <v>2308</v>
      </c>
      <c r="E433" s="2907" t="s">
        <v>3200</v>
      </c>
      <c r="F433" s="2908">
        <v>272</v>
      </c>
      <c r="G433" s="2908"/>
      <c r="H433" s="2909">
        <v>24235</v>
      </c>
      <c r="I433" s="4673">
        <v>24235</v>
      </c>
      <c r="J433" s="4673"/>
      <c r="K433" s="2907"/>
      <c r="L433" s="2907"/>
      <c r="M433" s="2910"/>
      <c r="N433" s="2911"/>
      <c r="O433" s="2911"/>
      <c r="P433" s="2907"/>
      <c r="Q433" s="2907"/>
      <c r="R433" s="2909">
        <v>24235</v>
      </c>
      <c r="S433" s="2909">
        <v>24235</v>
      </c>
      <c r="T433" s="2907"/>
    </row>
    <row r="434" spans="1:20" ht="12" customHeight="1" outlineLevel="1" x14ac:dyDescent="0.2">
      <c r="A434" s="4672" t="s">
        <v>3201</v>
      </c>
      <c r="B434" s="4672"/>
      <c r="C434" s="2912">
        <v>2451</v>
      </c>
      <c r="D434" s="2906" t="s">
        <v>3143</v>
      </c>
      <c r="E434" s="2907" t="s">
        <v>3202</v>
      </c>
      <c r="F434" s="2908">
        <v>13</v>
      </c>
      <c r="G434" s="2908"/>
      <c r="H434" s="2909">
        <v>67796.61</v>
      </c>
      <c r="I434" s="4673">
        <v>67796.61</v>
      </c>
      <c r="J434" s="4673"/>
      <c r="K434" s="2907"/>
      <c r="L434" s="2907"/>
      <c r="M434" s="2910"/>
      <c r="N434" s="2911"/>
      <c r="O434" s="2911"/>
      <c r="P434" s="2907"/>
      <c r="Q434" s="2907"/>
      <c r="R434" s="2909">
        <v>67796.61</v>
      </c>
      <c r="S434" s="2909">
        <v>67796.61</v>
      </c>
      <c r="T434" s="2907"/>
    </row>
    <row r="435" spans="1:20" ht="23.25" customHeight="1" outlineLevel="1" x14ac:dyDescent="0.2">
      <c r="A435" s="4672" t="s">
        <v>3203</v>
      </c>
      <c r="B435" s="4672"/>
      <c r="C435" s="2905">
        <v>107</v>
      </c>
      <c r="D435" s="2906" t="s">
        <v>2248</v>
      </c>
      <c r="E435" s="2907" t="s">
        <v>3204</v>
      </c>
      <c r="F435" s="2908">
        <v>273</v>
      </c>
      <c r="G435" s="2908"/>
      <c r="H435" s="2909">
        <v>121066</v>
      </c>
      <c r="I435" s="4673">
        <v>121066</v>
      </c>
      <c r="J435" s="4673"/>
      <c r="K435" s="2907"/>
      <c r="L435" s="2907"/>
      <c r="M435" s="2910"/>
      <c r="N435" s="2911"/>
      <c r="O435" s="2911"/>
      <c r="P435" s="2907"/>
      <c r="Q435" s="2907"/>
      <c r="R435" s="2909">
        <v>121066</v>
      </c>
      <c r="S435" s="2909">
        <v>121066</v>
      </c>
      <c r="T435" s="2907"/>
    </row>
    <row r="436" spans="1:20" ht="12" customHeight="1" outlineLevel="1" x14ac:dyDescent="0.2">
      <c r="A436" s="4672" t="s">
        <v>3205</v>
      </c>
      <c r="B436" s="4672"/>
      <c r="C436" s="2905">
        <v>448</v>
      </c>
      <c r="D436" s="2906" t="s">
        <v>2683</v>
      </c>
      <c r="E436" s="2907" t="s">
        <v>3206</v>
      </c>
      <c r="F436" s="2908">
        <v>273</v>
      </c>
      <c r="G436" s="2908"/>
      <c r="H436" s="2909">
        <v>25130</v>
      </c>
      <c r="I436" s="4673">
        <v>25130</v>
      </c>
      <c r="J436" s="4673"/>
      <c r="K436" s="2907"/>
      <c r="L436" s="2907"/>
      <c r="M436" s="2910"/>
      <c r="N436" s="2911"/>
      <c r="O436" s="2911"/>
      <c r="P436" s="2907"/>
      <c r="Q436" s="2907"/>
      <c r="R436" s="2909">
        <v>25130</v>
      </c>
      <c r="S436" s="2909">
        <v>25130</v>
      </c>
      <c r="T436" s="2907"/>
    </row>
    <row r="437" spans="1:20" ht="12" customHeight="1" outlineLevel="1" x14ac:dyDescent="0.2">
      <c r="A437" s="4672" t="s">
        <v>3207</v>
      </c>
      <c r="B437" s="4672"/>
      <c r="C437" s="2905">
        <v>109</v>
      </c>
      <c r="D437" s="2906" t="s">
        <v>2248</v>
      </c>
      <c r="E437" s="2907" t="s">
        <v>3208</v>
      </c>
      <c r="F437" s="2908">
        <v>273</v>
      </c>
      <c r="G437" s="2908"/>
      <c r="H437" s="2909">
        <v>48258</v>
      </c>
      <c r="I437" s="4673">
        <v>48258</v>
      </c>
      <c r="J437" s="4673"/>
      <c r="K437" s="2907"/>
      <c r="L437" s="2907"/>
      <c r="M437" s="2910"/>
      <c r="N437" s="2911"/>
      <c r="O437" s="2911"/>
      <c r="P437" s="2907"/>
      <c r="Q437" s="2907"/>
      <c r="R437" s="2909">
        <v>48258</v>
      </c>
      <c r="S437" s="2909">
        <v>48258</v>
      </c>
      <c r="T437" s="2907"/>
    </row>
    <row r="438" spans="1:20" ht="12" customHeight="1" outlineLevel="1" x14ac:dyDescent="0.2">
      <c r="A438" s="4672" t="s">
        <v>3209</v>
      </c>
      <c r="B438" s="4672"/>
      <c r="C438" s="2905">
        <v>197</v>
      </c>
      <c r="D438" s="2906" t="s">
        <v>3026</v>
      </c>
      <c r="E438" s="2907" t="s">
        <v>3210</v>
      </c>
      <c r="F438" s="2908">
        <v>267</v>
      </c>
      <c r="G438" s="2908"/>
      <c r="H438" s="2909">
        <v>48482</v>
      </c>
      <c r="I438" s="4673">
        <v>48482</v>
      </c>
      <c r="J438" s="4673"/>
      <c r="K438" s="2907"/>
      <c r="L438" s="2907"/>
      <c r="M438" s="2910"/>
      <c r="N438" s="2911"/>
      <c r="O438" s="2911"/>
      <c r="P438" s="2907"/>
      <c r="Q438" s="2907"/>
      <c r="R438" s="2909">
        <v>48482</v>
      </c>
      <c r="S438" s="2909">
        <v>48482</v>
      </c>
      <c r="T438" s="2907"/>
    </row>
    <row r="439" spans="1:20" ht="23.25" customHeight="1" outlineLevel="1" x14ac:dyDescent="0.2">
      <c r="A439" s="4672" t="s">
        <v>3211</v>
      </c>
      <c r="B439" s="4672"/>
      <c r="C439" s="2905">
        <v>106</v>
      </c>
      <c r="D439" s="2906" t="s">
        <v>2248</v>
      </c>
      <c r="E439" s="2907" t="s">
        <v>3212</v>
      </c>
      <c r="F439" s="2908">
        <v>273</v>
      </c>
      <c r="G439" s="2908"/>
      <c r="H439" s="2909">
        <v>143309</v>
      </c>
      <c r="I439" s="4673">
        <v>127533.2</v>
      </c>
      <c r="J439" s="4673"/>
      <c r="K439" s="2909">
        <v>15775.8</v>
      </c>
      <c r="L439" s="2907"/>
      <c r="M439" s="2911">
        <v>6299.28</v>
      </c>
      <c r="N439" s="2911">
        <f>M439</f>
        <v>6299.28</v>
      </c>
      <c r="O439" s="2911"/>
      <c r="P439" s="2907"/>
      <c r="Q439" s="2907"/>
      <c r="R439" s="2909">
        <v>143309</v>
      </c>
      <c r="S439" s="2909">
        <v>133832.48000000001</v>
      </c>
      <c r="T439" s="2909">
        <v>9476.52</v>
      </c>
    </row>
    <row r="440" spans="1:20" ht="12" customHeight="1" outlineLevel="1" x14ac:dyDescent="0.2">
      <c r="A440" s="4672" t="s">
        <v>3213</v>
      </c>
      <c r="B440" s="4672"/>
      <c r="C440" s="2905">
        <v>343</v>
      </c>
      <c r="D440" s="2906" t="s">
        <v>2274</v>
      </c>
      <c r="E440" s="2907" t="s">
        <v>3214</v>
      </c>
      <c r="F440" s="2908">
        <v>84</v>
      </c>
      <c r="G440" s="2908"/>
      <c r="H440" s="2909">
        <v>45079</v>
      </c>
      <c r="I440" s="4673">
        <v>45079</v>
      </c>
      <c r="J440" s="4673"/>
      <c r="K440" s="2907"/>
      <c r="L440" s="2907"/>
      <c r="M440" s="2910"/>
      <c r="N440" s="2911"/>
      <c r="O440" s="2911"/>
      <c r="P440" s="2907"/>
      <c r="Q440" s="2907"/>
      <c r="R440" s="2909">
        <v>45079</v>
      </c>
      <c r="S440" s="2909">
        <v>45079</v>
      </c>
      <c r="T440" s="2907"/>
    </row>
    <row r="441" spans="1:20" ht="12" customHeight="1" outlineLevel="1" x14ac:dyDescent="0.2">
      <c r="A441" s="4672" t="s">
        <v>3215</v>
      </c>
      <c r="B441" s="4672"/>
      <c r="C441" s="2912">
        <v>1802</v>
      </c>
      <c r="D441" s="2906" t="s">
        <v>3216</v>
      </c>
      <c r="E441" s="2907" t="s">
        <v>3217</v>
      </c>
      <c r="F441" s="2908">
        <v>84</v>
      </c>
      <c r="G441" s="2908"/>
      <c r="H441" s="2909">
        <v>64000</v>
      </c>
      <c r="I441" s="4673">
        <v>64000</v>
      </c>
      <c r="J441" s="4673"/>
      <c r="K441" s="2907"/>
      <c r="L441" s="2907"/>
      <c r="M441" s="2910"/>
      <c r="N441" s="2911"/>
      <c r="O441" s="2911"/>
      <c r="P441" s="2907"/>
      <c r="Q441" s="2907"/>
      <c r="R441" s="2909">
        <v>64000</v>
      </c>
      <c r="S441" s="2909">
        <v>64000</v>
      </c>
      <c r="T441" s="2907"/>
    </row>
    <row r="442" spans="1:20" ht="23.25" customHeight="1" outlineLevel="1" x14ac:dyDescent="0.2">
      <c r="A442" s="4672" t="s">
        <v>3218</v>
      </c>
      <c r="B442" s="4672"/>
      <c r="C442" s="2905">
        <v>717</v>
      </c>
      <c r="D442" s="2906" t="s">
        <v>3219</v>
      </c>
      <c r="E442" s="2907" t="s">
        <v>2716</v>
      </c>
      <c r="F442" s="2908">
        <v>84</v>
      </c>
      <c r="G442" s="2908"/>
      <c r="H442" s="2909">
        <v>15000</v>
      </c>
      <c r="I442" s="4673">
        <v>15000</v>
      </c>
      <c r="J442" s="4673"/>
      <c r="K442" s="2907"/>
      <c r="L442" s="2907"/>
      <c r="M442" s="2910"/>
      <c r="N442" s="2911"/>
      <c r="O442" s="2911"/>
      <c r="P442" s="2907"/>
      <c r="Q442" s="2907"/>
      <c r="R442" s="2909">
        <v>15000</v>
      </c>
      <c r="S442" s="2909">
        <v>15000</v>
      </c>
      <c r="T442" s="2907"/>
    </row>
    <row r="443" spans="1:20" ht="12" customHeight="1" outlineLevel="1" x14ac:dyDescent="0.2">
      <c r="A443" s="4672" t="s">
        <v>3220</v>
      </c>
      <c r="B443" s="4672"/>
      <c r="C443" s="2905">
        <v>449</v>
      </c>
      <c r="D443" s="2906" t="s">
        <v>2796</v>
      </c>
      <c r="E443" s="2907" t="s">
        <v>3221</v>
      </c>
      <c r="F443" s="2908">
        <v>273</v>
      </c>
      <c r="G443" s="2908"/>
      <c r="H443" s="2909">
        <v>9543</v>
      </c>
      <c r="I443" s="4673">
        <v>9543</v>
      </c>
      <c r="J443" s="4673"/>
      <c r="K443" s="2907"/>
      <c r="L443" s="2907"/>
      <c r="M443" s="2910"/>
      <c r="N443" s="2911"/>
      <c r="O443" s="2911"/>
      <c r="P443" s="2907"/>
      <c r="Q443" s="2907"/>
      <c r="R443" s="2909">
        <v>9543</v>
      </c>
      <c r="S443" s="2909">
        <v>9543</v>
      </c>
      <c r="T443" s="2907"/>
    </row>
    <row r="444" spans="1:20" ht="23.25" customHeight="1" outlineLevel="1" x14ac:dyDescent="0.2">
      <c r="A444" s="4672" t="s">
        <v>3222</v>
      </c>
      <c r="B444" s="4672"/>
      <c r="C444" s="2905">
        <v>136</v>
      </c>
      <c r="D444" s="2906" t="s">
        <v>2248</v>
      </c>
      <c r="E444" s="2907" t="s">
        <v>3223</v>
      </c>
      <c r="F444" s="2908">
        <v>84</v>
      </c>
      <c r="G444" s="2908"/>
      <c r="H444" s="2909">
        <v>34972</v>
      </c>
      <c r="I444" s="4673">
        <v>34972</v>
      </c>
      <c r="J444" s="4673"/>
      <c r="K444" s="2907"/>
      <c r="L444" s="2907"/>
      <c r="M444" s="2910"/>
      <c r="N444" s="2911"/>
      <c r="O444" s="2911"/>
      <c r="P444" s="2907"/>
      <c r="Q444" s="2907"/>
      <c r="R444" s="2909">
        <v>34972</v>
      </c>
      <c r="S444" s="2909">
        <v>34972</v>
      </c>
      <c r="T444" s="2907"/>
    </row>
    <row r="445" spans="1:20" ht="12" customHeight="1" outlineLevel="1" x14ac:dyDescent="0.2">
      <c r="A445" s="4672" t="s">
        <v>3224</v>
      </c>
      <c r="B445" s="4672"/>
      <c r="C445" s="2905">
        <v>138</v>
      </c>
      <c r="D445" s="2906" t="s">
        <v>2248</v>
      </c>
      <c r="E445" s="2907" t="s">
        <v>3225</v>
      </c>
      <c r="F445" s="2908">
        <v>120</v>
      </c>
      <c r="G445" s="2908"/>
      <c r="H445" s="2909">
        <v>26275</v>
      </c>
      <c r="I445" s="4673">
        <v>26275</v>
      </c>
      <c r="J445" s="4673"/>
      <c r="K445" s="2907"/>
      <c r="L445" s="2907"/>
      <c r="M445" s="2910"/>
      <c r="N445" s="2911"/>
      <c r="O445" s="2911"/>
      <c r="P445" s="2907"/>
      <c r="Q445" s="2907"/>
      <c r="R445" s="2909">
        <v>26275</v>
      </c>
      <c r="S445" s="2909">
        <v>26275</v>
      </c>
      <c r="T445" s="2907"/>
    </row>
    <row r="446" spans="1:20" ht="23.25" customHeight="1" outlineLevel="1" x14ac:dyDescent="0.2">
      <c r="A446" s="4672" t="s">
        <v>3226</v>
      </c>
      <c r="B446" s="4672"/>
      <c r="C446" s="2905">
        <v>137</v>
      </c>
      <c r="D446" s="2906" t="s">
        <v>2248</v>
      </c>
      <c r="E446" s="2907" t="s">
        <v>3227</v>
      </c>
      <c r="F446" s="2908">
        <v>120</v>
      </c>
      <c r="G446" s="2908"/>
      <c r="H446" s="2909">
        <v>310016</v>
      </c>
      <c r="I446" s="4673">
        <v>310016</v>
      </c>
      <c r="J446" s="4673"/>
      <c r="K446" s="2907"/>
      <c r="L446" s="2907"/>
      <c r="M446" s="2910"/>
      <c r="N446" s="2911"/>
      <c r="O446" s="2911"/>
      <c r="P446" s="2907"/>
      <c r="Q446" s="2907"/>
      <c r="R446" s="2909">
        <v>310016</v>
      </c>
      <c r="S446" s="2909">
        <v>310016</v>
      </c>
      <c r="T446" s="2907"/>
    </row>
    <row r="447" spans="1:20" ht="12" customHeight="1" outlineLevel="1" x14ac:dyDescent="0.2">
      <c r="A447" s="4672" t="s">
        <v>3228</v>
      </c>
      <c r="B447" s="4672"/>
      <c r="C447" s="2905">
        <v>139</v>
      </c>
      <c r="D447" s="2906" t="s">
        <v>2248</v>
      </c>
      <c r="E447" s="2907" t="s">
        <v>3229</v>
      </c>
      <c r="F447" s="2908">
        <v>120</v>
      </c>
      <c r="G447" s="2908"/>
      <c r="H447" s="2909">
        <v>120537</v>
      </c>
      <c r="I447" s="4673">
        <v>120537</v>
      </c>
      <c r="J447" s="4673"/>
      <c r="K447" s="2907"/>
      <c r="L447" s="2907"/>
      <c r="M447" s="2910"/>
      <c r="N447" s="2911"/>
      <c r="O447" s="2911"/>
      <c r="P447" s="2907"/>
      <c r="Q447" s="2907"/>
      <c r="R447" s="2909">
        <v>120537</v>
      </c>
      <c r="S447" s="2909">
        <v>120537</v>
      </c>
      <c r="T447" s="2907"/>
    </row>
    <row r="448" spans="1:20" ht="12" customHeight="1" outlineLevel="1" x14ac:dyDescent="0.2">
      <c r="A448" s="4672" t="s">
        <v>3230</v>
      </c>
      <c r="B448" s="4672"/>
      <c r="C448" s="2912">
        <v>1974</v>
      </c>
      <c r="D448" s="2906" t="s">
        <v>2733</v>
      </c>
      <c r="E448" s="2907" t="s">
        <v>3231</v>
      </c>
      <c r="F448" s="2908">
        <v>60</v>
      </c>
      <c r="G448" s="2908"/>
      <c r="H448" s="2909">
        <v>31400</v>
      </c>
      <c r="I448" s="4673">
        <v>31400</v>
      </c>
      <c r="J448" s="4673"/>
      <c r="K448" s="2907"/>
      <c r="L448" s="2907"/>
      <c r="M448" s="2910"/>
      <c r="N448" s="2911"/>
      <c r="O448" s="2911"/>
      <c r="P448" s="2907"/>
      <c r="Q448" s="2907"/>
      <c r="R448" s="2909">
        <v>31400</v>
      </c>
      <c r="S448" s="2909">
        <v>31400</v>
      </c>
      <c r="T448" s="2907"/>
    </row>
    <row r="449" spans="1:20" ht="12" customHeight="1" outlineLevel="1" x14ac:dyDescent="0.2">
      <c r="A449" s="4672" t="s">
        <v>3232</v>
      </c>
      <c r="B449" s="4672"/>
      <c r="C449" s="2905">
        <v>718</v>
      </c>
      <c r="D449" s="2906" t="s">
        <v>3233</v>
      </c>
      <c r="E449" s="2907" t="s">
        <v>3234</v>
      </c>
      <c r="F449" s="2908">
        <v>36</v>
      </c>
      <c r="G449" s="2908"/>
      <c r="H449" s="2909">
        <v>12000</v>
      </c>
      <c r="I449" s="4673">
        <v>12000</v>
      </c>
      <c r="J449" s="4673"/>
      <c r="K449" s="2907"/>
      <c r="L449" s="2907"/>
      <c r="M449" s="2910"/>
      <c r="N449" s="2911"/>
      <c r="O449" s="2911"/>
      <c r="P449" s="2907"/>
      <c r="Q449" s="2907"/>
      <c r="R449" s="2909">
        <v>12000</v>
      </c>
      <c r="S449" s="2909">
        <v>12000</v>
      </c>
      <c r="T449" s="2907"/>
    </row>
    <row r="450" spans="1:20" ht="12" customHeight="1" outlineLevel="1" x14ac:dyDescent="0.2">
      <c r="A450" s="4672" t="s">
        <v>3235</v>
      </c>
      <c r="B450" s="4672"/>
      <c r="C450" s="2905">
        <v>379</v>
      </c>
      <c r="D450" s="2906" t="s">
        <v>3236</v>
      </c>
      <c r="E450" s="2907" t="s">
        <v>3237</v>
      </c>
      <c r="F450" s="2908">
        <v>24</v>
      </c>
      <c r="G450" s="2908"/>
      <c r="H450" s="2909">
        <v>123780</v>
      </c>
      <c r="I450" s="4673">
        <v>123780</v>
      </c>
      <c r="J450" s="4673"/>
      <c r="K450" s="2907"/>
      <c r="L450" s="2907"/>
      <c r="M450" s="2910"/>
      <c r="N450" s="2911"/>
      <c r="O450" s="2911"/>
      <c r="P450" s="2907"/>
      <c r="Q450" s="2907"/>
      <c r="R450" s="2909">
        <v>123780</v>
      </c>
      <c r="S450" s="2909">
        <v>123780</v>
      </c>
      <c r="T450" s="2907"/>
    </row>
    <row r="451" spans="1:20" ht="12" customHeight="1" outlineLevel="1" x14ac:dyDescent="0.2">
      <c r="A451" s="4672" t="s">
        <v>3238</v>
      </c>
      <c r="B451" s="4672"/>
      <c r="C451" s="2905">
        <v>380</v>
      </c>
      <c r="D451" s="2906" t="s">
        <v>3028</v>
      </c>
      <c r="E451" s="2907" t="s">
        <v>3239</v>
      </c>
      <c r="F451" s="2908">
        <v>24</v>
      </c>
      <c r="G451" s="2908"/>
      <c r="H451" s="2909">
        <v>81930</v>
      </c>
      <c r="I451" s="4673">
        <v>81930</v>
      </c>
      <c r="J451" s="4673"/>
      <c r="K451" s="2907"/>
      <c r="L451" s="2907"/>
      <c r="M451" s="2910"/>
      <c r="N451" s="2911"/>
      <c r="O451" s="2911"/>
      <c r="P451" s="2907"/>
      <c r="Q451" s="2907"/>
      <c r="R451" s="2909">
        <v>81930</v>
      </c>
      <c r="S451" s="2909">
        <v>81930</v>
      </c>
      <c r="T451" s="2907"/>
    </row>
    <row r="452" spans="1:20" ht="12" customHeight="1" outlineLevel="1" x14ac:dyDescent="0.2">
      <c r="A452" s="4672" t="s">
        <v>3240</v>
      </c>
      <c r="B452" s="4672"/>
      <c r="C452" s="2905">
        <v>145</v>
      </c>
      <c r="D452" s="2906" t="s">
        <v>2626</v>
      </c>
      <c r="E452" s="2907" t="s">
        <v>3241</v>
      </c>
      <c r="F452" s="2908">
        <v>132</v>
      </c>
      <c r="G452" s="2908"/>
      <c r="H452" s="2909">
        <v>2700</v>
      </c>
      <c r="I452" s="4673">
        <v>2700</v>
      </c>
      <c r="J452" s="4673"/>
      <c r="K452" s="2907"/>
      <c r="L452" s="2907"/>
      <c r="M452" s="2910"/>
      <c r="N452" s="2911"/>
      <c r="O452" s="2911"/>
      <c r="P452" s="2907"/>
      <c r="Q452" s="2907"/>
      <c r="R452" s="2909">
        <v>2700</v>
      </c>
      <c r="S452" s="2909">
        <v>2700</v>
      </c>
      <c r="T452" s="2907"/>
    </row>
    <row r="453" spans="1:20" ht="12" customHeight="1" outlineLevel="1" x14ac:dyDescent="0.2">
      <c r="A453" s="4672" t="s">
        <v>3242</v>
      </c>
      <c r="B453" s="4672"/>
      <c r="C453" s="2905">
        <v>373</v>
      </c>
      <c r="D453" s="2906" t="s">
        <v>2896</v>
      </c>
      <c r="E453" s="2907" t="s">
        <v>3243</v>
      </c>
      <c r="F453" s="2908">
        <v>67</v>
      </c>
      <c r="G453" s="2908"/>
      <c r="H453" s="2909">
        <v>41700</v>
      </c>
      <c r="I453" s="4673">
        <v>41700</v>
      </c>
      <c r="J453" s="4673"/>
      <c r="K453" s="2907"/>
      <c r="L453" s="2907"/>
      <c r="M453" s="2910"/>
      <c r="N453" s="2911"/>
      <c r="O453" s="2911"/>
      <c r="P453" s="2907"/>
      <c r="Q453" s="2907"/>
      <c r="R453" s="2909">
        <v>41700</v>
      </c>
      <c r="S453" s="2909">
        <v>41700</v>
      </c>
      <c r="T453" s="2907"/>
    </row>
    <row r="454" spans="1:20" ht="12" customHeight="1" outlineLevel="1" x14ac:dyDescent="0.2">
      <c r="A454" s="4672" t="s">
        <v>3244</v>
      </c>
      <c r="B454" s="4672"/>
      <c r="C454" s="2905">
        <v>374</v>
      </c>
      <c r="D454" s="2906" t="s">
        <v>2896</v>
      </c>
      <c r="E454" s="2907" t="s">
        <v>3245</v>
      </c>
      <c r="F454" s="2908">
        <v>67</v>
      </c>
      <c r="G454" s="2908"/>
      <c r="H454" s="2909">
        <v>13900</v>
      </c>
      <c r="I454" s="4673">
        <v>13900</v>
      </c>
      <c r="J454" s="4673"/>
      <c r="K454" s="2907"/>
      <c r="L454" s="2907"/>
      <c r="M454" s="2910"/>
      <c r="N454" s="2911"/>
      <c r="O454" s="2911"/>
      <c r="P454" s="2907"/>
      <c r="Q454" s="2907"/>
      <c r="R454" s="2909">
        <v>13900</v>
      </c>
      <c r="S454" s="2909">
        <v>13900</v>
      </c>
      <c r="T454" s="2907"/>
    </row>
    <row r="455" spans="1:20" ht="12" customHeight="1" outlineLevel="1" x14ac:dyDescent="0.2">
      <c r="A455" s="4672" t="s">
        <v>3246</v>
      </c>
      <c r="B455" s="4672"/>
      <c r="C455" s="2912">
        <v>1734</v>
      </c>
      <c r="D455" s="2906" t="s">
        <v>2704</v>
      </c>
      <c r="E455" s="2907" t="s">
        <v>3247</v>
      </c>
      <c r="F455" s="2908">
        <v>120</v>
      </c>
      <c r="G455" s="2908"/>
      <c r="H455" s="2909">
        <v>23050.85</v>
      </c>
      <c r="I455" s="4673">
        <v>23050.85</v>
      </c>
      <c r="J455" s="4673"/>
      <c r="K455" s="2907"/>
      <c r="L455" s="2907"/>
      <c r="M455" s="2910"/>
      <c r="N455" s="2911"/>
      <c r="O455" s="2911"/>
      <c r="P455" s="2907"/>
      <c r="Q455" s="2907"/>
      <c r="R455" s="2909">
        <v>23050.85</v>
      </c>
      <c r="S455" s="2909">
        <v>23050.85</v>
      </c>
      <c r="T455" s="2907"/>
    </row>
    <row r="456" spans="1:20" s="2928" customFormat="1" ht="12" customHeight="1" outlineLevel="1" x14ac:dyDescent="0.2">
      <c r="A456" s="4681" t="s">
        <v>3246</v>
      </c>
      <c r="B456" s="4681"/>
      <c r="C456" s="2951">
        <v>2361</v>
      </c>
      <c r="D456" s="2923" t="s">
        <v>3082</v>
      </c>
      <c r="E456" s="2924" t="s">
        <v>3248</v>
      </c>
      <c r="F456" s="2925">
        <v>96</v>
      </c>
      <c r="G456" s="2925"/>
      <c r="H456" s="2926">
        <v>24250</v>
      </c>
      <c r="I456" s="4682">
        <v>22481.4</v>
      </c>
      <c r="J456" s="4682"/>
      <c r="K456" s="2926">
        <v>1768.6</v>
      </c>
      <c r="L456" s="2924"/>
      <c r="M456" s="2926">
        <v>1768.6</v>
      </c>
      <c r="N456" s="2926">
        <f>M456</f>
        <v>1768.6</v>
      </c>
      <c r="O456" s="2926"/>
      <c r="P456" s="2924"/>
      <c r="Q456" s="2924"/>
      <c r="R456" s="2926">
        <v>24250</v>
      </c>
      <c r="S456" s="2926">
        <v>24250</v>
      </c>
      <c r="T456" s="2924"/>
    </row>
    <row r="457" spans="1:20" ht="12" customHeight="1" outlineLevel="1" x14ac:dyDescent="0.2">
      <c r="A457" s="4672" t="s">
        <v>3249</v>
      </c>
      <c r="B457" s="4672"/>
      <c r="C457" s="2905">
        <v>198</v>
      </c>
      <c r="D457" s="2906" t="s">
        <v>3026</v>
      </c>
      <c r="E457" s="2907" t="s">
        <v>3250</v>
      </c>
      <c r="F457" s="2908">
        <v>273</v>
      </c>
      <c r="G457" s="2908"/>
      <c r="H457" s="2909">
        <v>78900</v>
      </c>
      <c r="I457" s="4673">
        <v>78900</v>
      </c>
      <c r="J457" s="4673"/>
      <c r="K457" s="2907"/>
      <c r="L457" s="2907"/>
      <c r="M457" s="2910"/>
      <c r="N457" s="2911"/>
      <c r="O457" s="2911"/>
      <c r="P457" s="2907"/>
      <c r="Q457" s="2907"/>
      <c r="R457" s="2909">
        <v>78900</v>
      </c>
      <c r="S457" s="2909">
        <v>78900</v>
      </c>
      <c r="T457" s="2907"/>
    </row>
    <row r="458" spans="1:20" ht="12" customHeight="1" outlineLevel="1" x14ac:dyDescent="0.2">
      <c r="A458" s="4672" t="s">
        <v>3251</v>
      </c>
      <c r="B458" s="4672"/>
      <c r="C458" s="2905">
        <v>216</v>
      </c>
      <c r="D458" s="2906" t="s">
        <v>2313</v>
      </c>
      <c r="E458" s="2907" t="s">
        <v>3252</v>
      </c>
      <c r="F458" s="2908">
        <v>273</v>
      </c>
      <c r="G458" s="2908"/>
      <c r="H458" s="2909">
        <v>6888</v>
      </c>
      <c r="I458" s="4673">
        <v>6888</v>
      </c>
      <c r="J458" s="4673"/>
      <c r="K458" s="2907"/>
      <c r="L458" s="2907"/>
      <c r="M458" s="2910"/>
      <c r="N458" s="2911"/>
      <c r="O458" s="2911"/>
      <c r="P458" s="2907"/>
      <c r="Q458" s="2907"/>
      <c r="R458" s="2909">
        <v>6888</v>
      </c>
      <c r="S458" s="2909">
        <v>6888</v>
      </c>
      <c r="T458" s="2907"/>
    </row>
    <row r="459" spans="1:20" ht="12" customHeight="1" outlineLevel="1" x14ac:dyDescent="0.2">
      <c r="A459" s="4672" t="s">
        <v>3253</v>
      </c>
      <c r="B459" s="4672"/>
      <c r="C459" s="2905">
        <v>199</v>
      </c>
      <c r="D459" s="2906" t="s">
        <v>3026</v>
      </c>
      <c r="E459" s="2907" t="s">
        <v>3254</v>
      </c>
      <c r="F459" s="2908">
        <v>132</v>
      </c>
      <c r="G459" s="2908"/>
      <c r="H459" s="2909">
        <v>42530</v>
      </c>
      <c r="I459" s="4673">
        <v>42530</v>
      </c>
      <c r="J459" s="4673"/>
      <c r="K459" s="2907"/>
      <c r="L459" s="2907"/>
      <c r="M459" s="2910"/>
      <c r="N459" s="2911"/>
      <c r="O459" s="2911"/>
      <c r="P459" s="2907"/>
      <c r="Q459" s="2907"/>
      <c r="R459" s="2909">
        <v>42530</v>
      </c>
      <c r="S459" s="2909">
        <v>42530</v>
      </c>
      <c r="T459" s="2907"/>
    </row>
    <row r="460" spans="1:20" ht="12" customHeight="1" outlineLevel="1" x14ac:dyDescent="0.2">
      <c r="A460" s="4672" t="s">
        <v>3255</v>
      </c>
      <c r="B460" s="4672"/>
      <c r="C460" s="2946">
        <v>1488</v>
      </c>
      <c r="D460" s="2906" t="s">
        <v>3256</v>
      </c>
      <c r="E460" s="2907" t="s">
        <v>3257</v>
      </c>
      <c r="F460" s="2908">
        <v>84</v>
      </c>
      <c r="G460" s="2908"/>
      <c r="H460" s="2909">
        <v>67850</v>
      </c>
      <c r="I460" s="4673">
        <v>25847.68</v>
      </c>
      <c r="J460" s="4673"/>
      <c r="K460" s="2909">
        <v>42002.32</v>
      </c>
      <c r="L460" s="2907"/>
      <c r="M460" s="2911">
        <v>9692.8799999999992</v>
      </c>
      <c r="N460" s="2911">
        <f>M460</f>
        <v>9692.8799999999992</v>
      </c>
      <c r="O460" s="2911"/>
      <c r="P460" s="2907"/>
      <c r="Q460" s="2907"/>
      <c r="R460" s="2909">
        <v>67850</v>
      </c>
      <c r="S460" s="2909">
        <v>35540.559999999998</v>
      </c>
      <c r="T460" s="2909">
        <v>32309.439999999999</v>
      </c>
    </row>
    <row r="461" spans="1:20" ht="12" customHeight="1" outlineLevel="1" x14ac:dyDescent="0.2">
      <c r="A461" s="4672" t="s">
        <v>3258</v>
      </c>
      <c r="B461" s="4672"/>
      <c r="C461" s="2905">
        <v>149</v>
      </c>
      <c r="D461" s="2906" t="s">
        <v>2248</v>
      </c>
      <c r="E461" s="2907" t="s">
        <v>3259</v>
      </c>
      <c r="F461" s="2908">
        <v>84</v>
      </c>
      <c r="G461" s="2908"/>
      <c r="H461" s="2909">
        <v>10666</v>
      </c>
      <c r="I461" s="4673">
        <v>10666</v>
      </c>
      <c r="J461" s="4673"/>
      <c r="K461" s="2907"/>
      <c r="L461" s="2907"/>
      <c r="M461" s="2910"/>
      <c r="N461" s="2911"/>
      <c r="O461" s="2911"/>
      <c r="P461" s="2907"/>
      <c r="Q461" s="2907"/>
      <c r="R461" s="2909">
        <v>10666</v>
      </c>
      <c r="S461" s="2909">
        <v>10666</v>
      </c>
      <c r="T461" s="2907"/>
    </row>
    <row r="462" spans="1:20" ht="12" customHeight="1" outlineLevel="1" x14ac:dyDescent="0.2">
      <c r="A462" s="4672" t="s">
        <v>3260</v>
      </c>
      <c r="B462" s="4672"/>
      <c r="C462" s="2905">
        <v>146</v>
      </c>
      <c r="D462" s="2906" t="s">
        <v>2626</v>
      </c>
      <c r="E462" s="2907" t="s">
        <v>3261</v>
      </c>
      <c r="F462" s="2908">
        <v>70</v>
      </c>
      <c r="G462" s="2908"/>
      <c r="H462" s="2909">
        <v>18300</v>
      </c>
      <c r="I462" s="4673">
        <v>18300</v>
      </c>
      <c r="J462" s="4673"/>
      <c r="K462" s="2907"/>
      <c r="L462" s="2907"/>
      <c r="M462" s="2910"/>
      <c r="N462" s="2911"/>
      <c r="O462" s="2911"/>
      <c r="P462" s="2907"/>
      <c r="Q462" s="2907"/>
      <c r="R462" s="2909">
        <v>18300</v>
      </c>
      <c r="S462" s="2909">
        <v>18300</v>
      </c>
      <c r="T462" s="2907"/>
    </row>
    <row r="463" spans="1:20" ht="12" customHeight="1" outlineLevel="1" x14ac:dyDescent="0.2">
      <c r="A463" s="4672" t="s">
        <v>3262</v>
      </c>
      <c r="B463" s="4672"/>
      <c r="C463" s="2905">
        <v>148</v>
      </c>
      <c r="D463" s="2906" t="s">
        <v>2248</v>
      </c>
      <c r="E463" s="2907" t="s">
        <v>3263</v>
      </c>
      <c r="F463" s="2908">
        <v>84</v>
      </c>
      <c r="G463" s="2908"/>
      <c r="H463" s="2909">
        <v>14245</v>
      </c>
      <c r="I463" s="4673">
        <v>14245</v>
      </c>
      <c r="J463" s="4673"/>
      <c r="K463" s="2907"/>
      <c r="L463" s="2907"/>
      <c r="M463" s="2910"/>
      <c r="N463" s="2911"/>
      <c r="O463" s="2911"/>
      <c r="P463" s="2907"/>
      <c r="Q463" s="2907"/>
      <c r="R463" s="2909">
        <v>14245</v>
      </c>
      <c r="S463" s="2909">
        <v>14245</v>
      </c>
      <c r="T463" s="2907"/>
    </row>
    <row r="464" spans="1:20" ht="12" customHeight="1" outlineLevel="1" x14ac:dyDescent="0.2">
      <c r="A464" s="4672" t="s">
        <v>3264</v>
      </c>
      <c r="B464" s="4672"/>
      <c r="C464" s="2905">
        <v>423</v>
      </c>
      <c r="D464" s="2906" t="s">
        <v>3128</v>
      </c>
      <c r="E464" s="2907" t="s">
        <v>3265</v>
      </c>
      <c r="F464" s="2908">
        <v>96</v>
      </c>
      <c r="G464" s="2908"/>
      <c r="H464" s="2909">
        <v>1616</v>
      </c>
      <c r="I464" s="4673">
        <v>1616</v>
      </c>
      <c r="J464" s="4673"/>
      <c r="K464" s="2907"/>
      <c r="L464" s="2907"/>
      <c r="M464" s="2910"/>
      <c r="N464" s="2911"/>
      <c r="O464" s="2911"/>
      <c r="P464" s="2907"/>
      <c r="Q464" s="2907"/>
      <c r="R464" s="2909">
        <v>1616</v>
      </c>
      <c r="S464" s="2909">
        <v>1616</v>
      </c>
      <c r="T464" s="2907"/>
    </row>
    <row r="465" spans="1:20" ht="23.25" customHeight="1" outlineLevel="1" x14ac:dyDescent="0.2">
      <c r="A465" s="4672" t="s">
        <v>3266</v>
      </c>
      <c r="B465" s="4672"/>
      <c r="C465" s="2905">
        <v>364</v>
      </c>
      <c r="D465" s="2906" t="s">
        <v>2650</v>
      </c>
      <c r="E465" s="2907" t="s">
        <v>3267</v>
      </c>
      <c r="F465" s="2908">
        <v>84</v>
      </c>
      <c r="G465" s="2908"/>
      <c r="H465" s="2909">
        <v>2590</v>
      </c>
      <c r="I465" s="4673">
        <v>2590</v>
      </c>
      <c r="J465" s="4673"/>
      <c r="K465" s="2907"/>
      <c r="L465" s="2907"/>
      <c r="M465" s="2910"/>
      <c r="N465" s="2911"/>
      <c r="O465" s="2911"/>
      <c r="P465" s="2907"/>
      <c r="Q465" s="2907"/>
      <c r="R465" s="2909">
        <v>2590</v>
      </c>
      <c r="S465" s="2909">
        <v>2590</v>
      </c>
      <c r="T465" s="2907"/>
    </row>
    <row r="466" spans="1:20" ht="23.25" customHeight="1" outlineLevel="1" x14ac:dyDescent="0.2">
      <c r="A466" s="4672" t="s">
        <v>3268</v>
      </c>
      <c r="B466" s="4672"/>
      <c r="C466" s="2905">
        <v>365</v>
      </c>
      <c r="D466" s="2906" t="s">
        <v>2650</v>
      </c>
      <c r="E466" s="2907" t="s">
        <v>3269</v>
      </c>
      <c r="F466" s="2908">
        <v>84</v>
      </c>
      <c r="G466" s="2908"/>
      <c r="H466" s="2909">
        <v>6231</v>
      </c>
      <c r="I466" s="4673">
        <v>6231</v>
      </c>
      <c r="J466" s="4673"/>
      <c r="K466" s="2907"/>
      <c r="L466" s="2907"/>
      <c r="M466" s="2910"/>
      <c r="N466" s="2911"/>
      <c r="O466" s="2911"/>
      <c r="P466" s="2907"/>
      <c r="Q466" s="2907"/>
      <c r="R466" s="2909">
        <v>6231</v>
      </c>
      <c r="S466" s="2909">
        <v>6231</v>
      </c>
      <c r="T466" s="2907"/>
    </row>
    <row r="467" spans="1:20" ht="12" customHeight="1" outlineLevel="1" x14ac:dyDescent="0.2">
      <c r="A467" s="4672" t="s">
        <v>3270</v>
      </c>
      <c r="B467" s="4672"/>
      <c r="C467" s="2905">
        <v>367</v>
      </c>
      <c r="D467" s="2906" t="s">
        <v>2650</v>
      </c>
      <c r="E467" s="2907" t="s">
        <v>3271</v>
      </c>
      <c r="F467" s="2908">
        <v>84</v>
      </c>
      <c r="G467" s="2908"/>
      <c r="H467" s="2909">
        <v>3395</v>
      </c>
      <c r="I467" s="4673">
        <v>3395</v>
      </c>
      <c r="J467" s="4673"/>
      <c r="K467" s="2907"/>
      <c r="L467" s="2907"/>
      <c r="M467" s="2910"/>
      <c r="N467" s="2911"/>
      <c r="O467" s="2911"/>
      <c r="P467" s="2907"/>
      <c r="Q467" s="2907"/>
      <c r="R467" s="2909">
        <v>3395</v>
      </c>
      <c r="S467" s="2909">
        <v>3395</v>
      </c>
      <c r="T467" s="2907"/>
    </row>
    <row r="468" spans="1:20" ht="12" customHeight="1" outlineLevel="1" x14ac:dyDescent="0.2">
      <c r="A468" s="4672" t="s">
        <v>3272</v>
      </c>
      <c r="B468" s="4672"/>
      <c r="C468" s="2905">
        <v>366</v>
      </c>
      <c r="D468" s="2906" t="s">
        <v>2650</v>
      </c>
      <c r="E468" s="2907" t="s">
        <v>3273</v>
      </c>
      <c r="F468" s="2908">
        <v>84</v>
      </c>
      <c r="G468" s="2908"/>
      <c r="H468" s="2909">
        <v>10944</v>
      </c>
      <c r="I468" s="4673">
        <v>10944</v>
      </c>
      <c r="J468" s="4673"/>
      <c r="K468" s="2907"/>
      <c r="L468" s="2907"/>
      <c r="M468" s="2910"/>
      <c r="N468" s="2911"/>
      <c r="O468" s="2911"/>
      <c r="P468" s="2907"/>
      <c r="Q468" s="2907"/>
      <c r="R468" s="2909">
        <v>10944</v>
      </c>
      <c r="S468" s="2909">
        <v>10944</v>
      </c>
      <c r="T468" s="2907"/>
    </row>
    <row r="469" spans="1:20" ht="12" customHeight="1" outlineLevel="1" x14ac:dyDescent="0.2">
      <c r="A469" s="4672" t="s">
        <v>3274</v>
      </c>
      <c r="B469" s="4672"/>
      <c r="C469" s="2905">
        <v>305</v>
      </c>
      <c r="D469" s="2906" t="s">
        <v>3275</v>
      </c>
      <c r="E469" s="2907" t="s">
        <v>3276</v>
      </c>
      <c r="F469" s="2908">
        <v>115</v>
      </c>
      <c r="G469" s="2908"/>
      <c r="H469" s="2909">
        <v>3000</v>
      </c>
      <c r="I469" s="4673">
        <v>3000</v>
      </c>
      <c r="J469" s="4673"/>
      <c r="K469" s="2907"/>
      <c r="L469" s="2907"/>
      <c r="M469" s="2910"/>
      <c r="N469" s="2911"/>
      <c r="O469" s="2911"/>
      <c r="P469" s="2907"/>
      <c r="Q469" s="2907"/>
      <c r="R469" s="2909">
        <v>3000</v>
      </c>
      <c r="S469" s="2909">
        <v>3000</v>
      </c>
      <c r="T469" s="2907"/>
    </row>
    <row r="470" spans="1:20" ht="12" customHeight="1" outlineLevel="1" x14ac:dyDescent="0.2">
      <c r="A470" s="4672" t="s">
        <v>3277</v>
      </c>
      <c r="B470" s="4672"/>
      <c r="C470" s="2905">
        <v>450</v>
      </c>
      <c r="D470" s="2906" t="s">
        <v>2683</v>
      </c>
      <c r="E470" s="2907" t="s">
        <v>3278</v>
      </c>
      <c r="F470" s="2908">
        <v>273</v>
      </c>
      <c r="G470" s="2908"/>
      <c r="H470" s="2909">
        <v>4877</v>
      </c>
      <c r="I470" s="4673">
        <v>4877</v>
      </c>
      <c r="J470" s="4673"/>
      <c r="K470" s="2907"/>
      <c r="L470" s="2907"/>
      <c r="M470" s="2910"/>
      <c r="N470" s="2911"/>
      <c r="O470" s="2911"/>
      <c r="P470" s="2907"/>
      <c r="Q470" s="2907"/>
      <c r="R470" s="2909">
        <v>4877</v>
      </c>
      <c r="S470" s="2909">
        <v>4877</v>
      </c>
      <c r="T470" s="2907"/>
    </row>
    <row r="471" spans="1:20" ht="12" customHeight="1" outlineLevel="1" x14ac:dyDescent="0.2">
      <c r="A471" s="4672" t="s">
        <v>3279</v>
      </c>
      <c r="B471" s="4672"/>
      <c r="C471" s="2912">
        <v>1857</v>
      </c>
      <c r="D471" s="2906" t="s">
        <v>3280</v>
      </c>
      <c r="E471" s="2907" t="s">
        <v>3281</v>
      </c>
      <c r="F471" s="2908">
        <v>120</v>
      </c>
      <c r="G471" s="2908"/>
      <c r="H471" s="2909">
        <v>13542.39</v>
      </c>
      <c r="I471" s="4673">
        <v>13542.39</v>
      </c>
      <c r="J471" s="4673"/>
      <c r="K471" s="2907"/>
      <c r="L471" s="2907"/>
      <c r="M471" s="2910"/>
      <c r="N471" s="2911"/>
      <c r="O471" s="2911"/>
      <c r="P471" s="2907"/>
      <c r="Q471" s="2907"/>
      <c r="R471" s="2909">
        <v>13542.39</v>
      </c>
      <c r="S471" s="2909">
        <v>13542.39</v>
      </c>
      <c r="T471" s="2907"/>
    </row>
    <row r="472" spans="1:20" ht="12" customHeight="1" outlineLevel="1" x14ac:dyDescent="0.2">
      <c r="A472" s="4672" t="s">
        <v>3282</v>
      </c>
      <c r="B472" s="4672"/>
      <c r="C472" s="2912">
        <v>1854</v>
      </c>
      <c r="D472" s="2906" t="s">
        <v>2940</v>
      </c>
      <c r="E472" s="2907" t="s">
        <v>3283</v>
      </c>
      <c r="F472" s="2908">
        <v>120</v>
      </c>
      <c r="G472" s="2908"/>
      <c r="H472" s="2909">
        <v>18579.259999999998</v>
      </c>
      <c r="I472" s="4673">
        <v>18579.259999999998</v>
      </c>
      <c r="J472" s="4673"/>
      <c r="K472" s="2907"/>
      <c r="L472" s="2907"/>
      <c r="M472" s="2910"/>
      <c r="N472" s="2911"/>
      <c r="O472" s="2911"/>
      <c r="P472" s="2907"/>
      <c r="Q472" s="2907"/>
      <c r="R472" s="2909">
        <v>18579.259999999998</v>
      </c>
      <c r="S472" s="2909">
        <v>18579.259999999998</v>
      </c>
      <c r="T472" s="2907"/>
    </row>
    <row r="473" spans="1:20" ht="12" customHeight="1" outlineLevel="1" x14ac:dyDescent="0.2">
      <c r="A473" s="4672" t="s">
        <v>3282</v>
      </c>
      <c r="B473" s="4672"/>
      <c r="C473" s="2912">
        <v>1855</v>
      </c>
      <c r="D473" s="2906" t="s">
        <v>2940</v>
      </c>
      <c r="E473" s="2907" t="s">
        <v>3283</v>
      </c>
      <c r="F473" s="2908">
        <v>120</v>
      </c>
      <c r="G473" s="2908"/>
      <c r="H473" s="2909">
        <v>18579.259999999998</v>
      </c>
      <c r="I473" s="4673">
        <v>18579.259999999998</v>
      </c>
      <c r="J473" s="4673"/>
      <c r="K473" s="2907"/>
      <c r="L473" s="2907"/>
      <c r="M473" s="2910"/>
      <c r="N473" s="2911"/>
      <c r="O473" s="2911"/>
      <c r="P473" s="2907"/>
      <c r="Q473" s="2907"/>
      <c r="R473" s="2909">
        <v>18579.259999999998</v>
      </c>
      <c r="S473" s="2909">
        <v>18579.259999999998</v>
      </c>
      <c r="T473" s="2907"/>
    </row>
    <row r="474" spans="1:20" ht="12" customHeight="1" outlineLevel="1" x14ac:dyDescent="0.2">
      <c r="A474" s="4672" t="s">
        <v>3284</v>
      </c>
      <c r="B474" s="4672"/>
      <c r="C474" s="2905">
        <v>593</v>
      </c>
      <c r="D474" s="2906" t="s">
        <v>2825</v>
      </c>
      <c r="E474" s="2907" t="s">
        <v>3285</v>
      </c>
      <c r="F474" s="2908">
        <v>84</v>
      </c>
      <c r="G474" s="2908"/>
      <c r="H474" s="2909">
        <v>13720</v>
      </c>
      <c r="I474" s="4673">
        <v>13720</v>
      </c>
      <c r="J474" s="4673"/>
      <c r="K474" s="2907"/>
      <c r="L474" s="2907"/>
      <c r="M474" s="2910"/>
      <c r="N474" s="2911"/>
      <c r="O474" s="2911"/>
      <c r="P474" s="2907"/>
      <c r="Q474" s="2907"/>
      <c r="R474" s="2909">
        <v>13720</v>
      </c>
      <c r="S474" s="2909">
        <v>13720</v>
      </c>
      <c r="T474" s="2907"/>
    </row>
    <row r="475" spans="1:20" ht="12" customHeight="1" outlineLevel="1" x14ac:dyDescent="0.2">
      <c r="A475" s="4672" t="s">
        <v>3286</v>
      </c>
      <c r="B475" s="4672"/>
      <c r="C475" s="2905">
        <v>705</v>
      </c>
      <c r="D475" s="2906" t="s">
        <v>2299</v>
      </c>
      <c r="E475" s="2907" t="s">
        <v>3287</v>
      </c>
      <c r="F475" s="2908">
        <v>12</v>
      </c>
      <c r="G475" s="2908"/>
      <c r="H475" s="2909">
        <v>2350</v>
      </c>
      <c r="I475" s="4673">
        <v>2350</v>
      </c>
      <c r="J475" s="4673"/>
      <c r="K475" s="2907"/>
      <c r="L475" s="2907"/>
      <c r="M475" s="2910"/>
      <c r="N475" s="2911"/>
      <c r="O475" s="2911"/>
      <c r="P475" s="2907"/>
      <c r="Q475" s="2907"/>
      <c r="R475" s="2909">
        <v>2350</v>
      </c>
      <c r="S475" s="2909">
        <v>2350</v>
      </c>
      <c r="T475" s="2907"/>
    </row>
    <row r="476" spans="1:20" ht="12" customHeight="1" outlineLevel="1" x14ac:dyDescent="0.2">
      <c r="A476" s="4672" t="s">
        <v>3288</v>
      </c>
      <c r="B476" s="4672"/>
      <c r="C476" s="2905">
        <v>452</v>
      </c>
      <c r="D476" s="2906" t="s">
        <v>2796</v>
      </c>
      <c r="E476" s="2907" t="s">
        <v>3289</v>
      </c>
      <c r="F476" s="2908">
        <v>273</v>
      </c>
      <c r="G476" s="2908"/>
      <c r="H476" s="2909">
        <v>28383</v>
      </c>
      <c r="I476" s="4673">
        <v>28383</v>
      </c>
      <c r="J476" s="4673"/>
      <c r="K476" s="2907"/>
      <c r="L476" s="2907"/>
      <c r="M476" s="2910"/>
      <c r="N476" s="2911"/>
      <c r="O476" s="2911"/>
      <c r="P476" s="2907"/>
      <c r="Q476" s="2907"/>
      <c r="R476" s="2909">
        <v>28383</v>
      </c>
      <c r="S476" s="2909">
        <v>28383</v>
      </c>
      <c r="T476" s="2907"/>
    </row>
    <row r="477" spans="1:20" ht="23.25" customHeight="1" outlineLevel="1" x14ac:dyDescent="0.2">
      <c r="A477" s="4672" t="s">
        <v>3290</v>
      </c>
      <c r="B477" s="4672"/>
      <c r="C477" s="2946">
        <v>1492</v>
      </c>
      <c r="D477" s="2906" t="s">
        <v>2589</v>
      </c>
      <c r="E477" s="2907" t="s">
        <v>3291</v>
      </c>
      <c r="F477" s="2908">
        <v>84</v>
      </c>
      <c r="G477" s="2908"/>
      <c r="H477" s="2909">
        <v>84491.53</v>
      </c>
      <c r="I477" s="4673">
        <v>21122.85</v>
      </c>
      <c r="J477" s="4673"/>
      <c r="K477" s="2909">
        <v>63368.68</v>
      </c>
      <c r="L477" s="2907"/>
      <c r="M477" s="2911">
        <v>12070.2</v>
      </c>
      <c r="N477" s="2911">
        <f>M477</f>
        <v>12070.2</v>
      </c>
      <c r="O477" s="2911"/>
      <c r="P477" s="2907"/>
      <c r="Q477" s="2907"/>
      <c r="R477" s="2909">
        <v>84491.53</v>
      </c>
      <c r="S477" s="2909">
        <v>33193.050000000003</v>
      </c>
      <c r="T477" s="2909">
        <v>51298.48</v>
      </c>
    </row>
    <row r="478" spans="1:20" ht="12" customHeight="1" outlineLevel="1" x14ac:dyDescent="0.2">
      <c r="A478" s="4672" t="s">
        <v>3255</v>
      </c>
      <c r="B478" s="4672"/>
      <c r="C478" s="2946">
        <v>1487</v>
      </c>
      <c r="D478" s="2906" t="s">
        <v>3256</v>
      </c>
      <c r="E478" s="2907" t="s">
        <v>3292</v>
      </c>
      <c r="F478" s="2908">
        <v>84</v>
      </c>
      <c r="G478" s="2908"/>
      <c r="H478" s="2909">
        <v>68422.039999999994</v>
      </c>
      <c r="I478" s="4673">
        <v>26065.599999999999</v>
      </c>
      <c r="J478" s="4673"/>
      <c r="K478" s="2909">
        <v>42356.44</v>
      </c>
      <c r="L478" s="2907"/>
      <c r="M478" s="2911">
        <v>9774.6</v>
      </c>
      <c r="N478" s="2911">
        <f>M478</f>
        <v>9774.6</v>
      </c>
      <c r="O478" s="2911"/>
      <c r="P478" s="2907"/>
      <c r="Q478" s="2907"/>
      <c r="R478" s="2909">
        <v>68422.039999999994</v>
      </c>
      <c r="S478" s="2909">
        <v>35840.199999999997</v>
      </c>
      <c r="T478" s="2909">
        <v>32581.84</v>
      </c>
    </row>
    <row r="479" spans="1:20" s="2932" customFormat="1" ht="12.75" customHeight="1" x14ac:dyDescent="0.2">
      <c r="A479" s="4679" t="s">
        <v>3293</v>
      </c>
      <c r="B479" s="4679"/>
      <c r="C479" s="4679"/>
      <c r="D479" s="4679"/>
      <c r="E479" s="4679"/>
      <c r="F479" s="4679"/>
      <c r="G479" s="2929"/>
      <c r="H479" s="2930">
        <v>5473665.2699999996</v>
      </c>
      <c r="I479" s="4680">
        <v>4958414.05</v>
      </c>
      <c r="J479" s="4680"/>
      <c r="K479" s="2930">
        <v>515251.22</v>
      </c>
      <c r="L479" s="2956"/>
      <c r="M479" s="2931">
        <v>153792.14000000001</v>
      </c>
      <c r="N479" s="2931"/>
      <c r="O479" s="2931"/>
      <c r="P479" s="2956"/>
      <c r="Q479" s="2956"/>
      <c r="R479" s="2930">
        <v>5473665.2699999996</v>
      </c>
      <c r="S479" s="2930">
        <v>5112206.1900000004</v>
      </c>
      <c r="T479" s="2930">
        <v>361459.08</v>
      </c>
    </row>
    <row r="480" spans="1:20" ht="23.25" customHeight="1" outlineLevel="1" x14ac:dyDescent="0.2">
      <c r="A480" s="4672" t="s">
        <v>3294</v>
      </c>
      <c r="B480" s="4672"/>
      <c r="C480" s="2905">
        <v>497</v>
      </c>
      <c r="D480" s="2906" t="s">
        <v>3295</v>
      </c>
      <c r="E480" s="2907" t="s">
        <v>3296</v>
      </c>
      <c r="F480" s="2908">
        <v>120</v>
      </c>
      <c r="G480" s="2908"/>
      <c r="H480" s="2909">
        <v>65682</v>
      </c>
      <c r="I480" s="4673">
        <v>65682</v>
      </c>
      <c r="J480" s="4673"/>
      <c r="K480" s="2907"/>
      <c r="L480" s="2907"/>
      <c r="M480" s="2910"/>
      <c r="N480" s="2910"/>
      <c r="O480" s="2910"/>
      <c r="P480" s="2907"/>
      <c r="Q480" s="2907"/>
      <c r="R480" s="2909">
        <v>65682</v>
      </c>
      <c r="S480" s="2909">
        <v>65682</v>
      </c>
      <c r="T480" s="2907"/>
    </row>
    <row r="481" spans="1:20" ht="23.25" customHeight="1" outlineLevel="1" x14ac:dyDescent="0.2">
      <c r="A481" s="4672" t="s">
        <v>3297</v>
      </c>
      <c r="B481" s="4672"/>
      <c r="C481" s="2905">
        <v>495</v>
      </c>
      <c r="D481" s="2906" t="s">
        <v>3298</v>
      </c>
      <c r="E481" s="2907" t="s">
        <v>3299</v>
      </c>
      <c r="F481" s="2908">
        <v>120</v>
      </c>
      <c r="G481" s="2908"/>
      <c r="H481" s="2909">
        <v>70698.649999999994</v>
      </c>
      <c r="I481" s="4673">
        <v>70698.649999999994</v>
      </c>
      <c r="J481" s="4673"/>
      <c r="K481" s="2907"/>
      <c r="L481" s="2907"/>
      <c r="M481" s="2910"/>
      <c r="N481" s="2910"/>
      <c r="O481" s="2910"/>
      <c r="P481" s="2907"/>
      <c r="Q481" s="2907"/>
      <c r="R481" s="2909">
        <v>70698.649999999994</v>
      </c>
      <c r="S481" s="2909">
        <v>70698.649999999994</v>
      </c>
      <c r="T481" s="2907"/>
    </row>
    <row r="482" spans="1:20" ht="12" customHeight="1" outlineLevel="1" x14ac:dyDescent="0.2">
      <c r="A482" s="4672" t="s">
        <v>3300</v>
      </c>
      <c r="B482" s="4672"/>
      <c r="C482" s="2905">
        <v>498</v>
      </c>
      <c r="D482" s="2906" t="s">
        <v>3301</v>
      </c>
      <c r="E482" s="2907" t="s">
        <v>3302</v>
      </c>
      <c r="F482" s="2908">
        <v>120</v>
      </c>
      <c r="G482" s="2908"/>
      <c r="H482" s="2909">
        <v>27600</v>
      </c>
      <c r="I482" s="4673">
        <v>27600</v>
      </c>
      <c r="J482" s="4673"/>
      <c r="K482" s="2907"/>
      <c r="L482" s="2907"/>
      <c r="M482" s="2910"/>
      <c r="N482" s="2910"/>
      <c r="O482" s="2910"/>
      <c r="P482" s="2907"/>
      <c r="Q482" s="2907"/>
      <c r="R482" s="2909">
        <v>27600</v>
      </c>
      <c r="S482" s="2909">
        <v>27600</v>
      </c>
      <c r="T482" s="2907"/>
    </row>
    <row r="483" spans="1:20" s="2904" customFormat="1" ht="23.25" customHeight="1" outlineLevel="1" x14ac:dyDescent="0.2">
      <c r="A483" s="4677" t="s">
        <v>3303</v>
      </c>
      <c r="B483" s="4677"/>
      <c r="C483" s="2957">
        <v>2402</v>
      </c>
      <c r="D483" s="2898" t="s">
        <v>3304</v>
      </c>
      <c r="E483" s="2903" t="s">
        <v>3305</v>
      </c>
      <c r="F483" s="2900">
        <v>84</v>
      </c>
      <c r="G483" s="2900"/>
      <c r="H483" s="2901">
        <v>262006.91</v>
      </c>
      <c r="I483" s="4678">
        <v>224577.36</v>
      </c>
      <c r="J483" s="4678"/>
      <c r="K483" s="2901">
        <v>37429.550000000003</v>
      </c>
      <c r="L483" s="2903"/>
      <c r="M483" s="2901">
        <v>37429.550000000003</v>
      </c>
      <c r="N483" s="2901">
        <f>M483</f>
        <v>37429.550000000003</v>
      </c>
      <c r="O483" s="2901"/>
      <c r="P483" s="2903"/>
      <c r="Q483" s="2903"/>
      <c r="R483" s="2901">
        <v>262006.91</v>
      </c>
      <c r="S483" s="2901">
        <v>262006.91</v>
      </c>
      <c r="T483" s="2903"/>
    </row>
    <row r="484" spans="1:20" ht="12" customHeight="1" outlineLevel="1" x14ac:dyDescent="0.2">
      <c r="A484" s="4672" t="s">
        <v>3306</v>
      </c>
      <c r="B484" s="4672"/>
      <c r="C484" s="2905">
        <v>494</v>
      </c>
      <c r="D484" s="2906" t="s">
        <v>2673</v>
      </c>
      <c r="E484" s="2907" t="s">
        <v>3307</v>
      </c>
      <c r="F484" s="2908">
        <v>84</v>
      </c>
      <c r="G484" s="2908"/>
      <c r="H484" s="2909">
        <v>155480</v>
      </c>
      <c r="I484" s="4673">
        <v>155480</v>
      </c>
      <c r="J484" s="4673"/>
      <c r="K484" s="2907"/>
      <c r="L484" s="2907"/>
      <c r="M484" s="2910"/>
      <c r="N484" s="2910"/>
      <c r="O484" s="2910"/>
      <c r="P484" s="2907"/>
      <c r="Q484" s="2907"/>
      <c r="R484" s="2909">
        <v>155480</v>
      </c>
      <c r="S484" s="2909">
        <v>155480</v>
      </c>
      <c r="T484" s="2907"/>
    </row>
    <row r="485" spans="1:20" s="2904" customFormat="1" ht="23.25" customHeight="1" outlineLevel="1" x14ac:dyDescent="0.2">
      <c r="A485" s="4677" t="s">
        <v>3308</v>
      </c>
      <c r="B485" s="4677"/>
      <c r="C485" s="2897">
        <v>500</v>
      </c>
      <c r="D485" s="2898" t="s">
        <v>3309</v>
      </c>
      <c r="E485" s="2903" t="s">
        <v>3310</v>
      </c>
      <c r="F485" s="2900">
        <v>324</v>
      </c>
      <c r="G485" s="2900"/>
      <c r="H485" s="2901">
        <v>132000</v>
      </c>
      <c r="I485" s="4678">
        <v>96433.8</v>
      </c>
      <c r="J485" s="4678"/>
      <c r="K485" s="2901">
        <v>35566.199999999997</v>
      </c>
      <c r="L485" s="2903"/>
      <c r="M485" s="2901">
        <v>4888.92</v>
      </c>
      <c r="N485" s="2901">
        <f>M485</f>
        <v>4888.92</v>
      </c>
      <c r="O485" s="2901"/>
      <c r="P485" s="2903"/>
      <c r="Q485" s="2903"/>
      <c r="R485" s="2901">
        <v>132000</v>
      </c>
      <c r="S485" s="2901">
        <v>101322.72</v>
      </c>
      <c r="T485" s="2901">
        <v>30677.279999999999</v>
      </c>
    </row>
    <row r="486" spans="1:20" ht="23.25" customHeight="1" outlineLevel="1" x14ac:dyDescent="0.2">
      <c r="A486" s="4672" t="s">
        <v>3311</v>
      </c>
      <c r="B486" s="4672"/>
      <c r="C486" s="2905">
        <v>738</v>
      </c>
      <c r="D486" s="2906" t="s">
        <v>3312</v>
      </c>
      <c r="E486" s="2907" t="s">
        <v>3313</v>
      </c>
      <c r="F486" s="2908">
        <v>120</v>
      </c>
      <c r="G486" s="2908"/>
      <c r="H486" s="2909">
        <v>282267.26</v>
      </c>
      <c r="I486" s="4673">
        <v>282267.26</v>
      </c>
      <c r="J486" s="4673"/>
      <c r="K486" s="2907"/>
      <c r="L486" s="2907"/>
      <c r="M486" s="2910"/>
      <c r="N486" s="2910"/>
      <c r="O486" s="2910"/>
      <c r="P486" s="2907"/>
      <c r="Q486" s="2907"/>
      <c r="R486" s="2909">
        <v>282267.26</v>
      </c>
      <c r="S486" s="2909">
        <v>282267.26</v>
      </c>
      <c r="T486" s="2907"/>
    </row>
    <row r="487" spans="1:20" ht="23.25" customHeight="1" outlineLevel="1" x14ac:dyDescent="0.2">
      <c r="A487" s="4672" t="s">
        <v>3314</v>
      </c>
      <c r="B487" s="4672"/>
      <c r="C487" s="2905">
        <v>504</v>
      </c>
      <c r="D487" s="2906" t="s">
        <v>3315</v>
      </c>
      <c r="E487" s="2907" t="s">
        <v>3316</v>
      </c>
      <c r="F487" s="2908">
        <v>96</v>
      </c>
      <c r="G487" s="2908"/>
      <c r="H487" s="2909">
        <v>290000</v>
      </c>
      <c r="I487" s="4673">
        <v>290000</v>
      </c>
      <c r="J487" s="4673"/>
      <c r="K487" s="2907"/>
      <c r="L487" s="2907"/>
      <c r="M487" s="2910"/>
      <c r="N487" s="2910"/>
      <c r="O487" s="2910"/>
      <c r="P487" s="2907"/>
      <c r="Q487" s="2907"/>
      <c r="R487" s="2909">
        <v>290000</v>
      </c>
      <c r="S487" s="2909">
        <v>290000</v>
      </c>
      <c r="T487" s="2907"/>
    </row>
    <row r="488" spans="1:20" ht="23.25" customHeight="1" outlineLevel="1" x14ac:dyDescent="0.2">
      <c r="A488" s="4672" t="s">
        <v>3317</v>
      </c>
      <c r="B488" s="4672"/>
      <c r="C488" s="2905">
        <v>503</v>
      </c>
      <c r="D488" s="2906" t="s">
        <v>3318</v>
      </c>
      <c r="E488" s="2907" t="s">
        <v>3319</v>
      </c>
      <c r="F488" s="2908">
        <v>96</v>
      </c>
      <c r="G488" s="2908"/>
      <c r="H488" s="2909">
        <v>124798</v>
      </c>
      <c r="I488" s="4673">
        <v>124798</v>
      </c>
      <c r="J488" s="4673"/>
      <c r="K488" s="2907"/>
      <c r="L488" s="2907"/>
      <c r="M488" s="2910"/>
      <c r="N488" s="2910"/>
      <c r="O488" s="2910"/>
      <c r="P488" s="2907"/>
      <c r="Q488" s="2907"/>
      <c r="R488" s="2909">
        <v>124798</v>
      </c>
      <c r="S488" s="2909">
        <v>124798</v>
      </c>
      <c r="T488" s="2907"/>
    </row>
    <row r="489" spans="1:20" ht="23.25" customHeight="1" outlineLevel="1" x14ac:dyDescent="0.2">
      <c r="A489" s="4672" t="s">
        <v>3320</v>
      </c>
      <c r="B489" s="4672"/>
      <c r="C489" s="2905">
        <v>490</v>
      </c>
      <c r="D489" s="2906" t="s">
        <v>3321</v>
      </c>
      <c r="E489" s="2907" t="s">
        <v>3322</v>
      </c>
      <c r="F489" s="2908">
        <v>96</v>
      </c>
      <c r="G489" s="2908"/>
      <c r="H489" s="2909">
        <v>93019</v>
      </c>
      <c r="I489" s="4673">
        <v>93019</v>
      </c>
      <c r="J489" s="4673"/>
      <c r="K489" s="2907"/>
      <c r="L489" s="2907"/>
      <c r="M489" s="2910"/>
      <c r="N489" s="2910"/>
      <c r="O489" s="2910"/>
      <c r="P489" s="2907"/>
      <c r="Q489" s="2907"/>
      <c r="R489" s="2909">
        <v>93019</v>
      </c>
      <c r="S489" s="2909">
        <v>93019</v>
      </c>
      <c r="T489" s="2907"/>
    </row>
    <row r="490" spans="1:20" ht="23.25" customHeight="1" outlineLevel="1" x14ac:dyDescent="0.2">
      <c r="A490" s="4672" t="s">
        <v>3323</v>
      </c>
      <c r="B490" s="4672"/>
      <c r="C490" s="2905">
        <v>502</v>
      </c>
      <c r="D490" s="2906" t="s">
        <v>3318</v>
      </c>
      <c r="E490" s="2907" t="s">
        <v>3324</v>
      </c>
      <c r="F490" s="2908">
        <v>120</v>
      </c>
      <c r="G490" s="2908"/>
      <c r="H490" s="2909">
        <v>16800</v>
      </c>
      <c r="I490" s="4673">
        <v>16800</v>
      </c>
      <c r="J490" s="4673"/>
      <c r="K490" s="2907"/>
      <c r="L490" s="2907"/>
      <c r="M490" s="2910"/>
      <c r="N490" s="2910"/>
      <c r="O490" s="2910"/>
      <c r="P490" s="2907"/>
      <c r="Q490" s="2907"/>
      <c r="R490" s="2909">
        <v>16800</v>
      </c>
      <c r="S490" s="2909">
        <v>16800</v>
      </c>
      <c r="T490" s="2907"/>
    </row>
    <row r="491" spans="1:20" ht="23.25" customHeight="1" outlineLevel="1" x14ac:dyDescent="0.2">
      <c r="A491" s="4672" t="s">
        <v>3325</v>
      </c>
      <c r="B491" s="4672"/>
      <c r="C491" s="2905">
        <v>496</v>
      </c>
      <c r="D491" s="2906" t="s">
        <v>3295</v>
      </c>
      <c r="E491" s="2907" t="s">
        <v>3296</v>
      </c>
      <c r="F491" s="2908">
        <v>120</v>
      </c>
      <c r="G491" s="2908"/>
      <c r="H491" s="2909">
        <v>65682</v>
      </c>
      <c r="I491" s="4673">
        <v>65682</v>
      </c>
      <c r="J491" s="4673"/>
      <c r="K491" s="2907"/>
      <c r="L491" s="2907"/>
      <c r="M491" s="2910"/>
      <c r="N491" s="2910"/>
      <c r="O491" s="2910"/>
      <c r="P491" s="2907"/>
      <c r="Q491" s="2907"/>
      <c r="R491" s="2909">
        <v>65682</v>
      </c>
      <c r="S491" s="2909">
        <v>65682</v>
      </c>
      <c r="T491" s="2907"/>
    </row>
    <row r="492" spans="1:20" ht="23.25" customHeight="1" outlineLevel="1" x14ac:dyDescent="0.2">
      <c r="A492" s="4672" t="s">
        <v>3326</v>
      </c>
      <c r="B492" s="4672"/>
      <c r="C492" s="2912">
        <v>1891</v>
      </c>
      <c r="D492" s="2906" t="s">
        <v>2850</v>
      </c>
      <c r="E492" s="2907" t="s">
        <v>3327</v>
      </c>
      <c r="F492" s="2908">
        <v>60</v>
      </c>
      <c r="G492" s="2908"/>
      <c r="H492" s="2909">
        <v>78389.83</v>
      </c>
      <c r="I492" s="4673">
        <v>78389.83</v>
      </c>
      <c r="J492" s="4673"/>
      <c r="K492" s="2907"/>
      <c r="L492" s="2907"/>
      <c r="M492" s="2910"/>
      <c r="N492" s="2910"/>
      <c r="O492" s="2910"/>
      <c r="P492" s="2907"/>
      <c r="Q492" s="2907"/>
      <c r="R492" s="2909">
        <v>78389.83</v>
      </c>
      <c r="S492" s="2909">
        <v>78389.83</v>
      </c>
      <c r="T492" s="2907"/>
    </row>
    <row r="493" spans="1:20" ht="23.25" customHeight="1" outlineLevel="1" x14ac:dyDescent="0.2">
      <c r="A493" s="4672" t="s">
        <v>3328</v>
      </c>
      <c r="B493" s="4672"/>
      <c r="C493" s="2905">
        <v>596</v>
      </c>
      <c r="D493" s="2906" t="s">
        <v>2902</v>
      </c>
      <c r="E493" s="2907" t="s">
        <v>3329</v>
      </c>
      <c r="F493" s="2908">
        <v>120</v>
      </c>
      <c r="G493" s="2908"/>
      <c r="H493" s="2909">
        <v>115000</v>
      </c>
      <c r="I493" s="4673">
        <v>115000</v>
      </c>
      <c r="J493" s="4673"/>
      <c r="K493" s="2907"/>
      <c r="L493" s="2907"/>
      <c r="M493" s="2910"/>
      <c r="N493" s="2910"/>
      <c r="O493" s="2910"/>
      <c r="P493" s="2907"/>
      <c r="Q493" s="2907"/>
      <c r="R493" s="2909">
        <v>115000</v>
      </c>
      <c r="S493" s="2909">
        <v>115000</v>
      </c>
      <c r="T493" s="2907"/>
    </row>
    <row r="494" spans="1:20" ht="23.25" customHeight="1" outlineLevel="1" x14ac:dyDescent="0.2">
      <c r="A494" s="4672" t="s">
        <v>3330</v>
      </c>
      <c r="B494" s="4672"/>
      <c r="C494" s="2905">
        <v>605</v>
      </c>
      <c r="D494" s="2906" t="s">
        <v>2645</v>
      </c>
      <c r="E494" s="2907" t="s">
        <v>3331</v>
      </c>
      <c r="F494" s="2908">
        <v>120</v>
      </c>
      <c r="G494" s="2908"/>
      <c r="H494" s="2909">
        <v>118000</v>
      </c>
      <c r="I494" s="4673">
        <v>118000</v>
      </c>
      <c r="J494" s="4673"/>
      <c r="K494" s="2907"/>
      <c r="L494" s="2907"/>
      <c r="M494" s="2910"/>
      <c r="N494" s="2910"/>
      <c r="O494" s="2910"/>
      <c r="P494" s="2907"/>
      <c r="Q494" s="2907"/>
      <c r="R494" s="2909">
        <v>118000</v>
      </c>
      <c r="S494" s="2909">
        <v>118000</v>
      </c>
      <c r="T494" s="2907"/>
    </row>
    <row r="495" spans="1:20" ht="23.25" customHeight="1" outlineLevel="1" x14ac:dyDescent="0.2">
      <c r="A495" s="4672" t="s">
        <v>3332</v>
      </c>
      <c r="B495" s="4672"/>
      <c r="C495" s="2912">
        <v>2302</v>
      </c>
      <c r="D495" s="2906" t="s">
        <v>3333</v>
      </c>
      <c r="E495" s="2907" t="s">
        <v>3334</v>
      </c>
      <c r="F495" s="2908">
        <v>84</v>
      </c>
      <c r="G495" s="2908"/>
      <c r="H495" s="2909">
        <v>615517.39</v>
      </c>
      <c r="I495" s="4673">
        <v>615517.39</v>
      </c>
      <c r="J495" s="4673"/>
      <c r="K495" s="2907"/>
      <c r="L495" s="2907"/>
      <c r="M495" s="2910"/>
      <c r="N495" s="2910"/>
      <c r="O495" s="2910"/>
      <c r="P495" s="2907"/>
      <c r="Q495" s="2907"/>
      <c r="R495" s="2909">
        <v>615517.39</v>
      </c>
      <c r="S495" s="2909">
        <v>615517.39</v>
      </c>
      <c r="T495" s="2907"/>
    </row>
    <row r="496" spans="1:20" ht="23.25" customHeight="1" outlineLevel="1" x14ac:dyDescent="0.2">
      <c r="A496" s="4672" t="s">
        <v>3335</v>
      </c>
      <c r="B496" s="4672"/>
      <c r="C496" s="2954">
        <v>1797</v>
      </c>
      <c r="D496" s="2906" t="s">
        <v>2659</v>
      </c>
      <c r="E496" s="2907" t="s">
        <v>3336</v>
      </c>
      <c r="F496" s="2908">
        <v>120</v>
      </c>
      <c r="G496" s="2908"/>
      <c r="H496" s="2909">
        <v>255087.75</v>
      </c>
      <c r="I496" s="4673">
        <v>255087.6</v>
      </c>
      <c r="J496" s="4673"/>
      <c r="K496" s="2952">
        <v>0.15</v>
      </c>
      <c r="L496" s="2907"/>
      <c r="M496" s="2950">
        <v>0.15</v>
      </c>
      <c r="N496" s="2950">
        <f>K496</f>
        <v>0.15</v>
      </c>
      <c r="O496" s="2950"/>
      <c r="P496" s="2907"/>
      <c r="Q496" s="2907"/>
      <c r="R496" s="2909">
        <v>255087.75</v>
      </c>
      <c r="S496" s="2909">
        <v>255087.75</v>
      </c>
      <c r="T496" s="2907"/>
    </row>
    <row r="497" spans="1:20" ht="23.25" customHeight="1" outlineLevel="1" x14ac:dyDescent="0.2">
      <c r="A497" s="4672" t="s">
        <v>3337</v>
      </c>
      <c r="B497" s="4672"/>
      <c r="C497" s="2905">
        <v>622</v>
      </c>
      <c r="D497" s="2906" t="s">
        <v>2645</v>
      </c>
      <c r="E497" s="2907" t="s">
        <v>3338</v>
      </c>
      <c r="F497" s="2908">
        <v>84</v>
      </c>
      <c r="G497" s="2908"/>
      <c r="H497" s="2909">
        <v>38786.53</v>
      </c>
      <c r="I497" s="4673">
        <v>38786.53</v>
      </c>
      <c r="J497" s="4673"/>
      <c r="K497" s="2907"/>
      <c r="L497" s="2907"/>
      <c r="M497" s="2910"/>
      <c r="N497" s="2910"/>
      <c r="O497" s="2910"/>
      <c r="P497" s="2907"/>
      <c r="Q497" s="2907"/>
      <c r="R497" s="2909">
        <v>38786.53</v>
      </c>
      <c r="S497" s="2909">
        <v>38786.53</v>
      </c>
      <c r="T497" s="2907"/>
    </row>
    <row r="498" spans="1:20" ht="23.25" customHeight="1" outlineLevel="1" x14ac:dyDescent="0.2">
      <c r="A498" s="4672" t="s">
        <v>3339</v>
      </c>
      <c r="B498" s="4672"/>
      <c r="C498" s="2905">
        <v>501</v>
      </c>
      <c r="D498" s="2906" t="s">
        <v>2896</v>
      </c>
      <c r="E498" s="2907" t="s">
        <v>3340</v>
      </c>
      <c r="F498" s="2908">
        <v>120</v>
      </c>
      <c r="G498" s="2908"/>
      <c r="H498" s="2909">
        <v>49800</v>
      </c>
      <c r="I498" s="4673">
        <v>49800</v>
      </c>
      <c r="J498" s="4673"/>
      <c r="K498" s="2907"/>
      <c r="L498" s="2907"/>
      <c r="M498" s="2910"/>
      <c r="N498" s="2910"/>
      <c r="O498" s="2910"/>
      <c r="P498" s="2907"/>
      <c r="Q498" s="2907"/>
      <c r="R498" s="2909">
        <v>49800</v>
      </c>
      <c r="S498" s="2909">
        <v>49800</v>
      </c>
      <c r="T498" s="2907"/>
    </row>
    <row r="499" spans="1:20" ht="23.25" customHeight="1" outlineLevel="1" x14ac:dyDescent="0.2">
      <c r="A499" s="4672" t="s">
        <v>3341</v>
      </c>
      <c r="B499" s="4672"/>
      <c r="C499" s="2905">
        <v>569</v>
      </c>
      <c r="D499" s="2906" t="s">
        <v>2943</v>
      </c>
      <c r="E499" s="2907" t="s">
        <v>3342</v>
      </c>
      <c r="F499" s="2908">
        <v>1</v>
      </c>
      <c r="G499" s="2908"/>
      <c r="H499" s="2909">
        <v>2290.65</v>
      </c>
      <c r="I499" s="4673">
        <v>2290.65</v>
      </c>
      <c r="J499" s="4673"/>
      <c r="K499" s="2907"/>
      <c r="L499" s="2907"/>
      <c r="M499" s="2910"/>
      <c r="N499" s="2910"/>
      <c r="O499" s="2910"/>
      <c r="P499" s="2907"/>
      <c r="Q499" s="2907"/>
      <c r="R499" s="2909">
        <v>2290.65</v>
      </c>
      <c r="S499" s="2909">
        <v>2290.65</v>
      </c>
      <c r="T499" s="2907"/>
    </row>
    <row r="500" spans="1:20" ht="12" customHeight="1" outlineLevel="1" x14ac:dyDescent="0.2">
      <c r="A500" s="4672" t="s">
        <v>3343</v>
      </c>
      <c r="B500" s="4672"/>
      <c r="C500" s="2905">
        <v>701</v>
      </c>
      <c r="D500" s="2906" t="s">
        <v>2299</v>
      </c>
      <c r="E500" s="2907" t="s">
        <v>3344</v>
      </c>
      <c r="F500" s="2908">
        <v>12</v>
      </c>
      <c r="G500" s="2908"/>
      <c r="H500" s="2907"/>
      <c r="I500" s="2947"/>
      <c r="J500" s="2948"/>
      <c r="K500" s="2907"/>
      <c r="L500" s="2907"/>
      <c r="M500" s="2910"/>
      <c r="N500" s="2910"/>
      <c r="O500" s="2910"/>
      <c r="P500" s="2907"/>
      <c r="Q500" s="2907"/>
      <c r="R500" s="2907"/>
      <c r="S500" s="2907"/>
      <c r="T500" s="2907"/>
    </row>
    <row r="501" spans="1:20" ht="12" customHeight="1" outlineLevel="1" x14ac:dyDescent="0.2">
      <c r="A501" s="4672" t="s">
        <v>3345</v>
      </c>
      <c r="B501" s="4672"/>
      <c r="C501" s="2905">
        <v>424</v>
      </c>
      <c r="D501" s="2906" t="s">
        <v>3346</v>
      </c>
      <c r="E501" s="2907" t="s">
        <v>3347</v>
      </c>
      <c r="F501" s="2908">
        <v>100</v>
      </c>
      <c r="G501" s="2908"/>
      <c r="H501" s="2909">
        <v>2161</v>
      </c>
      <c r="I501" s="4673">
        <v>2161</v>
      </c>
      <c r="J501" s="4673"/>
      <c r="K501" s="2907"/>
      <c r="L501" s="2907"/>
      <c r="M501" s="2910"/>
      <c r="N501" s="2910"/>
      <c r="O501" s="2910"/>
      <c r="P501" s="2907"/>
      <c r="Q501" s="2907"/>
      <c r="R501" s="2909">
        <v>2161</v>
      </c>
      <c r="S501" s="2909">
        <v>2161</v>
      </c>
      <c r="T501" s="2907"/>
    </row>
    <row r="502" spans="1:20" ht="12" customHeight="1" outlineLevel="1" x14ac:dyDescent="0.2">
      <c r="A502" s="4672" t="s">
        <v>3348</v>
      </c>
      <c r="B502" s="4672"/>
      <c r="C502" s="2905">
        <v>516</v>
      </c>
      <c r="D502" s="2906" t="s">
        <v>2793</v>
      </c>
      <c r="E502" s="2907" t="s">
        <v>3349</v>
      </c>
      <c r="F502" s="2908">
        <v>108</v>
      </c>
      <c r="G502" s="2908"/>
      <c r="H502" s="2909">
        <v>208333</v>
      </c>
      <c r="I502" s="4673">
        <v>208333</v>
      </c>
      <c r="J502" s="4673"/>
      <c r="K502" s="2907"/>
      <c r="L502" s="2907"/>
      <c r="M502" s="2910"/>
      <c r="N502" s="2910"/>
      <c r="O502" s="2910"/>
      <c r="P502" s="2907"/>
      <c r="Q502" s="2907"/>
      <c r="R502" s="2909">
        <v>208333</v>
      </c>
      <c r="S502" s="2909">
        <v>208333</v>
      </c>
      <c r="T502" s="2907"/>
    </row>
    <row r="503" spans="1:20" s="2904" customFormat="1" ht="12" customHeight="1" outlineLevel="1" x14ac:dyDescent="0.2">
      <c r="A503" s="4677" t="s">
        <v>3350</v>
      </c>
      <c r="B503" s="4677"/>
      <c r="C503" s="2942">
        <v>1512</v>
      </c>
      <c r="D503" s="2898" t="s">
        <v>3351</v>
      </c>
      <c r="E503" s="2903" t="s">
        <v>3352</v>
      </c>
      <c r="F503" s="2900">
        <v>60</v>
      </c>
      <c r="G503" s="2900"/>
      <c r="H503" s="2901">
        <v>342850</v>
      </c>
      <c r="I503" s="4678">
        <v>11428.34</v>
      </c>
      <c r="J503" s="4678"/>
      <c r="K503" s="2901">
        <v>331421.65999999997</v>
      </c>
      <c r="L503" s="2903"/>
      <c r="M503" s="2911">
        <v>68570.039999999994</v>
      </c>
      <c r="N503" s="2911">
        <f>M503</f>
        <v>68570.039999999994</v>
      </c>
      <c r="O503" s="2911"/>
      <c r="P503" s="2903"/>
      <c r="Q503" s="2903"/>
      <c r="R503" s="2901">
        <v>342850</v>
      </c>
      <c r="S503" s="2901">
        <v>79998.38</v>
      </c>
      <c r="T503" s="2901">
        <v>262851.62</v>
      </c>
    </row>
    <row r="504" spans="1:20" ht="12" customHeight="1" outlineLevel="1" x14ac:dyDescent="0.2">
      <c r="A504" s="4672" t="s">
        <v>3353</v>
      </c>
      <c r="B504" s="4672"/>
      <c r="C504" s="2905">
        <v>517</v>
      </c>
      <c r="D504" s="2906" t="s">
        <v>3354</v>
      </c>
      <c r="E504" s="2907" t="s">
        <v>3355</v>
      </c>
      <c r="F504" s="2908">
        <v>132</v>
      </c>
      <c r="G504" s="2908"/>
      <c r="H504" s="2909">
        <v>24483</v>
      </c>
      <c r="I504" s="4673">
        <v>24483</v>
      </c>
      <c r="J504" s="4673"/>
      <c r="K504" s="2907"/>
      <c r="L504" s="2907"/>
      <c r="M504" s="2910"/>
      <c r="N504" s="2910"/>
      <c r="O504" s="2910"/>
      <c r="P504" s="2907"/>
      <c r="Q504" s="2907"/>
      <c r="R504" s="2909">
        <v>24483</v>
      </c>
      <c r="S504" s="2909">
        <v>24483</v>
      </c>
      <c r="T504" s="2907"/>
    </row>
    <row r="505" spans="1:20" ht="12" customHeight="1" outlineLevel="1" x14ac:dyDescent="0.2">
      <c r="A505" s="4672" t="s">
        <v>3356</v>
      </c>
      <c r="B505" s="4672"/>
      <c r="C505" s="2905">
        <v>514</v>
      </c>
      <c r="D505" s="2906" t="s">
        <v>3357</v>
      </c>
      <c r="E505" s="2907" t="s">
        <v>3358</v>
      </c>
      <c r="F505" s="2908">
        <v>108</v>
      </c>
      <c r="G505" s="2908"/>
      <c r="H505" s="2909">
        <v>224065.91</v>
      </c>
      <c r="I505" s="4673">
        <v>224065.91</v>
      </c>
      <c r="J505" s="4673"/>
      <c r="K505" s="2907"/>
      <c r="L505" s="2907"/>
      <c r="M505" s="2910"/>
      <c r="N505" s="2910"/>
      <c r="O505" s="2910"/>
      <c r="P505" s="2907"/>
      <c r="Q505" s="2907"/>
      <c r="R505" s="2909">
        <v>224065.91</v>
      </c>
      <c r="S505" s="2909">
        <v>224065.91</v>
      </c>
      <c r="T505" s="2907"/>
    </row>
    <row r="506" spans="1:20" ht="12" customHeight="1" outlineLevel="1" x14ac:dyDescent="0.2">
      <c r="A506" s="4672" t="s">
        <v>3359</v>
      </c>
      <c r="B506" s="4672"/>
      <c r="C506" s="2905">
        <v>2019</v>
      </c>
      <c r="D506" s="2906" t="s">
        <v>2699</v>
      </c>
      <c r="E506" s="2907" t="s">
        <v>3360</v>
      </c>
      <c r="F506" s="2908">
        <v>84</v>
      </c>
      <c r="G506" s="2908"/>
      <c r="H506" s="2909">
        <v>1512542.39</v>
      </c>
      <c r="I506" s="4673">
        <v>1512542.39</v>
      </c>
      <c r="J506" s="4673"/>
      <c r="K506" s="2907"/>
      <c r="L506" s="2907"/>
      <c r="M506" s="2910"/>
      <c r="N506" s="2910"/>
      <c r="O506" s="2910"/>
      <c r="P506" s="2907"/>
      <c r="Q506" s="2907"/>
      <c r="R506" s="2909">
        <v>1512542.39</v>
      </c>
      <c r="S506" s="2909">
        <v>1512542.39</v>
      </c>
      <c r="T506" s="2907"/>
    </row>
    <row r="507" spans="1:20" s="2904" customFormat="1" ht="12" customHeight="1" outlineLevel="1" x14ac:dyDescent="0.2">
      <c r="A507" s="4677" t="s">
        <v>3361</v>
      </c>
      <c r="B507" s="4677"/>
      <c r="C507" s="2957">
        <v>2452</v>
      </c>
      <c r="D507" s="2898" t="s">
        <v>3362</v>
      </c>
      <c r="E507" s="2903" t="s">
        <v>3363</v>
      </c>
      <c r="F507" s="2900">
        <v>84</v>
      </c>
      <c r="G507" s="2900"/>
      <c r="H507" s="2901">
        <v>300324</v>
      </c>
      <c r="I507" s="4678">
        <v>189490.34</v>
      </c>
      <c r="J507" s="4678"/>
      <c r="K507" s="2901">
        <v>110833.66</v>
      </c>
      <c r="L507" s="2903"/>
      <c r="M507" s="2911">
        <v>42903.48</v>
      </c>
      <c r="N507" s="2911">
        <f>M507</f>
        <v>42903.48</v>
      </c>
      <c r="O507" s="2911"/>
      <c r="P507" s="2903"/>
      <c r="Q507" s="2903"/>
      <c r="R507" s="2901">
        <v>300324</v>
      </c>
      <c r="S507" s="2901">
        <v>232393.82</v>
      </c>
      <c r="T507" s="2901">
        <v>67930.179999999993</v>
      </c>
    </row>
    <row r="508" spans="1:20" s="2932" customFormat="1" ht="12.75" customHeight="1" x14ac:dyDescent="0.2">
      <c r="A508" s="4679" t="s">
        <v>3364</v>
      </c>
      <c r="B508" s="4679"/>
      <c r="C508" s="4679"/>
      <c r="D508" s="4679"/>
      <c r="E508" s="4679"/>
      <c r="F508" s="4679"/>
      <c r="G508" s="2929"/>
      <c r="H508" s="2930">
        <v>520980.34</v>
      </c>
      <c r="I508" s="4680">
        <v>518323.3</v>
      </c>
      <c r="J508" s="4680"/>
      <c r="K508" s="2930">
        <v>2657.04</v>
      </c>
      <c r="L508" s="2956"/>
      <c r="M508" s="2931">
        <v>2657.04</v>
      </c>
      <c r="N508" s="2931">
        <f>SUM(N509:N596)</f>
        <v>0</v>
      </c>
      <c r="O508" s="2931"/>
      <c r="P508" s="2930">
        <v>14866.66</v>
      </c>
      <c r="Q508" s="2930">
        <v>14866.66</v>
      </c>
      <c r="R508" s="2930">
        <v>506113.68</v>
      </c>
      <c r="S508" s="2930">
        <v>506113.68</v>
      </c>
      <c r="T508" s="2956"/>
    </row>
    <row r="509" spans="1:20" ht="12" customHeight="1" outlineLevel="1" x14ac:dyDescent="0.2">
      <c r="A509" s="4672" t="s">
        <v>3365</v>
      </c>
      <c r="B509" s="4672"/>
      <c r="C509" s="2905">
        <v>533</v>
      </c>
      <c r="D509" s="2906" t="s">
        <v>3366</v>
      </c>
      <c r="E509" s="2907" t="s">
        <v>3367</v>
      </c>
      <c r="F509" s="2908">
        <v>120</v>
      </c>
      <c r="G509" s="2908"/>
      <c r="H509" s="2909">
        <v>1666.67</v>
      </c>
      <c r="I509" s="4673">
        <v>1666.67</v>
      </c>
      <c r="J509" s="4673"/>
      <c r="K509" s="2907"/>
      <c r="L509" s="2907"/>
      <c r="M509" s="2910"/>
      <c r="N509" s="2910"/>
      <c r="O509" s="2910"/>
      <c r="P509" s="2907"/>
      <c r="Q509" s="2907"/>
      <c r="R509" s="2909">
        <v>1666.67</v>
      </c>
      <c r="S509" s="2909">
        <v>1666.67</v>
      </c>
      <c r="T509" s="2907"/>
    </row>
    <row r="510" spans="1:20" ht="12" customHeight="1" outlineLevel="1" x14ac:dyDescent="0.2">
      <c r="A510" s="4672" t="s">
        <v>3368</v>
      </c>
      <c r="B510" s="4672"/>
      <c r="C510" s="2905">
        <v>402</v>
      </c>
      <c r="D510" s="2906" t="s">
        <v>2809</v>
      </c>
      <c r="E510" s="2907" t="s">
        <v>3369</v>
      </c>
      <c r="F510" s="2908">
        <v>120</v>
      </c>
      <c r="G510" s="2908"/>
      <c r="H510" s="2952">
        <v>741.67</v>
      </c>
      <c r="I510" s="4676">
        <v>741.67</v>
      </c>
      <c r="J510" s="4676"/>
      <c r="K510" s="2907"/>
      <c r="L510" s="2907"/>
      <c r="M510" s="2910"/>
      <c r="N510" s="2910"/>
      <c r="O510" s="2910"/>
      <c r="P510" s="2907"/>
      <c r="Q510" s="2907"/>
      <c r="R510" s="2952">
        <v>741.67</v>
      </c>
      <c r="S510" s="2952">
        <v>741.67</v>
      </c>
      <c r="T510" s="2907"/>
    </row>
    <row r="511" spans="1:20" ht="12" customHeight="1" outlineLevel="1" x14ac:dyDescent="0.2">
      <c r="A511" s="4672" t="s">
        <v>3370</v>
      </c>
      <c r="B511" s="4672"/>
      <c r="C511" s="2905">
        <v>160</v>
      </c>
      <c r="D511" s="2906" t="s">
        <v>2868</v>
      </c>
      <c r="E511" s="2907" t="s">
        <v>3371</v>
      </c>
      <c r="F511" s="2908">
        <v>179</v>
      </c>
      <c r="G511" s="2908"/>
      <c r="H511" s="2909">
        <v>3230</v>
      </c>
      <c r="I511" s="4673">
        <v>3230</v>
      </c>
      <c r="J511" s="4673"/>
      <c r="K511" s="2907"/>
      <c r="L511" s="2907"/>
      <c r="M511" s="2910"/>
      <c r="N511" s="2910"/>
      <c r="O511" s="2910"/>
      <c r="P511" s="2907"/>
      <c r="Q511" s="2907"/>
      <c r="R511" s="2909">
        <v>3230</v>
      </c>
      <c r="S511" s="2909">
        <v>3230</v>
      </c>
      <c r="T511" s="2907"/>
    </row>
    <row r="512" spans="1:20" ht="12" customHeight="1" outlineLevel="1" x14ac:dyDescent="0.2">
      <c r="A512" s="4672" t="s">
        <v>3372</v>
      </c>
      <c r="B512" s="4672"/>
      <c r="C512" s="2905">
        <v>233</v>
      </c>
      <c r="D512" s="2906" t="s">
        <v>2809</v>
      </c>
      <c r="E512" s="2907" t="s">
        <v>3373</v>
      </c>
      <c r="F512" s="2908">
        <v>120</v>
      </c>
      <c r="G512" s="2908"/>
      <c r="H512" s="2909">
        <v>1650</v>
      </c>
      <c r="I512" s="4673">
        <v>1650</v>
      </c>
      <c r="J512" s="4673"/>
      <c r="K512" s="2907"/>
      <c r="L512" s="2907"/>
      <c r="M512" s="2910"/>
      <c r="N512" s="2910"/>
      <c r="O512" s="2910"/>
      <c r="P512" s="2907"/>
      <c r="Q512" s="2907"/>
      <c r="R512" s="2909">
        <v>1650</v>
      </c>
      <c r="S512" s="2909">
        <v>1650</v>
      </c>
      <c r="T512" s="2907"/>
    </row>
    <row r="513" spans="1:20" ht="23.25" customHeight="1" outlineLevel="1" x14ac:dyDescent="0.2">
      <c r="A513" s="4672" t="s">
        <v>3374</v>
      </c>
      <c r="B513" s="4672"/>
      <c r="C513" s="2905">
        <v>98</v>
      </c>
      <c r="D513" s="2906" t="s">
        <v>2248</v>
      </c>
      <c r="E513" s="2907" t="s">
        <v>3375</v>
      </c>
      <c r="F513" s="2908">
        <v>324</v>
      </c>
      <c r="G513" s="2908"/>
      <c r="H513" s="2909">
        <v>2830</v>
      </c>
      <c r="I513" s="4673">
        <v>2830</v>
      </c>
      <c r="J513" s="4673"/>
      <c r="K513" s="2907"/>
      <c r="L513" s="2907"/>
      <c r="M513" s="2910"/>
      <c r="N513" s="2910"/>
      <c r="O513" s="2910"/>
      <c r="P513" s="2907"/>
      <c r="Q513" s="2907"/>
      <c r="R513" s="2909">
        <v>2830</v>
      </c>
      <c r="S513" s="2909">
        <v>2830</v>
      </c>
      <c r="T513" s="2907"/>
    </row>
    <row r="514" spans="1:20" ht="12" customHeight="1" outlineLevel="1" x14ac:dyDescent="0.2">
      <c r="A514" s="4672" t="s">
        <v>3376</v>
      </c>
      <c r="B514" s="4672"/>
      <c r="C514" s="2905">
        <v>583</v>
      </c>
      <c r="D514" s="2906" t="s">
        <v>3377</v>
      </c>
      <c r="E514" s="2907" t="s">
        <v>3378</v>
      </c>
      <c r="F514" s="2908">
        <v>1</v>
      </c>
      <c r="G514" s="2908"/>
      <c r="H514" s="2909">
        <v>7333.33</v>
      </c>
      <c r="I514" s="4673">
        <v>7333.33</v>
      </c>
      <c r="J514" s="4673"/>
      <c r="K514" s="2907"/>
      <c r="L514" s="2907"/>
      <c r="M514" s="2910"/>
      <c r="N514" s="2910"/>
      <c r="O514" s="2910"/>
      <c r="P514" s="2907"/>
      <c r="Q514" s="2907"/>
      <c r="R514" s="2909">
        <v>7333.33</v>
      </c>
      <c r="S514" s="2909">
        <v>7333.33</v>
      </c>
      <c r="T514" s="2907"/>
    </row>
    <row r="515" spans="1:20" ht="12" customHeight="1" outlineLevel="1" x14ac:dyDescent="0.2">
      <c r="A515" s="4672" t="s">
        <v>3379</v>
      </c>
      <c r="B515" s="4672"/>
      <c r="C515" s="2905">
        <v>159</v>
      </c>
      <c r="D515" s="2906" t="s">
        <v>2626</v>
      </c>
      <c r="E515" s="2907" t="s">
        <v>3380</v>
      </c>
      <c r="F515" s="2908">
        <v>120</v>
      </c>
      <c r="G515" s="2908"/>
      <c r="H515" s="2909">
        <v>1125</v>
      </c>
      <c r="I515" s="4673">
        <v>1125</v>
      </c>
      <c r="J515" s="4673"/>
      <c r="K515" s="2907"/>
      <c r="L515" s="2907"/>
      <c r="M515" s="2910"/>
      <c r="N515" s="2910"/>
      <c r="O515" s="2910"/>
      <c r="P515" s="2907"/>
      <c r="Q515" s="2907"/>
      <c r="R515" s="2909">
        <v>1125</v>
      </c>
      <c r="S515" s="2909">
        <v>1125</v>
      </c>
      <c r="T515" s="2907"/>
    </row>
    <row r="516" spans="1:20" ht="12" customHeight="1" outlineLevel="1" x14ac:dyDescent="0.2">
      <c r="A516" s="4672" t="s">
        <v>3381</v>
      </c>
      <c r="B516" s="4672"/>
      <c r="C516" s="2905">
        <v>306</v>
      </c>
      <c r="D516" s="2906" t="s">
        <v>3382</v>
      </c>
      <c r="E516" s="2907" t="s">
        <v>2676</v>
      </c>
      <c r="F516" s="2908">
        <v>120</v>
      </c>
      <c r="G516" s="2908"/>
      <c r="H516" s="2909">
        <v>2500</v>
      </c>
      <c r="I516" s="4673">
        <v>2500</v>
      </c>
      <c r="J516" s="4673"/>
      <c r="K516" s="2907"/>
      <c r="L516" s="2907"/>
      <c r="M516" s="2910"/>
      <c r="N516" s="2910"/>
      <c r="O516" s="2910"/>
      <c r="P516" s="2907"/>
      <c r="Q516" s="2907"/>
      <c r="R516" s="2909">
        <v>2500</v>
      </c>
      <c r="S516" s="2909">
        <v>2500</v>
      </c>
      <c r="T516" s="2907"/>
    </row>
    <row r="517" spans="1:20" ht="12" customHeight="1" outlineLevel="1" x14ac:dyDescent="0.2">
      <c r="A517" s="4672" t="s">
        <v>3383</v>
      </c>
      <c r="B517" s="4672"/>
      <c r="C517" s="2912">
        <v>2019</v>
      </c>
      <c r="D517" s="2906" t="s">
        <v>2730</v>
      </c>
      <c r="E517" s="2907" t="s">
        <v>3384</v>
      </c>
      <c r="F517" s="2908">
        <v>84</v>
      </c>
      <c r="G517" s="2908"/>
      <c r="H517" s="2909">
        <v>11794</v>
      </c>
      <c r="I517" s="4673">
        <v>11794</v>
      </c>
      <c r="J517" s="4673"/>
      <c r="K517" s="2907"/>
      <c r="L517" s="2907"/>
      <c r="M517" s="2910"/>
      <c r="N517" s="2910"/>
      <c r="O517" s="2910"/>
      <c r="P517" s="2907"/>
      <c r="Q517" s="2907"/>
      <c r="R517" s="2909">
        <v>11794</v>
      </c>
      <c r="S517" s="2909">
        <v>11794</v>
      </c>
      <c r="T517" s="2907"/>
    </row>
    <row r="518" spans="1:20" ht="12" customHeight="1" outlineLevel="1" x14ac:dyDescent="0.2">
      <c r="A518" s="4672" t="s">
        <v>3385</v>
      </c>
      <c r="B518" s="4672"/>
      <c r="C518" s="2905">
        <v>519</v>
      </c>
      <c r="D518" s="2906" t="s">
        <v>3028</v>
      </c>
      <c r="E518" s="2907" t="s">
        <v>3386</v>
      </c>
      <c r="F518" s="2908">
        <v>120</v>
      </c>
      <c r="G518" s="2908"/>
      <c r="H518" s="2909">
        <v>2097</v>
      </c>
      <c r="I518" s="4673">
        <v>2097</v>
      </c>
      <c r="J518" s="4673"/>
      <c r="K518" s="2907"/>
      <c r="L518" s="2907"/>
      <c r="M518" s="2910"/>
      <c r="N518" s="2910"/>
      <c r="O518" s="2910"/>
      <c r="P518" s="2907"/>
      <c r="Q518" s="2907"/>
      <c r="R518" s="2909">
        <v>2097</v>
      </c>
      <c r="S518" s="2909">
        <v>2097</v>
      </c>
      <c r="T518" s="2907"/>
    </row>
    <row r="519" spans="1:20" ht="12" customHeight="1" outlineLevel="1" x14ac:dyDescent="0.2">
      <c r="A519" s="4672" t="s">
        <v>3387</v>
      </c>
      <c r="B519" s="4672"/>
      <c r="C519" s="2905">
        <v>558</v>
      </c>
      <c r="D519" s="2906" t="s">
        <v>2809</v>
      </c>
      <c r="E519" s="2907" t="s">
        <v>2676</v>
      </c>
      <c r="F519" s="2908">
        <v>120</v>
      </c>
      <c r="G519" s="2908"/>
      <c r="H519" s="2909">
        <v>2500</v>
      </c>
      <c r="I519" s="4673">
        <v>2500</v>
      </c>
      <c r="J519" s="4673"/>
      <c r="K519" s="2907"/>
      <c r="L519" s="2907"/>
      <c r="M519" s="2910"/>
      <c r="N519" s="2910"/>
      <c r="O519" s="2910"/>
      <c r="P519" s="2907"/>
      <c r="Q519" s="2907"/>
      <c r="R519" s="2909">
        <v>2500</v>
      </c>
      <c r="S519" s="2909">
        <v>2500</v>
      </c>
      <c r="T519" s="2907"/>
    </row>
    <row r="520" spans="1:20" ht="12" customHeight="1" outlineLevel="1" x14ac:dyDescent="0.2">
      <c r="A520" s="4672" t="s">
        <v>3388</v>
      </c>
      <c r="B520" s="4672"/>
      <c r="C520" s="2905">
        <v>236</v>
      </c>
      <c r="D520" s="2906" t="s">
        <v>2777</v>
      </c>
      <c r="E520" s="2907" t="s">
        <v>3389</v>
      </c>
      <c r="F520" s="2908">
        <v>120</v>
      </c>
      <c r="G520" s="2908"/>
      <c r="H520" s="2909">
        <v>6233.33</v>
      </c>
      <c r="I520" s="4673">
        <v>6233.33</v>
      </c>
      <c r="J520" s="4673"/>
      <c r="K520" s="2907"/>
      <c r="L520" s="2907"/>
      <c r="M520" s="2910"/>
      <c r="N520" s="2910"/>
      <c r="O520" s="2910"/>
      <c r="P520" s="2909">
        <v>6233.33</v>
      </c>
      <c r="Q520" s="2909">
        <v>6233.33</v>
      </c>
      <c r="R520" s="2907"/>
      <c r="S520" s="2907"/>
      <c r="T520" s="2907"/>
    </row>
    <row r="521" spans="1:20" ht="12" customHeight="1" outlineLevel="1" x14ac:dyDescent="0.2">
      <c r="A521" s="4672" t="s">
        <v>3390</v>
      </c>
      <c r="B521" s="4672"/>
      <c r="C521" s="2912">
        <v>1817</v>
      </c>
      <c r="D521" s="2906" t="s">
        <v>3391</v>
      </c>
      <c r="E521" s="2907" t="s">
        <v>3392</v>
      </c>
      <c r="F521" s="2908">
        <v>84</v>
      </c>
      <c r="G521" s="2908"/>
      <c r="H521" s="2909">
        <v>10400</v>
      </c>
      <c r="I521" s="4673">
        <v>10400</v>
      </c>
      <c r="J521" s="4673"/>
      <c r="K521" s="2907"/>
      <c r="L521" s="2907"/>
      <c r="M521" s="2910"/>
      <c r="N521" s="2910"/>
      <c r="O521" s="2910"/>
      <c r="P521" s="2907"/>
      <c r="Q521" s="2907"/>
      <c r="R521" s="2909">
        <v>10400</v>
      </c>
      <c r="S521" s="2909">
        <v>10400</v>
      </c>
      <c r="T521" s="2907"/>
    </row>
    <row r="522" spans="1:20" ht="12" customHeight="1" outlineLevel="1" x14ac:dyDescent="0.2">
      <c r="A522" s="4672" t="s">
        <v>3393</v>
      </c>
      <c r="B522" s="4672"/>
      <c r="C522" s="2905">
        <v>521</v>
      </c>
      <c r="D522" s="2906" t="s">
        <v>2344</v>
      </c>
      <c r="E522" s="2907" t="s">
        <v>3394</v>
      </c>
      <c r="F522" s="2908">
        <v>120</v>
      </c>
      <c r="G522" s="2908"/>
      <c r="H522" s="2909">
        <v>18706</v>
      </c>
      <c r="I522" s="4673">
        <v>18706</v>
      </c>
      <c r="J522" s="4673"/>
      <c r="K522" s="2907"/>
      <c r="L522" s="2907"/>
      <c r="M522" s="2910"/>
      <c r="N522" s="2910"/>
      <c r="O522" s="2910"/>
      <c r="P522" s="2907"/>
      <c r="Q522" s="2907"/>
      <c r="R522" s="2909">
        <v>18706</v>
      </c>
      <c r="S522" s="2909">
        <v>18706</v>
      </c>
      <c r="T522" s="2907"/>
    </row>
    <row r="523" spans="1:20" ht="12" customHeight="1" outlineLevel="1" x14ac:dyDescent="0.2">
      <c r="A523" s="4672" t="s">
        <v>3395</v>
      </c>
      <c r="B523" s="4672"/>
      <c r="C523" s="2905">
        <v>559</v>
      </c>
      <c r="D523" s="2906" t="s">
        <v>2809</v>
      </c>
      <c r="E523" s="2907" t="s">
        <v>3396</v>
      </c>
      <c r="F523" s="2908">
        <v>120</v>
      </c>
      <c r="G523" s="2908"/>
      <c r="H523" s="2909">
        <v>3633.33</v>
      </c>
      <c r="I523" s="4673">
        <v>3633.33</v>
      </c>
      <c r="J523" s="4673"/>
      <c r="K523" s="2907"/>
      <c r="L523" s="2907"/>
      <c r="M523" s="2910"/>
      <c r="N523" s="2910"/>
      <c r="O523" s="2910"/>
      <c r="P523" s="2907"/>
      <c r="Q523" s="2907"/>
      <c r="R523" s="2909">
        <v>3633.33</v>
      </c>
      <c r="S523" s="2909">
        <v>3633.33</v>
      </c>
      <c r="T523" s="2907"/>
    </row>
    <row r="524" spans="1:20" ht="12" customHeight="1" outlineLevel="1" x14ac:dyDescent="0.2">
      <c r="A524" s="4672" t="s">
        <v>3397</v>
      </c>
      <c r="B524" s="4672"/>
      <c r="C524" s="2905">
        <v>562</v>
      </c>
      <c r="D524" s="2906" t="s">
        <v>2626</v>
      </c>
      <c r="E524" s="2907" t="s">
        <v>3398</v>
      </c>
      <c r="F524" s="2908">
        <v>120</v>
      </c>
      <c r="G524" s="2908"/>
      <c r="H524" s="2952">
        <v>400</v>
      </c>
      <c r="I524" s="4676">
        <v>400</v>
      </c>
      <c r="J524" s="4676"/>
      <c r="K524" s="2907"/>
      <c r="L524" s="2907"/>
      <c r="M524" s="2910"/>
      <c r="N524" s="2910"/>
      <c r="O524" s="2910"/>
      <c r="P524" s="2907"/>
      <c r="Q524" s="2907"/>
      <c r="R524" s="2952">
        <v>400</v>
      </c>
      <c r="S524" s="2952">
        <v>400</v>
      </c>
      <c r="T524" s="2907"/>
    </row>
    <row r="525" spans="1:20" ht="12" customHeight="1" outlineLevel="1" x14ac:dyDescent="0.2">
      <c r="A525" s="4672" t="s">
        <v>3399</v>
      </c>
      <c r="B525" s="4672"/>
      <c r="C525" s="2905">
        <v>184</v>
      </c>
      <c r="D525" s="2906" t="s">
        <v>2626</v>
      </c>
      <c r="E525" s="2907" t="s">
        <v>3367</v>
      </c>
      <c r="F525" s="2908">
        <v>185</v>
      </c>
      <c r="G525" s="2908"/>
      <c r="H525" s="2909">
        <v>1666.67</v>
      </c>
      <c r="I525" s="4673">
        <v>1666.67</v>
      </c>
      <c r="J525" s="4673"/>
      <c r="K525" s="2907"/>
      <c r="L525" s="2907"/>
      <c r="M525" s="2910"/>
      <c r="N525" s="2910"/>
      <c r="O525" s="2910"/>
      <c r="P525" s="2907"/>
      <c r="Q525" s="2907"/>
      <c r="R525" s="2909">
        <v>1666.67</v>
      </c>
      <c r="S525" s="2909">
        <v>1666.67</v>
      </c>
      <c r="T525" s="2907"/>
    </row>
    <row r="526" spans="1:20" ht="12" customHeight="1" outlineLevel="1" x14ac:dyDescent="0.2">
      <c r="A526" s="4672" t="s">
        <v>3400</v>
      </c>
      <c r="B526" s="4672"/>
      <c r="C526" s="2905">
        <v>246</v>
      </c>
      <c r="D526" s="2906" t="s">
        <v>2809</v>
      </c>
      <c r="E526" s="2907" t="s">
        <v>3401</v>
      </c>
      <c r="F526" s="2908">
        <v>120</v>
      </c>
      <c r="G526" s="2908"/>
      <c r="H526" s="2909">
        <v>16961.349999999999</v>
      </c>
      <c r="I526" s="4673">
        <v>16961.349999999999</v>
      </c>
      <c r="J526" s="4673"/>
      <c r="K526" s="2907"/>
      <c r="L526" s="2907"/>
      <c r="M526" s="2910"/>
      <c r="N526" s="2910"/>
      <c r="O526" s="2910"/>
      <c r="P526" s="2907"/>
      <c r="Q526" s="2907"/>
      <c r="R526" s="2909">
        <v>16961.349999999999</v>
      </c>
      <c r="S526" s="2909">
        <v>16961.349999999999</v>
      </c>
      <c r="T526" s="2907"/>
    </row>
    <row r="527" spans="1:20" ht="12" customHeight="1" outlineLevel="1" x14ac:dyDescent="0.2">
      <c r="A527" s="4672" t="s">
        <v>3402</v>
      </c>
      <c r="B527" s="4672"/>
      <c r="C527" s="2905">
        <v>532</v>
      </c>
      <c r="D527" s="2906" t="s">
        <v>3403</v>
      </c>
      <c r="E527" s="2907" t="s">
        <v>3404</v>
      </c>
      <c r="F527" s="2908">
        <v>120</v>
      </c>
      <c r="G527" s="2908"/>
      <c r="H527" s="2952">
        <v>491.67</v>
      </c>
      <c r="I527" s="4676">
        <v>491.67</v>
      </c>
      <c r="J527" s="4676"/>
      <c r="K527" s="2907"/>
      <c r="L527" s="2907"/>
      <c r="M527" s="2910"/>
      <c r="N527" s="2910"/>
      <c r="O527" s="2910"/>
      <c r="P527" s="2907"/>
      <c r="Q527" s="2907"/>
      <c r="R527" s="2952">
        <v>491.67</v>
      </c>
      <c r="S527" s="2952">
        <v>491.67</v>
      </c>
      <c r="T527" s="2907"/>
    </row>
    <row r="528" spans="1:20" ht="12" customHeight="1" outlineLevel="1" x14ac:dyDescent="0.2">
      <c r="A528" s="4672" t="s">
        <v>3405</v>
      </c>
      <c r="B528" s="4672"/>
      <c r="C528" s="2905">
        <v>240</v>
      </c>
      <c r="D528" s="2906" t="s">
        <v>2809</v>
      </c>
      <c r="E528" s="2907" t="s">
        <v>3406</v>
      </c>
      <c r="F528" s="2908">
        <v>120</v>
      </c>
      <c r="G528" s="2908"/>
      <c r="H528" s="2909">
        <v>15416.67</v>
      </c>
      <c r="I528" s="4673">
        <v>15416.67</v>
      </c>
      <c r="J528" s="4673"/>
      <c r="K528" s="2907"/>
      <c r="L528" s="2907"/>
      <c r="M528" s="2910"/>
      <c r="N528" s="2910"/>
      <c r="O528" s="2910"/>
      <c r="P528" s="2907"/>
      <c r="Q528" s="2907"/>
      <c r="R528" s="2909">
        <v>15416.67</v>
      </c>
      <c r="S528" s="2909">
        <v>15416.67</v>
      </c>
      <c r="T528" s="2907"/>
    </row>
    <row r="529" spans="1:20" ht="12" customHeight="1" outlineLevel="1" x14ac:dyDescent="0.2">
      <c r="A529" s="4672" t="s">
        <v>3399</v>
      </c>
      <c r="B529" s="4672"/>
      <c r="C529" s="2905">
        <v>295</v>
      </c>
      <c r="D529" s="2906" t="s">
        <v>2626</v>
      </c>
      <c r="E529" s="2907" t="s">
        <v>3407</v>
      </c>
      <c r="F529" s="2908">
        <v>185</v>
      </c>
      <c r="G529" s="2908"/>
      <c r="H529" s="2952">
        <v>833.33</v>
      </c>
      <c r="I529" s="4676">
        <v>833.33</v>
      </c>
      <c r="J529" s="4676"/>
      <c r="K529" s="2907"/>
      <c r="L529" s="2907"/>
      <c r="M529" s="2910"/>
      <c r="N529" s="2910"/>
      <c r="O529" s="2910"/>
      <c r="P529" s="2907"/>
      <c r="Q529" s="2907"/>
      <c r="R529" s="2952">
        <v>833.33</v>
      </c>
      <c r="S529" s="2952">
        <v>833.33</v>
      </c>
      <c r="T529" s="2907"/>
    </row>
    <row r="530" spans="1:20" ht="12" customHeight="1" outlineLevel="1" x14ac:dyDescent="0.2">
      <c r="A530" s="4672" t="s">
        <v>3408</v>
      </c>
      <c r="B530" s="4672"/>
      <c r="C530" s="2905">
        <v>401</v>
      </c>
      <c r="D530" s="2906" t="s">
        <v>2344</v>
      </c>
      <c r="E530" s="2907" t="s">
        <v>3409</v>
      </c>
      <c r="F530" s="2908">
        <v>120</v>
      </c>
      <c r="G530" s="2908"/>
      <c r="H530" s="2909">
        <v>4680</v>
      </c>
      <c r="I530" s="4673">
        <v>4680</v>
      </c>
      <c r="J530" s="4673"/>
      <c r="K530" s="2907"/>
      <c r="L530" s="2907"/>
      <c r="M530" s="2910"/>
      <c r="N530" s="2910"/>
      <c r="O530" s="2910"/>
      <c r="P530" s="2907"/>
      <c r="Q530" s="2907"/>
      <c r="R530" s="2909">
        <v>4680</v>
      </c>
      <c r="S530" s="2909">
        <v>4680</v>
      </c>
      <c r="T530" s="2907"/>
    </row>
    <row r="531" spans="1:20" ht="12" customHeight="1" outlineLevel="1" x14ac:dyDescent="0.2">
      <c r="A531" s="4672" t="s">
        <v>3410</v>
      </c>
      <c r="B531" s="4672"/>
      <c r="C531" s="2905">
        <v>742</v>
      </c>
      <c r="D531" s="2906" t="s">
        <v>2736</v>
      </c>
      <c r="E531" s="2907" t="s">
        <v>3411</v>
      </c>
      <c r="F531" s="2908">
        <v>84</v>
      </c>
      <c r="G531" s="2908"/>
      <c r="H531" s="2952">
        <v>864</v>
      </c>
      <c r="I531" s="4676">
        <v>864</v>
      </c>
      <c r="J531" s="4676"/>
      <c r="K531" s="2907"/>
      <c r="L531" s="2907"/>
      <c r="M531" s="2910"/>
      <c r="N531" s="2910"/>
      <c r="O531" s="2910"/>
      <c r="P531" s="2907"/>
      <c r="Q531" s="2907"/>
      <c r="R531" s="2952">
        <v>864</v>
      </c>
      <c r="S531" s="2952">
        <v>864</v>
      </c>
      <c r="T531" s="2907"/>
    </row>
    <row r="532" spans="1:20" ht="12" customHeight="1" outlineLevel="1" x14ac:dyDescent="0.2">
      <c r="A532" s="4672" t="s">
        <v>3410</v>
      </c>
      <c r="B532" s="4672"/>
      <c r="C532" s="2905">
        <v>257</v>
      </c>
      <c r="D532" s="2906" t="s">
        <v>2809</v>
      </c>
      <c r="E532" s="2907" t="s">
        <v>3412</v>
      </c>
      <c r="F532" s="2908">
        <v>120</v>
      </c>
      <c r="G532" s="2908"/>
      <c r="H532" s="2909">
        <v>12960</v>
      </c>
      <c r="I532" s="4673">
        <v>12960</v>
      </c>
      <c r="J532" s="4673"/>
      <c r="K532" s="2907"/>
      <c r="L532" s="2907"/>
      <c r="M532" s="2910"/>
      <c r="N532" s="2910"/>
      <c r="O532" s="2910"/>
      <c r="P532" s="2907"/>
      <c r="Q532" s="2907"/>
      <c r="R532" s="2909">
        <v>12960</v>
      </c>
      <c r="S532" s="2909">
        <v>12960</v>
      </c>
      <c r="T532" s="2907"/>
    </row>
    <row r="533" spans="1:20" ht="12" customHeight="1" outlineLevel="1" x14ac:dyDescent="0.2">
      <c r="A533" s="4672" t="s">
        <v>3413</v>
      </c>
      <c r="B533" s="4672"/>
      <c r="C533" s="2905">
        <v>560</v>
      </c>
      <c r="D533" s="2906" t="s">
        <v>2809</v>
      </c>
      <c r="E533" s="2907" t="s">
        <v>3414</v>
      </c>
      <c r="F533" s="2908">
        <v>120</v>
      </c>
      <c r="G533" s="2908"/>
      <c r="H533" s="2909">
        <v>1500</v>
      </c>
      <c r="I533" s="4673">
        <v>1500</v>
      </c>
      <c r="J533" s="4673"/>
      <c r="K533" s="2907"/>
      <c r="L533" s="2907"/>
      <c r="M533" s="2910"/>
      <c r="N533" s="2910"/>
      <c r="O533" s="2910"/>
      <c r="P533" s="2907"/>
      <c r="Q533" s="2907"/>
      <c r="R533" s="2909">
        <v>1500</v>
      </c>
      <c r="S533" s="2909">
        <v>1500</v>
      </c>
      <c r="T533" s="2907"/>
    </row>
    <row r="534" spans="1:20" s="2904" customFormat="1" ht="12" customHeight="1" outlineLevel="1" x14ac:dyDescent="0.2">
      <c r="A534" s="4677" t="s">
        <v>3415</v>
      </c>
      <c r="B534" s="4677"/>
      <c r="C534" s="2957">
        <v>2403</v>
      </c>
      <c r="D534" s="2898" t="s">
        <v>3304</v>
      </c>
      <c r="E534" s="2903" t="s">
        <v>3416</v>
      </c>
      <c r="F534" s="2900">
        <v>84</v>
      </c>
      <c r="G534" s="2900"/>
      <c r="H534" s="2901">
        <v>18600</v>
      </c>
      <c r="I534" s="4678">
        <v>15942.96</v>
      </c>
      <c r="J534" s="4678"/>
      <c r="K534" s="2901">
        <v>2657.04</v>
      </c>
      <c r="L534" s="2903"/>
      <c r="M534" s="2911">
        <v>2657.04</v>
      </c>
      <c r="N534" s="2911">
        <v>0</v>
      </c>
      <c r="O534" s="2911"/>
      <c r="P534" s="2903"/>
      <c r="Q534" s="2903"/>
      <c r="R534" s="2901">
        <v>18600</v>
      </c>
      <c r="S534" s="2901">
        <v>18600</v>
      </c>
      <c r="T534" s="2903"/>
    </row>
    <row r="535" spans="1:20" ht="12" customHeight="1" outlineLevel="1" x14ac:dyDescent="0.2">
      <c r="A535" s="4672" t="s">
        <v>3417</v>
      </c>
      <c r="B535" s="4672"/>
      <c r="C535" s="2905">
        <v>228</v>
      </c>
      <c r="D535" s="2906" t="s">
        <v>2626</v>
      </c>
      <c r="E535" s="2907" t="s">
        <v>3418</v>
      </c>
      <c r="F535" s="2908">
        <v>120</v>
      </c>
      <c r="G535" s="2908"/>
      <c r="H535" s="2952">
        <v>358.33</v>
      </c>
      <c r="I535" s="4676">
        <v>358.33</v>
      </c>
      <c r="J535" s="4676"/>
      <c r="K535" s="2907"/>
      <c r="L535" s="2907"/>
      <c r="M535" s="2910"/>
      <c r="N535" s="2910"/>
      <c r="O535" s="2910"/>
      <c r="P535" s="2907"/>
      <c r="Q535" s="2907"/>
      <c r="R535" s="2952">
        <v>358.33</v>
      </c>
      <c r="S535" s="2952">
        <v>358.33</v>
      </c>
      <c r="T535" s="2907"/>
    </row>
    <row r="536" spans="1:20" ht="23.25" customHeight="1" outlineLevel="1" x14ac:dyDescent="0.2">
      <c r="A536" s="4672" t="s">
        <v>3419</v>
      </c>
      <c r="B536" s="4672"/>
      <c r="C536" s="2905">
        <v>611</v>
      </c>
      <c r="D536" s="2906" t="s">
        <v>3420</v>
      </c>
      <c r="E536" s="2907" t="s">
        <v>3421</v>
      </c>
      <c r="F536" s="2908">
        <v>12</v>
      </c>
      <c r="G536" s="2908"/>
      <c r="H536" s="2909">
        <v>6666.67</v>
      </c>
      <c r="I536" s="4673">
        <v>6666.67</v>
      </c>
      <c r="J536" s="4673"/>
      <c r="K536" s="2907"/>
      <c r="L536" s="2907"/>
      <c r="M536" s="2910"/>
      <c r="N536" s="2910"/>
      <c r="O536" s="2910"/>
      <c r="P536" s="2907"/>
      <c r="Q536" s="2907"/>
      <c r="R536" s="2909">
        <v>6666.67</v>
      </c>
      <c r="S536" s="2909">
        <v>6666.67</v>
      </c>
      <c r="T536" s="2907"/>
    </row>
    <row r="537" spans="1:20" ht="12" customHeight="1" outlineLevel="1" x14ac:dyDescent="0.2">
      <c r="A537" s="4672" t="s">
        <v>3422</v>
      </c>
      <c r="B537" s="4672"/>
      <c r="C537" s="2905">
        <v>251</v>
      </c>
      <c r="D537" s="2906" t="s">
        <v>2834</v>
      </c>
      <c r="E537" s="2907" t="s">
        <v>3423</v>
      </c>
      <c r="F537" s="2908">
        <v>132</v>
      </c>
      <c r="G537" s="2908"/>
      <c r="H537" s="2909">
        <v>10875</v>
      </c>
      <c r="I537" s="4673">
        <v>10875</v>
      </c>
      <c r="J537" s="4673"/>
      <c r="K537" s="2907"/>
      <c r="L537" s="2907"/>
      <c r="M537" s="2910"/>
      <c r="N537" s="2910"/>
      <c r="O537" s="2910"/>
      <c r="P537" s="2907"/>
      <c r="Q537" s="2907"/>
      <c r="R537" s="2909">
        <v>10875</v>
      </c>
      <c r="S537" s="2909">
        <v>10875</v>
      </c>
      <c r="T537" s="2907"/>
    </row>
    <row r="538" spans="1:20" ht="12" customHeight="1" outlineLevel="1" x14ac:dyDescent="0.2">
      <c r="A538" s="4672" t="s">
        <v>3424</v>
      </c>
      <c r="B538" s="4672"/>
      <c r="C538" s="2905">
        <v>681</v>
      </c>
      <c r="D538" s="2906" t="s">
        <v>2727</v>
      </c>
      <c r="E538" s="2907" t="s">
        <v>3425</v>
      </c>
      <c r="F538" s="2908">
        <v>84</v>
      </c>
      <c r="G538" s="2908"/>
      <c r="H538" s="2909">
        <v>35165.089999999997</v>
      </c>
      <c r="I538" s="4673">
        <v>35165.089999999997</v>
      </c>
      <c r="J538" s="4673"/>
      <c r="K538" s="2907"/>
      <c r="L538" s="2907"/>
      <c r="M538" s="2910"/>
      <c r="N538" s="2910"/>
      <c r="O538" s="2910"/>
      <c r="P538" s="2907"/>
      <c r="Q538" s="2907"/>
      <c r="R538" s="2909">
        <v>35165.089999999997</v>
      </c>
      <c r="S538" s="2909">
        <v>35165.089999999997</v>
      </c>
      <c r="T538" s="2907"/>
    </row>
    <row r="539" spans="1:20" ht="12" customHeight="1" outlineLevel="1" x14ac:dyDescent="0.2">
      <c r="A539" s="4672" t="s">
        <v>3426</v>
      </c>
      <c r="B539" s="4672"/>
      <c r="C539" s="2905">
        <v>535</v>
      </c>
      <c r="D539" s="2906" t="s">
        <v>3366</v>
      </c>
      <c r="E539" s="2907" t="s">
        <v>3427</v>
      </c>
      <c r="F539" s="2908">
        <v>120</v>
      </c>
      <c r="G539" s="2908"/>
      <c r="H539" s="2909">
        <v>43750</v>
      </c>
      <c r="I539" s="4673">
        <v>43750</v>
      </c>
      <c r="J539" s="4673"/>
      <c r="K539" s="2907"/>
      <c r="L539" s="2907"/>
      <c r="M539" s="2910"/>
      <c r="N539" s="2910"/>
      <c r="O539" s="2910"/>
      <c r="P539" s="2907"/>
      <c r="Q539" s="2907"/>
      <c r="R539" s="2909">
        <v>43750</v>
      </c>
      <c r="S539" s="2909">
        <v>43750</v>
      </c>
      <c r="T539" s="2907"/>
    </row>
    <row r="540" spans="1:20" ht="12" customHeight="1" outlineLevel="1" x14ac:dyDescent="0.2">
      <c r="A540" s="4672" t="s">
        <v>3428</v>
      </c>
      <c r="B540" s="4672"/>
      <c r="C540" s="2905">
        <v>637</v>
      </c>
      <c r="D540" s="2906" t="s">
        <v>2645</v>
      </c>
      <c r="E540" s="2907" t="s">
        <v>3276</v>
      </c>
      <c r="F540" s="2908">
        <v>12</v>
      </c>
      <c r="G540" s="2908"/>
      <c r="H540" s="2909">
        <v>6000</v>
      </c>
      <c r="I540" s="4673">
        <v>6000</v>
      </c>
      <c r="J540" s="4673"/>
      <c r="K540" s="2907"/>
      <c r="L540" s="2907"/>
      <c r="M540" s="2910"/>
      <c r="N540" s="2910"/>
      <c r="O540" s="2910"/>
      <c r="P540" s="2907"/>
      <c r="Q540" s="2907"/>
      <c r="R540" s="2909">
        <v>6000</v>
      </c>
      <c r="S540" s="2909">
        <v>6000</v>
      </c>
      <c r="T540" s="2907"/>
    </row>
    <row r="541" spans="1:20" ht="12" customHeight="1" outlineLevel="1" x14ac:dyDescent="0.2">
      <c r="A541" s="4672" t="s">
        <v>3429</v>
      </c>
      <c r="B541" s="4672"/>
      <c r="C541" s="2905">
        <v>697</v>
      </c>
      <c r="D541" s="2906" t="s">
        <v>3430</v>
      </c>
      <c r="E541" s="2907" t="s">
        <v>3431</v>
      </c>
      <c r="F541" s="2908">
        <v>84</v>
      </c>
      <c r="G541" s="2908"/>
      <c r="H541" s="2909">
        <v>5333.33</v>
      </c>
      <c r="I541" s="4673">
        <v>5333.33</v>
      </c>
      <c r="J541" s="4673"/>
      <c r="K541" s="2907"/>
      <c r="L541" s="2907"/>
      <c r="M541" s="2910"/>
      <c r="N541" s="2910"/>
      <c r="O541" s="2910"/>
      <c r="P541" s="2909">
        <v>5333.33</v>
      </c>
      <c r="Q541" s="2909">
        <v>5333.33</v>
      </c>
      <c r="R541" s="2907"/>
      <c r="S541" s="2907"/>
      <c r="T541" s="2907"/>
    </row>
    <row r="542" spans="1:20" ht="12" customHeight="1" outlineLevel="1" x14ac:dyDescent="0.2">
      <c r="A542" s="4672" t="s">
        <v>3432</v>
      </c>
      <c r="B542" s="4672"/>
      <c r="C542" s="2905">
        <v>563</v>
      </c>
      <c r="D542" s="2906" t="s">
        <v>2775</v>
      </c>
      <c r="E542" s="2907" t="s">
        <v>3433</v>
      </c>
      <c r="F542" s="2908">
        <v>120</v>
      </c>
      <c r="G542" s="2908"/>
      <c r="H542" s="2952">
        <v>750</v>
      </c>
      <c r="I542" s="4676">
        <v>750</v>
      </c>
      <c r="J542" s="4676"/>
      <c r="K542" s="2907"/>
      <c r="L542" s="2907"/>
      <c r="M542" s="2910"/>
      <c r="N542" s="2910"/>
      <c r="O542" s="2910"/>
      <c r="P542" s="2907"/>
      <c r="Q542" s="2907"/>
      <c r="R542" s="2952">
        <v>750</v>
      </c>
      <c r="S542" s="2952">
        <v>750</v>
      </c>
      <c r="T542" s="2907"/>
    </row>
    <row r="543" spans="1:20" ht="12" customHeight="1" outlineLevel="1" x14ac:dyDescent="0.2">
      <c r="A543" s="4672" t="s">
        <v>3428</v>
      </c>
      <c r="B543" s="4672"/>
      <c r="C543" s="2905">
        <v>631</v>
      </c>
      <c r="D543" s="2906" t="s">
        <v>2645</v>
      </c>
      <c r="E543" s="2907" t="s">
        <v>3276</v>
      </c>
      <c r="F543" s="2908">
        <v>12</v>
      </c>
      <c r="G543" s="2908"/>
      <c r="H543" s="2909">
        <v>3000</v>
      </c>
      <c r="I543" s="4673">
        <v>3000</v>
      </c>
      <c r="J543" s="4673"/>
      <c r="K543" s="2907"/>
      <c r="L543" s="2907"/>
      <c r="M543" s="2910"/>
      <c r="N543" s="2910"/>
      <c r="O543" s="2910"/>
      <c r="P543" s="2907"/>
      <c r="Q543" s="2907"/>
      <c r="R543" s="2909">
        <v>3000</v>
      </c>
      <c r="S543" s="2909">
        <v>3000</v>
      </c>
      <c r="T543" s="2907"/>
    </row>
    <row r="544" spans="1:20" ht="12" customHeight="1" outlineLevel="1" x14ac:dyDescent="0.2">
      <c r="A544" s="4672" t="s">
        <v>3434</v>
      </c>
      <c r="B544" s="4672"/>
      <c r="C544" s="2912">
        <v>2022</v>
      </c>
      <c r="D544" s="2906" t="s">
        <v>3435</v>
      </c>
      <c r="E544" s="2907" t="s">
        <v>3436</v>
      </c>
      <c r="F544" s="2908">
        <v>84</v>
      </c>
      <c r="G544" s="2908"/>
      <c r="H544" s="2909">
        <v>15990</v>
      </c>
      <c r="I544" s="4673">
        <v>15990</v>
      </c>
      <c r="J544" s="4673"/>
      <c r="K544" s="2907"/>
      <c r="L544" s="2907"/>
      <c r="M544" s="2910"/>
      <c r="N544" s="2910"/>
      <c r="O544" s="2910"/>
      <c r="P544" s="2907"/>
      <c r="Q544" s="2907"/>
      <c r="R544" s="2909">
        <v>15990</v>
      </c>
      <c r="S544" s="2909">
        <v>15990</v>
      </c>
      <c r="T544" s="2907"/>
    </row>
    <row r="545" spans="1:20" ht="12" customHeight="1" outlineLevel="1" x14ac:dyDescent="0.2">
      <c r="A545" s="4672" t="s">
        <v>3437</v>
      </c>
      <c r="B545" s="4672"/>
      <c r="C545" s="2905">
        <v>530</v>
      </c>
      <c r="D545" s="2906" t="s">
        <v>3309</v>
      </c>
      <c r="E545" s="2907" t="s">
        <v>3438</v>
      </c>
      <c r="F545" s="2908">
        <v>120</v>
      </c>
      <c r="G545" s="2908"/>
      <c r="H545" s="2909">
        <v>1943</v>
      </c>
      <c r="I545" s="4673">
        <v>1943</v>
      </c>
      <c r="J545" s="4673"/>
      <c r="K545" s="2907"/>
      <c r="L545" s="2907"/>
      <c r="M545" s="2910"/>
      <c r="N545" s="2910"/>
      <c r="O545" s="2910"/>
      <c r="P545" s="2907"/>
      <c r="Q545" s="2907"/>
      <c r="R545" s="2909">
        <v>1943</v>
      </c>
      <c r="S545" s="2909">
        <v>1943</v>
      </c>
      <c r="T545" s="2907"/>
    </row>
    <row r="546" spans="1:20" ht="12" customHeight="1" outlineLevel="1" x14ac:dyDescent="0.2">
      <c r="A546" s="4672" t="s">
        <v>3439</v>
      </c>
      <c r="B546" s="4672"/>
      <c r="C546" s="2946">
        <v>1097</v>
      </c>
      <c r="D546" s="2906" t="s">
        <v>3440</v>
      </c>
      <c r="E546" s="2907" t="s">
        <v>2765</v>
      </c>
      <c r="F546" s="2907"/>
      <c r="G546" s="2907"/>
      <c r="H546" s="2909">
        <v>2200</v>
      </c>
      <c r="I546" s="4673">
        <v>2200</v>
      </c>
      <c r="J546" s="4673"/>
      <c r="K546" s="2907"/>
      <c r="L546" s="2907"/>
      <c r="M546" s="2910"/>
      <c r="N546" s="2910"/>
      <c r="O546" s="2910"/>
      <c r="P546" s="2907"/>
      <c r="Q546" s="2907"/>
      <c r="R546" s="2909">
        <v>2200</v>
      </c>
      <c r="S546" s="2909">
        <v>2200</v>
      </c>
      <c r="T546" s="2907"/>
    </row>
    <row r="547" spans="1:20" ht="12" customHeight="1" outlineLevel="1" x14ac:dyDescent="0.2">
      <c r="A547" s="4672" t="s">
        <v>3441</v>
      </c>
      <c r="B547" s="4672"/>
      <c r="C547" s="2905">
        <v>561</v>
      </c>
      <c r="D547" s="2906" t="s">
        <v>2809</v>
      </c>
      <c r="E547" s="2907" t="s">
        <v>3442</v>
      </c>
      <c r="F547" s="2908">
        <v>120</v>
      </c>
      <c r="G547" s="2908"/>
      <c r="H547" s="2909">
        <v>1316.67</v>
      </c>
      <c r="I547" s="4673">
        <v>1316.67</v>
      </c>
      <c r="J547" s="4673"/>
      <c r="K547" s="2907"/>
      <c r="L547" s="2907"/>
      <c r="M547" s="2910"/>
      <c r="N547" s="2910"/>
      <c r="O547" s="2910"/>
      <c r="P547" s="2907"/>
      <c r="Q547" s="2907"/>
      <c r="R547" s="2909">
        <v>1316.67</v>
      </c>
      <c r="S547" s="2909">
        <v>1316.67</v>
      </c>
      <c r="T547" s="2907"/>
    </row>
    <row r="548" spans="1:20" ht="12" customHeight="1" outlineLevel="1" x14ac:dyDescent="0.2">
      <c r="A548" s="4672" t="s">
        <v>3443</v>
      </c>
      <c r="B548" s="4672"/>
      <c r="C548" s="2905">
        <v>311</v>
      </c>
      <c r="D548" s="2906" t="s">
        <v>2460</v>
      </c>
      <c r="E548" s="2907" t="s">
        <v>3444</v>
      </c>
      <c r="F548" s="2908">
        <v>120</v>
      </c>
      <c r="G548" s="2908"/>
      <c r="H548" s="2952">
        <v>340</v>
      </c>
      <c r="I548" s="4676">
        <v>340</v>
      </c>
      <c r="J548" s="4676"/>
      <c r="K548" s="2907"/>
      <c r="L548" s="2907"/>
      <c r="M548" s="2910"/>
      <c r="N548" s="2910"/>
      <c r="O548" s="2910"/>
      <c r="P548" s="2907"/>
      <c r="Q548" s="2907"/>
      <c r="R548" s="2952">
        <v>340</v>
      </c>
      <c r="S548" s="2952">
        <v>340</v>
      </c>
      <c r="T548" s="2907"/>
    </row>
    <row r="549" spans="1:20" ht="12" customHeight="1" outlineLevel="1" x14ac:dyDescent="0.2">
      <c r="A549" s="4672" t="s">
        <v>3445</v>
      </c>
      <c r="B549" s="4672"/>
      <c r="C549" s="2905">
        <v>565</v>
      </c>
      <c r="D549" s="2906" t="s">
        <v>2868</v>
      </c>
      <c r="E549" s="2907" t="s">
        <v>3409</v>
      </c>
      <c r="F549" s="2908">
        <v>120</v>
      </c>
      <c r="G549" s="2908"/>
      <c r="H549" s="2909">
        <v>4680</v>
      </c>
      <c r="I549" s="4673">
        <v>4680</v>
      </c>
      <c r="J549" s="4673"/>
      <c r="K549" s="2907"/>
      <c r="L549" s="2907"/>
      <c r="M549" s="2910"/>
      <c r="N549" s="2910"/>
      <c r="O549" s="2910"/>
      <c r="P549" s="2907"/>
      <c r="Q549" s="2907"/>
      <c r="R549" s="2909">
        <v>4680</v>
      </c>
      <c r="S549" s="2909">
        <v>4680</v>
      </c>
      <c r="T549" s="2907"/>
    </row>
    <row r="550" spans="1:20" ht="12" customHeight="1" outlineLevel="1" x14ac:dyDescent="0.2">
      <c r="A550" s="4672" t="s">
        <v>3446</v>
      </c>
      <c r="B550" s="4672"/>
      <c r="C550" s="2905">
        <v>231</v>
      </c>
      <c r="D550" s="2906" t="s">
        <v>2460</v>
      </c>
      <c r="E550" s="2907" t="s">
        <v>3447</v>
      </c>
      <c r="F550" s="2908">
        <v>120</v>
      </c>
      <c r="G550" s="2908"/>
      <c r="H550" s="2909">
        <v>12797.37</v>
      </c>
      <c r="I550" s="4673">
        <v>12797.37</v>
      </c>
      <c r="J550" s="4673"/>
      <c r="K550" s="2907"/>
      <c r="L550" s="2907"/>
      <c r="M550" s="2910"/>
      <c r="N550" s="2910"/>
      <c r="O550" s="2910"/>
      <c r="P550" s="2907"/>
      <c r="Q550" s="2907"/>
      <c r="R550" s="2909">
        <v>12797.37</v>
      </c>
      <c r="S550" s="2909">
        <v>12797.37</v>
      </c>
      <c r="T550" s="2907"/>
    </row>
    <row r="551" spans="1:20" ht="12" customHeight="1" outlineLevel="1" x14ac:dyDescent="0.2">
      <c r="A551" s="4672" t="s">
        <v>3448</v>
      </c>
      <c r="B551" s="4672"/>
      <c r="C551" s="2905">
        <v>581</v>
      </c>
      <c r="D551" s="2906" t="s">
        <v>3377</v>
      </c>
      <c r="E551" s="2907" t="s">
        <v>3367</v>
      </c>
      <c r="F551" s="2908">
        <v>1</v>
      </c>
      <c r="G551" s="2908"/>
      <c r="H551" s="2909">
        <v>1666.67</v>
      </c>
      <c r="I551" s="4673">
        <v>1666.67</v>
      </c>
      <c r="J551" s="4673"/>
      <c r="K551" s="2907"/>
      <c r="L551" s="2907"/>
      <c r="M551" s="2910"/>
      <c r="N551" s="2910"/>
      <c r="O551" s="2910"/>
      <c r="P551" s="2907"/>
      <c r="Q551" s="2907"/>
      <c r="R551" s="2909">
        <v>1666.67</v>
      </c>
      <c r="S551" s="2909">
        <v>1666.67</v>
      </c>
      <c r="T551" s="2907"/>
    </row>
    <row r="552" spans="1:20" ht="12" customHeight="1" outlineLevel="1" x14ac:dyDescent="0.2">
      <c r="A552" s="4672" t="s">
        <v>3449</v>
      </c>
      <c r="B552" s="4672"/>
      <c r="C552" s="2905">
        <v>232</v>
      </c>
      <c r="D552" s="2906" t="s">
        <v>2809</v>
      </c>
      <c r="E552" s="2907" t="s">
        <v>3450</v>
      </c>
      <c r="F552" s="2908">
        <v>120</v>
      </c>
      <c r="G552" s="2908"/>
      <c r="H552" s="2909">
        <v>12660.72</v>
      </c>
      <c r="I552" s="4673">
        <v>12660.72</v>
      </c>
      <c r="J552" s="4673"/>
      <c r="K552" s="2907"/>
      <c r="L552" s="2907"/>
      <c r="M552" s="2910"/>
      <c r="N552" s="2910"/>
      <c r="O552" s="2910"/>
      <c r="P552" s="2907"/>
      <c r="Q552" s="2907"/>
      <c r="R552" s="2909">
        <v>12660.72</v>
      </c>
      <c r="S552" s="2909">
        <v>12660.72</v>
      </c>
      <c r="T552" s="2907"/>
    </row>
    <row r="553" spans="1:20" ht="12" customHeight="1" outlineLevel="1" x14ac:dyDescent="0.2">
      <c r="A553" s="4672" t="s">
        <v>3449</v>
      </c>
      <c r="B553" s="4672"/>
      <c r="C553" s="2905">
        <v>310</v>
      </c>
      <c r="D553" s="2906" t="s">
        <v>2460</v>
      </c>
      <c r="E553" s="2907" t="s">
        <v>3451</v>
      </c>
      <c r="F553" s="2908">
        <v>120</v>
      </c>
      <c r="G553" s="2908"/>
      <c r="H553" s="2952">
        <v>610.57000000000005</v>
      </c>
      <c r="I553" s="4676">
        <v>610.57000000000005</v>
      </c>
      <c r="J553" s="4676"/>
      <c r="K553" s="2907"/>
      <c r="L553" s="2907"/>
      <c r="M553" s="2910"/>
      <c r="N553" s="2910"/>
      <c r="O553" s="2910"/>
      <c r="P553" s="2907"/>
      <c r="Q553" s="2907"/>
      <c r="R553" s="2952">
        <v>610.57000000000005</v>
      </c>
      <c r="S553" s="2952">
        <v>610.57000000000005</v>
      </c>
      <c r="T553" s="2907"/>
    </row>
    <row r="554" spans="1:20" ht="12" customHeight="1" outlineLevel="1" x14ac:dyDescent="0.2">
      <c r="A554" s="4672" t="s">
        <v>3452</v>
      </c>
      <c r="B554" s="4672"/>
      <c r="C554" s="2905">
        <v>2025</v>
      </c>
      <c r="D554" s="2906" t="s">
        <v>3453</v>
      </c>
      <c r="E554" s="2907" t="s">
        <v>3454</v>
      </c>
      <c r="F554" s="2908">
        <v>36</v>
      </c>
      <c r="G554" s="2908"/>
      <c r="H554" s="2909">
        <v>12245.76</v>
      </c>
      <c r="I554" s="4673">
        <v>12245.76</v>
      </c>
      <c r="J554" s="4673"/>
      <c r="K554" s="2907"/>
      <c r="L554" s="2907"/>
      <c r="M554" s="2910"/>
      <c r="N554" s="2910"/>
      <c r="O554" s="2910"/>
      <c r="P554" s="2907"/>
      <c r="Q554" s="2907"/>
      <c r="R554" s="2909">
        <v>12245.76</v>
      </c>
      <c r="S554" s="2909">
        <v>12245.76</v>
      </c>
      <c r="T554" s="2907"/>
    </row>
    <row r="555" spans="1:20" ht="12" customHeight="1" outlineLevel="1" x14ac:dyDescent="0.2">
      <c r="A555" s="4672" t="s">
        <v>3455</v>
      </c>
      <c r="B555" s="4672"/>
      <c r="C555" s="2905">
        <v>234</v>
      </c>
      <c r="D555" s="2906" t="s">
        <v>2809</v>
      </c>
      <c r="E555" s="2907" t="s">
        <v>3456</v>
      </c>
      <c r="F555" s="2908">
        <v>120</v>
      </c>
      <c r="G555" s="2908"/>
      <c r="H555" s="2909">
        <v>1883.33</v>
      </c>
      <c r="I555" s="4673">
        <v>1883.33</v>
      </c>
      <c r="J555" s="4673"/>
      <c r="K555" s="2907"/>
      <c r="L555" s="2907"/>
      <c r="M555" s="2910"/>
      <c r="N555" s="2910"/>
      <c r="O555" s="2910"/>
      <c r="P555" s="2909">
        <v>1883.33</v>
      </c>
      <c r="Q555" s="2909">
        <v>1883.33</v>
      </c>
      <c r="R555" s="2907"/>
      <c r="S555" s="2907"/>
      <c r="T555" s="2907"/>
    </row>
    <row r="556" spans="1:20" ht="12" customHeight="1" outlineLevel="1" x14ac:dyDescent="0.2">
      <c r="A556" s="4672" t="s">
        <v>3457</v>
      </c>
      <c r="B556" s="4672"/>
      <c r="C556" s="2905">
        <v>235</v>
      </c>
      <c r="D556" s="2906" t="s">
        <v>2809</v>
      </c>
      <c r="E556" s="2907" t="s">
        <v>3458</v>
      </c>
      <c r="F556" s="2908">
        <v>120</v>
      </c>
      <c r="G556" s="2908"/>
      <c r="H556" s="2909">
        <v>8058.33</v>
      </c>
      <c r="I556" s="4673">
        <v>8058.33</v>
      </c>
      <c r="J556" s="4673"/>
      <c r="K556" s="2907"/>
      <c r="L556" s="2907"/>
      <c r="M556" s="2910"/>
      <c r="N556" s="2910"/>
      <c r="O556" s="2910"/>
      <c r="P556" s="2907"/>
      <c r="Q556" s="2907"/>
      <c r="R556" s="2909">
        <v>8058.33</v>
      </c>
      <c r="S556" s="2909">
        <v>8058.33</v>
      </c>
      <c r="T556" s="2907"/>
    </row>
    <row r="557" spans="1:20" ht="12" customHeight="1" outlineLevel="1" x14ac:dyDescent="0.2">
      <c r="A557" s="4672" t="s">
        <v>3459</v>
      </c>
      <c r="B557" s="4672"/>
      <c r="C557" s="2905">
        <v>237</v>
      </c>
      <c r="D557" s="2906" t="s">
        <v>2460</v>
      </c>
      <c r="E557" s="2907" t="s">
        <v>3460</v>
      </c>
      <c r="F557" s="2908">
        <v>120</v>
      </c>
      <c r="G557" s="2908"/>
      <c r="H557" s="2909">
        <v>1859.33</v>
      </c>
      <c r="I557" s="4673">
        <v>1859.33</v>
      </c>
      <c r="J557" s="4673"/>
      <c r="K557" s="2907"/>
      <c r="L557" s="2907"/>
      <c r="M557" s="2910"/>
      <c r="N557" s="2910"/>
      <c r="O557" s="2910"/>
      <c r="P557" s="2907"/>
      <c r="Q557" s="2907"/>
      <c r="R557" s="2909">
        <v>1859.33</v>
      </c>
      <c r="S557" s="2909">
        <v>1859.33</v>
      </c>
      <c r="T557" s="2907"/>
    </row>
    <row r="558" spans="1:20" ht="12" customHeight="1" outlineLevel="1" x14ac:dyDescent="0.2">
      <c r="A558" s="4672" t="s">
        <v>3461</v>
      </c>
      <c r="B558" s="4672"/>
      <c r="C558" s="2905">
        <v>518</v>
      </c>
      <c r="D558" s="2906" t="s">
        <v>3028</v>
      </c>
      <c r="E558" s="2907" t="s">
        <v>3462</v>
      </c>
      <c r="F558" s="2908">
        <v>120</v>
      </c>
      <c r="G558" s="2908"/>
      <c r="H558" s="2909">
        <v>1833.34</v>
      </c>
      <c r="I558" s="4673">
        <v>1833.34</v>
      </c>
      <c r="J558" s="4673"/>
      <c r="K558" s="2907"/>
      <c r="L558" s="2907"/>
      <c r="M558" s="2910"/>
      <c r="N558" s="2910"/>
      <c r="O558" s="2910"/>
      <c r="P558" s="2907"/>
      <c r="Q558" s="2907"/>
      <c r="R558" s="2909">
        <v>1833.34</v>
      </c>
      <c r="S558" s="2909">
        <v>1833.34</v>
      </c>
      <c r="T558" s="2907"/>
    </row>
    <row r="559" spans="1:20" ht="12" customHeight="1" outlineLevel="1" x14ac:dyDescent="0.2">
      <c r="A559" s="4672" t="s">
        <v>3463</v>
      </c>
      <c r="B559" s="4672"/>
      <c r="C559" s="2905">
        <v>229</v>
      </c>
      <c r="D559" s="2906" t="s">
        <v>2460</v>
      </c>
      <c r="E559" s="2907" t="s">
        <v>3464</v>
      </c>
      <c r="F559" s="2908">
        <v>120</v>
      </c>
      <c r="G559" s="2908"/>
      <c r="H559" s="2952">
        <v>695</v>
      </c>
      <c r="I559" s="4676">
        <v>695</v>
      </c>
      <c r="J559" s="4676"/>
      <c r="K559" s="2907"/>
      <c r="L559" s="2907"/>
      <c r="M559" s="2910"/>
      <c r="N559" s="2910"/>
      <c r="O559" s="2910"/>
      <c r="P559" s="2907"/>
      <c r="Q559" s="2907"/>
      <c r="R559" s="2952">
        <v>695</v>
      </c>
      <c r="S559" s="2952">
        <v>695</v>
      </c>
      <c r="T559" s="2907"/>
    </row>
    <row r="560" spans="1:20" ht="23.25" customHeight="1" outlineLevel="1" x14ac:dyDescent="0.2">
      <c r="A560" s="4672" t="s">
        <v>3465</v>
      </c>
      <c r="B560" s="4672"/>
      <c r="C560" s="2905">
        <v>2023</v>
      </c>
      <c r="D560" s="2906" t="s">
        <v>3466</v>
      </c>
      <c r="E560" s="2907" t="s">
        <v>3467</v>
      </c>
      <c r="F560" s="2908">
        <v>84</v>
      </c>
      <c r="G560" s="2908"/>
      <c r="H560" s="2909">
        <v>17815</v>
      </c>
      <c r="I560" s="4673">
        <v>17815</v>
      </c>
      <c r="J560" s="4673"/>
      <c r="K560" s="2907"/>
      <c r="L560" s="2907"/>
      <c r="M560" s="2910"/>
      <c r="N560" s="2910"/>
      <c r="O560" s="2910"/>
      <c r="P560" s="2907"/>
      <c r="Q560" s="2907"/>
      <c r="R560" s="2909">
        <v>17815</v>
      </c>
      <c r="S560" s="2909">
        <v>17815</v>
      </c>
      <c r="T560" s="2907"/>
    </row>
    <row r="561" spans="1:20" ht="12" customHeight="1" outlineLevel="1" x14ac:dyDescent="0.2">
      <c r="A561" s="4672" t="s">
        <v>3428</v>
      </c>
      <c r="B561" s="4672"/>
      <c r="C561" s="2905">
        <v>625</v>
      </c>
      <c r="D561" s="2906" t="s">
        <v>2645</v>
      </c>
      <c r="E561" s="2907" t="s">
        <v>3276</v>
      </c>
      <c r="F561" s="2908">
        <v>12</v>
      </c>
      <c r="G561" s="2908"/>
      <c r="H561" s="2909">
        <v>6000</v>
      </c>
      <c r="I561" s="4673">
        <v>6000</v>
      </c>
      <c r="J561" s="4673"/>
      <c r="K561" s="2907"/>
      <c r="L561" s="2907"/>
      <c r="M561" s="2910"/>
      <c r="N561" s="2910"/>
      <c r="O561" s="2910"/>
      <c r="P561" s="2907"/>
      <c r="Q561" s="2907"/>
      <c r="R561" s="2909">
        <v>6000</v>
      </c>
      <c r="S561" s="2909">
        <v>6000</v>
      </c>
      <c r="T561" s="2907"/>
    </row>
    <row r="562" spans="1:20" ht="12" customHeight="1" outlineLevel="1" x14ac:dyDescent="0.2">
      <c r="A562" s="4672" t="s">
        <v>3468</v>
      </c>
      <c r="B562" s="4672"/>
      <c r="C562" s="2905">
        <v>531</v>
      </c>
      <c r="D562" s="2906" t="s">
        <v>3315</v>
      </c>
      <c r="E562" s="2907" t="s">
        <v>3469</v>
      </c>
      <c r="F562" s="2908">
        <v>120</v>
      </c>
      <c r="G562" s="2908"/>
      <c r="H562" s="2952">
        <v>485.83</v>
      </c>
      <c r="I562" s="4676">
        <v>485.83</v>
      </c>
      <c r="J562" s="4676"/>
      <c r="K562" s="2907"/>
      <c r="L562" s="2907"/>
      <c r="M562" s="2910"/>
      <c r="N562" s="2910"/>
      <c r="O562" s="2910"/>
      <c r="P562" s="2907"/>
      <c r="Q562" s="2907"/>
      <c r="R562" s="2952">
        <v>485.83</v>
      </c>
      <c r="S562" s="2952">
        <v>485.83</v>
      </c>
      <c r="T562" s="2907"/>
    </row>
    <row r="563" spans="1:20" ht="12" customHeight="1" outlineLevel="1" x14ac:dyDescent="0.2">
      <c r="A563" s="4672" t="s">
        <v>3470</v>
      </c>
      <c r="B563" s="4672"/>
      <c r="C563" s="2905">
        <v>238</v>
      </c>
      <c r="D563" s="2906" t="s">
        <v>2809</v>
      </c>
      <c r="E563" s="2907" t="s">
        <v>3471</v>
      </c>
      <c r="F563" s="2908">
        <v>120</v>
      </c>
      <c r="G563" s="2908"/>
      <c r="H563" s="2952">
        <v>441.67</v>
      </c>
      <c r="I563" s="4676">
        <v>441.67</v>
      </c>
      <c r="J563" s="4676"/>
      <c r="K563" s="2907"/>
      <c r="L563" s="2907"/>
      <c r="M563" s="2910"/>
      <c r="N563" s="2910"/>
      <c r="O563" s="2910"/>
      <c r="P563" s="2907"/>
      <c r="Q563" s="2907"/>
      <c r="R563" s="2952">
        <v>441.67</v>
      </c>
      <c r="S563" s="2952">
        <v>441.67</v>
      </c>
      <c r="T563" s="2907"/>
    </row>
    <row r="564" spans="1:20" ht="12" customHeight="1" outlineLevel="1" x14ac:dyDescent="0.2">
      <c r="A564" s="4672" t="s">
        <v>3472</v>
      </c>
      <c r="B564" s="4672"/>
      <c r="C564" s="2905">
        <v>239</v>
      </c>
      <c r="D564" s="2906" t="s">
        <v>2809</v>
      </c>
      <c r="E564" s="2907" t="s">
        <v>3473</v>
      </c>
      <c r="F564" s="2908">
        <v>120</v>
      </c>
      <c r="G564" s="2908"/>
      <c r="H564" s="2909">
        <v>2775.01</v>
      </c>
      <c r="I564" s="4673">
        <v>2775.01</v>
      </c>
      <c r="J564" s="4673"/>
      <c r="K564" s="2907"/>
      <c r="L564" s="2907"/>
      <c r="M564" s="2910"/>
      <c r="N564" s="2910"/>
      <c r="O564" s="2910"/>
      <c r="P564" s="2907"/>
      <c r="Q564" s="2907"/>
      <c r="R564" s="2909">
        <v>2775.01</v>
      </c>
      <c r="S564" s="2909">
        <v>2775.01</v>
      </c>
      <c r="T564" s="2907"/>
    </row>
    <row r="565" spans="1:20" ht="12" customHeight="1" outlineLevel="1" x14ac:dyDescent="0.2">
      <c r="A565" s="4672" t="s">
        <v>3474</v>
      </c>
      <c r="B565" s="4672"/>
      <c r="C565" s="2905">
        <v>242</v>
      </c>
      <c r="D565" s="2906" t="s">
        <v>2809</v>
      </c>
      <c r="E565" s="2907" t="s">
        <v>3475</v>
      </c>
      <c r="F565" s="2908">
        <v>120</v>
      </c>
      <c r="G565" s="2908"/>
      <c r="H565" s="2909">
        <v>1087.5</v>
      </c>
      <c r="I565" s="4673">
        <v>1087.5</v>
      </c>
      <c r="J565" s="4673"/>
      <c r="K565" s="2907"/>
      <c r="L565" s="2907"/>
      <c r="M565" s="2910"/>
      <c r="N565" s="2910"/>
      <c r="O565" s="2910"/>
      <c r="P565" s="2907"/>
      <c r="Q565" s="2907"/>
      <c r="R565" s="2909">
        <v>1087.5</v>
      </c>
      <c r="S565" s="2909">
        <v>1087.5</v>
      </c>
      <c r="T565" s="2907"/>
    </row>
    <row r="566" spans="1:20" ht="12" customHeight="1" outlineLevel="1" x14ac:dyDescent="0.2">
      <c r="A566" s="4672" t="s">
        <v>3476</v>
      </c>
      <c r="B566" s="4672"/>
      <c r="C566" s="2905">
        <v>243</v>
      </c>
      <c r="D566" s="2906" t="s">
        <v>2809</v>
      </c>
      <c r="E566" s="2907" t="s">
        <v>3477</v>
      </c>
      <c r="F566" s="2908">
        <v>120</v>
      </c>
      <c r="G566" s="2908"/>
      <c r="H566" s="2909">
        <v>1416.67</v>
      </c>
      <c r="I566" s="4673">
        <v>1416.67</v>
      </c>
      <c r="J566" s="4673"/>
      <c r="K566" s="2907"/>
      <c r="L566" s="2907"/>
      <c r="M566" s="2910"/>
      <c r="N566" s="2910"/>
      <c r="O566" s="2910"/>
      <c r="P566" s="2909">
        <v>1416.67</v>
      </c>
      <c r="Q566" s="2909">
        <v>1416.67</v>
      </c>
      <c r="R566" s="2907"/>
      <c r="S566" s="2907"/>
      <c r="T566" s="2907"/>
    </row>
    <row r="567" spans="1:20" ht="12" customHeight="1" outlineLevel="1" x14ac:dyDescent="0.2">
      <c r="A567" s="4672" t="s">
        <v>3478</v>
      </c>
      <c r="B567" s="4672"/>
      <c r="C567" s="2905">
        <v>303</v>
      </c>
      <c r="D567" s="2906" t="s">
        <v>3275</v>
      </c>
      <c r="E567" s="2907" t="s">
        <v>3479</v>
      </c>
      <c r="F567" s="2908">
        <v>132</v>
      </c>
      <c r="G567" s="2908"/>
      <c r="H567" s="2909">
        <v>5066.59</v>
      </c>
      <c r="I567" s="4673">
        <v>5066.59</v>
      </c>
      <c r="J567" s="4673"/>
      <c r="K567" s="2907"/>
      <c r="L567" s="2907"/>
      <c r="M567" s="2910"/>
      <c r="N567" s="2910"/>
      <c r="O567" s="2910"/>
      <c r="P567" s="2907"/>
      <c r="Q567" s="2907"/>
      <c r="R567" s="2909">
        <v>5066.59</v>
      </c>
      <c r="S567" s="2909">
        <v>5066.59</v>
      </c>
      <c r="T567" s="2907"/>
    </row>
    <row r="568" spans="1:20" ht="12" customHeight="1" outlineLevel="1" x14ac:dyDescent="0.2">
      <c r="A568" s="4672" t="s">
        <v>3240</v>
      </c>
      <c r="B568" s="4672"/>
      <c r="C568" s="2905">
        <v>263</v>
      </c>
      <c r="D568" s="2906" t="s">
        <v>3028</v>
      </c>
      <c r="E568" s="2907" t="s">
        <v>3480</v>
      </c>
      <c r="F568" s="2908">
        <v>132</v>
      </c>
      <c r="G568" s="2908"/>
      <c r="H568" s="2909">
        <v>2361</v>
      </c>
      <c r="I568" s="4673">
        <v>2361</v>
      </c>
      <c r="J568" s="4673"/>
      <c r="K568" s="2907"/>
      <c r="L568" s="2907"/>
      <c r="M568" s="2910"/>
      <c r="N568" s="2910"/>
      <c r="O568" s="2910"/>
      <c r="P568" s="2907"/>
      <c r="Q568" s="2907"/>
      <c r="R568" s="2909">
        <v>2361</v>
      </c>
      <c r="S568" s="2909">
        <v>2361</v>
      </c>
      <c r="T568" s="2907"/>
    </row>
    <row r="569" spans="1:20" ht="12" customHeight="1" outlineLevel="1" x14ac:dyDescent="0.2">
      <c r="A569" s="4672" t="s">
        <v>3390</v>
      </c>
      <c r="B569" s="4672"/>
      <c r="C569" s="2905">
        <v>582</v>
      </c>
      <c r="D569" s="2906" t="s">
        <v>3377</v>
      </c>
      <c r="E569" s="2907" t="s">
        <v>2676</v>
      </c>
      <c r="F569" s="2908">
        <v>1</v>
      </c>
      <c r="G569" s="2908"/>
      <c r="H569" s="2909">
        <v>2500</v>
      </c>
      <c r="I569" s="4673">
        <v>2500</v>
      </c>
      <c r="J569" s="4673"/>
      <c r="K569" s="2907"/>
      <c r="L569" s="2907"/>
      <c r="M569" s="2910"/>
      <c r="N569" s="2910"/>
      <c r="O569" s="2910"/>
      <c r="P569" s="2907"/>
      <c r="Q569" s="2907"/>
      <c r="R569" s="2909">
        <v>2500</v>
      </c>
      <c r="S569" s="2909">
        <v>2500</v>
      </c>
      <c r="T569" s="2907"/>
    </row>
    <row r="570" spans="1:20" ht="12" customHeight="1" outlineLevel="1" x14ac:dyDescent="0.2">
      <c r="A570" s="4672" t="s">
        <v>3481</v>
      </c>
      <c r="B570" s="4672"/>
      <c r="C570" s="2905">
        <v>207</v>
      </c>
      <c r="D570" s="2906" t="s">
        <v>2626</v>
      </c>
      <c r="E570" s="2907" t="s">
        <v>3482</v>
      </c>
      <c r="F570" s="2908">
        <v>120</v>
      </c>
      <c r="G570" s="2908"/>
      <c r="H570" s="2909">
        <v>3700</v>
      </c>
      <c r="I570" s="4673">
        <v>3700</v>
      </c>
      <c r="J570" s="4673"/>
      <c r="K570" s="2907"/>
      <c r="L570" s="2907"/>
      <c r="M570" s="2910"/>
      <c r="N570" s="2910"/>
      <c r="O570" s="2910"/>
      <c r="P570" s="2907"/>
      <c r="Q570" s="2907"/>
      <c r="R570" s="2909">
        <v>3700</v>
      </c>
      <c r="S570" s="2909">
        <v>3700</v>
      </c>
      <c r="T570" s="2907"/>
    </row>
    <row r="571" spans="1:20" ht="12" customHeight="1" outlineLevel="1" x14ac:dyDescent="0.2">
      <c r="A571" s="4672" t="s">
        <v>3483</v>
      </c>
      <c r="B571" s="4672"/>
      <c r="C571" s="2905">
        <v>308</v>
      </c>
      <c r="D571" s="2906" t="s">
        <v>3028</v>
      </c>
      <c r="E571" s="2907" t="s">
        <v>3484</v>
      </c>
      <c r="F571" s="2908">
        <v>120</v>
      </c>
      <c r="G571" s="2908"/>
      <c r="H571" s="2909">
        <v>2563.5</v>
      </c>
      <c r="I571" s="4673">
        <v>2563.5</v>
      </c>
      <c r="J571" s="4673"/>
      <c r="K571" s="2907"/>
      <c r="L571" s="2907"/>
      <c r="M571" s="2910"/>
      <c r="N571" s="2910"/>
      <c r="O571" s="2910"/>
      <c r="P571" s="2907"/>
      <c r="Q571" s="2907"/>
      <c r="R571" s="2909">
        <v>2563.5</v>
      </c>
      <c r="S571" s="2909">
        <v>2563.5</v>
      </c>
      <c r="T571" s="2907"/>
    </row>
    <row r="572" spans="1:20" ht="12" customHeight="1" outlineLevel="1" x14ac:dyDescent="0.2">
      <c r="A572" s="4672" t="s">
        <v>3485</v>
      </c>
      <c r="B572" s="4672"/>
      <c r="C572" s="2905">
        <v>564</v>
      </c>
      <c r="D572" s="2906" t="s">
        <v>2775</v>
      </c>
      <c r="E572" s="2907" t="s">
        <v>3486</v>
      </c>
      <c r="F572" s="2908">
        <v>120</v>
      </c>
      <c r="G572" s="2908"/>
      <c r="H572" s="2909">
        <v>1858.33</v>
      </c>
      <c r="I572" s="4673">
        <v>1858.33</v>
      </c>
      <c r="J572" s="4673"/>
      <c r="K572" s="2907"/>
      <c r="L572" s="2907"/>
      <c r="M572" s="2910"/>
      <c r="N572" s="2910"/>
      <c r="O572" s="2910"/>
      <c r="P572" s="2907"/>
      <c r="Q572" s="2907"/>
      <c r="R572" s="2909">
        <v>1858.33</v>
      </c>
      <c r="S572" s="2909">
        <v>1858.33</v>
      </c>
      <c r="T572" s="2907"/>
    </row>
    <row r="573" spans="1:20" ht="12" customHeight="1" outlineLevel="1" x14ac:dyDescent="0.2">
      <c r="A573" s="4672" t="s">
        <v>3487</v>
      </c>
      <c r="B573" s="4672"/>
      <c r="C573" s="2905">
        <v>208</v>
      </c>
      <c r="D573" s="2906" t="s">
        <v>2626</v>
      </c>
      <c r="E573" s="2907" t="s">
        <v>3488</v>
      </c>
      <c r="F573" s="2908">
        <v>120</v>
      </c>
      <c r="G573" s="2908"/>
      <c r="H573" s="2909">
        <v>2333.67</v>
      </c>
      <c r="I573" s="4673">
        <v>2333.67</v>
      </c>
      <c r="J573" s="4673"/>
      <c r="K573" s="2907"/>
      <c r="L573" s="2907"/>
      <c r="M573" s="2910"/>
      <c r="N573" s="2910"/>
      <c r="O573" s="2910"/>
      <c r="P573" s="2907"/>
      <c r="Q573" s="2907"/>
      <c r="R573" s="2909">
        <v>2333.67</v>
      </c>
      <c r="S573" s="2909">
        <v>2333.67</v>
      </c>
      <c r="T573" s="2907"/>
    </row>
    <row r="574" spans="1:20" ht="12" customHeight="1" outlineLevel="1" x14ac:dyDescent="0.2">
      <c r="A574" s="4672" t="s">
        <v>3489</v>
      </c>
      <c r="B574" s="4672"/>
      <c r="C574" s="2905">
        <v>307</v>
      </c>
      <c r="D574" s="2906" t="s">
        <v>3028</v>
      </c>
      <c r="E574" s="2907" t="s">
        <v>3484</v>
      </c>
      <c r="F574" s="2908">
        <v>120</v>
      </c>
      <c r="G574" s="2908"/>
      <c r="H574" s="2909">
        <v>2563.5</v>
      </c>
      <c r="I574" s="4673">
        <v>2563.5</v>
      </c>
      <c r="J574" s="4673"/>
      <c r="K574" s="2907"/>
      <c r="L574" s="2907"/>
      <c r="M574" s="2910"/>
      <c r="N574" s="2910"/>
      <c r="O574" s="2910"/>
      <c r="P574" s="2907"/>
      <c r="Q574" s="2907"/>
      <c r="R574" s="2909">
        <v>2563.5</v>
      </c>
      <c r="S574" s="2909">
        <v>2563.5</v>
      </c>
      <c r="T574" s="2907"/>
    </row>
    <row r="575" spans="1:20" ht="12" customHeight="1" outlineLevel="1" x14ac:dyDescent="0.2">
      <c r="A575" s="4672" t="s">
        <v>3490</v>
      </c>
      <c r="B575" s="4672"/>
      <c r="C575" s="2905">
        <v>566</v>
      </c>
      <c r="D575" s="2906" t="s">
        <v>2775</v>
      </c>
      <c r="E575" s="2907" t="s">
        <v>3491</v>
      </c>
      <c r="F575" s="2908">
        <v>120</v>
      </c>
      <c r="G575" s="2908"/>
      <c r="H575" s="2909">
        <v>2400</v>
      </c>
      <c r="I575" s="4673">
        <v>2400</v>
      </c>
      <c r="J575" s="4673"/>
      <c r="K575" s="2907"/>
      <c r="L575" s="2907"/>
      <c r="M575" s="2910"/>
      <c r="N575" s="2910"/>
      <c r="O575" s="2910"/>
      <c r="P575" s="2907"/>
      <c r="Q575" s="2907"/>
      <c r="R575" s="2909">
        <v>2400</v>
      </c>
      <c r="S575" s="2909">
        <v>2400</v>
      </c>
      <c r="T575" s="2907"/>
    </row>
    <row r="576" spans="1:20" ht="12" customHeight="1" outlineLevel="1" x14ac:dyDescent="0.2">
      <c r="A576" s="4672" t="s">
        <v>3492</v>
      </c>
      <c r="B576" s="4672"/>
      <c r="C576" s="2905">
        <v>209</v>
      </c>
      <c r="D576" s="2906" t="s">
        <v>2626</v>
      </c>
      <c r="E576" s="2907" t="s">
        <v>3493</v>
      </c>
      <c r="F576" s="2908">
        <v>120</v>
      </c>
      <c r="G576" s="2908"/>
      <c r="H576" s="2909">
        <v>2016.67</v>
      </c>
      <c r="I576" s="4673">
        <v>2016.67</v>
      </c>
      <c r="J576" s="4673"/>
      <c r="K576" s="2907"/>
      <c r="L576" s="2907"/>
      <c r="M576" s="2910"/>
      <c r="N576" s="2910"/>
      <c r="O576" s="2910"/>
      <c r="P576" s="2907"/>
      <c r="Q576" s="2907"/>
      <c r="R576" s="2909">
        <v>2016.67</v>
      </c>
      <c r="S576" s="2909">
        <v>2016.67</v>
      </c>
      <c r="T576" s="2907"/>
    </row>
    <row r="577" spans="1:20" ht="12" customHeight="1" outlineLevel="1" x14ac:dyDescent="0.2">
      <c r="A577" s="4672" t="s">
        <v>3492</v>
      </c>
      <c r="B577" s="4672"/>
      <c r="C577" s="2905">
        <v>534</v>
      </c>
      <c r="D577" s="2906" t="s">
        <v>3366</v>
      </c>
      <c r="E577" s="2907" t="s">
        <v>3367</v>
      </c>
      <c r="F577" s="2908">
        <v>120</v>
      </c>
      <c r="G577" s="2908"/>
      <c r="H577" s="2909">
        <v>1666.67</v>
      </c>
      <c r="I577" s="4673">
        <v>1666.67</v>
      </c>
      <c r="J577" s="4673"/>
      <c r="K577" s="2907"/>
      <c r="L577" s="2907"/>
      <c r="M577" s="2910"/>
      <c r="N577" s="2910"/>
      <c r="O577" s="2910"/>
      <c r="P577" s="2907"/>
      <c r="Q577" s="2907"/>
      <c r="R577" s="2909">
        <v>1666.67</v>
      </c>
      <c r="S577" s="2909">
        <v>1666.67</v>
      </c>
      <c r="T577" s="2907"/>
    </row>
    <row r="578" spans="1:20" ht="12" customHeight="1" outlineLevel="1" x14ac:dyDescent="0.2">
      <c r="A578" s="4672" t="s">
        <v>3494</v>
      </c>
      <c r="B578" s="4672"/>
      <c r="C578" s="2905">
        <v>247</v>
      </c>
      <c r="D578" s="2906" t="s">
        <v>2809</v>
      </c>
      <c r="E578" s="2907" t="s">
        <v>2676</v>
      </c>
      <c r="F578" s="2908">
        <v>120</v>
      </c>
      <c r="G578" s="2908"/>
      <c r="H578" s="2909">
        <v>2500</v>
      </c>
      <c r="I578" s="4673">
        <v>2500</v>
      </c>
      <c r="J578" s="4673"/>
      <c r="K578" s="2907"/>
      <c r="L578" s="2907"/>
      <c r="M578" s="2910"/>
      <c r="N578" s="2910"/>
      <c r="O578" s="2910"/>
      <c r="P578" s="2907"/>
      <c r="Q578" s="2907"/>
      <c r="R578" s="2909">
        <v>2500</v>
      </c>
      <c r="S578" s="2909">
        <v>2500</v>
      </c>
      <c r="T578" s="2907"/>
    </row>
    <row r="579" spans="1:20" ht="12" customHeight="1" outlineLevel="1" x14ac:dyDescent="0.2">
      <c r="A579" s="4672" t="s">
        <v>3428</v>
      </c>
      <c r="B579" s="4672"/>
      <c r="C579" s="2905">
        <v>624</v>
      </c>
      <c r="D579" s="2906" t="s">
        <v>2645</v>
      </c>
      <c r="E579" s="2907" t="s">
        <v>3276</v>
      </c>
      <c r="F579" s="2908">
        <v>12</v>
      </c>
      <c r="G579" s="2908"/>
      <c r="H579" s="2909">
        <v>2847.18</v>
      </c>
      <c r="I579" s="4673">
        <v>2847.18</v>
      </c>
      <c r="J579" s="4673"/>
      <c r="K579" s="2907"/>
      <c r="L579" s="2907"/>
      <c r="M579" s="2910"/>
      <c r="N579" s="2910"/>
      <c r="O579" s="2910"/>
      <c r="P579" s="2907"/>
      <c r="Q579" s="2907"/>
      <c r="R579" s="2909">
        <v>2847.18</v>
      </c>
      <c r="S579" s="2909">
        <v>2847.18</v>
      </c>
      <c r="T579" s="2907"/>
    </row>
    <row r="580" spans="1:20" ht="12" customHeight="1" outlineLevel="1" x14ac:dyDescent="0.2">
      <c r="A580" s="4672" t="s">
        <v>3428</v>
      </c>
      <c r="B580" s="4672"/>
      <c r="C580" s="2905">
        <v>632</v>
      </c>
      <c r="D580" s="2906" t="s">
        <v>2645</v>
      </c>
      <c r="E580" s="2907" t="s">
        <v>3276</v>
      </c>
      <c r="F580" s="2908">
        <v>12</v>
      </c>
      <c r="G580" s="2908"/>
      <c r="H580" s="2909">
        <v>3000</v>
      </c>
      <c r="I580" s="4673">
        <v>3000</v>
      </c>
      <c r="J580" s="4673"/>
      <c r="K580" s="2907"/>
      <c r="L580" s="2907"/>
      <c r="M580" s="2910"/>
      <c r="N580" s="2910"/>
      <c r="O580" s="2910"/>
      <c r="P580" s="2907"/>
      <c r="Q580" s="2907"/>
      <c r="R580" s="2909">
        <v>3000</v>
      </c>
      <c r="S580" s="2909">
        <v>3000</v>
      </c>
      <c r="T580" s="2907"/>
    </row>
    <row r="581" spans="1:20" ht="12" customHeight="1" outlineLevel="1" x14ac:dyDescent="0.2">
      <c r="A581" s="4672" t="s">
        <v>3428</v>
      </c>
      <c r="B581" s="4672"/>
      <c r="C581" s="2905">
        <v>633</v>
      </c>
      <c r="D581" s="2906" t="s">
        <v>2645</v>
      </c>
      <c r="E581" s="2907" t="s">
        <v>3276</v>
      </c>
      <c r="F581" s="2908">
        <v>12</v>
      </c>
      <c r="G581" s="2908"/>
      <c r="H581" s="2909">
        <v>3000</v>
      </c>
      <c r="I581" s="4673">
        <v>3000</v>
      </c>
      <c r="J581" s="4673"/>
      <c r="K581" s="2907"/>
      <c r="L581" s="2907"/>
      <c r="M581" s="2910"/>
      <c r="N581" s="2910"/>
      <c r="O581" s="2910"/>
      <c r="P581" s="2907"/>
      <c r="Q581" s="2907"/>
      <c r="R581" s="2909">
        <v>3000</v>
      </c>
      <c r="S581" s="2909">
        <v>3000</v>
      </c>
      <c r="T581" s="2907"/>
    </row>
    <row r="582" spans="1:20" ht="12" customHeight="1" outlineLevel="1" x14ac:dyDescent="0.2">
      <c r="A582" s="4672" t="s">
        <v>3428</v>
      </c>
      <c r="B582" s="4672"/>
      <c r="C582" s="2905">
        <v>634</v>
      </c>
      <c r="D582" s="2906" t="s">
        <v>2645</v>
      </c>
      <c r="E582" s="2907" t="s">
        <v>3276</v>
      </c>
      <c r="F582" s="2908">
        <v>12</v>
      </c>
      <c r="G582" s="2908"/>
      <c r="H582" s="2909">
        <v>3000</v>
      </c>
      <c r="I582" s="4673">
        <v>3000</v>
      </c>
      <c r="J582" s="4673"/>
      <c r="K582" s="2907"/>
      <c r="L582" s="2907"/>
      <c r="M582" s="2910"/>
      <c r="N582" s="2910"/>
      <c r="O582" s="2910"/>
      <c r="P582" s="2907"/>
      <c r="Q582" s="2907"/>
      <c r="R582" s="2909">
        <v>3000</v>
      </c>
      <c r="S582" s="2909">
        <v>3000</v>
      </c>
      <c r="T582" s="2907"/>
    </row>
    <row r="583" spans="1:20" ht="12" customHeight="1" outlineLevel="1" x14ac:dyDescent="0.2">
      <c r="A583" s="4672" t="s">
        <v>3428</v>
      </c>
      <c r="B583" s="4672"/>
      <c r="C583" s="2905">
        <v>635</v>
      </c>
      <c r="D583" s="2906" t="s">
        <v>2645</v>
      </c>
      <c r="E583" s="2907" t="s">
        <v>3276</v>
      </c>
      <c r="F583" s="2908">
        <v>12</v>
      </c>
      <c r="G583" s="2908"/>
      <c r="H583" s="2909">
        <v>6000</v>
      </c>
      <c r="I583" s="4673">
        <v>6000</v>
      </c>
      <c r="J583" s="4673"/>
      <c r="K583" s="2907"/>
      <c r="L583" s="2907"/>
      <c r="M583" s="2910"/>
      <c r="N583" s="2910"/>
      <c r="O583" s="2910"/>
      <c r="P583" s="2907"/>
      <c r="Q583" s="2907"/>
      <c r="R583" s="2909">
        <v>6000</v>
      </c>
      <c r="S583" s="2909">
        <v>6000</v>
      </c>
      <c r="T583" s="2907"/>
    </row>
    <row r="584" spans="1:20" ht="12" customHeight="1" outlineLevel="1" x14ac:dyDescent="0.2">
      <c r="A584" s="4672" t="s">
        <v>3495</v>
      </c>
      <c r="B584" s="4672"/>
      <c r="C584" s="2905">
        <v>248</v>
      </c>
      <c r="D584" s="2906" t="s">
        <v>2809</v>
      </c>
      <c r="E584" s="2907" t="s">
        <v>3496</v>
      </c>
      <c r="F584" s="2908">
        <v>120</v>
      </c>
      <c r="G584" s="2908"/>
      <c r="H584" s="2909">
        <v>2083.33</v>
      </c>
      <c r="I584" s="4673">
        <v>2083.33</v>
      </c>
      <c r="J584" s="4673"/>
      <c r="K584" s="2907"/>
      <c r="L584" s="2907"/>
      <c r="M584" s="2910"/>
      <c r="N584" s="2910"/>
      <c r="O584" s="2910"/>
      <c r="P584" s="2907"/>
      <c r="Q584" s="2907"/>
      <c r="R584" s="2909">
        <v>2083.33</v>
      </c>
      <c r="S584" s="2909">
        <v>2083.33</v>
      </c>
      <c r="T584" s="2907"/>
    </row>
    <row r="585" spans="1:20" ht="12" customHeight="1" outlineLevel="1" x14ac:dyDescent="0.2">
      <c r="A585" s="4672" t="s">
        <v>3428</v>
      </c>
      <c r="B585" s="4672"/>
      <c r="C585" s="2905">
        <v>636</v>
      </c>
      <c r="D585" s="2906" t="s">
        <v>2645</v>
      </c>
      <c r="E585" s="2907" t="s">
        <v>3276</v>
      </c>
      <c r="F585" s="2908">
        <v>12</v>
      </c>
      <c r="G585" s="2908"/>
      <c r="H585" s="2909">
        <v>6000</v>
      </c>
      <c r="I585" s="4673">
        <v>6000</v>
      </c>
      <c r="J585" s="4673"/>
      <c r="K585" s="2907"/>
      <c r="L585" s="2907"/>
      <c r="M585" s="2910"/>
      <c r="N585" s="2910"/>
      <c r="O585" s="2910"/>
      <c r="P585" s="2907"/>
      <c r="Q585" s="2907"/>
      <c r="R585" s="2909">
        <v>6000</v>
      </c>
      <c r="S585" s="2909">
        <v>6000</v>
      </c>
      <c r="T585" s="2907"/>
    </row>
    <row r="586" spans="1:20" ht="12" customHeight="1" outlineLevel="1" x14ac:dyDescent="0.2">
      <c r="A586" s="4672" t="s">
        <v>3428</v>
      </c>
      <c r="B586" s="4672"/>
      <c r="C586" s="2905">
        <v>638</v>
      </c>
      <c r="D586" s="2906" t="s">
        <v>2645</v>
      </c>
      <c r="E586" s="2907" t="s">
        <v>3276</v>
      </c>
      <c r="F586" s="2908">
        <v>12</v>
      </c>
      <c r="G586" s="2908"/>
      <c r="H586" s="2909">
        <v>6000</v>
      </c>
      <c r="I586" s="4673">
        <v>6000</v>
      </c>
      <c r="J586" s="4673"/>
      <c r="K586" s="2907"/>
      <c r="L586" s="2907"/>
      <c r="M586" s="2910"/>
      <c r="N586" s="2910"/>
      <c r="O586" s="2910"/>
      <c r="P586" s="2907"/>
      <c r="Q586" s="2907"/>
      <c r="R586" s="2909">
        <v>6000</v>
      </c>
      <c r="S586" s="2909">
        <v>6000</v>
      </c>
      <c r="T586" s="2907"/>
    </row>
    <row r="587" spans="1:20" ht="12" customHeight="1" outlineLevel="1" x14ac:dyDescent="0.2">
      <c r="A587" s="4672" t="s">
        <v>3376</v>
      </c>
      <c r="B587" s="4672"/>
      <c r="C587" s="2905">
        <v>584</v>
      </c>
      <c r="D587" s="2906" t="s">
        <v>3377</v>
      </c>
      <c r="E587" s="2907" t="s">
        <v>3497</v>
      </c>
      <c r="F587" s="2908">
        <v>1</v>
      </c>
      <c r="G587" s="2908"/>
      <c r="H587" s="2909">
        <v>11000</v>
      </c>
      <c r="I587" s="4673">
        <v>11000</v>
      </c>
      <c r="J587" s="4673"/>
      <c r="K587" s="2907"/>
      <c r="L587" s="2907"/>
      <c r="M587" s="2910"/>
      <c r="N587" s="2910"/>
      <c r="O587" s="2910"/>
      <c r="P587" s="2907"/>
      <c r="Q587" s="2907"/>
      <c r="R587" s="2909">
        <v>11000</v>
      </c>
      <c r="S587" s="2909">
        <v>11000</v>
      </c>
      <c r="T587" s="2907"/>
    </row>
    <row r="588" spans="1:20" ht="12" customHeight="1" outlineLevel="1" x14ac:dyDescent="0.2">
      <c r="A588" s="4672" t="s">
        <v>3498</v>
      </c>
      <c r="B588" s="4672"/>
      <c r="C588" s="2905">
        <v>397</v>
      </c>
      <c r="D588" s="2906" t="s">
        <v>3499</v>
      </c>
      <c r="E588" s="2907" t="s">
        <v>3409</v>
      </c>
      <c r="F588" s="2908">
        <v>120</v>
      </c>
      <c r="G588" s="2908"/>
      <c r="H588" s="2909">
        <v>4680</v>
      </c>
      <c r="I588" s="4673">
        <v>4680</v>
      </c>
      <c r="J588" s="4673"/>
      <c r="K588" s="2907"/>
      <c r="L588" s="2907"/>
      <c r="M588" s="2910"/>
      <c r="N588" s="2910"/>
      <c r="O588" s="2910"/>
      <c r="P588" s="2907"/>
      <c r="Q588" s="2907"/>
      <c r="R588" s="2909">
        <v>4680</v>
      </c>
      <c r="S588" s="2909">
        <v>4680</v>
      </c>
      <c r="T588" s="2907"/>
    </row>
    <row r="589" spans="1:20" ht="12" customHeight="1" outlineLevel="1" x14ac:dyDescent="0.2">
      <c r="A589" s="4672" t="s">
        <v>3500</v>
      </c>
      <c r="B589" s="4672"/>
      <c r="C589" s="2905">
        <v>309</v>
      </c>
      <c r="D589" s="2906" t="s">
        <v>2344</v>
      </c>
      <c r="E589" s="2907" t="s">
        <v>3501</v>
      </c>
      <c r="F589" s="2908">
        <v>120</v>
      </c>
      <c r="G589" s="2908"/>
      <c r="H589" s="2909">
        <v>5850</v>
      </c>
      <c r="I589" s="4673">
        <v>5850</v>
      </c>
      <c r="J589" s="4673"/>
      <c r="K589" s="2907"/>
      <c r="L589" s="2907"/>
      <c r="M589" s="2910"/>
      <c r="N589" s="2910"/>
      <c r="O589" s="2910"/>
      <c r="P589" s="2907"/>
      <c r="Q589" s="2907"/>
      <c r="R589" s="2909">
        <v>5850</v>
      </c>
      <c r="S589" s="2909">
        <v>5850</v>
      </c>
      <c r="T589" s="2907"/>
    </row>
    <row r="590" spans="1:20" ht="12" customHeight="1" outlineLevel="1" x14ac:dyDescent="0.2">
      <c r="A590" s="4672" t="s">
        <v>3502</v>
      </c>
      <c r="B590" s="4672"/>
      <c r="C590" s="2905">
        <v>536</v>
      </c>
      <c r="D590" s="2906" t="s">
        <v>3366</v>
      </c>
      <c r="E590" s="2907" t="s">
        <v>3276</v>
      </c>
      <c r="F590" s="2908">
        <v>120</v>
      </c>
      <c r="G590" s="2908"/>
      <c r="H590" s="2909">
        <v>3000</v>
      </c>
      <c r="I590" s="4673">
        <v>3000</v>
      </c>
      <c r="J590" s="4673"/>
      <c r="K590" s="2907"/>
      <c r="L590" s="2907"/>
      <c r="M590" s="2910"/>
      <c r="N590" s="2910"/>
      <c r="O590" s="2910"/>
      <c r="P590" s="2907"/>
      <c r="Q590" s="2907"/>
      <c r="R590" s="2909">
        <v>3000</v>
      </c>
      <c r="S590" s="2909">
        <v>3000</v>
      </c>
      <c r="T590" s="2907"/>
    </row>
    <row r="591" spans="1:20" ht="12" customHeight="1" outlineLevel="1" x14ac:dyDescent="0.2">
      <c r="A591" s="4672" t="s">
        <v>3503</v>
      </c>
      <c r="B591" s="4672"/>
      <c r="C591" s="2905">
        <v>585</v>
      </c>
      <c r="D591" s="2906" t="s">
        <v>2987</v>
      </c>
      <c r="E591" s="2907" t="s">
        <v>2693</v>
      </c>
      <c r="F591" s="2908">
        <v>1</v>
      </c>
      <c r="G591" s="2908"/>
      <c r="H591" s="2909">
        <v>11666.67</v>
      </c>
      <c r="I591" s="4673">
        <v>11666.67</v>
      </c>
      <c r="J591" s="4673"/>
      <c r="K591" s="2907"/>
      <c r="L591" s="2907"/>
      <c r="M591" s="2910"/>
      <c r="N591" s="2910"/>
      <c r="O591" s="2910"/>
      <c r="P591" s="2907"/>
      <c r="Q591" s="2907"/>
      <c r="R591" s="2909">
        <v>11666.67</v>
      </c>
      <c r="S591" s="2909">
        <v>11666.67</v>
      </c>
      <c r="T591" s="2907"/>
    </row>
    <row r="592" spans="1:20" ht="12" customHeight="1" outlineLevel="1" x14ac:dyDescent="0.2">
      <c r="A592" s="4672" t="s">
        <v>3504</v>
      </c>
      <c r="B592" s="4672"/>
      <c r="C592" s="2905">
        <v>586</v>
      </c>
      <c r="D592" s="2906" t="s">
        <v>2987</v>
      </c>
      <c r="E592" s="2907" t="s">
        <v>3505</v>
      </c>
      <c r="F592" s="2908">
        <v>1</v>
      </c>
      <c r="G592" s="2908"/>
      <c r="H592" s="2909">
        <v>17500</v>
      </c>
      <c r="I592" s="4673">
        <v>17500</v>
      </c>
      <c r="J592" s="4673"/>
      <c r="K592" s="2907"/>
      <c r="L592" s="2907"/>
      <c r="M592" s="2910"/>
      <c r="N592" s="2910"/>
      <c r="O592" s="2910"/>
      <c r="P592" s="2907"/>
      <c r="Q592" s="2907"/>
      <c r="R592" s="2909">
        <v>17500</v>
      </c>
      <c r="S592" s="2909">
        <v>17500</v>
      </c>
      <c r="T592" s="2907"/>
    </row>
    <row r="593" spans="1:20" ht="23.25" customHeight="1" outlineLevel="1" x14ac:dyDescent="0.2">
      <c r="A593" s="4672" t="s">
        <v>3506</v>
      </c>
      <c r="B593" s="4672"/>
      <c r="C593" s="2905">
        <v>2024</v>
      </c>
      <c r="D593" s="2906" t="s">
        <v>3453</v>
      </c>
      <c r="E593" s="2907" t="s">
        <v>3507</v>
      </c>
      <c r="F593" s="2908">
        <v>84</v>
      </c>
      <c r="G593" s="2908"/>
      <c r="H593" s="2909">
        <v>13810</v>
      </c>
      <c r="I593" s="4673">
        <v>13810</v>
      </c>
      <c r="J593" s="4673"/>
      <c r="K593" s="2907"/>
      <c r="L593" s="2907"/>
      <c r="M593" s="2910"/>
      <c r="N593" s="2910"/>
      <c r="O593" s="2910"/>
      <c r="P593" s="2907"/>
      <c r="Q593" s="2907"/>
      <c r="R593" s="2909">
        <v>13810</v>
      </c>
      <c r="S593" s="2909">
        <v>13810</v>
      </c>
      <c r="T593" s="2907"/>
    </row>
    <row r="594" spans="1:20" ht="12" customHeight="1" outlineLevel="1" x14ac:dyDescent="0.2">
      <c r="A594" s="4672" t="s">
        <v>3508</v>
      </c>
      <c r="B594" s="4672"/>
      <c r="C594" s="2905">
        <v>520</v>
      </c>
      <c r="D594" s="2906" t="s">
        <v>3028</v>
      </c>
      <c r="E594" s="2907" t="s">
        <v>3164</v>
      </c>
      <c r="F594" s="2908">
        <v>120</v>
      </c>
      <c r="G594" s="2908"/>
      <c r="H594" s="2909">
        <v>1000</v>
      </c>
      <c r="I594" s="4673">
        <v>1000</v>
      </c>
      <c r="J594" s="4673"/>
      <c r="K594" s="2907"/>
      <c r="L594" s="2907"/>
      <c r="M594" s="2910"/>
      <c r="N594" s="2910"/>
      <c r="O594" s="2910"/>
      <c r="P594" s="2907"/>
      <c r="Q594" s="2907"/>
      <c r="R594" s="2909">
        <v>1000</v>
      </c>
      <c r="S594" s="2909">
        <v>1000</v>
      </c>
      <c r="T594" s="2907"/>
    </row>
    <row r="595" spans="1:20" ht="12" customHeight="1" outlineLevel="1" x14ac:dyDescent="0.2">
      <c r="A595" s="4672" t="s">
        <v>3509</v>
      </c>
      <c r="B595" s="4672"/>
      <c r="C595" s="2905">
        <v>733</v>
      </c>
      <c r="D595" s="2906" t="s">
        <v>3120</v>
      </c>
      <c r="E595" s="2907" t="s">
        <v>3510</v>
      </c>
      <c r="F595" s="2908">
        <v>84</v>
      </c>
      <c r="G595" s="2908"/>
      <c r="H595" s="2909">
        <v>13000.02</v>
      </c>
      <c r="I595" s="4673">
        <v>13000.02</v>
      </c>
      <c r="J595" s="4673"/>
      <c r="K595" s="2907"/>
      <c r="L595" s="2907"/>
      <c r="M595" s="2910"/>
      <c r="N595" s="2910"/>
      <c r="O595" s="2910"/>
      <c r="P595" s="2907"/>
      <c r="Q595" s="2907"/>
      <c r="R595" s="2909">
        <v>13000.02</v>
      </c>
      <c r="S595" s="2909">
        <v>13000.02</v>
      </c>
      <c r="T595" s="2907"/>
    </row>
    <row r="596" spans="1:20" ht="12" customHeight="1" outlineLevel="1" x14ac:dyDescent="0.2">
      <c r="A596" s="4672" t="s">
        <v>3511</v>
      </c>
      <c r="B596" s="4672"/>
      <c r="C596" s="2905">
        <v>227</v>
      </c>
      <c r="D596" s="2906" t="s">
        <v>2626</v>
      </c>
      <c r="E596" s="2907" t="s">
        <v>3512</v>
      </c>
      <c r="F596" s="2908">
        <v>120</v>
      </c>
      <c r="G596" s="2908"/>
      <c r="H596" s="2909">
        <v>2499</v>
      </c>
      <c r="I596" s="4673">
        <v>2499</v>
      </c>
      <c r="J596" s="4673"/>
      <c r="K596" s="2907"/>
      <c r="L596" s="2907"/>
      <c r="M596" s="2910"/>
      <c r="N596" s="2910"/>
      <c r="O596" s="2910"/>
      <c r="P596" s="2907"/>
      <c r="Q596" s="2907"/>
      <c r="R596" s="2909">
        <v>2499</v>
      </c>
      <c r="S596" s="2909">
        <v>2499</v>
      </c>
      <c r="T596" s="2907"/>
    </row>
    <row r="597" spans="1:20" s="2932" customFormat="1" ht="12.75" customHeight="1" x14ac:dyDescent="0.2">
      <c r="A597" s="4674" t="s">
        <v>54</v>
      </c>
      <c r="B597" s="4674"/>
      <c r="C597" s="4674"/>
      <c r="D597" s="4674"/>
      <c r="E597" s="4674"/>
      <c r="F597" s="4674"/>
      <c r="G597" s="2958"/>
      <c r="H597" s="2959">
        <v>346069593.33999997</v>
      </c>
      <c r="I597" s="4675">
        <v>197864884.80000001</v>
      </c>
      <c r="J597" s="4675"/>
      <c r="K597" s="2959">
        <v>148204708.53999999</v>
      </c>
      <c r="L597" s="2959">
        <v>2680490.5299999998</v>
      </c>
      <c r="M597" s="2959">
        <v>15147049.16</v>
      </c>
      <c r="N597" s="2959"/>
      <c r="O597" s="2959"/>
      <c r="P597" s="2959">
        <v>383946.62</v>
      </c>
      <c r="Q597" s="2959">
        <v>374708.6</v>
      </c>
      <c r="R597" s="2959">
        <v>348366137.25</v>
      </c>
      <c r="S597" s="2959">
        <v>212637225.36000001</v>
      </c>
      <c r="T597" s="2959">
        <v>135728911.88999999</v>
      </c>
    </row>
    <row r="605" spans="1:20" x14ac:dyDescent="0.2">
      <c r="K605" s="156">
        <f>Аморт!$AC$34</f>
        <v>14990.669999999998</v>
      </c>
    </row>
    <row r="606" spans="1:20" x14ac:dyDescent="0.2">
      <c r="K606" s="156">
        <f>'ОХР '!$AU$24</f>
        <v>131.28384</v>
      </c>
    </row>
    <row r="607" spans="1:20" x14ac:dyDescent="0.2">
      <c r="K607" s="156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I67"/>
  <sheetViews>
    <sheetView topLeftCell="A12" zoomScale="70" zoomScaleNormal="70" zoomScalePageLayoutView="90" workbookViewId="0">
      <selection activeCell="A29" sqref="A29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315"/>
      <c r="V1" s="3315"/>
      <c r="W1" s="3315"/>
      <c r="X1" s="3316"/>
      <c r="Y1" s="3316"/>
      <c r="Z1" s="3316"/>
      <c r="AA1" s="3316"/>
      <c r="AB1" s="3316"/>
      <c r="AC1" s="3577" t="s">
        <v>3683</v>
      </c>
      <c r="AD1" s="3578"/>
      <c r="AE1" s="3578"/>
      <c r="AF1" s="3578"/>
    </row>
    <row r="2" spans="1:61" x14ac:dyDescent="0.2">
      <c r="U2" s="3309"/>
      <c r="V2" s="3309"/>
      <c r="W2" s="3309"/>
      <c r="X2" s="3310"/>
      <c r="Y2" s="3310"/>
      <c r="Z2" s="3310"/>
      <c r="AA2" s="3310"/>
      <c r="AB2" s="3310"/>
      <c r="AC2" s="3309"/>
      <c r="AD2" s="3310"/>
      <c r="AE2" s="3310"/>
      <c r="AF2" s="3310"/>
    </row>
    <row r="3" spans="1:61" ht="18.75" x14ac:dyDescent="0.2">
      <c r="U3" s="3311"/>
      <c r="V3" s="3311"/>
      <c r="W3" s="3311"/>
      <c r="X3" s="3311"/>
      <c r="Y3" s="3311"/>
      <c r="Z3" s="3311"/>
      <c r="AA3" s="3311"/>
      <c r="AB3" s="3311"/>
      <c r="AC3" s="3311" t="s">
        <v>3684</v>
      </c>
      <c r="AD3" s="3311"/>
      <c r="AE3" s="3311"/>
      <c r="AF3" s="3311"/>
    </row>
    <row r="4" spans="1:61" ht="18.75" x14ac:dyDescent="0.2">
      <c r="U4" s="3311"/>
      <c r="V4" s="3311"/>
      <c r="W4" s="3311"/>
      <c r="X4" s="3311"/>
      <c r="Y4" s="3311"/>
      <c r="Z4" s="3311"/>
      <c r="AA4" s="3311"/>
      <c r="AB4" s="3311"/>
      <c r="AC4" s="3311" t="s">
        <v>3651</v>
      </c>
      <c r="AD4" s="3311"/>
      <c r="AE4" s="3311"/>
      <c r="AF4" s="3311"/>
    </row>
    <row r="5" spans="1:61" ht="21" customHeight="1" x14ac:dyDescent="0.2">
      <c r="U5" s="3311"/>
      <c r="V5" s="3311"/>
      <c r="W5" s="3311"/>
      <c r="X5" s="3311"/>
      <c r="Y5" s="3311"/>
      <c r="Z5" s="3311"/>
      <c r="AA5" s="3316"/>
      <c r="AB5" s="3316"/>
      <c r="AC5" s="3311" t="s">
        <v>3722</v>
      </c>
      <c r="AD5" s="3316"/>
      <c r="AE5" s="3316"/>
      <c r="AF5" s="3311"/>
    </row>
    <row r="6" spans="1:61" ht="21" customHeight="1" x14ac:dyDescent="0.3">
      <c r="U6" s="3314"/>
      <c r="V6" s="3314"/>
      <c r="W6" s="3314"/>
      <c r="X6" s="3314"/>
      <c r="Y6" s="3314"/>
      <c r="Z6" s="3314"/>
      <c r="AA6" s="3314"/>
      <c r="AB6" s="3314"/>
      <c r="AC6" s="3314" t="s">
        <v>3723</v>
      </c>
      <c r="AD6" s="3314"/>
      <c r="AE6" s="3314"/>
      <c r="AF6" s="3314"/>
    </row>
    <row r="7" spans="1:61" ht="12" customHeight="1" x14ac:dyDescent="0.25">
      <c r="U7" s="3269"/>
      <c r="V7" s="3291"/>
      <c r="W7" s="3291"/>
      <c r="X7" s="3269"/>
      <c r="Y7" s="3291"/>
      <c r="Z7" s="3291"/>
      <c r="AA7" s="3269"/>
      <c r="AB7" s="3291"/>
      <c r="AC7" s="3291"/>
      <c r="AD7" s="3291"/>
      <c r="AE7" s="3291"/>
      <c r="AF7" s="3269"/>
    </row>
    <row r="8" spans="1:61" ht="44.25" customHeight="1" x14ac:dyDescent="0.4">
      <c r="A8" s="3597" t="s">
        <v>3724</v>
      </c>
      <c r="B8" s="3597"/>
      <c r="C8" s="3597"/>
      <c r="D8" s="3597"/>
      <c r="E8" s="3597"/>
      <c r="F8" s="3597"/>
      <c r="G8" s="3597"/>
      <c r="H8" s="3597"/>
      <c r="I8" s="3597"/>
      <c r="J8" s="3597"/>
      <c r="K8" s="3598"/>
      <c r="L8" s="3598"/>
      <c r="M8" s="3598"/>
      <c r="N8" s="3598"/>
      <c r="O8" s="3598"/>
      <c r="P8" s="3598"/>
      <c r="Q8" s="3598"/>
      <c r="R8" s="3598"/>
      <c r="S8" s="3598"/>
      <c r="T8" s="3598"/>
      <c r="U8" s="3598"/>
      <c r="V8" s="3598"/>
      <c r="W8" s="3598"/>
      <c r="X8" s="3598"/>
      <c r="Y8" s="3598"/>
      <c r="Z8" s="3598"/>
      <c r="AA8" s="3598"/>
      <c r="AB8" s="3598"/>
      <c r="AC8" s="3598"/>
      <c r="AD8" s="3598"/>
      <c r="AE8" s="3598"/>
      <c r="AF8" s="3598"/>
    </row>
    <row r="9" spans="1:61" ht="16.5" collapsed="1" thickBot="1" x14ac:dyDescent="0.3">
      <c r="AF9" s="3312" t="s">
        <v>3685</v>
      </c>
    </row>
    <row r="10" spans="1:61" ht="18.75" x14ac:dyDescent="0.3">
      <c r="A10" s="3609" t="s">
        <v>3686</v>
      </c>
      <c r="B10" s="3610"/>
      <c r="C10" s="3610"/>
      <c r="D10" s="3610"/>
      <c r="E10" s="3610"/>
      <c r="F10" s="3610"/>
      <c r="G10" s="3610"/>
      <c r="H10" s="3610"/>
      <c r="I10" s="3610"/>
      <c r="J10" s="3610"/>
      <c r="K10" s="3610"/>
      <c r="L10" s="3610"/>
      <c r="M10" s="3610"/>
      <c r="N10" s="3610"/>
      <c r="O10" s="3610"/>
      <c r="P10" s="3610"/>
      <c r="Q10" s="3610"/>
      <c r="R10" s="3610"/>
      <c r="S10" s="3610"/>
      <c r="T10" s="3610"/>
      <c r="U10" s="3610"/>
      <c r="V10" s="3610"/>
      <c r="W10" s="3610"/>
      <c r="X10" s="3610"/>
      <c r="Y10" s="3610"/>
      <c r="Z10" s="3610"/>
      <c r="AA10" s="3610"/>
      <c r="AB10" s="3611"/>
      <c r="AC10" s="3611"/>
      <c r="AD10" s="3611"/>
      <c r="AE10" s="3611"/>
      <c r="AF10" s="3591"/>
    </row>
    <row r="11" spans="1:61" ht="18.75" customHeight="1" x14ac:dyDescent="0.3">
      <c r="A11" s="3612" t="s">
        <v>536</v>
      </c>
      <c r="B11" s="3356"/>
      <c r="C11" s="3356"/>
      <c r="D11" s="3356"/>
      <c r="E11" s="3356"/>
      <c r="F11" s="3356"/>
      <c r="G11" s="3356"/>
      <c r="H11" s="3356"/>
      <c r="I11" s="3356"/>
      <c r="J11" s="3356"/>
      <c r="K11" s="3605" t="s">
        <v>3687</v>
      </c>
      <c r="L11" s="3606" t="s">
        <v>596</v>
      </c>
      <c r="M11" s="3607"/>
      <c r="N11" s="3608"/>
      <c r="O11" s="3606" t="s">
        <v>595</v>
      </c>
      <c r="P11" s="3607"/>
      <c r="Q11" s="3608"/>
      <c r="R11" s="3606" t="s">
        <v>594</v>
      </c>
      <c r="S11" s="3607"/>
      <c r="T11" s="3608"/>
      <c r="U11" s="3606" t="s">
        <v>222</v>
      </c>
      <c r="V11" s="3607"/>
      <c r="W11" s="3608"/>
      <c r="X11" s="3606" t="s">
        <v>226</v>
      </c>
      <c r="Y11" s="3607"/>
      <c r="Z11" s="3608"/>
      <c r="AA11" s="3606" t="s">
        <v>3688</v>
      </c>
      <c r="AB11" s="3607"/>
      <c r="AC11" s="3608"/>
      <c r="AD11" s="3606" t="s">
        <v>1819</v>
      </c>
      <c r="AE11" s="3607"/>
      <c r="AF11" s="3619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  <c r="AZ11" s="396"/>
      <c r="BA11" s="396"/>
      <c r="BB11" s="396"/>
      <c r="BC11" s="396"/>
      <c r="BD11" s="396"/>
      <c r="BE11" s="396"/>
      <c r="BF11" s="396"/>
      <c r="BG11" s="396"/>
      <c r="BH11" s="396"/>
      <c r="BI11" s="396"/>
    </row>
    <row r="12" spans="1:61" ht="18.75" x14ac:dyDescent="0.3">
      <c r="A12" s="3613"/>
      <c r="B12" s="3356"/>
      <c r="C12" s="3356"/>
      <c r="D12" s="3356"/>
      <c r="E12" s="3356"/>
      <c r="F12" s="3356"/>
      <c r="G12" s="3356"/>
      <c r="H12" s="3356"/>
      <c r="I12" s="3356"/>
      <c r="J12" s="3356"/>
      <c r="K12" s="3605"/>
      <c r="L12" s="3347" t="s">
        <v>627</v>
      </c>
      <c r="M12" s="3347" t="s">
        <v>3625</v>
      </c>
      <c r="N12" s="3347" t="s">
        <v>3626</v>
      </c>
      <c r="O12" s="3347" t="s">
        <v>627</v>
      </c>
      <c r="P12" s="3347" t="s">
        <v>3625</v>
      </c>
      <c r="Q12" s="3347" t="s">
        <v>3626</v>
      </c>
      <c r="R12" s="3347" t="s">
        <v>627</v>
      </c>
      <c r="S12" s="3347" t="s">
        <v>3625</v>
      </c>
      <c r="T12" s="3347" t="s">
        <v>3626</v>
      </c>
      <c r="U12" s="3347" t="s">
        <v>627</v>
      </c>
      <c r="V12" s="3347" t="s">
        <v>3625</v>
      </c>
      <c r="W12" s="3347" t="s">
        <v>3626</v>
      </c>
      <c r="X12" s="3347" t="s">
        <v>627</v>
      </c>
      <c r="Y12" s="3347" t="s">
        <v>3625</v>
      </c>
      <c r="Z12" s="3347" t="s">
        <v>3626</v>
      </c>
      <c r="AA12" s="3347" t="s">
        <v>627</v>
      </c>
      <c r="AB12" s="3347" t="s">
        <v>3625</v>
      </c>
      <c r="AC12" s="3347" t="s">
        <v>3626</v>
      </c>
      <c r="AD12" s="3347" t="s">
        <v>627</v>
      </c>
      <c r="AE12" s="3347" t="s">
        <v>3625</v>
      </c>
      <c r="AF12" s="3357" t="s">
        <v>3626</v>
      </c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</row>
    <row r="13" spans="1:61" ht="18.75" x14ac:dyDescent="0.3">
      <c r="A13" s="3358" t="s">
        <v>3584</v>
      </c>
      <c r="B13" s="3359"/>
      <c r="C13" s="3359"/>
      <c r="D13" s="3359"/>
      <c r="E13" s="3359"/>
      <c r="F13" s="3359"/>
      <c r="G13" s="3359"/>
      <c r="H13" s="3359"/>
      <c r="I13" s="3359"/>
      <c r="J13" s="3359"/>
      <c r="K13" s="3360" t="s">
        <v>3689</v>
      </c>
      <c r="L13" s="3348">
        <f>SUM('ПОЛНАЯ СЕБЕСТОИМОСТЬ ВОДА 2019'!B8)</f>
        <v>1563.7879199155666</v>
      </c>
      <c r="M13" s="3348">
        <f>SUM('ПОЛНАЯ СЕБЕСТОИМОСТЬ ВОДА 2019'!C8)</f>
        <v>1563.3454199155665</v>
      </c>
      <c r="N13" s="3348">
        <f>SUM('ПОЛНАЯ СЕБЕСТОИМОСТЬ ВОДА 2019'!D8)</f>
        <v>0.4425</v>
      </c>
      <c r="O13" s="3348">
        <f>SUM('ПОЛНАЯ СЕБЕСТОИМОСТЬ ВОДА 2019'!Q8)</f>
        <v>1563.7879199155666</v>
      </c>
      <c r="P13" s="3348">
        <f>SUM('ПОЛНАЯ СЕБЕСТОИМОСТЬ ВОДА 2019'!R8)</f>
        <v>1563.3454199155665</v>
      </c>
      <c r="Q13" s="3348">
        <f>SUM('ПОЛНАЯ СЕБЕСТОИМОСТЬ ВОДА 2019'!S8)</f>
        <v>0.4425</v>
      </c>
      <c r="R13" s="3348">
        <f>SUM('ПОЛНАЯ СЕБЕСТОИМОСТЬ ВОДА 2019'!AF8)</f>
        <v>3127.5758398311332</v>
      </c>
      <c r="S13" s="3348">
        <f>SUM('ПОЛНАЯ СЕБЕСТОИМОСТЬ ВОДА 2019'!AG8)</f>
        <v>3126.690839831133</v>
      </c>
      <c r="T13" s="3348">
        <f>SUM('ПОЛНАЯ СЕБЕСТОИМОСТЬ ВОДА 2019'!AH8)</f>
        <v>0.88500000000000001</v>
      </c>
      <c r="U13" s="3348">
        <f>SUM('ПОЛНАЯ СЕБЕСТОИМОСТЬ ВОДА 2019'!AO8)</f>
        <v>1563.7879199155666</v>
      </c>
      <c r="V13" s="3348">
        <f>SUM('ПОЛНАЯ СЕБЕСТОИМОСТЬ ВОДА 2019'!AP8)</f>
        <v>1563.3454199155665</v>
      </c>
      <c r="W13" s="3348">
        <f>SUM('ПОЛНАЯ СЕБЕСТОИМОСТЬ ВОДА 2019'!AQ8)</f>
        <v>0.4425</v>
      </c>
      <c r="X13" s="3348">
        <f>SUM('ПОЛНАЯ СЕБЕСТОИМОСТЬ ВОДА 2019'!BD8)</f>
        <v>4691.3637597466995</v>
      </c>
      <c r="Y13" s="3348">
        <f>SUM('ПОЛНАЯ СЕБЕСТОИМОСТЬ ВОДА 2019'!BE8)</f>
        <v>4690.0362597466992</v>
      </c>
      <c r="Z13" s="3348">
        <f>SUM('ПОЛНАЯ СЕБЕСТОИМОСТЬ ВОДА 2019'!BF8)</f>
        <v>1.3275000000000001</v>
      </c>
      <c r="AA13" s="3348">
        <f>SUM('ПОЛНАЯ СЕБЕСТОИМОСТЬ ВОДА 2019'!BM8)</f>
        <v>1563.7879199155666</v>
      </c>
      <c r="AB13" s="3348">
        <f>SUM('ПОЛНАЯ СЕБЕСТОИМОСТЬ ВОДА 2019'!BN8)</f>
        <v>1563.3454199155665</v>
      </c>
      <c r="AC13" s="3348">
        <f>SUM('ПОЛНАЯ СЕБЕСТОИМОСТЬ ВОДА 2019'!BO8)</f>
        <v>0.4425</v>
      </c>
      <c r="AD13" s="3352">
        <f>SUM('ПОЛНАЯ СЕБЕСТОИМОСТЬ ВОДА 2019'!CB8)</f>
        <v>6255.1516796622664</v>
      </c>
      <c r="AE13" s="3352">
        <f>SUM('ПОЛНАЯ СЕБЕСТОИМОСТЬ ВОДА 2019'!CC8)</f>
        <v>6253.3816796622659</v>
      </c>
      <c r="AF13" s="3361">
        <f>SUM('ПОЛНАЯ СЕБЕСТОИМОСТЬ ВОДА 2019'!CD8)</f>
        <v>1.77</v>
      </c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</row>
    <row r="14" spans="1:61" ht="18.75" x14ac:dyDescent="0.3">
      <c r="A14" s="3362" t="s">
        <v>20</v>
      </c>
      <c r="B14" s="3359"/>
      <c r="C14" s="3359"/>
      <c r="D14" s="3359"/>
      <c r="E14" s="3359"/>
      <c r="F14" s="3359"/>
      <c r="G14" s="3359"/>
      <c r="H14" s="3359"/>
      <c r="I14" s="3359"/>
      <c r="J14" s="3359"/>
      <c r="K14" s="3363" t="s">
        <v>3689</v>
      </c>
      <c r="L14" s="3349">
        <f>SUM('ПОЛНАЯ СЕБЕСТОИМОСТЬ ВОДА 2019'!B9)</f>
        <v>298.5743333333333</v>
      </c>
      <c r="M14" s="3349">
        <f>SUM('ПОЛНАЯ СЕБЕСТОИМОСТЬ ВОДА 2019'!C9)</f>
        <v>298.5743333333333</v>
      </c>
      <c r="N14" s="3349">
        <f>SUM('ПОЛНАЯ СЕБЕСТОИМОСТЬ ВОДА 2019'!D9)</f>
        <v>0</v>
      </c>
      <c r="O14" s="3349">
        <f>SUM('ПОЛНАЯ СЕБЕСТОИМОСТЬ ВОДА 2019'!Q9)</f>
        <v>298.5743333333333</v>
      </c>
      <c r="P14" s="3349">
        <f>SUM('ПОЛНАЯ СЕБЕСТОИМОСТЬ ВОДА 2019'!R9)</f>
        <v>298.5743333333333</v>
      </c>
      <c r="Q14" s="3349">
        <f>SUM('ПОЛНАЯ СЕБЕСТОИМОСТЬ ВОДА 2019'!S9)</f>
        <v>0</v>
      </c>
      <c r="R14" s="3349">
        <f>SUM('ПОЛНАЯ СЕБЕСТОИМОСТЬ ВОДА 2019'!AF9)</f>
        <v>597.1486666666666</v>
      </c>
      <c r="S14" s="3349">
        <f>SUM('ПОЛНАЯ СЕБЕСТОИМОСТЬ ВОДА 2019'!AG9)</f>
        <v>597.1486666666666</v>
      </c>
      <c r="T14" s="3349">
        <f>SUM('ПОЛНАЯ СЕБЕСТОИМОСТЬ ВОДА 2019'!AH9)</f>
        <v>0</v>
      </c>
      <c r="U14" s="3349">
        <f>SUM('ПОЛНАЯ СЕБЕСТОИМОСТЬ ВОДА 2019'!AO9)</f>
        <v>298.5743333333333</v>
      </c>
      <c r="V14" s="3349">
        <f>SUM('ПОЛНАЯ СЕБЕСТОИМОСТЬ ВОДА 2019'!AP9)</f>
        <v>298.5743333333333</v>
      </c>
      <c r="W14" s="3349">
        <f>SUM('ПОЛНАЯ СЕБЕСТОИМОСТЬ ВОДА 2019'!AQ9)</f>
        <v>0</v>
      </c>
      <c r="X14" s="3349">
        <f>SUM('ПОЛНАЯ СЕБЕСТОИМОСТЬ ВОДА 2019'!BD9)</f>
        <v>895.72299999999996</v>
      </c>
      <c r="Y14" s="3349">
        <f>SUM('ПОЛНАЯ СЕБЕСТОИМОСТЬ ВОДА 2019'!BE9)</f>
        <v>895.72299999999996</v>
      </c>
      <c r="Z14" s="3349">
        <f>SUM('ПОЛНАЯ СЕБЕСТОИМОСТЬ ВОДА 2019'!BF9)</f>
        <v>0</v>
      </c>
      <c r="AA14" s="3349">
        <f>SUM('ПОЛНАЯ СЕБЕСТОИМОСТЬ ВОДА 2019'!BM9)</f>
        <v>298.5743333333333</v>
      </c>
      <c r="AB14" s="3349">
        <f>SUM('ПОЛНАЯ СЕБЕСТОИМОСТЬ ВОДА 2019'!BN9)</f>
        <v>298.5743333333333</v>
      </c>
      <c r="AC14" s="3349">
        <f>SUM('ПОЛНАЯ СЕБЕСТОИМОСТЬ ВОДА 2019'!BO9)</f>
        <v>0</v>
      </c>
      <c r="AD14" s="3353">
        <f>SUM('ПОЛНАЯ СЕБЕСТОИМОСТЬ ВОДА 2019'!CB9)</f>
        <v>1194.2973333333332</v>
      </c>
      <c r="AE14" s="3353">
        <f>SUM('ПОЛНАЯ СЕБЕСТОИМОСТЬ ВОДА 2019'!CC9)</f>
        <v>1194.2973333333332</v>
      </c>
      <c r="AF14" s="3364">
        <f>SUM('ПОЛНАЯ СЕБЕСТОИМОСТЬ ВОДА 2019'!CD9)</f>
        <v>0</v>
      </c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</row>
    <row r="15" spans="1:61" ht="18.75" x14ac:dyDescent="0.3">
      <c r="A15" s="3365" t="s">
        <v>382</v>
      </c>
      <c r="B15" s="3359"/>
      <c r="C15" s="3359"/>
      <c r="D15" s="3359"/>
      <c r="E15" s="3359"/>
      <c r="F15" s="3359"/>
      <c r="G15" s="3359"/>
      <c r="H15" s="3359"/>
      <c r="I15" s="3359"/>
      <c r="J15" s="3359"/>
      <c r="K15" s="3363" t="s">
        <v>44</v>
      </c>
      <c r="L15" s="3350">
        <f>SUM('ПОЛНАЯ СЕБЕСТОИМОСТЬ ВОДА 2019'!B10)</f>
        <v>0.19093019554048876</v>
      </c>
      <c r="M15" s="3350">
        <f>SUM('ПОЛНАЯ СЕБЕСТОИМОСТЬ ВОДА 2019'!C10)</f>
        <v>0.19098423773132542</v>
      </c>
      <c r="N15" s="3350">
        <f>SUM('ПОЛНАЯ СЕБЕСТОИМОСТЬ ВОДА 2019'!D10)</f>
        <v>0</v>
      </c>
      <c r="O15" s="3350">
        <f>SUM('ПОЛНАЯ СЕБЕСТОИМОСТЬ ВОДА 2019'!Q10)</f>
        <v>0.19093019554048876</v>
      </c>
      <c r="P15" s="3350">
        <f>SUM('ПОЛНАЯ СЕБЕСТОИМОСТЬ ВОДА 2019'!R10)</f>
        <v>0.19098423773132542</v>
      </c>
      <c r="Q15" s="3350">
        <f>SUM('ПОЛНАЯ СЕБЕСТОИМОСТЬ ВОДА 2019'!S10)</f>
        <v>0</v>
      </c>
      <c r="R15" s="3350">
        <f>SUM('ПОЛНАЯ СЕБЕСТОИМОСТЬ ВОДА 2019'!AF10)</f>
        <v>0.19093019554048876</v>
      </c>
      <c r="S15" s="3350">
        <f>SUM('ПОЛНАЯ СЕБЕСТОИМОСТЬ ВОДА 2019'!AG10)</f>
        <v>0.19098423773132542</v>
      </c>
      <c r="T15" s="3350">
        <f>SUM('ПОЛНАЯ СЕБЕСТОИМОСТЬ ВОДА 2019'!AH10)</f>
        <v>0</v>
      </c>
      <c r="U15" s="3350">
        <f>SUM('ПОЛНАЯ СЕБЕСТОИМОСТЬ ВОДА 2019'!AO10)</f>
        <v>0.19093019554048876</v>
      </c>
      <c r="V15" s="3350">
        <f>SUM('ПОЛНАЯ СЕБЕСТОИМОСТЬ ВОДА 2019'!AP10)</f>
        <v>0.19098423773132542</v>
      </c>
      <c r="W15" s="3350">
        <f>SUM('ПОЛНАЯ СЕБЕСТОИМОСТЬ ВОДА 2019'!AQ10)</f>
        <v>0</v>
      </c>
      <c r="X15" s="3350">
        <f>SUM('ПОЛНАЯ СЕБЕСТОИМОСТЬ ВОДА 2019'!BD10)</f>
        <v>0.19093019554048879</v>
      </c>
      <c r="Y15" s="3350">
        <f>SUM('ПОЛНАЯ СЕБЕСТОИМОСТЬ ВОДА 2019'!BE10)</f>
        <v>0.19098423773132545</v>
      </c>
      <c r="Z15" s="3350">
        <f>SUM('ПОЛНАЯ СЕБЕСТОИМОСТЬ ВОДА 2019'!BF10)</f>
        <v>0</v>
      </c>
      <c r="AA15" s="3350">
        <f>SUM('ПОЛНАЯ СЕБЕСТОИМОСТЬ ВОДА 2019'!BM10)</f>
        <v>0.19093019554048876</v>
      </c>
      <c r="AB15" s="3350">
        <f>SUM('ПОЛНАЯ СЕБЕСТОИМОСТЬ ВОДА 2019'!BN10)</f>
        <v>0.19098423773132542</v>
      </c>
      <c r="AC15" s="3350">
        <f>SUM('ПОЛНАЯ СЕБЕСТОИМОСТЬ ВОДА 2019'!BO10)</f>
        <v>0</v>
      </c>
      <c r="AD15" s="3354">
        <f>SUM('ПОЛНАЯ СЕБЕСТОИМОСТЬ ВОДА 2019'!CB10)</f>
        <v>0.19093019554048876</v>
      </c>
      <c r="AE15" s="3354">
        <f>SUM('ПОЛНАЯ СЕБЕСТОИМОСТЬ ВОДА 2019'!CC10)</f>
        <v>0.19098423773132542</v>
      </c>
      <c r="AF15" s="3367">
        <f>SUM('ПОЛНАЯ СЕБЕСТОИМОСТЬ ВОДА 2019'!CD10)</f>
        <v>0</v>
      </c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  <c r="BG15" s="396"/>
      <c r="BH15" s="396"/>
      <c r="BI15" s="396"/>
    </row>
    <row r="16" spans="1:61" ht="18.75" x14ac:dyDescent="0.3">
      <c r="A16" s="3358" t="s">
        <v>3585</v>
      </c>
      <c r="B16" s="3359"/>
      <c r="C16" s="3359"/>
      <c r="D16" s="3359"/>
      <c r="E16" s="3359"/>
      <c r="F16" s="3359"/>
      <c r="G16" s="3359"/>
      <c r="H16" s="3359"/>
      <c r="I16" s="3359"/>
      <c r="J16" s="3359"/>
      <c r="K16" s="3360" t="s">
        <v>3689</v>
      </c>
      <c r="L16" s="3348">
        <f>SUM('ПОЛНАЯ СЕБЕСТОИМОСТЬ ВОДА 2019'!B11)</f>
        <v>1265.2135865822333</v>
      </c>
      <c r="M16" s="3348">
        <f>SUM('ПОЛНАЯ СЕБЕСТОИМОСТЬ ВОДА 2019'!C11)</f>
        <v>1264.7710865822332</v>
      </c>
      <c r="N16" s="3348">
        <f>SUM('ПОЛНАЯ СЕБЕСТОИМОСТЬ ВОДА 2019'!D11)</f>
        <v>0.4425</v>
      </c>
      <c r="O16" s="3348">
        <f>SUM('ПОЛНАЯ СЕБЕСТОИМОСТЬ ВОДА 2019'!Q11)</f>
        <v>1265.2135865822333</v>
      </c>
      <c r="P16" s="3348">
        <f>SUM('ПОЛНАЯ СЕБЕСТОИМОСТЬ ВОДА 2019'!R11)</f>
        <v>1264.7710865822332</v>
      </c>
      <c r="Q16" s="3348">
        <f>SUM('ПОЛНАЯ СЕБЕСТОИМОСТЬ ВОДА 2019'!S11)</f>
        <v>0.4425</v>
      </c>
      <c r="R16" s="3348">
        <f>SUM('ПОЛНАЯ СЕБЕСТОИМОСТЬ ВОДА 2019'!AF11)</f>
        <v>2530.4271731644667</v>
      </c>
      <c r="S16" s="3348">
        <f>SUM('ПОЛНАЯ СЕБЕСТОИМОСТЬ ВОДА 2019'!AG11)</f>
        <v>2529.5421731644665</v>
      </c>
      <c r="T16" s="3348">
        <f>SUM('ПОЛНАЯ СЕБЕСТОИМОСТЬ ВОДА 2019'!AH11)</f>
        <v>0.88500000000000001</v>
      </c>
      <c r="U16" s="3348">
        <f>SUM('ПОЛНАЯ СЕБЕСТОИМОСТЬ ВОДА 2019'!AO11)</f>
        <v>1265.2135865822333</v>
      </c>
      <c r="V16" s="3348">
        <f>SUM('ПОЛНАЯ СЕБЕСТОИМОСТЬ ВОДА 2019'!AP11)</f>
        <v>1264.7710865822332</v>
      </c>
      <c r="W16" s="3348">
        <f>SUM('ПОЛНАЯ СЕБЕСТОИМОСТЬ ВОДА 2019'!AQ11)</f>
        <v>0.4425</v>
      </c>
      <c r="X16" s="3348">
        <f>SUM('ПОЛНАЯ СЕБЕСТОИМОСТЬ ВОДА 2019'!BD11)</f>
        <v>3795.6407597466991</v>
      </c>
      <c r="Y16" s="3348">
        <f>SUM('ПОЛНАЯ СЕБЕСТОИМОСТЬ ВОДА 2019'!BE11)</f>
        <v>3794.3132597466993</v>
      </c>
      <c r="Z16" s="3348">
        <f>SUM('ПОЛНАЯ СЕБЕСТОИМОСТЬ ВОДА 2019'!BF11)</f>
        <v>1.3275000000000001</v>
      </c>
      <c r="AA16" s="3348">
        <f>SUM('ПОЛНАЯ СЕБЕСТОИМОСТЬ ВОДА 2019'!BM11)</f>
        <v>1265.2135865822333</v>
      </c>
      <c r="AB16" s="3348">
        <f>SUM('ПОЛНАЯ СЕБЕСТОИМОСТЬ ВОДА 2019'!BN11)</f>
        <v>1264.7710865822332</v>
      </c>
      <c r="AC16" s="3348">
        <f>SUM('ПОЛНАЯ СЕБЕСТОИМОСТЬ ВОДА 2019'!BO11)</f>
        <v>0.4425</v>
      </c>
      <c r="AD16" s="3352">
        <f>SUM('ПОЛНАЯ СЕБЕСТОИМОСТЬ ВОДА 2019'!CB11)</f>
        <v>5060.8543463289334</v>
      </c>
      <c r="AE16" s="3352">
        <f>SUM('ПОЛНАЯ СЕБЕСТОИМОСТЬ ВОДА 2019'!CC11)</f>
        <v>5059.084346328933</v>
      </c>
      <c r="AF16" s="3361">
        <f>SUM('ПОЛНАЯ СЕБЕСТОИМОСТЬ ВОДА 2019'!CD11)</f>
        <v>1.77</v>
      </c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</row>
    <row r="17" spans="1:61" ht="18.75" x14ac:dyDescent="0.3">
      <c r="A17" s="3362" t="s">
        <v>51</v>
      </c>
      <c r="B17" s="3359"/>
      <c r="C17" s="3359"/>
      <c r="D17" s="3359"/>
      <c r="E17" s="3359"/>
      <c r="F17" s="3359"/>
      <c r="G17" s="3359"/>
      <c r="H17" s="3359"/>
      <c r="I17" s="3359"/>
      <c r="J17" s="3359"/>
      <c r="K17" s="3363" t="s">
        <v>3689</v>
      </c>
      <c r="L17" s="3348">
        <f>SUM('ПОЛНАЯ СЕБЕСТОИМОСТЬ ВОДА 2019'!B12)</f>
        <v>349.61485574889991</v>
      </c>
      <c r="M17" s="3348">
        <f>SUM('ПОЛНАЯ СЕБЕСТОИМОСТЬ ВОДА 2019'!C12)</f>
        <v>349.61485574889991</v>
      </c>
      <c r="N17" s="3348">
        <f>SUM('ПОЛНАЯ СЕБЕСТОИМОСТЬ ВОДА 2019'!D12)</f>
        <v>0</v>
      </c>
      <c r="O17" s="3348">
        <f>SUM('ПОЛНАЯ СЕБЕСТОИМОСТЬ ВОДА 2019'!Q12)</f>
        <v>349.61485574889991</v>
      </c>
      <c r="P17" s="3348">
        <f>SUM('ПОЛНАЯ СЕБЕСТОИМОСТЬ ВОДА 2019'!R12)</f>
        <v>349.61485574889991</v>
      </c>
      <c r="Q17" s="3348">
        <f>SUM('ПОЛНАЯ СЕБЕСТОИМОСТЬ ВОДА 2019'!S12)</f>
        <v>0</v>
      </c>
      <c r="R17" s="3348">
        <f>SUM('ПОЛНАЯ СЕБЕСТОИМОСТЬ ВОДА 2019'!AF12)</f>
        <v>699.22971149779983</v>
      </c>
      <c r="S17" s="3348">
        <f>SUM('ПОЛНАЯ СЕБЕСТОИМОСТЬ ВОДА 2019'!AG12)</f>
        <v>699.22971149779983</v>
      </c>
      <c r="T17" s="3348">
        <f>SUM('ПОЛНАЯ СЕБЕСТОИМОСТЬ ВОДА 2019'!AH12)</f>
        <v>0</v>
      </c>
      <c r="U17" s="3348">
        <f>SUM('ПОЛНАЯ СЕБЕСТОИМОСТЬ ВОДА 2019'!AO12)</f>
        <v>349.61485574889991</v>
      </c>
      <c r="V17" s="3348">
        <f>SUM('ПОЛНАЯ СЕБЕСТОИМОСТЬ ВОДА 2019'!AP12)</f>
        <v>349.61485574889991</v>
      </c>
      <c r="W17" s="3348">
        <f>SUM('ПОЛНАЯ СЕБЕСТОИМОСТЬ ВОДА 2019'!AQ12)</f>
        <v>0</v>
      </c>
      <c r="X17" s="3348">
        <f>SUM('ПОЛНАЯ СЕБЕСТОИМОСТЬ ВОДА 2019'!BD12)</f>
        <v>1048.8445672466996</v>
      </c>
      <c r="Y17" s="3348">
        <f>SUM('ПОЛНАЯ СЕБЕСТОИМОСТЬ ВОДА 2019'!BE12)</f>
        <v>1048.8445672466996</v>
      </c>
      <c r="Z17" s="3348">
        <f>SUM('ПОЛНАЯ СЕБЕСТОИМОСТЬ ВОДА 2019'!BF12)</f>
        <v>0</v>
      </c>
      <c r="AA17" s="3348">
        <f>SUM('ПОЛНАЯ СЕБЕСТОИМОСТЬ ВОДА 2019'!BM12)</f>
        <v>349.61485574889991</v>
      </c>
      <c r="AB17" s="3348">
        <f>SUM('ПОЛНАЯ СЕБЕСТОИМОСТЬ ВОДА 2019'!BN12)</f>
        <v>349.61485574889991</v>
      </c>
      <c r="AC17" s="3348">
        <f>SUM('ПОЛНАЯ СЕБЕСТОИМОСТЬ ВОДА 2019'!BO12)</f>
        <v>0</v>
      </c>
      <c r="AD17" s="3352">
        <f>SUM('ПОЛНАЯ СЕБЕСТОИМОСТЬ ВОДА 2019'!CB12)</f>
        <v>1398.4594229955997</v>
      </c>
      <c r="AE17" s="3352">
        <f>SUM('ПОЛНАЯ СЕБЕСТОИМОСТЬ ВОДА 2019'!CC12)</f>
        <v>1398.4594229955997</v>
      </c>
      <c r="AF17" s="3361">
        <f>SUM('ПОЛНАЯ СЕБЕСТОИМОСТЬ ВОДА 2019'!CD12)</f>
        <v>0</v>
      </c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  <c r="BG17" s="396"/>
      <c r="BH17" s="396"/>
      <c r="BI17" s="396"/>
    </row>
    <row r="18" spans="1:61" ht="18.75" customHeight="1" x14ac:dyDescent="0.3">
      <c r="A18" s="3365" t="s">
        <v>114</v>
      </c>
      <c r="B18" s="3359"/>
      <c r="C18" s="3359"/>
      <c r="D18" s="3359"/>
      <c r="E18" s="3359"/>
      <c r="F18" s="3359"/>
      <c r="G18" s="3359"/>
      <c r="H18" s="3359"/>
      <c r="I18" s="3359"/>
      <c r="J18" s="3359"/>
      <c r="K18" s="3363" t="s">
        <v>44</v>
      </c>
      <c r="L18" s="3350">
        <f>SUM('ПОЛНАЯ СЕБЕСТОИМОСТЬ ВОДА 2019'!B13)</f>
        <v>0.27632872382703938</v>
      </c>
      <c r="M18" s="3350">
        <f>SUM('ПОЛНАЯ СЕБЕСТОИМОСТЬ ВОДА 2019'!C13)</f>
        <v>0.27642540176472363</v>
      </c>
      <c r="N18" s="3350">
        <f>SUM('ПОЛНАЯ СЕБЕСТОИМОСТЬ ВОДА 2019'!D13)</f>
        <v>0</v>
      </c>
      <c r="O18" s="3350">
        <f>SUM('ПОЛНАЯ СЕБЕСТОИМОСТЬ ВОДА 2019'!Q13)</f>
        <v>0.27632872382703938</v>
      </c>
      <c r="P18" s="3350">
        <f>SUM('ПОЛНАЯ СЕБЕСТОИМОСТЬ ВОДА 2019'!R13)</f>
        <v>0.27642540176472363</v>
      </c>
      <c r="Q18" s="3350">
        <f>SUM('ПОЛНАЯ СЕБЕСТОИМОСТЬ ВОДА 2019'!S13)</f>
        <v>0</v>
      </c>
      <c r="R18" s="3350">
        <f>SUM('ПОЛНАЯ СЕБЕСТОИМОСТЬ ВОДА 2019'!AF13)</f>
        <v>0.27632872382703938</v>
      </c>
      <c r="S18" s="3350">
        <f>SUM('ПОЛНАЯ СЕБЕСТОИМОСТЬ ВОДА 2019'!AG13)</f>
        <v>0.27642540176472363</v>
      </c>
      <c r="T18" s="3350">
        <f>SUM('ПОЛНАЯ СЕБЕСТОИМОСТЬ ВОДА 2019'!AH13)</f>
        <v>0</v>
      </c>
      <c r="U18" s="3350">
        <f>SUM('ПОЛНАЯ СЕБЕСТОИМОСТЬ ВОДА 2019'!AO13)</f>
        <v>0.27632872382703938</v>
      </c>
      <c r="V18" s="3350">
        <f>SUM('ПОЛНАЯ СЕБЕСТОИМОСТЬ ВОДА 2019'!AP13)</f>
        <v>0.27642540176472363</v>
      </c>
      <c r="W18" s="3350">
        <f>SUM('ПОЛНАЯ СЕБЕСТОИМОСТЬ ВОДА 2019'!AQ13)</f>
        <v>0</v>
      </c>
      <c r="X18" s="3350">
        <f>SUM('ПОЛНАЯ СЕБЕСТОИМОСТЬ ВОДА 2019'!BD13)</f>
        <v>0.27632872382703938</v>
      </c>
      <c r="Y18" s="3350">
        <f>SUM('ПОЛНАЯ СЕБЕСТОИМОСТЬ ВОДА 2019'!BE13)</f>
        <v>0.27642540176472363</v>
      </c>
      <c r="Z18" s="3350">
        <f>SUM('ПОЛНАЯ СЕБЕСТОИМОСТЬ ВОДА 2019'!BF13)</f>
        <v>0</v>
      </c>
      <c r="AA18" s="3350">
        <f>SUM('ПОЛНАЯ СЕБЕСТОИМОСТЬ ВОДА 2019'!BM13)</f>
        <v>0.27632872382703938</v>
      </c>
      <c r="AB18" s="3350">
        <f>SUM('ПОЛНАЯ СЕБЕСТОИМОСТЬ ВОДА 2019'!BN13)</f>
        <v>0.27642540176472363</v>
      </c>
      <c r="AC18" s="3350">
        <f>SUM('ПОЛНАЯ СЕБЕСТОИМОСТЬ ВОДА 2019'!BO13)</f>
        <v>0</v>
      </c>
      <c r="AD18" s="3354">
        <f>SUM('ПОЛНАЯ СЕБЕСТОИМОСТЬ ВОДА 2019'!CB13)</f>
        <v>0.27632872382703938</v>
      </c>
      <c r="AE18" s="3354">
        <f>SUM('ПОЛНАЯ СЕБЕСТОИМОСТЬ ВОДА 2019'!CC13)</f>
        <v>0.27642540176472363</v>
      </c>
      <c r="AF18" s="3367">
        <f>SUM('ПОЛНАЯ СЕБЕСТОИМОСТЬ ВОДА 2019'!CD13)</f>
        <v>0</v>
      </c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  <c r="BG18" s="396"/>
      <c r="BH18" s="396"/>
      <c r="BI18" s="396"/>
    </row>
    <row r="19" spans="1:61" ht="18.75" x14ac:dyDescent="0.3">
      <c r="A19" s="3358" t="s">
        <v>3586</v>
      </c>
      <c r="B19" s="3359"/>
      <c r="C19" s="3359"/>
      <c r="D19" s="3359"/>
      <c r="E19" s="3359"/>
      <c r="F19" s="3359"/>
      <c r="G19" s="3359"/>
      <c r="H19" s="3359"/>
      <c r="I19" s="3359"/>
      <c r="J19" s="3359"/>
      <c r="K19" s="3360" t="s">
        <v>3689</v>
      </c>
      <c r="L19" s="3348">
        <f>SUM('ПОЛНАЯ СЕБЕСТОИМОСТЬ ВОДА 2019'!B14)</f>
        <v>915.59873083333332</v>
      </c>
      <c r="M19" s="3348">
        <f>SUM('ПОЛНАЯ СЕБЕСТОИМОСТЬ ВОДА 2019'!C14)</f>
        <v>915.15623083333332</v>
      </c>
      <c r="N19" s="3348">
        <f>SUM('ПОЛНАЯ СЕБЕСТОИМОСТЬ ВОДА 2019'!D14)</f>
        <v>0.4425</v>
      </c>
      <c r="O19" s="3348">
        <f>SUM('ПОЛНАЯ СЕБЕСТОИМОСТЬ ВОДА 2019'!Q14)</f>
        <v>915.59873083333332</v>
      </c>
      <c r="P19" s="3348">
        <f>SUM('ПОЛНАЯ СЕБЕСТОИМОСТЬ ВОДА 2019'!R14)</f>
        <v>915.15623083333332</v>
      </c>
      <c r="Q19" s="3348">
        <f>SUM('ПОЛНАЯ СЕБЕСТОИМОСТЬ ВОДА 2019'!S14)</f>
        <v>0.4425</v>
      </c>
      <c r="R19" s="3348">
        <f>SUM('ПОЛНАЯ СЕБЕСТОИМОСТЬ ВОДА 2019'!AF14)</f>
        <v>1831.1974616666666</v>
      </c>
      <c r="S19" s="3348">
        <f>SUM('ПОЛНАЯ СЕБЕСТОИМОСТЬ ВОДА 2019'!AG14)</f>
        <v>1830.3124616666666</v>
      </c>
      <c r="T19" s="3348">
        <f>SUM('ПОЛНАЯ СЕБЕСТОИМОСТЬ ВОДА 2019'!AH14)</f>
        <v>0.88500000000000001</v>
      </c>
      <c r="U19" s="3348">
        <f>SUM('ПОЛНАЯ СЕБЕСТОИМОСТЬ ВОДА 2019'!AO14)</f>
        <v>915.59873083333332</v>
      </c>
      <c r="V19" s="3348">
        <f>SUM('ПОЛНАЯ СЕБЕСТОИМОСТЬ ВОДА 2019'!AP14)</f>
        <v>915.15623083333332</v>
      </c>
      <c r="W19" s="3348">
        <f>SUM('ПОЛНАЯ СЕБЕСТОИМОСТЬ ВОДА 2019'!AQ14)</f>
        <v>0.4425</v>
      </c>
      <c r="X19" s="3348">
        <f>SUM('ПОЛНАЯ СЕБЕСТОИМОСТЬ ВОДА 2019'!BD14)</f>
        <v>2746.7961924999995</v>
      </c>
      <c r="Y19" s="3348">
        <f>SUM('ПОЛНАЯ СЕБЕСТОИМОСТЬ ВОДА 2019'!BE14)</f>
        <v>2745.4686924999996</v>
      </c>
      <c r="Z19" s="3348">
        <f>SUM('ПОЛНАЯ СЕБЕСТОИМОСТЬ ВОДА 2019'!BF14)</f>
        <v>1.3275000000000001</v>
      </c>
      <c r="AA19" s="3348">
        <f>SUM('ПОЛНАЯ СЕБЕСТОИМОСТЬ ВОДА 2019'!BM14)</f>
        <v>915.59873083333332</v>
      </c>
      <c r="AB19" s="3348">
        <f>SUM('ПОЛНАЯ СЕБЕСТОИМОСТЬ ВОДА 2019'!BN14)</f>
        <v>915.15623083333332</v>
      </c>
      <c r="AC19" s="3348">
        <f>SUM('ПОЛНАЯ СЕБЕСТОИМОСТЬ ВОДА 2019'!BO14)</f>
        <v>0.4425</v>
      </c>
      <c r="AD19" s="3352">
        <f>SUM('ПОЛНАЯ СЕБЕСТОИМОСТЬ ВОДА 2019'!CB14)</f>
        <v>3662.3949233333333</v>
      </c>
      <c r="AE19" s="3352">
        <f>SUM('ПОЛНАЯ СЕБЕСТОИМОСТЬ ВОДА 2019'!CC14)</f>
        <v>3660.6249233333333</v>
      </c>
      <c r="AF19" s="3361">
        <f>SUM('ПОЛНАЯ СЕБЕСТОИМОСТЬ ВОДА 2019'!CD14)</f>
        <v>1.77</v>
      </c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</row>
    <row r="20" spans="1:61" ht="18.75" x14ac:dyDescent="0.3">
      <c r="A20" s="3362" t="s">
        <v>24</v>
      </c>
      <c r="B20" s="3359"/>
      <c r="C20" s="3359"/>
      <c r="D20" s="3359"/>
      <c r="E20" s="3359"/>
      <c r="F20" s="3359"/>
      <c r="G20" s="3359"/>
      <c r="H20" s="3359"/>
      <c r="I20" s="3359"/>
      <c r="J20" s="3359"/>
      <c r="K20" s="3363" t="s">
        <v>3689</v>
      </c>
      <c r="L20" s="3349">
        <f>SUM('ПОЛНАЯ СЕБЕСТОИМОСТЬ ВОДА 2019'!B15)</f>
        <v>615.14333333333332</v>
      </c>
      <c r="M20" s="3349">
        <f>SUM('ПОЛНАЯ СЕБЕСТОИМОСТЬ ВОДА 2019'!C15)</f>
        <v>615.14333333333332</v>
      </c>
      <c r="N20" s="3349">
        <f>SUM('ПОЛНАЯ СЕБЕСТОИМОСТЬ ВОДА 2019'!D15)</f>
        <v>0</v>
      </c>
      <c r="O20" s="3349">
        <f>SUM('ПОЛНАЯ СЕБЕСТОИМОСТЬ ВОДА 2019'!Q15)</f>
        <v>615.14333333333332</v>
      </c>
      <c r="P20" s="3349">
        <f>SUM('ПОЛНАЯ СЕБЕСТОИМОСТЬ ВОДА 2019'!R15)</f>
        <v>615.14333333333332</v>
      </c>
      <c r="Q20" s="3349">
        <f>SUM('ПОЛНАЯ СЕБЕСТОИМОСТЬ ВОДА 2019'!S15)</f>
        <v>0</v>
      </c>
      <c r="R20" s="3349">
        <f>SUM('ПОЛНАЯ СЕБЕСТОИМОСТЬ ВОДА 2019'!AF15)</f>
        <v>1230.2866666666666</v>
      </c>
      <c r="S20" s="3349">
        <f>SUM('ПОЛНАЯ СЕБЕСТОИМОСТЬ ВОДА 2019'!AG15)</f>
        <v>1230.2866666666666</v>
      </c>
      <c r="T20" s="3349">
        <f>SUM('ПОЛНАЯ СЕБЕСТОИМОСТЬ ВОДА 2019'!AH15)</f>
        <v>0</v>
      </c>
      <c r="U20" s="3349">
        <f>SUM('ПОЛНАЯ СЕБЕСТОИМОСТЬ ВОДА 2019'!AO15)</f>
        <v>615.14333333333332</v>
      </c>
      <c r="V20" s="3349">
        <f>SUM('ПОЛНАЯ СЕБЕСТОИМОСТЬ ВОДА 2019'!AP15)</f>
        <v>615.14333333333332</v>
      </c>
      <c r="W20" s="3349">
        <f>SUM('ПОЛНАЯ СЕБЕСТОИМОСТЬ ВОДА 2019'!AQ15)</f>
        <v>0</v>
      </c>
      <c r="X20" s="3349">
        <f>SUM('ПОЛНАЯ СЕБЕСТОИМОСТЬ ВОДА 2019'!BD15)</f>
        <v>1845.4299999999998</v>
      </c>
      <c r="Y20" s="3349">
        <f>SUM('ПОЛНАЯ СЕБЕСТОИМОСТЬ ВОДА 2019'!BE15)</f>
        <v>1845.4299999999998</v>
      </c>
      <c r="Z20" s="3349">
        <f>SUM('ПОЛНАЯ СЕБЕСТОИМОСТЬ ВОДА 2019'!BF15)</f>
        <v>0</v>
      </c>
      <c r="AA20" s="3349">
        <f>SUM('ПОЛНАЯ СЕБЕСТОИМОСТЬ ВОДА 2019'!BM15)</f>
        <v>615.14333333333332</v>
      </c>
      <c r="AB20" s="3349">
        <f>SUM('ПОЛНАЯ СЕБЕСТОИМОСТЬ ВОДА 2019'!BN15)</f>
        <v>615.14333333333332</v>
      </c>
      <c r="AC20" s="3349">
        <f>SUM('ПОЛНАЯ СЕБЕСТОИМОСТЬ ВОДА 2019'!BO15)</f>
        <v>0</v>
      </c>
      <c r="AD20" s="3353">
        <f>SUM('ПОЛНАЯ СЕБЕСТОИМОСТЬ ВОДА 2019'!CB15)</f>
        <v>2460.5733333333333</v>
      </c>
      <c r="AE20" s="3353">
        <f>SUM('ПОЛНАЯ СЕБЕСТОИМОСТЬ ВОДА 2019'!CC15)</f>
        <v>2460.5733333333333</v>
      </c>
      <c r="AF20" s="3364">
        <f>SUM('ПОЛНАЯ СЕБЕСТОИМОСТЬ ВОДА 2019'!CD15)</f>
        <v>0</v>
      </c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  <c r="BG20" s="396"/>
      <c r="BH20" s="396"/>
      <c r="BI20" s="396"/>
    </row>
    <row r="21" spans="1:61" ht="18.75" x14ac:dyDescent="0.3">
      <c r="A21" s="3362" t="s">
        <v>26</v>
      </c>
      <c r="B21" s="3359"/>
      <c r="C21" s="3359"/>
      <c r="D21" s="3359"/>
      <c r="E21" s="3359"/>
      <c r="F21" s="3359"/>
      <c r="G21" s="3359"/>
      <c r="H21" s="3359"/>
      <c r="I21" s="3359"/>
      <c r="J21" s="3359"/>
      <c r="K21" s="3363" t="s">
        <v>3689</v>
      </c>
      <c r="L21" s="3349">
        <f>SUM('ПОЛНАЯ СЕБЕСТОИМОСТЬ ВОДА 2019'!B16)</f>
        <v>224.26249999999999</v>
      </c>
      <c r="M21" s="3349">
        <f>SUM('ПОЛНАЯ СЕБЕСТОИМОСТЬ ВОДА 2019'!C16)</f>
        <v>223.82</v>
      </c>
      <c r="N21" s="3349">
        <f>SUM('ПОЛНАЯ СЕБЕСТОИМОСТЬ ВОДА 2019'!D16)</f>
        <v>0.4425</v>
      </c>
      <c r="O21" s="3349">
        <f>SUM('ПОЛНАЯ СЕБЕСТОИМОСТЬ ВОДА 2019'!Q16)</f>
        <v>224.26249999999999</v>
      </c>
      <c r="P21" s="3349">
        <f>SUM('ПОЛНАЯ СЕБЕСТОИМОСТЬ ВОДА 2019'!R16)</f>
        <v>223.82</v>
      </c>
      <c r="Q21" s="3349">
        <f>SUM('ПОЛНАЯ СЕБЕСТОИМОСТЬ ВОДА 2019'!S16)</f>
        <v>0.4425</v>
      </c>
      <c r="R21" s="3349">
        <f>SUM('ПОЛНАЯ СЕБЕСТОИМОСТЬ ВОДА 2019'!AF16)</f>
        <v>448.52499999999998</v>
      </c>
      <c r="S21" s="3349">
        <f>SUM('ПОЛНАЯ СЕБЕСТОИМОСТЬ ВОДА 2019'!AG16)</f>
        <v>447.64</v>
      </c>
      <c r="T21" s="3349">
        <f>SUM('ПОЛНАЯ СЕБЕСТОИМОСТЬ ВОДА 2019'!AH16)</f>
        <v>0.88500000000000001</v>
      </c>
      <c r="U21" s="3349">
        <f>SUM('ПОЛНАЯ СЕБЕСТОИМОСТЬ ВОДА 2019'!AO16)</f>
        <v>224.26249999999999</v>
      </c>
      <c r="V21" s="3349">
        <f>SUM('ПОЛНАЯ СЕБЕСТОИМОСТЬ ВОДА 2019'!AP16)</f>
        <v>223.82</v>
      </c>
      <c r="W21" s="3349">
        <f>SUM('ПОЛНАЯ СЕБЕСТОИМОСТЬ ВОДА 2019'!AQ16)</f>
        <v>0.4425</v>
      </c>
      <c r="X21" s="3349">
        <f>SUM('ПОЛНАЯ СЕБЕСТОИМОСТЬ ВОДА 2019'!BD16)</f>
        <v>672.78750000000002</v>
      </c>
      <c r="Y21" s="3349">
        <f>SUM('ПОЛНАЯ СЕБЕСТОИМОСТЬ ВОДА 2019'!BE16)</f>
        <v>671.46</v>
      </c>
      <c r="Z21" s="3349">
        <f>SUM('ПОЛНАЯ СЕБЕСТОИМОСТЬ ВОДА 2019'!BF16)</f>
        <v>1.3275000000000001</v>
      </c>
      <c r="AA21" s="3349">
        <f>SUM('ПОЛНАЯ СЕБЕСТОИМОСТЬ ВОДА 2019'!BM16)</f>
        <v>224.26249999999999</v>
      </c>
      <c r="AB21" s="3349">
        <f>SUM('ПОЛНАЯ СЕБЕСТОИМОСТЬ ВОДА 2019'!BN16)</f>
        <v>223.82</v>
      </c>
      <c r="AC21" s="3349">
        <f>SUM('ПОЛНАЯ СЕБЕСТОИМОСТЬ ВОДА 2019'!BO16)</f>
        <v>0.4425</v>
      </c>
      <c r="AD21" s="3353">
        <f>SUM('ПОЛНАЯ СЕБЕСТОИМОСТЬ ВОДА 2019'!CB16)</f>
        <v>897.05</v>
      </c>
      <c r="AE21" s="3353">
        <f>SUM('ПОЛНАЯ СЕБЕСТОИМОСТЬ ВОДА 2019'!CC16)</f>
        <v>895.28</v>
      </c>
      <c r="AF21" s="3364">
        <f>SUM('ПОЛНАЯ СЕБЕСТОИМОСТЬ ВОДА 2019'!CD16)</f>
        <v>1.77</v>
      </c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  <c r="BG21" s="396"/>
      <c r="BH21" s="396"/>
      <c r="BI21" s="396"/>
    </row>
    <row r="22" spans="1:61" ht="18.75" x14ac:dyDescent="0.3">
      <c r="A22" s="3362" t="s">
        <v>3587</v>
      </c>
      <c r="B22" s="3359"/>
      <c r="C22" s="3359"/>
      <c r="D22" s="3359"/>
      <c r="E22" s="3359"/>
      <c r="F22" s="3359"/>
      <c r="G22" s="3359"/>
      <c r="H22" s="3359"/>
      <c r="I22" s="3359"/>
      <c r="J22" s="3359"/>
      <c r="K22" s="3363" t="s">
        <v>3689</v>
      </c>
      <c r="L22" s="3349">
        <f>SUM('ПОЛНАЯ СЕБЕСТОИМОСТЬ ВОДА 2019'!B17)</f>
        <v>76.192897500000001</v>
      </c>
      <c r="M22" s="3349">
        <f>SUM('ПОЛНАЯ СЕБЕСТОИМОСТЬ ВОДА 2019'!C17)</f>
        <v>76.192897500000001</v>
      </c>
      <c r="N22" s="3349">
        <f>SUM('ПОЛНАЯ СЕБЕСТОИМОСТЬ ВОДА 2019'!D17)</f>
        <v>0</v>
      </c>
      <c r="O22" s="3349">
        <f>SUM('ПОЛНАЯ СЕБЕСТОИМОСТЬ ВОДА 2019'!Q17)</f>
        <v>76.192897500000001</v>
      </c>
      <c r="P22" s="3349">
        <f>SUM('ПОЛНАЯ СЕБЕСТОИМОСТЬ ВОДА 2019'!R17)</f>
        <v>76.192897500000001</v>
      </c>
      <c r="Q22" s="3349">
        <f>SUM('ПОЛНАЯ СЕБЕСТОИМОСТЬ ВОДА 2019'!S17)</f>
        <v>0</v>
      </c>
      <c r="R22" s="3349">
        <f>SUM('ПОЛНАЯ СЕБЕСТОИМОСТЬ ВОДА 2019'!AF17)</f>
        <v>152.385795</v>
      </c>
      <c r="S22" s="3349">
        <f>SUM('ПОЛНАЯ СЕБЕСТОИМОСТЬ ВОДА 2019'!AG17)</f>
        <v>152.385795</v>
      </c>
      <c r="T22" s="3349">
        <f>SUM('ПОЛНАЯ СЕБЕСТОИМОСТЬ ВОДА 2019'!AH17)</f>
        <v>0</v>
      </c>
      <c r="U22" s="3349">
        <f>SUM('ПОЛНАЯ СЕБЕСТОИМОСТЬ ВОДА 2019'!AO17)</f>
        <v>76.192897500000001</v>
      </c>
      <c r="V22" s="3349">
        <f>SUM('ПОЛНАЯ СЕБЕСТОИМОСТЬ ВОДА 2019'!AP17)</f>
        <v>76.192897500000001</v>
      </c>
      <c r="W22" s="3349">
        <f>SUM('ПОЛНАЯ СЕБЕСТОИМОСТЬ ВОДА 2019'!AQ17)</f>
        <v>0</v>
      </c>
      <c r="X22" s="3349">
        <f>SUM('ПОЛНАЯ СЕБЕСТОИМОСТЬ ВОДА 2019'!BD17)</f>
        <v>228.57869249999999</v>
      </c>
      <c r="Y22" s="3349">
        <f>SUM('ПОЛНАЯ СЕБЕСТОИМОСТЬ ВОДА 2019'!BE17)</f>
        <v>228.57869249999999</v>
      </c>
      <c r="Z22" s="3349">
        <f>SUM('ПОЛНАЯ СЕБЕСТОИМОСТЬ ВОДА 2019'!BF17)</f>
        <v>0</v>
      </c>
      <c r="AA22" s="3349">
        <f>SUM('ПОЛНАЯ СЕБЕСТОИМОСТЬ ВОДА 2019'!BM17)</f>
        <v>76.192897500000001</v>
      </c>
      <c r="AB22" s="3349">
        <f>SUM('ПОЛНАЯ СЕБЕСТОИМОСТЬ ВОДА 2019'!BN17)</f>
        <v>76.192897500000001</v>
      </c>
      <c r="AC22" s="3349">
        <f>SUM('ПОЛНАЯ СЕБЕСТОИМОСТЬ ВОДА 2019'!BO17)</f>
        <v>0</v>
      </c>
      <c r="AD22" s="3353">
        <f>SUM('ПОЛНАЯ СЕБЕСТОИМОСТЬ ВОДА 2019'!CB17)</f>
        <v>304.77159</v>
      </c>
      <c r="AE22" s="3353">
        <f>SUM('ПОЛНАЯ СЕБЕСТОИМОСТЬ ВОДА 2019'!CC17)</f>
        <v>304.77159</v>
      </c>
      <c r="AF22" s="3364">
        <f>SUM('ПОЛНАЯ СЕБЕСТОИМОСТЬ ВОДА 2019'!CD17)</f>
        <v>0</v>
      </c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  <c r="BG22" s="396"/>
      <c r="BH22" s="396"/>
      <c r="BI22" s="396"/>
    </row>
    <row r="23" spans="1:61" ht="18" customHeight="1" x14ac:dyDescent="0.3">
      <c r="A23" s="3365" t="s">
        <v>650</v>
      </c>
      <c r="B23" s="3359"/>
      <c r="C23" s="3359"/>
      <c r="D23" s="3359"/>
      <c r="E23" s="3359"/>
      <c r="F23" s="3359"/>
      <c r="G23" s="3359"/>
      <c r="H23" s="3359"/>
      <c r="I23" s="3359"/>
      <c r="J23" s="3359"/>
      <c r="K23" s="3363" t="s">
        <v>3689</v>
      </c>
      <c r="L23" s="3351">
        <f>SUM('ПОЛНАЯ СЕБЕСТОИМОСТЬ ВОДА 2019'!B18)</f>
        <v>66.584897499999997</v>
      </c>
      <c r="M23" s="3351">
        <f>SUM('ПОЛНАЯ СЕБЕСТОИМОСТЬ ВОДА 2019'!C18)</f>
        <v>66.584897499999997</v>
      </c>
      <c r="N23" s="3351">
        <f>SUM('ПОЛНАЯ СЕБЕСТОИМОСТЬ ВОДА 2019'!D18)</f>
        <v>0</v>
      </c>
      <c r="O23" s="3351">
        <f>SUM('ПОЛНАЯ СЕБЕСТОИМОСТЬ ВОДА 2019'!Q18)</f>
        <v>66.584897499999997</v>
      </c>
      <c r="P23" s="3351">
        <f>SUM('ПОЛНАЯ СЕБЕСТОИМОСТЬ ВОДА 2019'!R18)</f>
        <v>66.584897499999997</v>
      </c>
      <c r="Q23" s="3351">
        <f>SUM('ПОЛНАЯ СЕБЕСТОИМОСТЬ ВОДА 2019'!S18)</f>
        <v>0</v>
      </c>
      <c r="R23" s="3351">
        <f>SUM('ПОЛНАЯ СЕБЕСТОИМОСТЬ ВОДА 2019'!AF18)</f>
        <v>133.16979499999999</v>
      </c>
      <c r="S23" s="3351">
        <f>SUM('ПОЛНАЯ СЕБЕСТОИМОСТЬ ВОДА 2019'!AG18)</f>
        <v>133.16979499999999</v>
      </c>
      <c r="T23" s="3351">
        <f>SUM('ПОЛНАЯ СЕБЕСТОИМОСТЬ ВОДА 2019'!AH18)</f>
        <v>0</v>
      </c>
      <c r="U23" s="3351">
        <f>SUM('ПОЛНАЯ СЕБЕСТОИМОСТЬ ВОДА 2019'!AO18)</f>
        <v>66.584897499999997</v>
      </c>
      <c r="V23" s="3351">
        <f>SUM('ПОЛНАЯ СЕБЕСТОИМОСТЬ ВОДА 2019'!AP18)</f>
        <v>66.584897499999997</v>
      </c>
      <c r="W23" s="3351">
        <f>SUM('ПОЛНАЯ СЕБЕСТОИМОСТЬ ВОДА 2019'!AQ18)</f>
        <v>0</v>
      </c>
      <c r="X23" s="3351">
        <f>SUM('ПОЛНАЯ СЕБЕСТОИМОСТЬ ВОДА 2019'!BD18)</f>
        <v>199.75469249999998</v>
      </c>
      <c r="Y23" s="3351">
        <f>SUM('ПОЛНАЯ СЕБЕСТОИМОСТЬ ВОДА 2019'!BE18)</f>
        <v>199.75469249999998</v>
      </c>
      <c r="Z23" s="3351">
        <f>SUM('ПОЛНАЯ СЕБЕСТОИМОСТЬ ВОДА 2019'!BF18)</f>
        <v>0</v>
      </c>
      <c r="AA23" s="3351">
        <f>SUM('ПОЛНАЯ СЕБЕСТОИМОСТЬ ВОДА 2019'!BM18)</f>
        <v>66.584897499999997</v>
      </c>
      <c r="AB23" s="3351">
        <f>SUM('ПОЛНАЯ СЕБЕСТОИМОСТЬ ВОДА 2019'!BN18)</f>
        <v>66.584897499999997</v>
      </c>
      <c r="AC23" s="3351">
        <f>SUM('ПОЛНАЯ СЕБЕСТОИМОСТЬ ВОДА 2019'!BO18)</f>
        <v>0</v>
      </c>
      <c r="AD23" s="3355">
        <f>SUM('ПОЛНАЯ СЕБЕСТОИМОСТЬ ВОДА 2019'!CB18)</f>
        <v>266.33958999999999</v>
      </c>
      <c r="AE23" s="3355">
        <f>SUM('ПОЛНАЯ СЕБЕСТОИМОСТЬ ВОДА 2019'!CC18)</f>
        <v>266.33958999999999</v>
      </c>
      <c r="AF23" s="3366">
        <f>SUM('ПОЛНАЯ СЕБЕСТОИМОСТЬ ВОДА 2019'!CD18)</f>
        <v>0</v>
      </c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  <c r="BG23" s="396"/>
      <c r="BH23" s="396"/>
      <c r="BI23" s="396"/>
    </row>
    <row r="24" spans="1:61" ht="18.75" x14ac:dyDescent="0.3">
      <c r="A24" s="3365" t="s">
        <v>651</v>
      </c>
      <c r="B24" s="3359"/>
      <c r="C24" s="3359"/>
      <c r="D24" s="3359"/>
      <c r="E24" s="3359"/>
      <c r="F24" s="3359"/>
      <c r="G24" s="3359"/>
      <c r="H24" s="3359"/>
      <c r="I24" s="3359"/>
      <c r="J24" s="3359"/>
      <c r="K24" s="3363" t="s">
        <v>3689</v>
      </c>
      <c r="L24" s="3351">
        <f>SUM('ПОЛНАЯ СЕБЕСТОИМОСТЬ ВОДА 2019'!B19)</f>
        <v>9.6080000000000005</v>
      </c>
      <c r="M24" s="3351">
        <f>SUM('ПОЛНАЯ СЕБЕСТОИМОСТЬ ВОДА 2019'!C19)</f>
        <v>9.6080000000000005</v>
      </c>
      <c r="N24" s="3351">
        <f>SUM('ПОЛНАЯ СЕБЕСТОИМОСТЬ ВОДА 2019'!D19)</f>
        <v>0</v>
      </c>
      <c r="O24" s="3351">
        <f>SUM('ПОЛНАЯ СЕБЕСТОИМОСТЬ ВОДА 2019'!Q19)</f>
        <v>9.6080000000000005</v>
      </c>
      <c r="P24" s="3351">
        <f>SUM('ПОЛНАЯ СЕБЕСТОИМОСТЬ ВОДА 2019'!R19)</f>
        <v>9.6080000000000005</v>
      </c>
      <c r="Q24" s="3351">
        <f>SUM('ПОЛНАЯ СЕБЕСТОИМОСТЬ ВОДА 2019'!S19)</f>
        <v>0</v>
      </c>
      <c r="R24" s="3351">
        <f>SUM('ПОЛНАЯ СЕБЕСТОИМОСТЬ ВОДА 2019'!AF19)</f>
        <v>19.216000000000001</v>
      </c>
      <c r="S24" s="3351">
        <f>SUM('ПОЛНАЯ СЕБЕСТОИМОСТЬ ВОДА 2019'!AG19)</f>
        <v>19.216000000000001</v>
      </c>
      <c r="T24" s="3351">
        <f>SUM('ПОЛНАЯ СЕБЕСТОИМОСТЬ ВОДА 2019'!AH19)</f>
        <v>0</v>
      </c>
      <c r="U24" s="3351">
        <f>SUM('ПОЛНАЯ СЕБЕСТОИМОСТЬ ВОДА 2019'!AO19)</f>
        <v>9.6080000000000005</v>
      </c>
      <c r="V24" s="3351">
        <f>SUM('ПОЛНАЯ СЕБЕСТОИМОСТЬ ВОДА 2019'!AP19)</f>
        <v>9.6080000000000005</v>
      </c>
      <c r="W24" s="3351">
        <f>SUM('ПОЛНАЯ СЕБЕСТОИМОСТЬ ВОДА 2019'!AQ19)</f>
        <v>0</v>
      </c>
      <c r="X24" s="3351">
        <f>SUM('ПОЛНАЯ СЕБЕСТОИМОСТЬ ВОДА 2019'!BD19)</f>
        <v>28.824000000000002</v>
      </c>
      <c r="Y24" s="3351">
        <f>SUM('ПОЛНАЯ СЕБЕСТОИМОСТЬ ВОДА 2019'!BE19)</f>
        <v>28.824000000000002</v>
      </c>
      <c r="Z24" s="3351">
        <f>SUM('ПОЛНАЯ СЕБЕСТОИМОСТЬ ВОДА 2019'!BF19)</f>
        <v>0</v>
      </c>
      <c r="AA24" s="3351">
        <f>SUM('ПОЛНАЯ СЕБЕСТОИМОСТЬ ВОДА 2019'!BM19)</f>
        <v>9.6080000000000005</v>
      </c>
      <c r="AB24" s="3351">
        <f>SUM('ПОЛНАЯ СЕБЕСТОИМОСТЬ ВОДА 2019'!BN19)</f>
        <v>9.6080000000000005</v>
      </c>
      <c r="AC24" s="3351">
        <f>SUM('ПОЛНАЯ СЕБЕСТОИМОСТЬ ВОДА 2019'!BO19)</f>
        <v>0</v>
      </c>
      <c r="AD24" s="3355">
        <f>SUM('ПОЛНАЯ СЕБЕСТОИМОСТЬ ВОДА 2019'!CB19)</f>
        <v>38.432000000000002</v>
      </c>
      <c r="AE24" s="3355">
        <f>SUM('ПОЛНАЯ СЕБЕСТОИМОСТЬ ВОДА 2019'!CC19)</f>
        <v>38.432000000000002</v>
      </c>
      <c r="AF24" s="3366">
        <f>SUM('ПОЛНАЯ СЕБЕСТОИМОСТЬ ВОДА 2019'!CD19)</f>
        <v>0</v>
      </c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</row>
    <row r="25" spans="1:61" ht="18.75" x14ac:dyDescent="0.3">
      <c r="A25" s="3614" t="s">
        <v>3672</v>
      </c>
      <c r="B25" s="3615"/>
      <c r="C25" s="3615"/>
      <c r="D25" s="3615"/>
      <c r="E25" s="3615"/>
      <c r="F25" s="3615"/>
      <c r="G25" s="3615"/>
      <c r="H25" s="3615"/>
      <c r="I25" s="3615"/>
      <c r="J25" s="3615"/>
      <c r="K25" s="3616"/>
      <c r="L25" s="3616"/>
      <c r="M25" s="3616"/>
      <c r="N25" s="3616"/>
      <c r="O25" s="3616"/>
      <c r="P25" s="3616"/>
      <c r="Q25" s="3616"/>
      <c r="R25" s="3616"/>
      <c r="S25" s="3616"/>
      <c r="T25" s="3616"/>
      <c r="U25" s="3616"/>
      <c r="V25" s="3616"/>
      <c r="W25" s="3616"/>
      <c r="X25" s="3616"/>
      <c r="Y25" s="3616"/>
      <c r="Z25" s="3616"/>
      <c r="AA25" s="3616"/>
      <c r="AB25" s="3617"/>
      <c r="AC25" s="3617"/>
      <c r="AD25" s="3617"/>
      <c r="AE25" s="3617"/>
      <c r="AF25" s="3618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  <c r="BH25" s="396"/>
      <c r="BI25" s="396"/>
    </row>
    <row r="26" spans="1:61" ht="18.75" customHeight="1" x14ac:dyDescent="0.3">
      <c r="A26" s="3612" t="s">
        <v>536</v>
      </c>
      <c r="B26" s="3356"/>
      <c r="C26" s="3356"/>
      <c r="D26" s="3356"/>
      <c r="E26" s="3356"/>
      <c r="F26" s="3356"/>
      <c r="G26" s="3356"/>
      <c r="H26" s="3356"/>
      <c r="I26" s="3356"/>
      <c r="J26" s="3356"/>
      <c r="K26" s="3605" t="s">
        <v>3687</v>
      </c>
      <c r="L26" s="3606" t="s">
        <v>596</v>
      </c>
      <c r="M26" s="3607"/>
      <c r="N26" s="3608"/>
      <c r="O26" s="3606" t="s">
        <v>595</v>
      </c>
      <c r="P26" s="3607"/>
      <c r="Q26" s="3608"/>
      <c r="R26" s="3606" t="s">
        <v>594</v>
      </c>
      <c r="S26" s="3607"/>
      <c r="T26" s="3608"/>
      <c r="U26" s="3606" t="s">
        <v>222</v>
      </c>
      <c r="V26" s="3607"/>
      <c r="W26" s="3608"/>
      <c r="X26" s="3606" t="s">
        <v>226</v>
      </c>
      <c r="Y26" s="3607"/>
      <c r="Z26" s="3608"/>
      <c r="AA26" s="3606" t="s">
        <v>3688</v>
      </c>
      <c r="AB26" s="3607"/>
      <c r="AC26" s="3608"/>
      <c r="AD26" s="3606" t="s">
        <v>1819</v>
      </c>
      <c r="AE26" s="3607"/>
      <c r="AF26" s="3619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</row>
    <row r="27" spans="1:61" ht="18.75" x14ac:dyDescent="0.3">
      <c r="A27" s="3613"/>
      <c r="B27" s="3356"/>
      <c r="C27" s="3356"/>
      <c r="D27" s="3356"/>
      <c r="E27" s="3356"/>
      <c r="F27" s="3356"/>
      <c r="G27" s="3356"/>
      <c r="H27" s="3356"/>
      <c r="I27" s="3356"/>
      <c r="J27" s="3356"/>
      <c r="K27" s="3605"/>
      <c r="L27" s="3347" t="s">
        <v>627</v>
      </c>
      <c r="M27" s="3347" t="s">
        <v>3625</v>
      </c>
      <c r="N27" s="3347" t="s">
        <v>3626</v>
      </c>
      <c r="O27" s="3347" t="s">
        <v>627</v>
      </c>
      <c r="P27" s="3347" t="s">
        <v>3625</v>
      </c>
      <c r="Q27" s="3347" t="s">
        <v>3626</v>
      </c>
      <c r="R27" s="3347" t="s">
        <v>627</v>
      </c>
      <c r="S27" s="3347" t="s">
        <v>3625</v>
      </c>
      <c r="T27" s="3347" t="s">
        <v>3626</v>
      </c>
      <c r="U27" s="3347" t="s">
        <v>627</v>
      </c>
      <c r="V27" s="3347" t="s">
        <v>3625</v>
      </c>
      <c r="W27" s="3347" t="s">
        <v>3626</v>
      </c>
      <c r="X27" s="3347" t="s">
        <v>627</v>
      </c>
      <c r="Y27" s="3347" t="s">
        <v>3625</v>
      </c>
      <c r="Z27" s="3347" t="s">
        <v>3626</v>
      </c>
      <c r="AA27" s="3347" t="s">
        <v>627</v>
      </c>
      <c r="AB27" s="3347" t="s">
        <v>3625</v>
      </c>
      <c r="AC27" s="3347" t="s">
        <v>3626</v>
      </c>
      <c r="AD27" s="3347" t="s">
        <v>627</v>
      </c>
      <c r="AE27" s="3347" t="s">
        <v>3625</v>
      </c>
      <c r="AF27" s="3357" t="s">
        <v>3626</v>
      </c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</row>
    <row r="28" spans="1:61" ht="18.75" x14ac:dyDescent="0.3">
      <c r="A28" s="3372" t="s">
        <v>1</v>
      </c>
      <c r="B28" s="3359"/>
      <c r="C28" s="3359"/>
      <c r="D28" s="3359"/>
      <c r="E28" s="3359"/>
      <c r="F28" s="3359"/>
      <c r="G28" s="3359"/>
      <c r="H28" s="3359"/>
      <c r="I28" s="3359"/>
      <c r="J28" s="3359"/>
      <c r="K28" s="3363" t="s">
        <v>915</v>
      </c>
      <c r="L28" s="3349">
        <f>SUM('ФАКТ. СЕБЕСТ ВОДА 9 мес. 2019'!AC41)</f>
        <v>3246.0130988278997</v>
      </c>
      <c r="M28" s="3349">
        <f>SUM('ФАКТ. СЕБЕСТ ВОДА 9 мес. 2019'!AD41)</f>
        <v>3245.7172320236259</v>
      </c>
      <c r="N28" s="3349">
        <f>SUM('ФАКТ. СЕБЕСТ ВОДА 9 мес. 2019'!AE41)</f>
        <v>0.29586680427391931</v>
      </c>
      <c r="O28" s="3349">
        <f>SUM('ФАКТ. СЕБЕСТ ВОДА 9 мес. 2019'!BP41)</f>
        <v>3246.0130988278997</v>
      </c>
      <c r="P28" s="3349">
        <f>SUM('ФАКТ. СЕБЕСТ ВОДА 9 мес. 2019'!BQ41)</f>
        <v>3245.7172320236259</v>
      </c>
      <c r="Q28" s="3349">
        <f>SUM('ФАКТ. СЕБЕСТ ВОДА 9 мес. 2019'!BR41)</f>
        <v>0.29586680427391931</v>
      </c>
      <c r="R28" s="3349">
        <f>SUM('ФАКТ. СЕБЕСТ ВОДА 9 мес. 2019'!CB41)</f>
        <v>6492.0261976557995</v>
      </c>
      <c r="S28" s="3349">
        <f>SUM('ФАКТ. СЕБЕСТ ВОДА 9 мес. 2019'!CC41)</f>
        <v>6491.4344640472518</v>
      </c>
      <c r="T28" s="3349">
        <f>SUM('ФАКТ. СЕБЕСТ ВОДА 9 мес. 2019'!CD41)</f>
        <v>0.59173360854783863</v>
      </c>
      <c r="U28" s="3349">
        <f>SUM('ФАКТ. СЕБЕСТ ВОДА 9 мес. 2019'!DO41)</f>
        <v>3418.2368629087455</v>
      </c>
      <c r="V28" s="3349">
        <f>SUM('ФАКТ. СЕБЕСТ ВОДА 9 мес. 2019'!DP41)</f>
        <v>3417.9235399630193</v>
      </c>
      <c r="W28" s="3349">
        <f>SUM('ФАКТ. СЕБЕСТ ВОДА 9 мес. 2019'!DQ41)</f>
        <v>0.31332294572608066</v>
      </c>
      <c r="X28" s="3349">
        <f>SUM('ФАКТ. СЕБЕСТ ВОДА 9 мес. 2019'!EA41)</f>
        <v>9910.2630605645445</v>
      </c>
      <c r="Y28" s="3349">
        <f>SUM('ФАКТ. СЕБЕСТ ВОДА 9 мес. 2019'!EB41)</f>
        <v>9909.3580040102715</v>
      </c>
      <c r="Z28" s="3349">
        <f>SUM('ФАКТ. СЕБЕСТ ВОДА 9 мес. 2019'!EC41)</f>
        <v>0.90505655427391929</v>
      </c>
      <c r="AA28" s="3349">
        <f>SUM('ФАКТ. СЕБЕСТ ВОДА 9 мес. 2019'!FN41)</f>
        <v>3418.2368629087455</v>
      </c>
      <c r="AB28" s="3349">
        <f>SUM('ФАКТ. СЕБЕСТ ВОДА 9 мес. 2019'!FO41)</f>
        <v>3417.9235399630193</v>
      </c>
      <c r="AC28" s="3349">
        <f>SUM('ФАКТ. СЕБЕСТ ВОДА 9 мес. 2019'!FP41)</f>
        <v>0.31332294572608066</v>
      </c>
      <c r="AD28" s="3353">
        <f>SUM('ФАКТ. СЕБЕСТ ВОДА 9 мес. 2019'!FZ41)</f>
        <v>13328.49992347329</v>
      </c>
      <c r="AE28" s="3353">
        <f>SUM('ФАКТ. СЕБЕСТ ВОДА 9 мес. 2019'!GA41)</f>
        <v>13327.281543973291</v>
      </c>
      <c r="AF28" s="3364">
        <f>SUM('ФАКТ. СЕБЕСТ ВОДА 9 мес. 2019'!GB41)</f>
        <v>1.2183794999999999</v>
      </c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</row>
    <row r="29" spans="1:61" ht="18.75" x14ac:dyDescent="0.3">
      <c r="A29" s="3372" t="s">
        <v>2</v>
      </c>
      <c r="B29" s="3359"/>
      <c r="C29" s="3359"/>
      <c r="D29" s="3359"/>
      <c r="E29" s="3359"/>
      <c r="F29" s="3359"/>
      <c r="G29" s="3359"/>
      <c r="H29" s="3359"/>
      <c r="I29" s="3359"/>
      <c r="J29" s="3359"/>
      <c r="K29" s="3363" t="s">
        <v>915</v>
      </c>
      <c r="L29" s="3349">
        <f>SUM('ФАКТ. СЕБЕСТ ВОДА 9 мес. 2019'!AC42)</f>
        <v>2496.0949999999998</v>
      </c>
      <c r="M29" s="3349">
        <f>SUM('ФАКТ. СЕБЕСТ ВОДА 9 мес. 2019'!AD42)</f>
        <v>2495.6541196174085</v>
      </c>
      <c r="N29" s="3349">
        <f>SUM('ФАКТ. СЕБЕСТ ВОДА 9 мес. 2019'!AE42)</f>
        <v>0.44088038259139972</v>
      </c>
      <c r="O29" s="3349">
        <f>SUM('ФАКТ. СЕБЕСТ ВОДА 9 мес. 2019'!BP42)</f>
        <v>2496.0949999999998</v>
      </c>
      <c r="P29" s="3349">
        <f>SUM('ФАКТ. СЕБЕСТ ВОДА 9 мес. 2019'!BQ42)</f>
        <v>2495.6541196174085</v>
      </c>
      <c r="Q29" s="3349">
        <f>SUM('ФАКТ. СЕБЕСТ ВОДА 9 мес. 2019'!BR42)</f>
        <v>0.44088038259139972</v>
      </c>
      <c r="R29" s="3349">
        <f>SUM('ФАКТ. СЕБЕСТ ВОДА 9 мес. 2019'!CB42)</f>
        <v>4992.1899999999996</v>
      </c>
      <c r="S29" s="3349">
        <f>SUM('ФАКТ. СЕБЕСТ ВОДА 9 мес. 2019'!CC42)</f>
        <v>4991.3082392348169</v>
      </c>
      <c r="T29" s="3349">
        <f>SUM('ФАКТ. СЕБЕСТ ВОДА 9 мес. 2019'!CD42)</f>
        <v>0.88176076518279944</v>
      </c>
      <c r="U29" s="3349">
        <f>SUM('ФАКТ. СЕБЕСТ ВОДА 9 мес. 2019'!DO42)</f>
        <v>2496.0949999999998</v>
      </c>
      <c r="V29" s="3349">
        <f>SUM('ФАКТ. СЕБЕСТ ВОДА 9 мес. 2019'!DP42)</f>
        <v>2495.6541196174085</v>
      </c>
      <c r="W29" s="3349">
        <f>SUM('ФАКТ. СЕБЕСТ ВОДА 9 мес. 2019'!DQ42)</f>
        <v>0.44088038259139972</v>
      </c>
      <c r="X29" s="3349">
        <f>SUM('ФАКТ. СЕБЕСТ ВОДА 9 мес. 2019'!EA42)</f>
        <v>7488.2849999999999</v>
      </c>
      <c r="Y29" s="3349">
        <f>SUM('ФАКТ. СЕБЕСТ ВОДА 9 мес. 2019'!EB42)</f>
        <v>7486.9623588522254</v>
      </c>
      <c r="Z29" s="3349">
        <f>SUM('ФАКТ. СЕБЕСТ ВОДА 9 мес. 2019'!EC42)</f>
        <v>1.3226411477741991</v>
      </c>
      <c r="AA29" s="3349">
        <f>SUM('ФАКТ. СЕБЕСТ ВОДА 9 мес. 2019'!FN42)</f>
        <v>2496.0949999999998</v>
      </c>
      <c r="AB29" s="3349">
        <f>SUM('ФАКТ. СЕБЕСТ ВОДА 9 мес. 2019'!FO42)</f>
        <v>2495.6541196174085</v>
      </c>
      <c r="AC29" s="3349">
        <f>SUM('ФАКТ. СЕБЕСТ ВОДА 9 мес. 2019'!FP42)</f>
        <v>0.44088038259139972</v>
      </c>
      <c r="AD29" s="3353">
        <f>SUM('ФАКТ. СЕБЕСТ ВОДА 9 мес. 2019'!FZ42)</f>
        <v>9984.3799999999992</v>
      </c>
      <c r="AE29" s="3353">
        <f>SUM('ФАКТ. СЕБЕСТ ВОДА 9 мес. 2019'!GA42)</f>
        <v>9982.6164784696339</v>
      </c>
      <c r="AF29" s="3364">
        <f>SUM('ФАКТ. СЕБЕСТ ВОДА 9 мес. 2019'!GB42)</f>
        <v>1.7635215303655989</v>
      </c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</row>
    <row r="30" spans="1:61" ht="18.75" x14ac:dyDescent="0.3">
      <c r="A30" s="3372" t="s">
        <v>216</v>
      </c>
      <c r="B30" s="3359"/>
      <c r="C30" s="3359"/>
      <c r="D30" s="3359"/>
      <c r="E30" s="3359"/>
      <c r="F30" s="3359"/>
      <c r="G30" s="3359"/>
      <c r="H30" s="3359"/>
      <c r="I30" s="3359"/>
      <c r="J30" s="3359"/>
      <c r="K30" s="3363" t="s">
        <v>915</v>
      </c>
      <c r="L30" s="3349">
        <f>SUM('ФАКТ. СЕБЕСТ ВОДА 9 мес. 2019'!AC43)</f>
        <v>0</v>
      </c>
      <c r="M30" s="3349">
        <f>SUM('ФАКТ. СЕБЕСТ ВОДА 9 мес. 2019'!AD43)</f>
        <v>0</v>
      </c>
      <c r="N30" s="3349">
        <f>SUM('ФАКТ. СЕБЕСТ ВОДА 9 мес. 2019'!AE43)</f>
        <v>0</v>
      </c>
      <c r="O30" s="3349">
        <f>SUM('ФАКТ. СЕБЕСТ ВОДА 9 мес. 2019'!BP43)</f>
        <v>0</v>
      </c>
      <c r="P30" s="3349">
        <f>SUM('ФАКТ. СЕБЕСТ ВОДА 9 мес. 2019'!BQ43)</f>
        <v>0</v>
      </c>
      <c r="Q30" s="3349">
        <f>SUM('ФАКТ. СЕБЕСТ ВОДА 9 мес. 2019'!BR43)</f>
        <v>0</v>
      </c>
      <c r="R30" s="3349">
        <f>SUM('ФАКТ. СЕБЕСТ ВОДА 9 мес. 2019'!CB43)</f>
        <v>0</v>
      </c>
      <c r="S30" s="3349">
        <f>SUM('ФАКТ. СЕБЕСТ ВОДА 9 мес. 2019'!CC43)</f>
        <v>0</v>
      </c>
      <c r="T30" s="3349">
        <f>SUM('ФАКТ. СЕБЕСТ ВОДА 9 мес. 2019'!CD43)</f>
        <v>0</v>
      </c>
      <c r="U30" s="3349">
        <f>SUM('ФАКТ. СЕБЕСТ ВОДА 9 мес. 2019'!DO43)</f>
        <v>0</v>
      </c>
      <c r="V30" s="3349">
        <f>SUM('ФАКТ. СЕБЕСТ ВОДА 9 мес. 2019'!DP43)</f>
        <v>0</v>
      </c>
      <c r="W30" s="3349">
        <f>SUM('ФАКТ. СЕБЕСТ ВОДА 9 мес. 2019'!DQ43)</f>
        <v>0</v>
      </c>
      <c r="X30" s="3349">
        <f>SUM('ФАКТ. СЕБЕСТ ВОДА 9 мес. 2019'!EA43)</f>
        <v>0</v>
      </c>
      <c r="Y30" s="3349">
        <f>SUM('ФАКТ. СЕБЕСТ ВОДА 9 мес. 2019'!EB43)</f>
        <v>0</v>
      </c>
      <c r="Z30" s="3349">
        <f>SUM('ФАКТ. СЕБЕСТ ВОДА 9 мес. 2019'!EC43)</f>
        <v>0</v>
      </c>
      <c r="AA30" s="3349">
        <f>SUM('ФАКТ. СЕБЕСТ ВОДА 9 мес. 2019'!FN43)</f>
        <v>0</v>
      </c>
      <c r="AB30" s="3349">
        <f>SUM('ФАКТ. СЕБЕСТ ВОДА 9 мес. 2019'!FO43)</f>
        <v>0</v>
      </c>
      <c r="AC30" s="3349">
        <f>SUM('ФАКТ. СЕБЕСТ ВОДА 9 мес. 2019'!FP43)</f>
        <v>0</v>
      </c>
      <c r="AD30" s="3353">
        <f>SUM('ФАКТ. СЕБЕСТ ВОДА 9 мес. 2019'!FZ43)</f>
        <v>0</v>
      </c>
      <c r="AE30" s="3353">
        <f>SUM('ФАКТ. СЕБЕСТ ВОДА 9 мес. 2019'!GA43)</f>
        <v>0</v>
      </c>
      <c r="AF30" s="3364">
        <f>SUM('ФАКТ. СЕБЕСТ ВОДА 9 мес. 2019'!GB43)</f>
        <v>0</v>
      </c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</row>
    <row r="31" spans="1:61" ht="18.75" x14ac:dyDescent="0.3">
      <c r="A31" s="3372" t="s">
        <v>3</v>
      </c>
      <c r="B31" s="3359"/>
      <c r="C31" s="3359"/>
      <c r="D31" s="3359"/>
      <c r="E31" s="3359"/>
      <c r="F31" s="3359"/>
      <c r="G31" s="3359"/>
      <c r="H31" s="3359"/>
      <c r="I31" s="3359"/>
      <c r="J31" s="3359"/>
      <c r="K31" s="3363" t="s">
        <v>915</v>
      </c>
      <c r="L31" s="3349">
        <f>SUM('ФАКТ. СЕБЕСТ ВОДА 9 мес. 2019'!AC44)</f>
        <v>408.02308250000004</v>
      </c>
      <c r="M31" s="3349">
        <f>SUM('ФАКТ. СЕБЕСТ ВОДА 9 мес. 2019'!AD44)</f>
        <v>407.89627119883039</v>
      </c>
      <c r="N31" s="3349">
        <f>SUM('ФАКТ. СЕБЕСТ ВОДА 9 мес. 2019'!AE44)</f>
        <v>0.1268113011696444</v>
      </c>
      <c r="O31" s="3349">
        <f>SUM('ФАКТ. СЕБЕСТ ВОДА 9 мес. 2019'!BP44)</f>
        <v>408.02308250000004</v>
      </c>
      <c r="P31" s="3349">
        <f>SUM('ФАКТ. СЕБЕСТ ВОДА 9 мес. 2019'!BQ44)</f>
        <v>407.89627119883039</v>
      </c>
      <c r="Q31" s="3349">
        <f>SUM('ФАКТ. СЕБЕСТ ВОДА 9 мес. 2019'!BR44)</f>
        <v>0.1268113011696444</v>
      </c>
      <c r="R31" s="3349">
        <f>SUM('ФАКТ. СЕБЕСТ ВОДА 9 мес. 2019'!CB44)</f>
        <v>816.04616500000009</v>
      </c>
      <c r="S31" s="3349">
        <f>SUM('ФАКТ. СЕБЕСТ ВОДА 9 мес. 2019'!CC44)</f>
        <v>815.79254239766078</v>
      </c>
      <c r="T31" s="3349">
        <f>SUM('ФАКТ. СЕБЕСТ ВОДА 9 мес. 2019'!CD44)</f>
        <v>0.25362260233928879</v>
      </c>
      <c r="U31" s="3349">
        <f>SUM('ФАКТ. СЕБЕСТ ВОДА 9 мес. 2019'!DO44)</f>
        <v>408.02308250000004</v>
      </c>
      <c r="V31" s="3349">
        <f>SUM('ФАКТ. СЕБЕСТ ВОДА 9 мес. 2019'!DP44)</f>
        <v>407.89627119883039</v>
      </c>
      <c r="W31" s="3349">
        <f>SUM('ФАКТ. СЕБЕСТ ВОДА 9 мес. 2019'!DQ44)</f>
        <v>0.1268113011696444</v>
      </c>
      <c r="X31" s="3349">
        <f>SUM('ФАКТ. СЕБЕСТ ВОДА 9 мес. 2019'!EA44)</f>
        <v>1224.0692475000001</v>
      </c>
      <c r="Y31" s="3349">
        <f>SUM('ФАКТ. СЕБЕСТ ВОДА 9 мес. 2019'!EB44)</f>
        <v>1223.6888135964912</v>
      </c>
      <c r="Z31" s="3349">
        <f>SUM('ФАКТ. СЕБЕСТ ВОДА 9 мес. 2019'!EC44)</f>
        <v>0.38043390350893319</v>
      </c>
      <c r="AA31" s="3349">
        <f>SUM('ФАКТ. СЕБЕСТ ВОДА 9 мес. 2019'!FN44)</f>
        <v>408.02308250000004</v>
      </c>
      <c r="AB31" s="3349">
        <f>SUM('ФАКТ. СЕБЕСТ ВОДА 9 мес. 2019'!FO44)</f>
        <v>407.89627119883039</v>
      </c>
      <c r="AC31" s="3349">
        <f>SUM('ФАКТ. СЕБЕСТ ВОДА 9 мес. 2019'!FP44)</f>
        <v>0.1268113011696444</v>
      </c>
      <c r="AD31" s="3353">
        <f>SUM('ФАКТ. СЕБЕСТ ВОДА 9 мес. 2019'!FZ44)</f>
        <v>1632.0923300000002</v>
      </c>
      <c r="AE31" s="3353">
        <f>SUM('ФАКТ. СЕБЕСТ ВОДА 9 мес. 2019'!GA44)</f>
        <v>1631.5850847953216</v>
      </c>
      <c r="AF31" s="3364">
        <f>SUM('ФАКТ. СЕБЕСТ ВОДА 9 мес. 2019'!GB44)</f>
        <v>0.50724520467857759</v>
      </c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</row>
    <row r="32" spans="1:61" ht="18.75" x14ac:dyDescent="0.3">
      <c r="A32" s="3372" t="s">
        <v>8</v>
      </c>
      <c r="B32" s="3359"/>
      <c r="C32" s="3359"/>
      <c r="D32" s="3359"/>
      <c r="E32" s="3359"/>
      <c r="F32" s="3359"/>
      <c r="G32" s="3359"/>
      <c r="H32" s="3359"/>
      <c r="I32" s="3359"/>
      <c r="J32" s="3359"/>
      <c r="K32" s="3363" t="s">
        <v>915</v>
      </c>
      <c r="L32" s="3349">
        <f>SUM('ФАКТ. СЕБЕСТ ВОДА 9 мес. 2019'!AC45)</f>
        <v>2995.4580714390409</v>
      </c>
      <c r="M32" s="3349">
        <f>SUM('ФАКТ. СЕБЕСТ ВОДА 9 мес. 2019'!AD45)</f>
        <v>2995.4580714390409</v>
      </c>
      <c r="N32" s="3349">
        <f>SUM('ФАКТ. СЕБЕСТ ВОДА 9 мес. 2019'!AE45)</f>
        <v>0</v>
      </c>
      <c r="O32" s="3349">
        <f>SUM('ФАКТ. СЕБЕСТ ВОДА 9 мес. 2019'!BP45)</f>
        <v>2995.4580714390409</v>
      </c>
      <c r="P32" s="3349">
        <f>SUM('ФАКТ. СЕБЕСТ ВОДА 9 мес. 2019'!BQ45)</f>
        <v>2995.4580714390409</v>
      </c>
      <c r="Q32" s="3349">
        <f>SUM('ФАКТ. СЕБЕСТ ВОДА 9 мес. 2019'!BR45)</f>
        <v>0</v>
      </c>
      <c r="R32" s="3349">
        <f>SUM('ФАКТ. СЕБЕСТ ВОДА 9 мес. 2019'!CB45)</f>
        <v>5990.9161428780817</v>
      </c>
      <c r="S32" s="3349">
        <f>SUM('ФАКТ. СЕБЕСТ ВОДА 9 мес. 2019'!CC45)</f>
        <v>5990.9161428780817</v>
      </c>
      <c r="T32" s="3349">
        <f>SUM('ФАКТ. СЕБЕСТ ВОДА 9 мес. 2019'!CD45)</f>
        <v>0</v>
      </c>
      <c r="U32" s="3349">
        <f>SUM('ФАКТ. СЕБЕСТ ВОДА 9 мес. 2019'!DO45)</f>
        <v>2995.4580714390409</v>
      </c>
      <c r="V32" s="3349">
        <f>SUM('ФАКТ. СЕБЕСТ ВОДА 9 мес. 2019'!DP45)</f>
        <v>2995.4580714390409</v>
      </c>
      <c r="W32" s="3349">
        <f>SUM('ФАКТ. СЕБЕСТ ВОДА 9 мес. 2019'!DQ45)</f>
        <v>0</v>
      </c>
      <c r="X32" s="3349">
        <f>SUM('ФАКТ. СЕБЕСТ ВОДА 9 мес. 2019'!EA45)</f>
        <v>8986.3742143171221</v>
      </c>
      <c r="Y32" s="3349">
        <f>SUM('ФАКТ. СЕБЕСТ ВОДА 9 мес. 2019'!EB45)</f>
        <v>8986.3742143171221</v>
      </c>
      <c r="Z32" s="3349">
        <f>SUM('ФАКТ. СЕБЕСТ ВОДА 9 мес. 2019'!EC45)</f>
        <v>0</v>
      </c>
      <c r="AA32" s="3349">
        <f>SUM('ФАКТ. СЕБЕСТ ВОДА 9 мес. 2019'!FN45)</f>
        <v>2995.4580714390409</v>
      </c>
      <c r="AB32" s="3349">
        <f>SUM('ФАКТ. СЕБЕСТ ВОДА 9 мес. 2019'!FO45)</f>
        <v>2995.4580714390409</v>
      </c>
      <c r="AC32" s="3349">
        <f>SUM('ФАКТ. СЕБЕСТ ВОДА 9 мес. 2019'!FP45)</f>
        <v>0</v>
      </c>
      <c r="AD32" s="3353">
        <f>SUM('ФАКТ. СЕБЕСТ ВОДА 9 мес. 2019'!FZ45)</f>
        <v>11981.832285756163</v>
      </c>
      <c r="AE32" s="3353">
        <f>SUM('ФАКТ. СЕБЕСТ ВОДА 9 мес. 2019'!GA45)</f>
        <v>11981.832285756163</v>
      </c>
      <c r="AF32" s="3364">
        <f>SUM('ФАКТ. СЕБЕСТ ВОДА 9 мес. 2019'!GB45)</f>
        <v>0</v>
      </c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  <c r="BG32" s="396"/>
      <c r="BH32" s="396"/>
      <c r="BI32" s="396"/>
    </row>
    <row r="33" spans="1:61" ht="18.75" x14ac:dyDescent="0.3">
      <c r="A33" s="3372" t="s">
        <v>4</v>
      </c>
      <c r="B33" s="3359"/>
      <c r="C33" s="3359"/>
      <c r="D33" s="3359"/>
      <c r="E33" s="3359"/>
      <c r="F33" s="3359"/>
      <c r="G33" s="3359"/>
      <c r="H33" s="3359"/>
      <c r="I33" s="3359"/>
      <c r="J33" s="3359"/>
      <c r="K33" s="3363" t="s">
        <v>915</v>
      </c>
      <c r="L33" s="3349">
        <f>SUM('ФАКТ. СЕБЕСТ ВОДА 9 мес. 2019'!AC46)</f>
        <v>13584.352524443286</v>
      </c>
      <c r="M33" s="3349">
        <f>SUM('ФАКТ. СЕБЕСТ ВОДА 9 мес. 2019'!AD46)</f>
        <v>13581.193177947229</v>
      </c>
      <c r="N33" s="3349">
        <f>SUM('ФАКТ. СЕБЕСТ ВОДА 9 мес. 2019'!AE46)</f>
        <v>3.1593464960569699</v>
      </c>
      <c r="O33" s="3349">
        <f>SUM('ФАКТ. СЕБЕСТ ВОДА 9 мес. 2019'!BP46)</f>
        <v>13584.352524443286</v>
      </c>
      <c r="P33" s="3349">
        <f>SUM('ФАКТ. СЕБЕСТ ВОДА 9 мес. 2019'!BQ46)</f>
        <v>13581.193177947229</v>
      </c>
      <c r="Q33" s="3349">
        <f>SUM('ФАКТ. СЕБЕСТ ВОДА 9 мес. 2019'!BR46)</f>
        <v>3.1593464960569699</v>
      </c>
      <c r="R33" s="3349">
        <f>SUM('ФАКТ. СЕБЕСТ ВОДА 9 мес. 2019'!CB46)</f>
        <v>27168.705048886572</v>
      </c>
      <c r="S33" s="3349">
        <f>SUM('ФАКТ. СЕБЕСТ ВОДА 9 мес. 2019'!CC46)</f>
        <v>27162.386355894458</v>
      </c>
      <c r="T33" s="3349">
        <f>SUM('ФАКТ. СЕБЕСТ ВОДА 9 мес. 2019'!CD46)</f>
        <v>6.3186929921139399</v>
      </c>
      <c r="U33" s="3349">
        <f>SUM('ФАКТ. СЕБЕСТ ВОДА 9 мес. 2019'!DO46)</f>
        <v>13584.352524443286</v>
      </c>
      <c r="V33" s="3349">
        <f>SUM('ФАКТ. СЕБЕСТ ВОДА 9 мес. 2019'!DP46)</f>
        <v>13581.193177947229</v>
      </c>
      <c r="W33" s="3349">
        <f>SUM('ФАКТ. СЕБЕСТ ВОДА 9 мес. 2019'!DQ46)</f>
        <v>3.1593464960569699</v>
      </c>
      <c r="X33" s="3349">
        <f>SUM('ФАКТ. СЕБЕСТ ВОДА 9 мес. 2019'!EA46)</f>
        <v>40753.057573329861</v>
      </c>
      <c r="Y33" s="3349">
        <f>SUM('ФАКТ. СЕБЕСТ ВОДА 9 мес. 2019'!EB46)</f>
        <v>40743.579533841686</v>
      </c>
      <c r="Z33" s="3349">
        <f>SUM('ФАКТ. СЕБЕСТ ВОДА 9 мес. 2019'!EC46)</f>
        <v>9.4780394881709107</v>
      </c>
      <c r="AA33" s="3349">
        <f>SUM('ФАКТ. СЕБЕСТ ВОДА 9 мес. 2019'!FN46)</f>
        <v>13584.352524443286</v>
      </c>
      <c r="AB33" s="3349">
        <f>SUM('ФАКТ. СЕБЕСТ ВОДА 9 мес. 2019'!FO46)</f>
        <v>13581.193177947229</v>
      </c>
      <c r="AC33" s="3349">
        <f>SUM('ФАКТ. СЕБЕСТ ВОДА 9 мес. 2019'!FP46)</f>
        <v>3.1593464960569699</v>
      </c>
      <c r="AD33" s="3353">
        <f>SUM('ФАКТ. СЕБЕСТ ВОДА 9 мес. 2019'!FZ46)</f>
        <v>54337.410097773143</v>
      </c>
      <c r="AE33" s="3353">
        <f>SUM('ФАКТ. СЕБЕСТ ВОДА 9 мес. 2019'!GA46)</f>
        <v>54324.772711788915</v>
      </c>
      <c r="AF33" s="3364">
        <f>SUM('ФАКТ. СЕБЕСТ ВОДА 9 мес. 2019'!GB46)</f>
        <v>12.63738598422788</v>
      </c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</row>
    <row r="34" spans="1:61" ht="18.75" x14ac:dyDescent="0.3">
      <c r="A34" s="3372" t="s">
        <v>5</v>
      </c>
      <c r="B34" s="3359"/>
      <c r="C34" s="3359"/>
      <c r="D34" s="3359"/>
      <c r="E34" s="3359"/>
      <c r="F34" s="3359"/>
      <c r="G34" s="3359"/>
      <c r="H34" s="3359"/>
      <c r="I34" s="3359"/>
      <c r="J34" s="3359"/>
      <c r="K34" s="3363" t="s">
        <v>915</v>
      </c>
      <c r="L34" s="3349">
        <f>SUM('ФАКТ. СЕБЕСТ ВОДА 9 мес. 2019'!AC47)</f>
        <v>4068.7229427334569</v>
      </c>
      <c r="M34" s="3349">
        <f>SUM('ФАКТ. СЕБЕСТ ВОДА 9 мес. 2019'!AD47)</f>
        <v>4067.772964924101</v>
      </c>
      <c r="N34" s="3349">
        <f>SUM('ФАКТ. СЕБЕСТ ВОДА 9 мес. 2019'!AE47)</f>
        <v>0.94997780935564813</v>
      </c>
      <c r="O34" s="3349">
        <f>SUM('ФАКТ. СЕБЕСТ ВОДА 9 мес. 2019'!BP47)</f>
        <v>4068.7229427334569</v>
      </c>
      <c r="P34" s="3349">
        <f>SUM('ФАКТ. СЕБЕСТ ВОДА 9 мес. 2019'!BQ47)</f>
        <v>4067.772964924101</v>
      </c>
      <c r="Q34" s="3349">
        <f>SUM('ФАКТ. СЕБЕСТ ВОДА 9 мес. 2019'!BR47)</f>
        <v>0.94997780935564813</v>
      </c>
      <c r="R34" s="3349">
        <f>SUM('ФАКТ. СЕБЕСТ ВОДА 9 мес. 2019'!CB47)</f>
        <v>8137.4458854669138</v>
      </c>
      <c r="S34" s="3349">
        <f>SUM('ФАКТ. СЕБЕСТ ВОДА 9 мес. 2019'!CC47)</f>
        <v>8135.5459298482019</v>
      </c>
      <c r="T34" s="3349">
        <f>SUM('ФАКТ. СЕБЕСТ ВОДА 9 мес. 2019'!CD47)</f>
        <v>1.8999556187112963</v>
      </c>
      <c r="U34" s="3349">
        <f>SUM('ФАКТ. СЕБЕСТ ВОДА 9 мес. 2019'!DO47)</f>
        <v>4068.7229427334569</v>
      </c>
      <c r="V34" s="3349">
        <f>SUM('ФАКТ. СЕБЕСТ ВОДА 9 мес. 2019'!DP47)</f>
        <v>4067.772964924101</v>
      </c>
      <c r="W34" s="3349">
        <f>SUM('ФАКТ. СЕБЕСТ ВОДА 9 мес. 2019'!DQ47)</f>
        <v>0.94997780935564813</v>
      </c>
      <c r="X34" s="3349">
        <f>SUM('ФАКТ. СЕБЕСТ ВОДА 9 мес. 2019'!EA47)</f>
        <v>12206.168828200371</v>
      </c>
      <c r="Y34" s="3349">
        <f>SUM('ФАКТ. СЕБЕСТ ВОДА 9 мес. 2019'!EB47)</f>
        <v>12203.318894772303</v>
      </c>
      <c r="Z34" s="3349">
        <f>SUM('ФАКТ. СЕБЕСТ ВОДА 9 мес. 2019'!EC47)</f>
        <v>2.8499334280669446</v>
      </c>
      <c r="AA34" s="3349">
        <f>SUM('ФАКТ. СЕБЕСТ ВОДА 9 мес. 2019'!FN47)</f>
        <v>4068.7229427334569</v>
      </c>
      <c r="AB34" s="3349">
        <f>SUM('ФАКТ. СЕБЕСТ ВОДА 9 мес. 2019'!FO47)</f>
        <v>4067.772964924101</v>
      </c>
      <c r="AC34" s="3349">
        <f>SUM('ФАКТ. СЕБЕСТ ВОДА 9 мес. 2019'!FP47)</f>
        <v>0.94997780935564813</v>
      </c>
      <c r="AD34" s="3353">
        <f>SUM('ФАКТ. СЕБЕСТ ВОДА 9 мес. 2019'!FZ47)</f>
        <v>16274.891770933828</v>
      </c>
      <c r="AE34" s="3353">
        <f>SUM('ФАКТ. СЕБЕСТ ВОДА 9 мес. 2019'!GA47)</f>
        <v>16271.091859696404</v>
      </c>
      <c r="AF34" s="3364">
        <f>SUM('ФАКТ. СЕБЕСТ ВОДА 9 мес. 2019'!GB47)</f>
        <v>3.7999112374225925</v>
      </c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  <c r="BH34" s="396"/>
      <c r="BI34" s="396"/>
    </row>
    <row r="35" spans="1:61" ht="18.75" x14ac:dyDescent="0.3">
      <c r="A35" s="3368" t="s">
        <v>318</v>
      </c>
      <c r="B35" s="3359"/>
      <c r="C35" s="3359"/>
      <c r="D35" s="3359"/>
      <c r="E35" s="3359"/>
      <c r="F35" s="3359"/>
      <c r="G35" s="3359"/>
      <c r="H35" s="3359"/>
      <c r="I35" s="3359"/>
      <c r="J35" s="3359"/>
      <c r="K35" s="3373" t="s">
        <v>44</v>
      </c>
      <c r="L35" s="3350">
        <f>SUM('ФАКТ. СЕБЕСТ ВОДА 9 мес. 2019'!AC48)</f>
        <v>0.29951541197214337</v>
      </c>
      <c r="M35" s="3350">
        <f>SUM('ФАКТ. СЕБЕСТ ВОДА 9 мес. 2019'!AD48)</f>
        <v>0.29951513918005673</v>
      </c>
      <c r="N35" s="3350">
        <f>SUM('ФАКТ. СЕБЕСТ ВОДА 9 мес. 2019'!AE48)</f>
        <v>0.30068807284711263</v>
      </c>
      <c r="O35" s="3350">
        <f>SUM('ФАКТ. СЕБЕСТ ВОДА 9 мес. 2019'!BP48)</f>
        <v>0.29951541197214337</v>
      </c>
      <c r="P35" s="3350">
        <f>SUM('ФАКТ. СЕБЕСТ ВОДА 9 мес. 2019'!BQ48)</f>
        <v>0.29951513918005673</v>
      </c>
      <c r="Q35" s="3350">
        <f>SUM('ФАКТ. СЕБЕСТ ВОДА 9 мес. 2019'!BR48)</f>
        <v>0.30068807284711263</v>
      </c>
      <c r="R35" s="3350">
        <f>SUM('ФАКТ. СЕБЕСТ ВОДА 9 мес. 2019'!CB48)</f>
        <v>0.29951541197214337</v>
      </c>
      <c r="S35" s="3350">
        <f>SUM('ФАКТ. СЕБЕСТ ВОДА 9 мес. 2019'!CC48)</f>
        <v>0.29951513918005673</v>
      </c>
      <c r="T35" s="3350">
        <f>SUM('ФАКТ. СЕБЕСТ ВОДА 9 мес. 2019'!CD48)</f>
        <v>0.30068807284711263</v>
      </c>
      <c r="U35" s="3350">
        <f>SUM('ФАКТ. СЕБЕСТ ВОДА 9 мес. 2019'!DO48)</f>
        <v>0.29951541197214337</v>
      </c>
      <c r="V35" s="3350">
        <f>SUM('ФАКТ. СЕБЕСТ ВОДА 9 мес. 2019'!DP48)</f>
        <v>0.29951513918005673</v>
      </c>
      <c r="W35" s="3350">
        <f>SUM('ФАКТ. СЕБЕСТ ВОДА 9 мес. 2019'!DQ48)</f>
        <v>0.30068807284711263</v>
      </c>
      <c r="X35" s="3350">
        <f>SUM('ФАКТ. СЕБЕСТ ВОДА 9 мес. 2019'!EA48)</f>
        <v>0.29951541197214337</v>
      </c>
      <c r="Y35" s="3350">
        <f>SUM('ФАКТ. СЕБЕСТ ВОДА 9 мес. 2019'!EB48)</f>
        <v>0.29951513918005673</v>
      </c>
      <c r="Z35" s="3350">
        <f>SUM('ФАКТ. СЕБЕСТ ВОДА 9 мес. 2019'!EC48)</f>
        <v>0.30068807284711258</v>
      </c>
      <c r="AA35" s="3350">
        <f>SUM('ФАКТ. СЕБЕСТ ВОДА 9 мес. 2019'!FN48)</f>
        <v>0.29951541197214337</v>
      </c>
      <c r="AB35" s="3350">
        <f>SUM('ФАКТ. СЕБЕСТ ВОДА 9 мес. 2019'!FO48)</f>
        <v>0.29951513918005673</v>
      </c>
      <c r="AC35" s="3350">
        <f>SUM('ФАКТ. СЕБЕСТ ВОДА 9 мес. 2019'!FP48)</f>
        <v>0.30068807284711263</v>
      </c>
      <c r="AD35" s="3354">
        <f>SUM('ФАКТ. СЕБЕСТ ВОДА 9 мес. 2019'!FZ48)</f>
        <v>0.29951541197214337</v>
      </c>
      <c r="AE35" s="3354">
        <f>SUM('ФАКТ. СЕБЕСТ ВОДА 9 мес. 2019'!GA48)</f>
        <v>0.29951513918005673</v>
      </c>
      <c r="AF35" s="3367">
        <f>SUM('ФАКТ. СЕБЕСТ ВОДА 9 мес. 2019'!GB48)</f>
        <v>0.30068807284711263</v>
      </c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</row>
    <row r="36" spans="1:61" ht="18.75" x14ac:dyDescent="0.3">
      <c r="A36" s="3372" t="s">
        <v>3615</v>
      </c>
      <c r="B36" s="3359"/>
      <c r="C36" s="3359"/>
      <c r="D36" s="3359"/>
      <c r="E36" s="3359"/>
      <c r="F36" s="3359"/>
      <c r="G36" s="3359"/>
      <c r="H36" s="3359"/>
      <c r="I36" s="3359"/>
      <c r="J36" s="3359"/>
      <c r="K36" s="3363" t="s">
        <v>915</v>
      </c>
      <c r="L36" s="3349">
        <f>SUM('ФАКТ. СЕБЕСТ ВОДА 9 мес. 2019'!AC49)</f>
        <v>5690.0939575095563</v>
      </c>
      <c r="M36" s="3349">
        <f>SUM('ФАКТ. СЕБЕСТ ВОДА 9 мес. 2019'!AD49)</f>
        <v>5689.1959426604599</v>
      </c>
      <c r="N36" s="3349">
        <f>SUM('ФАКТ. СЕБЕСТ ВОДА 9 мес. 2019'!AE49)</f>
        <v>0.89801484909637785</v>
      </c>
      <c r="O36" s="3349">
        <f>SUM('ФАКТ. СЕБЕСТ ВОДА 9 мес. 2019'!BP49)</f>
        <v>5690.0939575095563</v>
      </c>
      <c r="P36" s="3349">
        <f>SUM('ФАКТ. СЕБЕСТ ВОДА 9 мес. 2019'!BQ49)</f>
        <v>5689.1959426604599</v>
      </c>
      <c r="Q36" s="3349">
        <f>SUM('ФАКТ. СЕБЕСТ ВОДА 9 мес. 2019'!BR49)</f>
        <v>0.89801484909637785</v>
      </c>
      <c r="R36" s="3349">
        <f>SUM('ФАКТ. СЕБЕСТ ВОДА 9 мес. 2019'!CB49)</f>
        <v>11380.187915019113</v>
      </c>
      <c r="S36" s="3349">
        <f>SUM('ФАКТ. СЕБЕСТ ВОДА 9 мес. 2019'!CC49)</f>
        <v>11378.39188532092</v>
      </c>
      <c r="T36" s="3349">
        <f>SUM('ФАКТ. СЕБЕСТ ВОДА 9 мес. 2019'!CD49)</f>
        <v>1.7960296981927557</v>
      </c>
      <c r="U36" s="3349">
        <f>SUM('ФАКТ. СЕБЕСТ ВОДА 9 мес. 2019'!DO49)</f>
        <v>5690.0939575095563</v>
      </c>
      <c r="V36" s="3349">
        <f>SUM('ФАКТ. СЕБЕСТ ВОДА 9 мес. 2019'!DP49)</f>
        <v>5689.1959426604599</v>
      </c>
      <c r="W36" s="3349">
        <f>SUM('ФАКТ. СЕБЕСТ ВОДА 9 мес. 2019'!DQ49)</f>
        <v>0.89801484909637785</v>
      </c>
      <c r="X36" s="3349">
        <f>SUM('ФАКТ. СЕБЕСТ ВОДА 9 мес. 2019'!EA49)</f>
        <v>17070.281872528671</v>
      </c>
      <c r="Y36" s="3349">
        <f>SUM('ФАКТ. СЕБЕСТ ВОДА 9 мес. 2019'!EB49)</f>
        <v>17067.587827981381</v>
      </c>
      <c r="Z36" s="3349">
        <f>SUM('ФАКТ. СЕБЕСТ ВОДА 9 мес. 2019'!EC49)</f>
        <v>2.6940445472891335</v>
      </c>
      <c r="AA36" s="3349">
        <f>SUM('ФАКТ. СЕБЕСТ ВОДА 9 мес. 2019'!FN49)</f>
        <v>5690.0939575095563</v>
      </c>
      <c r="AB36" s="3349">
        <f>SUM('ФАКТ. СЕБЕСТ ВОДА 9 мес. 2019'!FO49)</f>
        <v>5689.1959426604599</v>
      </c>
      <c r="AC36" s="3349">
        <f>SUM('ФАКТ. СЕБЕСТ ВОДА 9 мес. 2019'!FP49)</f>
        <v>0.89801484909637785</v>
      </c>
      <c r="AD36" s="3353">
        <f>SUM('ФАКТ. СЕБЕСТ ВОДА 9 мес. 2019'!FZ49)</f>
        <v>22760.375830038225</v>
      </c>
      <c r="AE36" s="3353">
        <f>SUM('ФАКТ. СЕБЕСТ ВОДА 9 мес. 2019'!GA49)</f>
        <v>22756.78377064184</v>
      </c>
      <c r="AF36" s="3364">
        <f>SUM('ФАКТ. СЕБЕСТ ВОДА 9 мес. 2019'!GB49)</f>
        <v>3.5920593963855114</v>
      </c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  <c r="BH36" s="396"/>
      <c r="BI36" s="396"/>
    </row>
    <row r="37" spans="1:61" ht="18.75" x14ac:dyDescent="0.3">
      <c r="A37" s="3368" t="s">
        <v>3616</v>
      </c>
      <c r="B37" s="3359"/>
      <c r="C37" s="3359"/>
      <c r="D37" s="3359"/>
      <c r="E37" s="3359"/>
      <c r="F37" s="3359"/>
      <c r="G37" s="3359"/>
      <c r="H37" s="3359"/>
      <c r="I37" s="3359"/>
      <c r="J37" s="3359"/>
      <c r="K37" s="3363" t="s">
        <v>915</v>
      </c>
      <c r="L37" s="3351">
        <f>SUM('ФАКТ. СЕБЕСТ ВОДА 9 мес. 2019'!AC50)</f>
        <v>1759.5410263949263</v>
      </c>
      <c r="M37" s="3351">
        <f>SUM('ФАКТ. СЕБЕСТ ВОДА 9 мес. 2019'!AD50)</f>
        <v>1759.3429933550215</v>
      </c>
      <c r="N37" s="3351">
        <f>SUM('ФАКТ. СЕБЕСТ ВОДА 9 мес. 2019'!AE50)</f>
        <v>0.19803303990490728</v>
      </c>
      <c r="O37" s="3351">
        <f>SUM('ФАКТ. СЕБЕСТ ВОДА 9 мес. 2019'!BP50)</f>
        <v>1759.5410263949263</v>
      </c>
      <c r="P37" s="3351">
        <f>SUM('ФАКТ. СЕБЕСТ ВОДА 9 мес. 2019'!BQ50)</f>
        <v>1759.3429933550215</v>
      </c>
      <c r="Q37" s="3351">
        <f>SUM('ФАКТ. СЕБЕСТ ВОДА 9 мес. 2019'!BR50)</f>
        <v>0.19803303990490728</v>
      </c>
      <c r="R37" s="3351">
        <f>SUM('ФАКТ. СЕБЕСТ ВОДА 9 мес. 2019'!CB50)</f>
        <v>3519.0820527898527</v>
      </c>
      <c r="S37" s="3351">
        <f>SUM('ФАКТ. СЕБЕСТ ВОДА 9 мес. 2019'!CC50)</f>
        <v>3518.6859867100429</v>
      </c>
      <c r="T37" s="3351">
        <f>SUM('ФАКТ. СЕБЕСТ ВОДА 9 мес. 2019'!CD50)</f>
        <v>0.39606607980981456</v>
      </c>
      <c r="U37" s="3351">
        <f>SUM('ФАКТ. СЕБЕСТ ВОДА 9 мес. 2019'!DO50)</f>
        <v>1759.5410263949263</v>
      </c>
      <c r="V37" s="3351">
        <f>SUM('ФАКТ. СЕБЕСТ ВОДА 9 мес. 2019'!DP50)</f>
        <v>1759.3429933550215</v>
      </c>
      <c r="W37" s="3351">
        <f>SUM('ФАКТ. СЕБЕСТ ВОДА 9 мес. 2019'!DQ50)</f>
        <v>0.19803303990490728</v>
      </c>
      <c r="X37" s="3351">
        <f>SUM('ФАКТ. СЕБЕСТ ВОДА 9 мес. 2019'!EA50)</f>
        <v>5278.6230791847793</v>
      </c>
      <c r="Y37" s="3351">
        <f>SUM('ФАКТ. СЕБЕСТ ВОДА 9 мес. 2019'!EB50)</f>
        <v>5278.0289800650644</v>
      </c>
      <c r="Z37" s="3351">
        <f>SUM('ФАКТ. СЕБЕСТ ВОДА 9 мес. 2019'!EC50)</f>
        <v>0.59409911971472185</v>
      </c>
      <c r="AA37" s="3351">
        <f>SUM('ФАКТ. СЕБЕСТ ВОДА 9 мес. 2019'!FN50)</f>
        <v>1759.5410263949263</v>
      </c>
      <c r="AB37" s="3351">
        <f>SUM('ФАКТ. СЕБЕСТ ВОДА 9 мес. 2019'!FO50)</f>
        <v>1759.3429933550215</v>
      </c>
      <c r="AC37" s="3351">
        <f>SUM('ФАКТ. СЕБЕСТ ВОДА 9 мес. 2019'!FP50)</f>
        <v>0.19803303990490728</v>
      </c>
      <c r="AD37" s="3355">
        <f>SUM('ФАКТ. СЕБЕСТ ВОДА 9 мес. 2019'!FZ50)</f>
        <v>7038.1641055797054</v>
      </c>
      <c r="AE37" s="3355">
        <f>SUM('ФАКТ. СЕБЕСТ ВОДА 9 мес. 2019'!GA50)</f>
        <v>7037.3719734200859</v>
      </c>
      <c r="AF37" s="3366">
        <f>SUM('ФАКТ. СЕБЕСТ ВОДА 9 мес. 2019'!GB50)</f>
        <v>0.79213215961962913</v>
      </c>
    </row>
    <row r="38" spans="1:61" ht="18.75" x14ac:dyDescent="0.3">
      <c r="A38" s="3368" t="s">
        <v>3617</v>
      </c>
      <c r="B38" s="3359"/>
      <c r="C38" s="3359"/>
      <c r="D38" s="3359"/>
      <c r="E38" s="3359"/>
      <c r="F38" s="3359"/>
      <c r="G38" s="3359"/>
      <c r="H38" s="3359"/>
      <c r="I38" s="3359"/>
      <c r="J38" s="3359"/>
      <c r="K38" s="3363" t="s">
        <v>915</v>
      </c>
      <c r="L38" s="3351">
        <f>SUM('ФАКТ. СЕБЕСТ ВОДА 9 мес. 2019'!AC51)</f>
        <v>529.49509163874177</v>
      </c>
      <c r="M38" s="3351">
        <f>SUM('ФАКТ. СЕБЕСТ ВОДА 9 мес. 2019'!AD51)</f>
        <v>529.43529171148532</v>
      </c>
      <c r="N38" s="3351">
        <f>SUM('ФАКТ. СЕБЕСТ ВОДА 9 мес. 2019'!AE51)</f>
        <v>5.9799927256525054E-2</v>
      </c>
      <c r="O38" s="3351">
        <f>SUM('ФАКТ. СЕБЕСТ ВОДА 9 мес. 2019'!BP51)</f>
        <v>529.49509163874177</v>
      </c>
      <c r="P38" s="3351">
        <f>SUM('ФАКТ. СЕБЕСТ ВОДА 9 мес. 2019'!BQ51)</f>
        <v>529.43529171148532</v>
      </c>
      <c r="Q38" s="3351">
        <f>SUM('ФАКТ. СЕБЕСТ ВОДА 9 мес. 2019'!BR51)</f>
        <v>5.9799927256525054E-2</v>
      </c>
      <c r="R38" s="3351">
        <f>SUM('ФАКТ. СЕБЕСТ ВОДА 9 мес. 2019'!CB51)</f>
        <v>1058.9901832774835</v>
      </c>
      <c r="S38" s="3351">
        <f>SUM('ФАКТ. СЕБЕСТ ВОДА 9 мес. 2019'!CC51)</f>
        <v>1058.8705834229706</v>
      </c>
      <c r="T38" s="3351">
        <f>SUM('ФАКТ. СЕБЕСТ ВОДА 9 мес. 2019'!CD51)</f>
        <v>0.11959985451305011</v>
      </c>
      <c r="U38" s="3351">
        <f>SUM('ФАКТ. СЕБЕСТ ВОДА 9 мес. 2019'!DO51)</f>
        <v>529.49509163874177</v>
      </c>
      <c r="V38" s="3351">
        <f>SUM('ФАКТ. СЕБЕСТ ВОДА 9 мес. 2019'!DP51)</f>
        <v>529.43529171148532</v>
      </c>
      <c r="W38" s="3351">
        <f>SUM('ФАКТ. СЕБЕСТ ВОДА 9 мес. 2019'!DQ51)</f>
        <v>5.9799927256525054E-2</v>
      </c>
      <c r="X38" s="3351">
        <f>SUM('ФАКТ. СЕБЕСТ ВОДА 9 мес. 2019'!EA51)</f>
        <v>1588.4852749162253</v>
      </c>
      <c r="Y38" s="3351">
        <f>SUM('ФАКТ. СЕБЕСТ ВОДА 9 мес. 2019'!EB51)</f>
        <v>1588.3058751344561</v>
      </c>
      <c r="Z38" s="3351">
        <f>SUM('ФАКТ. СЕБЕСТ ВОДА 9 мес. 2019'!EC51)</f>
        <v>0.17939978176957516</v>
      </c>
      <c r="AA38" s="3351">
        <f>SUM('ФАКТ. СЕБЕСТ ВОДА 9 мес. 2019'!FN51)</f>
        <v>529.49509163874177</v>
      </c>
      <c r="AB38" s="3351">
        <f>SUM('ФАКТ. СЕБЕСТ ВОДА 9 мес. 2019'!FO51)</f>
        <v>529.43529171148532</v>
      </c>
      <c r="AC38" s="3351">
        <f>SUM('ФАКТ. СЕБЕСТ ВОДА 9 мес. 2019'!FP51)</f>
        <v>5.9799927256525054E-2</v>
      </c>
      <c r="AD38" s="3355">
        <f>SUM('ФАКТ. СЕБЕСТ ВОДА 9 мес. 2019'!FZ51)</f>
        <v>2117.9803665549671</v>
      </c>
      <c r="AE38" s="3355">
        <f>SUM('ФАКТ. СЕБЕСТ ВОДА 9 мес. 2019'!GA51)</f>
        <v>2117.7411668459413</v>
      </c>
      <c r="AF38" s="3366">
        <f>SUM('ФАКТ. СЕБЕСТ ВОДА 9 мес. 2019'!GB51)</f>
        <v>0.23919970902610022</v>
      </c>
    </row>
    <row r="39" spans="1:61" ht="18.75" x14ac:dyDescent="0.3">
      <c r="A39" s="3368" t="s">
        <v>31</v>
      </c>
      <c r="B39" s="3359"/>
      <c r="C39" s="3359"/>
      <c r="D39" s="3359"/>
      <c r="E39" s="3359"/>
      <c r="F39" s="3359"/>
      <c r="G39" s="3359"/>
      <c r="H39" s="3359"/>
      <c r="I39" s="3359"/>
      <c r="J39" s="3359"/>
      <c r="K39" s="3363" t="s">
        <v>915</v>
      </c>
      <c r="L39" s="3351">
        <f>SUM('ФАКТ. СЕБЕСТ ВОДА 9 мес. 2019'!AC52)</f>
        <v>570.80999999999995</v>
      </c>
      <c r="M39" s="3351">
        <f>SUM('ФАКТ. СЕБЕСТ ВОДА 9 мес. 2019'!AD52)</f>
        <v>570.53413305469508</v>
      </c>
      <c r="N39" s="3351">
        <f>SUM('ФАКТ. СЕБЕСТ ВОДА 9 мес. 2019'!AE52)</f>
        <v>0.27586694530486172</v>
      </c>
      <c r="O39" s="3351">
        <f>SUM('ФАКТ. СЕБЕСТ ВОДА 9 мес. 2019'!BP52)</f>
        <v>570.80999999999995</v>
      </c>
      <c r="P39" s="3351">
        <f>SUM('ФАКТ. СЕБЕСТ ВОДА 9 мес. 2019'!BQ52)</f>
        <v>570.53413305469508</v>
      </c>
      <c r="Q39" s="3351">
        <f>SUM('ФАКТ. СЕБЕСТ ВОДА 9 мес. 2019'!BR52)</f>
        <v>0.27586694530486172</v>
      </c>
      <c r="R39" s="3351">
        <f>SUM('ФАКТ. СЕБЕСТ ВОДА 9 мес. 2019'!CB52)</f>
        <v>1141.6199999999999</v>
      </c>
      <c r="S39" s="3351">
        <f>SUM('ФАКТ. СЕБЕСТ ВОДА 9 мес. 2019'!CC52)</f>
        <v>1141.0682661093902</v>
      </c>
      <c r="T39" s="3351">
        <f>SUM('ФАКТ. СЕБЕСТ ВОДА 9 мес. 2019'!CD52)</f>
        <v>0.55173389060972344</v>
      </c>
      <c r="U39" s="3351">
        <f>SUM('ФАКТ. СЕБЕСТ ВОДА 9 мес. 2019'!DO52)</f>
        <v>570.80999999999995</v>
      </c>
      <c r="V39" s="3351">
        <f>SUM('ФАКТ. СЕБЕСТ ВОДА 9 мес. 2019'!DP52)</f>
        <v>570.53413305469508</v>
      </c>
      <c r="W39" s="3351">
        <f>SUM('ФАКТ. СЕБЕСТ ВОДА 9 мес. 2019'!DQ52)</f>
        <v>0.27586694530486172</v>
      </c>
      <c r="X39" s="3351">
        <f>SUM('ФАКТ. СЕБЕСТ ВОДА 9 мес. 2019'!EA52)</f>
        <v>1712.4299999999998</v>
      </c>
      <c r="Y39" s="3351">
        <f>SUM('ФАКТ. СЕБЕСТ ВОДА 9 мес. 2019'!EB52)</f>
        <v>1711.6023991640852</v>
      </c>
      <c r="Z39" s="3351">
        <f>SUM('ФАКТ. СЕБЕСТ ВОДА 9 мес. 2019'!EC52)</f>
        <v>0.82760083591458522</v>
      </c>
      <c r="AA39" s="3351">
        <f>SUM('ФАКТ. СЕБЕСТ ВОДА 9 мес. 2019'!FN52)</f>
        <v>570.80999999999995</v>
      </c>
      <c r="AB39" s="3351">
        <f>SUM('ФАКТ. СЕБЕСТ ВОДА 9 мес. 2019'!FO52)</f>
        <v>570.53413305469508</v>
      </c>
      <c r="AC39" s="3351">
        <f>SUM('ФАКТ. СЕБЕСТ ВОДА 9 мес. 2019'!FP52)</f>
        <v>0.27586694530486172</v>
      </c>
      <c r="AD39" s="3355">
        <f>SUM('ФАКТ. СЕБЕСТ ВОДА 9 мес. 2019'!FZ52)</f>
        <v>2283.2399999999998</v>
      </c>
      <c r="AE39" s="3355">
        <f>SUM('ФАКТ. СЕБЕСТ ВОДА 9 мес. 2019'!GA52)</f>
        <v>2282.1365322187803</v>
      </c>
      <c r="AF39" s="3366">
        <f>SUM('ФАКТ. СЕБЕСТ ВОДА 9 мес. 2019'!GB52)</f>
        <v>1.1034677812194469</v>
      </c>
    </row>
    <row r="40" spans="1:61" ht="18.75" x14ac:dyDescent="0.3">
      <c r="A40" s="3368" t="s">
        <v>295</v>
      </c>
      <c r="B40" s="3359"/>
      <c r="C40" s="3359"/>
      <c r="D40" s="3359"/>
      <c r="E40" s="3359"/>
      <c r="F40" s="3359"/>
      <c r="G40" s="3359"/>
      <c r="H40" s="3359"/>
      <c r="I40" s="3359"/>
      <c r="J40" s="3359"/>
      <c r="K40" s="3363" t="s">
        <v>915</v>
      </c>
      <c r="L40" s="3351">
        <f>SUM('ФАКТ. СЕБЕСТ ВОДА 9 мес. 2019'!AC53)</f>
        <v>2830.2478394758873</v>
      </c>
      <c r="M40" s="3351">
        <f>SUM('ФАКТ. СЕБЕСТ ВОДА 9 мес. 2019'!AD53)</f>
        <v>2829.8835245392575</v>
      </c>
      <c r="N40" s="3351">
        <f>SUM('ФАКТ. СЕБЕСТ ВОДА 9 мес. 2019'!AE53)</f>
        <v>0.36431493663008385</v>
      </c>
      <c r="O40" s="3351">
        <f>SUM('ФАКТ. СЕБЕСТ ВОДА 9 мес. 2019'!BP53)</f>
        <v>2830.2478394758873</v>
      </c>
      <c r="P40" s="3351">
        <f>SUM('ФАКТ. СЕБЕСТ ВОДА 9 мес. 2019'!BQ53)</f>
        <v>2829.8835245392575</v>
      </c>
      <c r="Q40" s="3351">
        <f>SUM('ФАКТ. СЕБЕСТ ВОДА 9 мес. 2019'!BR53)</f>
        <v>0.36431493663008385</v>
      </c>
      <c r="R40" s="3351">
        <f>SUM('ФАКТ. СЕБЕСТ ВОДА 9 мес. 2019'!CB53)</f>
        <v>5660.4956789517746</v>
      </c>
      <c r="S40" s="3351">
        <f>SUM('ФАКТ. СЕБЕСТ ВОДА 9 мес. 2019'!CC53)</f>
        <v>5659.7670490785149</v>
      </c>
      <c r="T40" s="3351">
        <f>SUM('ФАКТ. СЕБЕСТ ВОДА 9 мес. 2019'!CD53)</f>
        <v>0.7286298732601677</v>
      </c>
      <c r="U40" s="3351">
        <f>SUM('ФАКТ. СЕБЕСТ ВОДА 9 мес. 2019'!DO53)</f>
        <v>2830.2478394758873</v>
      </c>
      <c r="V40" s="3351">
        <f>SUM('ФАКТ. СЕБЕСТ ВОДА 9 мес. 2019'!DP53)</f>
        <v>2829.8835245392575</v>
      </c>
      <c r="W40" s="3351">
        <f>SUM('ФАКТ. СЕБЕСТ ВОДА 9 мес. 2019'!DQ53)</f>
        <v>0.36431493663008385</v>
      </c>
      <c r="X40" s="3351">
        <f>SUM('ФАКТ. СЕБЕСТ ВОДА 9 мес. 2019'!EA53)</f>
        <v>8490.7435184276619</v>
      </c>
      <c r="Y40" s="3351">
        <f>SUM('ФАКТ. СЕБЕСТ ВОДА 9 мес. 2019'!EB53)</f>
        <v>8489.6505736177714</v>
      </c>
      <c r="Z40" s="3351">
        <f>SUM('ФАКТ. СЕБЕСТ ВОДА 9 мес. 2019'!EC53)</f>
        <v>1.0929448098902514</v>
      </c>
      <c r="AA40" s="3351">
        <f>SUM('ФАКТ. СЕБЕСТ ВОДА 9 мес. 2019'!FN53)</f>
        <v>2830.2478394758873</v>
      </c>
      <c r="AB40" s="3351">
        <f>SUM('ФАКТ. СЕБЕСТ ВОДА 9 мес. 2019'!FO53)</f>
        <v>2829.8835245392575</v>
      </c>
      <c r="AC40" s="3351">
        <f>SUM('ФАКТ. СЕБЕСТ ВОДА 9 мес. 2019'!FP53)</f>
        <v>0.36431493663008385</v>
      </c>
      <c r="AD40" s="3355">
        <f>SUM('ФАКТ. СЕБЕСТ ВОДА 9 мес. 2019'!FZ53)</f>
        <v>11320.991357903549</v>
      </c>
      <c r="AE40" s="3355">
        <f>SUM('ФАКТ. СЕБЕСТ ВОДА 9 мес. 2019'!GA53)</f>
        <v>11319.53409815703</v>
      </c>
      <c r="AF40" s="3366">
        <f>SUM('ФАКТ. СЕБЕСТ ВОДА 9 мес. 2019'!GB53)</f>
        <v>1.4572597465203354</v>
      </c>
    </row>
    <row r="41" spans="1:61" ht="18.75" x14ac:dyDescent="0.3">
      <c r="A41" s="3372" t="s">
        <v>3602</v>
      </c>
      <c r="B41" s="3370"/>
      <c r="C41" s="3370"/>
      <c r="D41" s="3370"/>
      <c r="E41" s="3370"/>
      <c r="F41" s="3370"/>
      <c r="G41" s="3370"/>
      <c r="H41" s="3370"/>
      <c r="I41" s="3370"/>
      <c r="J41" s="3370"/>
      <c r="K41" s="3363" t="s">
        <v>915</v>
      </c>
      <c r="L41" s="3349">
        <f>SUM('ФАКТ. СЕБЕСТ ВОДА 9 мес. 2019'!AC54)</f>
        <v>1662.2419345419537</v>
      </c>
      <c r="M41" s="3349">
        <f>SUM('ФАКТ. СЕБЕСТ ВОДА 9 мес. 2019'!AD54)</f>
        <v>1661.6670485790901</v>
      </c>
      <c r="N41" s="3349">
        <f>SUM('ФАКТ. СЕБЕСТ ВОДА 9 мес. 2019'!AE54)</f>
        <v>0.57488596286364391</v>
      </c>
      <c r="O41" s="3349">
        <f>SUM('ФАКТ. СЕБЕСТ ВОДА 9 мес. 2019'!BP54)</f>
        <v>1662.2419345419537</v>
      </c>
      <c r="P41" s="3349">
        <f>SUM('ФАКТ. СЕБЕСТ ВОДА 9 мес. 2019'!BQ54)</f>
        <v>1661.6670485790901</v>
      </c>
      <c r="Q41" s="3349">
        <f>SUM('ФАКТ. СЕБЕСТ ВОДА 9 мес. 2019'!BR54)</f>
        <v>0.57488596286364391</v>
      </c>
      <c r="R41" s="3349">
        <f>SUM('ФАКТ. СЕБЕСТ ВОДА 9 мес. 2019'!CB54)</f>
        <v>3324.4838690839074</v>
      </c>
      <c r="S41" s="3349">
        <f>SUM('ФАКТ. СЕБЕСТ ВОДА 9 мес. 2019'!CC54)</f>
        <v>3323.3340971581802</v>
      </c>
      <c r="T41" s="3349">
        <f>SUM('ФАКТ. СЕБЕСТ ВОДА 9 мес. 2019'!CD54)</f>
        <v>1.1497719257272878</v>
      </c>
      <c r="U41" s="3349">
        <f>SUM('ФАКТ. СЕБЕСТ ВОДА 9 мес. 2019'!DO54)</f>
        <v>1662.2419345419537</v>
      </c>
      <c r="V41" s="3349">
        <f>SUM('ФАКТ. СЕБЕСТ ВОДА 9 мес. 2019'!DP54)</f>
        <v>1661.6670485790901</v>
      </c>
      <c r="W41" s="3349">
        <f>SUM('ФАКТ. СЕБЕСТ ВОДА 9 мес. 2019'!DQ54)</f>
        <v>0.57488596286364391</v>
      </c>
      <c r="X41" s="3349">
        <f>SUM('ФАКТ. СЕБЕСТ ВОДА 9 мес. 2019'!EA54)</f>
        <v>4986.7258036258609</v>
      </c>
      <c r="Y41" s="3349">
        <f>SUM('ФАКТ. СЕБЕСТ ВОДА 9 мес. 2019'!EB54)</f>
        <v>4985.0011457372702</v>
      </c>
      <c r="Z41" s="3349">
        <f>SUM('ФАКТ. СЕБЕСТ ВОДА 9 мес. 2019'!EC54)</f>
        <v>1.7246578885909316</v>
      </c>
      <c r="AA41" s="3349">
        <f>SUM('ФАКТ. СЕБЕСТ ВОДА 9 мес. 2019'!FN54)</f>
        <v>1662.2419345419537</v>
      </c>
      <c r="AB41" s="3349">
        <f>SUM('ФАКТ. СЕБЕСТ ВОДА 9 мес. 2019'!FO54)</f>
        <v>1661.6670485790901</v>
      </c>
      <c r="AC41" s="3349">
        <f>SUM('ФАКТ. СЕБЕСТ ВОДА 9 мес. 2019'!FP54)</f>
        <v>0.57488596286364391</v>
      </c>
      <c r="AD41" s="3353">
        <f>SUM('ФАКТ. СЕБЕСТ ВОДА 9 мес. 2019'!FZ54)</f>
        <v>6648.9677381678148</v>
      </c>
      <c r="AE41" s="3353">
        <f>SUM('ФАКТ. СЕБЕСТ ВОДА 9 мес. 2019'!GA54)</f>
        <v>6646.6681943163603</v>
      </c>
      <c r="AF41" s="3364">
        <f>SUM('ФАКТ. СЕБЕСТ ВОДА 9 мес. 2019'!GB54)</f>
        <v>2.2995438514545756</v>
      </c>
    </row>
    <row r="42" spans="1:61" ht="18.75" x14ac:dyDescent="0.3">
      <c r="A42" s="3368" t="s">
        <v>3648</v>
      </c>
      <c r="B42" s="3370"/>
      <c r="C42" s="3370"/>
      <c r="D42" s="3370"/>
      <c r="E42" s="3370"/>
      <c r="F42" s="3370"/>
      <c r="G42" s="3370"/>
      <c r="H42" s="3370"/>
      <c r="I42" s="3370"/>
      <c r="J42" s="3370"/>
      <c r="K42" s="3363" t="s">
        <v>915</v>
      </c>
      <c r="L42" s="3351">
        <f>SUM('ФАКТ. СЕБЕСТ ВОДА 9 мес. 2019'!AC55)</f>
        <v>456.97044824450381</v>
      </c>
      <c r="M42" s="3351">
        <f>SUM('ФАКТ. СЕБЕСТ ВОДА 9 мес. 2019'!AD55)</f>
        <v>456.74097659450388</v>
      </c>
      <c r="N42" s="3351">
        <f>SUM('ФАКТ. СЕБЕСТ ВОДА 9 мес. 2019'!AE55)</f>
        <v>0.22947164999999997</v>
      </c>
      <c r="O42" s="3351">
        <f>SUM('ФАКТ. СЕБЕСТ ВОДА 9 мес. 2019'!BP55)</f>
        <v>456.97044824450381</v>
      </c>
      <c r="P42" s="3351">
        <f>SUM('ФАКТ. СЕБЕСТ ВОДА 9 мес. 2019'!BQ55)</f>
        <v>456.74097659450388</v>
      </c>
      <c r="Q42" s="3351">
        <f>SUM('ФАКТ. СЕБЕСТ ВОДА 9 мес. 2019'!BR55)</f>
        <v>0.22947164999999997</v>
      </c>
      <c r="R42" s="3351">
        <f>SUM('ФАКТ. СЕБЕСТ ВОДА 9 мес. 2019'!CB55)</f>
        <v>913.94089648900763</v>
      </c>
      <c r="S42" s="3351">
        <f>SUM('ФАКТ. СЕБЕСТ ВОДА 9 мес. 2019'!CC55)</f>
        <v>913.48195318900775</v>
      </c>
      <c r="T42" s="3351">
        <f>SUM('ФАКТ. СЕБЕСТ ВОДА 9 мес. 2019'!CD55)</f>
        <v>0.45894329999999994</v>
      </c>
      <c r="U42" s="3351">
        <f>SUM('ФАКТ. СЕБЕСТ ВОДА 9 мес. 2019'!DO55)</f>
        <v>456.97044824450381</v>
      </c>
      <c r="V42" s="3351">
        <f>SUM('ФАКТ. СЕБЕСТ ВОДА 9 мес. 2019'!DP55)</f>
        <v>456.74097659450388</v>
      </c>
      <c r="W42" s="3351">
        <f>SUM('ФАКТ. СЕБЕСТ ВОДА 9 мес. 2019'!DQ55)</f>
        <v>0.22947164999999997</v>
      </c>
      <c r="X42" s="3351">
        <f>SUM('ФАКТ. СЕБЕСТ ВОДА 9 мес. 2019'!EA55)</f>
        <v>1370.9113447335114</v>
      </c>
      <c r="Y42" s="3351">
        <f>SUM('ФАКТ. СЕБЕСТ ВОДА 9 мес. 2019'!EB55)</f>
        <v>1370.2229297835115</v>
      </c>
      <c r="Z42" s="3351">
        <f>SUM('ФАКТ. СЕБЕСТ ВОДА 9 мес. 2019'!EC55)</f>
        <v>0.68841494999999986</v>
      </c>
      <c r="AA42" s="3351">
        <f>SUM('ФАКТ. СЕБЕСТ ВОДА 9 мес. 2019'!FN55)</f>
        <v>456.97044824450381</v>
      </c>
      <c r="AB42" s="3351">
        <f>SUM('ФАКТ. СЕБЕСТ ВОДА 9 мес. 2019'!FO55)</f>
        <v>456.74097659450388</v>
      </c>
      <c r="AC42" s="3351">
        <f>SUM('ФАКТ. СЕБЕСТ ВОДА 9 мес. 2019'!FP55)</f>
        <v>0.22947164999999997</v>
      </c>
      <c r="AD42" s="3355">
        <f>SUM('ФАКТ. СЕБЕСТ ВОДА 9 мес. 2019'!FZ55)</f>
        <v>1827.8817929780153</v>
      </c>
      <c r="AE42" s="3355">
        <f>SUM('ФАКТ. СЕБЕСТ ВОДА 9 мес. 2019'!GA55)</f>
        <v>1826.9639063780155</v>
      </c>
      <c r="AF42" s="3366">
        <f>SUM('ФАКТ. СЕБЕСТ ВОДА 9 мес. 2019'!GB55)</f>
        <v>0.91788659999999989</v>
      </c>
    </row>
    <row r="43" spans="1:61" ht="18.75" x14ac:dyDescent="0.3">
      <c r="A43" s="3368" t="s">
        <v>533</v>
      </c>
      <c r="B43" s="3370"/>
      <c r="C43" s="3370"/>
      <c r="D43" s="3370"/>
      <c r="E43" s="3370"/>
      <c r="F43" s="3370"/>
      <c r="G43" s="3370"/>
      <c r="H43" s="3370"/>
      <c r="I43" s="3370"/>
      <c r="J43" s="3370"/>
      <c r="K43" s="3363" t="s">
        <v>915</v>
      </c>
      <c r="L43" s="3351">
        <f>SUM('ФАКТ. СЕБЕСТ ВОДА 9 мес. 2019'!AC56)</f>
        <v>21.777500000000003</v>
      </c>
      <c r="M43" s="3351">
        <f>SUM('ФАКТ. СЕБЕСТ ВОДА 9 мес. 2019'!AD56)</f>
        <v>21.766975145142208</v>
      </c>
      <c r="N43" s="3351">
        <f>SUM('ФАКТ. СЕБЕСТ ВОДА 9 мес. 2019'!AE56)</f>
        <v>1.0524854857792657E-2</v>
      </c>
      <c r="O43" s="3351">
        <f>SUM('ФАКТ. СЕБЕСТ ВОДА 9 мес. 2019'!BP56)</f>
        <v>21.777500000000003</v>
      </c>
      <c r="P43" s="3351">
        <f>SUM('ФАКТ. СЕБЕСТ ВОДА 9 мес. 2019'!BQ56)</f>
        <v>21.766975145142208</v>
      </c>
      <c r="Q43" s="3351">
        <f>SUM('ФАКТ. СЕБЕСТ ВОДА 9 мес. 2019'!BR56)</f>
        <v>1.0524854857792657E-2</v>
      </c>
      <c r="R43" s="3351">
        <f>SUM('ФАКТ. СЕБЕСТ ВОДА 9 мес. 2019'!CB56)</f>
        <v>43.555000000000007</v>
      </c>
      <c r="S43" s="3351">
        <f>SUM('ФАКТ. СЕБЕСТ ВОДА 9 мес. 2019'!CC56)</f>
        <v>43.533950290284416</v>
      </c>
      <c r="T43" s="3351">
        <f>SUM('ФАКТ. СЕБЕСТ ВОДА 9 мес. 2019'!CD56)</f>
        <v>2.1049709715585313E-2</v>
      </c>
      <c r="U43" s="3351">
        <f>SUM('ФАКТ. СЕБЕСТ ВОДА 9 мес. 2019'!DO56)</f>
        <v>21.777500000000003</v>
      </c>
      <c r="V43" s="3351">
        <f>SUM('ФАКТ. СЕБЕСТ ВОДА 9 мес. 2019'!DP56)</f>
        <v>21.766975145142208</v>
      </c>
      <c r="W43" s="3351">
        <f>SUM('ФАКТ. СЕБЕСТ ВОДА 9 мес. 2019'!DQ56)</f>
        <v>1.0524854857792657E-2</v>
      </c>
      <c r="X43" s="3351">
        <f>SUM('ФАКТ. СЕБЕСТ ВОДА 9 мес. 2019'!EA56)</f>
        <v>65.33250000000001</v>
      </c>
      <c r="Y43" s="3351">
        <f>SUM('ФАКТ. СЕБЕСТ ВОДА 9 мес. 2019'!EB56)</f>
        <v>65.30092543542662</v>
      </c>
      <c r="Z43" s="3351">
        <f>SUM('ФАКТ. СЕБЕСТ ВОДА 9 мес. 2019'!EC56)</f>
        <v>3.157456457337797E-2</v>
      </c>
      <c r="AA43" s="3351">
        <f>SUM('ФАКТ. СЕБЕСТ ВОДА 9 мес. 2019'!FN56)</f>
        <v>21.777500000000003</v>
      </c>
      <c r="AB43" s="3351">
        <f>SUM('ФАКТ. СЕБЕСТ ВОДА 9 мес. 2019'!FO56)</f>
        <v>21.766975145142208</v>
      </c>
      <c r="AC43" s="3351">
        <f>SUM('ФАКТ. СЕБЕСТ ВОДА 9 мес. 2019'!FP56)</f>
        <v>1.0524854857792657E-2</v>
      </c>
      <c r="AD43" s="3355">
        <f>SUM('ФАКТ. СЕБЕСТ ВОДА 9 мес. 2019'!FZ56)</f>
        <v>87.110000000000014</v>
      </c>
      <c r="AE43" s="3355">
        <f>SUM('ФАКТ. СЕБЕСТ ВОДА 9 мес. 2019'!GA56)</f>
        <v>87.067900580568832</v>
      </c>
      <c r="AF43" s="3366">
        <f>SUM('ФАКТ. СЕБЕСТ ВОДА 9 мес. 2019'!GB56)</f>
        <v>4.2099419431170626E-2</v>
      </c>
    </row>
    <row r="44" spans="1:61" ht="18.75" x14ac:dyDescent="0.3">
      <c r="A44" s="3368" t="s">
        <v>534</v>
      </c>
      <c r="B44" s="3370"/>
      <c r="C44" s="3370"/>
      <c r="D44" s="3370"/>
      <c r="E44" s="3370"/>
      <c r="F44" s="3370"/>
      <c r="G44" s="3370"/>
      <c r="H44" s="3370"/>
      <c r="I44" s="3370"/>
      <c r="J44" s="3370"/>
      <c r="K44" s="3363" t="s">
        <v>915</v>
      </c>
      <c r="L44" s="3351">
        <f>SUM('ФАКТ. СЕБЕСТ ВОДА 9 мес. 2019'!AC57)</f>
        <v>0</v>
      </c>
      <c r="M44" s="3351">
        <f>SUM('ФАКТ. СЕБЕСТ ВОДА 9 мес. 2019'!AD57)</f>
        <v>0</v>
      </c>
      <c r="N44" s="3351">
        <f>SUM('ФАКТ. СЕБЕСТ ВОДА 9 мес. 2019'!AE57)</f>
        <v>0</v>
      </c>
      <c r="O44" s="3351">
        <f>SUM('ФАКТ. СЕБЕСТ ВОДА 9 мес. 2019'!BP57)</f>
        <v>0</v>
      </c>
      <c r="P44" s="3351">
        <f>SUM('ФАКТ. СЕБЕСТ ВОДА 9 мес. 2019'!BQ57)</f>
        <v>0</v>
      </c>
      <c r="Q44" s="3351">
        <f>SUM('ФАКТ. СЕБЕСТ ВОДА 9 мес. 2019'!BR57)</f>
        <v>0</v>
      </c>
      <c r="R44" s="3351">
        <f>SUM('ФАКТ. СЕБЕСТ ВОДА 9 мес. 2019'!CB57)</f>
        <v>0</v>
      </c>
      <c r="S44" s="3351">
        <f>SUM('ФАКТ. СЕБЕСТ ВОДА 9 мес. 2019'!CC57)</f>
        <v>0</v>
      </c>
      <c r="T44" s="3351">
        <f>SUM('ФАКТ. СЕБЕСТ ВОДА 9 мес. 2019'!CD57)</f>
        <v>0</v>
      </c>
      <c r="U44" s="3351">
        <f>SUM('ФАКТ. СЕБЕСТ ВОДА 9 мес. 2019'!DO57)</f>
        <v>0</v>
      </c>
      <c r="V44" s="3351">
        <f>SUM('ФАКТ. СЕБЕСТ ВОДА 9 мес. 2019'!DP57)</f>
        <v>0</v>
      </c>
      <c r="W44" s="3351">
        <f>SUM('ФАКТ. СЕБЕСТ ВОДА 9 мес. 2019'!DQ57)</f>
        <v>0</v>
      </c>
      <c r="X44" s="3351">
        <f>SUM('ФАКТ. СЕБЕСТ ВОДА 9 мес. 2019'!EA57)</f>
        <v>0</v>
      </c>
      <c r="Y44" s="3351">
        <f>SUM('ФАКТ. СЕБЕСТ ВОДА 9 мес. 2019'!EB57)</f>
        <v>0</v>
      </c>
      <c r="Z44" s="3351">
        <f>SUM('ФАКТ. СЕБЕСТ ВОДА 9 мес. 2019'!EC57)</f>
        <v>0</v>
      </c>
      <c r="AA44" s="3351">
        <f>SUM('ФАКТ. СЕБЕСТ ВОДА 9 мес. 2019'!FN57)</f>
        <v>0</v>
      </c>
      <c r="AB44" s="3351">
        <f>SUM('ФАКТ. СЕБЕСТ ВОДА 9 мес. 2019'!FO57)</f>
        <v>0</v>
      </c>
      <c r="AC44" s="3351">
        <f>SUM('ФАКТ. СЕБЕСТ ВОДА 9 мес. 2019'!FP57)</f>
        <v>0</v>
      </c>
      <c r="AD44" s="3355">
        <f>SUM('ФАКТ. СЕБЕСТ ВОДА 9 мес. 2019'!FZ57)</f>
        <v>0</v>
      </c>
      <c r="AE44" s="3355">
        <f>SUM('ФАКТ. СЕБЕСТ ВОДА 9 мес. 2019'!GA57)</f>
        <v>0</v>
      </c>
      <c r="AF44" s="3366">
        <f>SUM('ФАКТ. СЕБЕСТ ВОДА 9 мес. 2019'!GB57)</f>
        <v>0</v>
      </c>
    </row>
    <row r="45" spans="1:61" ht="18.75" x14ac:dyDescent="0.3">
      <c r="A45" s="3368" t="s">
        <v>535</v>
      </c>
      <c r="B45" s="3370"/>
      <c r="C45" s="3370"/>
      <c r="D45" s="3370"/>
      <c r="E45" s="3370"/>
      <c r="F45" s="3370"/>
      <c r="G45" s="3370"/>
      <c r="H45" s="3370"/>
      <c r="I45" s="3370"/>
      <c r="J45" s="3370"/>
      <c r="K45" s="3363" t="s">
        <v>915</v>
      </c>
      <c r="L45" s="3351">
        <f>SUM('ФАКТ. СЕБЕСТ ВОДА 9 мес. 2019'!AC58)</f>
        <v>461.69255459499999</v>
      </c>
      <c r="M45" s="3351">
        <f>SUM('ФАКТ. СЕБЕСТ ВОДА 9 мес. 2019'!AD58)</f>
        <v>461.35766513699411</v>
      </c>
      <c r="N45" s="3351">
        <f>SUM('ФАКТ. СЕБЕСТ ВОДА 9 мес. 2019'!AE58)</f>
        <v>0.33488945800585129</v>
      </c>
      <c r="O45" s="3351">
        <f>SUM('ФАКТ. СЕБЕСТ ВОДА 9 мес. 2019'!BP58)</f>
        <v>461.69255459499999</v>
      </c>
      <c r="P45" s="3351">
        <f>SUM('ФАКТ. СЕБЕСТ ВОДА 9 мес. 2019'!BQ58)</f>
        <v>461.35766513699411</v>
      </c>
      <c r="Q45" s="3351">
        <f>SUM('ФАКТ. СЕБЕСТ ВОДА 9 мес. 2019'!BR58)</f>
        <v>0.33488945800585129</v>
      </c>
      <c r="R45" s="3351">
        <f>SUM('ФАКТ. СЕБЕСТ ВОДА 9 мес. 2019'!CB58)</f>
        <v>923.38510918999998</v>
      </c>
      <c r="S45" s="3351">
        <f>SUM('ФАКТ. СЕБЕСТ ВОДА 9 мес. 2019'!CC58)</f>
        <v>922.71533027398823</v>
      </c>
      <c r="T45" s="3351">
        <f>SUM('ФАКТ. СЕБЕСТ ВОДА 9 мес. 2019'!CD58)</f>
        <v>0.66977891601170259</v>
      </c>
      <c r="U45" s="3351">
        <f>SUM('ФАКТ. СЕБЕСТ ВОДА 9 мес. 2019'!DO58)</f>
        <v>461.69255459499999</v>
      </c>
      <c r="V45" s="3351">
        <f>SUM('ФАКТ. СЕБЕСТ ВОДА 9 мес. 2019'!DP58)</f>
        <v>461.35766513699411</v>
      </c>
      <c r="W45" s="3351">
        <f>SUM('ФАКТ. СЕБЕСТ ВОДА 9 мес. 2019'!DQ58)</f>
        <v>0.33488945800585129</v>
      </c>
      <c r="X45" s="3351">
        <f>SUM('ФАКТ. СЕБЕСТ ВОДА 9 мес. 2019'!EA58)</f>
        <v>1385.0776637849999</v>
      </c>
      <c r="Y45" s="3351">
        <f>SUM('ФАКТ. СЕБЕСТ ВОДА 9 мес. 2019'!EB58)</f>
        <v>1384.0729954109825</v>
      </c>
      <c r="Z45" s="3351">
        <f>SUM('ФАКТ. СЕБЕСТ ВОДА 9 мес. 2019'!EC58)</f>
        <v>1.0046683740175539</v>
      </c>
      <c r="AA45" s="3351">
        <f>SUM('ФАКТ. СЕБЕСТ ВОДА 9 мес. 2019'!FN58)</f>
        <v>461.69255459499999</v>
      </c>
      <c r="AB45" s="3351">
        <f>SUM('ФАКТ. СЕБЕСТ ВОДА 9 мес. 2019'!FO58)</f>
        <v>461.35766513699411</v>
      </c>
      <c r="AC45" s="3351">
        <f>SUM('ФАКТ. СЕБЕСТ ВОДА 9 мес. 2019'!FP58)</f>
        <v>0.33488945800585129</v>
      </c>
      <c r="AD45" s="3355">
        <f>SUM('ФАКТ. СЕБЕСТ ВОДА 9 мес. 2019'!FZ58)</f>
        <v>1846.77021838</v>
      </c>
      <c r="AE45" s="3355">
        <f>SUM('ФАКТ. СЕБЕСТ ВОДА 9 мес. 2019'!GA58)</f>
        <v>1845.4306605479765</v>
      </c>
      <c r="AF45" s="3366">
        <f>SUM('ФАКТ. СЕБЕСТ ВОДА 9 мес. 2019'!GB58)</f>
        <v>1.3395578320234052</v>
      </c>
    </row>
    <row r="46" spans="1:61" ht="18.75" x14ac:dyDescent="0.3">
      <c r="A46" s="3372" t="s">
        <v>3618</v>
      </c>
      <c r="B46" s="3370"/>
      <c r="C46" s="3370"/>
      <c r="D46" s="3370"/>
      <c r="E46" s="3370"/>
      <c r="F46" s="3370"/>
      <c r="G46" s="3370"/>
      <c r="H46" s="3370"/>
      <c r="I46" s="3370"/>
      <c r="J46" s="3370"/>
      <c r="K46" s="3363" t="s">
        <v>915</v>
      </c>
      <c r="L46" s="3349">
        <f>SUM('ФАКТ. СЕБЕСТ ВОДА 9 мес. 2019'!AC60)</f>
        <v>2582.91725</v>
      </c>
      <c r="M46" s="3349">
        <f>SUM('ФАКТ. СЕБЕСТ ВОДА 9 мес. 2019'!AD60)</f>
        <v>2581.6689511059149</v>
      </c>
      <c r="N46" s="3349">
        <f>SUM('ФАКТ. СЕБЕСТ ВОДА 9 мес. 2019'!AE60)</f>
        <v>1.2482988940851316</v>
      </c>
      <c r="O46" s="3349">
        <f>SUM('ФАКТ. СЕБЕСТ ВОДА 9 мес. 2019'!BP60)</f>
        <v>2582.91725</v>
      </c>
      <c r="P46" s="3349">
        <f>SUM('ФАКТ. СЕБЕСТ ВОДА 9 мес. 2019'!BQ60)</f>
        <v>2581.6689511059149</v>
      </c>
      <c r="Q46" s="3349">
        <f>SUM('ФАКТ. СЕБЕСТ ВОДА 9 мес. 2019'!BR60)</f>
        <v>1.2482988940851316</v>
      </c>
      <c r="R46" s="3349">
        <f>SUM('ФАКТ. СЕБЕСТ ВОДА 9 мес. 2019'!CB60)</f>
        <v>5165.8344999999999</v>
      </c>
      <c r="S46" s="3349">
        <f>SUM('ФАКТ. СЕБЕСТ ВОДА 9 мес. 2019'!CC60)</f>
        <v>5163.3379022118297</v>
      </c>
      <c r="T46" s="3349">
        <f>SUM('ФАКТ. СЕБЕСТ ВОДА 9 мес. 2019'!CD60)</f>
        <v>2.4965977881702632</v>
      </c>
      <c r="U46" s="3349">
        <f>SUM('ФАКТ. СЕБЕСТ ВОДА 9 мес. 2019'!DO60)</f>
        <v>2582.91725</v>
      </c>
      <c r="V46" s="3349">
        <f>SUM('ФАКТ. СЕБЕСТ ВОДА 9 мес. 2019'!DP60)</f>
        <v>2581.6689511059149</v>
      </c>
      <c r="W46" s="3349">
        <f>SUM('ФАКТ. СЕБЕСТ ВОДА 9 мес. 2019'!DQ60)</f>
        <v>1.2482988940851316</v>
      </c>
      <c r="X46" s="3349">
        <f>SUM('ФАКТ. СЕБЕСТ ВОДА 9 мес. 2019'!EA60)</f>
        <v>7748.7517499999994</v>
      </c>
      <c r="Y46" s="3349">
        <f>SUM('ФАКТ. СЕБЕСТ ВОДА 9 мес. 2019'!EB60)</f>
        <v>7745.0068533177446</v>
      </c>
      <c r="Z46" s="3349">
        <f>SUM('ФАКТ. СЕБЕСТ ВОДА 9 мес. 2019'!EC60)</f>
        <v>3.7448966822553951</v>
      </c>
      <c r="AA46" s="3349">
        <f>SUM('ФАКТ. СЕБЕСТ ВОДА 9 мес. 2019'!FN60)</f>
        <v>2582.91725</v>
      </c>
      <c r="AB46" s="3349">
        <f>SUM('ФАКТ. СЕБЕСТ ВОДА 9 мес. 2019'!FO60)</f>
        <v>2581.6689511059149</v>
      </c>
      <c r="AC46" s="3349">
        <f>SUM('ФАКТ. СЕБЕСТ ВОДА 9 мес. 2019'!FP60)</f>
        <v>1.2482988940851316</v>
      </c>
      <c r="AD46" s="3353">
        <f>SUM('ФАКТ. СЕБЕСТ ВОДА 9 мес. 2019'!FZ60)</f>
        <v>10331.669</v>
      </c>
      <c r="AE46" s="3353">
        <f>SUM('ФАКТ. СЕБЕСТ ВОДА 9 мес. 2019'!GA60)</f>
        <v>10326.675804423659</v>
      </c>
      <c r="AF46" s="3364">
        <f>SUM('ФАКТ. СЕБЕСТ ВОДА 9 мес. 2019'!GB60)</f>
        <v>4.9931955763405265</v>
      </c>
    </row>
    <row r="47" spans="1:61" ht="18.75" customHeight="1" x14ac:dyDescent="0.3">
      <c r="A47" s="3369" t="s">
        <v>3605</v>
      </c>
      <c r="B47" s="3370"/>
      <c r="C47" s="3370"/>
      <c r="D47" s="3370"/>
      <c r="E47" s="3370"/>
      <c r="F47" s="3370"/>
      <c r="G47" s="3370"/>
      <c r="H47" s="3370"/>
      <c r="I47" s="3370"/>
      <c r="J47" s="3370"/>
      <c r="K47" s="3363" t="s">
        <v>915</v>
      </c>
      <c r="L47" s="3351">
        <f>SUM('ФАКТ. СЕБЕСТ ВОДА 9 мес. 2019'!AC61)</f>
        <v>1642.8624999999997</v>
      </c>
      <c r="M47" s="3351">
        <f>SUM('ФАКТ. СЕБЕСТ ВОДА 9 мес. 2019'!AD61)</f>
        <v>1642.0685204631473</v>
      </c>
      <c r="N47" s="3351">
        <f>SUM('ФАКТ. СЕБЕСТ ВОДА 9 мес. 2019'!AE61)</f>
        <v>0.79397953685273281</v>
      </c>
      <c r="O47" s="3351">
        <f>SUM('ФАКТ. СЕБЕСТ ВОДА 9 мес. 2019'!BP61)</f>
        <v>1642.8624999999997</v>
      </c>
      <c r="P47" s="3351">
        <f>SUM('ФАКТ. СЕБЕСТ ВОДА 9 мес. 2019'!BQ61)</f>
        <v>1642.0685204631473</v>
      </c>
      <c r="Q47" s="3351">
        <f>SUM('ФАКТ. СЕБЕСТ ВОДА 9 мес. 2019'!BR61)</f>
        <v>0.79397953685273281</v>
      </c>
      <c r="R47" s="3351">
        <f>SUM('ФАКТ. СЕБЕСТ ВОДА 9 мес. 2019'!CB61)</f>
        <v>3285.7249999999995</v>
      </c>
      <c r="S47" s="3351">
        <f>SUM('ФАКТ. СЕБЕСТ ВОДА 9 мес. 2019'!CC61)</f>
        <v>3284.1370409262945</v>
      </c>
      <c r="T47" s="3351">
        <f>SUM('ФАКТ. СЕБЕСТ ВОДА 9 мес. 2019'!CD61)</f>
        <v>1.5879590737054656</v>
      </c>
      <c r="U47" s="3351">
        <f>SUM('ФАКТ. СЕБЕСТ ВОДА 9 мес. 2019'!DO61)</f>
        <v>1642.8624999999997</v>
      </c>
      <c r="V47" s="3351">
        <f>SUM('ФАКТ. СЕБЕСТ ВОДА 9 мес. 2019'!DP61)</f>
        <v>1642.0685204631473</v>
      </c>
      <c r="W47" s="3351">
        <f>SUM('ФАКТ. СЕБЕСТ ВОДА 9 мес. 2019'!DQ61)</f>
        <v>0.79397953685273281</v>
      </c>
      <c r="X47" s="3351">
        <f>SUM('ФАКТ. СЕБЕСТ ВОДА 9 мес. 2019'!EA61)</f>
        <v>4928.5874999999996</v>
      </c>
      <c r="Y47" s="3351">
        <f>SUM('ФАКТ. СЕБЕСТ ВОДА 9 мес. 2019'!EB61)</f>
        <v>4926.2055613894418</v>
      </c>
      <c r="Z47" s="3351">
        <f>SUM('ФАКТ. СЕБЕСТ ВОДА 9 мес. 2019'!EC61)</f>
        <v>2.3819386105581986</v>
      </c>
      <c r="AA47" s="3351">
        <f>SUM('ФАКТ. СЕБЕСТ ВОДА 9 мес. 2019'!FN61)</f>
        <v>1642.8624999999997</v>
      </c>
      <c r="AB47" s="3351">
        <f>SUM('ФАКТ. СЕБЕСТ ВОДА 9 мес. 2019'!FO61)</f>
        <v>1642.0685204631473</v>
      </c>
      <c r="AC47" s="3351">
        <f>SUM('ФАКТ. СЕБЕСТ ВОДА 9 мес. 2019'!FP61)</f>
        <v>0.79397953685273281</v>
      </c>
      <c r="AD47" s="3355">
        <f>SUM('ФАКТ. СЕБЕСТ ВОДА 9 мес. 2019'!FZ61)</f>
        <v>6571.4499999999989</v>
      </c>
      <c r="AE47" s="3355">
        <f>SUM('ФАКТ. СЕБЕСТ ВОДА 9 мес. 2019'!GA61)</f>
        <v>6568.274081852589</v>
      </c>
      <c r="AF47" s="3366">
        <f>SUM('ФАКТ. СЕБЕСТ ВОДА 9 мес. 2019'!GB61)</f>
        <v>3.1759181474109313</v>
      </c>
    </row>
    <row r="48" spans="1:61" ht="18.75" x14ac:dyDescent="0.3">
      <c r="A48" s="3369" t="s">
        <v>3606</v>
      </c>
      <c r="B48" s="3370"/>
      <c r="C48" s="3370"/>
      <c r="D48" s="3370"/>
      <c r="E48" s="3370"/>
      <c r="F48" s="3370"/>
      <c r="G48" s="3370"/>
      <c r="H48" s="3370"/>
      <c r="I48" s="3370"/>
      <c r="J48" s="3370"/>
      <c r="K48" s="3363" t="s">
        <v>915</v>
      </c>
      <c r="L48" s="3351">
        <f>SUM('ФАКТ. СЕБЕСТ ВОДА 9 мес. 2019'!AC62)</f>
        <v>492.86</v>
      </c>
      <c r="M48" s="3351">
        <f>SUM('ФАКТ. СЕБЕСТ ВОДА 9 мес. 2019'!AD62)</f>
        <v>492.62180553483131</v>
      </c>
      <c r="N48" s="3351">
        <f>SUM('ФАКТ. СЕБЕСТ ВОДА 9 мес. 2019'!AE62)</f>
        <v>0.2381944651687149</v>
      </c>
      <c r="O48" s="3351">
        <f>SUM('ФАКТ. СЕБЕСТ ВОДА 9 мес. 2019'!BP62)</f>
        <v>492.86</v>
      </c>
      <c r="P48" s="3351">
        <f>SUM('ФАКТ. СЕБЕСТ ВОДА 9 мес. 2019'!BQ62)</f>
        <v>492.62180553483131</v>
      </c>
      <c r="Q48" s="3351">
        <f>SUM('ФАКТ. СЕБЕСТ ВОДА 9 мес. 2019'!BR62)</f>
        <v>0.2381944651687149</v>
      </c>
      <c r="R48" s="3351">
        <f>SUM('ФАКТ. СЕБЕСТ ВОДА 9 мес. 2019'!CB62)</f>
        <v>985.72</v>
      </c>
      <c r="S48" s="3351">
        <f>SUM('ФАКТ. СЕБЕСТ ВОДА 9 мес. 2019'!CC62)</f>
        <v>985.24361106966262</v>
      </c>
      <c r="T48" s="3351">
        <f>SUM('ФАКТ. СЕБЕСТ ВОДА 9 мес. 2019'!CD62)</f>
        <v>0.47638893033742979</v>
      </c>
      <c r="U48" s="3351">
        <f>SUM('ФАКТ. СЕБЕСТ ВОДА 9 мес. 2019'!DO62)</f>
        <v>492.86</v>
      </c>
      <c r="V48" s="3351">
        <f>SUM('ФАКТ. СЕБЕСТ ВОДА 9 мес. 2019'!DP62)</f>
        <v>492.62180553483131</v>
      </c>
      <c r="W48" s="3351">
        <f>SUM('ФАКТ. СЕБЕСТ ВОДА 9 мес. 2019'!DQ62)</f>
        <v>0.2381944651687149</v>
      </c>
      <c r="X48" s="3351">
        <f>SUM('ФАКТ. СЕБЕСТ ВОДА 9 мес. 2019'!EA62)</f>
        <v>1478.58</v>
      </c>
      <c r="Y48" s="3351">
        <f>SUM('ФАКТ. СЕБЕСТ ВОДА 9 мес. 2019'!EB62)</f>
        <v>1477.8654166044939</v>
      </c>
      <c r="Z48" s="3351">
        <f>SUM('ФАКТ. СЕБЕСТ ВОДА 9 мес. 2019'!EC62)</f>
        <v>0.71458339550614469</v>
      </c>
      <c r="AA48" s="3351">
        <f>SUM('ФАКТ. СЕБЕСТ ВОДА 9 мес. 2019'!FN62)</f>
        <v>492.86</v>
      </c>
      <c r="AB48" s="3351">
        <f>SUM('ФАКТ. СЕБЕСТ ВОДА 9 мес. 2019'!FO62)</f>
        <v>492.62180553483131</v>
      </c>
      <c r="AC48" s="3351">
        <f>SUM('ФАКТ. СЕБЕСТ ВОДА 9 мес. 2019'!FP62)</f>
        <v>0.2381944651687149</v>
      </c>
      <c r="AD48" s="3355">
        <f>SUM('ФАКТ. СЕБЕСТ ВОДА 9 мес. 2019'!FZ62)</f>
        <v>1971.44</v>
      </c>
      <c r="AE48" s="3355">
        <f>SUM('ФАКТ. СЕБЕСТ ВОДА 9 мес. 2019'!GA62)</f>
        <v>1970.4872221393252</v>
      </c>
      <c r="AF48" s="3366">
        <f>SUM('ФАКТ. СЕБЕСТ ВОДА 9 мес. 2019'!GB62)</f>
        <v>0.95277786067485959</v>
      </c>
    </row>
    <row r="49" spans="1:32" ht="18.75" x14ac:dyDescent="0.3">
      <c r="A49" s="3369" t="s">
        <v>280</v>
      </c>
      <c r="B49" s="3370"/>
      <c r="C49" s="3370"/>
      <c r="D49" s="3370"/>
      <c r="E49" s="3370"/>
      <c r="F49" s="3370"/>
      <c r="G49" s="3370"/>
      <c r="H49" s="3370"/>
      <c r="I49" s="3370"/>
      <c r="J49" s="3370"/>
      <c r="K49" s="3363" t="s">
        <v>915</v>
      </c>
      <c r="L49" s="3351">
        <f>SUM('ФАКТ. СЕБЕСТ ВОДА 9 мес. 2019'!AC63)</f>
        <v>3.8897500000000003</v>
      </c>
      <c r="M49" s="3351">
        <f>SUM('ФАКТ. СЕБЕСТ ВОДА 9 мес. 2019'!AD63)</f>
        <v>3.8878701214931422</v>
      </c>
      <c r="N49" s="3351">
        <f>SUM('ФАКТ. СЕБЕСТ ВОДА 9 мес. 2019'!AE63)</f>
        <v>1.8798785068579492E-3</v>
      </c>
      <c r="O49" s="3351">
        <f>SUM('ФАКТ. СЕБЕСТ ВОДА 9 мес. 2019'!BP63)</f>
        <v>3.8897500000000003</v>
      </c>
      <c r="P49" s="3351">
        <f>SUM('ФАКТ. СЕБЕСТ ВОДА 9 мес. 2019'!BQ63)</f>
        <v>3.8878701214931422</v>
      </c>
      <c r="Q49" s="3351">
        <f>SUM('ФАКТ. СЕБЕСТ ВОДА 9 мес. 2019'!BR63)</f>
        <v>1.8798785068579492E-3</v>
      </c>
      <c r="R49" s="3351">
        <f>SUM('ФАКТ. СЕБЕСТ ВОДА 9 мес. 2019'!CB63)</f>
        <v>7.7795000000000005</v>
      </c>
      <c r="S49" s="3351">
        <f>SUM('ФАКТ. СЕБЕСТ ВОДА 9 мес. 2019'!CC63)</f>
        <v>7.7757402429862843</v>
      </c>
      <c r="T49" s="3351">
        <f>SUM('ФАКТ. СЕБЕСТ ВОДА 9 мес. 2019'!CD63)</f>
        <v>3.7597570137158985E-3</v>
      </c>
      <c r="U49" s="3351">
        <f>SUM('ФАКТ. СЕБЕСТ ВОДА 9 мес. 2019'!DO63)</f>
        <v>3.8897500000000003</v>
      </c>
      <c r="V49" s="3351">
        <f>SUM('ФАКТ. СЕБЕСТ ВОДА 9 мес. 2019'!DP63)</f>
        <v>3.8878701214931422</v>
      </c>
      <c r="W49" s="3351">
        <f>SUM('ФАКТ. СЕБЕСТ ВОДА 9 мес. 2019'!DQ63)</f>
        <v>1.8798785068579492E-3</v>
      </c>
      <c r="X49" s="3351">
        <f>SUM('ФАКТ. СЕБЕСТ ВОДА 9 мес. 2019'!EA63)</f>
        <v>11.669250000000002</v>
      </c>
      <c r="Y49" s="3351">
        <f>SUM('ФАКТ. СЕБЕСТ ВОДА 9 мес. 2019'!EB63)</f>
        <v>11.663610364479426</v>
      </c>
      <c r="Z49" s="3351">
        <f>SUM('ФАКТ. СЕБЕСТ ВОДА 9 мес. 2019'!EC63)</f>
        <v>5.6396355205738475E-3</v>
      </c>
      <c r="AA49" s="3351">
        <f>SUM('ФАКТ. СЕБЕСТ ВОДА 9 мес. 2019'!FN63)</f>
        <v>3.8897500000000003</v>
      </c>
      <c r="AB49" s="3351">
        <f>SUM('ФАКТ. СЕБЕСТ ВОДА 9 мес. 2019'!FO63)</f>
        <v>3.8878701214931422</v>
      </c>
      <c r="AC49" s="3351">
        <f>SUM('ФАКТ. СЕБЕСТ ВОДА 9 мес. 2019'!FP63)</f>
        <v>1.8798785068579492E-3</v>
      </c>
      <c r="AD49" s="3355">
        <f>SUM('ФАКТ. СЕБЕСТ ВОДА 9 мес. 2019'!FZ63)</f>
        <v>15.559000000000001</v>
      </c>
      <c r="AE49" s="3355">
        <f>SUM('ФАКТ. СЕБЕСТ ВОДА 9 мес. 2019'!GA63)</f>
        <v>15.551480485972569</v>
      </c>
      <c r="AF49" s="3366">
        <f>SUM('ФАКТ. СЕБЕСТ ВОДА 9 мес. 2019'!GB63)</f>
        <v>7.519514027431797E-3</v>
      </c>
    </row>
    <row r="50" spans="1:32" ht="18.75" x14ac:dyDescent="0.3">
      <c r="A50" s="3369" t="s">
        <v>1560</v>
      </c>
      <c r="B50" s="3370"/>
      <c r="C50" s="3370"/>
      <c r="D50" s="3370"/>
      <c r="E50" s="3370"/>
      <c r="F50" s="3370"/>
      <c r="G50" s="3370"/>
      <c r="H50" s="3370"/>
      <c r="I50" s="3370"/>
      <c r="J50" s="3370"/>
      <c r="K50" s="3363" t="s">
        <v>915</v>
      </c>
      <c r="L50" s="3351">
        <f>SUM('ФАКТ. СЕБЕСТ ВОДА 9 мес. 2019'!AC64)</f>
        <v>16.1525</v>
      </c>
      <c r="M50" s="3351">
        <f>SUM('ФАКТ. СЕБЕСТ ВОДА 9 мес. 2019'!AD64)</f>
        <v>16.144693653169991</v>
      </c>
      <c r="N50" s="3351">
        <f>SUM('ФАКТ. СЕБЕСТ ВОДА 9 мес. 2019'!AE64)</f>
        <v>7.8063468300078476E-3</v>
      </c>
      <c r="O50" s="3351">
        <f>SUM('ФАКТ. СЕБЕСТ ВОДА 9 мес. 2019'!BP64)</f>
        <v>16.1525</v>
      </c>
      <c r="P50" s="3351">
        <f>SUM('ФАКТ. СЕБЕСТ ВОДА 9 мес. 2019'!BQ64)</f>
        <v>16.144693653169991</v>
      </c>
      <c r="Q50" s="3351">
        <f>SUM('ФАКТ. СЕБЕСТ ВОДА 9 мес. 2019'!BR64)</f>
        <v>7.8063468300078476E-3</v>
      </c>
      <c r="R50" s="3351">
        <f>SUM('ФАКТ. СЕБЕСТ ВОДА 9 мес. 2019'!CB64)</f>
        <v>32.305</v>
      </c>
      <c r="S50" s="3351">
        <f>SUM('ФАКТ. СЕБЕСТ ВОДА 9 мес. 2019'!CC64)</f>
        <v>32.289387306339982</v>
      </c>
      <c r="T50" s="3351">
        <f>SUM('ФАКТ. СЕБЕСТ ВОДА 9 мес. 2019'!CD64)</f>
        <v>1.5612693660015695E-2</v>
      </c>
      <c r="U50" s="3351">
        <f>SUM('ФАКТ. СЕБЕСТ ВОДА 9 мес. 2019'!DO64)</f>
        <v>16.1525</v>
      </c>
      <c r="V50" s="3351">
        <f>SUM('ФАКТ. СЕБЕСТ ВОДА 9 мес. 2019'!DP64)</f>
        <v>16.144693653169991</v>
      </c>
      <c r="W50" s="3351">
        <f>SUM('ФАКТ. СЕБЕСТ ВОДА 9 мес. 2019'!DQ64)</f>
        <v>7.8063468300078476E-3</v>
      </c>
      <c r="X50" s="3351">
        <f>SUM('ФАКТ. СЕБЕСТ ВОДА 9 мес. 2019'!EA64)</f>
        <v>48.457499999999996</v>
      </c>
      <c r="Y50" s="3351">
        <f>SUM('ФАКТ. СЕБЕСТ ВОДА 9 мес. 2019'!EB64)</f>
        <v>48.43408095950997</v>
      </c>
      <c r="Z50" s="3351">
        <f>SUM('ФАКТ. СЕБЕСТ ВОДА 9 мес. 2019'!EC64)</f>
        <v>2.3419040490023545E-2</v>
      </c>
      <c r="AA50" s="3351">
        <f>SUM('ФАКТ. СЕБЕСТ ВОДА 9 мес. 2019'!FN64)</f>
        <v>16.1525</v>
      </c>
      <c r="AB50" s="3351">
        <f>SUM('ФАКТ. СЕБЕСТ ВОДА 9 мес. 2019'!FO64)</f>
        <v>16.144693653169991</v>
      </c>
      <c r="AC50" s="3351">
        <f>SUM('ФАКТ. СЕБЕСТ ВОДА 9 мес. 2019'!FP64)</f>
        <v>7.8063468300078476E-3</v>
      </c>
      <c r="AD50" s="3355">
        <f>SUM('ФАКТ. СЕБЕСТ ВОДА 9 мес. 2019'!FZ64)</f>
        <v>64.61</v>
      </c>
      <c r="AE50" s="3355">
        <f>SUM('ФАКТ. СЕБЕСТ ВОДА 9 мес. 2019'!GA64)</f>
        <v>64.578774612679965</v>
      </c>
      <c r="AF50" s="3366">
        <f>SUM('ФАКТ. СЕБЕСТ ВОДА 9 мес. 2019'!GB64)</f>
        <v>3.1225387320031391E-2</v>
      </c>
    </row>
    <row r="51" spans="1:32" ht="18.75" x14ac:dyDescent="0.3">
      <c r="A51" s="3369" t="s">
        <v>281</v>
      </c>
      <c r="B51" s="3370"/>
      <c r="C51" s="3370"/>
      <c r="D51" s="3370"/>
      <c r="E51" s="3370"/>
      <c r="F51" s="3370"/>
      <c r="G51" s="3370"/>
      <c r="H51" s="3370"/>
      <c r="I51" s="3370"/>
      <c r="J51" s="3370"/>
      <c r="K51" s="3363" t="s">
        <v>915</v>
      </c>
      <c r="L51" s="3351">
        <f>SUM('ФАКТ. СЕБЕСТ ВОДА 9 мес. 2019'!AC65)</f>
        <v>19.079999999999998</v>
      </c>
      <c r="M51" s="3351">
        <f>SUM('ФАКТ. СЕБЕСТ ВОДА 9 мес. 2019'!AD65)</f>
        <v>19.070778820769753</v>
      </c>
      <c r="N51" s="3351">
        <f>SUM('ФАКТ. СЕБЕСТ ВОДА 9 мес. 2019'!AE65)</f>
        <v>9.2211792302460752E-3</v>
      </c>
      <c r="O51" s="3351">
        <f>SUM('ФАКТ. СЕБЕСТ ВОДА 9 мес. 2019'!BP65)</f>
        <v>19.079999999999998</v>
      </c>
      <c r="P51" s="3351">
        <f>SUM('ФАКТ. СЕБЕСТ ВОДА 9 мес. 2019'!BQ65)</f>
        <v>19.070778820769753</v>
      </c>
      <c r="Q51" s="3351">
        <f>SUM('ФАКТ. СЕБЕСТ ВОДА 9 мес. 2019'!BR65)</f>
        <v>9.2211792302460752E-3</v>
      </c>
      <c r="R51" s="3351">
        <f>SUM('ФАКТ. СЕБЕСТ ВОДА 9 мес. 2019'!CB65)</f>
        <v>38.159999999999997</v>
      </c>
      <c r="S51" s="3351">
        <f>SUM('ФАКТ. СЕБЕСТ ВОДА 9 мес. 2019'!CC65)</f>
        <v>38.141557641539507</v>
      </c>
      <c r="T51" s="3351">
        <f>SUM('ФАКТ. СЕБЕСТ ВОДА 9 мес. 2019'!CD65)</f>
        <v>1.844235846049215E-2</v>
      </c>
      <c r="U51" s="3351">
        <f>SUM('ФАКТ. СЕБЕСТ ВОДА 9 мес. 2019'!DO65)</f>
        <v>19.079999999999998</v>
      </c>
      <c r="V51" s="3351">
        <f>SUM('ФАКТ. СЕБЕСТ ВОДА 9 мес. 2019'!DP65)</f>
        <v>19.070778820769753</v>
      </c>
      <c r="W51" s="3351">
        <f>SUM('ФАКТ. СЕБЕСТ ВОДА 9 мес. 2019'!DQ65)</f>
        <v>9.2211792302460752E-3</v>
      </c>
      <c r="X51" s="3351">
        <f>SUM('ФАКТ. СЕБЕСТ ВОДА 9 мес. 2019'!EA65)</f>
        <v>57.239999999999995</v>
      </c>
      <c r="Y51" s="3351">
        <f>SUM('ФАКТ. СЕБЕСТ ВОДА 9 мес. 2019'!EB65)</f>
        <v>57.21233646230926</v>
      </c>
      <c r="Z51" s="3351">
        <f>SUM('ФАКТ. СЕБЕСТ ВОДА 9 мес. 2019'!EC65)</f>
        <v>2.7663537690738225E-2</v>
      </c>
      <c r="AA51" s="3351">
        <f>SUM('ФАКТ. СЕБЕСТ ВОДА 9 мес. 2019'!FN65)</f>
        <v>19.079999999999998</v>
      </c>
      <c r="AB51" s="3351">
        <f>SUM('ФАКТ. СЕБЕСТ ВОДА 9 мес. 2019'!FO65)</f>
        <v>19.070778820769753</v>
      </c>
      <c r="AC51" s="3351">
        <f>SUM('ФАКТ. СЕБЕСТ ВОДА 9 мес. 2019'!FP65)</f>
        <v>9.2211792302460752E-3</v>
      </c>
      <c r="AD51" s="3355">
        <f>SUM('ФАКТ. СЕБЕСТ ВОДА 9 мес. 2019'!FZ65)</f>
        <v>76.319999999999993</v>
      </c>
      <c r="AE51" s="3355">
        <f>SUM('ФАКТ. СЕБЕСТ ВОДА 9 мес. 2019'!GA65)</f>
        <v>76.283115283079013</v>
      </c>
      <c r="AF51" s="3366">
        <f>SUM('ФАКТ. СЕБЕСТ ВОДА 9 мес. 2019'!GB65)</f>
        <v>3.6884716920984301E-2</v>
      </c>
    </row>
    <row r="52" spans="1:32" ht="18.75" x14ac:dyDescent="0.3">
      <c r="A52" s="3368" t="s">
        <v>3607</v>
      </c>
      <c r="B52" s="3370"/>
      <c r="C52" s="3370"/>
      <c r="D52" s="3370"/>
      <c r="E52" s="3370"/>
      <c r="F52" s="3370"/>
      <c r="G52" s="3370"/>
      <c r="H52" s="3370"/>
      <c r="I52" s="3370"/>
      <c r="J52" s="3370"/>
      <c r="K52" s="3363" t="s">
        <v>915</v>
      </c>
      <c r="L52" s="3351">
        <f>SUM('ФАКТ. СЕБЕСТ ВОДА 9 мес. 2019'!AC66)</f>
        <v>408.07249999999999</v>
      </c>
      <c r="M52" s="3351">
        <f>SUM('ФАКТ. СЕБЕСТ ВОДА 9 мес. 2019'!AD66)</f>
        <v>407.87528251250342</v>
      </c>
      <c r="N52" s="3351">
        <f>SUM('ФАКТ. СЕБЕСТ ВОДА 9 мес. 2019'!AE66)</f>
        <v>0.19721748749657186</v>
      </c>
      <c r="O52" s="3351">
        <f>SUM('ФАКТ. СЕБЕСТ ВОДА 9 мес. 2019'!BP66)</f>
        <v>408.07249999999999</v>
      </c>
      <c r="P52" s="3351">
        <f>SUM('ФАКТ. СЕБЕСТ ВОДА 9 мес. 2019'!BQ66)</f>
        <v>407.87528251250342</v>
      </c>
      <c r="Q52" s="3351">
        <f>SUM('ФАКТ. СЕБЕСТ ВОДА 9 мес. 2019'!BR66)</f>
        <v>0.19721748749657186</v>
      </c>
      <c r="R52" s="3351">
        <f>SUM('ФАКТ. СЕБЕСТ ВОДА 9 мес. 2019'!CB66)</f>
        <v>816.14499999999998</v>
      </c>
      <c r="S52" s="3351">
        <f>SUM('ФАКТ. СЕБЕСТ ВОДА 9 мес. 2019'!CC66)</f>
        <v>815.75056502500684</v>
      </c>
      <c r="T52" s="3351">
        <f>SUM('ФАКТ. СЕБЕСТ ВОДА 9 мес. 2019'!CD66)</f>
        <v>0.39443497499314373</v>
      </c>
      <c r="U52" s="3351">
        <f>SUM('ФАКТ. СЕБЕСТ ВОДА 9 мес. 2019'!DO66)</f>
        <v>408.07249999999999</v>
      </c>
      <c r="V52" s="3351">
        <f>SUM('ФАКТ. СЕБЕСТ ВОДА 9 мес. 2019'!DP66)</f>
        <v>407.87528251250342</v>
      </c>
      <c r="W52" s="3351">
        <f>SUM('ФАКТ. СЕБЕСТ ВОДА 9 мес. 2019'!DQ66)</f>
        <v>0.19721748749657186</v>
      </c>
      <c r="X52" s="3351">
        <f>SUM('ФАКТ. СЕБЕСТ ВОДА 9 мес. 2019'!EA66)</f>
        <v>1224.2175</v>
      </c>
      <c r="Y52" s="3351">
        <f>SUM('ФАКТ. СЕБЕСТ ВОДА 9 мес. 2019'!EB66)</f>
        <v>1223.6258475375103</v>
      </c>
      <c r="Z52" s="3351">
        <f>SUM('ФАКТ. СЕБЕСТ ВОДА 9 мес. 2019'!EC66)</f>
        <v>0.59165246248971559</v>
      </c>
      <c r="AA52" s="3351">
        <f>SUM('ФАКТ. СЕБЕСТ ВОДА 9 мес. 2019'!FN66)</f>
        <v>408.07249999999999</v>
      </c>
      <c r="AB52" s="3351">
        <f>SUM('ФАКТ. СЕБЕСТ ВОДА 9 мес. 2019'!FO66)</f>
        <v>407.87528251250342</v>
      </c>
      <c r="AC52" s="3351">
        <f>SUM('ФАКТ. СЕБЕСТ ВОДА 9 мес. 2019'!FP66)</f>
        <v>0.19721748749657186</v>
      </c>
      <c r="AD52" s="3355">
        <f>SUM('ФАКТ. СЕБЕСТ ВОДА 9 мес. 2019'!FZ66)</f>
        <v>1632.29</v>
      </c>
      <c r="AE52" s="3355">
        <f>SUM('ФАКТ. СЕБЕСТ ВОДА 9 мес. 2019'!GA66)</f>
        <v>1631.5011300500137</v>
      </c>
      <c r="AF52" s="3366">
        <f>SUM('ФАКТ. СЕБЕСТ ВОДА 9 мес. 2019'!GB66)</f>
        <v>0.78886994998628746</v>
      </c>
    </row>
    <row r="53" spans="1:32" ht="18.75" x14ac:dyDescent="0.3">
      <c r="A53" s="3362" t="s">
        <v>3677</v>
      </c>
      <c r="B53" s="3370"/>
      <c r="C53" s="3370"/>
      <c r="D53" s="3370"/>
      <c r="E53" s="3370"/>
      <c r="F53" s="3370"/>
      <c r="G53" s="3370"/>
      <c r="H53" s="3370"/>
      <c r="I53" s="3370"/>
      <c r="J53" s="3370"/>
      <c r="K53" s="3363" t="s">
        <v>915</v>
      </c>
      <c r="L53" s="3349">
        <f>SUM('ФАКТ. СЕБЕСТ ВОДА 9 мес. 2019'!AC67)</f>
        <v>0</v>
      </c>
      <c r="M53" s="3349">
        <f>SUM('ФАКТ. СЕБЕСТ ВОДА 9 мес. 2019'!AD67)</f>
        <v>0</v>
      </c>
      <c r="N53" s="3349">
        <f>SUM('ФАКТ. СЕБЕСТ ВОДА 9 мес. 2019'!AE67)</f>
        <v>0</v>
      </c>
      <c r="O53" s="3349">
        <f>SUM('ФАКТ. СЕБЕСТ ВОДА 9 мес. 2019'!BP67)</f>
        <v>0</v>
      </c>
      <c r="P53" s="3349">
        <f>SUM('ФАКТ. СЕБЕСТ ВОДА 9 мес. 2019'!BQ67)</f>
        <v>0</v>
      </c>
      <c r="Q53" s="3349">
        <f>SUM('ФАКТ. СЕБЕСТ ВОДА 9 мес. 2019'!BR67)</f>
        <v>0</v>
      </c>
      <c r="R53" s="3349">
        <f>SUM('ФАКТ. СЕБЕСТ ВОДА 9 мес. 2019'!CB67)</f>
        <v>0</v>
      </c>
      <c r="S53" s="3349">
        <f>SUM('ФАКТ. СЕБЕСТ ВОДА 9 мес. 2019'!CC67)</f>
        <v>0</v>
      </c>
      <c r="T53" s="3349">
        <f>SUM('ФАКТ. СЕБЕСТ ВОДА 9 мес. 2019'!CD67)</f>
        <v>0</v>
      </c>
      <c r="U53" s="3349">
        <f>SUM('ФАКТ. СЕБЕСТ ВОДА 9 мес. 2019'!DO67)</f>
        <v>0</v>
      </c>
      <c r="V53" s="3349">
        <f>SUM('ФАКТ. СЕБЕСТ ВОДА 9 мес. 2019'!DP67)</f>
        <v>0</v>
      </c>
      <c r="W53" s="3349">
        <f>SUM('ФАКТ. СЕБЕСТ ВОДА 9 мес. 2019'!DQ67)</f>
        <v>0</v>
      </c>
      <c r="X53" s="3349">
        <f>SUM('ФАКТ. СЕБЕСТ ВОДА 9 мес. 2019'!EA67)</f>
        <v>0</v>
      </c>
      <c r="Y53" s="3349">
        <f>SUM('ФАКТ. СЕБЕСТ ВОДА 9 мес. 2019'!EB67)</f>
        <v>0</v>
      </c>
      <c r="Z53" s="3349">
        <f>SUM('ФАКТ. СЕБЕСТ ВОДА 9 мес. 2019'!EC67)</f>
        <v>0</v>
      </c>
      <c r="AA53" s="3349">
        <f>SUM('ФАКТ. СЕБЕСТ ВОДА 9 мес. 2019'!FN67)</f>
        <v>0</v>
      </c>
      <c r="AB53" s="3349">
        <f>SUM('ФАКТ. СЕБЕСТ ВОДА 9 мес. 2019'!FO67)</f>
        <v>0</v>
      </c>
      <c r="AC53" s="3349">
        <f>SUM('ФАКТ. СЕБЕСТ ВОДА 9 мес. 2019'!FP67)</f>
        <v>0</v>
      </c>
      <c r="AD53" s="3353">
        <f>SUM('ФАКТ. СЕБЕСТ ВОДА 9 мес. 2019'!FZ67)</f>
        <v>0</v>
      </c>
      <c r="AE53" s="3353">
        <f>SUM('ФАКТ. СЕБЕСТ ВОДА 9 мес. 2019'!GA67)</f>
        <v>0</v>
      </c>
      <c r="AF53" s="3364">
        <f>SUM('ФАКТ. СЕБЕСТ ВОДА 9 мес. 2019'!GB67)</f>
        <v>0</v>
      </c>
    </row>
    <row r="54" spans="1:32" ht="18.75" x14ac:dyDescent="0.3">
      <c r="A54" s="3362" t="s">
        <v>3609</v>
      </c>
      <c r="B54" s="3370"/>
      <c r="C54" s="3370"/>
      <c r="D54" s="3370"/>
      <c r="E54" s="3370"/>
      <c r="F54" s="3370"/>
      <c r="G54" s="3370"/>
      <c r="H54" s="3370"/>
      <c r="I54" s="3370"/>
      <c r="J54" s="3370"/>
      <c r="K54" s="3363" t="s">
        <v>915</v>
      </c>
      <c r="L54" s="3349">
        <f>SUM('ФАКТ. СЕБЕСТ ВОДА 9 мес. 2019'!AC68)</f>
        <v>73.702500000000001</v>
      </c>
      <c r="M54" s="3349">
        <f>SUM('ФАКТ. СЕБЕСТ ВОДА 9 мес. 2019'!AD68)</f>
        <v>73.702500000000001</v>
      </c>
      <c r="N54" s="3349">
        <f>SUM('ФАКТ. СЕБЕСТ ВОДА 9 мес. 2019'!AE68)</f>
        <v>0</v>
      </c>
      <c r="O54" s="3349">
        <f>SUM('ФАКТ. СЕБЕСТ ВОДА 9 мес. 2019'!BP68)</f>
        <v>73.702500000000001</v>
      </c>
      <c r="P54" s="3349">
        <f>SUM('ФАКТ. СЕБЕСТ ВОДА 9 мес. 2019'!BQ68)</f>
        <v>73.702500000000001</v>
      </c>
      <c r="Q54" s="3349">
        <f>SUM('ФАКТ. СЕБЕСТ ВОДА 9 мес. 2019'!BR68)</f>
        <v>0</v>
      </c>
      <c r="R54" s="3349">
        <f>SUM('ФАКТ. СЕБЕСТ ВОДА 9 мес. 2019'!CB68)</f>
        <v>147.405</v>
      </c>
      <c r="S54" s="3349">
        <f>SUM('ФАКТ. СЕБЕСТ ВОДА 9 мес. 2019'!CC68)</f>
        <v>147.405</v>
      </c>
      <c r="T54" s="3349">
        <f>SUM('ФАКТ. СЕБЕСТ ВОДА 9 мес. 2019'!CD68)</f>
        <v>0</v>
      </c>
      <c r="U54" s="3349">
        <f>SUM('ФАКТ. СЕБЕСТ ВОДА 9 мес. 2019'!DO68)</f>
        <v>73.702500000000001</v>
      </c>
      <c r="V54" s="3349">
        <f>SUM('ФАКТ. СЕБЕСТ ВОДА 9 мес. 2019'!DP68)</f>
        <v>73.702500000000001</v>
      </c>
      <c r="W54" s="3349">
        <f>SUM('ФАКТ. СЕБЕСТ ВОДА 9 мес. 2019'!DQ68)</f>
        <v>0</v>
      </c>
      <c r="X54" s="3349">
        <f>SUM('ФАКТ. СЕБЕСТ ВОДА 9 мес. 2019'!EA68)</f>
        <v>221.10750000000002</v>
      </c>
      <c r="Y54" s="3349">
        <f>SUM('ФАКТ. СЕБЕСТ ВОДА 9 мес. 2019'!EB68)</f>
        <v>221.10750000000002</v>
      </c>
      <c r="Z54" s="3349">
        <f>SUM('ФАКТ. СЕБЕСТ ВОДА 9 мес. 2019'!EC68)</f>
        <v>0</v>
      </c>
      <c r="AA54" s="3349">
        <f>SUM('ФАКТ. СЕБЕСТ ВОДА 9 мес. 2019'!FN68)</f>
        <v>73.702500000000001</v>
      </c>
      <c r="AB54" s="3349">
        <f>SUM('ФАКТ. СЕБЕСТ ВОДА 9 мес. 2019'!FO68)</f>
        <v>73.702500000000001</v>
      </c>
      <c r="AC54" s="3349">
        <f>SUM('ФАКТ. СЕБЕСТ ВОДА 9 мес. 2019'!FP68)</f>
        <v>0</v>
      </c>
      <c r="AD54" s="3353">
        <f>SUM('ФАКТ. СЕБЕСТ ВОДА 9 мес. 2019'!FZ68)</f>
        <v>294.81</v>
      </c>
      <c r="AE54" s="3353">
        <f>SUM('ФАКТ. СЕБЕСТ ВОДА 9 мес. 2019'!GA68)</f>
        <v>294.81</v>
      </c>
      <c r="AF54" s="3364">
        <f>SUM('ФАКТ. СЕБЕСТ ВОДА 9 мес. 2019'!GB68)</f>
        <v>0</v>
      </c>
    </row>
    <row r="55" spans="1:32" ht="18.75" x14ac:dyDescent="0.3">
      <c r="A55" s="3371" t="s">
        <v>12</v>
      </c>
      <c r="B55" s="3370"/>
      <c r="C55" s="3370"/>
      <c r="D55" s="3370"/>
      <c r="E55" s="3370"/>
      <c r="F55" s="3370"/>
      <c r="G55" s="3370"/>
      <c r="H55" s="3370"/>
      <c r="I55" s="3370"/>
      <c r="J55" s="3370"/>
      <c r="K55" s="3360" t="s">
        <v>915</v>
      </c>
      <c r="L55" s="3348">
        <f>SUM('ФАКТ. СЕБЕСТ ВОДА 9 мес. 2019'!AC69)</f>
        <v>36807.620361995199</v>
      </c>
      <c r="M55" s="3348">
        <f>SUM('ФАКТ. СЕБЕСТ ВОДА 9 мес. 2019'!AD69)</f>
        <v>36799.926279495703</v>
      </c>
      <c r="N55" s="3348">
        <f>SUM('ФАКТ. СЕБЕСТ ВОДА 9 мес. 2019'!AE69)</f>
        <v>7.694082499492735</v>
      </c>
      <c r="O55" s="3348">
        <f>SUM('ФАКТ. СЕБЕСТ ВОДА 9 мес. 2019'!BP69)</f>
        <v>36807.620361995199</v>
      </c>
      <c r="P55" s="3348">
        <f>SUM('ФАКТ. СЕБЕСТ ВОДА 9 мес. 2019'!BQ69)</f>
        <v>36799.926279495703</v>
      </c>
      <c r="Q55" s="3348">
        <f>SUM('ФАКТ. СЕБЕСТ ВОДА 9 мес. 2019'!BR69)</f>
        <v>7.694082499492735</v>
      </c>
      <c r="R55" s="3348">
        <f>SUM('ФАКТ. СЕБЕСТ ВОДА 9 мес. 2019'!CB69)</f>
        <v>73615.240723990399</v>
      </c>
      <c r="S55" s="3348">
        <f>SUM('ФАКТ. СЕБЕСТ ВОДА 9 мес. 2019'!CC69)</f>
        <v>73599.852558991406</v>
      </c>
      <c r="T55" s="3348">
        <f>SUM('ФАКТ. СЕБЕСТ ВОДА 9 мес. 2019'!CD69)</f>
        <v>15.38816499898547</v>
      </c>
      <c r="U55" s="3348">
        <f>SUM('ФАКТ. СЕБЕСТ ВОДА 9 мес. 2019'!DO69)</f>
        <v>36979.844126076037</v>
      </c>
      <c r="V55" s="3348">
        <f>SUM('ФАКТ. СЕБЕСТ ВОДА 9 мес. 2019'!DP69)</f>
        <v>36972.132587435095</v>
      </c>
      <c r="W55" s="3348">
        <f>SUM('ФАКТ. СЕБЕСТ ВОДА 9 мес. 2019'!DQ69)</f>
        <v>7.7115386409448963</v>
      </c>
      <c r="X55" s="3348">
        <f>SUM('ФАКТ. СЕБЕСТ ВОДА 9 мес. 2019'!EA69)</f>
        <v>110595.08485006641</v>
      </c>
      <c r="Y55" s="3348">
        <f>SUM('ФАКТ. СЕБЕСТ ВОДА 9 мес. 2019'!EB69)</f>
        <v>110571.98514642649</v>
      </c>
      <c r="Z55" s="3348">
        <f>SUM('ФАКТ. СЕБЕСТ ВОДА 9 мес. 2019'!EC69)</f>
        <v>23.099703639930368</v>
      </c>
      <c r="AA55" s="3348">
        <f>SUM('ФАКТ. СЕБЕСТ ВОДА 9 мес. 2019'!FN69)</f>
        <v>36979.844126076037</v>
      </c>
      <c r="AB55" s="3348">
        <f>SUM('ФАКТ. СЕБЕСТ ВОДА 9 мес. 2019'!FO69)</f>
        <v>36972.132587435095</v>
      </c>
      <c r="AC55" s="3348">
        <f>SUM('ФАКТ. СЕБЕСТ ВОДА 9 мес. 2019'!FP69)</f>
        <v>7.7115386409448963</v>
      </c>
      <c r="AD55" s="3352">
        <f>SUM('ФАКТ. СЕБЕСТ ВОДА 9 мес. 2019'!FZ69)</f>
        <v>147574.92897614246</v>
      </c>
      <c r="AE55" s="3352">
        <f>SUM('ФАКТ. СЕБЕСТ ВОДА 9 мес. 2019'!GA69)</f>
        <v>147544.11773386158</v>
      </c>
      <c r="AF55" s="3361">
        <f>SUM('ФАКТ. СЕБЕСТ ВОДА 9 мес. 2019'!GB69)</f>
        <v>30.811242280875263</v>
      </c>
    </row>
    <row r="56" spans="1:32" ht="18.75" x14ac:dyDescent="0.3">
      <c r="A56" s="3371" t="s">
        <v>13</v>
      </c>
      <c r="B56" s="3370"/>
      <c r="C56" s="3370"/>
      <c r="D56" s="3370"/>
      <c r="E56" s="3370"/>
      <c r="F56" s="3370"/>
      <c r="G56" s="3370"/>
      <c r="H56" s="3370"/>
      <c r="I56" s="3370"/>
      <c r="J56" s="3370"/>
      <c r="K56" s="3360" t="s">
        <v>3689</v>
      </c>
      <c r="L56" s="3348">
        <f>SUM('ФАКТ. СЕБЕСТ ВОДА 9 мес. 2019'!AC70)</f>
        <v>915.59873083333332</v>
      </c>
      <c r="M56" s="3348">
        <f>SUM('ФАКТ. СЕБЕСТ ВОДА 9 мес. 2019'!AD70)</f>
        <v>915.15623083333332</v>
      </c>
      <c r="N56" s="3348">
        <f>SUM('ФАКТ. СЕБЕСТ ВОДА 9 мес. 2019'!AE70)</f>
        <v>0.4425</v>
      </c>
      <c r="O56" s="3348">
        <f>SUM('ФАКТ. СЕБЕСТ ВОДА 9 мес. 2019'!BP70)</f>
        <v>915.59873083333332</v>
      </c>
      <c r="P56" s="3348">
        <f>SUM('ФАКТ. СЕБЕСТ ВОДА 9 мес. 2019'!BQ70)</f>
        <v>915.15623083333332</v>
      </c>
      <c r="Q56" s="3348">
        <f>SUM('ФАКТ. СЕБЕСТ ВОДА 9 мес. 2019'!BR70)</f>
        <v>0.4425</v>
      </c>
      <c r="R56" s="3348">
        <f>SUM('ФАКТ. СЕБЕСТ ВОДА 9 мес. 2019'!CB70)</f>
        <v>1831.1974616666666</v>
      </c>
      <c r="S56" s="3348">
        <f>SUM('ФАКТ. СЕБЕСТ ВОДА 9 мес. 2019'!CC70)</f>
        <v>1830.3124616666666</v>
      </c>
      <c r="T56" s="3348">
        <f>SUM('ФАКТ. СЕБЕСТ ВОДА 9 мес. 2019'!CD70)</f>
        <v>0.88500000000000001</v>
      </c>
      <c r="U56" s="3348">
        <f>SUM('ФАКТ. СЕБЕСТ ВОДА 9 мес. 2019'!DO70)</f>
        <v>915.59873083333332</v>
      </c>
      <c r="V56" s="3348">
        <f>SUM('ФАКТ. СЕБЕСТ ВОДА 9 мес. 2019'!DP70)</f>
        <v>915.15623083333332</v>
      </c>
      <c r="W56" s="3348">
        <f>SUM('ФАКТ. СЕБЕСТ ВОДА 9 мес. 2019'!DQ70)</f>
        <v>0.4425</v>
      </c>
      <c r="X56" s="3348">
        <f>SUM('ФАКТ. СЕБЕСТ ВОДА 9 мес. 2019'!EA70)</f>
        <v>2746.7961924999995</v>
      </c>
      <c r="Y56" s="3348">
        <f>SUM('ФАКТ. СЕБЕСТ ВОДА 9 мес. 2019'!EB70)</f>
        <v>2745.4686924999996</v>
      </c>
      <c r="Z56" s="3348">
        <f>SUM('ФАКТ. СЕБЕСТ ВОДА 9 мес. 2019'!EC70)</f>
        <v>1.3275000000000001</v>
      </c>
      <c r="AA56" s="3348">
        <f>SUM('ФАКТ. СЕБЕСТ ВОДА 9 мес. 2019'!FN70)</f>
        <v>915.59873083333332</v>
      </c>
      <c r="AB56" s="3348">
        <f>SUM('ФАКТ. СЕБЕСТ ВОДА 9 мес. 2019'!FO70)</f>
        <v>915.15623083333332</v>
      </c>
      <c r="AC56" s="3348">
        <f>SUM('ФАКТ. СЕБЕСТ ВОДА 9 мес. 2019'!FP70)</f>
        <v>0.4425</v>
      </c>
      <c r="AD56" s="3352">
        <f>SUM('ФАКТ. СЕБЕСТ ВОДА 9 мес. 2019'!FZ70)</f>
        <v>3662.3949233333333</v>
      </c>
      <c r="AE56" s="3352">
        <f>SUM('ФАКТ. СЕБЕСТ ВОДА 9 мес. 2019'!GA70)</f>
        <v>3660.6249233333333</v>
      </c>
      <c r="AF56" s="3361">
        <f>SUM('ФАКТ. СЕБЕСТ ВОДА 9 мес. 2019'!GB70)</f>
        <v>1.77</v>
      </c>
    </row>
    <row r="57" spans="1:32" ht="18.75" x14ac:dyDescent="0.3">
      <c r="A57" s="3371" t="s">
        <v>14</v>
      </c>
      <c r="B57" s="3370"/>
      <c r="C57" s="3370"/>
      <c r="D57" s="3370"/>
      <c r="E57" s="3370"/>
      <c r="F57" s="3370"/>
      <c r="G57" s="3370"/>
      <c r="H57" s="3370"/>
      <c r="I57" s="3370"/>
      <c r="J57" s="3370"/>
      <c r="K57" s="3360" t="s">
        <v>2059</v>
      </c>
      <c r="L57" s="3348">
        <f>SUM('ФАКТ. СЕБЕСТ ВОДА 9 мес. 2019'!AC71)</f>
        <v>40.200602209763545</v>
      </c>
      <c r="M57" s="3348">
        <f>SUM('ФАКТ. СЕБЕСТ ВОДА 9 мес. 2019'!AD71)</f>
        <v>40.211632767867414</v>
      </c>
      <c r="N57" s="3348">
        <f>SUM('ФАКТ. СЕБЕСТ ВОДА 9 мес. 2019'!AE71)</f>
        <v>17.387757061000531</v>
      </c>
      <c r="O57" s="3348">
        <f>SUM('ФАКТ. СЕБЕСТ ВОДА 9 мес. 2019'!BP71)</f>
        <v>40.200602209763545</v>
      </c>
      <c r="P57" s="3348">
        <f>SUM('ФАКТ. СЕБЕСТ ВОДА 9 мес. 2019'!BQ71)</f>
        <v>40.211632767867414</v>
      </c>
      <c r="Q57" s="3348">
        <f>SUM('ФАКТ. СЕБЕСТ ВОДА 9 мес. 2019'!BR71)</f>
        <v>17.387757061000531</v>
      </c>
      <c r="R57" s="3348">
        <f>SUM('ФАКТ. СЕБЕСТ ВОДА 9 мес. 2019'!CB71)</f>
        <v>40.200602209763545</v>
      </c>
      <c r="S57" s="3348">
        <f>SUM('ФАКТ. СЕБЕСТ ВОДА 9 мес. 2019'!CC71)</f>
        <v>40.211632767867414</v>
      </c>
      <c r="T57" s="3348">
        <f>SUM('ФАКТ. СЕБЕСТ ВОДА 9 мес. 2019'!CD71)</f>
        <v>17.387757061000531</v>
      </c>
      <c r="U57" s="3348">
        <f>SUM('ФАКТ. СЕБЕСТ ВОДА 9 мес. 2019'!DO71)</f>
        <v>40.388701819648425</v>
      </c>
      <c r="V57" s="3348">
        <f>SUM('ФАКТ. СЕБЕСТ ВОДА 9 мес. 2019'!DP71)</f>
        <v>40.399804253934427</v>
      </c>
      <c r="W57" s="3348">
        <f>SUM('ФАКТ. СЕБЕСТ ВОДА 9 мес. 2019'!DQ71)</f>
        <v>17.427205968237054</v>
      </c>
      <c r="X57" s="3348">
        <f>SUM('ФАКТ. СЕБЕСТ ВОДА 9 мес. 2019'!EA71)</f>
        <v>40.263302079725172</v>
      </c>
      <c r="Y57" s="3348">
        <f>SUM('ФАКТ. СЕБЕСТ ВОДА 9 мес. 2019'!EB71)</f>
        <v>40.274356596556423</v>
      </c>
      <c r="Z57" s="3348">
        <f>SUM('ФАКТ. СЕБЕСТ ВОДА 9 мес. 2019'!EC71)</f>
        <v>17.400906696746038</v>
      </c>
      <c r="AA57" s="3348">
        <f>SUM('ФАКТ. СЕБЕСТ ВОДА 9 мес. 2019'!FN71)</f>
        <v>40.388701819648425</v>
      </c>
      <c r="AB57" s="3348">
        <f>SUM('ФАКТ. СЕБЕСТ ВОДА 9 мес. 2019'!FO71)</f>
        <v>40.399804253934427</v>
      </c>
      <c r="AC57" s="3348">
        <f>SUM('ФАКТ. СЕБЕСТ ВОДА 9 мес. 2019'!FP71)</f>
        <v>17.427205968237054</v>
      </c>
      <c r="AD57" s="3352">
        <f>SUM('ФАКТ. СЕБЕСТ ВОДА 9 мес. 2019'!FZ71)</f>
        <v>40.294652014705981</v>
      </c>
      <c r="AE57" s="3352">
        <f>SUM('ФАКТ. СЕБЕСТ ВОДА 9 мес. 2019'!GA71)</f>
        <v>40.305718510900917</v>
      </c>
      <c r="AF57" s="3361">
        <f>SUM('ФАКТ. СЕБЕСТ ВОДА 9 мес. 2019'!GB71)</f>
        <v>17.407481514618791</v>
      </c>
    </row>
    <row r="58" spans="1:32" ht="18.75" x14ac:dyDescent="0.3">
      <c r="A58" s="3371" t="s">
        <v>3725</v>
      </c>
      <c r="B58" s="3370"/>
      <c r="C58" s="3370"/>
      <c r="D58" s="3370"/>
      <c r="E58" s="3370"/>
      <c r="F58" s="3370"/>
      <c r="G58" s="3370"/>
      <c r="H58" s="3370"/>
      <c r="I58" s="3370"/>
      <c r="J58" s="3370"/>
      <c r="K58" s="3360" t="s">
        <v>915</v>
      </c>
      <c r="L58" s="3348">
        <f>SUM('ФАКТ. СЕБЕСТ ВОДА 9 мес. 2019'!AC72)</f>
        <v>-2584.3053332112995</v>
      </c>
      <c r="M58" s="3348">
        <f>SUM('ФАКТ. СЕБЕСТ ВОДА 9 мес. 2019'!AD72)</f>
        <v>-2584.3053332112995</v>
      </c>
      <c r="N58" s="3348">
        <f>SUM('ФАКТ. СЕБЕСТ ВОДА 9 мес. 2019'!AE72)</f>
        <v>0</v>
      </c>
      <c r="O58" s="3348">
        <f>SUM('ФАКТ. СЕБЕСТ ВОДА 9 мес. 2019'!BP72)</f>
        <v>-2584.3053332112995</v>
      </c>
      <c r="P58" s="3348">
        <f>SUM('ФАКТ. СЕБЕСТ ВОДА 9 мес. 2019'!BQ72)</f>
        <v>-2584.3053332112995</v>
      </c>
      <c r="Q58" s="3348">
        <f>SUM('ФАКТ. СЕБЕСТ ВОДА 9 мес. 2019'!BR72)</f>
        <v>0</v>
      </c>
      <c r="R58" s="3348">
        <f>SUM('ФАКТ. СЕБЕСТ ВОДА 9 мес. 2019'!CB72)</f>
        <v>-5168.610666422599</v>
      </c>
      <c r="S58" s="3348">
        <f>SUM('ФАКТ. СЕБЕСТ ВОДА 9 мес. 2019'!CC72)</f>
        <v>-5168.610666422599</v>
      </c>
      <c r="T58" s="3348">
        <f>SUM('ФАКТ. СЕБЕСТ ВОДА 9 мес. 2019'!CD72)</f>
        <v>0</v>
      </c>
      <c r="U58" s="3348">
        <f>SUM('ФАКТ. СЕБЕСТ ВОДА 9 мес. 2019'!DO72)</f>
        <v>-2584.3053332112995</v>
      </c>
      <c r="V58" s="3348">
        <f>SUM('ФАКТ. СЕБЕСТ ВОДА 9 мес. 2019'!DP72)</f>
        <v>-2584.3053332112995</v>
      </c>
      <c r="W58" s="3348">
        <f>SUM('ФАКТ. СЕБЕСТ ВОДА 9 мес. 2019'!DQ72)</f>
        <v>0</v>
      </c>
      <c r="X58" s="3348">
        <f>SUM('ФАКТ. СЕБЕСТ ВОДА 9 мес. 2019'!EA72)</f>
        <v>-7752.9159996338985</v>
      </c>
      <c r="Y58" s="3348">
        <f>SUM('ФАКТ. СЕБЕСТ ВОДА 9 мес. 2019'!EB72)</f>
        <v>-7752.9159996338985</v>
      </c>
      <c r="Z58" s="3348">
        <f>SUM('ФАКТ. СЕБЕСТ ВОДА 9 мес. 2019'!EC72)</f>
        <v>0</v>
      </c>
      <c r="AA58" s="3348">
        <f>SUM('ФАКТ. СЕБЕСТ ВОДА 9 мес. 2019'!FN72)</f>
        <v>-2584.3053332112995</v>
      </c>
      <c r="AB58" s="3348">
        <f>SUM('ФАКТ. СЕБЕСТ ВОДА 9 мес. 2019'!FO72)</f>
        <v>-2584.3053332112995</v>
      </c>
      <c r="AC58" s="3348">
        <f>SUM('ФАКТ. СЕБЕСТ ВОДА 9 мес. 2019'!FP72)</f>
        <v>0</v>
      </c>
      <c r="AD58" s="3352">
        <f>SUM('ФАКТ. СЕБЕСТ ВОДА 9 мес. 2019'!FZ72)</f>
        <v>-10337.221332845198</v>
      </c>
      <c r="AE58" s="3352">
        <f>SUM('ФАКТ. СЕБЕСТ ВОДА 9 мес. 2019'!GA72)</f>
        <v>-10337.221332845198</v>
      </c>
      <c r="AF58" s="3361">
        <f>SUM('ФАКТ. СЕБЕСТ ВОДА 9 мес. 2019'!GB72)</f>
        <v>0</v>
      </c>
    </row>
    <row r="59" spans="1:32" ht="18.75" x14ac:dyDescent="0.3">
      <c r="A59" s="3368" t="s">
        <v>320</v>
      </c>
      <c r="B59" s="3370"/>
      <c r="C59" s="3370"/>
      <c r="D59" s="3370"/>
      <c r="E59" s="3370"/>
      <c r="F59" s="3370"/>
      <c r="G59" s="3370"/>
      <c r="H59" s="3370"/>
      <c r="I59" s="3370"/>
      <c r="J59" s="3370"/>
      <c r="K59" s="3363" t="s">
        <v>915</v>
      </c>
      <c r="L59" s="3351">
        <f>SUM('ФАКТ. СЕБЕСТ ВОДА 9 мес. 2019'!AC73)</f>
        <v>-1036.5</v>
      </c>
      <c r="M59" s="3351">
        <f>SUM('ФАКТ. СЕБЕСТ ВОДА 9 мес. 2019'!AD73)</f>
        <v>-1036.5</v>
      </c>
      <c r="N59" s="3351">
        <f>SUM('ФАКТ. СЕБЕСТ ВОДА 9 мес. 2019'!AE73)</f>
        <v>0</v>
      </c>
      <c r="O59" s="3351">
        <f>SUM('ФАКТ. СЕБЕСТ ВОДА 9 мес. 2019'!BP73)</f>
        <v>-1036.5</v>
      </c>
      <c r="P59" s="3351">
        <f>SUM('ФАКТ. СЕБЕСТ ВОДА 9 мес. 2019'!BQ73)</f>
        <v>-1036.5</v>
      </c>
      <c r="Q59" s="3351">
        <f>SUM('ФАКТ. СЕБЕСТ ВОДА 9 мес. 2019'!BR73)</f>
        <v>0</v>
      </c>
      <c r="R59" s="3351">
        <f>SUM('ФАКТ. СЕБЕСТ ВОДА 9 мес. 2019'!CB73)</f>
        <v>-2073</v>
      </c>
      <c r="S59" s="3351">
        <f>SUM('ФАКТ. СЕБЕСТ ВОДА 9 мес. 2019'!CC73)</f>
        <v>-2073</v>
      </c>
      <c r="T59" s="3351">
        <f>SUM('ФАКТ. СЕБЕСТ ВОДА 9 мес. 2019'!CD73)</f>
        <v>0</v>
      </c>
      <c r="U59" s="3351">
        <f>SUM('ФАКТ. СЕБЕСТ ВОДА 9 мес. 2019'!DO73)</f>
        <v>-1036.5</v>
      </c>
      <c r="V59" s="3351">
        <f>SUM('ФАКТ. СЕБЕСТ ВОДА 9 мес. 2019'!DP73)</f>
        <v>-1036.5</v>
      </c>
      <c r="W59" s="3351">
        <f>SUM('ФАКТ. СЕБЕСТ ВОДА 9 мес. 2019'!DQ73)</f>
        <v>0</v>
      </c>
      <c r="X59" s="3351">
        <f>SUM('ФАКТ. СЕБЕСТ ВОДА 9 мес. 2019'!EA73)</f>
        <v>-3109.5</v>
      </c>
      <c r="Y59" s="3351">
        <f>SUM('ФАКТ. СЕБЕСТ ВОДА 9 мес. 2019'!EB73)</f>
        <v>-3109.5</v>
      </c>
      <c r="Z59" s="3351">
        <f>SUM('ФАКТ. СЕБЕСТ ВОДА 9 мес. 2019'!EC73)</f>
        <v>0</v>
      </c>
      <c r="AA59" s="3351">
        <f>SUM('ФАКТ. СЕБЕСТ ВОДА 9 мес. 2019'!FN73)</f>
        <v>-1036.5</v>
      </c>
      <c r="AB59" s="3351">
        <f>SUM('ФАКТ. СЕБЕСТ ВОДА 9 мес. 2019'!FO73)</f>
        <v>-1036.5</v>
      </c>
      <c r="AC59" s="3351">
        <f>SUM('ФАКТ. СЕБЕСТ ВОДА 9 мес. 2019'!FP73)</f>
        <v>0</v>
      </c>
      <c r="AD59" s="3355">
        <f>SUM('ФАКТ. СЕБЕСТ ВОДА 9 мес. 2019'!FZ73)</f>
        <v>-4146</v>
      </c>
      <c r="AE59" s="3355">
        <f>SUM('ФАКТ. СЕБЕСТ ВОДА 9 мес. 2019'!GA73)</f>
        <v>-4146</v>
      </c>
      <c r="AF59" s="3366">
        <f>SUM('ФАКТ. СЕБЕСТ ВОДА 9 мес. 2019'!GB73)</f>
        <v>0</v>
      </c>
    </row>
    <row r="60" spans="1:32" ht="18.75" x14ac:dyDescent="0.3">
      <c r="A60" s="3371" t="s">
        <v>3649</v>
      </c>
      <c r="B60" s="3370"/>
      <c r="C60" s="3370"/>
      <c r="D60" s="3370"/>
      <c r="E60" s="3370"/>
      <c r="F60" s="3370"/>
      <c r="G60" s="3370"/>
      <c r="H60" s="3370"/>
      <c r="I60" s="3370"/>
      <c r="J60" s="3370"/>
      <c r="K60" s="3360" t="s">
        <v>915</v>
      </c>
      <c r="L60" s="3348">
        <f>SUM('ФАКТ. СЕБЕСТ ВОДА 9 мес. 2019'!AC74)</f>
        <v>34223.315028783887</v>
      </c>
      <c r="M60" s="3348">
        <f>SUM('ФАКТ. СЕБЕСТ ВОДА 9 мес. 2019'!AD74)</f>
        <v>34215.620946284398</v>
      </c>
      <c r="N60" s="3348">
        <f>SUM('ФАКТ. СЕБЕСТ ВОДА 9 мес. 2019'!AE74)</f>
        <v>7.694082499492735</v>
      </c>
      <c r="O60" s="3348">
        <f>SUM('ФАКТ. СЕБЕСТ ВОДА 9 мес. 2019'!BP74)</f>
        <v>34223.315028783887</v>
      </c>
      <c r="P60" s="3348">
        <f>SUM('ФАКТ. СЕБЕСТ ВОДА 9 мес. 2019'!BQ74)</f>
        <v>34215.620946284398</v>
      </c>
      <c r="Q60" s="3348">
        <f>SUM('ФАКТ. СЕБЕСТ ВОДА 9 мес. 2019'!BR74)</f>
        <v>7.694082499492735</v>
      </c>
      <c r="R60" s="3348">
        <f>SUM('ФАКТ. СЕБЕСТ ВОДА 9 мес. 2019'!CB74)</f>
        <v>68446.630057567774</v>
      </c>
      <c r="S60" s="3348">
        <f>SUM('ФАКТ. СЕБЕСТ ВОДА 9 мес. 2019'!CC74)</f>
        <v>68431.241892568796</v>
      </c>
      <c r="T60" s="3348">
        <f>SUM('ФАКТ. СЕБЕСТ ВОДА 9 мес. 2019'!CD74)</f>
        <v>15.38816499898547</v>
      </c>
      <c r="U60" s="3348">
        <f>SUM('ФАКТ. СЕБЕСТ ВОДА 9 мес. 2019'!DO74)</f>
        <v>34395.538792864732</v>
      </c>
      <c r="V60" s="3348">
        <f>SUM('ФАКТ. СЕБЕСТ ВОДА 9 мес. 2019'!DP74)</f>
        <v>34387.82725422379</v>
      </c>
      <c r="W60" s="3348">
        <f>SUM('ФАКТ. СЕБЕСТ ВОДА 9 мес. 2019'!DQ74)</f>
        <v>7.7115386409448963</v>
      </c>
      <c r="X60" s="3348">
        <f>SUM('ФАКТ. СЕБЕСТ ВОДА 9 мес. 2019'!EA74)</f>
        <v>102842.1688504325</v>
      </c>
      <c r="Y60" s="3348">
        <f>SUM('ФАКТ. СЕБЕСТ ВОДА 9 мес. 2019'!EB74)</f>
        <v>102819.06914679258</v>
      </c>
      <c r="Z60" s="3348">
        <f>SUM('ФАКТ. СЕБЕСТ ВОДА 9 мес. 2019'!EC74)</f>
        <v>23.099703639930368</v>
      </c>
      <c r="AA60" s="3348">
        <f>SUM('ФАКТ. СЕБЕСТ ВОДА 9 мес. 2019'!FN74)</f>
        <v>34395.538792864732</v>
      </c>
      <c r="AB60" s="3348">
        <f>SUM('ФАКТ. СЕБЕСТ ВОДА 9 мес. 2019'!FO74)</f>
        <v>34387.82725422379</v>
      </c>
      <c r="AC60" s="3348">
        <f>SUM('ФАКТ. СЕБЕСТ ВОДА 9 мес. 2019'!FP74)</f>
        <v>7.7115386409448963</v>
      </c>
      <c r="AD60" s="3352">
        <f>SUM('ФАКТ. СЕБЕСТ ВОДА 9 мес. 2019'!FZ74)</f>
        <v>137237.70764329724</v>
      </c>
      <c r="AE60" s="3352">
        <f>SUM('ФАКТ. СЕБЕСТ ВОДА 9 мес. 2019'!GA74)</f>
        <v>137206.89640101636</v>
      </c>
      <c r="AF60" s="3361">
        <f>SUM('ФАКТ. СЕБЕСТ ВОДА 9 мес. 2019'!GB74)</f>
        <v>30.811242280875263</v>
      </c>
    </row>
    <row r="61" spans="1:32" ht="18.75" x14ac:dyDescent="0.3">
      <c r="A61" s="3374" t="s">
        <v>3650</v>
      </c>
      <c r="B61" s="3370"/>
      <c r="C61" s="3370"/>
      <c r="D61" s="3370"/>
      <c r="E61" s="3370"/>
      <c r="F61" s="3370"/>
      <c r="G61" s="3370"/>
      <c r="H61" s="3370"/>
      <c r="I61" s="3370"/>
      <c r="J61" s="3370"/>
      <c r="K61" s="3360" t="s">
        <v>915</v>
      </c>
      <c r="L61" s="3348">
        <f>SUM('ФАКТ. СЕБЕСТ ВОДА 9 мес. 2019'!AC75)</f>
        <v>-490.83713802534919</v>
      </c>
      <c r="M61" s="3348">
        <f>SUM('ФАКТ. СЕБЕСТ ВОДА 9 мес. 2019'!AD75)</f>
        <v>-490.84586614172622</v>
      </c>
      <c r="N61" s="3348">
        <f>SUM('ФАКТ. СЕБЕСТ ВОДА 9 мес. 2019'!AE75)</f>
        <v>8.7281163770795978E-3</v>
      </c>
      <c r="O61" s="3348">
        <f>SUM('ФАКТ. СЕБЕСТ ВОДА 9 мес. 2019'!BP75)</f>
        <v>-490.83713802534919</v>
      </c>
      <c r="P61" s="3348">
        <f>SUM('ФАКТ. СЕБЕСТ ВОДА 9 мес. 2019'!BQ75)</f>
        <v>-490.84586614172622</v>
      </c>
      <c r="Q61" s="3348">
        <f>SUM('ФАКТ. СЕБЕСТ ВОДА 9 мес. 2019'!BR75)</f>
        <v>8.7281163770795978E-3</v>
      </c>
      <c r="R61" s="3348">
        <f>SUM('ФАКТ. СЕБЕСТ ВОДА 9 мес. 2019'!CB75)</f>
        <v>-981.67427605069838</v>
      </c>
      <c r="S61" s="3348">
        <f>SUM('ФАКТ. СЕБЕСТ ВОДА 9 мес. 2019'!CC75)</f>
        <v>-981.69173228345244</v>
      </c>
      <c r="T61" s="3348">
        <f>SUM('ФАКТ. СЕБЕСТ ВОДА 9 мес. 2019'!CD75)</f>
        <v>1.7456232754159196E-2</v>
      </c>
      <c r="U61" s="3348">
        <f>SUM('ФАКТ. СЕБЕСТ ВОДА 9 мес. 2019'!DO75)</f>
        <v>490.83732692856432</v>
      </c>
      <c r="V61" s="3348">
        <f>SUM('ФАКТ. СЕБЕСТ ВОДА 9 мес. 2019'!DP75)</f>
        <v>490.8460549536394</v>
      </c>
      <c r="W61" s="3348">
        <f>SUM('ФАКТ. СЕБЕСТ ВОДА 9 мес. 2019'!DQ75)</f>
        <v>-8.7280250750816357E-3</v>
      </c>
      <c r="X61" s="3348">
        <f>SUM('ФАКТ. СЕБЕСТ ВОДА 9 мес. 2019'!EA75)</f>
        <v>-490.83694912213406</v>
      </c>
      <c r="Y61" s="3348">
        <f>SUM('ФАКТ. СЕБЕСТ ВОДА 9 мес. 2019'!EB75)</f>
        <v>-490.84567732981304</v>
      </c>
      <c r="Z61" s="3348">
        <f>SUM('ФАКТ. СЕБЕСТ ВОДА 9 мес. 2019'!EC75)</f>
        <v>8.7282076790775598E-3</v>
      </c>
      <c r="AA61" s="3348">
        <f>SUM('ФАКТ. СЕБЕСТ ВОДА 9 мес. 2019'!FN75)</f>
        <v>490.83732692856432</v>
      </c>
      <c r="AB61" s="3348">
        <f>SUM('ФАКТ. СЕБЕСТ ВОДА 9 мес. 2019'!FO75)</f>
        <v>490.8460549536394</v>
      </c>
      <c r="AC61" s="3348">
        <f>SUM('ФАКТ. СЕБЕСТ ВОДА 9 мес. 2019'!FP75)</f>
        <v>-8.7280250750816357E-3</v>
      </c>
      <c r="AD61" s="3352">
        <f>SUM('ФАКТ. СЕБЕСТ ВОДА 9 мес. 2019'!FZ75)</f>
        <v>3.7780643026508187E-4</v>
      </c>
      <c r="AE61" s="3352">
        <f>SUM('ФАКТ. СЕБЕСТ ВОДА 9 мес. 2019'!GA75)</f>
        <v>3.7762382635264657E-4</v>
      </c>
      <c r="AF61" s="3361">
        <f>SUM('ФАКТ. СЕБЕСТ ВОДА 9 мес. 2019'!GB75)</f>
        <v>1.8260399592406884E-7</v>
      </c>
    </row>
    <row r="62" spans="1:32" ht="18.75" customHeight="1" x14ac:dyDescent="0.3">
      <c r="A62" s="3374" t="s">
        <v>538</v>
      </c>
      <c r="B62" s="3370"/>
      <c r="C62" s="3370"/>
      <c r="D62" s="3370"/>
      <c r="E62" s="3370"/>
      <c r="F62" s="3370"/>
      <c r="G62" s="3370"/>
      <c r="H62" s="3370"/>
      <c r="I62" s="3370"/>
      <c r="J62" s="3370"/>
      <c r="K62" s="3360" t="s">
        <v>915</v>
      </c>
      <c r="L62" s="3348">
        <f>SUM('ФАКТ. СЕБЕСТ ВОДА 9 мес. 2019'!AC76)</f>
        <v>33732.477890758542</v>
      </c>
      <c r="M62" s="3348">
        <f>SUM('ФАКТ. СЕБЕСТ ВОДА 9 мес. 2019'!AD76)</f>
        <v>33724.775080142666</v>
      </c>
      <c r="N62" s="3348">
        <f>SUM('ФАКТ. СЕБЕСТ ВОДА 9 мес. 2019'!AE76)</f>
        <v>7.7028106158698142</v>
      </c>
      <c r="O62" s="3348">
        <f>SUM('ФАКТ. СЕБЕСТ ВОДА 9 мес. 2019'!BP76)</f>
        <v>33732.477890758542</v>
      </c>
      <c r="P62" s="3348">
        <f>SUM('ФАКТ. СЕБЕСТ ВОДА 9 мес. 2019'!BQ76)</f>
        <v>33724.775080142666</v>
      </c>
      <c r="Q62" s="3348">
        <f>SUM('ФАКТ. СЕБЕСТ ВОДА 9 мес. 2019'!BR76)</f>
        <v>7.7028106158698142</v>
      </c>
      <c r="R62" s="3348">
        <f>SUM('ФАКТ. СЕБЕСТ ВОДА 9 мес. 2019'!CB76)</f>
        <v>67464.955781517085</v>
      </c>
      <c r="S62" s="3348">
        <f>SUM('ФАКТ. СЕБЕСТ ВОДА 9 мес. 2019'!CC76)</f>
        <v>67449.550160285333</v>
      </c>
      <c r="T62" s="3348">
        <f>SUM('ФАКТ. СЕБЕСТ ВОДА 9 мес. 2019'!CD76)</f>
        <v>15.405621231739628</v>
      </c>
      <c r="U62" s="3348">
        <f>SUM('ФАКТ. СЕБЕСТ ВОДА 9 мес. 2019'!DO76)</f>
        <v>34886.376119793305</v>
      </c>
      <c r="V62" s="3348">
        <f>SUM('ФАКТ. СЕБЕСТ ВОДА 9 мес. 2019'!DP76)</f>
        <v>34878.673309177429</v>
      </c>
      <c r="W62" s="3348">
        <f>SUM('ФАКТ. СЕБЕСТ ВОДА 9 мес. 2019'!DQ76)</f>
        <v>7.7028106158698142</v>
      </c>
      <c r="X62" s="3348">
        <f>SUM('ФАКТ. СЕБЕСТ ВОДА 9 мес. 2019'!EA76)</f>
        <v>102351.33190131039</v>
      </c>
      <c r="Y62" s="3348">
        <f>SUM('ФАКТ. СЕБЕСТ ВОДА 9 мес. 2019'!EB76)</f>
        <v>102328.22346946277</v>
      </c>
      <c r="Z62" s="3348">
        <f>SUM('ФАКТ. СЕБЕСТ ВОДА 9 мес. 2019'!EC76)</f>
        <v>23.108431847609442</v>
      </c>
      <c r="AA62" s="3348">
        <f>SUM('ФАКТ. СЕБЕСТ ВОДА 9 мес. 2019'!FN76)</f>
        <v>34886.376119793305</v>
      </c>
      <c r="AB62" s="3348">
        <f>SUM('ФАКТ. СЕБЕСТ ВОДА 9 мес. 2019'!FO76)</f>
        <v>34878.673309177429</v>
      </c>
      <c r="AC62" s="3348">
        <f>SUM('ФАКТ. СЕБЕСТ ВОДА 9 мес. 2019'!FP76)</f>
        <v>7.7028106158698142</v>
      </c>
      <c r="AD62" s="3352">
        <f>SUM('ФАКТ. СЕБЕСТ ВОДА 9 мес. 2019'!FZ76)</f>
        <v>137237.7080211037</v>
      </c>
      <c r="AE62" s="3352">
        <f>SUM('ФАКТ. СЕБЕСТ ВОДА 9 мес. 2019'!GA76)</f>
        <v>137206.89677864019</v>
      </c>
      <c r="AF62" s="3361">
        <f>SUM('ФАКТ. СЕБЕСТ ВОДА 9 мес. 2019'!GB76)</f>
        <v>30.811242463479257</v>
      </c>
    </row>
    <row r="63" spans="1:32" ht="18.75" customHeight="1" thickBot="1" x14ac:dyDescent="0.35">
      <c r="A63" s="3375" t="s">
        <v>70</v>
      </c>
      <c r="B63" s="3376"/>
      <c r="C63" s="3376"/>
      <c r="D63" s="3376"/>
      <c r="E63" s="3376"/>
      <c r="F63" s="3376"/>
      <c r="G63" s="3376"/>
      <c r="H63" s="3376"/>
      <c r="I63" s="3376"/>
      <c r="J63" s="3376"/>
      <c r="K63" s="3377" t="s">
        <v>2059</v>
      </c>
      <c r="L63" s="3380">
        <f>SUM('ФАКТ. СЕБЕСТ ВОДА 9 мес. 2019'!AC77)</f>
        <v>36.841988476826401</v>
      </c>
      <c r="M63" s="3380">
        <f>SUM('ФАКТ. СЕБЕСТ ВОДА 9 мес. 2019'!AD77)</f>
        <v>36.851385527292074</v>
      </c>
      <c r="N63" s="3380">
        <f>SUM('ФАКТ. СЕБЕСТ ВОДА 9 мес. 2019'!AE77)</f>
        <v>17.407481617784892</v>
      </c>
      <c r="O63" s="3380">
        <f>SUM('ФАКТ. СЕБЕСТ ВОДА 9 мес. 2019'!BP77)</f>
        <v>36.841988476826401</v>
      </c>
      <c r="P63" s="3380">
        <f>SUM('ФАКТ. СЕБЕСТ ВОДА 9 мес. 2019'!BQ77)</f>
        <v>36.851385527292074</v>
      </c>
      <c r="Q63" s="3380">
        <f>SUM('ФАКТ. СЕБЕСТ ВОДА 9 мес. 2019'!BR77)</f>
        <v>17.407481617784892</v>
      </c>
      <c r="R63" s="3380">
        <f>SUM('ФАКТ. СЕБЕСТ ВОДА 9 мес. 2019'!CB77)</f>
        <v>36.841988476826401</v>
      </c>
      <c r="S63" s="3380">
        <f>SUM('ФАКТ. СЕБЕСТ ВОДА 9 мес. 2019'!CC77)</f>
        <v>36.851385527292074</v>
      </c>
      <c r="T63" s="3380">
        <f>SUM('ФАКТ. СЕБЕСТ ВОДА 9 мес. 2019'!CD77)</f>
        <v>17.407481617784892</v>
      </c>
      <c r="U63" s="3380">
        <f>SUM('ФАКТ. СЕБЕСТ ВОДА 9 мес. 2019'!DO77)</f>
        <v>38.102254781460246</v>
      </c>
      <c r="V63" s="3380">
        <f>SUM('ФАКТ. СЕБЕСТ ВОДА 9 мес. 2019'!DP77)</f>
        <v>38.112261200928735</v>
      </c>
      <c r="W63" s="3380">
        <f>SUM('ФАКТ. СЕБЕСТ ВОДА 9 мес. 2019'!DQ77)</f>
        <v>17.407481617784892</v>
      </c>
      <c r="X63" s="3380">
        <f>SUM('ФАКТ. СЕБЕСТ ВОДА 9 мес. 2019'!EA77)</f>
        <v>37.262077245037688</v>
      </c>
      <c r="Y63" s="3380">
        <f>SUM('ФАКТ. СЕБЕСТ ВОДА 9 мес. 2019'!EB77)</f>
        <v>37.271677418504304</v>
      </c>
      <c r="Z63" s="3380">
        <f>SUM('ФАКТ. СЕБЕСТ ВОДА 9 мес. 2019'!EC77)</f>
        <v>17.407481617784889</v>
      </c>
      <c r="AA63" s="3380">
        <f>SUM('ФАКТ. СЕБЕСТ ВОДА 9 мес. 2019'!FN77)</f>
        <v>38.102254781460246</v>
      </c>
      <c r="AB63" s="3380">
        <f>SUM('ФАКТ. СЕБЕСТ ВОДА 9 мес. 2019'!FO77)</f>
        <v>38.112261200928735</v>
      </c>
      <c r="AC63" s="3380">
        <f>SUM('ФАКТ. СЕБЕСТ ВОДА 9 мес. 2019'!FP77)</f>
        <v>17.407481617784892</v>
      </c>
      <c r="AD63" s="3381">
        <f>SUM('ФАКТ. СЕБЕСТ ВОДА 9 мес. 2019'!FZ77)</f>
        <v>37.472121629143324</v>
      </c>
      <c r="AE63" s="3381">
        <f>SUM('ФАКТ. СЕБЕСТ ВОДА 9 мес. 2019'!GA77)</f>
        <v>37.481823364110404</v>
      </c>
      <c r="AF63" s="3317">
        <f>SUM('ФАКТ. СЕБЕСТ ВОДА 9 мес. 2019'!GB77)</f>
        <v>17.407481617784892</v>
      </c>
    </row>
    <row r="66" spans="1:26" ht="18.75" x14ac:dyDescent="0.3">
      <c r="A66" s="3314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314"/>
      <c r="S66" s="3314"/>
      <c r="T66" s="3314"/>
      <c r="U66" s="363"/>
      <c r="V66" s="363"/>
      <c r="W66" s="363"/>
      <c r="X66" s="363"/>
      <c r="Y66" s="363"/>
      <c r="Z66" s="363"/>
    </row>
    <row r="67" spans="1:26" ht="18.75" x14ac:dyDescent="0.3">
      <c r="A67" s="3314" t="s">
        <v>3690</v>
      </c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314" t="s">
        <v>3691</v>
      </c>
      <c r="S67" s="3314"/>
      <c r="T67" s="3314"/>
      <c r="U67" s="363"/>
      <c r="V67" s="363"/>
      <c r="W67" s="363"/>
      <c r="X67" s="363"/>
      <c r="Y67" s="363"/>
      <c r="Z67" s="363"/>
    </row>
  </sheetData>
  <mergeCells count="22">
    <mergeCell ref="AA26:AC26"/>
    <mergeCell ref="AC1:AF1"/>
    <mergeCell ref="A10:AF10"/>
    <mergeCell ref="A11:A12"/>
    <mergeCell ref="K11:K12"/>
    <mergeCell ref="A25:AF25"/>
    <mergeCell ref="AD26:AF26"/>
    <mergeCell ref="A8:AF8"/>
    <mergeCell ref="L11:N11"/>
    <mergeCell ref="O11:Q11"/>
    <mergeCell ref="R11:T11"/>
    <mergeCell ref="U11:W11"/>
    <mergeCell ref="X11:Z11"/>
    <mergeCell ref="AA11:AC11"/>
    <mergeCell ref="AD11:AF11"/>
    <mergeCell ref="A26:A27"/>
    <mergeCell ref="X26:Z26"/>
    <mergeCell ref="K26:K27"/>
    <mergeCell ref="L26:N26"/>
    <mergeCell ref="O26:Q26"/>
    <mergeCell ref="R26:T26"/>
    <mergeCell ref="U26:W26"/>
  </mergeCells>
  <printOptions horizontalCentered="1" verticalCentered="1"/>
  <pageMargins left="0.15748031496062992" right="0.15748031496062992" top="0.19685039370078741" bottom="0.19685039370078741" header="0" footer="0"/>
  <pageSetup paperSize="9" scale="44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5" customWidth="1"/>
    <col min="2" max="2" width="20" style="2489" customWidth="1"/>
    <col min="3" max="16384" width="9.140625" style="5"/>
  </cols>
  <sheetData>
    <row r="3" spans="1:2" ht="38.25" x14ac:dyDescent="0.2">
      <c r="A3" s="375" t="s">
        <v>3513</v>
      </c>
      <c r="B3" s="2489" t="s">
        <v>3514</v>
      </c>
    </row>
    <row r="4" spans="1:2" x14ac:dyDescent="0.2">
      <c r="A4" s="375" t="s">
        <v>3515</v>
      </c>
      <c r="B4" s="2489">
        <v>524</v>
      </c>
    </row>
    <row r="5" spans="1:2" x14ac:dyDescent="0.2">
      <c r="A5" s="375" t="s">
        <v>2235</v>
      </c>
      <c r="B5" s="2872">
        <v>733651</v>
      </c>
    </row>
    <row r="6" spans="1:2" x14ac:dyDescent="0.2">
      <c r="A6" s="375" t="s">
        <v>3516</v>
      </c>
    </row>
    <row r="7" spans="1:2" x14ac:dyDescent="0.2">
      <c r="A7" s="375" t="s">
        <v>235</v>
      </c>
      <c r="B7" s="2872">
        <v>87229.68</v>
      </c>
    </row>
    <row r="8" spans="1:2" x14ac:dyDescent="0.2">
      <c r="A8" s="375" t="s">
        <v>373</v>
      </c>
      <c r="B8" s="2872">
        <v>240668.86</v>
      </c>
    </row>
    <row r="9" spans="1:2" x14ac:dyDescent="0.2">
      <c r="A9" s="4693" t="s">
        <v>829</v>
      </c>
      <c r="B9" s="2872">
        <f>781369.74</f>
        <v>781369.74</v>
      </c>
    </row>
    <row r="10" spans="1:2" x14ac:dyDescent="0.2">
      <c r="A10" s="4693"/>
      <c r="B10" s="2872">
        <v>197603</v>
      </c>
    </row>
    <row r="11" spans="1:2" x14ac:dyDescent="0.2">
      <c r="A11" s="4693"/>
      <c r="B11" s="2872">
        <v>192436</v>
      </c>
    </row>
    <row r="12" spans="1:2" x14ac:dyDescent="0.2">
      <c r="A12" s="4693"/>
      <c r="B12" s="2872">
        <v>58123.19</v>
      </c>
    </row>
    <row r="13" spans="1:2" x14ac:dyDescent="0.2">
      <c r="A13" s="4693"/>
      <c r="B13" s="2872">
        <v>773781.07</v>
      </c>
    </row>
    <row r="14" spans="1:2" x14ac:dyDescent="0.2">
      <c r="A14" s="4693"/>
      <c r="B14" s="2872">
        <v>59129.02</v>
      </c>
    </row>
    <row r="15" spans="1:2" x14ac:dyDescent="0.2">
      <c r="A15" s="375" t="s">
        <v>3517</v>
      </c>
      <c r="B15" s="2872">
        <f>SUM(B5:B14)</f>
        <v>3123991.56</v>
      </c>
    </row>
    <row r="16" spans="1:2" x14ac:dyDescent="0.2">
      <c r="B16" s="2872"/>
    </row>
    <row r="17" spans="1:2" ht="25.5" x14ac:dyDescent="0.2">
      <c r="A17" s="2489" t="s">
        <v>3521</v>
      </c>
      <c r="B17" s="2963">
        <f>2232958.28</f>
        <v>2232958.2799999998</v>
      </c>
    </row>
    <row r="18" spans="1:2" x14ac:dyDescent="0.2">
      <c r="A18" s="375" t="s">
        <v>3519</v>
      </c>
      <c r="B18" s="2872">
        <v>647</v>
      </c>
    </row>
    <row r="19" spans="1:2" x14ac:dyDescent="0.2">
      <c r="A19" s="5" t="s">
        <v>3520</v>
      </c>
      <c r="B19" s="2872">
        <f>B17/B18</f>
        <v>3451.2492735703245</v>
      </c>
    </row>
    <row r="20" spans="1:2" ht="25.5" x14ac:dyDescent="0.2">
      <c r="A20" s="2490" t="s">
        <v>3518</v>
      </c>
      <c r="B20" s="2963">
        <f>B19*5</f>
        <v>17256.246367851621</v>
      </c>
    </row>
    <row r="21" spans="1:2" ht="25.5" x14ac:dyDescent="0.2">
      <c r="A21" s="2490" t="s">
        <v>3522</v>
      </c>
      <c r="B21" s="2963">
        <f>B17+B12</f>
        <v>2291081.4699999997</v>
      </c>
    </row>
    <row r="22" spans="1:2" s="375" customFormat="1" ht="16.5" customHeight="1" x14ac:dyDescent="0.2">
      <c r="A22" s="375" t="s">
        <v>3520</v>
      </c>
      <c r="B22" s="2963">
        <f>B21/647</f>
        <v>3541.0841885625964</v>
      </c>
    </row>
    <row r="23" spans="1:2" ht="25.5" x14ac:dyDescent="0.2">
      <c r="A23" s="2490" t="s">
        <v>3523</v>
      </c>
      <c r="B23" s="2964">
        <f>B22*6</f>
        <v>21246.505131375579</v>
      </c>
    </row>
    <row r="24" spans="1:2" ht="25.5" x14ac:dyDescent="0.2">
      <c r="A24" s="2490" t="s">
        <v>3524</v>
      </c>
      <c r="B24" s="2872">
        <f>B15</f>
        <v>3123991.56</v>
      </c>
    </row>
    <row r="25" spans="1:2" x14ac:dyDescent="0.2">
      <c r="A25" s="375" t="s">
        <v>3520</v>
      </c>
      <c r="B25" s="2872">
        <f>B24/647</f>
        <v>4828.4259041731066</v>
      </c>
    </row>
    <row r="26" spans="1:2" ht="25.5" x14ac:dyDescent="0.2">
      <c r="A26" s="2490" t="s">
        <v>3525</v>
      </c>
      <c r="B26" s="2963">
        <f>B25*2</f>
        <v>9656.8518083462131</v>
      </c>
    </row>
    <row r="27" spans="1:2" x14ac:dyDescent="0.2">
      <c r="A27" s="375" t="s">
        <v>3526</v>
      </c>
      <c r="B27" s="2872">
        <f>B20+B23+B26</f>
        <v>48159.603307573416</v>
      </c>
    </row>
    <row r="30" spans="1:2" x14ac:dyDescent="0.2">
      <c r="A30" s="375" t="s">
        <v>3527</v>
      </c>
      <c r="B30" s="2872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872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"/>
  <sheetViews>
    <sheetView workbookViewId="0">
      <selection activeCell="G5" sqref="G5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4695"/>
      <c r="B2" s="4694" t="s">
        <v>2220</v>
      </c>
      <c r="C2" s="4694" t="s">
        <v>2221</v>
      </c>
      <c r="D2" s="4695" t="s">
        <v>2222</v>
      </c>
      <c r="E2" s="4695"/>
      <c r="F2" s="4695"/>
      <c r="G2" s="4695"/>
      <c r="H2" s="4696" t="s">
        <v>2223</v>
      </c>
    </row>
    <row r="3" spans="1:8" x14ac:dyDescent="0.2">
      <c r="A3" s="4695"/>
      <c r="B3" s="4694"/>
      <c r="C3" s="4694"/>
      <c r="D3" s="2877" t="s">
        <v>829</v>
      </c>
      <c r="E3" s="1861" t="s">
        <v>908</v>
      </c>
      <c r="F3" s="1861" t="s">
        <v>909</v>
      </c>
      <c r="G3" s="1861" t="s">
        <v>1819</v>
      </c>
      <c r="H3" s="4696"/>
    </row>
    <row r="4" spans="1:8" x14ac:dyDescent="0.2">
      <c r="A4" s="1861" t="s">
        <v>355</v>
      </c>
      <c r="B4" s="1726">
        <f>ИП!B6</f>
        <v>13075</v>
      </c>
      <c r="C4" s="1726">
        <f>ИП!G32</f>
        <v>1098.6578</v>
      </c>
      <c r="D4" s="1726">
        <f>'вода 2018 коррект'!F33</f>
        <v>0</v>
      </c>
      <c r="E4" s="1726">
        <f>'вода 2018 коррект'!K33</f>
        <v>-1205.44</v>
      </c>
      <c r="F4" s="1726">
        <f>'вода 2018 коррект'!P33</f>
        <v>-6624.9</v>
      </c>
      <c r="G4" s="2889">
        <v>-4146</v>
      </c>
      <c r="H4" s="2094">
        <f>B4-C4+D4+E4+G4+F4</f>
        <v>2.1999999989930075E-3</v>
      </c>
    </row>
    <row r="5" spans="1:8" x14ac:dyDescent="0.2">
      <c r="A5" s="1861" t="s">
        <v>345</v>
      </c>
      <c r="B5" s="1726">
        <f>ИП!B14</f>
        <v>8516</v>
      </c>
      <c r="C5" s="1726">
        <f>ИП!G46</f>
        <v>1044.8820000000001</v>
      </c>
      <c r="D5" s="1723">
        <v>0</v>
      </c>
      <c r="E5" s="1726">
        <f>'стоки 2018'!M33</f>
        <v>0</v>
      </c>
      <c r="F5" s="1726">
        <f>'стоки 2018'!Q33</f>
        <v>-3902.11</v>
      </c>
      <c r="G5" s="2889">
        <v>-3569.01</v>
      </c>
      <c r="H5" s="2094">
        <f>B5-C5+D5+E5+G5+F5</f>
        <v>-1.9999999999527063E-3</v>
      </c>
    </row>
    <row r="6" spans="1:8" x14ac:dyDescent="0.2">
      <c r="A6" s="1861"/>
      <c r="B6" s="1861"/>
      <c r="C6" s="1861"/>
      <c r="D6" s="1723"/>
      <c r="E6" s="1723"/>
      <c r="F6" s="1723"/>
      <c r="G6" s="1723"/>
      <c r="H6" s="2094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1"/>
  <sheetViews>
    <sheetView topLeftCell="A16" workbookViewId="0">
      <selection activeCell="B39" sqref="B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3958" t="s">
        <v>1683</v>
      </c>
      <c r="J1" s="3958"/>
      <c r="K1" s="3958"/>
    </row>
    <row r="2" spans="1:11" x14ac:dyDescent="0.2">
      <c r="A2" s="3940" t="s">
        <v>1686</v>
      </c>
      <c r="B2" s="3940"/>
      <c r="C2" s="3940"/>
      <c r="D2" s="3940"/>
      <c r="E2" s="3940"/>
      <c r="F2" s="3940"/>
      <c r="G2" s="3940"/>
      <c r="H2" s="3940"/>
      <c r="I2" s="3940"/>
      <c r="J2" s="3940"/>
      <c r="K2" s="3940"/>
    </row>
    <row r="3" spans="1:11" x14ac:dyDescent="0.2">
      <c r="A3" s="3971" t="s">
        <v>536</v>
      </c>
      <c r="B3" s="4232" t="s">
        <v>1574</v>
      </c>
      <c r="C3" s="4275"/>
      <c r="D3" s="4275"/>
      <c r="E3" s="4275"/>
      <c r="F3" s="4276"/>
    </row>
    <row r="4" spans="1:11" x14ac:dyDescent="0.2">
      <c r="A4" s="3971"/>
      <c r="B4" s="1993" t="s">
        <v>627</v>
      </c>
      <c r="C4" s="1981" t="s">
        <v>235</v>
      </c>
      <c r="D4" s="1981" t="s">
        <v>373</v>
      </c>
      <c r="E4" s="1981" t="s">
        <v>829</v>
      </c>
      <c r="F4" s="1981" t="s">
        <v>908</v>
      </c>
    </row>
    <row r="5" spans="1:11" x14ac:dyDescent="0.2">
      <c r="A5" s="3970" t="s">
        <v>355</v>
      </c>
      <c r="B5" s="3970"/>
      <c r="C5" s="3970"/>
      <c r="D5" s="3970"/>
      <c r="E5" s="3970"/>
      <c r="F5" s="3970"/>
    </row>
    <row r="6" spans="1:11" s="375" customFormat="1" ht="18.75" customHeight="1" x14ac:dyDescent="0.2">
      <c r="A6" s="1866" t="s">
        <v>1572</v>
      </c>
      <c r="B6" s="2041">
        <f>SUM(C6:E6)</f>
        <v>13075</v>
      </c>
      <c r="C6" s="1969">
        <v>4655</v>
      </c>
      <c r="D6" s="1969">
        <v>4444</v>
      </c>
      <c r="E6" s="1969">
        <v>3976</v>
      </c>
      <c r="F6" s="1969">
        <v>0</v>
      </c>
    </row>
    <row r="7" spans="1:11" s="375" customFormat="1" ht="19.5" customHeight="1" x14ac:dyDescent="0.2">
      <c r="A7" s="1866" t="s">
        <v>1575</v>
      </c>
      <c r="B7" s="2041">
        <f>SUM(C7:E7)</f>
        <v>1098.6578</v>
      </c>
      <c r="C7" s="1969">
        <f>C11</f>
        <v>745.56</v>
      </c>
      <c r="D7" s="1969">
        <f>D11</f>
        <v>353.09780000000001</v>
      </c>
      <c r="E7" s="1969">
        <f t="shared" ref="E7:F7" si="0">E11</f>
        <v>0</v>
      </c>
      <c r="F7" s="1969">
        <f t="shared" si="0"/>
        <v>0</v>
      </c>
    </row>
    <row r="8" spans="1:11" s="1987" customFormat="1" x14ac:dyDescent="0.2">
      <c r="A8" s="1984" t="s">
        <v>1576</v>
      </c>
      <c r="B8" s="1994">
        <f t="shared" ref="B8:B11" si="1">SUM(C8:E8)</f>
        <v>0</v>
      </c>
      <c r="C8" s="1985"/>
      <c r="D8" s="1985"/>
      <c r="E8" s="1985"/>
      <c r="F8" s="1985"/>
    </row>
    <row r="9" spans="1:11" s="1987" customFormat="1" x14ac:dyDescent="0.2">
      <c r="A9" s="1984" t="s">
        <v>1577</v>
      </c>
      <c r="B9" s="1994">
        <f t="shared" si="1"/>
        <v>0</v>
      </c>
      <c r="C9" s="1985"/>
      <c r="D9" s="1985"/>
      <c r="E9" s="1985"/>
      <c r="F9" s="1985"/>
    </row>
    <row r="10" spans="1:11" s="1987" customFormat="1" x14ac:dyDescent="0.2">
      <c r="A10" s="1984" t="s">
        <v>1578</v>
      </c>
      <c r="B10" s="1994">
        <f t="shared" si="1"/>
        <v>0</v>
      </c>
      <c r="C10" s="1985"/>
      <c r="D10" s="1985"/>
      <c r="E10" s="1985"/>
      <c r="F10" s="1985"/>
    </row>
    <row r="11" spans="1:11" s="1987" customFormat="1" x14ac:dyDescent="0.2">
      <c r="A11" s="1984" t="s">
        <v>131</v>
      </c>
      <c r="B11" s="1994">
        <f t="shared" si="1"/>
        <v>1098.6578</v>
      </c>
      <c r="C11" s="1985">
        <v>745.56</v>
      </c>
      <c r="D11" s="1985">
        <v>353.09780000000001</v>
      </c>
      <c r="E11" s="1985"/>
      <c r="F11" s="1985"/>
    </row>
    <row r="12" spans="1:11" s="375" customFormat="1" ht="18.75" customHeight="1" x14ac:dyDescent="0.2">
      <c r="A12" s="1866" t="s">
        <v>1575</v>
      </c>
      <c r="B12" s="2041">
        <f>SUM(C12:E12)</f>
        <v>11976.342199999999</v>
      </c>
      <c r="C12" s="2042">
        <f>C6-C7</f>
        <v>3909.44</v>
      </c>
      <c r="D12" s="2042">
        <f>D6-D7</f>
        <v>4090.9022</v>
      </c>
      <c r="E12" s="2042">
        <f>E6-E7</f>
        <v>3976</v>
      </c>
      <c r="F12" s="2042">
        <f>F6-F7</f>
        <v>0</v>
      </c>
    </row>
    <row r="13" spans="1:11" x14ac:dyDescent="0.2">
      <c r="A13" s="3970" t="s">
        <v>345</v>
      </c>
      <c r="B13" s="3970"/>
      <c r="C13" s="3970"/>
      <c r="D13" s="3970"/>
      <c r="E13" s="3970"/>
      <c r="F13" s="3970"/>
    </row>
    <row r="14" spans="1:11" s="375" customFormat="1" ht="18.75" customHeight="1" x14ac:dyDescent="0.2">
      <c r="A14" s="1866" t="s">
        <v>1572</v>
      </c>
      <c r="B14" s="2041">
        <f>SUM(C14:E14)</f>
        <v>8516</v>
      </c>
      <c r="C14" s="1969">
        <v>4947</v>
      </c>
      <c r="D14" s="1969">
        <v>3568.1</v>
      </c>
      <c r="E14" s="1969">
        <v>0.9</v>
      </c>
      <c r="F14" s="1969">
        <v>0</v>
      </c>
    </row>
    <row r="15" spans="1:11" s="375" customFormat="1" ht="18" customHeight="1" x14ac:dyDescent="0.2">
      <c r="A15" s="1866" t="s">
        <v>1573</v>
      </c>
      <c r="B15" s="2041">
        <f>SUM(C15:E15)</f>
        <v>1044.8820000000001</v>
      </c>
      <c r="C15" s="1969">
        <f>C19</f>
        <v>1044.8820000000001</v>
      </c>
      <c r="D15" s="1969">
        <f t="shared" ref="D15:E15" si="2">D19</f>
        <v>0</v>
      </c>
      <c r="E15" s="1969">
        <f t="shared" si="2"/>
        <v>0</v>
      </c>
      <c r="F15" s="1969"/>
    </row>
    <row r="16" spans="1:11" s="1987" customFormat="1" x14ac:dyDescent="0.2">
      <c r="A16" s="1984" t="s">
        <v>1576</v>
      </c>
      <c r="B16" s="1994">
        <f t="shared" ref="B16:B19" si="3">SUM(C16:E16)</f>
        <v>0</v>
      </c>
      <c r="C16" s="1985"/>
      <c r="D16" s="1985"/>
      <c r="E16" s="1985"/>
      <c r="F16" s="1985"/>
    </row>
    <row r="17" spans="1:11" s="1987" customFormat="1" ht="14.25" customHeight="1" x14ac:dyDescent="0.2">
      <c r="A17" s="1984" t="s">
        <v>1577</v>
      </c>
      <c r="B17" s="1994">
        <f t="shared" si="3"/>
        <v>0</v>
      </c>
      <c r="C17" s="1985"/>
      <c r="D17" s="1985"/>
      <c r="E17" s="1985"/>
      <c r="F17" s="1985"/>
    </row>
    <row r="18" spans="1:11" s="1987" customFormat="1" ht="13.5" customHeight="1" x14ac:dyDescent="0.2">
      <c r="A18" s="1984" t="s">
        <v>1578</v>
      </c>
      <c r="B18" s="1994">
        <f t="shared" si="3"/>
        <v>0</v>
      </c>
      <c r="C18" s="1985"/>
      <c r="D18" s="1985"/>
      <c r="E18" s="1985"/>
      <c r="F18" s="1985"/>
    </row>
    <row r="19" spans="1:11" s="1987" customFormat="1" ht="13.5" customHeight="1" x14ac:dyDescent="0.2">
      <c r="A19" s="1984" t="s">
        <v>131</v>
      </c>
      <c r="B19" s="1994">
        <f t="shared" si="3"/>
        <v>1044.8820000000001</v>
      </c>
      <c r="C19" s="1985">
        <v>1044.8820000000001</v>
      </c>
      <c r="D19" s="1985">
        <v>0</v>
      </c>
      <c r="E19" s="1985"/>
      <c r="F19" s="1985"/>
    </row>
    <row r="20" spans="1:11" s="375" customFormat="1" ht="27" customHeight="1" x14ac:dyDescent="0.2">
      <c r="A20" s="1866" t="s">
        <v>1575</v>
      </c>
      <c r="B20" s="2041">
        <f>SUM(C20:E20)</f>
        <v>7471.1179999999995</v>
      </c>
      <c r="C20" s="2042">
        <f>C14-C15</f>
        <v>3902.1179999999999</v>
      </c>
      <c r="D20" s="2042">
        <f>D14-D15</f>
        <v>3568.1</v>
      </c>
      <c r="E20" s="2042">
        <f>E14-E15</f>
        <v>0.9</v>
      </c>
      <c r="F20" s="2042">
        <f>F14-F15</f>
        <v>0</v>
      </c>
    </row>
    <row r="21" spans="1:11" x14ac:dyDescent="0.2">
      <c r="A21" s="3971" t="s">
        <v>536</v>
      </c>
      <c r="B21" s="4232" t="s">
        <v>1574</v>
      </c>
      <c r="C21" s="4275"/>
      <c r="D21" s="4275"/>
      <c r="E21" s="4275"/>
      <c r="F21" s="4276"/>
      <c r="G21" s="4232" t="s">
        <v>1655</v>
      </c>
      <c r="H21" s="4275"/>
      <c r="I21" s="4275"/>
      <c r="J21" s="4275"/>
      <c r="K21" s="4276"/>
    </row>
    <row r="22" spans="1:11" x14ac:dyDescent="0.2">
      <c r="A22" s="3971"/>
      <c r="B22" s="1993" t="s">
        <v>627</v>
      </c>
      <c r="C22" s="1981" t="s">
        <v>235</v>
      </c>
      <c r="D22" s="1981" t="s">
        <v>373</v>
      </c>
      <c r="E22" s="1981" t="s">
        <v>829</v>
      </c>
      <c r="F22" s="1981" t="s">
        <v>908</v>
      </c>
      <c r="G22" s="1993" t="s">
        <v>627</v>
      </c>
      <c r="H22" s="1981" t="s">
        <v>235</v>
      </c>
      <c r="I22" s="1981" t="s">
        <v>373</v>
      </c>
      <c r="J22" s="1981" t="s">
        <v>829</v>
      </c>
      <c r="K22" s="1981" t="s">
        <v>908</v>
      </c>
    </row>
    <row r="23" spans="1:11" x14ac:dyDescent="0.2">
      <c r="A23" s="5" t="s">
        <v>355</v>
      </c>
    </row>
    <row r="24" spans="1:11" x14ac:dyDescent="0.2">
      <c r="A24" s="1866" t="s">
        <v>1572</v>
      </c>
      <c r="B24" s="2041">
        <f>C24+D24+E24+F24</f>
        <v>21110.170000000002</v>
      </c>
      <c r="C24" s="2088">
        <v>4655</v>
      </c>
      <c r="D24" s="2088">
        <v>4444</v>
      </c>
      <c r="E24" s="2088">
        <v>7523.51</v>
      </c>
      <c r="F24" s="2088">
        <f>4487.66</f>
        <v>4487.66</v>
      </c>
      <c r="G24" s="1975"/>
      <c r="H24" s="1975"/>
      <c r="I24" s="1975"/>
      <c r="J24" s="1975"/>
      <c r="K24" s="1975"/>
    </row>
    <row r="25" spans="1:11" x14ac:dyDescent="0.2">
      <c r="A25" s="1972" t="s">
        <v>1646</v>
      </c>
      <c r="B25" s="2041">
        <f t="shared" ref="B25:B36" si="4">C25+D25+E25+F25</f>
        <v>13075</v>
      </c>
      <c r="C25" s="1977">
        <v>4655</v>
      </c>
      <c r="D25" s="1977">
        <v>4444</v>
      </c>
      <c r="E25" s="1977">
        <v>3976</v>
      </c>
      <c r="F25" s="1977"/>
      <c r="G25" s="1975"/>
      <c r="H25" s="1975"/>
      <c r="I25" s="1975"/>
      <c r="J25" s="1975"/>
      <c r="K25" s="1975"/>
    </row>
    <row r="26" spans="1:11" x14ac:dyDescent="0.2">
      <c r="A26" s="1972" t="s">
        <v>1647</v>
      </c>
      <c r="B26" s="2041">
        <f t="shared" si="4"/>
        <v>8035.17</v>
      </c>
      <c r="C26" s="1977"/>
      <c r="D26" s="1977"/>
      <c r="E26" s="1977">
        <f>E24-E25</f>
        <v>3547.51</v>
      </c>
      <c r="F26" s="1977">
        <f>F24</f>
        <v>4487.66</v>
      </c>
      <c r="G26" s="1975"/>
      <c r="H26" s="1975"/>
      <c r="I26" s="1975"/>
      <c r="J26" s="1975"/>
      <c r="K26" s="1975"/>
    </row>
    <row r="27" spans="1:11" x14ac:dyDescent="0.2">
      <c r="A27" s="4702" t="s">
        <v>1645</v>
      </c>
      <c r="B27" s="2088"/>
      <c r="C27" s="4704" t="s">
        <v>1649</v>
      </c>
      <c r="D27" s="4704"/>
      <c r="E27" s="4704"/>
      <c r="F27" s="4704"/>
      <c r="G27" s="1975"/>
      <c r="H27" s="1975"/>
      <c r="I27" s="1975"/>
      <c r="J27" s="1975"/>
      <c r="K27" s="1975"/>
    </row>
    <row r="28" spans="1:11" ht="10.5" customHeight="1" x14ac:dyDescent="0.2">
      <c r="A28" s="4703"/>
      <c r="B28" s="2088">
        <f>B29+B30</f>
        <v>8035.17</v>
      </c>
      <c r="C28" s="2089">
        <f>C29+C30</f>
        <v>0</v>
      </c>
      <c r="D28" s="2089">
        <f t="shared" ref="D28:F28" si="5">D29+D30</f>
        <v>0</v>
      </c>
      <c r="E28" s="2089">
        <f t="shared" si="5"/>
        <v>3547.51</v>
      </c>
      <c r="F28" s="2089">
        <f t="shared" si="5"/>
        <v>4487.66</v>
      </c>
      <c r="G28" s="1975"/>
      <c r="H28" s="1975"/>
      <c r="I28" s="1975"/>
      <c r="J28" s="1975"/>
      <c r="K28" s="1975"/>
    </row>
    <row r="29" spans="1:11" s="375" customFormat="1" ht="38.25" customHeight="1" x14ac:dyDescent="0.2">
      <c r="A29" s="4040" t="s">
        <v>1648</v>
      </c>
      <c r="B29" s="2041">
        <f t="shared" si="4"/>
        <v>3300.06</v>
      </c>
      <c r="C29" s="1795"/>
      <c r="D29" s="1795"/>
      <c r="E29" s="1795">
        <v>1322.95</v>
      </c>
      <c r="F29" s="1795">
        <v>1977.11</v>
      </c>
      <c r="G29" s="1795"/>
      <c r="H29" s="1795"/>
      <c r="I29" s="1795"/>
      <c r="J29" s="1795"/>
      <c r="K29" s="1795"/>
    </row>
    <row r="30" spans="1:11" ht="13.5" customHeight="1" x14ac:dyDescent="0.2">
      <c r="A30" s="4040"/>
      <c r="B30" s="2041">
        <f t="shared" si="4"/>
        <v>4735.1100000000006</v>
      </c>
      <c r="C30" s="1975"/>
      <c r="D30" s="1975"/>
      <c r="E30" s="1975">
        <v>2224.56</v>
      </c>
      <c r="F30" s="1975">
        <v>2510.5500000000002</v>
      </c>
      <c r="G30" s="1975"/>
      <c r="H30" s="1975"/>
      <c r="I30" s="1975"/>
      <c r="J30" s="1975"/>
      <c r="K30" s="1975"/>
    </row>
    <row r="31" spans="1:11" x14ac:dyDescent="0.2">
      <c r="A31" s="1972"/>
      <c r="B31" s="4699" t="s">
        <v>1650</v>
      </c>
      <c r="C31" s="4700"/>
      <c r="D31" s="4700"/>
      <c r="E31" s="4700"/>
      <c r="F31" s="4700"/>
      <c r="G31" s="4701" t="s">
        <v>1655</v>
      </c>
      <c r="H31" s="4701"/>
      <c r="I31" s="4701"/>
      <c r="J31" s="4701"/>
      <c r="K31" s="4701"/>
    </row>
    <row r="32" spans="1:11" x14ac:dyDescent="0.2">
      <c r="A32" s="1972"/>
      <c r="B32" s="2068">
        <f>SUM(B33:B36)</f>
        <v>13075</v>
      </c>
      <c r="C32" s="2068">
        <f>SUM(C33:C36)</f>
        <v>4655</v>
      </c>
      <c r="D32" s="2068">
        <f t="shared" ref="D32:F32" si="6">SUM(D33:D36)</f>
        <v>4444</v>
      </c>
      <c r="E32" s="2068">
        <f t="shared" si="6"/>
        <v>3976</v>
      </c>
      <c r="F32" s="2068">
        <f t="shared" si="6"/>
        <v>0</v>
      </c>
      <c r="G32" s="2068">
        <f>SUM(G33:G36)</f>
        <v>1098.6578</v>
      </c>
      <c r="H32" s="2068">
        <f>SUM(H33:H36)</f>
        <v>745.56000000000006</v>
      </c>
      <c r="I32" s="2068">
        <f t="shared" ref="I32" si="7">SUM(I33:I36)</f>
        <v>353.09780000000001</v>
      </c>
      <c r="J32" s="2068">
        <f t="shared" ref="J32" si="8">SUM(J33:J36)</f>
        <v>0</v>
      </c>
      <c r="K32" s="2068">
        <f t="shared" ref="K32" si="9">SUM(K33:K36)</f>
        <v>0</v>
      </c>
    </row>
    <row r="33" spans="1:16" ht="22.5" customHeight="1" x14ac:dyDescent="0.2">
      <c r="A33" s="2147" t="s">
        <v>1651</v>
      </c>
      <c r="B33" s="2041">
        <f t="shared" si="4"/>
        <v>1951</v>
      </c>
      <c r="C33" s="1969">
        <v>1951</v>
      </c>
      <c r="D33" s="1969"/>
      <c r="E33" s="1969"/>
      <c r="F33" s="1969"/>
      <c r="G33" s="2041">
        <f t="shared" ref="G33:G36" si="10">H33+I33+J33+K33</f>
        <v>745.56000000000006</v>
      </c>
      <c r="H33" s="1969">
        <f>305.831+359.099+80.63</f>
        <v>745.56000000000006</v>
      </c>
      <c r="I33" s="1969">
        <v>0</v>
      </c>
      <c r="J33" s="1969">
        <v>0</v>
      </c>
      <c r="K33" s="1969">
        <v>0</v>
      </c>
      <c r="L33" s="375" t="s">
        <v>1669</v>
      </c>
      <c r="M33" s="2216">
        <f>B33-G33</f>
        <v>1205.44</v>
      </c>
      <c r="N33" s="5" t="s">
        <v>1727</v>
      </c>
    </row>
    <row r="34" spans="1:16" ht="25.5" x14ac:dyDescent="0.2">
      <c r="A34" s="1868" t="s">
        <v>1652</v>
      </c>
      <c r="B34" s="2041">
        <f t="shared" si="4"/>
        <v>4274</v>
      </c>
      <c r="C34" s="1969"/>
      <c r="D34" s="1969">
        <v>4274</v>
      </c>
      <c r="E34" s="1969"/>
      <c r="F34" s="1969"/>
      <c r="G34" s="2041">
        <f t="shared" si="10"/>
        <v>0</v>
      </c>
      <c r="H34" s="1969">
        <v>0</v>
      </c>
      <c r="I34" s="1969">
        <v>0</v>
      </c>
      <c r="J34" s="1969">
        <v>0</v>
      </c>
      <c r="K34" s="1969">
        <v>0</v>
      </c>
      <c r="L34" s="375" t="s">
        <v>1670</v>
      </c>
      <c r="M34" s="2217">
        <f t="shared" ref="M34:M36" si="11">B34-G34</f>
        <v>4274</v>
      </c>
      <c r="N34" s="5" t="s">
        <v>2060</v>
      </c>
      <c r="P34" s="1860"/>
    </row>
    <row r="35" spans="1:16" x14ac:dyDescent="0.2">
      <c r="A35" s="1868" t="s">
        <v>1653</v>
      </c>
      <c r="B35" s="2041">
        <f t="shared" si="4"/>
        <v>4146</v>
      </c>
      <c r="C35" s="1969"/>
      <c r="D35" s="1969">
        <v>170</v>
      </c>
      <c r="E35" s="1969">
        <v>3976</v>
      </c>
      <c r="F35" s="1969"/>
      <c r="G35" s="2041">
        <f t="shared" si="10"/>
        <v>0</v>
      </c>
      <c r="H35" s="1969">
        <v>0</v>
      </c>
      <c r="I35" s="1969">
        <v>0</v>
      </c>
      <c r="J35" s="1969">
        <v>0</v>
      </c>
      <c r="K35" s="1969">
        <v>0</v>
      </c>
      <c r="L35" s="375" t="s">
        <v>1671</v>
      </c>
      <c r="M35" s="2217">
        <f>B35</f>
        <v>4146</v>
      </c>
      <c r="N35" s="1860" t="s">
        <v>2061</v>
      </c>
    </row>
    <row r="36" spans="1:16" ht="25.5" x14ac:dyDescent="0.2">
      <c r="A36" s="1868" t="s">
        <v>1654</v>
      </c>
      <c r="B36" s="2041">
        <f t="shared" si="4"/>
        <v>2704</v>
      </c>
      <c r="C36" s="1969">
        <v>2704</v>
      </c>
      <c r="D36" s="1969"/>
      <c r="E36" s="1969"/>
      <c r="F36" s="1969"/>
      <c r="G36" s="2041">
        <f t="shared" si="10"/>
        <v>353.09780000000001</v>
      </c>
      <c r="H36" s="1969">
        <v>0</v>
      </c>
      <c r="I36" s="1969">
        <f>177.439+142.65+33.0088</f>
        <v>353.09780000000001</v>
      </c>
      <c r="J36" s="1969">
        <v>0</v>
      </c>
      <c r="K36" s="1969">
        <v>0</v>
      </c>
      <c r="L36" s="375" t="s">
        <v>1670</v>
      </c>
      <c r="M36" s="2217">
        <f t="shared" si="11"/>
        <v>2350.9022</v>
      </c>
      <c r="N36" s="5" t="s">
        <v>2060</v>
      </c>
    </row>
    <row r="37" spans="1:16" x14ac:dyDescent="0.2">
      <c r="A37" s="5" t="s">
        <v>345</v>
      </c>
      <c r="N37" s="1860" t="e">
        <f>M33+M34+M36+N35</f>
        <v>#VALUE!</v>
      </c>
    </row>
    <row r="38" spans="1:16" x14ac:dyDescent="0.2">
      <c r="A38" s="1866" t="s">
        <v>1572</v>
      </c>
      <c r="B38" s="2041">
        <f>C38+D38+E38+F38</f>
        <v>16371.720000000001</v>
      </c>
      <c r="C38" s="2088">
        <v>4947</v>
      </c>
      <c r="D38" s="2088">
        <v>3568.1</v>
      </c>
      <c r="E38" s="2088">
        <v>3610.65</v>
      </c>
      <c r="F38" s="2088">
        <v>4245.97</v>
      </c>
      <c r="G38" s="1975"/>
      <c r="H38" s="1975"/>
      <c r="I38" s="1975"/>
      <c r="J38" s="1975"/>
      <c r="K38" s="1975"/>
    </row>
    <row r="39" spans="1:16" x14ac:dyDescent="0.2">
      <c r="A39" s="1972" t="s">
        <v>1646</v>
      </c>
      <c r="B39" s="2041">
        <f t="shared" ref="B39:B40" si="12">C39+D39+E39+F39</f>
        <v>8516</v>
      </c>
      <c r="C39" s="1977">
        <v>4947</v>
      </c>
      <c r="D39" s="1977">
        <v>3568.1</v>
      </c>
      <c r="E39" s="1977">
        <v>0.9</v>
      </c>
      <c r="F39" s="1977"/>
      <c r="G39" s="1975"/>
      <c r="H39" s="1975"/>
      <c r="I39" s="1975"/>
      <c r="J39" s="1975"/>
      <c r="K39" s="1975"/>
    </row>
    <row r="40" spans="1:16" x14ac:dyDescent="0.2">
      <c r="A40" s="1972" t="s">
        <v>1647</v>
      </c>
      <c r="B40" s="2041">
        <f t="shared" si="12"/>
        <v>7834.52</v>
      </c>
      <c r="C40" s="1977"/>
      <c r="D40" s="1977"/>
      <c r="E40" s="1977">
        <v>3588.55</v>
      </c>
      <c r="F40" s="1977">
        <f>F38</f>
        <v>4245.97</v>
      </c>
      <c r="G40" s="1975"/>
      <c r="H40" s="1975"/>
      <c r="I40" s="1975"/>
      <c r="J40" s="1975"/>
      <c r="K40" s="1975"/>
    </row>
    <row r="41" spans="1:16" x14ac:dyDescent="0.2">
      <c r="A41" s="4702" t="s">
        <v>1645</v>
      </c>
      <c r="B41" s="2088"/>
      <c r="C41" s="4704" t="s">
        <v>1649</v>
      </c>
      <c r="D41" s="4704"/>
      <c r="E41" s="4704"/>
      <c r="F41" s="4704"/>
      <c r="G41" s="1975"/>
      <c r="H41" s="1975"/>
      <c r="I41" s="1975"/>
      <c r="J41" s="1975"/>
      <c r="K41" s="1975"/>
    </row>
    <row r="42" spans="1:16" x14ac:dyDescent="0.2">
      <c r="A42" s="4703"/>
      <c r="B42" s="2088">
        <f>B43+B44</f>
        <v>8099.3000000000011</v>
      </c>
      <c r="C42" s="2089">
        <f>C43+C44</f>
        <v>0</v>
      </c>
      <c r="D42" s="2089">
        <f t="shared" ref="D42" si="13">D43+D44</f>
        <v>0</v>
      </c>
      <c r="E42" s="2089">
        <f>E43+E44</f>
        <v>3588.55</v>
      </c>
      <c r="F42" s="2089">
        <f t="shared" ref="F42" si="14">F43+F44</f>
        <v>4510.75</v>
      </c>
      <c r="G42" s="1975"/>
      <c r="H42" s="1975"/>
      <c r="I42" s="1975"/>
      <c r="J42" s="1975"/>
      <c r="K42" s="1975"/>
    </row>
    <row r="43" spans="1:16" x14ac:dyDescent="0.2">
      <c r="A43" s="4040" t="s">
        <v>1648</v>
      </c>
      <c r="B43" s="2041">
        <f t="shared" ref="B43:B44" si="15">C43+D43+E43+F43</f>
        <v>3364.19</v>
      </c>
      <c r="C43" s="1795"/>
      <c r="D43" s="1795"/>
      <c r="E43" s="1795">
        <v>1363.99</v>
      </c>
      <c r="F43" s="1795">
        <v>2000.2</v>
      </c>
      <c r="G43" s="1795"/>
      <c r="H43" s="1795"/>
      <c r="I43" s="1795"/>
      <c r="J43" s="1795"/>
      <c r="K43" s="1795"/>
    </row>
    <row r="44" spans="1:16" x14ac:dyDescent="0.2">
      <c r="A44" s="4040"/>
      <c r="B44" s="2041">
        <f t="shared" si="15"/>
        <v>4735.1100000000006</v>
      </c>
      <c r="C44" s="1975"/>
      <c r="D44" s="1975"/>
      <c r="E44" s="1975">
        <v>2224.56</v>
      </c>
      <c r="F44" s="1975">
        <v>2510.5500000000002</v>
      </c>
      <c r="G44" s="1975"/>
      <c r="H44" s="1975"/>
      <c r="I44" s="1975"/>
      <c r="J44" s="1975"/>
      <c r="K44" s="1975"/>
    </row>
    <row r="45" spans="1:16" x14ac:dyDescent="0.2">
      <c r="A45" s="1972"/>
      <c r="B45" s="4699" t="s">
        <v>1650</v>
      </c>
      <c r="C45" s="4700"/>
      <c r="D45" s="4700"/>
      <c r="E45" s="4700"/>
      <c r="F45" s="4700"/>
      <c r="G45" s="4701" t="s">
        <v>1655</v>
      </c>
      <c r="H45" s="4701"/>
      <c r="I45" s="4701"/>
      <c r="J45" s="4701"/>
      <c r="K45" s="4701"/>
    </row>
    <row r="46" spans="1:16" x14ac:dyDescent="0.2">
      <c r="A46" s="1972"/>
      <c r="B46" s="2068">
        <f>SUM(B47:B52)</f>
        <v>8516</v>
      </c>
      <c r="C46" s="2068">
        <f t="shared" ref="C46:K46" si="16">SUM(C47:C52)</f>
        <v>4947</v>
      </c>
      <c r="D46" s="2068">
        <f t="shared" si="16"/>
        <v>3568.1000000000004</v>
      </c>
      <c r="E46" s="2068">
        <f t="shared" si="16"/>
        <v>0.89999999999999991</v>
      </c>
      <c r="F46" s="2068">
        <f t="shared" si="16"/>
        <v>0</v>
      </c>
      <c r="G46" s="2068">
        <f t="shared" si="16"/>
        <v>1044.8820000000001</v>
      </c>
      <c r="H46" s="2068">
        <f t="shared" si="16"/>
        <v>1044.8820000000001</v>
      </c>
      <c r="I46" s="2068">
        <f t="shared" si="16"/>
        <v>0</v>
      </c>
      <c r="J46" s="2068">
        <f t="shared" si="16"/>
        <v>0</v>
      </c>
      <c r="K46" s="2068">
        <f t="shared" si="16"/>
        <v>0</v>
      </c>
      <c r="M46" s="1860">
        <f>B46-G46</f>
        <v>7471.1180000000004</v>
      </c>
    </row>
    <row r="47" spans="1:16" x14ac:dyDescent="0.2">
      <c r="A47" s="1972" t="s">
        <v>1656</v>
      </c>
      <c r="B47" s="2041">
        <f t="shared" ref="B47:B50" si="17">C47+D47+E47+F47</f>
        <v>1517</v>
      </c>
      <c r="C47" s="1969">
        <v>1517</v>
      </c>
      <c r="D47" s="1969"/>
      <c r="E47" s="1969"/>
      <c r="F47" s="1969"/>
      <c r="G47" s="2041">
        <f t="shared" ref="G47:G50" si="18">H47+I47+J47+K47</f>
        <v>413.41640000000001</v>
      </c>
      <c r="H47" s="1969">
        <v>413.41640000000001</v>
      </c>
      <c r="I47" s="1969"/>
      <c r="J47" s="1969"/>
      <c r="K47" s="1969"/>
      <c r="L47" s="5" t="s">
        <v>1670</v>
      </c>
      <c r="M47" s="2216">
        <f>B47-G47</f>
        <v>1103.5835999999999</v>
      </c>
      <c r="P47" s="1860">
        <f>M47+M48+M49</f>
        <v>3902.1179999999999</v>
      </c>
    </row>
    <row r="48" spans="1:16" x14ac:dyDescent="0.2">
      <c r="A48" s="1972" t="s">
        <v>1657</v>
      </c>
      <c r="B48" s="2041">
        <f t="shared" si="17"/>
        <v>1742</v>
      </c>
      <c r="C48" s="1969">
        <v>1742</v>
      </c>
      <c r="D48" s="1969"/>
      <c r="E48" s="1969"/>
      <c r="F48" s="1969"/>
      <c r="G48" s="2041">
        <f t="shared" si="18"/>
        <v>218.04920000000001</v>
      </c>
      <c r="H48" s="1969">
        <f>206.7082+11.341</f>
        <v>218.04920000000001</v>
      </c>
      <c r="I48" s="1969"/>
      <c r="J48" s="1969"/>
      <c r="K48" s="1969"/>
      <c r="L48" s="5" t="s">
        <v>1670</v>
      </c>
      <c r="M48" s="2216">
        <f t="shared" ref="M48:M52" si="19">B48-G48</f>
        <v>1523.9508000000001</v>
      </c>
    </row>
    <row r="49" spans="1:13" x14ac:dyDescent="0.2">
      <c r="A49" s="1972" t="s">
        <v>1658</v>
      </c>
      <c r="B49" s="2041">
        <f t="shared" si="17"/>
        <v>1688</v>
      </c>
      <c r="C49" s="1969">
        <v>1688</v>
      </c>
      <c r="D49" s="1969"/>
      <c r="E49" s="1969"/>
      <c r="F49" s="1969"/>
      <c r="G49" s="2041">
        <f t="shared" si="18"/>
        <v>413.41640000000001</v>
      </c>
      <c r="H49" s="1969">
        <v>413.41640000000001</v>
      </c>
      <c r="I49" s="1969"/>
      <c r="J49" s="1969"/>
      <c r="K49" s="1969"/>
      <c r="L49" s="5" t="s">
        <v>1670</v>
      </c>
      <c r="M49" s="2216">
        <f t="shared" si="19"/>
        <v>1274.5835999999999</v>
      </c>
    </row>
    <row r="50" spans="1:13" x14ac:dyDescent="0.2">
      <c r="A50" s="1972" t="s">
        <v>1659</v>
      </c>
      <c r="B50" s="2041">
        <f t="shared" si="17"/>
        <v>1579</v>
      </c>
      <c r="C50" s="1969"/>
      <c r="D50" s="1969">
        <v>1579</v>
      </c>
      <c r="E50" s="1969"/>
      <c r="F50" s="1969"/>
      <c r="G50" s="2041">
        <f t="shared" si="18"/>
        <v>0</v>
      </c>
      <c r="H50" s="1969"/>
      <c r="I50" s="1969"/>
      <c r="J50" s="1969"/>
      <c r="K50" s="1969"/>
      <c r="L50" s="5" t="s">
        <v>1671</v>
      </c>
      <c r="M50" s="2216">
        <f t="shared" si="19"/>
        <v>1579</v>
      </c>
    </row>
    <row r="51" spans="1:13" x14ac:dyDescent="0.2">
      <c r="A51" s="1972" t="s">
        <v>1660</v>
      </c>
      <c r="B51" s="2041">
        <f t="shared" ref="B51:B52" si="20">C51+D51+E51+F51</f>
        <v>1283</v>
      </c>
      <c r="C51" s="1969"/>
      <c r="D51" s="1969">
        <v>1282.4000000000001</v>
      </c>
      <c r="E51" s="1969">
        <v>0.6</v>
      </c>
      <c r="F51" s="1969"/>
      <c r="G51" s="2041">
        <f t="shared" ref="G51:G52" si="21">H51+I51+J51+K51</f>
        <v>0</v>
      </c>
      <c r="H51" s="1969"/>
      <c r="I51" s="1969"/>
      <c r="J51" s="1969"/>
      <c r="K51" s="1969"/>
      <c r="L51" s="5" t="s">
        <v>1671</v>
      </c>
      <c r="M51" s="2216">
        <f t="shared" si="19"/>
        <v>1283</v>
      </c>
    </row>
    <row r="52" spans="1:13" x14ac:dyDescent="0.2">
      <c r="A52" s="1972" t="s">
        <v>1661</v>
      </c>
      <c r="B52" s="2041">
        <f t="shared" si="20"/>
        <v>707</v>
      </c>
      <c r="C52" s="1969"/>
      <c r="D52" s="1969">
        <v>706.7</v>
      </c>
      <c r="E52" s="1969">
        <v>0.3</v>
      </c>
      <c r="F52" s="1969"/>
      <c r="G52" s="2041">
        <f t="shared" si="21"/>
        <v>0</v>
      </c>
      <c r="H52" s="1969"/>
      <c r="I52" s="1969"/>
      <c r="J52" s="1969"/>
      <c r="K52" s="1969"/>
      <c r="L52" s="5" t="s">
        <v>1671</v>
      </c>
      <c r="M52" s="2216">
        <f t="shared" si="19"/>
        <v>707</v>
      </c>
    </row>
    <row r="54" spans="1:13" x14ac:dyDescent="0.2">
      <c r="A54" s="5" t="s">
        <v>1662</v>
      </c>
    </row>
    <row r="55" spans="1:13" x14ac:dyDescent="0.2">
      <c r="A55" s="4061"/>
      <c r="B55" s="3971" t="s">
        <v>46</v>
      </c>
      <c r="C55" s="3971"/>
      <c r="D55" s="3971"/>
      <c r="E55" s="3971" t="s">
        <v>47</v>
      </c>
      <c r="F55" s="3971"/>
      <c r="G55" s="3971"/>
    </row>
    <row r="56" spans="1:13" ht="25.5" customHeight="1" x14ac:dyDescent="0.2">
      <c r="A56" s="4061"/>
      <c r="B56" s="1955" t="s">
        <v>1580</v>
      </c>
      <c r="C56" s="2090" t="s">
        <v>61</v>
      </c>
      <c r="D56" s="2090" t="s">
        <v>1610</v>
      </c>
      <c r="E56" s="1955" t="s">
        <v>1580</v>
      </c>
      <c r="F56" s="2090" t="s">
        <v>61</v>
      </c>
      <c r="G56" s="2090" t="s">
        <v>1610</v>
      </c>
    </row>
    <row r="57" spans="1:13" x14ac:dyDescent="0.2">
      <c r="A57" s="1972" t="s">
        <v>1663</v>
      </c>
      <c r="B57" s="1975"/>
      <c r="C57" s="1975"/>
      <c r="D57" s="1975"/>
      <c r="E57" s="1975"/>
      <c r="F57" s="1975"/>
      <c r="G57" s="1975"/>
    </row>
    <row r="58" spans="1:13" x14ac:dyDescent="0.2">
      <c r="A58" s="1972">
        <v>2014</v>
      </c>
      <c r="B58" s="1977">
        <v>4038</v>
      </c>
      <c r="C58" s="1977">
        <v>3989.18</v>
      </c>
      <c r="D58" s="1977">
        <f t="shared" ref="D58:D60" si="22">C58-B58</f>
        <v>-48.820000000000164</v>
      </c>
      <c r="E58" s="1977">
        <v>3620</v>
      </c>
      <c r="F58" s="1977">
        <v>3445.97</v>
      </c>
      <c r="G58" s="1977">
        <f t="shared" ref="G58:G60" si="23">F58-E58</f>
        <v>-174.0300000000002</v>
      </c>
    </row>
    <row r="59" spans="1:13" x14ac:dyDescent="0.2">
      <c r="A59" s="1972">
        <v>2015</v>
      </c>
      <c r="B59" s="1977">
        <v>4038</v>
      </c>
      <c r="C59" s="1977">
        <v>3760.82</v>
      </c>
      <c r="D59" s="1977">
        <f t="shared" si="22"/>
        <v>-277.17999999999984</v>
      </c>
      <c r="E59" s="1977">
        <v>3620</v>
      </c>
      <c r="F59" s="1977">
        <v>3186.77</v>
      </c>
      <c r="G59" s="1977">
        <f t="shared" si="23"/>
        <v>-433.23</v>
      </c>
    </row>
    <row r="60" spans="1:13" x14ac:dyDescent="0.2">
      <c r="A60" s="1972">
        <v>2016</v>
      </c>
      <c r="B60" s="1977">
        <v>4038</v>
      </c>
      <c r="C60" s="1977">
        <v>3566.34</v>
      </c>
      <c r="D60" s="1977">
        <f t="shared" si="22"/>
        <v>-471.65999999999985</v>
      </c>
      <c r="E60" s="1977">
        <v>3620</v>
      </c>
      <c r="F60" s="1977">
        <v>3048.9</v>
      </c>
      <c r="G60" s="1977">
        <f t="shared" si="23"/>
        <v>-571.09999999999991</v>
      </c>
    </row>
    <row r="61" spans="1:13" x14ac:dyDescent="0.2">
      <c r="A61" s="1972" t="s">
        <v>1664</v>
      </c>
      <c r="B61" s="1975"/>
      <c r="C61" s="4697" t="s">
        <v>1666</v>
      </c>
      <c r="D61" s="4698"/>
      <c r="E61" s="1975"/>
      <c r="F61" s="4697" t="s">
        <v>1666</v>
      </c>
      <c r="G61" s="4698"/>
    </row>
    <row r="62" spans="1:13" x14ac:dyDescent="0.2">
      <c r="A62" s="1972">
        <v>2014</v>
      </c>
      <c r="B62" s="1977">
        <v>4655</v>
      </c>
      <c r="C62" s="1977">
        <v>4598.72</v>
      </c>
      <c r="D62" s="1977">
        <f t="shared" ref="D62:D68" si="24">C62-B62</f>
        <v>-56.279999999999745</v>
      </c>
      <c r="E62" s="1977">
        <v>4947</v>
      </c>
      <c r="F62" s="1977">
        <v>4709.2</v>
      </c>
      <c r="G62" s="1977">
        <f t="shared" ref="G62:G68" si="25">F62-E62</f>
        <v>-237.80000000000018</v>
      </c>
    </row>
    <row r="63" spans="1:13" x14ac:dyDescent="0.2">
      <c r="A63" s="1972">
        <v>2015</v>
      </c>
      <c r="B63" s="1977">
        <v>4444</v>
      </c>
      <c r="C63" s="1977">
        <v>4139</v>
      </c>
      <c r="D63" s="1977">
        <f t="shared" si="24"/>
        <v>-305</v>
      </c>
      <c r="E63" s="1977">
        <v>3568.1</v>
      </c>
      <c r="F63" s="1977">
        <v>3140.9</v>
      </c>
      <c r="G63" s="1977">
        <f t="shared" si="25"/>
        <v>-427.19999999999982</v>
      </c>
    </row>
    <row r="64" spans="1:13" x14ac:dyDescent="0.2">
      <c r="A64" s="1972">
        <v>2016</v>
      </c>
      <c r="B64" s="1977">
        <v>3976</v>
      </c>
      <c r="C64" s="1977">
        <v>3511.6</v>
      </c>
      <c r="D64" s="1977">
        <f t="shared" si="24"/>
        <v>-464.40000000000009</v>
      </c>
      <c r="E64" s="1977">
        <v>0.9</v>
      </c>
      <c r="F64" s="1977">
        <v>0.76</v>
      </c>
      <c r="G64" s="1977">
        <f t="shared" si="25"/>
        <v>-0.14000000000000001</v>
      </c>
    </row>
    <row r="65" spans="1:7" x14ac:dyDescent="0.2">
      <c r="A65" s="1972" t="s">
        <v>1665</v>
      </c>
      <c r="B65" s="1977"/>
      <c r="C65" s="1977"/>
      <c r="D65" s="1977"/>
      <c r="E65" s="1977"/>
      <c r="F65" s="1977"/>
      <c r="G65" s="1977"/>
    </row>
    <row r="66" spans="1:7" x14ac:dyDescent="0.2">
      <c r="A66" s="1972">
        <v>2014</v>
      </c>
      <c r="B66" s="1977">
        <v>1.1599999999999999</v>
      </c>
      <c r="C66" s="1977">
        <f>C62/C58</f>
        <v>1.1527983194541236</v>
      </c>
      <c r="D66" s="1977">
        <f t="shared" si="24"/>
        <v>-7.2016805458763322E-3</v>
      </c>
      <c r="E66" s="1977">
        <f>E62/E58</f>
        <v>1.3665745856353591</v>
      </c>
      <c r="F66" s="1977">
        <f>F62/F58</f>
        <v>1.3665818332719089</v>
      </c>
      <c r="G66" s="1977">
        <f t="shared" si="25"/>
        <v>7.2476365498008732E-6</v>
      </c>
    </row>
    <row r="67" spans="1:7" x14ac:dyDescent="0.2">
      <c r="A67" s="1972">
        <v>2015</v>
      </c>
      <c r="B67" s="1977">
        <f t="shared" ref="B67:B68" si="26">B63/B59</f>
        <v>1.1005448241703815</v>
      </c>
      <c r="C67" s="1977">
        <f>C63/C59</f>
        <v>1.1005578570630872</v>
      </c>
      <c r="D67" s="1977">
        <f t="shared" si="24"/>
        <v>1.3032892705711063E-5</v>
      </c>
      <c r="E67" s="1977">
        <f t="shared" ref="E67:E68" si="27">E63/E59</f>
        <v>0.98566298342541436</v>
      </c>
      <c r="F67" s="1977">
        <f>F63/F59</f>
        <v>0.98560611528287267</v>
      </c>
      <c r="G67" s="1977">
        <f t="shared" si="25"/>
        <v>-5.6868142541688371E-5</v>
      </c>
    </row>
    <row r="68" spans="1:7" x14ac:dyDescent="0.2">
      <c r="A68" s="1972">
        <v>2016</v>
      </c>
      <c r="B68" s="1977">
        <f t="shared" si="26"/>
        <v>0.98464586428925216</v>
      </c>
      <c r="C68" s="1977">
        <v>0.98</v>
      </c>
      <c r="D68" s="1977">
        <f t="shared" si="24"/>
        <v>-4.6458642892521773E-3</v>
      </c>
      <c r="E68" s="1977">
        <f t="shared" si="27"/>
        <v>2.4861878453038676E-4</v>
      </c>
      <c r="F68" s="1977">
        <v>0</v>
      </c>
      <c r="G68" s="1977">
        <f t="shared" si="25"/>
        <v>-2.4861878453038676E-4</v>
      </c>
    </row>
    <row r="69" spans="1:7" x14ac:dyDescent="0.2">
      <c r="A69" s="1972" t="s">
        <v>1667</v>
      </c>
      <c r="B69" s="1977"/>
      <c r="C69" s="1977"/>
      <c r="D69" s="1977">
        <f>D62+D63+D64</f>
        <v>-825.67999999999984</v>
      </c>
      <c r="E69" s="1977"/>
      <c r="F69" s="1977"/>
      <c r="G69" s="1977">
        <f>G62+G63+G64</f>
        <v>-665.14</v>
      </c>
    </row>
    <row r="70" spans="1:7" x14ac:dyDescent="0.2">
      <c r="A70" s="2092" t="s">
        <v>1668</v>
      </c>
      <c r="B70" s="1973"/>
      <c r="C70" s="1973"/>
      <c r="D70" s="1973">
        <f>D62+D63</f>
        <v>-361.27999999999975</v>
      </c>
      <c r="E70" s="1973"/>
      <c r="F70" s="1973"/>
      <c r="G70" s="1973">
        <f>G62+G63</f>
        <v>-665</v>
      </c>
    </row>
    <row r="72" spans="1:7" x14ac:dyDescent="0.2">
      <c r="A72" s="5" t="s">
        <v>1728</v>
      </c>
      <c r="B72" s="1860">
        <f>B62+B63+B64</f>
        <v>13075</v>
      </c>
      <c r="C72" s="1860">
        <f>C62+C63+C64</f>
        <v>12249.320000000002</v>
      </c>
      <c r="E72" s="1860">
        <f>E62+E63+E64</f>
        <v>8516</v>
      </c>
      <c r="F72" s="1860">
        <f>F62+F63+F64</f>
        <v>7850.8600000000006</v>
      </c>
    </row>
    <row r="73" spans="1:7" x14ac:dyDescent="0.2">
      <c r="A73" s="5" t="s">
        <v>1730</v>
      </c>
      <c r="B73" s="1860">
        <f>B33+B34+B36</f>
        <v>8929</v>
      </c>
      <c r="C73" s="1860">
        <f>B33+B36</f>
        <v>4655</v>
      </c>
      <c r="E73" s="1860">
        <f>B47+B48+B49</f>
        <v>4947</v>
      </c>
      <c r="F73" s="1860">
        <f>B47+B48+B49</f>
        <v>4947</v>
      </c>
    </row>
    <row r="74" spans="1:7" x14ac:dyDescent="0.2">
      <c r="A74" s="5" t="s">
        <v>1729</v>
      </c>
      <c r="B74" s="1860">
        <f>B33+B34+B36</f>
        <v>8929</v>
      </c>
      <c r="C74" s="1860">
        <f>B74</f>
        <v>8929</v>
      </c>
      <c r="E74" s="1860">
        <f>E73</f>
        <v>4947</v>
      </c>
      <c r="F74" s="1860">
        <f>E74</f>
        <v>4947</v>
      </c>
    </row>
    <row r="75" spans="1:7" x14ac:dyDescent="0.2">
      <c r="A75" s="5" t="s">
        <v>1731</v>
      </c>
      <c r="C75" s="2355">
        <f>C74-C73</f>
        <v>4274</v>
      </c>
      <c r="F75" s="1860">
        <f>F74-F73</f>
        <v>0</v>
      </c>
    </row>
    <row r="76" spans="1:7" x14ac:dyDescent="0.2">
      <c r="A76" s="5" t="s">
        <v>1732</v>
      </c>
      <c r="C76" s="1860">
        <f>M33</f>
        <v>1205.44</v>
      </c>
      <c r="F76" s="1841">
        <v>0</v>
      </c>
    </row>
    <row r="77" spans="1:7" x14ac:dyDescent="0.2">
      <c r="A77" s="5" t="s">
        <v>1733</v>
      </c>
      <c r="C77" s="1860">
        <f>C75-C76</f>
        <v>3068.56</v>
      </c>
      <c r="F77" s="1860">
        <f>F75-F76</f>
        <v>0</v>
      </c>
    </row>
    <row r="78" spans="1:7" x14ac:dyDescent="0.2">
      <c r="A78" s="5" t="s">
        <v>1734</v>
      </c>
      <c r="C78" s="1860"/>
      <c r="F78" s="1860"/>
    </row>
    <row r="79" spans="1:7" x14ac:dyDescent="0.2">
      <c r="C79" s="1860"/>
    </row>
    <row r="80" spans="1:7" x14ac:dyDescent="0.2">
      <c r="C80" s="1860"/>
    </row>
    <row r="81" spans="3:3" x14ac:dyDescent="0.2">
      <c r="C81" s="1860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3958" t="s">
        <v>1684</v>
      </c>
      <c r="O1" s="3958"/>
      <c r="P1" s="3958"/>
    </row>
    <row r="2" spans="1:16" ht="15.75" x14ac:dyDescent="0.25">
      <c r="A2" s="4707" t="s">
        <v>1687</v>
      </c>
      <c r="B2" s="4707"/>
      <c r="C2" s="4707"/>
      <c r="D2" s="4707"/>
      <c r="E2" s="4707"/>
      <c r="F2" s="4707"/>
      <c r="G2" s="4707"/>
      <c r="H2" s="4707"/>
      <c r="I2" s="4707"/>
      <c r="J2" s="4707"/>
      <c r="K2" s="4707"/>
      <c r="L2" s="4707"/>
      <c r="M2" s="4707"/>
      <c r="N2" s="4707"/>
      <c r="O2" s="4707"/>
      <c r="P2" s="4707"/>
    </row>
    <row r="4" spans="1:16" x14ac:dyDescent="0.2">
      <c r="A4" s="3970"/>
      <c r="B4" s="4332" t="s">
        <v>373</v>
      </c>
      <c r="C4" s="4333"/>
      <c r="D4" s="4333"/>
      <c r="E4" s="4333"/>
      <c r="F4" s="4333"/>
      <c r="G4" s="4333"/>
      <c r="H4" s="4333"/>
      <c r="I4" s="4334"/>
      <c r="J4" s="4255" t="s">
        <v>1611</v>
      </c>
      <c r="K4" s="2058"/>
      <c r="L4" s="2058"/>
      <c r="M4" s="2058"/>
      <c r="N4" s="2058"/>
      <c r="O4" s="4255" t="s">
        <v>1639</v>
      </c>
      <c r="P4" s="4255" t="s">
        <v>1640</v>
      </c>
    </row>
    <row r="5" spans="1:16" x14ac:dyDescent="0.2">
      <c r="A5" s="3970"/>
      <c r="B5" s="4335" t="s">
        <v>244</v>
      </c>
      <c r="C5" s="4335"/>
      <c r="D5" s="4335"/>
      <c r="E5" s="4335"/>
      <c r="F5" s="4335" t="s">
        <v>61</v>
      </c>
      <c r="G5" s="4335"/>
      <c r="H5" s="4335"/>
      <c r="I5" s="4335"/>
      <c r="J5" s="4256"/>
      <c r="K5" s="4335" t="s">
        <v>1612</v>
      </c>
      <c r="L5" s="4335"/>
      <c r="M5" s="4335"/>
      <c r="N5" s="4335"/>
      <c r="O5" s="4256"/>
      <c r="P5" s="4256"/>
    </row>
    <row r="6" spans="1:16" ht="42" customHeight="1" x14ac:dyDescent="0.2">
      <c r="A6" s="3970"/>
      <c r="B6" s="1952" t="s">
        <v>100</v>
      </c>
      <c r="C6" s="1952" t="s">
        <v>127</v>
      </c>
      <c r="D6" s="1952" t="s">
        <v>101</v>
      </c>
      <c r="E6" s="1952" t="s">
        <v>102</v>
      </c>
      <c r="F6" s="1952" t="s">
        <v>100</v>
      </c>
      <c r="G6" s="1952" t="s">
        <v>127</v>
      </c>
      <c r="H6" s="1952" t="s">
        <v>101</v>
      </c>
      <c r="I6" s="1952" t="s">
        <v>102</v>
      </c>
      <c r="J6" s="4257"/>
      <c r="K6" s="1952" t="s">
        <v>100</v>
      </c>
      <c r="L6" s="1952" t="s">
        <v>127</v>
      </c>
      <c r="M6" s="1952" t="s">
        <v>101</v>
      </c>
      <c r="N6" s="1952" t="s">
        <v>102</v>
      </c>
      <c r="O6" s="4257"/>
      <c r="P6" s="4257"/>
    </row>
    <row r="7" spans="1:16" ht="12.75" customHeight="1" x14ac:dyDescent="0.2">
      <c r="A7" s="1972" t="s">
        <v>103</v>
      </c>
      <c r="B7" s="2052">
        <f>C16*C7/1000</f>
        <v>34.529558232000007</v>
      </c>
      <c r="C7" s="2053">
        <v>6.2088000000000001</v>
      </c>
      <c r="D7" s="2054">
        <v>77526</v>
      </c>
      <c r="E7" s="2054">
        <f>B7*D7/1000</f>
        <v>2676.9385314940328</v>
      </c>
      <c r="F7" s="2052">
        <f>G16*G7/1000</f>
        <v>2.10000000226449</v>
      </c>
      <c r="G7" s="2053">
        <v>0.313530639</v>
      </c>
      <c r="H7" s="2054">
        <v>72829</v>
      </c>
      <c r="I7" s="2054">
        <f>F7*H7/1000</f>
        <v>152.94090016492055</v>
      </c>
      <c r="J7" s="2054">
        <f>I7-E7</f>
        <v>-2523.9976313291122</v>
      </c>
      <c r="K7" s="2052">
        <f>L16*L7/1000</f>
        <v>1.7932898925304674</v>
      </c>
      <c r="L7" s="2053">
        <v>0.313530639</v>
      </c>
      <c r="M7" s="2054">
        <f>E41</f>
        <v>73000</v>
      </c>
      <c r="N7" s="2054">
        <f>K7*M7/1000</f>
        <v>130.91016215472413</v>
      </c>
      <c r="O7" s="2054">
        <f>N7-I7</f>
        <v>-22.030738010196416</v>
      </c>
      <c r="P7" s="2054">
        <f>N7-E7</f>
        <v>-2546.0283693393085</v>
      </c>
    </row>
    <row r="8" spans="1:16" ht="12.75" customHeight="1" x14ac:dyDescent="0.2">
      <c r="A8" s="1972" t="s">
        <v>104</v>
      </c>
      <c r="B8" s="2055"/>
      <c r="C8" s="2056"/>
      <c r="D8" s="2054"/>
      <c r="E8" s="2054"/>
      <c r="F8" s="2055">
        <v>38.28</v>
      </c>
      <c r="G8" s="2056">
        <v>5.7152156420000004</v>
      </c>
      <c r="H8" s="2054">
        <v>52675</v>
      </c>
      <c r="I8" s="2054">
        <f t="shared" ref="I8:I13" si="0">F8*H8/1000</f>
        <v>2016.3989999999999</v>
      </c>
      <c r="J8" s="2054">
        <f t="shared" ref="J8:J13" si="1">I8-E8</f>
        <v>2016.3989999999999</v>
      </c>
      <c r="K8" s="2055">
        <v>38.28</v>
      </c>
      <c r="L8" s="2056">
        <v>5.7152156420000004</v>
      </c>
      <c r="M8" s="2054">
        <f>E37</f>
        <v>52349.709601873532</v>
      </c>
      <c r="N8" s="2054">
        <f t="shared" ref="N8:N13" si="2">K8*M8/1000</f>
        <v>2003.946883559719</v>
      </c>
      <c r="O8" s="2054">
        <f t="shared" ref="O8:O14" si="3">N8-I8</f>
        <v>-12.452116440280861</v>
      </c>
      <c r="P8" s="2054">
        <f t="shared" ref="P8:P14" si="4">N8-E8</f>
        <v>2003.946883559719</v>
      </c>
    </row>
    <row r="9" spans="1:16" ht="12.75" customHeight="1" x14ac:dyDescent="0.2">
      <c r="A9" s="1972" t="s">
        <v>109</v>
      </c>
      <c r="B9" s="2052">
        <f>C16*C9/1000</f>
        <v>170.04950975200001</v>
      </c>
      <c r="C9" s="2053">
        <v>30.576799999999999</v>
      </c>
      <c r="D9" s="2054">
        <v>4545</v>
      </c>
      <c r="E9" s="2054">
        <f>B9*D9/1000</f>
        <v>772.87502182283993</v>
      </c>
      <c r="F9" s="2052">
        <f>G16*G9/1000</f>
        <v>179.1000000084577</v>
      </c>
      <c r="G9" s="2053">
        <v>26.73968447</v>
      </c>
      <c r="H9" s="2054">
        <v>12323</v>
      </c>
      <c r="I9" s="2054">
        <f t="shared" si="0"/>
        <v>2207.0493001042241</v>
      </c>
      <c r="J9" s="2054">
        <f t="shared" si="1"/>
        <v>1434.1742782813842</v>
      </c>
      <c r="K9" s="2052">
        <f>L16*L9/1000</f>
        <v>152.94200924811341</v>
      </c>
      <c r="L9" s="2053">
        <v>26.73968447</v>
      </c>
      <c r="M9" s="2054">
        <f>E93</f>
        <v>12325.14774121584</v>
      </c>
      <c r="N9" s="2054">
        <f t="shared" si="2"/>
        <v>1885.0328598213971</v>
      </c>
      <c r="O9" s="2054">
        <f t="shared" si="3"/>
        <v>-322.01644028282703</v>
      </c>
      <c r="P9" s="2054">
        <f t="shared" si="4"/>
        <v>1112.1578379985572</v>
      </c>
    </row>
    <row r="10" spans="1:16" ht="12.75" customHeight="1" x14ac:dyDescent="0.2">
      <c r="A10" s="1972" t="s">
        <v>105</v>
      </c>
      <c r="B10" s="2052">
        <f>C10*C16/1000</f>
        <v>10.220722542000001</v>
      </c>
      <c r="C10" s="2053">
        <v>1.8378000000000001</v>
      </c>
      <c r="D10" s="2054">
        <v>25193.82</v>
      </c>
      <c r="E10" s="2054">
        <f>B10*D10/1000</f>
        <v>257.49904399309048</v>
      </c>
      <c r="F10" s="2052">
        <f>G10*G16/1000</f>
        <v>8.5199999990448099</v>
      </c>
      <c r="G10" s="2053">
        <v>1.2720385910000001</v>
      </c>
      <c r="H10" s="2054">
        <v>20251</v>
      </c>
      <c r="I10" s="2054">
        <f t="shared" si="0"/>
        <v>172.53851998065645</v>
      </c>
      <c r="J10" s="2054">
        <f t="shared" si="1"/>
        <v>-84.960524012434036</v>
      </c>
      <c r="K10" s="2052">
        <f>L10*L16/1000</f>
        <v>7.2756332696052635</v>
      </c>
      <c r="L10" s="2053">
        <v>1.2720385910000001</v>
      </c>
      <c r="M10" s="2054">
        <f>E49</f>
        <v>20263.592483852022</v>
      </c>
      <c r="N10" s="2054">
        <f t="shared" si="2"/>
        <v>147.43046763723692</v>
      </c>
      <c r="O10" s="2054">
        <f t="shared" si="3"/>
        <v>-25.10805234341953</v>
      </c>
      <c r="P10" s="2054">
        <f t="shared" si="4"/>
        <v>-110.06857635585357</v>
      </c>
    </row>
    <row r="11" spans="1:16" ht="12.75" customHeight="1" x14ac:dyDescent="0.2">
      <c r="A11" s="1972" t="s">
        <v>106</v>
      </c>
      <c r="B11" s="2052">
        <f>C16*C11/1000</f>
        <v>8.0172998240000002</v>
      </c>
      <c r="C11" s="2053">
        <v>1.4416</v>
      </c>
      <c r="D11" s="2054">
        <v>17586.72</v>
      </c>
      <c r="E11" s="2054">
        <f>B11*D11/1000</f>
        <v>140.9980071607373</v>
      </c>
      <c r="F11" s="2052">
        <f>G16*G11/1000</f>
        <v>9.130000002286069</v>
      </c>
      <c r="G11" s="2053">
        <v>1.3631117770000001</v>
      </c>
      <c r="H11" s="2054">
        <v>18820</v>
      </c>
      <c r="I11" s="2054">
        <f t="shared" si="0"/>
        <v>171.82660004302383</v>
      </c>
      <c r="J11" s="2054">
        <f t="shared" si="1"/>
        <v>30.828592882286529</v>
      </c>
      <c r="K11" s="2052">
        <f>L16*L11/1000</f>
        <v>7.7965412882131258</v>
      </c>
      <c r="L11" s="2053">
        <v>1.3631117770000001</v>
      </c>
      <c r="M11" s="2054">
        <f>E73</f>
        <v>18830.726575342469</v>
      </c>
      <c r="N11" s="2054">
        <f t="shared" si="2"/>
        <v>146.81453723170972</v>
      </c>
      <c r="O11" s="2054">
        <f t="shared" si="3"/>
        <v>-25.012062811314109</v>
      </c>
      <c r="P11" s="2054">
        <f t="shared" si="4"/>
        <v>5.8165300709724193</v>
      </c>
    </row>
    <row r="12" spans="1:16" ht="12.75" customHeight="1" x14ac:dyDescent="0.2">
      <c r="A12" s="1972" t="s">
        <v>902</v>
      </c>
      <c r="B12" s="2055"/>
      <c r="C12" s="2055"/>
      <c r="D12" s="2054"/>
      <c r="E12" s="2054"/>
      <c r="F12" s="2052">
        <f>G16*G12/1000</f>
        <v>0.38000000289756003</v>
      </c>
      <c r="G12" s="2057">
        <v>5.6734116000000001E-2</v>
      </c>
      <c r="H12" s="2054">
        <f>270970</f>
        <v>270970</v>
      </c>
      <c r="I12" s="2054">
        <f t="shared" si="0"/>
        <v>102.96860078515184</v>
      </c>
      <c r="J12" s="2054">
        <f t="shared" si="1"/>
        <v>102.96860078515184</v>
      </c>
      <c r="K12" s="2052">
        <f>L16*L12/1000</f>
        <v>0.32450007791567409</v>
      </c>
      <c r="L12" s="2057">
        <v>5.6734116000000001E-2</v>
      </c>
      <c r="M12" s="2054">
        <f>E69</f>
        <v>274586.66666666663</v>
      </c>
      <c r="N12" s="2054">
        <f t="shared" si="2"/>
        <v>89.10339472793855</v>
      </c>
      <c r="O12" s="2054">
        <f t="shared" si="3"/>
        <v>-13.865206057213285</v>
      </c>
      <c r="P12" s="2054">
        <f t="shared" si="4"/>
        <v>89.10339472793855</v>
      </c>
    </row>
    <row r="13" spans="1:16" ht="12.75" customHeight="1" x14ac:dyDescent="0.2">
      <c r="A13" s="1972" t="s">
        <v>903</v>
      </c>
      <c r="B13" s="2055"/>
      <c r="C13" s="2055"/>
      <c r="D13" s="2054"/>
      <c r="E13" s="2054"/>
      <c r="F13" s="2052">
        <f>G16*G13/1000</f>
        <v>50.999999997584098</v>
      </c>
      <c r="G13" s="2055">
        <v>7.61431551</v>
      </c>
      <c r="H13" s="2054">
        <f>15.042*1000</f>
        <v>15042</v>
      </c>
      <c r="I13" s="2054">
        <f t="shared" si="0"/>
        <v>767.14199996366006</v>
      </c>
      <c r="J13" s="2054">
        <f t="shared" si="1"/>
        <v>767.14199996366006</v>
      </c>
      <c r="K13" s="2052">
        <f>L16*L13/1000</f>
        <v>43.551325912428517</v>
      </c>
      <c r="L13" s="2055">
        <v>7.61431551</v>
      </c>
      <c r="M13" s="2054">
        <f>E45</f>
        <v>15042.206666666667</v>
      </c>
      <c r="N13" s="2054">
        <f t="shared" si="2"/>
        <v>655.10804498210507</v>
      </c>
      <c r="O13" s="2054">
        <f t="shared" si="3"/>
        <v>-112.03395498155498</v>
      </c>
      <c r="P13" s="2054">
        <f t="shared" si="4"/>
        <v>655.10804498210507</v>
      </c>
    </row>
    <row r="14" spans="1:16" ht="12.75" customHeight="1" x14ac:dyDescent="0.2">
      <c r="A14" s="1972" t="s">
        <v>108</v>
      </c>
      <c r="B14" s="2055"/>
      <c r="C14" s="2055"/>
      <c r="D14" s="2054"/>
      <c r="E14" s="2054">
        <f>120</f>
        <v>120</v>
      </c>
      <c r="F14" s="2055"/>
      <c r="G14" s="2055"/>
      <c r="H14" s="2054">
        <v>0</v>
      </c>
      <c r="I14" s="2054">
        <v>116.22</v>
      </c>
      <c r="J14" s="2054">
        <f>I14-E14</f>
        <v>-3.7800000000000011</v>
      </c>
      <c r="K14" s="2055"/>
      <c r="L14" s="2055"/>
      <c r="M14" s="2054"/>
      <c r="N14" s="2054">
        <v>116.22</v>
      </c>
      <c r="O14" s="2054">
        <f t="shared" si="3"/>
        <v>0</v>
      </c>
      <c r="P14" s="2054">
        <f t="shared" si="4"/>
        <v>-3.7800000000000011</v>
      </c>
    </row>
    <row r="15" spans="1:16" ht="12.75" customHeight="1" x14ac:dyDescent="0.2">
      <c r="A15" s="2050" t="s">
        <v>90</v>
      </c>
      <c r="B15" s="2044"/>
      <c r="C15" s="2044"/>
      <c r="D15" s="2043"/>
      <c r="E15" s="2045">
        <f>SUM(E7:E14)</f>
        <v>3968.3106044707006</v>
      </c>
      <c r="F15" s="2044"/>
      <c r="G15" s="2044"/>
      <c r="H15" s="2043"/>
      <c r="I15" s="2045">
        <f>SUM(I7:I14)</f>
        <v>5707.0849210416363</v>
      </c>
      <c r="J15" s="2045">
        <f>SUM(J7:J14)</f>
        <v>1738.7743165709364</v>
      </c>
      <c r="K15" s="2044"/>
      <c r="L15" s="2044"/>
      <c r="M15" s="2043"/>
      <c r="N15" s="2045">
        <f>SUM(N7:N14)</f>
        <v>5174.5663501148301</v>
      </c>
      <c r="O15" s="2045">
        <f>SUM(O7:O14)</f>
        <v>-532.51857092680621</v>
      </c>
      <c r="P15" s="2045">
        <f>SUM(P7:P14)</f>
        <v>1206.2557456441302</v>
      </c>
    </row>
    <row r="16" spans="1:16" ht="25.5" customHeight="1" x14ac:dyDescent="0.2">
      <c r="A16" s="2051" t="s">
        <v>128</v>
      </c>
      <c r="B16" s="2046"/>
      <c r="C16" s="2047">
        <v>5561.39</v>
      </c>
      <c r="D16" s="2048"/>
      <c r="E16" s="2047"/>
      <c r="F16" s="2046"/>
      <c r="G16" s="2047">
        <f>объемы!R38</f>
        <v>6697.91</v>
      </c>
      <c r="H16" s="2048"/>
      <c r="I16" s="2047"/>
      <c r="J16" s="2047"/>
      <c r="K16" s="2046"/>
      <c r="L16" s="2047">
        <f>B26</f>
        <v>5719.6639481555339</v>
      </c>
      <c r="M16" s="2048"/>
      <c r="N16" s="2047"/>
      <c r="O16" s="2047"/>
      <c r="P16" s="2047"/>
    </row>
    <row r="17" spans="1:16" ht="12.75" customHeight="1" x14ac:dyDescent="0.2">
      <c r="A17" s="2050"/>
      <c r="B17" s="2044"/>
      <c r="C17" s="2044"/>
      <c r="D17" s="2043"/>
      <c r="E17" s="2045"/>
      <c r="F17" s="2044"/>
      <c r="G17" s="2044"/>
      <c r="H17" s="2043"/>
      <c r="I17" s="2045"/>
      <c r="J17" s="2045"/>
      <c r="K17" s="2044"/>
      <c r="L17" s="2044"/>
      <c r="M17" s="2043"/>
      <c r="N17" s="2045"/>
      <c r="O17" s="2045"/>
      <c r="P17" s="2045"/>
    </row>
    <row r="18" spans="1:16" ht="12.75" customHeight="1" x14ac:dyDescent="0.2">
      <c r="A18" s="1972" t="s">
        <v>103</v>
      </c>
      <c r="B18" s="2055"/>
      <c r="C18" s="2055"/>
      <c r="D18" s="2054"/>
      <c r="E18" s="2054"/>
      <c r="F18" s="2055"/>
      <c r="G18" s="2055"/>
      <c r="H18" s="2054"/>
      <c r="I18" s="2054"/>
      <c r="J18" s="2054"/>
      <c r="K18" s="2055"/>
      <c r="L18" s="2055"/>
      <c r="M18" s="2054"/>
      <c r="N18" s="2054"/>
      <c r="O18" s="2054"/>
      <c r="P18" s="2054"/>
    </row>
    <row r="19" spans="1:16" ht="12.75" customHeight="1" x14ac:dyDescent="0.2">
      <c r="A19" s="1972" t="s">
        <v>104</v>
      </c>
      <c r="B19" s="2052">
        <f>C19*C23/1000</f>
        <v>7.8155056000000007</v>
      </c>
      <c r="C19" s="2057">
        <v>2.1280000000000001</v>
      </c>
      <c r="D19" s="2054">
        <v>51168.21</v>
      </c>
      <c r="E19" s="2054">
        <v>399.96</v>
      </c>
      <c r="F19" s="2052">
        <f>G19*G23/1000</f>
        <v>6.8500332999999989</v>
      </c>
      <c r="G19" s="2057">
        <v>2.1339999999999999</v>
      </c>
      <c r="H19" s="2054">
        <v>49930</v>
      </c>
      <c r="I19" s="2054">
        <v>341.99</v>
      </c>
      <c r="J19" s="2054">
        <f>I19-E19</f>
        <v>-57.96999999999997</v>
      </c>
      <c r="K19" s="2052">
        <f>L19*L23/1000</f>
        <v>6.8500332999999989</v>
      </c>
      <c r="L19" s="2057">
        <v>2.1339999999999999</v>
      </c>
      <c r="M19" s="2054">
        <f>E37</f>
        <v>52349.709601873532</v>
      </c>
      <c r="N19" s="2054">
        <f t="shared" ref="N19:N20" si="5">K19*M19/1000</f>
        <v>358.59725401816337</v>
      </c>
      <c r="O19" s="2054">
        <f>N19-I19</f>
        <v>16.60725401816336</v>
      </c>
      <c r="P19" s="2054">
        <f>N19/E19</f>
        <v>0.89658279332474089</v>
      </c>
    </row>
    <row r="20" spans="1:16" ht="12.75" customHeight="1" x14ac:dyDescent="0.2">
      <c r="A20" s="1972" t="s">
        <v>111</v>
      </c>
      <c r="B20" s="2055"/>
      <c r="C20" s="2055"/>
      <c r="D20" s="2054"/>
      <c r="E20" s="2054"/>
      <c r="F20" s="2055">
        <v>0.05</v>
      </c>
      <c r="G20" s="2055">
        <v>1.6E-2</v>
      </c>
      <c r="H20" s="2054">
        <v>56000</v>
      </c>
      <c r="I20" s="2054">
        <v>2.8</v>
      </c>
      <c r="J20" s="2054">
        <f t="shared" ref="J20:J21" si="6">I20-E20</f>
        <v>2.8</v>
      </c>
      <c r="K20" s="2055">
        <v>0.05</v>
      </c>
      <c r="L20" s="2055">
        <v>1.6E-2</v>
      </c>
      <c r="M20" s="2054">
        <v>56000</v>
      </c>
      <c r="N20" s="2054">
        <f t="shared" si="5"/>
        <v>2.8</v>
      </c>
      <c r="O20" s="2054">
        <f t="shared" ref="O20:O21" si="7">N20-I20</f>
        <v>0</v>
      </c>
      <c r="P20" s="2054">
        <f>N20-E20</f>
        <v>2.8</v>
      </c>
    </row>
    <row r="21" spans="1:16" ht="12.75" customHeight="1" x14ac:dyDescent="0.2">
      <c r="A21" s="1972" t="s">
        <v>108</v>
      </c>
      <c r="B21" s="2055"/>
      <c r="C21" s="2055"/>
      <c r="D21" s="2054"/>
      <c r="E21" s="2054">
        <v>9.1</v>
      </c>
      <c r="F21" s="2055"/>
      <c r="G21" s="2055"/>
      <c r="H21" s="2054"/>
      <c r="I21" s="2054">
        <v>12.23</v>
      </c>
      <c r="J21" s="2054">
        <f t="shared" si="6"/>
        <v>3.1300000000000008</v>
      </c>
      <c r="K21" s="2055"/>
      <c r="L21" s="2055"/>
      <c r="M21" s="2054"/>
      <c r="N21" s="2054">
        <v>12.23</v>
      </c>
      <c r="O21" s="2054">
        <f t="shared" si="7"/>
        <v>0</v>
      </c>
      <c r="P21" s="2054">
        <f t="shared" ref="P21" si="8">N21/E21</f>
        <v>1.3439560439560441</v>
      </c>
    </row>
    <row r="22" spans="1:16" ht="12.75" customHeight="1" x14ac:dyDescent="0.2">
      <c r="A22" s="2050" t="s">
        <v>94</v>
      </c>
      <c r="B22" s="2044"/>
      <c r="C22" s="2044"/>
      <c r="D22" s="2043"/>
      <c r="E22" s="2045">
        <f>SUM(E19:E21)</f>
        <v>409.06</v>
      </c>
      <c r="F22" s="2044"/>
      <c r="G22" s="2044"/>
      <c r="H22" s="2043"/>
      <c r="I22" s="2045">
        <f>SUM(I19:I21)</f>
        <v>357.02000000000004</v>
      </c>
      <c r="J22" s="2045">
        <f>SUM(J19:J21)</f>
        <v>-52.039999999999971</v>
      </c>
      <c r="K22" s="2044"/>
      <c r="L22" s="2044"/>
      <c r="M22" s="2043"/>
      <c r="N22" s="2045">
        <f>SUM(N19:N21)</f>
        <v>373.6272540181634</v>
      </c>
      <c r="O22" s="2045">
        <f>SUM(O19:O21)</f>
        <v>16.60725401816336</v>
      </c>
      <c r="P22" s="2045">
        <f>SUM(P19:P21)</f>
        <v>5.0405388372807849</v>
      </c>
    </row>
    <row r="23" spans="1:16" ht="25.5" customHeight="1" x14ac:dyDescent="0.2">
      <c r="A23" s="2051" t="s">
        <v>129</v>
      </c>
      <c r="B23" s="2049"/>
      <c r="C23" s="2047">
        <v>3672.7</v>
      </c>
      <c r="D23" s="2047"/>
      <c r="E23" s="2047"/>
      <c r="F23" s="2049"/>
      <c r="G23" s="2047">
        <f>объемы!R58+объемы!S58</f>
        <v>3209.95</v>
      </c>
      <c r="H23" s="2047"/>
      <c r="I23" s="2047"/>
      <c r="J23" s="2047"/>
      <c r="K23" s="2049"/>
      <c r="L23" s="2047">
        <f>G23</f>
        <v>3209.95</v>
      </c>
      <c r="M23" s="2047"/>
      <c r="N23" s="2047"/>
      <c r="O23" s="2047"/>
      <c r="P23" s="2047"/>
    </row>
    <row r="26" spans="1:16" ht="25.5" x14ac:dyDescent="0.2">
      <c r="A26" s="2051" t="s">
        <v>128</v>
      </c>
      <c r="B26" s="1973">
        <f>B27+B28+B29</f>
        <v>5719.6639481555339</v>
      </c>
      <c r="C26" s="1860">
        <f>объемы!S38</f>
        <v>18.22</v>
      </c>
    </row>
    <row r="27" spans="1:16" x14ac:dyDescent="0.2">
      <c r="A27" s="1972" t="s">
        <v>1613</v>
      </c>
      <c r="B27" s="1977">
        <f>объемы!R41</f>
        <v>1030.98</v>
      </c>
    </row>
    <row r="28" spans="1:16" x14ac:dyDescent="0.2">
      <c r="A28" s="1972" t="s">
        <v>1614</v>
      </c>
      <c r="B28" s="1978">
        <f>B29*19.76/80.24</f>
        <v>926.48394815553365</v>
      </c>
    </row>
    <row r="29" spans="1:16" x14ac:dyDescent="0.2">
      <c r="A29" s="1972" t="s">
        <v>1615</v>
      </c>
      <c r="B29" s="1977">
        <f>объемы!R48</f>
        <v>3762.2000000000003</v>
      </c>
    </row>
    <row r="31" spans="1:16" x14ac:dyDescent="0.2">
      <c r="A31" s="5" t="s">
        <v>1619</v>
      </c>
    </row>
    <row r="32" spans="1:16" x14ac:dyDescent="0.2">
      <c r="A32" s="4705"/>
      <c r="B32" s="3970" t="s">
        <v>1620</v>
      </c>
      <c r="C32" s="3970"/>
      <c r="D32" s="3970" t="s">
        <v>1623</v>
      </c>
      <c r="E32" s="3970"/>
      <c r="F32" s="3970" t="s">
        <v>1624</v>
      </c>
      <c r="G32" s="3970"/>
    </row>
    <row r="33" spans="1:7" x14ac:dyDescent="0.2">
      <c r="A33" s="4706"/>
      <c r="B33" s="1981" t="s">
        <v>1621</v>
      </c>
      <c r="C33" s="1981" t="s">
        <v>1622</v>
      </c>
      <c r="D33" s="1981" t="s">
        <v>1621</v>
      </c>
      <c r="E33" s="1981" t="s">
        <v>1622</v>
      </c>
      <c r="F33" s="1981" t="s">
        <v>1621</v>
      </c>
      <c r="G33" s="1981" t="s">
        <v>1622</v>
      </c>
    </row>
    <row r="34" spans="1:7" x14ac:dyDescent="0.2">
      <c r="A34" s="4232" t="s">
        <v>411</v>
      </c>
      <c r="B34" s="4275"/>
      <c r="C34" s="4275"/>
      <c r="D34" s="4275"/>
      <c r="E34" s="4275"/>
      <c r="F34" s="4275"/>
      <c r="G34" s="4276"/>
    </row>
    <row r="35" spans="1:7" x14ac:dyDescent="0.2">
      <c r="A35" s="1972" t="s">
        <v>1626</v>
      </c>
      <c r="B35" s="1977">
        <v>416594.26</v>
      </c>
      <c r="C35" s="1977"/>
      <c r="D35" s="1977">
        <v>2642807.46</v>
      </c>
      <c r="E35" s="1977">
        <v>2794165.75</v>
      </c>
      <c r="F35" s="1977">
        <f>B35+D35-E35</f>
        <v>265235.96999999974</v>
      </c>
      <c r="G35" s="1977"/>
    </row>
    <row r="36" spans="1:7" x14ac:dyDescent="0.2">
      <c r="A36" s="1972" t="s">
        <v>1638</v>
      </c>
      <c r="B36" s="1977">
        <v>7950</v>
      </c>
      <c r="C36" s="1977"/>
      <c r="D36" s="1977">
        <v>50250</v>
      </c>
      <c r="E36" s="1977">
        <v>53375</v>
      </c>
      <c r="F36" s="1977">
        <f>B36+D36-E36</f>
        <v>4825</v>
      </c>
      <c r="G36" s="1977"/>
    </row>
    <row r="37" spans="1:7" x14ac:dyDescent="0.2">
      <c r="A37" s="1972" t="s">
        <v>1637</v>
      </c>
      <c r="B37" s="1977">
        <f>B35/B36*1000</f>
        <v>52401.793710691825</v>
      </c>
      <c r="C37" s="1977"/>
      <c r="D37" s="1977">
        <f t="shared" ref="D37:F37" si="9">D35/D36*1000</f>
        <v>52593.183283582082</v>
      </c>
      <c r="E37" s="2080">
        <f t="shared" si="9"/>
        <v>52349.709601873532</v>
      </c>
      <c r="F37" s="1977">
        <f t="shared" si="9"/>
        <v>54971.185492227924</v>
      </c>
      <c r="G37" s="1977"/>
    </row>
    <row r="38" spans="1:7" x14ac:dyDescent="0.2">
      <c r="A38" s="4232" t="s">
        <v>1628</v>
      </c>
      <c r="B38" s="4275"/>
      <c r="C38" s="4275"/>
      <c r="D38" s="4275"/>
      <c r="E38" s="4275"/>
      <c r="F38" s="4275"/>
      <c r="G38" s="4276"/>
    </row>
    <row r="39" spans="1:7" x14ac:dyDescent="0.2">
      <c r="A39" s="1972" t="s">
        <v>1626</v>
      </c>
      <c r="B39" s="1977">
        <v>39420</v>
      </c>
      <c r="C39" s="1977"/>
      <c r="D39" s="1977">
        <v>126655</v>
      </c>
      <c r="E39" s="1977">
        <v>154395</v>
      </c>
      <c r="F39" s="1977">
        <f>B39+D39-E39</f>
        <v>11680</v>
      </c>
      <c r="G39" s="1977"/>
    </row>
    <row r="40" spans="1:7" x14ac:dyDescent="0.2">
      <c r="A40" s="1972" t="s">
        <v>1638</v>
      </c>
      <c r="B40" s="1977">
        <v>540</v>
      </c>
      <c r="C40" s="1977"/>
      <c r="D40" s="1977">
        <v>1735</v>
      </c>
      <c r="E40" s="1977">
        <v>2115</v>
      </c>
      <c r="F40" s="1977">
        <f>B40+D40-E40</f>
        <v>160</v>
      </c>
      <c r="G40" s="1977"/>
    </row>
    <row r="41" spans="1:7" x14ac:dyDescent="0.2">
      <c r="A41" s="1972" t="s">
        <v>1637</v>
      </c>
      <c r="B41" s="1977">
        <f>B39/B40*1000</f>
        <v>73000</v>
      </c>
      <c r="C41" s="1977"/>
      <c r="D41" s="1977">
        <f t="shared" ref="D41:F41" si="10">D39/D40*1000</f>
        <v>73000</v>
      </c>
      <c r="E41" s="2080">
        <f t="shared" si="10"/>
        <v>73000</v>
      </c>
      <c r="F41" s="1977">
        <f t="shared" si="10"/>
        <v>73000</v>
      </c>
      <c r="G41" s="1977"/>
    </row>
    <row r="42" spans="1:7" x14ac:dyDescent="0.2">
      <c r="A42" s="4232" t="s">
        <v>1629</v>
      </c>
      <c r="B42" s="4275"/>
      <c r="C42" s="4275"/>
      <c r="D42" s="4275"/>
      <c r="E42" s="4275"/>
      <c r="F42" s="4275"/>
      <c r="G42" s="4276"/>
    </row>
    <row r="43" spans="1:7" x14ac:dyDescent="0.2">
      <c r="A43" s="1972" t="s">
        <v>1626</v>
      </c>
      <c r="B43" s="1977">
        <v>14932.21</v>
      </c>
      <c r="C43" s="1977"/>
      <c r="D43" s="1977">
        <v>752220.33</v>
      </c>
      <c r="E43" s="1977">
        <v>767152.54</v>
      </c>
      <c r="F43" s="1977">
        <f>B43+D43-E43</f>
        <v>0</v>
      </c>
      <c r="G43" s="1977"/>
    </row>
    <row r="44" spans="1:7" x14ac:dyDescent="0.2">
      <c r="A44" s="1972" t="s">
        <v>1638</v>
      </c>
      <c r="B44" s="1977">
        <v>1000</v>
      </c>
      <c r="C44" s="1977"/>
      <c r="D44" s="1977">
        <v>50000</v>
      </c>
      <c r="E44" s="1977">
        <v>51000</v>
      </c>
      <c r="F44" s="1977">
        <f>B44+D44-E44</f>
        <v>0</v>
      </c>
      <c r="G44" s="1977"/>
    </row>
    <row r="45" spans="1:7" x14ac:dyDescent="0.2">
      <c r="A45" s="1972" t="s">
        <v>1637</v>
      </c>
      <c r="B45" s="1977">
        <f>B43/B44*1000</f>
        <v>14932.21</v>
      </c>
      <c r="C45" s="1977"/>
      <c r="D45" s="1977">
        <f t="shared" ref="D45:E45" si="11">D43/D44*1000</f>
        <v>15044.406599999998</v>
      </c>
      <c r="E45" s="2080">
        <f t="shared" si="11"/>
        <v>15042.206666666667</v>
      </c>
      <c r="F45" s="1977"/>
      <c r="G45" s="1977"/>
    </row>
    <row r="46" spans="1:7" x14ac:dyDescent="0.2">
      <c r="A46" s="4232" t="s">
        <v>105</v>
      </c>
      <c r="B46" s="4275"/>
      <c r="C46" s="4275"/>
      <c r="D46" s="4275"/>
      <c r="E46" s="4275"/>
      <c r="F46" s="4275"/>
      <c r="G46" s="4276"/>
    </row>
    <row r="47" spans="1:7" x14ac:dyDescent="0.2">
      <c r="A47" s="1972" t="s">
        <v>1626</v>
      </c>
      <c r="B47" s="1977">
        <v>9629.23</v>
      </c>
      <c r="C47" s="1977"/>
      <c r="D47" s="1977">
        <v>244372.89</v>
      </c>
      <c r="E47" s="1977">
        <v>172544.49</v>
      </c>
      <c r="F47" s="1977">
        <f>B47+D47-E47</f>
        <v>81457.630000000034</v>
      </c>
      <c r="G47" s="1977"/>
    </row>
    <row r="48" spans="1:7" x14ac:dyDescent="0.2">
      <c r="A48" s="1972" t="s">
        <v>1625</v>
      </c>
      <c r="B48" s="1977">
        <v>0.505</v>
      </c>
      <c r="C48" s="1977"/>
      <c r="D48" s="1977">
        <v>12.015000000000001</v>
      </c>
      <c r="E48" s="1977">
        <v>8.5150000000000006</v>
      </c>
      <c r="F48" s="1977">
        <f>B48+D48-E48</f>
        <v>4.0050000000000008</v>
      </c>
      <c r="G48" s="1977"/>
    </row>
    <row r="49" spans="1:7" ht="14.25" customHeight="1" x14ac:dyDescent="0.2">
      <c r="A49" s="1972" t="s">
        <v>1627</v>
      </c>
      <c r="B49" s="1977">
        <f>B47/B48</f>
        <v>19067.782178217822</v>
      </c>
      <c r="C49" s="1977"/>
      <c r="D49" s="1977">
        <f t="shared" ref="D49" si="12">D47/D48</f>
        <v>20338.983770287141</v>
      </c>
      <c r="E49" s="2080">
        <f t="shared" ref="E49:F49" si="13">E47/E48</f>
        <v>20263.592483852022</v>
      </c>
      <c r="F49" s="1977">
        <f t="shared" si="13"/>
        <v>20338.983770287145</v>
      </c>
      <c r="G49" s="1977"/>
    </row>
    <row r="50" spans="1:7" hidden="1" x14ac:dyDescent="0.2">
      <c r="A50" s="4232" t="s">
        <v>1630</v>
      </c>
      <c r="B50" s="4275"/>
      <c r="C50" s="4275"/>
      <c r="D50" s="4275"/>
      <c r="E50" s="4275"/>
      <c r="F50" s="4275"/>
      <c r="G50" s="4276"/>
    </row>
    <row r="51" spans="1:7" hidden="1" x14ac:dyDescent="0.2">
      <c r="A51" s="1972" t="s">
        <v>1626</v>
      </c>
      <c r="B51" s="1977">
        <v>0</v>
      </c>
      <c r="C51" s="1977"/>
      <c r="D51" s="1977">
        <v>39000</v>
      </c>
      <c r="E51" s="1977">
        <v>39000</v>
      </c>
      <c r="F51" s="1977">
        <f>B51+D51-E51</f>
        <v>0</v>
      </c>
      <c r="G51" s="1977"/>
    </row>
    <row r="52" spans="1:7" hidden="1" x14ac:dyDescent="0.2">
      <c r="A52" s="1972" t="s">
        <v>1638</v>
      </c>
      <c r="B52" s="1977">
        <v>0</v>
      </c>
      <c r="C52" s="1977"/>
      <c r="D52" s="1977">
        <v>150</v>
      </c>
      <c r="E52" s="1977">
        <v>150</v>
      </c>
      <c r="F52" s="1977">
        <f>B52+D52-E52</f>
        <v>0</v>
      </c>
      <c r="G52" s="1977"/>
    </row>
    <row r="53" spans="1:7" hidden="1" x14ac:dyDescent="0.2">
      <c r="A53" s="1972" t="s">
        <v>1637</v>
      </c>
      <c r="B53" s="1977">
        <v>0</v>
      </c>
      <c r="C53" s="1977"/>
      <c r="D53" s="1977">
        <f>D51/D52*1000</f>
        <v>260000</v>
      </c>
      <c r="E53" s="1977">
        <f>E51/E52*1000</f>
        <v>260000</v>
      </c>
      <c r="F53" s="1977">
        <v>0</v>
      </c>
      <c r="G53" s="1977"/>
    </row>
    <row r="54" spans="1:7" hidden="1" x14ac:dyDescent="0.2">
      <c r="A54" s="4232" t="s">
        <v>1631</v>
      </c>
      <c r="B54" s="4275"/>
      <c r="C54" s="4275"/>
      <c r="D54" s="4275"/>
      <c r="E54" s="4275"/>
      <c r="F54" s="4275"/>
      <c r="G54" s="4276"/>
    </row>
    <row r="55" spans="1:7" hidden="1" x14ac:dyDescent="0.2">
      <c r="A55" s="1972" t="s">
        <v>1626</v>
      </c>
      <c r="B55" s="1977">
        <v>0</v>
      </c>
      <c r="C55" s="1977"/>
      <c r="D55" s="1977">
        <v>48000</v>
      </c>
      <c r="E55" s="1977">
        <v>48000</v>
      </c>
      <c r="F55" s="1977">
        <f>B55+D55-E55</f>
        <v>0</v>
      </c>
      <c r="G55" s="1977"/>
    </row>
    <row r="56" spans="1:7" hidden="1" x14ac:dyDescent="0.2">
      <c r="A56" s="1972" t="s">
        <v>1638</v>
      </c>
      <c r="B56" s="1977">
        <v>0</v>
      </c>
      <c r="C56" s="1977"/>
      <c r="D56" s="1977">
        <v>150</v>
      </c>
      <c r="E56" s="1977">
        <v>150</v>
      </c>
      <c r="F56" s="1977">
        <f>B56+D56-E56</f>
        <v>0</v>
      </c>
      <c r="G56" s="1977"/>
    </row>
    <row r="57" spans="1:7" ht="13.5" hidden="1" thickBot="1" x14ac:dyDescent="0.25">
      <c r="A57" s="2081" t="s">
        <v>1637</v>
      </c>
      <c r="B57" s="2082">
        <v>0</v>
      </c>
      <c r="C57" s="2082"/>
      <c r="D57" s="2082">
        <f>D55/D56*1000</f>
        <v>320000</v>
      </c>
      <c r="E57" s="2082">
        <f>E55/E56*1000</f>
        <v>320000</v>
      </c>
      <c r="F57" s="2082">
        <v>0</v>
      </c>
      <c r="G57" s="2082"/>
    </row>
    <row r="58" spans="1:7" hidden="1" x14ac:dyDescent="0.2">
      <c r="A58" s="4708" t="s">
        <v>1642</v>
      </c>
      <c r="B58" s="4709"/>
      <c r="C58" s="4709"/>
      <c r="D58" s="4709"/>
      <c r="E58" s="4709"/>
      <c r="F58" s="4709"/>
      <c r="G58" s="4710"/>
    </row>
    <row r="59" spans="1:7" hidden="1" x14ac:dyDescent="0.2">
      <c r="A59" s="2083" t="s">
        <v>1626</v>
      </c>
      <c r="B59" s="1977">
        <v>0</v>
      </c>
      <c r="C59" s="1977"/>
      <c r="D59" s="1977">
        <f>D51+D55</f>
        <v>87000</v>
      </c>
      <c r="E59" s="1977">
        <f>E51+E55</f>
        <v>87000</v>
      </c>
      <c r="F59" s="1977">
        <f>B59+D59-E59</f>
        <v>0</v>
      </c>
      <c r="G59" s="2084"/>
    </row>
    <row r="60" spans="1:7" hidden="1" x14ac:dyDescent="0.2">
      <c r="A60" s="2083" t="s">
        <v>1638</v>
      </c>
      <c r="B60" s="1977">
        <v>0</v>
      </c>
      <c r="C60" s="1977"/>
      <c r="D60" s="1977">
        <f>D52+D56</f>
        <v>300</v>
      </c>
      <c r="E60" s="1977">
        <f>E52+E56</f>
        <v>300</v>
      </c>
      <c r="F60" s="1977">
        <f>B60+D60-E60</f>
        <v>0</v>
      </c>
      <c r="G60" s="2084"/>
    </row>
    <row r="61" spans="1:7" ht="13.5" hidden="1" thickBot="1" x14ac:dyDescent="0.25">
      <c r="A61" s="2085" t="s">
        <v>1637</v>
      </c>
      <c r="B61" s="2086">
        <v>0</v>
      </c>
      <c r="C61" s="2086"/>
      <c r="D61" s="2086">
        <f>D59/D60*1000</f>
        <v>290000</v>
      </c>
      <c r="E61" s="2086">
        <f>E59/E60*1000</f>
        <v>290000</v>
      </c>
      <c r="F61" s="2086">
        <v>0</v>
      </c>
      <c r="G61" s="2087"/>
    </row>
    <row r="62" spans="1:7" hidden="1" x14ac:dyDescent="0.2">
      <c r="A62" s="4668" t="s">
        <v>1632</v>
      </c>
      <c r="B62" s="4711"/>
      <c r="C62" s="4711"/>
      <c r="D62" s="4711"/>
      <c r="E62" s="4711"/>
      <c r="F62" s="4711"/>
      <c r="G62" s="4712"/>
    </row>
    <row r="63" spans="1:7" hidden="1" x14ac:dyDescent="0.2">
      <c r="A63" s="1972" t="s">
        <v>1626</v>
      </c>
      <c r="B63" s="1977">
        <v>5370</v>
      </c>
      <c r="C63" s="1977"/>
      <c r="D63" s="1977">
        <v>10600</v>
      </c>
      <c r="E63" s="1977">
        <v>15970</v>
      </c>
      <c r="F63" s="1977">
        <f>B63+D63-E63</f>
        <v>0</v>
      </c>
      <c r="G63" s="1977"/>
    </row>
    <row r="64" spans="1:7" hidden="1" x14ac:dyDescent="0.2">
      <c r="A64" s="1972" t="s">
        <v>1638</v>
      </c>
      <c r="B64" s="1977">
        <v>25</v>
      </c>
      <c r="C64" s="1977"/>
      <c r="D64" s="1977">
        <v>50</v>
      </c>
      <c r="E64" s="1977">
        <v>75</v>
      </c>
      <c r="F64" s="1977">
        <f>B64+D64-E64</f>
        <v>0</v>
      </c>
      <c r="G64" s="1977"/>
    </row>
    <row r="65" spans="1:7" ht="13.5" hidden="1" thickBot="1" x14ac:dyDescent="0.25">
      <c r="A65" s="2081" t="s">
        <v>1637</v>
      </c>
      <c r="B65" s="2082">
        <f>B63/B64*1000</f>
        <v>214800</v>
      </c>
      <c r="C65" s="2082"/>
      <c r="D65" s="2082">
        <f t="shared" ref="D65:E65" si="14">D63/D64*1000</f>
        <v>212000</v>
      </c>
      <c r="E65" s="2120">
        <f t="shared" si="14"/>
        <v>212933.33333333334</v>
      </c>
      <c r="F65" s="2082"/>
      <c r="G65" s="2082"/>
    </row>
    <row r="66" spans="1:7" x14ac:dyDescent="0.2">
      <c r="A66" s="3970" t="s">
        <v>1644</v>
      </c>
      <c r="B66" s="3970"/>
      <c r="C66" s="3970"/>
      <c r="D66" s="3970"/>
      <c r="E66" s="3970"/>
      <c r="F66" s="3970"/>
      <c r="G66" s="3970"/>
    </row>
    <row r="67" spans="1:7" x14ac:dyDescent="0.2">
      <c r="A67" s="1972" t="s">
        <v>1626</v>
      </c>
      <c r="B67" s="1977">
        <f>B59+B63</f>
        <v>5370</v>
      </c>
      <c r="C67" s="1977"/>
      <c r="D67" s="1977">
        <f>D59+D63</f>
        <v>97600</v>
      </c>
      <c r="E67" s="1977">
        <f>E59+E63</f>
        <v>102970</v>
      </c>
      <c r="F67" s="1977">
        <f>B67+D67-E67</f>
        <v>0</v>
      </c>
      <c r="G67" s="1977"/>
    </row>
    <row r="68" spans="1:7" x14ac:dyDescent="0.2">
      <c r="A68" s="1972" t="s">
        <v>1638</v>
      </c>
      <c r="B68" s="1977">
        <f>B60+B64</f>
        <v>25</v>
      </c>
      <c r="C68" s="1977"/>
      <c r="D68" s="1977">
        <f>D60+D64</f>
        <v>350</v>
      </c>
      <c r="E68" s="1977">
        <f>E60+E64</f>
        <v>375</v>
      </c>
      <c r="F68" s="1977">
        <f>B68+D68-E68</f>
        <v>0</v>
      </c>
      <c r="G68" s="1977"/>
    </row>
    <row r="69" spans="1:7" x14ac:dyDescent="0.2">
      <c r="A69" s="1972" t="s">
        <v>1637</v>
      </c>
      <c r="B69" s="1977">
        <f>B67/B68*1000</f>
        <v>214800</v>
      </c>
      <c r="C69" s="1977"/>
      <c r="D69" s="1977">
        <f t="shared" ref="D69:E69" si="15">D67/D68*1000</f>
        <v>278857.14285714284</v>
      </c>
      <c r="E69" s="1977">
        <f t="shared" si="15"/>
        <v>274586.66666666663</v>
      </c>
      <c r="F69" s="1977">
        <v>0</v>
      </c>
      <c r="G69" s="1977"/>
    </row>
    <row r="70" spans="1:7" x14ac:dyDescent="0.2">
      <c r="A70" s="4668" t="s">
        <v>1633</v>
      </c>
      <c r="B70" s="4711"/>
      <c r="C70" s="4711"/>
      <c r="D70" s="4711"/>
      <c r="E70" s="4711"/>
      <c r="F70" s="4711"/>
      <c r="G70" s="4712"/>
    </row>
    <row r="71" spans="1:7" x14ac:dyDescent="0.2">
      <c r="A71" s="1972" t="s">
        <v>1626</v>
      </c>
      <c r="B71" s="1977">
        <v>8089.53</v>
      </c>
      <c r="C71" s="1977"/>
      <c r="D71" s="1977">
        <v>206894.38</v>
      </c>
      <c r="E71" s="1977">
        <v>171830.38</v>
      </c>
      <c r="F71" s="1977">
        <f>B71+D71-E71</f>
        <v>43153.53</v>
      </c>
      <c r="G71" s="1977"/>
    </row>
    <row r="72" spans="1:7" x14ac:dyDescent="0.2">
      <c r="A72" s="1972" t="s">
        <v>1638</v>
      </c>
      <c r="B72" s="1977">
        <v>500</v>
      </c>
      <c r="C72" s="1977"/>
      <c r="D72" s="1977">
        <v>10715</v>
      </c>
      <c r="E72" s="1977">
        <v>9125</v>
      </c>
      <c r="F72" s="1977">
        <f>B72+D72-E72</f>
        <v>2090</v>
      </c>
      <c r="G72" s="1977"/>
    </row>
    <row r="73" spans="1:7" x14ac:dyDescent="0.2">
      <c r="A73" s="1972" t="s">
        <v>1637</v>
      </c>
      <c r="B73" s="1977">
        <f>B71/B72*1000</f>
        <v>16179.06</v>
      </c>
      <c r="C73" s="1977"/>
      <c r="D73" s="1977">
        <f t="shared" ref="D73:F73" si="16">D71/D72*1000</f>
        <v>19308.854876341578</v>
      </c>
      <c r="E73" s="1977">
        <f t="shared" si="16"/>
        <v>18830.726575342469</v>
      </c>
      <c r="F73" s="1977">
        <f t="shared" si="16"/>
        <v>20647.622009569379</v>
      </c>
      <c r="G73" s="1977"/>
    </row>
    <row r="74" spans="1:7" x14ac:dyDescent="0.2">
      <c r="A74" s="4232" t="s">
        <v>107</v>
      </c>
      <c r="B74" s="4275"/>
      <c r="C74" s="4275"/>
      <c r="D74" s="4275"/>
      <c r="E74" s="4275"/>
      <c r="F74" s="4275"/>
      <c r="G74" s="4276"/>
    </row>
    <row r="75" spans="1:7" x14ac:dyDescent="0.2">
      <c r="A75" s="1972" t="s">
        <v>1626</v>
      </c>
      <c r="B75" s="1977">
        <v>0</v>
      </c>
      <c r="C75" s="1977"/>
      <c r="D75" s="1977">
        <v>2800</v>
      </c>
      <c r="E75" s="1977">
        <v>2800</v>
      </c>
      <c r="F75" s="1977">
        <f>B75+D75-E75</f>
        <v>0</v>
      </c>
      <c r="G75" s="1977"/>
    </row>
    <row r="76" spans="1:7" x14ac:dyDescent="0.2">
      <c r="A76" s="1972" t="s">
        <v>1638</v>
      </c>
      <c r="B76" s="1977">
        <v>0</v>
      </c>
      <c r="C76" s="1977"/>
      <c r="D76" s="1977">
        <v>50</v>
      </c>
      <c r="E76" s="1977">
        <v>50</v>
      </c>
      <c r="F76" s="1977">
        <f>B76+D76-E76</f>
        <v>0</v>
      </c>
      <c r="G76" s="1977"/>
    </row>
    <row r="77" spans="1:7" x14ac:dyDescent="0.2">
      <c r="A77" s="1972" t="s">
        <v>1637</v>
      </c>
      <c r="B77" s="1977">
        <v>0</v>
      </c>
      <c r="C77" s="1977"/>
      <c r="D77" s="1977">
        <f>D75/D76*1000</f>
        <v>56000</v>
      </c>
      <c r="E77" s="1977">
        <f t="shared" ref="E77" si="17">E75/E76*1000</f>
        <v>56000</v>
      </c>
      <c r="F77" s="1977"/>
      <c r="G77" s="1977"/>
    </row>
    <row r="78" spans="1:7" hidden="1" x14ac:dyDescent="0.2">
      <c r="A78" s="4232" t="s">
        <v>1643</v>
      </c>
      <c r="B78" s="4275"/>
      <c r="C78" s="4275"/>
      <c r="D78" s="4275"/>
      <c r="E78" s="4275"/>
      <c r="F78" s="4275"/>
      <c r="G78" s="4276"/>
    </row>
    <row r="79" spans="1:7" hidden="1" x14ac:dyDescent="0.2">
      <c r="A79" s="1972" t="s">
        <v>1626</v>
      </c>
      <c r="B79" s="1977">
        <v>0</v>
      </c>
      <c r="C79" s="1977"/>
      <c r="D79" s="1977">
        <f>D71+D75</f>
        <v>209694.38</v>
      </c>
      <c r="E79" s="1977">
        <f>E71+E75</f>
        <v>174630.38</v>
      </c>
      <c r="F79" s="1977">
        <f>B79+D79-E79</f>
        <v>35064</v>
      </c>
      <c r="G79" s="1977"/>
    </row>
    <row r="80" spans="1:7" hidden="1" x14ac:dyDescent="0.2">
      <c r="A80" s="1972" t="s">
        <v>1638</v>
      </c>
      <c r="B80" s="1977">
        <v>0</v>
      </c>
      <c r="C80" s="1977"/>
      <c r="D80" s="1977">
        <f>D72+D76</f>
        <v>10765</v>
      </c>
      <c r="E80" s="1977">
        <f>E72+E76</f>
        <v>9175</v>
      </c>
      <c r="F80" s="1977">
        <f>B80+D80-E80</f>
        <v>1590</v>
      </c>
      <c r="G80" s="1977"/>
    </row>
    <row r="81" spans="1:8" hidden="1" x14ac:dyDescent="0.2">
      <c r="A81" s="1972" t="s">
        <v>1637</v>
      </c>
      <c r="B81" s="1977">
        <v>0</v>
      </c>
      <c r="C81" s="1977"/>
      <c r="D81" s="1977">
        <f>D79/D80*1000</f>
        <v>19479.273571760335</v>
      </c>
      <c r="E81" s="1977">
        <f t="shared" ref="E81:F81" si="18">E79/E80*1000</f>
        <v>19033.283923705723</v>
      </c>
      <c r="F81" s="1977">
        <f t="shared" si="18"/>
        <v>22052.830188679243</v>
      </c>
      <c r="G81" s="1977"/>
    </row>
    <row r="82" spans="1:8" x14ac:dyDescent="0.2">
      <c r="A82" s="4232" t="s">
        <v>1634</v>
      </c>
      <c r="B82" s="4275"/>
      <c r="C82" s="4275"/>
      <c r="D82" s="4275"/>
      <c r="E82" s="4275"/>
      <c r="F82" s="4275"/>
      <c r="G82" s="4276"/>
    </row>
    <row r="83" spans="1:8" x14ac:dyDescent="0.2">
      <c r="A83" s="1972" t="s">
        <v>1626</v>
      </c>
      <c r="B83" s="1977">
        <v>0</v>
      </c>
      <c r="C83" s="1977"/>
      <c r="D83" s="1977">
        <v>1445965.98</v>
      </c>
      <c r="E83" s="1977">
        <v>1167559.23</v>
      </c>
      <c r="F83" s="1977">
        <f>B83+D83-E83</f>
        <v>278406.75</v>
      </c>
      <c r="G83" s="1977"/>
    </row>
    <row r="84" spans="1:8" x14ac:dyDescent="0.2">
      <c r="A84" s="1972" t="s">
        <v>1625</v>
      </c>
      <c r="B84" s="1977">
        <v>0</v>
      </c>
      <c r="C84" s="1977"/>
      <c r="D84" s="1977">
        <v>99.2</v>
      </c>
      <c r="E84" s="1977">
        <v>80.099999999999994</v>
      </c>
      <c r="F84" s="1977">
        <f>B84+D84-E84</f>
        <v>19.100000000000009</v>
      </c>
      <c r="G84" s="1977"/>
    </row>
    <row r="85" spans="1:8" x14ac:dyDescent="0.2">
      <c r="A85" s="1972" t="s">
        <v>1627</v>
      </c>
      <c r="B85" s="1977">
        <v>0</v>
      </c>
      <c r="C85" s="1977"/>
      <c r="D85" s="1977">
        <f t="shared" ref="D85" si="19">D83/D84</f>
        <v>14576.269959677418</v>
      </c>
      <c r="E85" s="1977">
        <f t="shared" ref="E85:F85" si="20">E83/E84</f>
        <v>14576.270037453185</v>
      </c>
      <c r="F85" s="1977">
        <f t="shared" si="20"/>
        <v>14576.269633507847</v>
      </c>
      <c r="G85" s="1977"/>
    </row>
    <row r="86" spans="1:8" x14ac:dyDescent="0.2">
      <c r="A86" s="4232" t="s">
        <v>1635</v>
      </c>
      <c r="B86" s="4275"/>
      <c r="C86" s="4275"/>
      <c r="D86" s="4275"/>
      <c r="E86" s="4275"/>
      <c r="F86" s="4275"/>
      <c r="G86" s="4276"/>
    </row>
    <row r="87" spans="1:8" x14ac:dyDescent="0.2">
      <c r="A87" s="1972" t="s">
        <v>1626</v>
      </c>
      <c r="B87" s="1977">
        <v>167763.56</v>
      </c>
      <c r="C87" s="1977"/>
      <c r="D87" s="1977">
        <v>874576.2</v>
      </c>
      <c r="E87" s="1977">
        <v>1042339.76</v>
      </c>
      <c r="F87" s="1977">
        <f>B87+D87-E87</f>
        <v>0</v>
      </c>
      <c r="G87" s="1977"/>
    </row>
    <row r="88" spans="1:8" x14ac:dyDescent="0.2">
      <c r="A88" s="1972" t="s">
        <v>1625</v>
      </c>
      <c r="B88" s="1977">
        <v>39.200000000000003</v>
      </c>
      <c r="C88" s="1977"/>
      <c r="D88" s="1977">
        <v>60</v>
      </c>
      <c r="E88" s="1977">
        <v>99.2</v>
      </c>
      <c r="F88" s="1977">
        <f>B88+D88-E88</f>
        <v>0</v>
      </c>
      <c r="G88" s="1977"/>
    </row>
    <row r="89" spans="1:8" x14ac:dyDescent="0.2">
      <c r="A89" s="1972" t="s">
        <v>1627</v>
      </c>
      <c r="B89" s="1977">
        <f>B87/B88</f>
        <v>4279.6826530612243</v>
      </c>
      <c r="C89" s="1977"/>
      <c r="D89" s="1977">
        <f t="shared" ref="D89" si="21">D87/D88</f>
        <v>14576.269999999999</v>
      </c>
      <c r="E89" s="2080">
        <f t="shared" ref="E89" si="22">E87/E88</f>
        <v>10507.457258064516</v>
      </c>
      <c r="F89" s="1977">
        <v>0</v>
      </c>
      <c r="G89" s="1977"/>
      <c r="H89" s="1860"/>
    </row>
    <row r="90" spans="1:8" x14ac:dyDescent="0.2">
      <c r="A90" s="4232" t="s">
        <v>1641</v>
      </c>
      <c r="B90" s="4275"/>
      <c r="C90" s="4275"/>
      <c r="D90" s="4275"/>
      <c r="E90" s="4275"/>
      <c r="F90" s="4275"/>
      <c r="G90" s="4276"/>
      <c r="H90" s="1860"/>
    </row>
    <row r="91" spans="1:8" x14ac:dyDescent="0.2">
      <c r="A91" s="1972" t="s">
        <v>1626</v>
      </c>
      <c r="B91" s="1977">
        <f>B83+B87</f>
        <v>167763.56</v>
      </c>
      <c r="C91" s="1977"/>
      <c r="D91" s="1977">
        <f>D83+D87</f>
        <v>2320542.1799999997</v>
      </c>
      <c r="E91" s="1977">
        <f>E83+E87</f>
        <v>2209898.9900000002</v>
      </c>
      <c r="F91" s="1977">
        <f>B91+D91-E91</f>
        <v>278406.74999999953</v>
      </c>
      <c r="G91" s="1977"/>
      <c r="H91" s="1860"/>
    </row>
    <row r="92" spans="1:8" x14ac:dyDescent="0.2">
      <c r="A92" s="1972" t="s">
        <v>1625</v>
      </c>
      <c r="B92" s="1977">
        <f>B84+B88</f>
        <v>39.200000000000003</v>
      </c>
      <c r="C92" s="1977"/>
      <c r="D92" s="1977">
        <f>D84+D88</f>
        <v>159.19999999999999</v>
      </c>
      <c r="E92" s="1977">
        <f>E84+E88</f>
        <v>179.3</v>
      </c>
      <c r="F92" s="1977">
        <f>B92+D92-E92</f>
        <v>19.099999999999966</v>
      </c>
      <c r="G92" s="1977"/>
      <c r="H92" s="1860"/>
    </row>
    <row r="93" spans="1:8" x14ac:dyDescent="0.2">
      <c r="A93" s="1972" t="s">
        <v>1627</v>
      </c>
      <c r="B93" s="1977">
        <f>B91/B92</f>
        <v>4279.6826530612243</v>
      </c>
      <c r="C93" s="1977"/>
      <c r="D93" s="1977">
        <f t="shared" ref="D93" si="23">D91/D92</f>
        <v>14576.269974874371</v>
      </c>
      <c r="E93" s="2080">
        <f t="shared" ref="E93" si="24">E91/E92</f>
        <v>12325.14774121584</v>
      </c>
      <c r="F93" s="1977">
        <v>0</v>
      </c>
      <c r="G93" s="1977"/>
      <c r="H93" s="1860"/>
    </row>
    <row r="94" spans="1:8" x14ac:dyDescent="0.2">
      <c r="A94" s="4232" t="s">
        <v>1636</v>
      </c>
      <c r="B94" s="4275"/>
      <c r="C94" s="4275"/>
      <c r="D94" s="4275"/>
      <c r="E94" s="4275"/>
      <c r="F94" s="4275"/>
      <c r="G94" s="4276"/>
    </row>
    <row r="95" spans="1:8" x14ac:dyDescent="0.2">
      <c r="A95" s="1972" t="s">
        <v>1626</v>
      </c>
      <c r="B95" s="1977">
        <v>0</v>
      </c>
      <c r="C95" s="1977"/>
      <c r="D95" s="1977">
        <v>561186.4</v>
      </c>
      <c r="E95" s="1977">
        <v>0</v>
      </c>
      <c r="F95" s="1977">
        <f>B95+D95-E95</f>
        <v>561186.4</v>
      </c>
      <c r="G95" s="1977"/>
    </row>
    <row r="96" spans="1:8" x14ac:dyDescent="0.2">
      <c r="A96" s="1972" t="s">
        <v>1625</v>
      </c>
      <c r="B96" s="1977">
        <v>0</v>
      </c>
      <c r="C96" s="1977"/>
      <c r="D96" s="1977">
        <v>38.299999999999997</v>
      </c>
      <c r="E96" s="1977">
        <v>0</v>
      </c>
      <c r="F96" s="1977">
        <f>B96+D96-E96</f>
        <v>38.299999999999997</v>
      </c>
      <c r="G96" s="1977"/>
    </row>
    <row r="97" spans="1:7" x14ac:dyDescent="0.2">
      <c r="A97" s="1972" t="s">
        <v>1627</v>
      </c>
      <c r="B97" s="1977">
        <v>0</v>
      </c>
      <c r="C97" s="1977"/>
      <c r="D97" s="1977">
        <f t="shared" ref="D97" si="25">D95/D96</f>
        <v>14652.386422976502</v>
      </c>
      <c r="E97" s="1977">
        <v>0</v>
      </c>
      <c r="F97" s="1977">
        <f>F95/F96</f>
        <v>14652.386422976502</v>
      </c>
      <c r="G97" s="1977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4717" t="s">
        <v>536</v>
      </c>
      <c r="B3" s="4715" t="s">
        <v>373</v>
      </c>
      <c r="C3" s="4715"/>
      <c r="D3" s="4715"/>
      <c r="E3" s="4715"/>
      <c r="F3" s="4715"/>
      <c r="G3" s="4715"/>
      <c r="H3" s="4715"/>
      <c r="I3" s="4715"/>
      <c r="J3" s="4715"/>
      <c r="K3" s="4715"/>
      <c r="L3" s="4715"/>
      <c r="M3" s="4715"/>
      <c r="N3" s="4715"/>
      <c r="O3" s="4715"/>
      <c r="P3" s="4715"/>
      <c r="Q3" s="4715"/>
      <c r="R3" s="4715"/>
      <c r="S3" s="4715"/>
      <c r="T3" s="4715"/>
      <c r="U3" s="4715"/>
      <c r="V3" s="4715"/>
    </row>
    <row r="4" spans="1:23" ht="19.5" customHeight="1" x14ac:dyDescent="0.2">
      <c r="A4" s="4717"/>
      <c r="B4" s="4713" t="s">
        <v>244</v>
      </c>
      <c r="C4" s="4713"/>
      <c r="D4" s="4713"/>
      <c r="E4" s="4713" t="s">
        <v>361</v>
      </c>
      <c r="F4" s="4713"/>
      <c r="G4" s="4713"/>
      <c r="H4" s="4713" t="s">
        <v>361</v>
      </c>
      <c r="I4" s="4713"/>
      <c r="J4" s="4713"/>
      <c r="K4" s="4713" t="s">
        <v>126</v>
      </c>
      <c r="L4" s="4713"/>
      <c r="M4" s="4713"/>
      <c r="N4" s="4713" t="s">
        <v>361</v>
      </c>
      <c r="O4" s="4713"/>
      <c r="P4" s="4713"/>
      <c r="Q4" s="4716" t="s">
        <v>1532</v>
      </c>
      <c r="R4" s="4716"/>
      <c r="S4" s="4716"/>
      <c r="T4" s="4713" t="s">
        <v>1612</v>
      </c>
      <c r="U4" s="4713"/>
      <c r="V4" s="4713"/>
    </row>
    <row r="5" spans="1:23" ht="28.5" customHeight="1" x14ac:dyDescent="0.2">
      <c r="A5" s="4717"/>
      <c r="B5" s="2060" t="s">
        <v>115</v>
      </c>
      <c r="C5" s="4714" t="s">
        <v>836</v>
      </c>
      <c r="D5" s="4714" t="s">
        <v>102</v>
      </c>
      <c r="E5" s="4714" t="s">
        <v>841</v>
      </c>
      <c r="F5" s="4714"/>
      <c r="G5" s="4714"/>
      <c r="H5" s="4714" t="s">
        <v>841</v>
      </c>
      <c r="I5" s="4714"/>
      <c r="J5" s="4714"/>
      <c r="K5" s="2060" t="s">
        <v>115</v>
      </c>
      <c r="L5" s="4714" t="s">
        <v>836</v>
      </c>
      <c r="M5" s="4714" t="s">
        <v>102</v>
      </c>
      <c r="N5" s="4714" t="s">
        <v>841</v>
      </c>
      <c r="O5" s="4714"/>
      <c r="P5" s="4714"/>
      <c r="Q5" s="2060" t="s">
        <v>115</v>
      </c>
      <c r="R5" s="4714" t="s">
        <v>836</v>
      </c>
      <c r="S5" s="4714" t="s">
        <v>102</v>
      </c>
      <c r="T5" s="2060" t="s">
        <v>115</v>
      </c>
      <c r="U5" s="4714" t="s">
        <v>836</v>
      </c>
      <c r="V5" s="4714" t="s">
        <v>102</v>
      </c>
    </row>
    <row r="6" spans="1:23" ht="25.5" x14ac:dyDescent="0.2">
      <c r="A6" s="4717"/>
      <c r="B6" s="2060" t="s">
        <v>229</v>
      </c>
      <c r="C6" s="4714"/>
      <c r="D6" s="4714"/>
      <c r="E6" s="2060" t="s">
        <v>115</v>
      </c>
      <c r="F6" s="2060" t="s">
        <v>370</v>
      </c>
      <c r="G6" s="2060" t="s">
        <v>102</v>
      </c>
      <c r="H6" s="2060" t="s">
        <v>115</v>
      </c>
      <c r="I6" s="2060" t="s">
        <v>370</v>
      </c>
      <c r="J6" s="2060" t="s">
        <v>102</v>
      </c>
      <c r="K6" s="2060" t="s">
        <v>229</v>
      </c>
      <c r="L6" s="4714"/>
      <c r="M6" s="4714"/>
      <c r="N6" s="2060" t="s">
        <v>115</v>
      </c>
      <c r="O6" s="2060" t="s">
        <v>370</v>
      </c>
      <c r="P6" s="2060" t="s">
        <v>102</v>
      </c>
      <c r="Q6" s="2060" t="s">
        <v>229</v>
      </c>
      <c r="R6" s="4714"/>
      <c r="S6" s="4714"/>
      <c r="T6" s="2060" t="s">
        <v>229</v>
      </c>
      <c r="U6" s="4714"/>
      <c r="V6" s="4714"/>
    </row>
    <row r="7" spans="1:23" ht="22.5" customHeight="1" x14ac:dyDescent="0.2">
      <c r="A7" s="2061" t="s">
        <v>135</v>
      </c>
      <c r="B7" s="2065">
        <f>D7/C7</f>
        <v>5.2037034957496262</v>
      </c>
      <c r="C7" s="2066">
        <v>890.51</v>
      </c>
      <c r="D7" s="1961">
        <v>4633.95</v>
      </c>
      <c r="E7" s="2065" t="e">
        <f>B7-#REF!</f>
        <v>#REF!</v>
      </c>
      <c r="F7" s="2067" t="e">
        <f>C7-#REF!</f>
        <v>#REF!</v>
      </c>
      <c r="G7" s="2067" t="e">
        <f>D7-#REF!</f>
        <v>#REF!</v>
      </c>
      <c r="H7" s="2065" t="e">
        <f>#REF!-B7</f>
        <v>#REF!</v>
      </c>
      <c r="I7" s="2067" t="e">
        <f>#REF!-E7</f>
        <v>#REF!</v>
      </c>
      <c r="J7" s="2067" t="e">
        <f>#REF!-F7</f>
        <v>#REF!</v>
      </c>
      <c r="K7" s="2065" t="e">
        <f>#REF!*1.067</f>
        <v>#REF!</v>
      </c>
      <c r="L7" s="2066" t="e">
        <f>M18*M19</f>
        <v>#REF!</v>
      </c>
      <c r="M7" s="1961" t="e">
        <f>L7*K7</f>
        <v>#REF!</v>
      </c>
      <c r="N7" s="2065" t="e">
        <f>K7-#REF!</f>
        <v>#REF!</v>
      </c>
      <c r="O7" s="2067" t="e">
        <f t="shared" ref="O7:P7" si="0">L7-H7</f>
        <v>#REF!</v>
      </c>
      <c r="P7" s="2067" t="e">
        <f t="shared" si="0"/>
        <v>#REF!</v>
      </c>
      <c r="Q7" s="2067">
        <v>5.1375000000000002</v>
      </c>
      <c r="R7" s="2066">
        <v>742.25199999999995</v>
      </c>
      <c r="S7" s="2068">
        <f>R7*Q7</f>
        <v>3813.3196499999999</v>
      </c>
      <c r="T7" s="2067">
        <f>Q7</f>
        <v>5.1375000000000002</v>
      </c>
      <c r="U7" s="2066">
        <f>V18*V19</f>
        <v>912.32354775672991</v>
      </c>
      <c r="V7" s="2068">
        <f>T7*U7</f>
        <v>4687.0622266002001</v>
      </c>
    </row>
    <row r="8" spans="1:23" ht="15" customHeight="1" x14ac:dyDescent="0.2">
      <c r="A8" s="2061"/>
      <c r="B8" s="2065"/>
      <c r="C8" s="2066"/>
      <c r="D8" s="1961"/>
      <c r="E8" s="2065"/>
      <c r="F8" s="2067"/>
      <c r="G8" s="2067"/>
      <c r="H8" s="2065"/>
      <c r="I8" s="2067"/>
      <c r="J8" s="2067"/>
      <c r="K8" s="2065"/>
      <c r="L8" s="2066"/>
      <c r="M8" s="1961"/>
      <c r="N8" s="2065"/>
      <c r="O8" s="2067"/>
      <c r="P8" s="2067"/>
      <c r="Q8" s="2067"/>
      <c r="R8" s="2066"/>
      <c r="S8" s="2068"/>
      <c r="T8" s="2065"/>
      <c r="U8" s="2066"/>
      <c r="V8" s="2068"/>
    </row>
    <row r="9" spans="1:23" ht="20.25" customHeight="1" x14ac:dyDescent="0.2">
      <c r="A9" s="2061" t="s">
        <v>136</v>
      </c>
      <c r="B9" s="2065">
        <f>D9/C9</f>
        <v>4.2335618738685605</v>
      </c>
      <c r="C9" s="2066">
        <v>1220.79</v>
      </c>
      <c r="D9" s="1961">
        <v>5168.29</v>
      </c>
      <c r="E9" s="2065" t="e">
        <f>B9-#REF!</f>
        <v>#REF!</v>
      </c>
      <c r="F9" s="2067" t="e">
        <f>C9-#REF!</f>
        <v>#REF!</v>
      </c>
      <c r="G9" s="2067" t="e">
        <f>D9-#REF!</f>
        <v>#REF!</v>
      </c>
      <c r="H9" s="2065" t="e">
        <f>#REF!-B9</f>
        <v>#REF!</v>
      </c>
      <c r="I9" s="2067" t="e">
        <f>#REF!-E9</f>
        <v>#REF!</v>
      </c>
      <c r="J9" s="2067" t="e">
        <f>#REF!-F9</f>
        <v>#REF!</v>
      </c>
      <c r="K9" s="2065" t="e">
        <f>#REF!*1.067</f>
        <v>#REF!</v>
      </c>
      <c r="L9" s="2066" t="e">
        <f>M20*M21</f>
        <v>#REF!</v>
      </c>
      <c r="M9" s="1961" t="e">
        <f>L9*K9</f>
        <v>#REF!</v>
      </c>
      <c r="N9" s="2065" t="e">
        <f>K9-#REF!</f>
        <v>#REF!</v>
      </c>
      <c r="O9" s="2067" t="e">
        <f t="shared" ref="O9:P12" si="1">L9-H9</f>
        <v>#REF!</v>
      </c>
      <c r="P9" s="2067" t="e">
        <f t="shared" si="1"/>
        <v>#REF!</v>
      </c>
      <c r="Q9" s="2067">
        <v>4.0983000000000001</v>
      </c>
      <c r="R9" s="2066">
        <v>1422.3510000000001</v>
      </c>
      <c r="S9" s="2068">
        <f>R9*Q9</f>
        <v>5829.2211033000003</v>
      </c>
      <c r="T9" s="2067">
        <f>Q9</f>
        <v>4.0983000000000001</v>
      </c>
      <c r="U9" s="2066">
        <f>V20*V21</f>
        <v>1139.0707554536391</v>
      </c>
      <c r="V9" s="2068">
        <f t="shared" ref="V9" si="2">T9*U9</f>
        <v>4668.2536770756487</v>
      </c>
    </row>
    <row r="10" spans="1:23" ht="20.25" customHeight="1" x14ac:dyDescent="0.2">
      <c r="A10" s="2061" t="s">
        <v>1616</v>
      </c>
      <c r="B10" s="2065"/>
      <c r="C10" s="2066"/>
      <c r="D10" s="1961"/>
      <c r="E10" s="2065"/>
      <c r="F10" s="2067"/>
      <c r="G10" s="2067"/>
      <c r="H10" s="2065"/>
      <c r="I10" s="2067"/>
      <c r="J10" s="2067"/>
      <c r="K10" s="2065"/>
      <c r="L10" s="2066"/>
      <c r="M10" s="1961"/>
      <c r="N10" s="2065"/>
      <c r="O10" s="2067"/>
      <c r="P10" s="2067"/>
      <c r="Q10" s="2067"/>
      <c r="R10" s="2066"/>
      <c r="S10" s="2068">
        <v>258.7</v>
      </c>
      <c r="T10" s="2065"/>
      <c r="U10" s="2066"/>
      <c r="V10" s="2068">
        <v>258.7</v>
      </c>
    </row>
    <row r="11" spans="1:23" ht="25.5" customHeight="1" x14ac:dyDescent="0.2">
      <c r="A11" s="2069" t="s">
        <v>137</v>
      </c>
      <c r="B11" s="2070">
        <f>D11/C11</f>
        <v>4.6427509117605261</v>
      </c>
      <c r="C11" s="1958">
        <f>C7+C9</f>
        <v>2111.3000000000002</v>
      </c>
      <c r="D11" s="1958">
        <f>SUM(D7:D9)</f>
        <v>9802.24</v>
      </c>
      <c r="E11" s="2070" t="e">
        <f>B11-#REF!</f>
        <v>#REF!</v>
      </c>
      <c r="F11" s="2071" t="e">
        <f>C11-#REF!</f>
        <v>#REF!</v>
      </c>
      <c r="G11" s="2071" t="e">
        <f>D11-#REF!</f>
        <v>#REF!</v>
      </c>
      <c r="H11" s="2070" t="e">
        <f>#REF!-D11</f>
        <v>#REF!</v>
      </c>
      <c r="I11" s="2071" t="e">
        <f>#REF!-E11</f>
        <v>#REF!</v>
      </c>
      <c r="J11" s="2071" t="e">
        <f>#REF!-F11</f>
        <v>#REF!</v>
      </c>
      <c r="K11" s="2070" t="e">
        <f>M11/L11</f>
        <v>#REF!</v>
      </c>
      <c r="L11" s="1958" t="e">
        <f>L7+L9</f>
        <v>#REF!</v>
      </c>
      <c r="M11" s="1958" t="e">
        <f>SUM(M7:M9)</f>
        <v>#REF!</v>
      </c>
      <c r="N11" s="2070" t="e">
        <f>K11-#REF!</f>
        <v>#REF!</v>
      </c>
      <c r="O11" s="2071" t="e">
        <f t="shared" si="1"/>
        <v>#REF!</v>
      </c>
      <c r="P11" s="2071" t="e">
        <f t="shared" si="1"/>
        <v>#REF!</v>
      </c>
      <c r="Q11" s="2070">
        <f>S11/R11</f>
        <v>4.5741601362004953</v>
      </c>
      <c r="R11" s="1958">
        <f>R7+R9</f>
        <v>2164.6030000000001</v>
      </c>
      <c r="S11" s="1958">
        <f>SUM(S7:S10)</f>
        <v>9901.2407533000005</v>
      </c>
      <c r="T11" s="2070">
        <f>V11/U11</f>
        <v>4.686576290394397</v>
      </c>
      <c r="U11" s="1958">
        <f>U7+U9</f>
        <v>2051.3943032103689</v>
      </c>
      <c r="V11" s="1958">
        <f>SUM(V7:V10)</f>
        <v>9614.0159036758487</v>
      </c>
      <c r="W11" s="1860">
        <f>D11-V11</f>
        <v>188.22409632415111</v>
      </c>
    </row>
    <row r="12" spans="1:23" ht="25.5" customHeight="1" x14ac:dyDescent="0.2">
      <c r="A12" s="2061" t="s">
        <v>138</v>
      </c>
      <c r="B12" s="2065">
        <f>D12/C12</f>
        <v>5.2277890952435557</v>
      </c>
      <c r="C12" s="2066">
        <f>D22*D23</f>
        <v>363.59730000000002</v>
      </c>
      <c r="D12" s="1961">
        <v>1900.81</v>
      </c>
      <c r="E12" s="2065" t="e">
        <f>B12-#REF!</f>
        <v>#REF!</v>
      </c>
      <c r="F12" s="2067" t="e">
        <f>C12-#REF!</f>
        <v>#REF!</v>
      </c>
      <c r="G12" s="2067" t="e">
        <f>D12-#REF!</f>
        <v>#REF!</v>
      </c>
      <c r="H12" s="2065" t="e">
        <f>#REF!-D12</f>
        <v>#REF!</v>
      </c>
      <c r="I12" s="2067" t="e">
        <f>#REF!-E12</f>
        <v>#REF!</v>
      </c>
      <c r="J12" s="2067" t="e">
        <f>#REF!-F12</f>
        <v>#REF!</v>
      </c>
      <c r="K12" s="2065" t="e">
        <f>#REF!*1.067</f>
        <v>#REF!</v>
      </c>
      <c r="L12" s="2066" t="e">
        <f>M22*M23</f>
        <v>#REF!</v>
      </c>
      <c r="M12" s="1961" t="e">
        <f>L12*K12</f>
        <v>#REF!</v>
      </c>
      <c r="N12" s="2065" t="e">
        <f>K12-#REF!</f>
        <v>#REF!</v>
      </c>
      <c r="O12" s="2067" t="e">
        <f t="shared" si="1"/>
        <v>#REF!</v>
      </c>
      <c r="P12" s="2067" t="e">
        <f t="shared" si="1"/>
        <v>#REF!</v>
      </c>
      <c r="Q12" s="2067">
        <v>5.1866000000000003</v>
      </c>
      <c r="R12" s="2066">
        <v>267.00099999999998</v>
      </c>
      <c r="S12" s="2068">
        <f>R12*Q12</f>
        <v>1384.8273866</v>
      </c>
      <c r="T12" s="2065">
        <f>Q12</f>
        <v>5.1866000000000003</v>
      </c>
      <c r="U12" s="2066">
        <f>V22*V23</f>
        <v>285.68554999999998</v>
      </c>
      <c r="V12" s="2068">
        <f>T12*U12</f>
        <v>1481.73667363</v>
      </c>
    </row>
    <row r="13" spans="1:23" ht="15" customHeight="1" x14ac:dyDescent="0.2">
      <c r="A13" s="2061"/>
      <c r="B13" s="2065"/>
      <c r="C13" s="2066"/>
      <c r="D13" s="1961"/>
      <c r="E13" s="2065"/>
      <c r="F13" s="2067"/>
      <c r="G13" s="2067"/>
      <c r="H13" s="2065"/>
      <c r="I13" s="2067"/>
      <c r="J13" s="2067"/>
      <c r="K13" s="2065"/>
      <c r="L13" s="2066"/>
      <c r="M13" s="1961"/>
      <c r="N13" s="2065"/>
      <c r="O13" s="2067"/>
      <c r="P13" s="2067"/>
      <c r="Q13" s="2065"/>
      <c r="R13" s="2066"/>
      <c r="S13" s="2068"/>
      <c r="T13" s="2065"/>
      <c r="U13" s="2066"/>
      <c r="V13" s="2068"/>
    </row>
    <row r="14" spans="1:23" ht="21.75" customHeight="1" x14ac:dyDescent="0.2">
      <c r="A14" s="2061" t="s">
        <v>139</v>
      </c>
      <c r="B14" s="2065">
        <f>D14/C14</f>
        <v>4.0317610966296833</v>
      </c>
      <c r="C14" s="2066">
        <f>D22*D24</f>
        <v>1439.6984</v>
      </c>
      <c r="D14" s="1961">
        <v>5804.52</v>
      </c>
      <c r="E14" s="2065" t="e">
        <f>B14-#REF!</f>
        <v>#REF!</v>
      </c>
      <c r="F14" s="2067" t="e">
        <f>C14-#REF!</f>
        <v>#REF!</v>
      </c>
      <c r="G14" s="2067" t="e">
        <f>D14-#REF!</f>
        <v>#REF!</v>
      </c>
      <c r="H14" s="2065" t="e">
        <f>#REF!-D14</f>
        <v>#REF!</v>
      </c>
      <c r="I14" s="2067" t="e">
        <f>#REF!-E14</f>
        <v>#REF!</v>
      </c>
      <c r="J14" s="2067" t="e">
        <f>#REF!-F14</f>
        <v>#REF!</v>
      </c>
      <c r="K14" s="2065" t="e">
        <f>#REF!*1.067</f>
        <v>#REF!</v>
      </c>
      <c r="L14" s="2066" t="e">
        <f>M22*M24</f>
        <v>#REF!</v>
      </c>
      <c r="M14" s="1961" t="e">
        <f>L14*K14</f>
        <v>#REF!</v>
      </c>
      <c r="N14" s="2065" t="e">
        <f>K14-#REF!</f>
        <v>#REF!</v>
      </c>
      <c r="O14" s="2067" t="e">
        <f t="shared" ref="O14:P14" si="3">L14-H14</f>
        <v>#REF!</v>
      </c>
      <c r="P14" s="2067" t="e">
        <f t="shared" si="3"/>
        <v>#REF!</v>
      </c>
      <c r="Q14" s="2067">
        <v>3.8536000000000001</v>
      </c>
      <c r="R14" s="2066">
        <v>1856.5809999999999</v>
      </c>
      <c r="S14" s="2068">
        <f>R14*Q14</f>
        <v>7154.5205415999999</v>
      </c>
      <c r="T14" s="2065">
        <f>Q14</f>
        <v>3.8536000000000001</v>
      </c>
      <c r="U14" s="2066">
        <f>V22*V24</f>
        <v>1258.3004000000001</v>
      </c>
      <c r="V14" s="2068">
        <f>T14*U14</f>
        <v>4848.9864214400004</v>
      </c>
    </row>
    <row r="15" spans="1:23" ht="21.75" customHeight="1" x14ac:dyDescent="0.2">
      <c r="A15" s="2061" t="s">
        <v>1616</v>
      </c>
      <c r="B15" s="2065"/>
      <c r="C15" s="2066"/>
      <c r="D15" s="1961"/>
      <c r="E15" s="2065"/>
      <c r="F15" s="2067"/>
      <c r="G15" s="2067"/>
      <c r="H15" s="2065"/>
      <c r="I15" s="2067"/>
      <c r="J15" s="2067"/>
      <c r="K15" s="2065"/>
      <c r="L15" s="2066"/>
      <c r="M15" s="1961"/>
      <c r="N15" s="2065"/>
      <c r="O15" s="2067"/>
      <c r="P15" s="2067"/>
      <c r="Q15" s="2067"/>
      <c r="R15" s="2066"/>
      <c r="S15" s="2068">
        <v>258.5</v>
      </c>
      <c r="T15" s="2065"/>
      <c r="U15" s="2066"/>
      <c r="V15" s="2068">
        <v>258.5</v>
      </c>
    </row>
    <row r="16" spans="1:23" ht="30" customHeight="1" x14ac:dyDescent="0.2">
      <c r="A16" s="2069" t="s">
        <v>140</v>
      </c>
      <c r="B16" s="2070">
        <f>D16/C16</f>
        <v>4.2729154181424596</v>
      </c>
      <c r="C16" s="1958">
        <f>SUM(C12:C14)</f>
        <v>1803.2957000000001</v>
      </c>
      <c r="D16" s="1958">
        <f>SUM(D12:D14)</f>
        <v>7705.33</v>
      </c>
      <c r="E16" s="2070" t="e">
        <f>B16-#REF!</f>
        <v>#REF!</v>
      </c>
      <c r="F16" s="2072" t="e">
        <f>C16-#REF!</f>
        <v>#REF!</v>
      </c>
      <c r="G16" s="2072" t="e">
        <f>D16-#REF!</f>
        <v>#REF!</v>
      </c>
      <c r="H16" s="2070" t="e">
        <f>#REF!-D16</f>
        <v>#REF!</v>
      </c>
      <c r="I16" s="2072" t="e">
        <f>#REF!-E16</f>
        <v>#REF!</v>
      </c>
      <c r="J16" s="2072" t="e">
        <f>#REF!-F16</f>
        <v>#REF!</v>
      </c>
      <c r="K16" s="2070" t="e">
        <f>M16/L16</f>
        <v>#REF!</v>
      </c>
      <c r="L16" s="1958" t="e">
        <f>SUM(L12:L14)</f>
        <v>#REF!</v>
      </c>
      <c r="M16" s="1958" t="e">
        <f>SUM(M12:M14)</f>
        <v>#REF!</v>
      </c>
      <c r="N16" s="2070" t="e">
        <f>K16-#REF!</f>
        <v>#REF!</v>
      </c>
      <c r="O16" s="2072" t="e">
        <f>L16-H16</f>
        <v>#REF!</v>
      </c>
      <c r="P16" s="2072" t="e">
        <f>M16-I16</f>
        <v>#REF!</v>
      </c>
      <c r="Q16" s="2070">
        <f>S16/R16</f>
        <v>4.1429282825904536</v>
      </c>
      <c r="R16" s="1958">
        <f>SUM(R12:R14)</f>
        <v>2123.5819999999999</v>
      </c>
      <c r="S16" s="1958">
        <f>SUM(S12:S15)</f>
        <v>8797.8479282000008</v>
      </c>
      <c r="T16" s="2070">
        <f>V16/U16</f>
        <v>4.2676703729525522</v>
      </c>
      <c r="U16" s="1958">
        <f>SUM(U12:U14)</f>
        <v>1543.98595</v>
      </c>
      <c r="V16" s="1958">
        <f>SUM(V12:V15)</f>
        <v>6589.2230950700005</v>
      </c>
      <c r="W16" s="1860">
        <f>D16-V16</f>
        <v>1116.1069049299995</v>
      </c>
    </row>
    <row r="17" spans="1:23" ht="30" customHeight="1" x14ac:dyDescent="0.2">
      <c r="A17" s="2069" t="s">
        <v>1617</v>
      </c>
      <c r="B17" s="2078">
        <v>0</v>
      </c>
      <c r="C17" s="1959">
        <v>0</v>
      </c>
      <c r="D17" s="1959">
        <v>0</v>
      </c>
      <c r="E17" s="2070"/>
      <c r="F17" s="2072"/>
      <c r="G17" s="2072"/>
      <c r="H17" s="2070"/>
      <c r="I17" s="2072"/>
      <c r="J17" s="2072"/>
      <c r="K17" s="2070"/>
      <c r="L17" s="1958"/>
      <c r="M17" s="1958"/>
      <c r="N17" s="2070"/>
      <c r="O17" s="2072"/>
      <c r="P17" s="2072"/>
      <c r="Q17" s="2078">
        <f>S17/R17</f>
        <v>5.1825010380100407</v>
      </c>
      <c r="R17" s="1959">
        <f>26.493</f>
        <v>26.492999999999999</v>
      </c>
      <c r="S17" s="1959">
        <v>137.30000000000001</v>
      </c>
      <c r="T17" s="2078">
        <v>0</v>
      </c>
      <c r="U17" s="1959">
        <v>0</v>
      </c>
      <c r="V17" s="1959">
        <v>137.30000000000001</v>
      </c>
      <c r="W17" s="1860">
        <f>D17-V17</f>
        <v>-137.30000000000001</v>
      </c>
    </row>
    <row r="18" spans="1:23" ht="14.25" customHeight="1" x14ac:dyDescent="0.2">
      <c r="A18" s="2073" t="s">
        <v>141</v>
      </c>
      <c r="B18" s="2063"/>
      <c r="C18" s="2063"/>
      <c r="D18" s="2064">
        <v>5607.52</v>
      </c>
      <c r="E18" s="2063"/>
      <c r="F18" s="2062"/>
      <c r="G18" s="2059" t="e">
        <f>D18-#REF!</f>
        <v>#REF!</v>
      </c>
      <c r="H18" s="2063"/>
      <c r="I18" s="2062"/>
      <c r="J18" s="2059" t="e">
        <f>#REF!-F18</f>
        <v>#REF!</v>
      </c>
      <c r="K18" s="2063"/>
      <c r="L18" s="2063"/>
      <c r="M18" s="2064" t="e">
        <f>#REF!</f>
        <v>#REF!</v>
      </c>
      <c r="N18" s="2063"/>
      <c r="O18" s="2062"/>
      <c r="P18" s="2059" t="e">
        <f t="shared" ref="P18:P24" si="4">M18-I18</f>
        <v>#REF!</v>
      </c>
      <c r="Q18" s="2063"/>
      <c r="R18" s="2063"/>
      <c r="S18" s="2064">
        <f>объемы!R38+объемы!S38</f>
        <v>6716.13</v>
      </c>
      <c r="T18" s="2063"/>
      <c r="U18" s="2063"/>
      <c r="V18" s="2064">
        <f>'хим. реагенты'!B26+'хим. реагенты'!C26</f>
        <v>5737.8839481555342</v>
      </c>
    </row>
    <row r="19" spans="1:23" ht="26.25" customHeight="1" x14ac:dyDescent="0.2">
      <c r="A19" s="2074" t="s">
        <v>142</v>
      </c>
      <c r="B19" s="2075"/>
      <c r="C19" s="2075"/>
      <c r="D19" s="2065">
        <v>0.159</v>
      </c>
      <c r="E19" s="2075"/>
      <c r="F19" s="2065"/>
      <c r="G19" s="2065" t="e">
        <f>D19-#REF!</f>
        <v>#REF!</v>
      </c>
      <c r="H19" s="2075"/>
      <c r="I19" s="2065"/>
      <c r="J19" s="2065" t="e">
        <f>#REF!-F19</f>
        <v>#REF!</v>
      </c>
      <c r="K19" s="2075"/>
      <c r="L19" s="2075"/>
      <c r="M19" s="2065">
        <v>0.124</v>
      </c>
      <c r="N19" s="2075"/>
      <c r="O19" s="2065"/>
      <c r="P19" s="2065">
        <f t="shared" si="4"/>
        <v>0.124</v>
      </c>
      <c r="Q19" s="2075"/>
      <c r="R19" s="2075"/>
      <c r="S19" s="2065">
        <f>R7/S18</f>
        <v>0.11051781308580982</v>
      </c>
      <c r="T19" s="2075"/>
      <c r="U19" s="2075"/>
      <c r="V19" s="2065">
        <v>0.159</v>
      </c>
    </row>
    <row r="20" spans="1:23" ht="15.75" customHeight="1" x14ac:dyDescent="0.2">
      <c r="A20" s="2074" t="s">
        <v>877</v>
      </c>
      <c r="B20" s="2075"/>
      <c r="C20" s="2075"/>
      <c r="D20" s="1961">
        <v>5050.3999999999996</v>
      </c>
      <c r="E20" s="2075"/>
      <c r="F20" s="2065"/>
      <c r="G20" s="2067" t="e">
        <f>D20-#REF!</f>
        <v>#REF!</v>
      </c>
      <c r="H20" s="2075"/>
      <c r="I20" s="2065"/>
      <c r="J20" s="2067" t="e">
        <f>#REF!-F20</f>
        <v>#REF!</v>
      </c>
      <c r="K20" s="2075"/>
      <c r="L20" s="2075"/>
      <c r="M20" s="1961" t="e">
        <f>#REF!</f>
        <v>#REF!</v>
      </c>
      <c r="N20" s="2075"/>
      <c r="O20" s="2065"/>
      <c r="P20" s="2067" t="e">
        <f t="shared" si="4"/>
        <v>#REF!</v>
      </c>
      <c r="Q20" s="2075"/>
      <c r="R20" s="2075"/>
      <c r="S20" s="1961">
        <f>объемы!U43+объемы!R41</f>
        <v>4834.7</v>
      </c>
      <c r="T20" s="2075"/>
      <c r="U20" s="2075"/>
      <c r="V20" s="1961">
        <f>V18-'хим. реагенты'!B27</f>
        <v>4706.9039481555337</v>
      </c>
    </row>
    <row r="21" spans="1:23" ht="20.25" customHeight="1" x14ac:dyDescent="0.2">
      <c r="A21" s="2074" t="s">
        <v>143</v>
      </c>
      <c r="B21" s="2075"/>
      <c r="C21" s="2075"/>
      <c r="D21" s="2065">
        <v>0.24199999999999999</v>
      </c>
      <c r="E21" s="2075"/>
      <c r="F21" s="2065"/>
      <c r="G21" s="2065" t="e">
        <f>D21-#REF!</f>
        <v>#REF!</v>
      </c>
      <c r="H21" s="2075"/>
      <c r="I21" s="2065"/>
      <c r="J21" s="2065" t="e">
        <f>#REF!-F21</f>
        <v>#REF!</v>
      </c>
      <c r="K21" s="2075"/>
      <c r="L21" s="2075"/>
      <c r="M21" s="2065">
        <v>0.24199999999999999</v>
      </c>
      <c r="N21" s="2075"/>
      <c r="O21" s="2065"/>
      <c r="P21" s="2065">
        <f t="shared" si="4"/>
        <v>0.24199999999999999</v>
      </c>
      <c r="Q21" s="2075"/>
      <c r="R21" s="2075"/>
      <c r="S21" s="2065">
        <f>R9/S20</f>
        <v>0.29419633069270074</v>
      </c>
      <c r="T21" s="2075"/>
      <c r="U21" s="2075"/>
      <c r="V21" s="2065">
        <v>0.24199999999999999</v>
      </c>
    </row>
    <row r="22" spans="1:23" ht="21" customHeight="1" x14ac:dyDescent="0.2">
      <c r="A22" s="2076" t="s">
        <v>144</v>
      </c>
      <c r="B22" s="2063"/>
      <c r="C22" s="2063"/>
      <c r="D22" s="2064">
        <v>3672.7</v>
      </c>
      <c r="E22" s="2063"/>
      <c r="F22" s="2062"/>
      <c r="G22" s="2059" t="e">
        <f>D22-#REF!</f>
        <v>#REF!</v>
      </c>
      <c r="H22" s="2063"/>
      <c r="I22" s="2062"/>
      <c r="J22" s="2059" t="e">
        <f>#REF!-F22</f>
        <v>#REF!</v>
      </c>
      <c r="K22" s="2063"/>
      <c r="L22" s="2063"/>
      <c r="M22" s="2064" t="e">
        <f>#REF!</f>
        <v>#REF!</v>
      </c>
      <c r="N22" s="2063"/>
      <c r="O22" s="2062"/>
      <c r="P22" s="2059" t="e">
        <f t="shared" si="4"/>
        <v>#REF!</v>
      </c>
      <c r="Q22" s="2063"/>
      <c r="R22" s="2063"/>
      <c r="S22" s="2064">
        <f>объемы!R57</f>
        <v>3840.95</v>
      </c>
      <c r="T22" s="2063"/>
      <c r="U22" s="2063"/>
      <c r="V22" s="2064">
        <f>объемы!R58+объемы!S58</f>
        <v>3209.95</v>
      </c>
    </row>
    <row r="23" spans="1:23" ht="46.5" customHeight="1" x14ac:dyDescent="0.2">
      <c r="A23" s="2074" t="s">
        <v>145</v>
      </c>
      <c r="B23" s="2075"/>
      <c r="C23" s="2075"/>
      <c r="D23" s="2065">
        <v>9.9000000000000005E-2</v>
      </c>
      <c r="E23" s="2075"/>
      <c r="F23" s="2065"/>
      <c r="G23" s="2065" t="e">
        <f>D23-#REF!</f>
        <v>#REF!</v>
      </c>
      <c r="H23" s="2075"/>
      <c r="I23" s="2065"/>
      <c r="J23" s="2065" t="e">
        <f>#REF!-F23</f>
        <v>#REF!</v>
      </c>
      <c r="K23" s="2075"/>
      <c r="L23" s="2075"/>
      <c r="M23" s="2065">
        <v>8.4000000000000005E-2</v>
      </c>
      <c r="N23" s="2075"/>
      <c r="O23" s="2065"/>
      <c r="P23" s="2065">
        <f t="shared" si="4"/>
        <v>8.4000000000000005E-2</v>
      </c>
      <c r="Q23" s="2075"/>
      <c r="R23" s="2075"/>
      <c r="S23" s="2065">
        <v>8.4000000000000005E-2</v>
      </c>
      <c r="T23" s="2075"/>
      <c r="U23" s="2075"/>
      <c r="V23" s="2065">
        <v>8.8999999999999996E-2</v>
      </c>
      <c r="W23" s="375" t="s">
        <v>1677</v>
      </c>
    </row>
    <row r="24" spans="1:23" ht="45.75" customHeight="1" x14ac:dyDescent="0.2">
      <c r="A24" s="2074" t="s">
        <v>146</v>
      </c>
      <c r="B24" s="2075"/>
      <c r="C24" s="2075"/>
      <c r="D24" s="2065">
        <v>0.39200000000000002</v>
      </c>
      <c r="E24" s="2075"/>
      <c r="F24" s="2065"/>
      <c r="G24" s="2065" t="e">
        <f>D24-#REF!</f>
        <v>#REF!</v>
      </c>
      <c r="H24" s="2075"/>
      <c r="I24" s="2065"/>
      <c r="J24" s="2065" t="e">
        <f>#REF!-F24</f>
        <v>#REF!</v>
      </c>
      <c r="K24" s="2075"/>
      <c r="L24" s="2075"/>
      <c r="M24" s="2065">
        <v>0.42</v>
      </c>
      <c r="N24" s="2075"/>
      <c r="O24" s="2065"/>
      <c r="P24" s="2065">
        <f t="shared" si="4"/>
        <v>0.42</v>
      </c>
      <c r="Q24" s="2075"/>
      <c r="R24" s="2075"/>
      <c r="S24" s="2067">
        <v>0.42</v>
      </c>
      <c r="T24" s="2075"/>
      <c r="U24" s="2075"/>
      <c r="V24" s="2065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930"/>
    </row>
    <row r="34" spans="1:1" x14ac:dyDescent="0.2">
      <c r="A34" s="930"/>
    </row>
    <row r="35" spans="1:1" x14ac:dyDescent="0.2">
      <c r="A35" s="2077"/>
    </row>
    <row r="36" spans="1:1" x14ac:dyDescent="0.2">
      <c r="A36" s="2077"/>
    </row>
  </sheetData>
  <mergeCells count="20"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4695"/>
      <c r="B1" s="4695" t="s">
        <v>373</v>
      </c>
      <c r="C1" s="4695"/>
      <c r="D1" s="4695"/>
      <c r="E1" s="4695"/>
    </row>
    <row r="2" spans="1:6" ht="25.5" x14ac:dyDescent="0.2">
      <c r="A2" s="4695"/>
      <c r="B2" s="1669" t="s">
        <v>122</v>
      </c>
      <c r="C2" s="1723" t="s">
        <v>1602</v>
      </c>
      <c r="D2" s="1723" t="s">
        <v>1679</v>
      </c>
      <c r="E2" s="1723" t="s">
        <v>61</v>
      </c>
    </row>
    <row r="3" spans="1:6" x14ac:dyDescent="0.2">
      <c r="A3" s="1861" t="s">
        <v>46</v>
      </c>
      <c r="B3" s="1861"/>
      <c r="C3" s="1861"/>
      <c r="D3" s="1861"/>
      <c r="E3" s="1861"/>
    </row>
    <row r="4" spans="1:6" x14ac:dyDescent="0.2">
      <c r="A4" s="1861" t="s">
        <v>1678</v>
      </c>
      <c r="B4" s="1861">
        <f>278+998+1575</f>
        <v>2851</v>
      </c>
      <c r="C4" s="1861">
        <v>215.85</v>
      </c>
      <c r="D4" s="1861">
        <f>C4-B4</f>
        <v>-2635.15</v>
      </c>
      <c r="E4" s="1861">
        <v>4226.2929999999997</v>
      </c>
      <c r="F4" s="5">
        <f>E4-C4</f>
        <v>4010.4429999999998</v>
      </c>
    </row>
    <row r="5" spans="1:6" x14ac:dyDescent="0.2">
      <c r="A5" s="1861" t="s">
        <v>284</v>
      </c>
      <c r="B5" s="1861">
        <v>0</v>
      </c>
      <c r="C5" s="1861">
        <v>0</v>
      </c>
      <c r="D5" s="1861">
        <v>0</v>
      </c>
      <c r="E5" s="1861">
        <v>0</v>
      </c>
      <c r="F5" s="5">
        <f t="shared" ref="F5:F8" si="0">E5-C5</f>
        <v>0</v>
      </c>
    </row>
    <row r="6" spans="1:6" x14ac:dyDescent="0.2">
      <c r="A6" s="1861" t="s">
        <v>47</v>
      </c>
      <c r="B6" s="1861"/>
      <c r="C6" s="1861"/>
      <c r="D6" s="1861"/>
      <c r="E6" s="1861"/>
    </row>
    <row r="7" spans="1:6" x14ac:dyDescent="0.2">
      <c r="A7" s="1861" t="s">
        <v>1678</v>
      </c>
      <c r="B7" s="1861">
        <f>320+290+230+730</f>
        <v>1570</v>
      </c>
      <c r="C7" s="1861">
        <v>361.53</v>
      </c>
      <c r="D7" s="1861">
        <f>C7-B7</f>
        <v>-1208.47</v>
      </c>
      <c r="E7" s="1861">
        <v>1189.7080000000001</v>
      </c>
      <c r="F7" s="5">
        <f t="shared" si="0"/>
        <v>828.17800000000011</v>
      </c>
    </row>
    <row r="8" spans="1:6" x14ac:dyDescent="0.2">
      <c r="A8" s="1861" t="s">
        <v>284</v>
      </c>
      <c r="B8" s="1861">
        <v>0</v>
      </c>
      <c r="C8" s="1861">
        <v>0</v>
      </c>
      <c r="D8" s="1861">
        <v>0</v>
      </c>
      <c r="E8" s="1861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40"/>
  <sheetViews>
    <sheetView workbookViewId="0">
      <selection activeCell="Q53" sqref="Q53"/>
    </sheetView>
  </sheetViews>
  <sheetFormatPr defaultRowHeight="12.75" x14ac:dyDescent="0.2"/>
  <cols>
    <col min="1" max="1" width="31.85546875" style="5" customWidth="1"/>
    <col min="2" max="2" width="14.42578125" style="5" customWidth="1"/>
    <col min="3" max="3" width="17.42578125" style="1860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8" width="10.140625" style="5" customWidth="1"/>
    <col min="9" max="9" width="11.28515625" style="5" customWidth="1"/>
    <col min="10" max="10" width="10" style="5" hidden="1" customWidth="1"/>
    <col min="11" max="11" width="13.28515625" style="5" hidden="1" customWidth="1"/>
    <col min="12" max="12" width="13.140625" style="5" hidden="1" customWidth="1"/>
    <col min="13" max="13" width="0" style="5" hidden="1" customWidth="1"/>
    <col min="14" max="14" width="10" style="5" hidden="1" customWidth="1"/>
    <col min="15" max="15" width="9.140625" style="5"/>
    <col min="16" max="16" width="12.42578125" style="5" customWidth="1"/>
    <col min="17" max="16384" width="9.140625" style="5"/>
  </cols>
  <sheetData>
    <row r="4" spans="1:14" s="1844" customFormat="1" ht="15.75" x14ac:dyDescent="0.25">
      <c r="A4" s="1844" t="s">
        <v>1770</v>
      </c>
      <c r="C4" s="2384"/>
    </row>
    <row r="5" spans="1:14" x14ac:dyDescent="0.2">
      <c r="A5" s="1861"/>
      <c r="B5" s="1861"/>
      <c r="C5" s="1723" t="s">
        <v>829</v>
      </c>
      <c r="D5" s="1861" t="s">
        <v>908</v>
      </c>
      <c r="E5" s="1861" t="s">
        <v>909</v>
      </c>
      <c r="F5" s="1861" t="s">
        <v>1805</v>
      </c>
      <c r="G5" s="2736" t="s">
        <v>1819</v>
      </c>
      <c r="H5" s="1861"/>
      <c r="I5" s="1861"/>
      <c r="J5" s="5" t="s">
        <v>1825</v>
      </c>
      <c r="K5" s="5" t="s">
        <v>1826</v>
      </c>
      <c r="L5" s="5" t="s">
        <v>1827</v>
      </c>
      <c r="M5" s="5" t="s">
        <v>1828</v>
      </c>
      <c r="N5" s="5" t="s">
        <v>1829</v>
      </c>
    </row>
    <row r="6" spans="1:14" x14ac:dyDescent="0.2">
      <c r="A6" s="1861" t="s">
        <v>1771</v>
      </c>
      <c r="B6" s="1861" t="s">
        <v>915</v>
      </c>
      <c r="C6" s="2094">
        <v>2169.9934800000001</v>
      </c>
      <c r="D6" s="1861"/>
      <c r="E6" s="2094">
        <v>3551.4250499999998</v>
      </c>
      <c r="F6" s="2094">
        <f>F8+F9+F10</f>
        <v>17.627832389853918</v>
      </c>
      <c r="G6" s="2858">
        <f>F6*1.046</f>
        <v>18.438712679787198</v>
      </c>
      <c r="H6" s="1861"/>
      <c r="I6" s="1861"/>
      <c r="J6" s="5">
        <f>G6*1.04</f>
        <v>19.176261186978685</v>
      </c>
      <c r="K6" s="5">
        <f t="shared" ref="K6:N6" si="0">H6*1.04</f>
        <v>0</v>
      </c>
      <c r="L6" s="5">
        <f t="shared" si="0"/>
        <v>0</v>
      </c>
      <c r="M6" s="5">
        <f t="shared" si="0"/>
        <v>19.943311634457832</v>
      </c>
      <c r="N6" s="5">
        <f t="shared" si="0"/>
        <v>0</v>
      </c>
    </row>
    <row r="7" spans="1:14" x14ac:dyDescent="0.2">
      <c r="A7" s="1861" t="s">
        <v>50</v>
      </c>
      <c r="B7" s="1861"/>
      <c r="C7" s="2094"/>
      <c r="D7" s="1861"/>
      <c r="E7" s="2094"/>
      <c r="F7" s="2094"/>
      <c r="G7" s="1861"/>
      <c r="H7" s="1861"/>
      <c r="I7" s="1861"/>
    </row>
    <row r="8" spans="1:14" x14ac:dyDescent="0.2">
      <c r="A8" s="1861" t="s">
        <v>1772</v>
      </c>
      <c r="B8" s="1861" t="s">
        <v>915</v>
      </c>
      <c r="C8" s="2094">
        <v>16.91282</v>
      </c>
      <c r="D8" s="1861"/>
      <c r="E8" s="2094">
        <v>0</v>
      </c>
      <c r="F8" s="2094">
        <f>N36/1000</f>
        <v>17.627832389853918</v>
      </c>
      <c r="G8" s="2858">
        <f>G6</f>
        <v>18.438712679787198</v>
      </c>
      <c r="H8" s="1861"/>
      <c r="I8" s="1861"/>
    </row>
    <row r="9" spans="1:14" x14ac:dyDescent="0.2">
      <c r="A9" s="1861" t="s">
        <v>1773</v>
      </c>
      <c r="B9" s="1861" t="s">
        <v>915</v>
      </c>
      <c r="C9" s="2094">
        <v>0</v>
      </c>
      <c r="D9" s="1861"/>
      <c r="E9" s="2094">
        <v>0</v>
      </c>
      <c r="F9" s="2094">
        <v>0</v>
      </c>
      <c r="G9" s="1861">
        <v>0</v>
      </c>
      <c r="H9" s="1861"/>
      <c r="I9" s="1861"/>
    </row>
    <row r="10" spans="1:14" x14ac:dyDescent="0.2">
      <c r="A10" s="1861" t="s">
        <v>1774</v>
      </c>
      <c r="B10" s="1861" t="s">
        <v>915</v>
      </c>
      <c r="C10" s="2094">
        <v>2153.0806600000001</v>
      </c>
      <c r="D10" s="1861"/>
      <c r="E10" s="2094">
        <v>3551.4250499999998</v>
      </c>
      <c r="F10" s="2094">
        <v>0</v>
      </c>
      <c r="G10" s="1861">
        <v>0</v>
      </c>
      <c r="H10" s="1861"/>
      <c r="I10" s="1861"/>
    </row>
    <row r="11" spans="1:14" x14ac:dyDescent="0.2">
      <c r="A11" s="1861" t="s">
        <v>1775</v>
      </c>
      <c r="B11" s="1861" t="s">
        <v>915</v>
      </c>
      <c r="C11" s="2094">
        <v>82.269549999999995</v>
      </c>
      <c r="D11" s="1861"/>
      <c r="E11" s="2094">
        <v>135.10650000000001</v>
      </c>
      <c r="F11" s="2094">
        <f>E11</f>
        <v>135.10650000000001</v>
      </c>
      <c r="G11" s="1861">
        <v>0</v>
      </c>
      <c r="H11" s="1861"/>
      <c r="I11" s="1861"/>
    </row>
    <row r="12" spans="1:14" x14ac:dyDescent="0.2">
      <c r="A12" s="1861" t="s">
        <v>1776</v>
      </c>
      <c r="B12" s="1861" t="s">
        <v>915</v>
      </c>
      <c r="C12" s="2094">
        <f>C11+C6</f>
        <v>2252.2630300000001</v>
      </c>
      <c r="D12" s="2094">
        <f>D11+D6</f>
        <v>0</v>
      </c>
      <c r="E12" s="2094">
        <f>E11+E6</f>
        <v>3686.5315499999997</v>
      </c>
      <c r="F12" s="2094">
        <f>F11+F6</f>
        <v>152.73433238985393</v>
      </c>
      <c r="G12" s="2094">
        <f>G11+G6</f>
        <v>18.438712679787198</v>
      </c>
      <c r="H12" s="1861"/>
      <c r="I12" s="1861"/>
    </row>
    <row r="13" spans="1:14" x14ac:dyDescent="0.2">
      <c r="A13" s="1861" t="s">
        <v>1780</v>
      </c>
      <c r="B13" s="1861">
        <f>B14+B15</f>
        <v>3061.4900000000002</v>
      </c>
      <c r="C13" s="2094">
        <f>C8+C11</f>
        <v>99.182369999999992</v>
      </c>
      <c r="D13" s="1861"/>
      <c r="E13" s="1861">
        <f>E14+E15</f>
        <v>3253</v>
      </c>
      <c r="F13" s="1861"/>
      <c r="G13" s="1861"/>
      <c r="H13" s="2858">
        <f>H14+H15</f>
        <v>3020.0036431580988</v>
      </c>
      <c r="I13" s="1861"/>
    </row>
    <row r="14" spans="1:14" x14ac:dyDescent="0.2">
      <c r="A14" s="1861" t="s">
        <v>47</v>
      </c>
      <c r="B14" s="1861">
        <f>объемы!Y58</f>
        <v>3040.84</v>
      </c>
      <c r="C14" s="2094">
        <f>B14/B13*C13</f>
        <v>98.513376816778745</v>
      </c>
      <c r="D14" s="1861"/>
      <c r="E14" s="1861">
        <v>3230</v>
      </c>
      <c r="F14" s="2858">
        <f>E14/E13*F12</f>
        <v>151.65444009198532</v>
      </c>
      <c r="G14" s="2858">
        <f>G12*I14</f>
        <v>18.330848375909873</v>
      </c>
      <c r="H14" s="2858">
        <f>имущество!K36</f>
        <v>3002.3369764914323</v>
      </c>
      <c r="I14" s="2858">
        <f>имущество!L36</f>
        <v>0.99415011743224524</v>
      </c>
    </row>
    <row r="15" spans="1:14" x14ac:dyDescent="0.2">
      <c r="A15" s="1861" t="s">
        <v>151</v>
      </c>
      <c r="B15" s="1861">
        <f>объемы!Z58</f>
        <v>20.65</v>
      </c>
      <c r="C15" s="2094">
        <f>C13-C14</f>
        <v>0.66899318322124657</v>
      </c>
      <c r="D15" s="1861"/>
      <c r="E15" s="1861">
        <v>23</v>
      </c>
      <c r="F15" s="2094">
        <f>F12-F14</f>
        <v>1.0798922978686107</v>
      </c>
      <c r="G15" s="2094">
        <f>G12*I15</f>
        <v>0.10786430387732723</v>
      </c>
      <c r="H15" s="2858">
        <f>имущество!K37</f>
        <v>17.666666666666668</v>
      </c>
      <c r="I15" s="2858">
        <f>имущество!L37</f>
        <v>5.8498825677548386E-3</v>
      </c>
    </row>
    <row r="17" spans="1:16" hidden="1" x14ac:dyDescent="0.2">
      <c r="A17" s="2387" t="s">
        <v>1777</v>
      </c>
      <c r="C17" s="5"/>
    </row>
    <row r="18" spans="1:16" s="2392" customFormat="1" ht="12.75" hidden="1" customHeight="1" x14ac:dyDescent="0.2">
      <c r="A18" s="4723" t="s">
        <v>1778</v>
      </c>
      <c r="B18" s="2390" t="s">
        <v>1796</v>
      </c>
      <c r="C18" s="2391"/>
      <c r="D18" s="4723" t="s">
        <v>1798</v>
      </c>
      <c r="E18" s="4724" t="s">
        <v>50</v>
      </c>
      <c r="F18" s="4724"/>
      <c r="G18" s="4724"/>
      <c r="H18" s="4725" t="s">
        <v>1800</v>
      </c>
      <c r="I18" s="4720" t="s">
        <v>1801</v>
      </c>
      <c r="J18" s="4721"/>
      <c r="K18" s="4722"/>
      <c r="L18" s="4726" t="s">
        <v>1802</v>
      </c>
      <c r="M18" s="4718" t="s">
        <v>1803</v>
      </c>
      <c r="N18" s="4720" t="s">
        <v>1804</v>
      </c>
      <c r="O18" s="4721"/>
      <c r="P18" s="4722"/>
    </row>
    <row r="19" spans="1:16" s="2392" customFormat="1" ht="12.75" hidden="1" customHeight="1" x14ac:dyDescent="0.2">
      <c r="A19" s="4723"/>
      <c r="B19" s="2390" t="s">
        <v>738</v>
      </c>
      <c r="C19" s="2391" t="s">
        <v>1797</v>
      </c>
      <c r="D19" s="4723"/>
      <c r="E19" s="2390" t="s">
        <v>738</v>
      </c>
      <c r="F19" s="2390" t="s">
        <v>1797</v>
      </c>
      <c r="G19" s="2390" t="s">
        <v>1799</v>
      </c>
      <c r="H19" s="4725"/>
      <c r="I19" s="2390" t="s">
        <v>738</v>
      </c>
      <c r="J19" s="2390" t="s">
        <v>1797</v>
      </c>
      <c r="K19" s="2390" t="s">
        <v>1799</v>
      </c>
      <c r="L19" s="4727"/>
      <c r="M19" s="4719"/>
      <c r="N19" s="2394" t="s">
        <v>738</v>
      </c>
      <c r="O19" s="2394" t="s">
        <v>1797</v>
      </c>
      <c r="P19" s="2394" t="s">
        <v>1799</v>
      </c>
    </row>
    <row r="20" spans="1:16" hidden="1" x14ac:dyDescent="0.2">
      <c r="A20" s="2393" t="s">
        <v>1781</v>
      </c>
      <c r="B20" s="2388">
        <v>5.0616387999999998E-2</v>
      </c>
      <c r="C20" s="2389">
        <f>B20</f>
        <v>5.0616387999999998E-2</v>
      </c>
      <c r="D20" s="2388">
        <v>3.7999999999999999E-2</v>
      </c>
      <c r="E20" s="2388">
        <v>9.4480899999999993E-3</v>
      </c>
      <c r="F20" s="2388">
        <v>0</v>
      </c>
      <c r="G20" s="2388">
        <v>2.8551913000000002E-2</v>
      </c>
      <c r="H20" s="2390">
        <v>29751.8</v>
      </c>
      <c r="I20" s="2388">
        <v>1</v>
      </c>
      <c r="J20" s="2388">
        <v>5</v>
      </c>
      <c r="K20" s="2388">
        <v>25</v>
      </c>
      <c r="L20" s="2388">
        <v>1</v>
      </c>
      <c r="M20" s="2388">
        <v>1</v>
      </c>
      <c r="N20" s="2390">
        <f>E20*H20*I20*L20*M20</f>
        <v>281.09768406199998</v>
      </c>
      <c r="O20" s="2390">
        <f>F20*J20*L20*M20</f>
        <v>0</v>
      </c>
      <c r="P20" s="2390">
        <v>0</v>
      </c>
    </row>
    <row r="21" spans="1:16" hidden="1" x14ac:dyDescent="0.2">
      <c r="A21" s="2390" t="s">
        <v>1782</v>
      </c>
      <c r="B21" s="2388">
        <v>2.252429265</v>
      </c>
      <c r="C21" s="2389">
        <f>B21</f>
        <v>2.252429265</v>
      </c>
      <c r="D21" s="2388">
        <v>2.3239999999999998</v>
      </c>
      <c r="E21" s="2388">
        <v>0.57782513999999996</v>
      </c>
      <c r="F21" s="2388">
        <v>0</v>
      </c>
      <c r="G21" s="2388">
        <v>1.746174863</v>
      </c>
      <c r="H21" s="2390">
        <v>5950.8</v>
      </c>
      <c r="I21" s="2388">
        <v>1</v>
      </c>
      <c r="J21" s="2388">
        <v>5</v>
      </c>
      <c r="K21" s="2388">
        <v>25</v>
      </c>
      <c r="L21" s="2388">
        <v>1</v>
      </c>
      <c r="M21" s="2388">
        <v>1</v>
      </c>
      <c r="N21" s="2390">
        <f t="shared" ref="N21:N35" si="1">E21*H21*I21*L21*M21</f>
        <v>3438.5218431119997</v>
      </c>
      <c r="O21" s="2390">
        <f t="shared" ref="O21:O35" si="2">F21*J21*L21*M21</f>
        <v>0</v>
      </c>
      <c r="P21" s="2390">
        <v>0</v>
      </c>
    </row>
    <row r="22" spans="1:16" hidden="1" x14ac:dyDescent="0.2">
      <c r="A22" s="2390" t="s">
        <v>1783</v>
      </c>
      <c r="B22" s="2388">
        <v>9.1615662239999995</v>
      </c>
      <c r="C22" s="2389">
        <f t="shared" ref="C22:C35" si="3">B22</f>
        <v>9.1615662239999995</v>
      </c>
      <c r="D22" s="2388">
        <v>29.445</v>
      </c>
      <c r="E22" s="2388">
        <v>7.3210245900000004</v>
      </c>
      <c r="F22" s="2388">
        <v>0</v>
      </c>
      <c r="G22" s="2388">
        <v>22.12397541</v>
      </c>
      <c r="H22" s="2390">
        <v>243</v>
      </c>
      <c r="I22" s="2388">
        <v>1</v>
      </c>
      <c r="J22" s="2388">
        <v>5</v>
      </c>
      <c r="K22" s="2388">
        <v>25</v>
      </c>
      <c r="L22" s="2388">
        <v>1</v>
      </c>
      <c r="M22" s="2388">
        <v>1</v>
      </c>
      <c r="N22" s="2390">
        <f t="shared" si="1"/>
        <v>1779.0089753700001</v>
      </c>
      <c r="O22" s="2390">
        <f t="shared" si="2"/>
        <v>0</v>
      </c>
      <c r="P22" s="2390">
        <v>0</v>
      </c>
    </row>
    <row r="23" spans="1:16" hidden="1" x14ac:dyDescent="0.2">
      <c r="A23" s="2390" t="s">
        <v>1784</v>
      </c>
      <c r="B23" s="2388">
        <v>1.2654096990000001</v>
      </c>
      <c r="C23" s="2389">
        <f t="shared" si="3"/>
        <v>1.2654096990000001</v>
      </c>
      <c r="D23" s="2388">
        <v>11.446</v>
      </c>
      <c r="E23" s="2388">
        <v>1.2654097</v>
      </c>
      <c r="F23" s="2388">
        <v>0</v>
      </c>
      <c r="G23" s="2388">
        <v>10.1805903</v>
      </c>
      <c r="H23" s="2390">
        <v>1190.2</v>
      </c>
      <c r="I23" s="2388">
        <v>1</v>
      </c>
      <c r="J23" s="2388">
        <v>5</v>
      </c>
      <c r="K23" s="2388">
        <v>25</v>
      </c>
      <c r="L23" s="2388">
        <v>1</v>
      </c>
      <c r="M23" s="2388">
        <v>1</v>
      </c>
      <c r="N23" s="2390">
        <f t="shared" si="1"/>
        <v>1506.09062494</v>
      </c>
      <c r="O23" s="2390">
        <f t="shared" si="2"/>
        <v>0</v>
      </c>
      <c r="P23" s="2390">
        <v>0</v>
      </c>
    </row>
    <row r="24" spans="1:16" hidden="1" x14ac:dyDescent="0.2">
      <c r="A24" s="2390" t="s">
        <v>1779</v>
      </c>
      <c r="B24" s="2388">
        <v>20.853951850000001</v>
      </c>
      <c r="C24" s="2389">
        <f t="shared" si="3"/>
        <v>20.853951850000001</v>
      </c>
      <c r="D24" s="2388">
        <v>40.332999999999998</v>
      </c>
      <c r="E24" s="2388">
        <v>10.0281503</v>
      </c>
      <c r="F24" s="2388">
        <v>0</v>
      </c>
      <c r="G24" s="2388">
        <v>30.304849730000001</v>
      </c>
      <c r="H24" s="2390">
        <v>977.2</v>
      </c>
      <c r="I24" s="2388">
        <v>1</v>
      </c>
      <c r="J24" s="2388">
        <v>5</v>
      </c>
      <c r="K24" s="2388">
        <v>25</v>
      </c>
      <c r="L24" s="2388">
        <v>0.1213592</v>
      </c>
      <c r="M24" s="2388">
        <v>1</v>
      </c>
      <c r="N24" s="2390">
        <f t="shared" si="1"/>
        <v>1189.260508695919</v>
      </c>
      <c r="O24" s="2390">
        <f t="shared" si="2"/>
        <v>0</v>
      </c>
      <c r="P24" s="2390">
        <v>0</v>
      </c>
    </row>
    <row r="25" spans="1:16" hidden="1" x14ac:dyDescent="0.2">
      <c r="A25" s="2390" t="s">
        <v>1785</v>
      </c>
      <c r="B25" s="2388">
        <v>0.15184916400000001</v>
      </c>
      <c r="C25" s="2389">
        <f t="shared" si="3"/>
        <v>0.15184916400000001</v>
      </c>
      <c r="D25" s="2388">
        <v>0.13100000000000001</v>
      </c>
      <c r="E25" s="2388">
        <v>3.2571040000000002E-2</v>
      </c>
      <c r="F25" s="2388">
        <v>0</v>
      </c>
      <c r="G25" s="2388">
        <v>0.98428961999999998</v>
      </c>
      <c r="H25" s="2390">
        <v>73553.2</v>
      </c>
      <c r="I25" s="2388">
        <v>1</v>
      </c>
      <c r="J25" s="2388">
        <v>5</v>
      </c>
      <c r="K25" s="2388">
        <v>25</v>
      </c>
      <c r="L25" s="2388">
        <v>1</v>
      </c>
      <c r="M25" s="2388">
        <v>1</v>
      </c>
      <c r="N25" s="2390">
        <f t="shared" si="1"/>
        <v>2395.7042193279999</v>
      </c>
      <c r="O25" s="2390">
        <f t="shared" si="2"/>
        <v>0</v>
      </c>
      <c r="P25" s="2390">
        <v>0</v>
      </c>
    </row>
    <row r="26" spans="1:16" hidden="1" x14ac:dyDescent="0.2">
      <c r="A26" s="2390" t="s">
        <v>1786</v>
      </c>
      <c r="B26" s="2388">
        <v>7.5925330000000003E-3</v>
      </c>
      <c r="C26" s="2389">
        <f t="shared" si="3"/>
        <v>7.5925330000000003E-3</v>
      </c>
      <c r="D26" s="2388">
        <v>0</v>
      </c>
      <c r="E26" s="2388">
        <v>0</v>
      </c>
      <c r="F26" s="2388">
        <v>0</v>
      </c>
      <c r="G26" s="2388">
        <v>0</v>
      </c>
      <c r="H26" s="2390">
        <v>73534.3</v>
      </c>
      <c r="I26" s="2388">
        <v>1</v>
      </c>
      <c r="J26" s="2388">
        <v>5</v>
      </c>
      <c r="K26" s="2388">
        <v>25</v>
      </c>
      <c r="L26" s="2388">
        <v>1</v>
      </c>
      <c r="M26" s="2388">
        <v>1</v>
      </c>
      <c r="N26" s="2390">
        <f t="shared" si="1"/>
        <v>0</v>
      </c>
      <c r="O26" s="2390">
        <f t="shared" si="2"/>
        <v>0</v>
      </c>
      <c r="P26" s="2390">
        <v>0</v>
      </c>
    </row>
    <row r="27" spans="1:16" hidden="1" x14ac:dyDescent="0.2">
      <c r="A27" s="2390" t="s">
        <v>1787</v>
      </c>
      <c r="B27" s="2388">
        <v>253.08193990000001</v>
      </c>
      <c r="C27" s="2389">
        <f t="shared" si="3"/>
        <v>253.08193990000001</v>
      </c>
      <c r="D27" s="2388">
        <v>265.32900000000001</v>
      </c>
      <c r="E27" s="2388">
        <v>65.969778700000006</v>
      </c>
      <c r="F27" s="2388">
        <v>0</v>
      </c>
      <c r="G27" s="2388">
        <v>199.3592213</v>
      </c>
      <c r="H27" s="2390">
        <v>2.4</v>
      </c>
      <c r="I27" s="2388">
        <v>1</v>
      </c>
      <c r="J27" s="2388">
        <v>5</v>
      </c>
      <c r="K27" s="2388">
        <v>25</v>
      </c>
      <c r="L27" s="2388">
        <v>1</v>
      </c>
      <c r="M27" s="2388">
        <v>1</v>
      </c>
      <c r="N27" s="2390">
        <f t="shared" si="1"/>
        <v>158.32746888</v>
      </c>
      <c r="O27" s="2390">
        <f t="shared" si="2"/>
        <v>0</v>
      </c>
      <c r="P27" s="2390">
        <v>0</v>
      </c>
    </row>
    <row r="28" spans="1:16" hidden="1" x14ac:dyDescent="0.2">
      <c r="A28" s="2390" t="s">
        <v>1788</v>
      </c>
      <c r="B28" s="2388">
        <v>101.232776</v>
      </c>
      <c r="C28" s="2389">
        <f t="shared" si="3"/>
        <v>101.232776</v>
      </c>
      <c r="D28" s="2388">
        <v>224.11099999999999</v>
      </c>
      <c r="E28" s="2388">
        <v>55.721587399999997</v>
      </c>
      <c r="F28" s="2388">
        <v>0</v>
      </c>
      <c r="G28" s="2388">
        <v>168.38941260000001</v>
      </c>
      <c r="H28" s="2390">
        <v>14.9</v>
      </c>
      <c r="I28" s="2388">
        <v>1</v>
      </c>
      <c r="J28" s="2388">
        <v>5</v>
      </c>
      <c r="K28" s="2388">
        <v>25</v>
      </c>
      <c r="L28" s="2388">
        <v>1</v>
      </c>
      <c r="M28" s="2388">
        <v>1</v>
      </c>
      <c r="N28" s="2390">
        <f t="shared" si="1"/>
        <v>830.25165226000001</v>
      </c>
      <c r="O28" s="2390">
        <f t="shared" si="2"/>
        <v>0</v>
      </c>
      <c r="P28" s="2390">
        <v>0</v>
      </c>
    </row>
    <row r="29" spans="1:16" hidden="1" x14ac:dyDescent="0.2">
      <c r="A29" s="2390" t="s">
        <v>1789</v>
      </c>
      <c r="B29" s="2388">
        <v>0.12654097</v>
      </c>
      <c r="C29" s="2389">
        <f t="shared" si="3"/>
        <v>0.12654097</v>
      </c>
      <c r="D29" s="2388">
        <v>0.93500000000000005</v>
      </c>
      <c r="E29" s="2388">
        <v>0.12654097</v>
      </c>
      <c r="F29" s="2388">
        <v>0</v>
      </c>
      <c r="G29" s="2388">
        <v>0.80845902999999997</v>
      </c>
      <c r="H29" s="2390">
        <v>14711.7</v>
      </c>
      <c r="I29" s="2388">
        <v>1</v>
      </c>
      <c r="J29" s="2388">
        <v>5</v>
      </c>
      <c r="K29" s="2388">
        <v>25</v>
      </c>
      <c r="L29" s="2388">
        <v>1</v>
      </c>
      <c r="M29" s="2388">
        <v>1</v>
      </c>
      <c r="N29" s="2390">
        <f t="shared" si="1"/>
        <v>1861.6327883490001</v>
      </c>
      <c r="O29" s="2390">
        <f t="shared" si="2"/>
        <v>0</v>
      </c>
      <c r="P29" s="2390">
        <v>0</v>
      </c>
    </row>
    <row r="30" spans="1:16" hidden="1" x14ac:dyDescent="0.2">
      <c r="A30" s="2390" t="s">
        <v>1790</v>
      </c>
      <c r="B30" s="2388">
        <v>1265.409699</v>
      </c>
      <c r="C30" s="2389">
        <f t="shared" si="3"/>
        <v>1265.409699</v>
      </c>
      <c r="D30" s="2388">
        <v>2111.107</v>
      </c>
      <c r="E30" s="2388">
        <v>524.89272400000004</v>
      </c>
      <c r="F30" s="2388">
        <v>0</v>
      </c>
      <c r="G30" s="2388">
        <v>1586.2142759999999</v>
      </c>
      <c r="H30" s="2390">
        <v>0.5</v>
      </c>
      <c r="I30" s="2388">
        <v>1</v>
      </c>
      <c r="J30" s="2388">
        <v>5</v>
      </c>
      <c r="K30" s="2388">
        <v>25</v>
      </c>
      <c r="L30" s="2388">
        <v>1</v>
      </c>
      <c r="M30" s="2388">
        <v>1</v>
      </c>
      <c r="N30" s="2390">
        <f t="shared" si="1"/>
        <v>262.44636200000002</v>
      </c>
      <c r="O30" s="2390">
        <f t="shared" si="2"/>
        <v>0</v>
      </c>
      <c r="P30" s="2390">
        <v>0</v>
      </c>
    </row>
    <row r="31" spans="1:16" hidden="1" x14ac:dyDescent="0.2">
      <c r="A31" s="2390" t="s">
        <v>1791</v>
      </c>
      <c r="B31" s="2388">
        <v>0.50616388000000001</v>
      </c>
      <c r="C31" s="2389">
        <f t="shared" si="3"/>
        <v>0.50616388000000001</v>
      </c>
      <c r="D31" s="2388">
        <v>4.452</v>
      </c>
      <c r="E31" s="2388">
        <v>0.50616388000000001</v>
      </c>
      <c r="F31" s="2388">
        <v>0</v>
      </c>
      <c r="G31" s="2388">
        <v>3.9458361200000001</v>
      </c>
      <c r="H31" s="2390">
        <v>3679.3</v>
      </c>
      <c r="I31" s="2388">
        <v>1</v>
      </c>
      <c r="J31" s="2388">
        <v>5</v>
      </c>
      <c r="K31" s="2388">
        <v>25</v>
      </c>
      <c r="L31" s="2388">
        <v>1</v>
      </c>
      <c r="M31" s="2388">
        <v>1</v>
      </c>
      <c r="N31" s="2390">
        <f t="shared" si="1"/>
        <v>1862.328763684</v>
      </c>
      <c r="O31" s="2390">
        <f t="shared" si="2"/>
        <v>0</v>
      </c>
      <c r="P31" s="2390">
        <v>0</v>
      </c>
    </row>
    <row r="32" spans="1:16" hidden="1" x14ac:dyDescent="0.2">
      <c r="A32" s="2390" t="s">
        <v>1792</v>
      </c>
      <c r="B32" s="2388">
        <v>2.5308193999999999E-2</v>
      </c>
      <c r="C32" s="2389">
        <f t="shared" si="3"/>
        <v>2.5308193999999999E-2</v>
      </c>
      <c r="D32" s="2388">
        <v>0</v>
      </c>
      <c r="E32" s="2388">
        <v>0</v>
      </c>
      <c r="F32" s="2388">
        <v>0</v>
      </c>
      <c r="G32" s="2388">
        <v>0</v>
      </c>
      <c r="H32" s="2390">
        <v>73553.2</v>
      </c>
      <c r="I32" s="2388">
        <v>1</v>
      </c>
      <c r="J32" s="2388">
        <v>5</v>
      </c>
      <c r="K32" s="2388">
        <v>25</v>
      </c>
      <c r="L32" s="2388">
        <v>1</v>
      </c>
      <c r="M32" s="2388">
        <v>1</v>
      </c>
      <c r="N32" s="2390">
        <f t="shared" si="1"/>
        <v>0</v>
      </c>
      <c r="O32" s="2390">
        <f t="shared" si="2"/>
        <v>0</v>
      </c>
      <c r="P32" s="2390">
        <v>0</v>
      </c>
    </row>
    <row r="33" spans="1:16" hidden="1" x14ac:dyDescent="0.2">
      <c r="A33" s="2390" t="s">
        <v>1793</v>
      </c>
      <c r="B33" s="2388">
        <v>0.20246555199999999</v>
      </c>
      <c r="C33" s="2389">
        <f t="shared" si="3"/>
        <v>0.20246555199999999</v>
      </c>
      <c r="D33" s="2388">
        <v>2.67</v>
      </c>
      <c r="E33" s="2388">
        <v>0.20246554999999999</v>
      </c>
      <c r="F33" s="2388">
        <v>0</v>
      </c>
      <c r="G33" s="2388">
        <v>2.4675344479999999</v>
      </c>
      <c r="H33" s="2390">
        <v>7439</v>
      </c>
      <c r="I33" s="2388">
        <v>1</v>
      </c>
      <c r="J33" s="2388">
        <v>5</v>
      </c>
      <c r="K33" s="2388">
        <v>25</v>
      </c>
      <c r="L33" s="2388">
        <v>1</v>
      </c>
      <c r="M33" s="2388">
        <v>1</v>
      </c>
      <c r="N33" s="2390">
        <f t="shared" si="1"/>
        <v>1506.14122645</v>
      </c>
      <c r="O33" s="2390">
        <f t="shared" si="2"/>
        <v>0</v>
      </c>
      <c r="P33" s="2390">
        <v>0</v>
      </c>
    </row>
    <row r="34" spans="1:16" hidden="1" x14ac:dyDescent="0.2">
      <c r="A34" s="2390" t="s">
        <v>1794</v>
      </c>
      <c r="B34" s="2388">
        <v>253.08193990000001</v>
      </c>
      <c r="C34" s="2389">
        <f t="shared" si="3"/>
        <v>253.08193990000001</v>
      </c>
      <c r="D34" s="2388">
        <v>236.07400000000001</v>
      </c>
      <c r="E34" s="2388">
        <v>58.695994499999998</v>
      </c>
      <c r="F34" s="2388">
        <v>0</v>
      </c>
      <c r="G34" s="2388">
        <v>177.3780055</v>
      </c>
      <c r="H34" s="2390">
        <v>6</v>
      </c>
      <c r="I34" s="2388">
        <v>1</v>
      </c>
      <c r="J34" s="2388">
        <v>5</v>
      </c>
      <c r="K34" s="2388">
        <v>25</v>
      </c>
      <c r="L34" s="2388">
        <v>1</v>
      </c>
      <c r="M34" s="2388">
        <v>1</v>
      </c>
      <c r="N34" s="2390">
        <f t="shared" si="1"/>
        <v>352.17596700000001</v>
      </c>
      <c r="O34" s="2390">
        <f t="shared" si="2"/>
        <v>0</v>
      </c>
      <c r="P34" s="2390">
        <v>0</v>
      </c>
    </row>
    <row r="35" spans="1:16" hidden="1" x14ac:dyDescent="0.2">
      <c r="A35" s="2390" t="s">
        <v>1795</v>
      </c>
      <c r="B35" s="2388">
        <v>1.2654096990000001</v>
      </c>
      <c r="C35" s="2389">
        <f t="shared" si="3"/>
        <v>1.2654096990000001</v>
      </c>
      <c r="D35" s="2388">
        <v>0.69099999999999995</v>
      </c>
      <c r="E35" s="2388">
        <v>0.17180601000000001</v>
      </c>
      <c r="F35" s="2388"/>
      <c r="G35" s="2388">
        <v>0.51919398900000002</v>
      </c>
      <c r="H35" s="2390">
        <v>1192.3</v>
      </c>
      <c r="I35" s="2388">
        <v>1</v>
      </c>
      <c r="J35" s="2388">
        <v>5</v>
      </c>
      <c r="K35" s="2388">
        <v>25</v>
      </c>
      <c r="L35" s="2388">
        <v>1</v>
      </c>
      <c r="M35" s="2388">
        <v>1</v>
      </c>
      <c r="N35" s="2390">
        <f t="shared" si="1"/>
        <v>204.84430572299999</v>
      </c>
      <c r="O35" s="2390">
        <f t="shared" si="2"/>
        <v>0</v>
      </c>
      <c r="P35" s="2390">
        <v>0</v>
      </c>
    </row>
    <row r="36" spans="1:16" s="2392" customFormat="1" hidden="1" x14ac:dyDescent="0.2">
      <c r="A36" s="2390" t="s">
        <v>288</v>
      </c>
      <c r="B36" s="2390"/>
      <c r="C36" s="2391"/>
      <c r="D36" s="2390"/>
      <c r="E36" s="2390"/>
      <c r="F36" s="2390"/>
      <c r="G36" s="2390"/>
      <c r="H36" s="2390"/>
      <c r="I36" s="2390"/>
      <c r="J36" s="2390"/>
      <c r="K36" s="2390"/>
      <c r="L36" s="2390"/>
      <c r="M36" s="2390"/>
      <c r="N36" s="2390">
        <f>SUM(N20:N35)</f>
        <v>17627.832389853917</v>
      </c>
      <c r="O36" s="2390">
        <f t="shared" ref="O36:P36" si="4">SUM(O20:O35)</f>
        <v>0</v>
      </c>
      <c r="P36" s="2390">
        <f t="shared" si="4"/>
        <v>0</v>
      </c>
    </row>
    <row r="37" spans="1:16" hidden="1" x14ac:dyDescent="0.2">
      <c r="N37" s="1841">
        <f>E11*1000</f>
        <v>135106.5</v>
      </c>
    </row>
    <row r="38" spans="1:16" hidden="1" x14ac:dyDescent="0.2">
      <c r="M38" s="5">
        <f>M39+M40</f>
        <v>3253</v>
      </c>
      <c r="N38" s="1841">
        <f>N36+N37</f>
        <v>152734.33238985392</v>
      </c>
    </row>
    <row r="39" spans="1:16" hidden="1" x14ac:dyDescent="0.2">
      <c r="M39" s="5">
        <v>3230</v>
      </c>
      <c r="N39" s="5">
        <f>M39/M38*N38</f>
        <v>151654.44009198531</v>
      </c>
    </row>
    <row r="40" spans="1:16" hidden="1" x14ac:dyDescent="0.2">
      <c r="M40" s="5">
        <v>23</v>
      </c>
      <c r="N40" s="1841">
        <f>N38-N39</f>
        <v>1079.8922978686169</v>
      </c>
    </row>
  </sheetData>
  <mergeCells count="8">
    <mergeCell ref="M18:M19"/>
    <mergeCell ref="N18:P18"/>
    <mergeCell ref="A18:A19"/>
    <mergeCell ref="D18:D19"/>
    <mergeCell ref="E18:G18"/>
    <mergeCell ref="H18:H19"/>
    <mergeCell ref="I18:K18"/>
    <mergeCell ref="L18:L1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37" workbookViewId="0">
      <selection activeCell="I66" sqref="I66"/>
    </sheetView>
  </sheetViews>
  <sheetFormatPr defaultRowHeight="12.75" x14ac:dyDescent="0.2"/>
  <cols>
    <col min="1" max="7" width="12.7109375" style="3296" customWidth="1"/>
    <col min="8" max="258" width="9.140625" style="3296"/>
    <col min="259" max="259" width="20.7109375" style="3296" customWidth="1"/>
    <col min="260" max="262" width="14.7109375" style="3296" customWidth="1"/>
    <col min="263" max="514" width="9.140625" style="3296"/>
    <col min="515" max="515" width="20.7109375" style="3296" customWidth="1"/>
    <col min="516" max="518" width="14.7109375" style="3296" customWidth="1"/>
    <col min="519" max="770" width="9.140625" style="3296"/>
    <col min="771" max="771" width="20.7109375" style="3296" customWidth="1"/>
    <col min="772" max="774" width="14.7109375" style="3296" customWidth="1"/>
    <col min="775" max="1026" width="9.140625" style="3296"/>
    <col min="1027" max="1027" width="20.7109375" style="3296" customWidth="1"/>
    <col min="1028" max="1030" width="14.7109375" style="3296" customWidth="1"/>
    <col min="1031" max="1282" width="9.140625" style="3296"/>
    <col min="1283" max="1283" width="20.7109375" style="3296" customWidth="1"/>
    <col min="1284" max="1286" width="14.7109375" style="3296" customWidth="1"/>
    <col min="1287" max="1538" width="9.140625" style="3296"/>
    <col min="1539" max="1539" width="20.7109375" style="3296" customWidth="1"/>
    <col min="1540" max="1542" width="14.7109375" style="3296" customWidth="1"/>
    <col min="1543" max="1794" width="9.140625" style="3296"/>
    <col min="1795" max="1795" width="20.7109375" style="3296" customWidth="1"/>
    <col min="1796" max="1798" width="14.7109375" style="3296" customWidth="1"/>
    <col min="1799" max="2050" width="9.140625" style="3296"/>
    <col min="2051" max="2051" width="20.7109375" style="3296" customWidth="1"/>
    <col min="2052" max="2054" width="14.7109375" style="3296" customWidth="1"/>
    <col min="2055" max="2306" width="9.140625" style="3296"/>
    <col min="2307" max="2307" width="20.7109375" style="3296" customWidth="1"/>
    <col min="2308" max="2310" width="14.7109375" style="3296" customWidth="1"/>
    <col min="2311" max="2562" width="9.140625" style="3296"/>
    <col min="2563" max="2563" width="20.7109375" style="3296" customWidth="1"/>
    <col min="2564" max="2566" width="14.7109375" style="3296" customWidth="1"/>
    <col min="2567" max="2818" width="9.140625" style="3296"/>
    <col min="2819" max="2819" width="20.7109375" style="3296" customWidth="1"/>
    <col min="2820" max="2822" width="14.7109375" style="3296" customWidth="1"/>
    <col min="2823" max="3074" width="9.140625" style="3296"/>
    <col min="3075" max="3075" width="20.7109375" style="3296" customWidth="1"/>
    <col min="3076" max="3078" width="14.7109375" style="3296" customWidth="1"/>
    <col min="3079" max="3330" width="9.140625" style="3296"/>
    <col min="3331" max="3331" width="20.7109375" style="3296" customWidth="1"/>
    <col min="3332" max="3334" width="14.7109375" style="3296" customWidth="1"/>
    <col min="3335" max="3586" width="9.140625" style="3296"/>
    <col min="3587" max="3587" width="20.7109375" style="3296" customWidth="1"/>
    <col min="3588" max="3590" width="14.7109375" style="3296" customWidth="1"/>
    <col min="3591" max="3842" width="9.140625" style="3296"/>
    <col min="3843" max="3843" width="20.7109375" style="3296" customWidth="1"/>
    <col min="3844" max="3846" width="14.7109375" style="3296" customWidth="1"/>
    <col min="3847" max="4098" width="9.140625" style="3296"/>
    <col min="4099" max="4099" width="20.7109375" style="3296" customWidth="1"/>
    <col min="4100" max="4102" width="14.7109375" style="3296" customWidth="1"/>
    <col min="4103" max="4354" width="9.140625" style="3296"/>
    <col min="4355" max="4355" width="20.7109375" style="3296" customWidth="1"/>
    <col min="4356" max="4358" width="14.7109375" style="3296" customWidth="1"/>
    <col min="4359" max="4610" width="9.140625" style="3296"/>
    <col min="4611" max="4611" width="20.7109375" style="3296" customWidth="1"/>
    <col min="4612" max="4614" width="14.7109375" style="3296" customWidth="1"/>
    <col min="4615" max="4866" width="9.140625" style="3296"/>
    <col min="4867" max="4867" width="20.7109375" style="3296" customWidth="1"/>
    <col min="4868" max="4870" width="14.7109375" style="3296" customWidth="1"/>
    <col min="4871" max="5122" width="9.140625" style="3296"/>
    <col min="5123" max="5123" width="20.7109375" style="3296" customWidth="1"/>
    <col min="5124" max="5126" width="14.7109375" style="3296" customWidth="1"/>
    <col min="5127" max="5378" width="9.140625" style="3296"/>
    <col min="5379" max="5379" width="20.7109375" style="3296" customWidth="1"/>
    <col min="5380" max="5382" width="14.7109375" style="3296" customWidth="1"/>
    <col min="5383" max="5634" width="9.140625" style="3296"/>
    <col min="5635" max="5635" width="20.7109375" style="3296" customWidth="1"/>
    <col min="5636" max="5638" width="14.7109375" style="3296" customWidth="1"/>
    <col min="5639" max="5890" width="9.140625" style="3296"/>
    <col min="5891" max="5891" width="20.7109375" style="3296" customWidth="1"/>
    <col min="5892" max="5894" width="14.7109375" style="3296" customWidth="1"/>
    <col min="5895" max="6146" width="9.140625" style="3296"/>
    <col min="6147" max="6147" width="20.7109375" style="3296" customWidth="1"/>
    <col min="6148" max="6150" width="14.7109375" style="3296" customWidth="1"/>
    <col min="6151" max="6402" width="9.140625" style="3296"/>
    <col min="6403" max="6403" width="20.7109375" style="3296" customWidth="1"/>
    <col min="6404" max="6406" width="14.7109375" style="3296" customWidth="1"/>
    <col min="6407" max="6658" width="9.140625" style="3296"/>
    <col min="6659" max="6659" width="20.7109375" style="3296" customWidth="1"/>
    <col min="6660" max="6662" width="14.7109375" style="3296" customWidth="1"/>
    <col min="6663" max="6914" width="9.140625" style="3296"/>
    <col min="6915" max="6915" width="20.7109375" style="3296" customWidth="1"/>
    <col min="6916" max="6918" width="14.7109375" style="3296" customWidth="1"/>
    <col min="6919" max="7170" width="9.140625" style="3296"/>
    <col min="7171" max="7171" width="20.7109375" style="3296" customWidth="1"/>
    <col min="7172" max="7174" width="14.7109375" style="3296" customWidth="1"/>
    <col min="7175" max="7426" width="9.140625" style="3296"/>
    <col min="7427" max="7427" width="20.7109375" style="3296" customWidth="1"/>
    <col min="7428" max="7430" width="14.7109375" style="3296" customWidth="1"/>
    <col min="7431" max="7682" width="9.140625" style="3296"/>
    <col min="7683" max="7683" width="20.7109375" style="3296" customWidth="1"/>
    <col min="7684" max="7686" width="14.7109375" style="3296" customWidth="1"/>
    <col min="7687" max="7938" width="9.140625" style="3296"/>
    <col min="7939" max="7939" width="20.7109375" style="3296" customWidth="1"/>
    <col min="7940" max="7942" width="14.7109375" style="3296" customWidth="1"/>
    <col min="7943" max="8194" width="9.140625" style="3296"/>
    <col min="8195" max="8195" width="20.7109375" style="3296" customWidth="1"/>
    <col min="8196" max="8198" width="14.7109375" style="3296" customWidth="1"/>
    <col min="8199" max="8450" width="9.140625" style="3296"/>
    <col min="8451" max="8451" width="20.7109375" style="3296" customWidth="1"/>
    <col min="8452" max="8454" width="14.7109375" style="3296" customWidth="1"/>
    <col min="8455" max="8706" width="9.140625" style="3296"/>
    <col min="8707" max="8707" width="20.7109375" style="3296" customWidth="1"/>
    <col min="8708" max="8710" width="14.7109375" style="3296" customWidth="1"/>
    <col min="8711" max="8962" width="9.140625" style="3296"/>
    <col min="8963" max="8963" width="20.7109375" style="3296" customWidth="1"/>
    <col min="8964" max="8966" width="14.7109375" style="3296" customWidth="1"/>
    <col min="8967" max="9218" width="9.140625" style="3296"/>
    <col min="9219" max="9219" width="20.7109375" style="3296" customWidth="1"/>
    <col min="9220" max="9222" width="14.7109375" style="3296" customWidth="1"/>
    <col min="9223" max="9474" width="9.140625" style="3296"/>
    <col min="9475" max="9475" width="20.7109375" style="3296" customWidth="1"/>
    <col min="9476" max="9478" width="14.7109375" style="3296" customWidth="1"/>
    <col min="9479" max="9730" width="9.140625" style="3296"/>
    <col min="9731" max="9731" width="20.7109375" style="3296" customWidth="1"/>
    <col min="9732" max="9734" width="14.7109375" style="3296" customWidth="1"/>
    <col min="9735" max="9986" width="9.140625" style="3296"/>
    <col min="9987" max="9987" width="20.7109375" style="3296" customWidth="1"/>
    <col min="9988" max="9990" width="14.7109375" style="3296" customWidth="1"/>
    <col min="9991" max="10242" width="9.140625" style="3296"/>
    <col min="10243" max="10243" width="20.7109375" style="3296" customWidth="1"/>
    <col min="10244" max="10246" width="14.7109375" style="3296" customWidth="1"/>
    <col min="10247" max="10498" width="9.140625" style="3296"/>
    <col min="10499" max="10499" width="20.7109375" style="3296" customWidth="1"/>
    <col min="10500" max="10502" width="14.7109375" style="3296" customWidth="1"/>
    <col min="10503" max="10754" width="9.140625" style="3296"/>
    <col min="10755" max="10755" width="20.7109375" style="3296" customWidth="1"/>
    <col min="10756" max="10758" width="14.7109375" style="3296" customWidth="1"/>
    <col min="10759" max="11010" width="9.140625" style="3296"/>
    <col min="11011" max="11011" width="20.7109375" style="3296" customWidth="1"/>
    <col min="11012" max="11014" width="14.7109375" style="3296" customWidth="1"/>
    <col min="11015" max="11266" width="9.140625" style="3296"/>
    <col min="11267" max="11267" width="20.7109375" style="3296" customWidth="1"/>
    <col min="11268" max="11270" width="14.7109375" style="3296" customWidth="1"/>
    <col min="11271" max="11522" width="9.140625" style="3296"/>
    <col min="11523" max="11523" width="20.7109375" style="3296" customWidth="1"/>
    <col min="11524" max="11526" width="14.7109375" style="3296" customWidth="1"/>
    <col min="11527" max="11778" width="9.140625" style="3296"/>
    <col min="11779" max="11779" width="20.7109375" style="3296" customWidth="1"/>
    <col min="11780" max="11782" width="14.7109375" style="3296" customWidth="1"/>
    <col min="11783" max="12034" width="9.140625" style="3296"/>
    <col min="12035" max="12035" width="20.7109375" style="3296" customWidth="1"/>
    <col min="12036" max="12038" width="14.7109375" style="3296" customWidth="1"/>
    <col min="12039" max="12290" width="9.140625" style="3296"/>
    <col min="12291" max="12291" width="20.7109375" style="3296" customWidth="1"/>
    <col min="12292" max="12294" width="14.7109375" style="3296" customWidth="1"/>
    <col min="12295" max="12546" width="9.140625" style="3296"/>
    <col min="12547" max="12547" width="20.7109375" style="3296" customWidth="1"/>
    <col min="12548" max="12550" width="14.7109375" style="3296" customWidth="1"/>
    <col min="12551" max="12802" width="9.140625" style="3296"/>
    <col min="12803" max="12803" width="20.7109375" style="3296" customWidth="1"/>
    <col min="12804" max="12806" width="14.7109375" style="3296" customWidth="1"/>
    <col min="12807" max="13058" width="9.140625" style="3296"/>
    <col min="13059" max="13059" width="20.7109375" style="3296" customWidth="1"/>
    <col min="13060" max="13062" width="14.7109375" style="3296" customWidth="1"/>
    <col min="13063" max="13314" width="9.140625" style="3296"/>
    <col min="13315" max="13315" width="20.7109375" style="3296" customWidth="1"/>
    <col min="13316" max="13318" width="14.7109375" style="3296" customWidth="1"/>
    <col min="13319" max="13570" width="9.140625" style="3296"/>
    <col min="13571" max="13571" width="20.7109375" style="3296" customWidth="1"/>
    <col min="13572" max="13574" width="14.7109375" style="3296" customWidth="1"/>
    <col min="13575" max="13826" width="9.140625" style="3296"/>
    <col min="13827" max="13827" width="20.7109375" style="3296" customWidth="1"/>
    <col min="13828" max="13830" width="14.7109375" style="3296" customWidth="1"/>
    <col min="13831" max="14082" width="9.140625" style="3296"/>
    <col min="14083" max="14083" width="20.7109375" style="3296" customWidth="1"/>
    <col min="14084" max="14086" width="14.7109375" style="3296" customWidth="1"/>
    <col min="14087" max="14338" width="9.140625" style="3296"/>
    <col min="14339" max="14339" width="20.7109375" style="3296" customWidth="1"/>
    <col min="14340" max="14342" width="14.7109375" style="3296" customWidth="1"/>
    <col min="14343" max="14594" width="9.140625" style="3296"/>
    <col min="14595" max="14595" width="20.7109375" style="3296" customWidth="1"/>
    <col min="14596" max="14598" width="14.7109375" style="3296" customWidth="1"/>
    <col min="14599" max="14850" width="9.140625" style="3296"/>
    <col min="14851" max="14851" width="20.7109375" style="3296" customWidth="1"/>
    <col min="14852" max="14854" width="14.7109375" style="3296" customWidth="1"/>
    <col min="14855" max="15106" width="9.140625" style="3296"/>
    <col min="15107" max="15107" width="20.7109375" style="3296" customWidth="1"/>
    <col min="15108" max="15110" width="14.7109375" style="3296" customWidth="1"/>
    <col min="15111" max="15362" width="9.140625" style="3296"/>
    <col min="15363" max="15363" width="20.7109375" style="3296" customWidth="1"/>
    <col min="15364" max="15366" width="14.7109375" style="3296" customWidth="1"/>
    <col min="15367" max="15618" width="9.140625" style="3296"/>
    <col min="15619" max="15619" width="20.7109375" style="3296" customWidth="1"/>
    <col min="15620" max="15622" width="14.7109375" style="3296" customWidth="1"/>
    <col min="15623" max="15874" width="9.140625" style="3296"/>
    <col min="15875" max="15875" width="20.7109375" style="3296" customWidth="1"/>
    <col min="15876" max="15878" width="14.7109375" style="3296" customWidth="1"/>
    <col min="15879" max="16130" width="9.140625" style="3296"/>
    <col min="16131" max="16131" width="20.7109375" style="3296" customWidth="1"/>
    <col min="16132" max="16134" width="14.7109375" style="3296" customWidth="1"/>
    <col min="16135" max="16384" width="9.140625" style="3296"/>
  </cols>
  <sheetData>
    <row r="1" spans="1:7" ht="15.75" x14ac:dyDescent="0.25">
      <c r="A1" s="3620" t="s">
        <v>3682</v>
      </c>
      <c r="B1" s="3620"/>
      <c r="C1" s="3620"/>
      <c r="D1" s="3620"/>
      <c r="E1" s="3620"/>
      <c r="F1" s="3620"/>
      <c r="G1" s="3491"/>
    </row>
    <row r="2" spans="1:7" ht="15.75" x14ac:dyDescent="0.2">
      <c r="A2" s="3621" t="s">
        <v>377</v>
      </c>
      <c r="B2" s="3621"/>
      <c r="C2" s="3621"/>
      <c r="D2" s="3622"/>
      <c r="E2" s="3622"/>
      <c r="F2" s="3622"/>
      <c r="G2" s="3622"/>
    </row>
    <row r="3" spans="1:7" ht="13.5" x14ac:dyDescent="0.25">
      <c r="A3" s="3623" t="s">
        <v>1574</v>
      </c>
      <c r="B3" s="3625" t="s">
        <v>1723</v>
      </c>
      <c r="C3" s="3626"/>
      <c r="D3" s="3627" t="s">
        <v>1724</v>
      </c>
      <c r="E3" s="3625" t="s">
        <v>3681</v>
      </c>
      <c r="F3" s="3629"/>
      <c r="G3" s="3630"/>
    </row>
    <row r="4" spans="1:7" ht="15.75" x14ac:dyDescent="0.25">
      <c r="A4" s="3624"/>
      <c r="B4" s="3297" t="s">
        <v>3581</v>
      </c>
      <c r="C4" s="3297" t="s">
        <v>1692</v>
      </c>
      <c r="D4" s="3628"/>
      <c r="E4" s="3297" t="s">
        <v>3581</v>
      </c>
      <c r="F4" s="3297" t="s">
        <v>1692</v>
      </c>
      <c r="G4" s="3297" t="s">
        <v>1610</v>
      </c>
    </row>
    <row r="5" spans="1:7" ht="15.75" x14ac:dyDescent="0.25">
      <c r="A5" s="3298" t="s">
        <v>264</v>
      </c>
      <c r="B5" s="3299">
        <f>SUM('ФАКТ. СЕБЕСТ ВОДА 9 мес. 2019'!C14)*1000</f>
        <v>305052.07694444444</v>
      </c>
      <c r="C5" s="3299">
        <f>SUM('ФАКТ. СЕБЕСТ ВОДА 9 мес. 2019'!F14)*1000</f>
        <v>311435</v>
      </c>
      <c r="D5" s="3301">
        <v>36.85</v>
      </c>
      <c r="E5" s="3302">
        <f>B5*D5/1000</f>
        <v>11241.169035402778</v>
      </c>
      <c r="F5" s="3302">
        <f>C5*D5/1000</f>
        <v>11476.37975</v>
      </c>
      <c r="G5" s="3302">
        <f>SUM(F5-E5)</f>
        <v>235.21071459722225</v>
      </c>
    </row>
    <row r="6" spans="1:7" ht="15.75" x14ac:dyDescent="0.25">
      <c r="A6" s="3298" t="s">
        <v>265</v>
      </c>
      <c r="B6" s="3299">
        <f>SUM('ФАКТ. СЕБЕСТ ВОДА 9 мес. 2019'!L14)*1000</f>
        <v>305052.07694444444</v>
      </c>
      <c r="C6" s="3299">
        <f>SUM('ФАКТ. СЕБЕСТ ВОДА 9 мес. 2019'!O14)*1000</f>
        <v>296910</v>
      </c>
      <c r="D6" s="3301">
        <v>36.85</v>
      </c>
      <c r="E6" s="3302">
        <f t="shared" ref="E6:E16" si="0">B6*D6/1000</f>
        <v>11241.169035402778</v>
      </c>
      <c r="F6" s="3302">
        <f t="shared" ref="F6:F16" si="1">C6*D6/1000</f>
        <v>10941.1335</v>
      </c>
      <c r="G6" s="3302">
        <f t="shared" ref="G6:G16" si="2">SUM(F6-E6)</f>
        <v>-300.0355354027779</v>
      </c>
    </row>
    <row r="7" spans="1:7" ht="15.75" x14ac:dyDescent="0.25">
      <c r="A7" s="3298" t="s">
        <v>266</v>
      </c>
      <c r="B7" s="3299">
        <f>SUM('ФАКТ. СЕБЕСТ ВОДА 9 мес. 2019'!U14)*1000</f>
        <v>305052.07694444444</v>
      </c>
      <c r="C7" s="3299">
        <f>SUM('ФАКТ. СЕБЕСТ ВОДА 9 мес. 2019'!X14)*1000</f>
        <v>282129</v>
      </c>
      <c r="D7" s="3301">
        <v>36.85</v>
      </c>
      <c r="E7" s="3302">
        <f t="shared" si="0"/>
        <v>11241.169035402778</v>
      </c>
      <c r="F7" s="3302">
        <f t="shared" si="1"/>
        <v>10396.453649999999</v>
      </c>
      <c r="G7" s="3302">
        <f t="shared" si="2"/>
        <v>-844.71538540277834</v>
      </c>
    </row>
    <row r="8" spans="1:7" ht="15.75" x14ac:dyDescent="0.25">
      <c r="A8" s="3298" t="s">
        <v>267</v>
      </c>
      <c r="B8" s="3299">
        <f>SUM('ФАКТ. СЕБЕСТ ВОДА 9 мес. 2019'!AP14)*1000</f>
        <v>305052.07694444444</v>
      </c>
      <c r="C8" s="3299">
        <f>SUM('ФАКТ. СЕБЕСТ ВОДА 9 мес. 2019'!AS14)*1000</f>
        <v>295099.99999999994</v>
      </c>
      <c r="D8" s="3301">
        <v>36.85</v>
      </c>
      <c r="E8" s="3302">
        <f t="shared" si="0"/>
        <v>11241.169035402778</v>
      </c>
      <c r="F8" s="3302">
        <f t="shared" si="1"/>
        <v>10874.434999999998</v>
      </c>
      <c r="G8" s="3302">
        <f t="shared" si="2"/>
        <v>-366.73403540278014</v>
      </c>
    </row>
    <row r="9" spans="1:7" ht="15.75" x14ac:dyDescent="0.25">
      <c r="A9" s="3298" t="s">
        <v>268</v>
      </c>
      <c r="B9" s="3299">
        <f>SUM('ФАКТ. СЕБЕСТ ВОДА 9 мес. 2019'!AY14)*1000</f>
        <v>305052.07694444444</v>
      </c>
      <c r="C9" s="3299">
        <f>SUM('ФАКТ. СЕБЕСТ ВОДА 9 мес. 2019'!BB14)*1000</f>
        <v>283635</v>
      </c>
      <c r="D9" s="3301">
        <v>36.85</v>
      </c>
      <c r="E9" s="3302">
        <f t="shared" si="0"/>
        <v>11241.169035402778</v>
      </c>
      <c r="F9" s="3302">
        <f t="shared" si="1"/>
        <v>10451.94975</v>
      </c>
      <c r="G9" s="3302">
        <f t="shared" si="2"/>
        <v>-789.21928540277804</v>
      </c>
    </row>
    <row r="10" spans="1:7" ht="15.75" x14ac:dyDescent="0.25">
      <c r="A10" s="3298" t="s">
        <v>269</v>
      </c>
      <c r="B10" s="3299">
        <f>SUM('ФАКТ. СЕБЕСТ ВОДА 9 мес. 2019'!BH14)*1000</f>
        <v>305052.07694444444</v>
      </c>
      <c r="C10" s="3299">
        <f>SUM('ФАКТ. СЕБЕСТ ВОДА 9 мес. 2019'!BK14)*1000</f>
        <v>281722.00000000006</v>
      </c>
      <c r="D10" s="3301">
        <v>36.85</v>
      </c>
      <c r="E10" s="3302">
        <f t="shared" si="0"/>
        <v>11241.169035402778</v>
      </c>
      <c r="F10" s="3302">
        <f t="shared" si="1"/>
        <v>10381.455700000002</v>
      </c>
      <c r="G10" s="3302">
        <f t="shared" si="2"/>
        <v>-859.71333540277556</v>
      </c>
    </row>
    <row r="11" spans="1:7" ht="15.75" x14ac:dyDescent="0.25">
      <c r="A11" s="3298" t="s">
        <v>1223</v>
      </c>
      <c r="B11" s="3299">
        <f>SUM('ФАКТ. СЕБЕСТ ВОДА 9 мес. 2019'!CO14)*1000</f>
        <v>305052.07694444444</v>
      </c>
      <c r="C11" s="3299">
        <f>SUM('ФАКТ. СЕБЕСТ ВОДА 9 мес. 2019'!CR14)*1000</f>
        <v>275601</v>
      </c>
      <c r="D11" s="3301">
        <v>38.11</v>
      </c>
      <c r="E11" s="3302">
        <f t="shared" si="0"/>
        <v>11625.534652352779</v>
      </c>
      <c r="F11" s="3302">
        <f t="shared" si="1"/>
        <v>10503.154109999999</v>
      </c>
      <c r="G11" s="3302">
        <f t="shared" si="2"/>
        <v>-1122.3805423527792</v>
      </c>
    </row>
    <row r="12" spans="1:7" ht="15.75" x14ac:dyDescent="0.25">
      <c r="A12" s="3298" t="s">
        <v>270</v>
      </c>
      <c r="B12" s="3299">
        <f>SUM('ФАКТ. СЕБЕСТ ВОДА 9 мес. 2019'!CX14)*1000</f>
        <v>305052.07694444444</v>
      </c>
      <c r="C12" s="3299">
        <f>SUM('ФАКТ. СЕБЕСТ ВОДА 9 мес. 2019'!DA14)*1000</f>
        <v>310862</v>
      </c>
      <c r="D12" s="3301">
        <v>38.11</v>
      </c>
      <c r="E12" s="3302">
        <f t="shared" si="0"/>
        <v>11625.534652352779</v>
      </c>
      <c r="F12" s="3302">
        <f t="shared" si="1"/>
        <v>11846.95082</v>
      </c>
      <c r="G12" s="3302">
        <f t="shared" si="2"/>
        <v>221.4161676472213</v>
      </c>
    </row>
    <row r="13" spans="1:7" ht="15.75" x14ac:dyDescent="0.25">
      <c r="A13" s="3298" t="s">
        <v>1241</v>
      </c>
      <c r="B13" s="3299">
        <f>SUM('ФАКТ. СЕБЕСТ ВОДА 9 мес. 2019'!DG14)*1000</f>
        <v>305052.07694444444</v>
      </c>
      <c r="C13" s="3299">
        <f>SUM('ФАКТ. СЕБЕСТ ВОДА 9 мес. 2019'!DJ14)*1000</f>
        <v>301030.99999999994</v>
      </c>
      <c r="D13" s="3301">
        <v>38.11</v>
      </c>
      <c r="E13" s="3302">
        <f t="shared" si="0"/>
        <v>11625.534652352779</v>
      </c>
      <c r="F13" s="3302">
        <f t="shared" si="1"/>
        <v>11472.291409999998</v>
      </c>
      <c r="G13" s="3302">
        <f t="shared" si="2"/>
        <v>-153.24324235278073</v>
      </c>
    </row>
    <row r="14" spans="1:7" ht="15.75" x14ac:dyDescent="0.25">
      <c r="A14" s="3298" t="s">
        <v>271</v>
      </c>
      <c r="B14" s="3299">
        <f>SUM('ФАКТ. СЕБЕСТ ВОДА 9 мес. 2019'!EN14)*1000</f>
        <v>305052.07694444444</v>
      </c>
      <c r="C14" s="3299">
        <f>SUM('ФАКТ. СЕБЕСТ ВОДА 9 мес. 2019'!EQ14)*1000</f>
        <v>0</v>
      </c>
      <c r="D14" s="3301">
        <v>38.11</v>
      </c>
      <c r="E14" s="3302">
        <f t="shared" si="0"/>
        <v>11625.534652352779</v>
      </c>
      <c r="F14" s="3302">
        <f t="shared" si="1"/>
        <v>0</v>
      </c>
      <c r="G14" s="3302">
        <f t="shared" si="2"/>
        <v>-11625.534652352779</v>
      </c>
    </row>
    <row r="15" spans="1:7" ht="15.75" x14ac:dyDescent="0.25">
      <c r="A15" s="3298" t="s">
        <v>272</v>
      </c>
      <c r="B15" s="3299">
        <f>SUM('ФАКТ. СЕБЕСТ ВОДА 9 мес. 2019'!EW14)*1000</f>
        <v>305052.07694444444</v>
      </c>
      <c r="C15" s="3299">
        <f>SUM('ФАКТ. СЕБЕСТ ВОДА 9 мес. 2019'!EZ14)*1000</f>
        <v>0</v>
      </c>
      <c r="D15" s="3301">
        <v>38.11</v>
      </c>
      <c r="E15" s="3302">
        <f t="shared" si="0"/>
        <v>11625.534652352779</v>
      </c>
      <c r="F15" s="3302">
        <f t="shared" si="1"/>
        <v>0</v>
      </c>
      <c r="G15" s="3302">
        <f t="shared" si="2"/>
        <v>-11625.534652352779</v>
      </c>
    </row>
    <row r="16" spans="1:7" ht="15.75" x14ac:dyDescent="0.25">
      <c r="A16" s="3298" t="s">
        <v>1332</v>
      </c>
      <c r="B16" s="3299">
        <f>SUM('ФАКТ. СЕБЕСТ ВОДА 9 мес. 2019'!FF14)*1000</f>
        <v>305052.07694444444</v>
      </c>
      <c r="C16" s="3299">
        <f>SUM('ФАКТ. СЕБЕСТ ВОДА 9 мес. 2019'!FI14)*1000</f>
        <v>0</v>
      </c>
      <c r="D16" s="3301">
        <v>38.11</v>
      </c>
      <c r="E16" s="3302">
        <f t="shared" si="0"/>
        <v>11625.534652352779</v>
      </c>
      <c r="F16" s="3302">
        <f t="shared" si="1"/>
        <v>0</v>
      </c>
      <c r="G16" s="3302">
        <f t="shared" si="2"/>
        <v>-11625.534652352779</v>
      </c>
    </row>
    <row r="17" spans="1:7" ht="15.75" x14ac:dyDescent="0.25">
      <c r="A17" s="3303" t="s">
        <v>288</v>
      </c>
      <c r="B17" s="3304">
        <f>SUM(B5:B16)</f>
        <v>3660624.9233333324</v>
      </c>
      <c r="C17" s="3304">
        <f>SUM(C5:C16)</f>
        <v>2638425</v>
      </c>
      <c r="D17" s="3304">
        <f>F17/C17*1000</f>
        <v>37.273829534665566</v>
      </c>
      <c r="E17" s="3305">
        <f>SUM(E5:E16)</f>
        <v>137200.22212653336</v>
      </c>
      <c r="F17" s="3305">
        <f>SUM(F5:F16)</f>
        <v>98344.203689999995</v>
      </c>
      <c r="G17" s="3305">
        <f>SUM(G5:G16)</f>
        <v>-38856.018436533341</v>
      </c>
    </row>
    <row r="18" spans="1:7" ht="15" x14ac:dyDescent="0.2">
      <c r="A18" s="3306"/>
      <c r="B18" s="3306"/>
      <c r="C18" s="3306"/>
      <c r="D18" s="3306"/>
      <c r="E18" s="3306"/>
      <c r="F18" s="3306"/>
    </row>
    <row r="19" spans="1:7" ht="15.75" x14ac:dyDescent="0.2">
      <c r="A19" s="3621" t="s">
        <v>25</v>
      </c>
      <c r="B19" s="3621"/>
      <c r="C19" s="3621"/>
      <c r="D19" s="3622"/>
      <c r="E19" s="3622"/>
      <c r="F19" s="3622"/>
      <c r="G19" s="3622"/>
    </row>
    <row r="20" spans="1:7" ht="15.75" customHeight="1" x14ac:dyDescent="0.25">
      <c r="A20" s="3623" t="s">
        <v>1574</v>
      </c>
      <c r="B20" s="3625" t="s">
        <v>1723</v>
      </c>
      <c r="C20" s="3626"/>
      <c r="D20" s="3627" t="s">
        <v>1724</v>
      </c>
      <c r="E20" s="3625" t="s">
        <v>3681</v>
      </c>
      <c r="F20" s="3629"/>
      <c r="G20" s="3630"/>
    </row>
    <row r="21" spans="1:7" ht="15.75" customHeight="1" x14ac:dyDescent="0.25">
      <c r="A21" s="3624"/>
      <c r="B21" s="3297" t="s">
        <v>3581</v>
      </c>
      <c r="C21" s="3297" t="s">
        <v>1692</v>
      </c>
      <c r="D21" s="3628"/>
      <c r="E21" s="3297" t="s">
        <v>3581</v>
      </c>
      <c r="F21" s="3297" t="s">
        <v>1692</v>
      </c>
      <c r="G21" s="3297" t="s">
        <v>1610</v>
      </c>
    </row>
    <row r="22" spans="1:7" ht="15.75" x14ac:dyDescent="0.25">
      <c r="A22" s="3298" t="s">
        <v>264</v>
      </c>
      <c r="B22" s="3307">
        <f>SUM('ФАКТ. СЕБЕСТ ВОДА 9 мес. 2019'!D14)*1000</f>
        <v>147.5</v>
      </c>
      <c r="C22" s="3300">
        <f>SUM('ФАКТ. СЕБЕСТ ВОДА 9 мес. 2019'!G14)*1000</f>
        <v>120</v>
      </c>
      <c r="D22" s="3300">
        <v>17.41</v>
      </c>
      <c r="E22" s="3302">
        <f>B22*D22/1000</f>
        <v>2.5679750000000001</v>
      </c>
      <c r="F22" s="3302">
        <f>C22*D22/1000</f>
        <v>2.0891999999999999</v>
      </c>
      <c r="G22" s="3302">
        <f>SUM(F22-E22)</f>
        <v>-0.47877500000000017</v>
      </c>
    </row>
    <row r="23" spans="1:7" ht="15.75" x14ac:dyDescent="0.25">
      <c r="A23" s="3298" t="s">
        <v>265</v>
      </c>
      <c r="B23" s="3307">
        <f>SUM('ФАКТ. СЕБЕСТ ВОДА 9 мес. 2019'!M14)*1000</f>
        <v>147.5</v>
      </c>
      <c r="C23" s="3300">
        <f>SUM('ФАКТ. СЕБЕСТ ВОДА 9 мес. 2019'!P14)*1000</f>
        <v>90</v>
      </c>
      <c r="D23" s="3300">
        <v>17.41</v>
      </c>
      <c r="E23" s="3302">
        <f t="shared" ref="E23:E33" si="3">B23*D23/1000</f>
        <v>2.5679750000000001</v>
      </c>
      <c r="F23" s="3302">
        <f t="shared" ref="F23:F33" si="4">C23*D23/1000</f>
        <v>1.5669000000000002</v>
      </c>
      <c r="G23" s="3302">
        <f t="shared" ref="G23:G33" si="5">SUM(F23-E23)</f>
        <v>-1.0010749999999999</v>
      </c>
    </row>
    <row r="24" spans="1:7" ht="15.75" x14ac:dyDescent="0.25">
      <c r="A24" s="3298" t="s">
        <v>266</v>
      </c>
      <c r="B24" s="3307">
        <f>SUM('ФАКТ. СЕБЕСТ ВОДА 9 мес. 2019'!V14)*1000</f>
        <v>147.5</v>
      </c>
      <c r="C24" s="3300">
        <f>SUM('ФАКТ. СЕБЕСТ ВОДА 9 мес. 2019'!Y14)*1000</f>
        <v>75</v>
      </c>
      <c r="D24" s="3300">
        <v>17.41</v>
      </c>
      <c r="E24" s="3302">
        <f t="shared" si="3"/>
        <v>2.5679750000000001</v>
      </c>
      <c r="F24" s="3302">
        <f t="shared" si="4"/>
        <v>1.30575</v>
      </c>
      <c r="G24" s="3302">
        <f t="shared" si="5"/>
        <v>-1.2622250000000002</v>
      </c>
    </row>
    <row r="25" spans="1:7" ht="15.75" x14ac:dyDescent="0.25">
      <c r="A25" s="3298" t="s">
        <v>267</v>
      </c>
      <c r="B25" s="3307">
        <f>SUM('ФАКТ. СЕБЕСТ ВОДА 9 мес. 2019'!AQ14)*1000</f>
        <v>147.5</v>
      </c>
      <c r="C25" s="3300">
        <f>SUM('ФАКТ. СЕБЕСТ ВОДА 9 мес. 2019'!AT14)*1000</f>
        <v>95</v>
      </c>
      <c r="D25" s="3300">
        <v>17.41</v>
      </c>
      <c r="E25" s="3302">
        <f t="shared" si="3"/>
        <v>2.5679750000000001</v>
      </c>
      <c r="F25" s="3302">
        <f t="shared" si="4"/>
        <v>1.65395</v>
      </c>
      <c r="G25" s="3302">
        <f t="shared" si="5"/>
        <v>-0.91402500000000009</v>
      </c>
    </row>
    <row r="26" spans="1:7" ht="15.75" x14ac:dyDescent="0.25">
      <c r="A26" s="3298" t="s">
        <v>268</v>
      </c>
      <c r="B26" s="3307">
        <f>SUM('ФАКТ. СЕБЕСТ ВОДА 9 мес. 2019'!AZ14)*1000</f>
        <v>147.5</v>
      </c>
      <c r="C26" s="3300">
        <f>SUM('ФАКТ. СЕБЕСТ ВОДА 9 мес. 2019'!BC14)*1000</f>
        <v>97</v>
      </c>
      <c r="D26" s="3300">
        <v>17.41</v>
      </c>
      <c r="E26" s="3302">
        <f t="shared" si="3"/>
        <v>2.5679750000000001</v>
      </c>
      <c r="F26" s="3302">
        <f t="shared" si="4"/>
        <v>1.6887699999999999</v>
      </c>
      <c r="G26" s="3302">
        <f t="shared" si="5"/>
        <v>-0.87920500000000024</v>
      </c>
    </row>
    <row r="27" spans="1:7" ht="15.75" x14ac:dyDescent="0.25">
      <c r="A27" s="3298" t="s">
        <v>269</v>
      </c>
      <c r="B27" s="3307">
        <f>SUM('ФАКТ. СЕБЕСТ ВОДА 9 мес. 2019'!BI14)*1000</f>
        <v>147.5</v>
      </c>
      <c r="C27" s="3300">
        <f>SUM('ФАКТ. СЕБЕСТ ВОДА 9 мес. 2019'!BL14)*1000</f>
        <v>81</v>
      </c>
      <c r="D27" s="3300">
        <v>17.41</v>
      </c>
      <c r="E27" s="3302">
        <f t="shared" si="3"/>
        <v>2.5679750000000001</v>
      </c>
      <c r="F27" s="3302">
        <f t="shared" si="4"/>
        <v>1.41021</v>
      </c>
      <c r="G27" s="3302">
        <f t="shared" si="5"/>
        <v>-1.1577650000000002</v>
      </c>
    </row>
    <row r="28" spans="1:7" ht="15.75" x14ac:dyDescent="0.25">
      <c r="A28" s="3298" t="s">
        <v>1223</v>
      </c>
      <c r="B28" s="3307">
        <f>SUM('ФАКТ. СЕБЕСТ ВОДА 9 мес. 2019'!CP14)*1000</f>
        <v>147.5</v>
      </c>
      <c r="C28" s="3300">
        <f>SUM('ФАКТ. СЕБЕСТ ВОДА 9 мес. 2019'!CS14)*1000</f>
        <v>91</v>
      </c>
      <c r="D28" s="3300">
        <v>17.41</v>
      </c>
      <c r="E28" s="3302">
        <f t="shared" si="3"/>
        <v>2.5679750000000001</v>
      </c>
      <c r="F28" s="3302">
        <f t="shared" si="4"/>
        <v>1.5843099999999999</v>
      </c>
      <c r="G28" s="3302">
        <f t="shared" si="5"/>
        <v>-0.98366500000000023</v>
      </c>
    </row>
    <row r="29" spans="1:7" ht="15.75" x14ac:dyDescent="0.25">
      <c r="A29" s="3298" t="s">
        <v>270</v>
      </c>
      <c r="B29" s="3307">
        <f>SUM('ФАКТ. СЕБЕСТ ВОДА 9 мес. 2019'!CY14)*1000</f>
        <v>147.5</v>
      </c>
      <c r="C29" s="3300">
        <f>SUM('ФАКТ. СЕБЕСТ ВОДА 9 мес. 2019'!DB14)*1000</f>
        <v>90</v>
      </c>
      <c r="D29" s="3300">
        <v>17.41</v>
      </c>
      <c r="E29" s="3302">
        <f t="shared" si="3"/>
        <v>2.5679750000000001</v>
      </c>
      <c r="F29" s="3302">
        <f t="shared" si="4"/>
        <v>1.5669000000000002</v>
      </c>
      <c r="G29" s="3302">
        <f t="shared" si="5"/>
        <v>-1.0010749999999999</v>
      </c>
    </row>
    <row r="30" spans="1:7" ht="15.75" x14ac:dyDescent="0.25">
      <c r="A30" s="3298" t="s">
        <v>1241</v>
      </c>
      <c r="B30" s="3307">
        <f>SUM('ФАКТ. СЕБЕСТ ВОДА 9 мес. 2019'!DH14)*1000</f>
        <v>147.5</v>
      </c>
      <c r="C30" s="3300">
        <f>SUM('ФАКТ. СЕБЕСТ ВОДА 9 мес. 2019'!DK14)*1000</f>
        <v>90</v>
      </c>
      <c r="D30" s="3300">
        <v>17.41</v>
      </c>
      <c r="E30" s="3302">
        <f t="shared" si="3"/>
        <v>2.5679750000000001</v>
      </c>
      <c r="F30" s="3302">
        <f t="shared" si="4"/>
        <v>1.5669000000000002</v>
      </c>
      <c r="G30" s="3302">
        <f t="shared" si="5"/>
        <v>-1.0010749999999999</v>
      </c>
    </row>
    <row r="31" spans="1:7" ht="15.75" x14ac:dyDescent="0.25">
      <c r="A31" s="3298" t="s">
        <v>271</v>
      </c>
      <c r="B31" s="3307">
        <f>SUM('ФАКТ. СЕБЕСТ ВОДА 9 мес. 2019'!EO14)*1000</f>
        <v>147.5</v>
      </c>
      <c r="C31" s="3300">
        <f>SUM('ФАКТ. СЕБЕСТ ВОДА 9 мес. 2019'!ER14)*1000</f>
        <v>0</v>
      </c>
      <c r="D31" s="3300">
        <v>17.41</v>
      </c>
      <c r="E31" s="3302">
        <f t="shared" si="3"/>
        <v>2.5679750000000001</v>
      </c>
      <c r="F31" s="3302">
        <f t="shared" si="4"/>
        <v>0</v>
      </c>
      <c r="G31" s="3302">
        <f t="shared" si="5"/>
        <v>-2.5679750000000001</v>
      </c>
    </row>
    <row r="32" spans="1:7" ht="15.75" x14ac:dyDescent="0.25">
      <c r="A32" s="3298" t="s">
        <v>272</v>
      </c>
      <c r="B32" s="3307">
        <f>SUM('ФАКТ. СЕБЕСТ ВОДА 9 мес. 2019'!EX14)*1000</f>
        <v>147.5</v>
      </c>
      <c r="C32" s="3300">
        <f>SUM('ФАКТ. СЕБЕСТ ВОДА 9 мес. 2019'!FA14)*1000</f>
        <v>0</v>
      </c>
      <c r="D32" s="3300">
        <v>17.41</v>
      </c>
      <c r="E32" s="3302">
        <f t="shared" si="3"/>
        <v>2.5679750000000001</v>
      </c>
      <c r="F32" s="3302">
        <f t="shared" si="4"/>
        <v>0</v>
      </c>
      <c r="G32" s="3302">
        <f t="shared" si="5"/>
        <v>-2.5679750000000001</v>
      </c>
    </row>
    <row r="33" spans="1:7" ht="15.75" x14ac:dyDescent="0.25">
      <c r="A33" s="3298" t="s">
        <v>1332</v>
      </c>
      <c r="B33" s="3307">
        <f>SUM('ФАКТ. СЕБЕСТ ВОДА 9 мес. 2019'!FG14)*1000</f>
        <v>147.5</v>
      </c>
      <c r="C33" s="3300">
        <f>SUM('ФАКТ. СЕБЕСТ ВОДА 9 мес. 2019'!FJ14)*1000</f>
        <v>0</v>
      </c>
      <c r="D33" s="3300">
        <v>17.41</v>
      </c>
      <c r="E33" s="3302">
        <f t="shared" si="3"/>
        <v>2.5679750000000001</v>
      </c>
      <c r="F33" s="3302">
        <f t="shared" si="4"/>
        <v>0</v>
      </c>
      <c r="G33" s="3302">
        <f t="shared" si="5"/>
        <v>-2.5679750000000001</v>
      </c>
    </row>
    <row r="34" spans="1:7" ht="15.75" x14ac:dyDescent="0.25">
      <c r="A34" s="3303" t="s">
        <v>288</v>
      </c>
      <c r="B34" s="3308">
        <f>SUM(B22:B33)</f>
        <v>1770</v>
      </c>
      <c r="C34" s="3305">
        <f>SUM(C22:C33)</f>
        <v>829</v>
      </c>
      <c r="D34" s="3305">
        <f>F34/C34*1000</f>
        <v>17.41</v>
      </c>
      <c r="E34" s="3305">
        <f>SUM(E22:E33)</f>
        <v>30.815700000000003</v>
      </c>
      <c r="F34" s="3305">
        <f>SUM(F22:F33)</f>
        <v>14.43289</v>
      </c>
      <c r="G34" s="3305">
        <f>SUM(G22:G33)</f>
        <v>-16.382810000000003</v>
      </c>
    </row>
    <row r="35" spans="1:7" ht="15" x14ac:dyDescent="0.2">
      <c r="A35" s="3306"/>
      <c r="B35" s="3306"/>
      <c r="C35" s="3306"/>
      <c r="D35" s="3306"/>
      <c r="E35" s="3306"/>
      <c r="F35" s="3306"/>
    </row>
    <row r="36" spans="1:7" ht="15.75" x14ac:dyDescent="0.2">
      <c r="A36" s="3621" t="s">
        <v>47</v>
      </c>
      <c r="B36" s="3621"/>
      <c r="C36" s="3621"/>
      <c r="D36" s="3622"/>
      <c r="E36" s="3622"/>
      <c r="F36" s="3622"/>
      <c r="G36" s="3622"/>
    </row>
    <row r="37" spans="1:7" ht="12.75" customHeight="1" x14ac:dyDescent="0.25">
      <c r="A37" s="3623" t="s">
        <v>1574</v>
      </c>
      <c r="B37" s="3625" t="s">
        <v>1723</v>
      </c>
      <c r="C37" s="3626"/>
      <c r="D37" s="3627" t="s">
        <v>1724</v>
      </c>
      <c r="E37" s="3625" t="s">
        <v>3681</v>
      </c>
      <c r="F37" s="3629"/>
      <c r="G37" s="3630"/>
    </row>
    <row r="38" spans="1:7" ht="15.75" x14ac:dyDescent="0.25">
      <c r="A38" s="3624"/>
      <c r="B38" s="3297" t="s">
        <v>3581</v>
      </c>
      <c r="C38" s="3297" t="s">
        <v>1692</v>
      </c>
      <c r="D38" s="3628"/>
      <c r="E38" s="3297" t="s">
        <v>3581</v>
      </c>
      <c r="F38" s="3297" t="s">
        <v>1692</v>
      </c>
      <c r="G38" s="3297" t="s">
        <v>1610</v>
      </c>
    </row>
    <row r="39" spans="1:7" ht="15.75" x14ac:dyDescent="0.25">
      <c r="A39" s="3298" t="s">
        <v>264</v>
      </c>
      <c r="B39" s="3299">
        <f>SUM('ФАКТ. СЕБЕСТ. СТОКИ 9 мес. 2019'!C9)*1000</f>
        <v>250194.74804095269</v>
      </c>
      <c r="C39" s="3299">
        <f>SUM('ФАКТ. СЕБЕСТ. СТОКИ 9 мес. 2019'!F9)*1000</f>
        <v>266293</v>
      </c>
      <c r="D39" s="3300">
        <v>32.06</v>
      </c>
      <c r="E39" s="3302">
        <f>B39*D39/1000</f>
        <v>8021.2436221929438</v>
      </c>
      <c r="F39" s="3302">
        <f>C39*D39/1000</f>
        <v>8537.3535800000009</v>
      </c>
      <c r="G39" s="3302">
        <f>SUM(F39-E39)</f>
        <v>516.10995780705707</v>
      </c>
    </row>
    <row r="40" spans="1:7" ht="15.75" x14ac:dyDescent="0.25">
      <c r="A40" s="3298" t="s">
        <v>265</v>
      </c>
      <c r="B40" s="3299">
        <f>SUM('ФАКТ. СЕБЕСТ. СТОКИ 9 мес. 2019'!L9)*1000</f>
        <v>250194.74804095269</v>
      </c>
      <c r="C40" s="3299">
        <f>SUM('ФАКТ. СЕБЕСТ. СТОКИ 9 мес. 2019'!O9)*1000</f>
        <v>256132.99999999997</v>
      </c>
      <c r="D40" s="3300">
        <v>32.06</v>
      </c>
      <c r="E40" s="3302">
        <f t="shared" ref="E40:E50" si="6">B40*D40/1000</f>
        <v>8021.2436221929438</v>
      </c>
      <c r="F40" s="3302">
        <f t="shared" ref="F40:F50" si="7">C40*D40/1000</f>
        <v>8211.6239800000003</v>
      </c>
      <c r="G40" s="3302">
        <f t="shared" ref="G40:G50" si="8">SUM(F40-E40)</f>
        <v>190.3803578070565</v>
      </c>
    </row>
    <row r="41" spans="1:7" ht="15.75" x14ac:dyDescent="0.25">
      <c r="A41" s="3298" t="s">
        <v>266</v>
      </c>
      <c r="B41" s="3299">
        <f>SUM('ФАКТ. СЕБЕСТ. СТОКИ 9 мес. 2019'!U9)*1000</f>
        <v>250194.74804095269</v>
      </c>
      <c r="C41" s="3299">
        <f>SUM('ФАКТ. СЕБЕСТ. СТОКИ 9 мес. 2019'!X9)*1000</f>
        <v>248363</v>
      </c>
      <c r="D41" s="3300">
        <v>32.06</v>
      </c>
      <c r="E41" s="3302">
        <f t="shared" si="6"/>
        <v>8021.2436221929438</v>
      </c>
      <c r="F41" s="3302">
        <f t="shared" si="7"/>
        <v>7962.5177800000001</v>
      </c>
      <c r="G41" s="3302">
        <f t="shared" si="8"/>
        <v>-58.725842192943674</v>
      </c>
    </row>
    <row r="42" spans="1:7" ht="15.75" x14ac:dyDescent="0.25">
      <c r="A42" s="3298" t="s">
        <v>267</v>
      </c>
      <c r="B42" s="3299">
        <f>SUM('ФАКТ. СЕБЕСТ. СТОКИ 9 мес. 2019'!AP9)*1000</f>
        <v>250194.74804095269</v>
      </c>
      <c r="C42" s="3299">
        <f>SUM('ФАКТ. СЕБЕСТ. СТОКИ 9 мес. 2019'!AS9)*1000</f>
        <v>259787.00000000003</v>
      </c>
      <c r="D42" s="3300">
        <v>32.06</v>
      </c>
      <c r="E42" s="3302">
        <f t="shared" si="6"/>
        <v>8021.2436221929438</v>
      </c>
      <c r="F42" s="3302">
        <f t="shared" si="7"/>
        <v>8328.7712200000024</v>
      </c>
      <c r="G42" s="3302">
        <f t="shared" si="8"/>
        <v>307.52759780705856</v>
      </c>
    </row>
    <row r="43" spans="1:7" ht="15.75" x14ac:dyDescent="0.25">
      <c r="A43" s="3298" t="s">
        <v>268</v>
      </c>
      <c r="B43" s="3299">
        <f>SUM('ФАКТ. СЕБЕСТ. СТОКИ 9 мес. 2019'!AY9)*1000</f>
        <v>250194.74804095269</v>
      </c>
      <c r="C43" s="3299">
        <f>SUM('ФАКТ. СЕБЕСТ. СТОКИ 9 мес. 2019'!BB9)*1000</f>
        <v>253662.00000000003</v>
      </c>
      <c r="D43" s="3300">
        <v>32.06</v>
      </c>
      <c r="E43" s="3302">
        <f t="shared" si="6"/>
        <v>8021.2436221929438</v>
      </c>
      <c r="F43" s="3302">
        <f t="shared" si="7"/>
        <v>8132.4037200000012</v>
      </c>
      <c r="G43" s="3302">
        <f t="shared" si="8"/>
        <v>111.16009780705735</v>
      </c>
    </row>
    <row r="44" spans="1:7" ht="15.75" x14ac:dyDescent="0.25">
      <c r="A44" s="3298" t="s">
        <v>269</v>
      </c>
      <c r="B44" s="3299">
        <f>SUM('ФАКТ. СЕБЕСТ. СТОКИ 9 мес. 2019'!BH9)*1000</f>
        <v>250194.74804095269</v>
      </c>
      <c r="C44" s="3299">
        <f>SUM('ФАКТ. СЕБЕСТ. СТОКИ 9 мес. 2019'!BK9)*1000</f>
        <v>254412.99999999997</v>
      </c>
      <c r="D44" s="3300">
        <v>32.06</v>
      </c>
      <c r="E44" s="3302">
        <f t="shared" si="6"/>
        <v>8021.2436221929438</v>
      </c>
      <c r="F44" s="3302">
        <f t="shared" si="7"/>
        <v>8156.480779999999</v>
      </c>
      <c r="G44" s="3302">
        <f t="shared" si="8"/>
        <v>135.23715780705515</v>
      </c>
    </row>
    <row r="45" spans="1:7" ht="15.75" x14ac:dyDescent="0.25">
      <c r="A45" s="3298" t="s">
        <v>1223</v>
      </c>
      <c r="B45" s="3299">
        <f>SUM('ФАКТ. СЕБЕСТ. СТОКИ 9 мес. 2019'!CO9)*1000</f>
        <v>250194.74804095269</v>
      </c>
      <c r="C45" s="3299">
        <f>SUM('ФАКТ. СЕБЕСТ. СТОКИ 9 мес. 2019'!CR9)*1000</f>
        <v>241745</v>
      </c>
      <c r="D45" s="3300">
        <v>32.06</v>
      </c>
      <c r="E45" s="3302">
        <f t="shared" si="6"/>
        <v>8021.2436221929438</v>
      </c>
      <c r="F45" s="3302">
        <f t="shared" si="7"/>
        <v>7750.3447000000006</v>
      </c>
      <c r="G45" s="3302">
        <f t="shared" si="8"/>
        <v>-270.89892219294325</v>
      </c>
    </row>
    <row r="46" spans="1:7" ht="15.75" x14ac:dyDescent="0.25">
      <c r="A46" s="3298" t="s">
        <v>270</v>
      </c>
      <c r="B46" s="3299">
        <f>SUM('ФАКТ. СЕБЕСТ. СТОКИ 9 мес. 2019'!CX9)*1000</f>
        <v>250194.74804095269</v>
      </c>
      <c r="C46" s="3299">
        <f>SUM('ФАКТ. СЕБЕСТ. СТОКИ 9 мес. 2019'!DA9)*1000</f>
        <v>275254</v>
      </c>
      <c r="D46" s="3300">
        <v>32.06</v>
      </c>
      <c r="E46" s="3302">
        <f t="shared" si="6"/>
        <v>8021.2436221929438</v>
      </c>
      <c r="F46" s="3302">
        <f t="shared" si="7"/>
        <v>8824.6432399999994</v>
      </c>
      <c r="G46" s="3302">
        <f t="shared" si="8"/>
        <v>803.39961780705562</v>
      </c>
    </row>
    <row r="47" spans="1:7" ht="15.75" x14ac:dyDescent="0.25">
      <c r="A47" s="3298" t="s">
        <v>1241</v>
      </c>
      <c r="B47" s="3299">
        <f>SUM('ФАКТ. СЕБЕСТ. СТОКИ 9 мес. 2019'!DG9)*1000</f>
        <v>250194.74804095269</v>
      </c>
      <c r="C47" s="3299">
        <f>SUM('ФАКТ. СЕБЕСТ. СТОКИ 9 мес. 2019'!DJ9)*1000</f>
        <v>253471</v>
      </c>
      <c r="D47" s="3300">
        <v>32.06</v>
      </c>
      <c r="E47" s="3302">
        <f t="shared" si="6"/>
        <v>8021.2436221929438</v>
      </c>
      <c r="F47" s="3302">
        <f t="shared" si="7"/>
        <v>8126.2802600000005</v>
      </c>
      <c r="G47" s="3302">
        <f t="shared" si="8"/>
        <v>105.03663780705665</v>
      </c>
    </row>
    <row r="48" spans="1:7" ht="15.75" x14ac:dyDescent="0.25">
      <c r="A48" s="3298" t="s">
        <v>271</v>
      </c>
      <c r="B48" s="3299">
        <f>SUM('ФАКТ. СЕБЕСТ. СТОКИ 9 мес. 2019'!EN9)*1000</f>
        <v>250194.74804095269</v>
      </c>
      <c r="C48" s="3299">
        <f>SUM('ФАКТ. СЕБЕСТ. СТОКИ 9 мес. 2019'!EQ9)*1000</f>
        <v>0</v>
      </c>
      <c r="D48" s="3300">
        <v>32.06</v>
      </c>
      <c r="E48" s="3302">
        <f t="shared" si="6"/>
        <v>8021.2436221929438</v>
      </c>
      <c r="F48" s="3302">
        <f t="shared" si="7"/>
        <v>0</v>
      </c>
      <c r="G48" s="3302">
        <f t="shared" si="8"/>
        <v>-8021.2436221929438</v>
      </c>
    </row>
    <row r="49" spans="1:7" ht="15.75" x14ac:dyDescent="0.25">
      <c r="A49" s="3298" t="s">
        <v>272</v>
      </c>
      <c r="B49" s="3299">
        <f>SUM('ФАКТ. СЕБЕСТ. СТОКИ 9 мес. 2019'!EW9)*1000</f>
        <v>250194.74804095269</v>
      </c>
      <c r="C49" s="3299">
        <f>SUM('ФАКТ. СЕБЕСТ. СТОКИ 9 мес. 2019'!EZ9)*1000</f>
        <v>0</v>
      </c>
      <c r="D49" s="3300">
        <v>32.06</v>
      </c>
      <c r="E49" s="3302">
        <f t="shared" si="6"/>
        <v>8021.2436221929438</v>
      </c>
      <c r="F49" s="3302">
        <f t="shared" si="7"/>
        <v>0</v>
      </c>
      <c r="G49" s="3302">
        <f t="shared" si="8"/>
        <v>-8021.2436221929438</v>
      </c>
    </row>
    <row r="50" spans="1:7" ht="15.75" x14ac:dyDescent="0.25">
      <c r="A50" s="3298" t="s">
        <v>1332</v>
      </c>
      <c r="B50" s="3299">
        <f>SUM('ФАКТ. СЕБЕСТ. СТОКИ 9 мес. 2019'!FF9)*1000</f>
        <v>250194.74804095269</v>
      </c>
      <c r="C50" s="3299">
        <f>SUM('ФАКТ. СЕБЕСТ. СТОКИ 9 мес. 2019'!FI9)*1000</f>
        <v>0</v>
      </c>
      <c r="D50" s="3300">
        <v>32.06</v>
      </c>
      <c r="E50" s="3302">
        <f t="shared" si="6"/>
        <v>8021.2436221929438</v>
      </c>
      <c r="F50" s="3302">
        <f t="shared" si="7"/>
        <v>0</v>
      </c>
      <c r="G50" s="3302">
        <f t="shared" si="8"/>
        <v>-8021.2436221929438</v>
      </c>
    </row>
    <row r="51" spans="1:7" ht="15.75" x14ac:dyDescent="0.25">
      <c r="A51" s="3303" t="s">
        <v>288</v>
      </c>
      <c r="B51" s="3304">
        <f>SUM(B39:B50)</f>
        <v>3002336.9764914322</v>
      </c>
      <c r="C51" s="3305">
        <f>SUM(C39:C50)</f>
        <v>2309121</v>
      </c>
      <c r="D51" s="3305">
        <f>F51/C51*1000</f>
        <v>32.06</v>
      </c>
      <c r="E51" s="3305">
        <f>SUM(E39:E50)</f>
        <v>96254.923466315318</v>
      </c>
      <c r="F51" s="3305">
        <f>SUM(F39:F50)</f>
        <v>74030.41926000001</v>
      </c>
      <c r="G51" s="3305">
        <f>SUM(G39:G50)</f>
        <v>-22224.504206315323</v>
      </c>
    </row>
    <row r="52" spans="1:7" ht="15" x14ac:dyDescent="0.2">
      <c r="A52" s="3306"/>
      <c r="B52" s="3306"/>
      <c r="C52" s="3306"/>
      <c r="D52" s="3306"/>
      <c r="E52" s="3306"/>
      <c r="F52" s="3306"/>
    </row>
    <row r="53" spans="1:7" ht="15.75" x14ac:dyDescent="0.2">
      <c r="A53" s="3621" t="s">
        <v>1767</v>
      </c>
      <c r="B53" s="3621"/>
      <c r="C53" s="3621"/>
      <c r="D53" s="3622"/>
      <c r="E53" s="3622"/>
      <c r="F53" s="3622"/>
      <c r="G53" s="3622"/>
    </row>
    <row r="54" spans="1:7" ht="12.75" customHeight="1" x14ac:dyDescent="0.25">
      <c r="A54" s="3623" t="s">
        <v>1574</v>
      </c>
      <c r="B54" s="3625" t="s">
        <v>1723</v>
      </c>
      <c r="C54" s="3626"/>
      <c r="D54" s="3627" t="s">
        <v>1724</v>
      </c>
      <c r="E54" s="3625" t="s">
        <v>3681</v>
      </c>
      <c r="F54" s="3629"/>
      <c r="G54" s="3630"/>
    </row>
    <row r="55" spans="1:7" ht="15.75" x14ac:dyDescent="0.25">
      <c r="A55" s="3624"/>
      <c r="B55" s="3297" t="s">
        <v>3581</v>
      </c>
      <c r="C55" s="3297" t="s">
        <v>1692</v>
      </c>
      <c r="D55" s="3628"/>
      <c r="E55" s="3297" t="s">
        <v>3581</v>
      </c>
      <c r="F55" s="3297" t="s">
        <v>1692</v>
      </c>
      <c r="G55" s="3297" t="s">
        <v>1610</v>
      </c>
    </row>
    <row r="56" spans="1:7" ht="15.75" x14ac:dyDescent="0.25">
      <c r="A56" s="3298" t="s">
        <v>264</v>
      </c>
      <c r="B56" s="3299">
        <f>SUM('ФАКТ. СЕБЕСТ. СТОКИ 9 мес. 2019'!D9)*1000</f>
        <v>1472.2222222222224</v>
      </c>
      <c r="C56" s="3299">
        <f>SUM('ФАКТ. СЕБЕСТ. СТОКИ 9 мес. 2019'!G9)*1000</f>
        <v>202.5</v>
      </c>
      <c r="D56" s="3301">
        <v>14.24</v>
      </c>
      <c r="E56" s="3302">
        <f>B56*D56/1000</f>
        <v>20.96444444444445</v>
      </c>
      <c r="F56" s="3302">
        <f>C56*D56/1000</f>
        <v>2.8835999999999999</v>
      </c>
      <c r="G56" s="3302">
        <f>SUM(F56-E56)</f>
        <v>-18.080844444444448</v>
      </c>
    </row>
    <row r="57" spans="1:7" ht="15.75" x14ac:dyDescent="0.25">
      <c r="A57" s="3298" t="s">
        <v>265</v>
      </c>
      <c r="B57" s="3299">
        <f>SUM('ФАКТ. СЕБЕСТ. СТОКИ 9 мес. 2019'!M9)*1000</f>
        <v>1472.2222222222224</v>
      </c>
      <c r="C57" s="3299">
        <f>SUM('ФАКТ. СЕБЕСТ. СТОКИ 9 мес. 2019'!P9)*1000</f>
        <v>173</v>
      </c>
      <c r="D57" s="3301">
        <v>14.24</v>
      </c>
      <c r="E57" s="3302">
        <f t="shared" ref="E57:E67" si="9">B57*D57/1000</f>
        <v>20.96444444444445</v>
      </c>
      <c r="F57" s="3302">
        <f t="shared" ref="F57:F67" si="10">C57*D57/1000</f>
        <v>2.4635199999999999</v>
      </c>
      <c r="G57" s="3302">
        <f t="shared" ref="G57:G67" si="11">SUM(F57-E57)</f>
        <v>-18.500924444444451</v>
      </c>
    </row>
    <row r="58" spans="1:7" ht="15.75" x14ac:dyDescent="0.25">
      <c r="A58" s="3298" t="s">
        <v>266</v>
      </c>
      <c r="B58" s="3299">
        <f>SUM('ФАКТ. СЕБЕСТ. СТОКИ 9 мес. 2019'!V9)*1000</f>
        <v>1472.2222222222224</v>
      </c>
      <c r="C58" s="3299">
        <f>SUM('ФАКТ. СЕБЕСТ. СТОКИ 9 мес. 2019'!Y9)*1000</f>
        <v>3680</v>
      </c>
      <c r="D58" s="3301">
        <v>14.24</v>
      </c>
      <c r="E58" s="3302">
        <f t="shared" si="9"/>
        <v>20.96444444444445</v>
      </c>
      <c r="F58" s="3302">
        <f t="shared" si="10"/>
        <v>52.403200000000005</v>
      </c>
      <c r="G58" s="3302">
        <f t="shared" si="11"/>
        <v>31.438755555555556</v>
      </c>
    </row>
    <row r="59" spans="1:7" ht="15.75" x14ac:dyDescent="0.25">
      <c r="A59" s="3298" t="s">
        <v>267</v>
      </c>
      <c r="B59" s="3299">
        <f>SUM('ФАКТ. СЕБЕСТ. СТОКИ 9 мес. 2019'!AQ9)*1000</f>
        <v>1472.2222222222224</v>
      </c>
      <c r="C59" s="3299">
        <f>SUM('ФАКТ. СЕБЕСТ. СТОКИ 9 мес. 2019'!AT9)*1000</f>
        <v>300</v>
      </c>
      <c r="D59" s="3301">
        <v>14.24</v>
      </c>
      <c r="E59" s="3302">
        <f t="shared" si="9"/>
        <v>20.96444444444445</v>
      </c>
      <c r="F59" s="3302">
        <f t="shared" si="10"/>
        <v>4.2720000000000002</v>
      </c>
      <c r="G59" s="3302">
        <f t="shared" si="11"/>
        <v>-16.692444444444448</v>
      </c>
    </row>
    <row r="60" spans="1:7" ht="15.75" x14ac:dyDescent="0.25">
      <c r="A60" s="3298" t="s">
        <v>268</v>
      </c>
      <c r="B60" s="3299">
        <f>SUM('ФАКТ. СЕБЕСТ. СТОКИ 9 мес. 2019'!AZ9)*1000</f>
        <v>1472.2222222222224</v>
      </c>
      <c r="C60" s="3299">
        <f>SUM('ФАКТ. СЕБЕСТ. СТОКИ 9 мес. 2019'!BC9)*1000</f>
        <v>510</v>
      </c>
      <c r="D60" s="3301">
        <v>14.24</v>
      </c>
      <c r="E60" s="3302">
        <f t="shared" si="9"/>
        <v>20.96444444444445</v>
      </c>
      <c r="F60" s="3302">
        <f t="shared" si="10"/>
        <v>7.2624000000000004</v>
      </c>
      <c r="G60" s="3302">
        <f t="shared" si="11"/>
        <v>-13.70204444444445</v>
      </c>
    </row>
    <row r="61" spans="1:7" ht="15.75" x14ac:dyDescent="0.25">
      <c r="A61" s="3298" t="s">
        <v>269</v>
      </c>
      <c r="B61" s="3299">
        <f>SUM('ФАКТ. СЕБЕСТ. СТОКИ 9 мес. 2019'!BI9)*1000</f>
        <v>1472.2222222222224</v>
      </c>
      <c r="C61" s="3299">
        <f>SUM('ФАКТ. СЕБЕСТ. СТОКИ 9 мес. 2019'!BL9)*1000</f>
        <v>3866</v>
      </c>
      <c r="D61" s="3301">
        <v>14.24</v>
      </c>
      <c r="E61" s="3302">
        <f t="shared" si="9"/>
        <v>20.96444444444445</v>
      </c>
      <c r="F61" s="3302">
        <f t="shared" si="10"/>
        <v>55.051840000000006</v>
      </c>
      <c r="G61" s="3302">
        <f t="shared" si="11"/>
        <v>34.08739555555556</v>
      </c>
    </row>
    <row r="62" spans="1:7" ht="15.75" x14ac:dyDescent="0.25">
      <c r="A62" s="3298" t="s">
        <v>1223</v>
      </c>
      <c r="B62" s="3299">
        <f>SUM('ФАКТ. СЕБЕСТ. СТОКИ 9 мес. 2019'!CP9)*1000</f>
        <v>1472.2222222222224</v>
      </c>
      <c r="C62" s="3299">
        <f>SUM('ФАКТ. СЕБЕСТ. СТОКИ 9 мес. 2019'!CS9)*1000</f>
        <v>311</v>
      </c>
      <c r="D62" s="3301">
        <v>14.56</v>
      </c>
      <c r="E62" s="3302">
        <f t="shared" si="9"/>
        <v>21.43555555555556</v>
      </c>
      <c r="F62" s="3302">
        <f t="shared" si="10"/>
        <v>4.5281599999999997</v>
      </c>
      <c r="G62" s="3302">
        <f t="shared" si="11"/>
        <v>-16.90739555555556</v>
      </c>
    </row>
    <row r="63" spans="1:7" ht="15.75" x14ac:dyDescent="0.25">
      <c r="A63" s="3298" t="s">
        <v>270</v>
      </c>
      <c r="B63" s="3299">
        <f>SUM('ФАКТ. СЕБЕСТ. СТОКИ 9 мес. 2019'!CY9)*1000</f>
        <v>1472.2222222222224</v>
      </c>
      <c r="C63" s="3299">
        <f>SUM('ФАКТ. СЕБЕСТ. СТОКИ 9 мес. 2019'!DB9)*1000</f>
        <v>379</v>
      </c>
      <c r="D63" s="3301">
        <v>14.56</v>
      </c>
      <c r="E63" s="3302">
        <f t="shared" si="9"/>
        <v>21.43555555555556</v>
      </c>
      <c r="F63" s="3302">
        <f t="shared" si="10"/>
        <v>5.5182399999999996</v>
      </c>
      <c r="G63" s="3302">
        <f t="shared" si="11"/>
        <v>-15.917315555555561</v>
      </c>
    </row>
    <row r="64" spans="1:7" ht="15.75" x14ac:dyDescent="0.25">
      <c r="A64" s="3298" t="s">
        <v>1241</v>
      </c>
      <c r="B64" s="3299">
        <f>SUM('ФАКТ. СЕБЕСТ. СТОКИ 9 мес. 2019'!DH9)*1000</f>
        <v>1472.2222222222224</v>
      </c>
      <c r="C64" s="3299">
        <f>SUM('ФАКТ. СЕБЕСТ. СТОКИ 9 мес. 2019'!DK9)*1000</f>
        <v>3908</v>
      </c>
      <c r="D64" s="3301">
        <v>14.56</v>
      </c>
      <c r="E64" s="3302">
        <f t="shared" si="9"/>
        <v>21.43555555555556</v>
      </c>
      <c r="F64" s="3302">
        <f t="shared" si="10"/>
        <v>56.900480000000002</v>
      </c>
      <c r="G64" s="3302">
        <f t="shared" si="11"/>
        <v>35.464924444444442</v>
      </c>
    </row>
    <row r="65" spans="1:7" ht="15.75" x14ac:dyDescent="0.25">
      <c r="A65" s="3298" t="s">
        <v>271</v>
      </c>
      <c r="B65" s="3299">
        <f>SUM('ФАКТ. СЕБЕСТ. СТОКИ 9 мес. 2019'!EO9)*1000</f>
        <v>1472.2222222222224</v>
      </c>
      <c r="C65" s="3299">
        <f>SUM('ФАКТ. СЕБЕСТ. СТОКИ 9 мес. 2019'!ER9)*1000</f>
        <v>0</v>
      </c>
      <c r="D65" s="3301">
        <v>14.56</v>
      </c>
      <c r="E65" s="3302">
        <f t="shared" si="9"/>
        <v>21.43555555555556</v>
      </c>
      <c r="F65" s="3302">
        <f t="shared" si="10"/>
        <v>0</v>
      </c>
      <c r="G65" s="3302">
        <f t="shared" si="11"/>
        <v>-21.43555555555556</v>
      </c>
    </row>
    <row r="66" spans="1:7" ht="15.75" x14ac:dyDescent="0.25">
      <c r="A66" s="3298" t="s">
        <v>272</v>
      </c>
      <c r="B66" s="3299">
        <f>SUM('ФАКТ. СЕБЕСТ. СТОКИ 9 мес. 2019'!EX9)*1000</f>
        <v>1472.2222222222224</v>
      </c>
      <c r="C66" s="3299">
        <f>SUM('ФАКТ. СЕБЕСТ. СТОКИ 9 мес. 2019'!FA9)*1000</f>
        <v>0</v>
      </c>
      <c r="D66" s="3301">
        <v>14.56</v>
      </c>
      <c r="E66" s="3302">
        <f t="shared" si="9"/>
        <v>21.43555555555556</v>
      </c>
      <c r="F66" s="3302">
        <f t="shared" si="10"/>
        <v>0</v>
      </c>
      <c r="G66" s="3302">
        <f t="shared" si="11"/>
        <v>-21.43555555555556</v>
      </c>
    </row>
    <row r="67" spans="1:7" ht="15.75" x14ac:dyDescent="0.25">
      <c r="A67" s="3298" t="s">
        <v>1332</v>
      </c>
      <c r="B67" s="3299">
        <f>SUM('ФАКТ. СЕБЕСТ. СТОКИ 9 мес. 2019'!FG9)*1000</f>
        <v>1472.2222222222224</v>
      </c>
      <c r="C67" s="3299">
        <f>SUM('ФАКТ. СЕБЕСТ. СТОКИ 9 мес. 2019'!FJ9)*1000</f>
        <v>0</v>
      </c>
      <c r="D67" s="3301">
        <v>14.56</v>
      </c>
      <c r="E67" s="3302">
        <f t="shared" si="9"/>
        <v>21.43555555555556</v>
      </c>
      <c r="F67" s="3302">
        <f t="shared" si="10"/>
        <v>0</v>
      </c>
      <c r="G67" s="3302">
        <f t="shared" si="11"/>
        <v>-21.43555555555556</v>
      </c>
    </row>
    <row r="68" spans="1:7" ht="15.75" x14ac:dyDescent="0.25">
      <c r="A68" s="3303" t="s">
        <v>288</v>
      </c>
      <c r="B68" s="3304">
        <f>SUM(B56:B67)</f>
        <v>17666.666666666668</v>
      </c>
      <c r="C68" s="3305">
        <f>SUM(C56:C67)</f>
        <v>13329.5</v>
      </c>
      <c r="D68" s="3305">
        <f>F68/C68*1000</f>
        <v>14.350383735323909</v>
      </c>
      <c r="E68" s="3305">
        <f>SUM(E56:E67)</f>
        <v>254.40000000000009</v>
      </c>
      <c r="F68" s="3305">
        <f>SUM(F56:F67)</f>
        <v>191.28344000000004</v>
      </c>
      <c r="G68" s="3305">
        <f>SUM(G56:G67)</f>
        <v>-63.116560000000042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87</vt:i4>
      </vt:variant>
      <vt:variant>
        <vt:lpstr>Именованные диапазоны</vt:lpstr>
      </vt:variant>
      <vt:variant>
        <vt:i4>41</vt:i4>
      </vt:variant>
    </vt:vector>
  </HeadingPairs>
  <TitlesOfParts>
    <vt:vector size="128" baseType="lpstr">
      <vt:lpstr>расчет тарифов </vt:lpstr>
      <vt:lpstr>Текущий ремонт</vt:lpstr>
      <vt:lpstr>Чистая прибыль с транспортир.</vt:lpstr>
      <vt:lpstr>Прил. 1 План ФХД с транспортир.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Расчет товарной выручки</vt:lpstr>
      <vt:lpstr>ФАКТ. СЕБЕСТ. СТОКИ 9 мес. 2019</vt:lpstr>
      <vt:lpstr>ПОЛНАЯ СЕБЕСТОИМОСТЬ СТОКИ 2019</vt:lpstr>
      <vt:lpstr>ФАКТ. СЕБЕСТ ВОДА 9 мес. 2019</vt:lpstr>
      <vt:lpstr>ПОЛНАЯ СЕБЕСТОИМОСТЬ ВОДА 2019</vt:lpstr>
      <vt:lpstr>объемы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вода</vt:lpstr>
      <vt:lpstr>стоки</vt:lpstr>
      <vt:lpstr>вода 2018 коррект</vt:lpstr>
      <vt:lpstr>тех вода 2018</vt:lpstr>
      <vt:lpstr>стоки 2018</vt:lpstr>
      <vt:lpstr>очистка 2016-2018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Аренда земли</vt:lpstr>
      <vt:lpstr>Транспортировка КЭМЗ</vt:lpstr>
      <vt:lpstr>Тепловая энергия</vt:lpstr>
      <vt:lpstr>ЗП</vt:lpstr>
      <vt:lpstr>ЗП с факт 3 кв. 2015</vt:lpstr>
      <vt:lpstr>ЗП среднемес</vt:lpstr>
      <vt:lpstr>ср. разряд</vt:lpstr>
      <vt:lpstr>3 подъем зпл</vt:lpstr>
      <vt:lpstr>хим реагенты</vt:lpstr>
      <vt:lpstr>транс</vt:lpstr>
      <vt:lpstr> текРемвода 2016</vt:lpstr>
      <vt:lpstr>  текРемстоки 2016</vt:lpstr>
      <vt:lpstr>Кап Рем</vt:lpstr>
      <vt:lpstr>кап влож</vt:lpstr>
      <vt:lpstr>Н 2019-2024</vt:lpstr>
      <vt:lpstr>вод.налог</vt:lpstr>
      <vt:lpstr>имущество</vt:lpstr>
      <vt:lpstr>рем программа</vt:lpstr>
      <vt:lpstr>ремонты</vt:lpstr>
      <vt:lpstr>налог на имущ</vt:lpstr>
      <vt:lpstr>ОХР 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НВОС</vt:lpstr>
      <vt:lpstr>Лист1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вод.налог!Область_печати</vt:lpstr>
      <vt:lpstr>вода!Область_печати</vt:lpstr>
      <vt:lpstr>'вода 2018 коррект'!Область_печати</vt:lpstr>
      <vt:lpstr>'Выпадающ15-16'!Область_печати</vt:lpstr>
      <vt:lpstr>ЗП!Область_печати</vt:lpstr>
      <vt:lpstr>'ЗП с факт 3 кв. 2015'!Область_печати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2016-2018'!Область_печати</vt:lpstr>
      <vt:lpstr>'платежка с ИП'!Область_печати</vt:lpstr>
      <vt:lpstr>'ПОЛНАЯ СЕБЕСТОИМОСТЬ ВОДА 2019'!Область_печати</vt:lpstr>
      <vt:lpstr>'ПОЛНАЯ СЕБЕСТОИМОСТЬ СТОКИ 2019'!Область_печати</vt:lpstr>
      <vt:lpstr>'Прил. 1 План ФХД вода табл. 2'!Область_печати</vt:lpstr>
      <vt:lpstr>'Прил. 1 План ФХД с транспортир.'!Область_печати</vt:lpstr>
      <vt:lpstr>'Прил. 1 План ФХД стоки табл 2'!Область_печати</vt:lpstr>
      <vt:lpstr>'Прил. 1 План ФХД табл 1'!Область_печати</vt:lpstr>
      <vt:lpstr>'расчет тарифов '!Область_печати</vt:lpstr>
      <vt:lpstr>'рез к 2017'!Область_печати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2018'!Область_печати</vt:lpstr>
      <vt:lpstr>'Текущий ремонт'!Область_печати</vt:lpstr>
      <vt:lpstr>'тех вода 2018'!Область_печати</vt:lpstr>
      <vt:lpstr>транс!Область_печати</vt:lpstr>
      <vt:lpstr>'ФАКТ. СЕБЕСТ ВОДА 9 мес. 2019'!Область_печати</vt:lpstr>
      <vt:lpstr>'ФАКТ. СЕБЕСТ. СТОКИ 9 мес. 2019'!Область_печати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 Windows</cp:lastModifiedBy>
  <cp:lastPrinted>2019-10-17T10:53:56Z</cp:lastPrinted>
  <dcterms:created xsi:type="dcterms:W3CDTF">2005-08-29T07:58:36Z</dcterms:created>
  <dcterms:modified xsi:type="dcterms:W3CDTF">2019-11-06T10:24:06Z</dcterms:modified>
</cp:coreProperties>
</file>